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charts/chart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23.xml" ContentType="application/vnd.openxmlformats-officedocument.drawing+xml"/>
  <Override PartName="/xl/charts/chart19.xml" ContentType="application/vnd.openxmlformats-officedocument.drawingml.chart+xml"/>
  <Override PartName="/xl/charts/style4.xml" ContentType="application/vnd.ms-office.chartstyle+xml"/>
  <Override PartName="/xl/charts/colors4.xml" ContentType="application/vnd.ms-office.chartcolorstyle+xml"/>
  <Override PartName="/xl/charts/chart20.xml" ContentType="application/vnd.openxmlformats-officedocument.drawingml.chart+xml"/>
  <Override PartName="/xl/drawings/drawing24.xml" ContentType="application/vnd.openxmlformats-officedocument.drawing+xml"/>
  <Override PartName="/xl/charts/chart2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2.xml" ContentType="application/vnd.openxmlformats-officedocument.drawingml.chart+xml"/>
  <Override PartName="/xl/drawings/drawing27.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28.xml" ContentType="application/vnd.openxmlformats-officedocument.drawingml.chartshapes+xml"/>
  <Override PartName="/xl/charts/chart28.xml" ContentType="application/vnd.openxmlformats-officedocument.drawingml.chart+xml"/>
  <Override PartName="/xl/charts/chart29.xml" ContentType="application/vnd.openxmlformats-officedocument.drawingml.chart+xml"/>
  <Override PartName="/xl/drawings/drawing29.xml" ContentType="application/vnd.openxmlformats-officedocument.drawingml.chartshapes+xml"/>
  <Override PartName="/xl/charts/chart30.xml" ContentType="application/vnd.openxmlformats-officedocument.drawingml.chart+xml"/>
  <Override PartName="/xl/drawings/drawing30.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2.xml" ContentType="application/vnd.openxmlformats-officedocument.drawing+xml"/>
  <Override PartName="/xl/charts/chart35.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6.xml" ContentType="application/vnd.openxmlformats-officedocument.drawingml.chart+xml"/>
  <Override PartName="/xl/drawings/drawing35.xml" ContentType="application/vnd.openxmlformats-officedocument.drawingml.chartshapes+xml"/>
  <Override PartName="/xl/charts/chart37.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38.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39.xml" ContentType="application/vnd.openxmlformats-officedocument.drawing+xml"/>
  <Override PartName="/xl/charts/chart42.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43.xml" ContentType="application/vnd.openxmlformats-officedocument.drawingml.chart+xml"/>
  <Override PartName="/xl/drawings/drawing42.xml" ContentType="application/vnd.openxmlformats-officedocument.drawingml.chartshapes+xml"/>
  <Override PartName="/xl/charts/chart44.xml" ContentType="application/vnd.openxmlformats-officedocument.drawingml.chart+xml"/>
  <Override PartName="/xl/drawings/drawing4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44.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45.xml" ContentType="application/vnd.openxmlformats-officedocument.drawingml.chartshapes+xml"/>
  <Override PartName="/xl/charts/chart50.xml" ContentType="application/vnd.openxmlformats-officedocument.drawingml.chart+xml"/>
  <Override PartName="/xl/drawings/drawing4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4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48.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49.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50.xml" ContentType="application/vnd.openxmlformats-officedocument.drawing+xml"/>
  <Override PartName="/xl/charts/chart59.xml" ContentType="application/vnd.openxmlformats-officedocument.drawingml.chart+xml"/>
  <Override PartName="/xl/drawings/drawing51.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52.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53.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54.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55.xml" ContentType="application/vnd.openxmlformats-officedocument.drawing+xml"/>
  <Override PartName="/xl/charts/chart6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69.xml" ContentType="application/vnd.openxmlformats-officedocument.drawingml.chart+xml"/>
  <Override PartName="/xl/drawings/drawing58.xml" ContentType="application/vnd.openxmlformats-officedocument.drawingml.chartshapes+xml"/>
  <Override PartName="/xl/charts/chart70.xml" ContentType="application/vnd.openxmlformats-officedocument.drawingml.chart+xml"/>
  <Override PartName="/xl/drawings/drawing59.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60.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61.xml" ContentType="application/vnd.openxmlformats-officedocument.drawing+xml"/>
  <Override PartName="/xl/charts/chart79.xml" ContentType="application/vnd.openxmlformats-officedocument.drawingml.chart+xml"/>
  <Override PartName="/xl/drawings/drawing62.xml" ContentType="application/vnd.openxmlformats-officedocument.drawingml.chartshapes+xml"/>
  <Override PartName="/xl/charts/chart80.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65.xml" ContentType="application/vnd.openxmlformats-officedocument.drawing+xml"/>
  <Override PartName="/xl/charts/chart83.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84.xml" ContentType="application/vnd.openxmlformats-officedocument.drawingml.chart+xml"/>
  <Override PartName="/xl/drawings/drawing68.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drawings/drawing69.xml" ContentType="application/vnd.openxmlformats-officedocument.drawing+xml"/>
  <Override PartName="/xl/charts/chart87.xml" ContentType="application/vnd.openxmlformats-officedocument.drawingml.chart+xml"/>
  <Override PartName="/xl/drawings/drawing70.xml" ContentType="application/vnd.openxmlformats-officedocument.drawingml.chartshapes+xml"/>
  <Override PartName="/xl/charts/chart88.xml" ContentType="application/vnd.openxmlformats-officedocument.drawingml.chart+xml"/>
  <Override PartName="/xl/drawings/drawing71.xml" ContentType="application/vnd.openxmlformats-officedocument.drawingml.chartshapes+xml"/>
  <Override PartName="/xl/charts/chart89.xml" ContentType="application/vnd.openxmlformats-officedocument.drawingml.chart+xml"/>
  <Override PartName="/xl/drawings/drawing72.xml" ContentType="application/vnd.openxmlformats-officedocument.drawingml.chartshapes+xml"/>
  <Override PartName="/xl/charts/chart90.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91.xml" ContentType="application/vnd.openxmlformats-officedocument.drawingml.chart+xml"/>
  <Override PartName="/xl/drawings/drawing75.xml" ContentType="application/vnd.openxmlformats-officedocument.drawingml.chartshapes+xml"/>
  <Override PartName="/xl/charts/chart92.xml" ContentType="application/vnd.openxmlformats-officedocument.drawingml.chart+xml"/>
  <Override PartName="/xl/drawings/drawing76.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ibcybu\Desktop\"/>
    </mc:Choice>
  </mc:AlternateContent>
  <bookViews>
    <workbookView xWindow="7935" yWindow="495" windowWidth="14430" windowHeight="10605" tabRatio="879"/>
  </bookViews>
  <sheets>
    <sheet name="Index" sheetId="1" r:id="rId1"/>
    <sheet name="How To Use" sheetId="72" r:id="rId2"/>
    <sheet name="Data Sources" sheetId="8" r:id="rId3"/>
    <sheet name="Data - Monthly Commodity Prices" sheetId="6" r:id="rId4"/>
    <sheet name="Q&amp;V 2 Yr Summary" sheetId="49" r:id="rId5"/>
    <sheet name="Major Commodity Summary" sheetId="50" r:id="rId6"/>
    <sheet name="CY Q&amp;V 1886-2003" sheetId="48" r:id="rId7"/>
    <sheet name="CY Q&amp;V 2004-Now" sheetId="51" r:id="rId8"/>
    <sheet name="FY Q&amp;V 1984-85 to 2002-03" sheetId="63" r:id="rId9"/>
    <sheet name="FY Q&amp;V 2003-04 to Now" sheetId="62" r:id="rId10"/>
    <sheet name="Alumina - Q&amp;V" sheetId="2" r:id="rId11"/>
    <sheet name="Alumina - Prices" sheetId="11" r:id="rId12"/>
    <sheet name="Alumina - Exports" sheetId="4" r:id="rId13"/>
    <sheet name="Alumina - WA vs Australia" sheetId="5" r:id="rId14"/>
    <sheet name="Base Metals - Q&amp;V" sheetId="54" r:id="rId15"/>
    <sheet name="Base Metals - Prices" sheetId="53" r:id="rId16"/>
    <sheet name="Base Metals - Exports" sheetId="78" r:id="rId17"/>
    <sheet name="Base Metals - WA vs Australia" sheetId="56" r:id="rId18"/>
    <sheet name="Gold - Q&amp;V" sheetId="17" r:id="rId19"/>
    <sheet name="Gold - Prices" sheetId="18" r:id="rId20"/>
    <sheet name="Gold - Exports" sheetId="75" r:id="rId21"/>
    <sheet name="Gold - WA vs Australia" sheetId="21" r:id="rId22"/>
    <sheet name="Gold - Cumulative Production" sheetId="23" r:id="rId23"/>
    <sheet name="Iron Ore - Q&amp;V" sheetId="28" r:id="rId24"/>
    <sheet name="Iron Ore - Prices" sheetId="30" r:id="rId25"/>
    <sheet name="Iron Ore - Exports" sheetId="76" r:id="rId26"/>
    <sheet name="Iron Ore - WA vs Australia" sheetId="32" r:id="rId27"/>
    <sheet name="China Steel Prod &amp; Iron Ore CY" sheetId="34" r:id="rId28"/>
    <sheet name="China Steel Prod &amp; Iron Ore FY" sheetId="71" r:id="rId29"/>
    <sheet name="Lithium - Q&amp;V" sheetId="79" r:id="rId30"/>
    <sheet name="Lithium - Prices" sheetId="80" r:id="rId31"/>
    <sheet name="Mineral Sands - Q&amp;V" sheetId="22" r:id="rId32"/>
    <sheet name="Mineral Sands - Prices" sheetId="59" r:id="rId33"/>
    <sheet name="Mineral Sands - Exports" sheetId="74" r:id="rId34"/>
    <sheet name="Mineral Sands - WA vs Australia" sheetId="27" r:id="rId35"/>
    <sheet name="Minor Commodities - Q&amp;V" sheetId="61" r:id="rId36"/>
    <sheet name="Nickel - Q&amp;V" sheetId="12" r:id="rId37"/>
    <sheet name="Nickel - Prices" sheetId="13" r:id="rId38"/>
    <sheet name="Nickel - Exports" sheetId="73" r:id="rId39"/>
    <sheet name="Nickel - WA vs Australia" sheetId="16" r:id="rId40"/>
    <sheet name="Petroleum - Q&amp;V1" sheetId="36" r:id="rId41"/>
    <sheet name="Petroleum - Q&amp;V2" sheetId="52" r:id="rId42"/>
    <sheet name="Petroleum - Gas Prices" sheetId="42" r:id="rId43"/>
    <sheet name="Petroleum - Oil Prices" sheetId="37" r:id="rId44"/>
    <sheet name="Petroleum - Exports" sheetId="77" r:id="rId45"/>
    <sheet name="Petroleum - WA vs Australia" sheetId="40" r:id="rId46"/>
    <sheet name="Petroleum - Global LNG Trade" sheetId="60" r:id="rId47"/>
    <sheet name="Petroleum - Global Oil Reserves" sheetId="44" r:id="rId48"/>
    <sheet name="Uranium - Prices" sheetId="35" r:id="rId49"/>
  </sheets>
  <externalReferences>
    <externalReference r:id="rId50"/>
    <externalReference r:id="rId51"/>
  </externalReferences>
  <definedNames>
    <definedName name="_xlnm._FilterDatabase" localSheetId="46" hidden="1">'Petroleum - Global LNG Trade'!$A$59:$C$79</definedName>
    <definedName name="A1954791L" localSheetId="16">'[1]Mineral Exploration Drilling'!#REF!,'[1]Mineral Exploration Drilling'!#REF!</definedName>
    <definedName name="A1954791L" localSheetId="20">'[1]Mineral Exploration Drilling'!#REF!,'[1]Mineral Exploration Drilling'!#REF!</definedName>
    <definedName name="A1954791L" localSheetId="25">'[1]Mineral Exploration Drilling'!#REF!,'[1]Mineral Exploration Drilling'!#REF!</definedName>
    <definedName name="A1954791L" localSheetId="30">'[1]Mineral Exploration Drilling'!#REF!,'[1]Mineral Exploration Drilling'!#REF!</definedName>
    <definedName name="A1954791L" localSheetId="33">'[1]Mineral Exploration Drilling'!#REF!,'[1]Mineral Exploration Drilling'!#REF!</definedName>
    <definedName name="A1954791L" localSheetId="38">'[1]Mineral Exploration Drilling'!#REF!,'[1]Mineral Exploration Drilling'!#REF!</definedName>
    <definedName name="A1954791L" localSheetId="44">'[1]Mineral Exploration Drilling'!#REF!,'[1]Mineral Exploration Drilling'!#REF!</definedName>
    <definedName name="A1954791L">'[1]Mineral Exploration Drilling'!#REF!,'[1]Mineral Exploration Drilling'!#REF!</definedName>
    <definedName name="A1954791L_Data" localSheetId="16">'[1]Mineral Exploration Drilling'!#REF!</definedName>
    <definedName name="A1954791L_Data" localSheetId="20">'[1]Mineral Exploration Drilling'!#REF!</definedName>
    <definedName name="A1954791L_Data" localSheetId="25">'[1]Mineral Exploration Drilling'!#REF!</definedName>
    <definedName name="A1954791L_Data" localSheetId="30">'[1]Mineral Exploration Drilling'!#REF!</definedName>
    <definedName name="A1954791L_Data" localSheetId="33">'[1]Mineral Exploration Drilling'!#REF!</definedName>
    <definedName name="A1954791L_Data" localSheetId="38">'[1]Mineral Exploration Drilling'!#REF!</definedName>
    <definedName name="A1954791L_Data" localSheetId="44">'[1]Mineral Exploration Drilling'!#REF!</definedName>
    <definedName name="A1954791L_Data">'[1]Mineral Exploration Drilling'!#REF!</definedName>
    <definedName name="A1954791L_Latest" localSheetId="16">'[1]Mineral Exploration Drilling'!#REF!</definedName>
    <definedName name="A1954791L_Latest" localSheetId="20">'[1]Mineral Exploration Drilling'!#REF!</definedName>
    <definedName name="A1954791L_Latest" localSheetId="25">'[1]Mineral Exploration Drilling'!#REF!</definedName>
    <definedName name="A1954791L_Latest" localSheetId="30">'[1]Mineral Exploration Drilling'!#REF!</definedName>
    <definedName name="A1954791L_Latest" localSheetId="33">'[1]Mineral Exploration Drilling'!#REF!</definedName>
    <definedName name="A1954791L_Latest" localSheetId="38">'[1]Mineral Exploration Drilling'!#REF!</definedName>
    <definedName name="A1954791L_Latest" localSheetId="44">'[1]Mineral Exploration Drilling'!#REF!</definedName>
    <definedName name="A1954791L_Latest">'[1]Mineral Exploration Drilling'!#REF!</definedName>
    <definedName name="A1954799F" localSheetId="16">'[1]Mineral Exploration Drilling'!#REF!,'[1]Mineral Exploration Drilling'!#REF!</definedName>
    <definedName name="A1954799F" localSheetId="20">'[1]Mineral Exploration Drilling'!#REF!,'[1]Mineral Exploration Drilling'!#REF!</definedName>
    <definedName name="A1954799F" localSheetId="25">'[1]Mineral Exploration Drilling'!#REF!,'[1]Mineral Exploration Drilling'!#REF!</definedName>
    <definedName name="A1954799F" localSheetId="30">'[1]Mineral Exploration Drilling'!#REF!,'[1]Mineral Exploration Drilling'!#REF!</definedName>
    <definedName name="A1954799F" localSheetId="33">'[1]Mineral Exploration Drilling'!#REF!,'[1]Mineral Exploration Drilling'!#REF!</definedName>
    <definedName name="A1954799F" localSheetId="38">'[1]Mineral Exploration Drilling'!#REF!,'[1]Mineral Exploration Drilling'!#REF!</definedName>
    <definedName name="A1954799F" localSheetId="44">'[1]Mineral Exploration Drilling'!#REF!,'[1]Mineral Exploration Drilling'!#REF!</definedName>
    <definedName name="A1954799F">'[1]Mineral Exploration Drilling'!#REF!,'[1]Mineral Exploration Drilling'!#REF!</definedName>
    <definedName name="A1954799F_Data" localSheetId="16">'[1]Mineral Exploration Drilling'!#REF!</definedName>
    <definedName name="A1954799F_Data" localSheetId="20">'[1]Mineral Exploration Drilling'!#REF!</definedName>
    <definedName name="A1954799F_Data" localSheetId="25">'[1]Mineral Exploration Drilling'!#REF!</definedName>
    <definedName name="A1954799F_Data" localSheetId="30">'[1]Mineral Exploration Drilling'!#REF!</definedName>
    <definedName name="A1954799F_Data" localSheetId="33">'[1]Mineral Exploration Drilling'!#REF!</definedName>
    <definedName name="A1954799F_Data" localSheetId="38">'[1]Mineral Exploration Drilling'!#REF!</definedName>
    <definedName name="A1954799F_Data" localSheetId="44">'[1]Mineral Exploration Drilling'!#REF!</definedName>
    <definedName name="A1954799F_Data">'[1]Mineral Exploration Drilling'!#REF!</definedName>
    <definedName name="A1954799F_Latest" localSheetId="16">'[1]Mineral Exploration Drilling'!#REF!</definedName>
    <definedName name="A1954799F_Latest" localSheetId="20">'[1]Mineral Exploration Drilling'!#REF!</definedName>
    <definedName name="A1954799F_Latest" localSheetId="25">'[1]Mineral Exploration Drilling'!#REF!</definedName>
    <definedName name="A1954799F_Latest" localSheetId="30">'[1]Mineral Exploration Drilling'!#REF!</definedName>
    <definedName name="A1954799F_Latest" localSheetId="33">'[1]Mineral Exploration Drilling'!#REF!</definedName>
    <definedName name="A1954799F_Latest" localSheetId="38">'[1]Mineral Exploration Drilling'!#REF!</definedName>
    <definedName name="A1954799F_Latest" localSheetId="44">'[1]Mineral Exploration Drilling'!#REF!</definedName>
    <definedName name="A1954799F_Latest">'[1]Mineral Exploration Drilling'!#REF!</definedName>
    <definedName name="A1954807V" localSheetId="16">'[1]Mineral Exploration Drilling'!#REF!,'[1]Mineral Exploration Drilling'!#REF!</definedName>
    <definedName name="A1954807V" localSheetId="20">'[1]Mineral Exploration Drilling'!#REF!,'[1]Mineral Exploration Drilling'!#REF!</definedName>
    <definedName name="A1954807V" localSheetId="25">'[1]Mineral Exploration Drilling'!#REF!,'[1]Mineral Exploration Drilling'!#REF!</definedName>
    <definedName name="A1954807V" localSheetId="30">'[1]Mineral Exploration Drilling'!#REF!,'[1]Mineral Exploration Drilling'!#REF!</definedName>
    <definedName name="A1954807V" localSheetId="33">'[1]Mineral Exploration Drilling'!#REF!,'[1]Mineral Exploration Drilling'!#REF!</definedName>
    <definedName name="A1954807V" localSheetId="38">'[1]Mineral Exploration Drilling'!#REF!,'[1]Mineral Exploration Drilling'!#REF!</definedName>
    <definedName name="A1954807V" localSheetId="44">'[1]Mineral Exploration Drilling'!#REF!,'[1]Mineral Exploration Drilling'!#REF!</definedName>
    <definedName name="A1954807V">'[1]Mineral Exploration Drilling'!#REF!,'[1]Mineral Exploration Drilling'!#REF!</definedName>
    <definedName name="A1954807V_Data" localSheetId="16">'[1]Mineral Exploration Drilling'!#REF!</definedName>
    <definedName name="A1954807V_Data" localSheetId="20">'[1]Mineral Exploration Drilling'!#REF!</definedName>
    <definedName name="A1954807V_Data" localSheetId="25">'[1]Mineral Exploration Drilling'!#REF!</definedName>
    <definedName name="A1954807V_Data" localSheetId="30">'[1]Mineral Exploration Drilling'!#REF!</definedName>
    <definedName name="A1954807V_Data" localSheetId="33">'[1]Mineral Exploration Drilling'!#REF!</definedName>
    <definedName name="A1954807V_Data" localSheetId="38">'[1]Mineral Exploration Drilling'!#REF!</definedName>
    <definedName name="A1954807V_Data" localSheetId="44">'[1]Mineral Exploration Drilling'!#REF!</definedName>
    <definedName name="A1954807V_Data">'[1]Mineral Exploration Drilling'!#REF!</definedName>
    <definedName name="A1954807V_Latest" localSheetId="16">'[1]Mineral Exploration Drilling'!#REF!</definedName>
    <definedName name="A1954807V_Latest" localSheetId="20">'[1]Mineral Exploration Drilling'!#REF!</definedName>
    <definedName name="A1954807V_Latest" localSheetId="25">'[1]Mineral Exploration Drilling'!#REF!</definedName>
    <definedName name="A1954807V_Latest" localSheetId="30">'[1]Mineral Exploration Drilling'!#REF!</definedName>
    <definedName name="A1954807V_Latest" localSheetId="33">'[1]Mineral Exploration Drilling'!#REF!</definedName>
    <definedName name="A1954807V_Latest" localSheetId="38">'[1]Mineral Exploration Drilling'!#REF!</definedName>
    <definedName name="A1954807V_Latest" localSheetId="44">'[1]Mineral Exploration Drilling'!#REF!</definedName>
    <definedName name="A1954807V_Latest">'[1]Mineral Exploration Drilling'!#REF!</definedName>
    <definedName name="A1954815V" localSheetId="16">'[1]Mineral Exploration Drilling'!#REF!,'[1]Mineral Exploration Drilling'!#REF!</definedName>
    <definedName name="A1954815V" localSheetId="20">'[1]Mineral Exploration Drilling'!#REF!,'[1]Mineral Exploration Drilling'!#REF!</definedName>
    <definedName name="A1954815V" localSheetId="25">'[1]Mineral Exploration Drilling'!#REF!,'[1]Mineral Exploration Drilling'!#REF!</definedName>
    <definedName name="A1954815V" localSheetId="30">'[1]Mineral Exploration Drilling'!#REF!,'[1]Mineral Exploration Drilling'!#REF!</definedName>
    <definedName name="A1954815V" localSheetId="33">'[1]Mineral Exploration Drilling'!#REF!,'[1]Mineral Exploration Drilling'!#REF!</definedName>
    <definedName name="A1954815V" localSheetId="38">'[1]Mineral Exploration Drilling'!#REF!,'[1]Mineral Exploration Drilling'!#REF!</definedName>
    <definedName name="A1954815V" localSheetId="44">'[1]Mineral Exploration Drilling'!#REF!,'[1]Mineral Exploration Drilling'!#REF!</definedName>
    <definedName name="A1954815V">'[1]Mineral Exploration Drilling'!#REF!,'[1]Mineral Exploration Drilling'!#REF!</definedName>
    <definedName name="A1954815V_Data" localSheetId="16">'[1]Mineral Exploration Drilling'!#REF!</definedName>
    <definedName name="A1954815V_Data" localSheetId="20">'[1]Mineral Exploration Drilling'!#REF!</definedName>
    <definedName name="A1954815V_Data" localSheetId="25">'[1]Mineral Exploration Drilling'!#REF!</definedName>
    <definedName name="A1954815V_Data" localSheetId="30">'[1]Mineral Exploration Drilling'!#REF!</definedName>
    <definedName name="A1954815V_Data" localSheetId="33">'[1]Mineral Exploration Drilling'!#REF!</definedName>
    <definedName name="A1954815V_Data" localSheetId="38">'[1]Mineral Exploration Drilling'!#REF!</definedName>
    <definedName name="A1954815V_Data" localSheetId="44">'[1]Mineral Exploration Drilling'!#REF!</definedName>
    <definedName name="A1954815V_Data">'[1]Mineral Exploration Drilling'!#REF!</definedName>
    <definedName name="A1954815V_Latest" localSheetId="16">'[1]Mineral Exploration Drilling'!#REF!</definedName>
    <definedName name="A1954815V_Latest" localSheetId="20">'[1]Mineral Exploration Drilling'!#REF!</definedName>
    <definedName name="A1954815V_Latest" localSheetId="25">'[1]Mineral Exploration Drilling'!#REF!</definedName>
    <definedName name="A1954815V_Latest" localSheetId="30">'[1]Mineral Exploration Drilling'!#REF!</definedName>
    <definedName name="A1954815V_Latest" localSheetId="33">'[1]Mineral Exploration Drilling'!#REF!</definedName>
    <definedName name="A1954815V_Latest" localSheetId="38">'[1]Mineral Exploration Drilling'!#REF!</definedName>
    <definedName name="A1954815V_Latest" localSheetId="44">'[1]Mineral Exploration Drilling'!#REF!</definedName>
    <definedName name="A1954815V_Latest">'[1]Mineral Exploration Drilling'!#REF!</definedName>
    <definedName name="A2266841J" localSheetId="16">'[1]Mineral Exploration Drilling'!#REF!,'[1]Mineral Exploration Drilling'!#REF!</definedName>
    <definedName name="A2266841J" localSheetId="20">'[1]Mineral Exploration Drilling'!#REF!,'[1]Mineral Exploration Drilling'!#REF!</definedName>
    <definedName name="A2266841J" localSheetId="25">'[1]Mineral Exploration Drilling'!#REF!,'[1]Mineral Exploration Drilling'!#REF!</definedName>
    <definedName name="A2266841J" localSheetId="30">'[1]Mineral Exploration Drilling'!#REF!,'[1]Mineral Exploration Drilling'!#REF!</definedName>
    <definedName name="A2266841J" localSheetId="33">'[1]Mineral Exploration Drilling'!#REF!,'[1]Mineral Exploration Drilling'!#REF!</definedName>
    <definedName name="A2266841J" localSheetId="38">'[1]Mineral Exploration Drilling'!#REF!,'[1]Mineral Exploration Drilling'!#REF!</definedName>
    <definedName name="A2266841J" localSheetId="44">'[1]Mineral Exploration Drilling'!#REF!,'[1]Mineral Exploration Drilling'!#REF!</definedName>
    <definedName name="A2266841J">'[1]Mineral Exploration Drilling'!#REF!,'[1]Mineral Exploration Drilling'!#REF!</definedName>
    <definedName name="A2266841J_Data" localSheetId="16">'[1]Mineral Exploration Drilling'!#REF!</definedName>
    <definedName name="A2266841J_Data" localSheetId="20">'[1]Mineral Exploration Drilling'!#REF!</definedName>
    <definedName name="A2266841J_Data" localSheetId="25">'[1]Mineral Exploration Drilling'!#REF!</definedName>
    <definedName name="A2266841J_Data" localSheetId="30">'[1]Mineral Exploration Drilling'!#REF!</definedName>
    <definedName name="A2266841J_Data" localSheetId="33">'[1]Mineral Exploration Drilling'!#REF!</definedName>
    <definedName name="A2266841J_Data" localSheetId="38">'[1]Mineral Exploration Drilling'!#REF!</definedName>
    <definedName name="A2266841J_Data" localSheetId="44">'[1]Mineral Exploration Drilling'!#REF!</definedName>
    <definedName name="A2266841J_Data">'[1]Mineral Exploration Drilling'!#REF!</definedName>
    <definedName name="A2266841J_Latest" localSheetId="16">'[1]Mineral Exploration Drilling'!#REF!</definedName>
    <definedName name="A2266841J_Latest" localSheetId="20">'[1]Mineral Exploration Drilling'!#REF!</definedName>
    <definedName name="A2266841J_Latest" localSheetId="25">'[1]Mineral Exploration Drilling'!#REF!</definedName>
    <definedName name="A2266841J_Latest" localSheetId="30">'[1]Mineral Exploration Drilling'!#REF!</definedName>
    <definedName name="A2266841J_Latest" localSheetId="33">'[1]Mineral Exploration Drilling'!#REF!</definedName>
    <definedName name="A2266841J_Latest" localSheetId="38">'[1]Mineral Exploration Drilling'!#REF!</definedName>
    <definedName name="A2266841J_Latest" localSheetId="44">'[1]Mineral Exploration Drilling'!#REF!</definedName>
    <definedName name="A2266841J_Latest">'[1]Mineral Exploration Drilling'!#REF!</definedName>
    <definedName name="A2266842K" localSheetId="16">'[1]Mineral Exploration Drilling'!#REF!,'[1]Mineral Exploration Drilling'!#REF!</definedName>
    <definedName name="A2266842K" localSheetId="20">'[1]Mineral Exploration Drilling'!#REF!,'[1]Mineral Exploration Drilling'!#REF!</definedName>
    <definedName name="A2266842K" localSheetId="25">'[1]Mineral Exploration Drilling'!#REF!,'[1]Mineral Exploration Drilling'!#REF!</definedName>
    <definedName name="A2266842K" localSheetId="30">'[1]Mineral Exploration Drilling'!#REF!,'[1]Mineral Exploration Drilling'!#REF!</definedName>
    <definedName name="A2266842K" localSheetId="33">'[1]Mineral Exploration Drilling'!#REF!,'[1]Mineral Exploration Drilling'!#REF!</definedName>
    <definedName name="A2266842K" localSheetId="38">'[1]Mineral Exploration Drilling'!#REF!,'[1]Mineral Exploration Drilling'!#REF!</definedName>
    <definedName name="A2266842K" localSheetId="44">'[1]Mineral Exploration Drilling'!#REF!,'[1]Mineral Exploration Drilling'!#REF!</definedName>
    <definedName name="A2266842K">'[1]Mineral Exploration Drilling'!#REF!,'[1]Mineral Exploration Drilling'!#REF!</definedName>
    <definedName name="A2266842K_Data" localSheetId="16">'[1]Mineral Exploration Drilling'!#REF!</definedName>
    <definedName name="A2266842K_Data" localSheetId="20">'[1]Mineral Exploration Drilling'!#REF!</definedName>
    <definedName name="A2266842K_Data" localSheetId="25">'[1]Mineral Exploration Drilling'!#REF!</definedName>
    <definedName name="A2266842K_Data" localSheetId="30">'[1]Mineral Exploration Drilling'!#REF!</definedName>
    <definedName name="A2266842K_Data" localSheetId="33">'[1]Mineral Exploration Drilling'!#REF!</definedName>
    <definedName name="A2266842K_Data" localSheetId="38">'[1]Mineral Exploration Drilling'!#REF!</definedName>
    <definedName name="A2266842K_Data" localSheetId="44">'[1]Mineral Exploration Drilling'!#REF!</definedName>
    <definedName name="A2266842K_Data">'[1]Mineral Exploration Drilling'!#REF!</definedName>
    <definedName name="A2266842K_Latest" localSheetId="16">'[1]Mineral Exploration Drilling'!#REF!</definedName>
    <definedName name="A2266842K_Latest" localSheetId="20">'[1]Mineral Exploration Drilling'!#REF!</definedName>
    <definedName name="A2266842K_Latest" localSheetId="25">'[1]Mineral Exploration Drilling'!#REF!</definedName>
    <definedName name="A2266842K_Latest" localSheetId="30">'[1]Mineral Exploration Drilling'!#REF!</definedName>
    <definedName name="A2266842K_Latest" localSheetId="33">'[1]Mineral Exploration Drilling'!#REF!</definedName>
    <definedName name="A2266842K_Latest" localSheetId="38">'[1]Mineral Exploration Drilling'!#REF!</definedName>
    <definedName name="A2266842K_Latest" localSheetId="44">'[1]Mineral Exploration Drilling'!#REF!</definedName>
    <definedName name="A2266842K_Latest">'[1]Mineral Exploration Drilling'!#REF!</definedName>
    <definedName name="A2266843L" localSheetId="16">'[1]Mineral Exploration Drilling'!#REF!,'[1]Mineral Exploration Drilling'!#REF!</definedName>
    <definedName name="A2266843L" localSheetId="20">'[1]Mineral Exploration Drilling'!#REF!,'[1]Mineral Exploration Drilling'!#REF!</definedName>
    <definedName name="A2266843L" localSheetId="25">'[1]Mineral Exploration Drilling'!#REF!,'[1]Mineral Exploration Drilling'!#REF!</definedName>
    <definedName name="A2266843L" localSheetId="30">'[1]Mineral Exploration Drilling'!#REF!,'[1]Mineral Exploration Drilling'!#REF!</definedName>
    <definedName name="A2266843L" localSheetId="33">'[1]Mineral Exploration Drilling'!#REF!,'[1]Mineral Exploration Drilling'!#REF!</definedName>
    <definedName name="A2266843L" localSheetId="38">'[1]Mineral Exploration Drilling'!#REF!,'[1]Mineral Exploration Drilling'!#REF!</definedName>
    <definedName name="A2266843L" localSheetId="44">'[1]Mineral Exploration Drilling'!#REF!,'[1]Mineral Exploration Drilling'!#REF!</definedName>
    <definedName name="A2266843L">'[1]Mineral Exploration Drilling'!#REF!,'[1]Mineral Exploration Drilling'!#REF!</definedName>
    <definedName name="A2266843L_Data" localSheetId="16">'[1]Mineral Exploration Drilling'!#REF!</definedName>
    <definedName name="A2266843L_Data" localSheetId="20">'[1]Mineral Exploration Drilling'!#REF!</definedName>
    <definedName name="A2266843L_Data" localSheetId="25">'[1]Mineral Exploration Drilling'!#REF!</definedName>
    <definedName name="A2266843L_Data" localSheetId="30">'[1]Mineral Exploration Drilling'!#REF!</definedName>
    <definedName name="A2266843L_Data" localSheetId="33">'[1]Mineral Exploration Drilling'!#REF!</definedName>
    <definedName name="A2266843L_Data" localSheetId="38">'[1]Mineral Exploration Drilling'!#REF!</definedName>
    <definedName name="A2266843L_Data" localSheetId="44">'[1]Mineral Exploration Drilling'!#REF!</definedName>
    <definedName name="A2266843L_Data">'[1]Mineral Exploration Drilling'!#REF!</definedName>
    <definedName name="A2266843L_Latest" localSheetId="16">'[1]Mineral Exploration Drilling'!#REF!</definedName>
    <definedName name="A2266843L_Latest" localSheetId="20">'[1]Mineral Exploration Drilling'!#REF!</definedName>
    <definedName name="A2266843L_Latest" localSheetId="25">'[1]Mineral Exploration Drilling'!#REF!</definedName>
    <definedName name="A2266843L_Latest" localSheetId="30">'[1]Mineral Exploration Drilling'!#REF!</definedName>
    <definedName name="A2266843L_Latest" localSheetId="33">'[1]Mineral Exploration Drilling'!#REF!</definedName>
    <definedName name="A2266843L_Latest" localSheetId="38">'[1]Mineral Exploration Drilling'!#REF!</definedName>
    <definedName name="A2266843L_Latest" localSheetId="44">'[1]Mineral Exploration Drilling'!#REF!</definedName>
    <definedName name="A2266843L_Latest">'[1]Mineral Exploration Drilling'!#REF!</definedName>
    <definedName name="A2266844R" localSheetId="16">'[1]Mineral Exploration Drilling'!#REF!,'[1]Mineral Exploration Drilling'!#REF!</definedName>
    <definedName name="A2266844R" localSheetId="20">'[1]Mineral Exploration Drilling'!#REF!,'[1]Mineral Exploration Drilling'!#REF!</definedName>
    <definedName name="A2266844R" localSheetId="25">'[1]Mineral Exploration Drilling'!#REF!,'[1]Mineral Exploration Drilling'!#REF!</definedName>
    <definedName name="A2266844R" localSheetId="30">'[1]Mineral Exploration Drilling'!#REF!,'[1]Mineral Exploration Drilling'!#REF!</definedName>
    <definedName name="A2266844R" localSheetId="33">'[1]Mineral Exploration Drilling'!#REF!,'[1]Mineral Exploration Drilling'!#REF!</definedName>
    <definedName name="A2266844R" localSheetId="38">'[1]Mineral Exploration Drilling'!#REF!,'[1]Mineral Exploration Drilling'!#REF!</definedName>
    <definedName name="A2266844R" localSheetId="44">'[1]Mineral Exploration Drilling'!#REF!,'[1]Mineral Exploration Drilling'!#REF!</definedName>
    <definedName name="A2266844R">'[1]Mineral Exploration Drilling'!#REF!,'[1]Mineral Exploration Drilling'!#REF!</definedName>
    <definedName name="A2266844R_Data" localSheetId="16">'[1]Mineral Exploration Drilling'!#REF!</definedName>
    <definedName name="A2266844R_Data" localSheetId="20">'[1]Mineral Exploration Drilling'!#REF!</definedName>
    <definedName name="A2266844R_Data" localSheetId="25">'[1]Mineral Exploration Drilling'!#REF!</definedName>
    <definedName name="A2266844R_Data" localSheetId="30">'[1]Mineral Exploration Drilling'!#REF!</definedName>
    <definedName name="A2266844R_Data" localSheetId="33">'[1]Mineral Exploration Drilling'!#REF!</definedName>
    <definedName name="A2266844R_Data" localSheetId="38">'[1]Mineral Exploration Drilling'!#REF!</definedName>
    <definedName name="A2266844R_Data" localSheetId="44">'[1]Mineral Exploration Drilling'!#REF!</definedName>
    <definedName name="A2266844R_Data">'[1]Mineral Exploration Drilling'!#REF!</definedName>
    <definedName name="A2266844R_Latest" localSheetId="16">'[1]Mineral Exploration Drilling'!#REF!</definedName>
    <definedName name="A2266844R_Latest" localSheetId="20">'[1]Mineral Exploration Drilling'!#REF!</definedName>
    <definedName name="A2266844R_Latest" localSheetId="25">'[1]Mineral Exploration Drilling'!#REF!</definedName>
    <definedName name="A2266844R_Latest" localSheetId="30">'[1]Mineral Exploration Drilling'!#REF!</definedName>
    <definedName name="A2266844R_Latest" localSheetId="33">'[1]Mineral Exploration Drilling'!#REF!</definedName>
    <definedName name="A2266844R_Latest" localSheetId="38">'[1]Mineral Exploration Drilling'!#REF!</definedName>
    <definedName name="A2266844R_Latest" localSheetId="44">'[1]Mineral Exploration Drilling'!#REF!</definedName>
    <definedName name="A2266844R_Latest">'[1]Mineral Exploration Drilling'!#REF!</definedName>
    <definedName name="A2266845T" localSheetId="16">'[1]Mineral Exploration Drilling'!#REF!,'[1]Mineral Exploration Drilling'!#REF!</definedName>
    <definedName name="A2266845T" localSheetId="20">'[1]Mineral Exploration Drilling'!#REF!,'[1]Mineral Exploration Drilling'!#REF!</definedName>
    <definedName name="A2266845T" localSheetId="25">'[1]Mineral Exploration Drilling'!#REF!,'[1]Mineral Exploration Drilling'!#REF!</definedName>
    <definedName name="A2266845T" localSheetId="30">'[1]Mineral Exploration Drilling'!#REF!,'[1]Mineral Exploration Drilling'!#REF!</definedName>
    <definedName name="A2266845T" localSheetId="33">'[1]Mineral Exploration Drilling'!#REF!,'[1]Mineral Exploration Drilling'!#REF!</definedName>
    <definedName name="A2266845T" localSheetId="38">'[1]Mineral Exploration Drilling'!#REF!,'[1]Mineral Exploration Drilling'!#REF!</definedName>
    <definedName name="A2266845T" localSheetId="44">'[1]Mineral Exploration Drilling'!#REF!,'[1]Mineral Exploration Drilling'!#REF!</definedName>
    <definedName name="A2266845T">'[1]Mineral Exploration Drilling'!#REF!,'[1]Mineral Exploration Drilling'!#REF!</definedName>
    <definedName name="A2266845T_Data" localSheetId="16">'[1]Mineral Exploration Drilling'!#REF!</definedName>
    <definedName name="A2266845T_Data" localSheetId="20">'[1]Mineral Exploration Drilling'!#REF!</definedName>
    <definedName name="A2266845T_Data" localSheetId="25">'[1]Mineral Exploration Drilling'!#REF!</definedName>
    <definedName name="A2266845T_Data" localSheetId="30">'[1]Mineral Exploration Drilling'!#REF!</definedName>
    <definedName name="A2266845T_Data" localSheetId="33">'[1]Mineral Exploration Drilling'!#REF!</definedName>
    <definedName name="A2266845T_Data" localSheetId="38">'[1]Mineral Exploration Drilling'!#REF!</definedName>
    <definedName name="A2266845T_Data" localSheetId="44">'[1]Mineral Exploration Drilling'!#REF!</definedName>
    <definedName name="A2266845T_Data">'[1]Mineral Exploration Drilling'!#REF!</definedName>
    <definedName name="A2266845T_Latest" localSheetId="16">'[1]Mineral Exploration Drilling'!#REF!</definedName>
    <definedName name="A2266845T_Latest" localSheetId="20">'[1]Mineral Exploration Drilling'!#REF!</definedName>
    <definedName name="A2266845T_Latest" localSheetId="25">'[1]Mineral Exploration Drilling'!#REF!</definedName>
    <definedName name="A2266845T_Latest" localSheetId="30">'[1]Mineral Exploration Drilling'!#REF!</definedName>
    <definedName name="A2266845T_Latest" localSheetId="33">'[1]Mineral Exploration Drilling'!#REF!</definedName>
    <definedName name="A2266845T_Latest" localSheetId="38">'[1]Mineral Exploration Drilling'!#REF!</definedName>
    <definedName name="A2266845T_Latest" localSheetId="44">'[1]Mineral Exploration Drilling'!#REF!</definedName>
    <definedName name="A2266845T_Latest">'[1]Mineral Exploration Drilling'!#REF!</definedName>
    <definedName name="A2266846V" localSheetId="16">'[1]Mineral Exploration Drilling'!#REF!,'[1]Mineral Exploration Drilling'!#REF!</definedName>
    <definedName name="A2266846V" localSheetId="20">'[1]Mineral Exploration Drilling'!#REF!,'[1]Mineral Exploration Drilling'!#REF!</definedName>
    <definedName name="A2266846V" localSheetId="25">'[1]Mineral Exploration Drilling'!#REF!,'[1]Mineral Exploration Drilling'!#REF!</definedName>
    <definedName name="A2266846V" localSheetId="30">'[1]Mineral Exploration Drilling'!#REF!,'[1]Mineral Exploration Drilling'!#REF!</definedName>
    <definedName name="A2266846V" localSheetId="33">'[1]Mineral Exploration Drilling'!#REF!,'[1]Mineral Exploration Drilling'!#REF!</definedName>
    <definedName name="A2266846V" localSheetId="38">'[1]Mineral Exploration Drilling'!#REF!,'[1]Mineral Exploration Drilling'!#REF!</definedName>
    <definedName name="A2266846V" localSheetId="44">'[1]Mineral Exploration Drilling'!#REF!,'[1]Mineral Exploration Drilling'!#REF!</definedName>
    <definedName name="A2266846V">'[1]Mineral Exploration Drilling'!#REF!,'[1]Mineral Exploration Drilling'!#REF!</definedName>
    <definedName name="A2266846V_Data" localSheetId="16">'[1]Mineral Exploration Drilling'!#REF!</definedName>
    <definedName name="A2266846V_Data" localSheetId="20">'[1]Mineral Exploration Drilling'!#REF!</definedName>
    <definedName name="A2266846V_Data" localSheetId="25">'[1]Mineral Exploration Drilling'!#REF!</definedName>
    <definedName name="A2266846V_Data" localSheetId="30">'[1]Mineral Exploration Drilling'!#REF!</definedName>
    <definedName name="A2266846V_Data" localSheetId="33">'[1]Mineral Exploration Drilling'!#REF!</definedName>
    <definedName name="A2266846V_Data" localSheetId="38">'[1]Mineral Exploration Drilling'!#REF!</definedName>
    <definedName name="A2266846V_Data" localSheetId="44">'[1]Mineral Exploration Drilling'!#REF!</definedName>
    <definedName name="A2266846V_Data">'[1]Mineral Exploration Drilling'!#REF!</definedName>
    <definedName name="A2266846V_Latest" localSheetId="16">'[1]Mineral Exploration Drilling'!#REF!</definedName>
    <definedName name="A2266846V_Latest" localSheetId="20">'[1]Mineral Exploration Drilling'!#REF!</definedName>
    <definedName name="A2266846V_Latest" localSheetId="25">'[1]Mineral Exploration Drilling'!#REF!</definedName>
    <definedName name="A2266846V_Latest" localSheetId="30">'[1]Mineral Exploration Drilling'!#REF!</definedName>
    <definedName name="A2266846V_Latest" localSheetId="33">'[1]Mineral Exploration Drilling'!#REF!</definedName>
    <definedName name="A2266846V_Latest" localSheetId="38">'[1]Mineral Exploration Drilling'!#REF!</definedName>
    <definedName name="A2266846V_Latest" localSheetId="44">'[1]Mineral Exploration Drilling'!#REF!</definedName>
    <definedName name="A2266846V_Latest">'[1]Mineral Exploration Drilling'!#REF!</definedName>
    <definedName name="Date_Range" localSheetId="16">'[1]Mineral Exploration Drilling'!#REF!,'[1]Mineral Exploration Drilling'!#REF!</definedName>
    <definedName name="Date_Range" localSheetId="20">'[1]Mineral Exploration Drilling'!#REF!,'[1]Mineral Exploration Drilling'!#REF!</definedName>
    <definedName name="Date_Range" localSheetId="25">'[1]Mineral Exploration Drilling'!#REF!,'[1]Mineral Exploration Drilling'!#REF!</definedName>
    <definedName name="Date_Range" localSheetId="30">'[1]Mineral Exploration Drilling'!#REF!,'[1]Mineral Exploration Drilling'!#REF!</definedName>
    <definedName name="Date_Range" localSheetId="33">'[1]Mineral Exploration Drilling'!#REF!,'[1]Mineral Exploration Drilling'!#REF!</definedName>
    <definedName name="Date_Range" localSheetId="38">'[1]Mineral Exploration Drilling'!#REF!,'[1]Mineral Exploration Drilling'!#REF!</definedName>
    <definedName name="Date_Range" localSheetId="44">'[1]Mineral Exploration Drilling'!#REF!,'[1]Mineral Exploration Drilling'!#REF!</definedName>
    <definedName name="Date_Range">'[1]Mineral Exploration Drilling'!#REF!,'[1]Mineral Exploration Drilling'!#REF!</definedName>
    <definedName name="Date_Range_Data" localSheetId="16">'[1]Mineral Exploration Drilling'!#REF!</definedName>
    <definedName name="Date_Range_Data" localSheetId="20">'[1]Mineral Exploration Drilling'!#REF!</definedName>
    <definedName name="Date_Range_Data" localSheetId="25">'[1]Mineral Exploration Drilling'!#REF!</definedName>
    <definedName name="Date_Range_Data" localSheetId="30">'[1]Mineral Exploration Drilling'!#REF!</definedName>
    <definedName name="Date_Range_Data" localSheetId="33">'[1]Mineral Exploration Drilling'!#REF!</definedName>
    <definedName name="Date_Range_Data" localSheetId="38">'[1]Mineral Exploration Drilling'!#REF!</definedName>
    <definedName name="Date_Range_Data" localSheetId="44">'[1]Mineral Exploration Drilling'!#REF!</definedName>
    <definedName name="Date_Range_Data">'[1]Mineral Exploration Drilling'!#REF!</definedName>
    <definedName name="Gthan" localSheetId="16">#REF!</definedName>
    <definedName name="Gthan" localSheetId="20">#REF!</definedName>
    <definedName name="Gthan" localSheetId="25">#REF!</definedName>
    <definedName name="Gthan" localSheetId="30">#REF!</definedName>
    <definedName name="Gthan" localSheetId="33">#REF!</definedName>
    <definedName name="Gthan" localSheetId="38">#REF!</definedName>
    <definedName name="Gthan" localSheetId="44">#REF!</definedName>
    <definedName name="Gthan">#REF!</definedName>
    <definedName name="GthanEQ2">[2]Data!$A$3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GthanEQ2" localSheetId="16">[2]Data!#REF!</definedName>
    <definedName name="LGthanEQ2" localSheetId="20">[2]Data!#REF!</definedName>
    <definedName name="LGthanEQ2" localSheetId="25">[2]Data!#REF!</definedName>
    <definedName name="LGthanEQ2" localSheetId="30">[2]Data!#REF!</definedName>
    <definedName name="LGthanEQ2" localSheetId="33">[2]Data!#REF!</definedName>
    <definedName name="LGthanEQ2" localSheetId="38">[2]Data!#REF!</definedName>
    <definedName name="LGthanEQ2" localSheetId="44">[2]Data!#REF!</definedName>
    <definedName name="LGthanEQ2">[2]Data!#REF!</definedName>
    <definedName name="LthanEQ2" localSheetId="1">[2]Data!$A$4</definedName>
    <definedName name="LthanEQ2">Index!$A$134</definedName>
    <definedName name="_xlnm.Print_Area" localSheetId="5">'Major Commodity Summary'!$G$18:$Q$39</definedName>
    <definedName name="_xlnm.Print_Area" localSheetId="4">'Q&amp;V 2 Yr Summary'!$A$1:$K$87</definedName>
    <definedName name="_xlnm.Print_Titles" localSheetId="6">'CY Q&amp;V 1886-2003'!$A:$B,'CY Q&amp;V 1886-2003'!$1:$8</definedName>
    <definedName name="_xlnm.Print_Titles" localSheetId="4">'Q&amp;V 2 Yr Summary'!$5:$10</definedName>
    <definedName name="Quote" localSheetId="16">#REF!</definedName>
    <definedName name="Quote" localSheetId="20">#REF!</definedName>
    <definedName name="Quote" localSheetId="25">#REF!</definedName>
    <definedName name="Quote" localSheetId="30">#REF!</definedName>
    <definedName name="Quote" localSheetId="33">#REF!</definedName>
    <definedName name="Quote" localSheetId="38">#REF!</definedName>
    <definedName name="Quote" localSheetId="44">#REF!</definedName>
    <definedName name="Quote">#REF!</definedName>
  </definedNames>
  <calcPr calcId="162913"/>
</workbook>
</file>

<file path=xl/calcChain.xml><?xml version="1.0" encoding="utf-8"?>
<calcChain xmlns="http://schemas.openxmlformats.org/spreadsheetml/2006/main">
  <c r="AG30" i="23" l="1"/>
  <c r="Q20" i="54"/>
  <c r="V20" i="2"/>
  <c r="G93" i="2"/>
  <c r="F95" i="2"/>
  <c r="AJ63" i="62"/>
  <c r="AI14" i="62"/>
  <c r="AJ14" i="51"/>
  <c r="AI14" i="51"/>
  <c r="AI32" i="51"/>
  <c r="C38" i="42" l="1"/>
  <c r="D38" i="42" s="1"/>
  <c r="E38" i="42" l="1"/>
  <c r="F38" i="42" s="1"/>
  <c r="G38" i="42"/>
  <c r="J38" i="42"/>
  <c r="J56" i="52"/>
  <c r="H38" i="42" l="1"/>
  <c r="K51" i="44"/>
  <c r="A25" i="44"/>
  <c r="A26" i="44"/>
  <c r="A27"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63" i="44"/>
  <c r="A64" i="44"/>
  <c r="A65" i="44"/>
  <c r="A24" i="44"/>
  <c r="A10" i="44"/>
  <c r="A11" i="44"/>
  <c r="A12" i="44"/>
  <c r="A13" i="44"/>
  <c r="A14" i="44"/>
  <c r="A15" i="44"/>
  <c r="A16" i="44"/>
  <c r="A17" i="44"/>
  <c r="A18" i="44"/>
  <c r="A19" i="44"/>
  <c r="A20" i="44"/>
  <c r="A21" i="44"/>
  <c r="A9" i="44"/>
  <c r="K38" i="42" l="1"/>
  <c r="C54" i="40"/>
  <c r="C55" i="40"/>
  <c r="C56" i="40"/>
  <c r="C57" i="40"/>
  <c r="C58" i="40"/>
  <c r="C61" i="40"/>
  <c r="C60" i="40"/>
  <c r="AB17" i="51" l="1"/>
  <c r="Z53" i="62" l="1"/>
  <c r="AB53" i="62"/>
  <c r="AD53" i="62"/>
  <c r="AF53" i="62"/>
  <c r="AH53" i="62"/>
  <c r="AI52" i="62"/>
  <c r="AJ52" i="62"/>
  <c r="Z53" i="51"/>
  <c r="AI52" i="51" l="1"/>
  <c r="AJ52" i="51"/>
  <c r="G7" i="80"/>
  <c r="G10" i="80" s="1"/>
  <c r="B84" i="60" l="1"/>
  <c r="B61" i="40" l="1"/>
  <c r="E89" i="12" l="1"/>
  <c r="B59" i="16"/>
  <c r="B60" i="16"/>
  <c r="B61" i="16"/>
  <c r="D66" i="79" l="1"/>
  <c r="E66" i="79"/>
  <c r="D67" i="79"/>
  <c r="E67" i="79"/>
  <c r="E54" i="71"/>
  <c r="B136" i="21" l="1"/>
  <c r="B66" i="5" l="1"/>
  <c r="C66" i="5" s="1"/>
  <c r="B69" i="27"/>
  <c r="B76" i="32"/>
  <c r="B47" i="56"/>
  <c r="D47" i="56"/>
  <c r="F47" i="56"/>
  <c r="F94" i="2" l="1"/>
  <c r="G94" i="2"/>
  <c r="G95" i="2"/>
  <c r="F93" i="2"/>
  <c r="AI84" i="51" l="1"/>
  <c r="AI85" i="51"/>
  <c r="AI86" i="51"/>
  <c r="J21" i="49" l="1"/>
  <c r="J80" i="49"/>
  <c r="J82" i="49" s="1"/>
  <c r="J79" i="49"/>
  <c r="J78" i="49"/>
  <c r="J77" i="49"/>
  <c r="I57" i="18" l="1"/>
  <c r="H57" i="18"/>
  <c r="H56" i="18" a="1"/>
  <c r="H56" i="18" s="1"/>
  <c r="I42" i="13"/>
  <c r="H42" i="13"/>
  <c r="M44" i="79"/>
  <c r="G16" i="79"/>
  <c r="P7" i="79"/>
  <c r="P25" i="79"/>
  <c r="BJ221" i="48" l="1"/>
  <c r="BJ219" i="48"/>
  <c r="BJ216" i="48"/>
  <c r="BJ215" i="48"/>
  <c r="BJ211" i="48"/>
  <c r="BJ210" i="48"/>
  <c r="BJ209" i="48"/>
  <c r="BJ208" i="48"/>
  <c r="BJ205" i="48"/>
  <c r="BJ203" i="48"/>
  <c r="BJ201" i="48"/>
  <c r="BJ199" i="48"/>
  <c r="BJ196" i="48"/>
  <c r="BJ195" i="48"/>
  <c r="BJ194" i="48"/>
  <c r="BJ191" i="48"/>
  <c r="BJ189" i="48"/>
  <c r="BJ186" i="48"/>
  <c r="BJ182" i="48"/>
  <c r="BJ179" i="48"/>
  <c r="BJ178" i="48"/>
  <c r="BJ177" i="48"/>
  <c r="BJ176" i="48"/>
  <c r="BJ175" i="48"/>
  <c r="BJ171" i="48"/>
  <c r="BJ169" i="48"/>
  <c r="BJ166" i="48"/>
  <c r="BJ165" i="48"/>
  <c r="BJ164" i="48"/>
  <c r="BJ163" i="48"/>
  <c r="BJ162" i="48"/>
  <c r="BJ161" i="48"/>
  <c r="BJ159" i="48"/>
  <c r="BJ158" i="48"/>
  <c r="BJ157" i="48"/>
  <c r="BJ154" i="48"/>
  <c r="BJ150" i="48"/>
  <c r="BJ147" i="48"/>
  <c r="BJ146" i="48"/>
  <c r="BJ142" i="48"/>
  <c r="BJ141" i="48"/>
  <c r="BJ135" i="48"/>
  <c r="BJ134" i="48"/>
  <c r="BJ130" i="48"/>
  <c r="BJ129" i="48"/>
  <c r="BJ128" i="48"/>
  <c r="BJ127" i="48"/>
  <c r="BJ126" i="48"/>
  <c r="BJ125" i="48"/>
  <c r="BJ124" i="48"/>
  <c r="BJ123" i="48"/>
  <c r="BJ122" i="48"/>
  <c r="BJ121" i="48"/>
  <c r="BJ119" i="48"/>
  <c r="BJ116" i="48"/>
  <c r="BJ114" i="48"/>
  <c r="BJ112" i="48"/>
  <c r="BJ110" i="48"/>
  <c r="BJ107" i="48"/>
  <c r="BJ106" i="48"/>
  <c r="BJ105" i="48"/>
  <c r="BJ104" i="48"/>
  <c r="BJ103" i="48"/>
  <c r="BJ102" i="48"/>
  <c r="BJ101" i="48"/>
  <c r="BJ100" i="48"/>
  <c r="BJ99" i="48"/>
  <c r="BJ98" i="48"/>
  <c r="BJ97" i="48"/>
  <c r="BJ96" i="48"/>
  <c r="BJ95" i="48"/>
  <c r="BJ94" i="48"/>
  <c r="BJ93" i="48"/>
  <c r="BJ92" i="48"/>
  <c r="BJ91" i="48"/>
  <c r="BJ90" i="48"/>
  <c r="BJ89" i="48"/>
  <c r="BJ88" i="48"/>
  <c r="BJ87" i="48"/>
  <c r="BJ83" i="48"/>
  <c r="BJ82" i="48"/>
  <c r="BJ80" i="48"/>
  <c r="BJ79" i="48"/>
  <c r="BJ78" i="48"/>
  <c r="BJ77" i="48"/>
  <c r="BJ76" i="48"/>
  <c r="BJ75" i="48"/>
  <c r="BJ74" i="48"/>
  <c r="BJ71" i="48"/>
  <c r="BJ69" i="48"/>
  <c r="BJ65" i="48"/>
  <c r="BJ64" i="48"/>
  <c r="BJ63" i="48"/>
  <c r="BJ62" i="48"/>
  <c r="BJ59" i="48"/>
  <c r="BJ55" i="48"/>
  <c r="BJ54" i="48"/>
  <c r="BJ53" i="48"/>
  <c r="BJ51" i="48"/>
  <c r="BJ50" i="48"/>
  <c r="BJ49" i="48"/>
  <c r="BJ48" i="48"/>
  <c r="BJ47" i="48"/>
  <c r="BJ44" i="48"/>
  <c r="BJ42" i="48"/>
  <c r="BJ39" i="48"/>
  <c r="BJ38" i="48"/>
  <c r="BJ37" i="48"/>
  <c r="BJ36" i="48"/>
  <c r="BJ35" i="48"/>
  <c r="BJ33" i="48"/>
  <c r="BJ29" i="48"/>
  <c r="BJ26" i="48"/>
  <c r="BJ25" i="48"/>
  <c r="BJ24" i="48"/>
  <c r="BJ23" i="48"/>
  <c r="BJ20" i="48"/>
  <c r="BJ18" i="48"/>
  <c r="BJ16" i="48"/>
  <c r="BJ13" i="48"/>
  <c r="BJ12" i="48"/>
  <c r="BJ11" i="48"/>
  <c r="AH9" i="51" l="1"/>
  <c r="AG9" i="51"/>
  <c r="AF9" i="51"/>
  <c r="AE9" i="51"/>
  <c r="AJ78" i="51" l="1"/>
  <c r="AI78" i="51"/>
  <c r="AJ60" i="51"/>
  <c r="AI60" i="51"/>
  <c r="AJ58" i="51"/>
  <c r="AI58" i="51"/>
  <c r="AJ49" i="51"/>
  <c r="AJ50" i="51"/>
  <c r="AJ51" i="51"/>
  <c r="AJ48" i="51"/>
  <c r="AI48" i="51"/>
  <c r="AI49" i="51"/>
  <c r="AI50" i="51"/>
  <c r="AI51" i="51"/>
  <c r="AI47" i="51"/>
  <c r="AJ44" i="51"/>
  <c r="AI44" i="51"/>
  <c r="AJ40" i="51"/>
  <c r="AI40" i="51"/>
  <c r="AJ38" i="51"/>
  <c r="AI38" i="51"/>
  <c r="AJ30" i="51"/>
  <c r="AJ31" i="51"/>
  <c r="AJ32" i="51"/>
  <c r="AJ33" i="51"/>
  <c r="AJ29" i="51"/>
  <c r="AI30" i="51"/>
  <c r="AI31" i="51"/>
  <c r="AJ24" i="51"/>
  <c r="AJ88" i="62"/>
  <c r="AJ86" i="62"/>
  <c r="AJ78" i="62"/>
  <c r="AI78" i="62"/>
  <c r="AI60" i="62"/>
  <c r="AJ58" i="62"/>
  <c r="AI58" i="62"/>
  <c r="AJ49" i="62"/>
  <c r="AJ50" i="62"/>
  <c r="AJ51" i="62"/>
  <c r="AJ48" i="62"/>
  <c r="AI48" i="62"/>
  <c r="AI49" i="62"/>
  <c r="AI50" i="62"/>
  <c r="AI51" i="62"/>
  <c r="AI53" i="62"/>
  <c r="AI47" i="62"/>
  <c r="AJ44" i="62"/>
  <c r="AI44" i="62"/>
  <c r="AJ40" i="62"/>
  <c r="AI40" i="62"/>
  <c r="AJ38" i="62"/>
  <c r="AI38" i="62"/>
  <c r="AJ30" i="62"/>
  <c r="AJ31" i="62"/>
  <c r="AJ32" i="62"/>
  <c r="AJ33" i="62"/>
  <c r="AJ34" i="62"/>
  <c r="AJ29" i="62"/>
  <c r="AI33" i="62"/>
  <c r="AI30" i="62"/>
  <c r="AI31" i="62"/>
  <c r="AI32" i="62"/>
  <c r="AI29" i="62"/>
  <c r="AJ24" i="62"/>
  <c r="AI24" i="62"/>
  <c r="AJ22" i="62"/>
  <c r="AI22" i="62"/>
  <c r="D73" i="79" l="1"/>
  <c r="E73" i="79"/>
  <c r="D74" i="79"/>
  <c r="E74" i="79"/>
  <c r="D72" i="79"/>
  <c r="E72" i="79"/>
  <c r="AJ86" i="51" l="1"/>
  <c r="AW1135" i="6" l="1"/>
  <c r="AW1136" i="6"/>
  <c r="AW1137" i="6"/>
  <c r="AW1138" i="6"/>
  <c r="AW1139" i="6"/>
  <c r="AW1140" i="6"/>
  <c r="AW1141" i="6"/>
  <c r="AW1142" i="6"/>
  <c r="AW1143" i="6"/>
  <c r="AW1144" i="6"/>
  <c r="AW1145" i="6"/>
  <c r="AW1146" i="6"/>
  <c r="V6" i="50" l="1"/>
  <c r="AH34" i="51"/>
  <c r="AJ34" i="51" s="1"/>
  <c r="AH8" i="51" l="1"/>
  <c r="AG8" i="51"/>
  <c r="AH9" i="62"/>
  <c r="AG9" i="62"/>
  <c r="AH8" i="62"/>
  <c r="AG8" i="62"/>
  <c r="AW1128" i="6" l="1"/>
  <c r="AW1129" i="6"/>
  <c r="AW1130" i="6"/>
  <c r="AW1131" i="6"/>
  <c r="AW1132" i="6"/>
  <c r="AW1133" i="6"/>
  <c r="AW1134" i="6"/>
  <c r="AW1116" i="6"/>
  <c r="AW1117" i="6"/>
  <c r="AW1118" i="6"/>
  <c r="AW1119" i="6"/>
  <c r="AW1120" i="6"/>
  <c r="AW1121" i="6"/>
  <c r="AW1122" i="6"/>
  <c r="AW1123" i="6"/>
  <c r="AW1124" i="6"/>
  <c r="AW1125" i="6"/>
  <c r="AW1126" i="6"/>
  <c r="AW1127" i="6"/>
  <c r="AJ13" i="23"/>
  <c r="AH30" i="23"/>
  <c r="AH31" i="23" s="1"/>
  <c r="AW1104" i="6"/>
  <c r="AW1105" i="6"/>
  <c r="AW1106" i="6"/>
  <c r="AW1107" i="6"/>
  <c r="AW1108" i="6"/>
  <c r="AW1109" i="6"/>
  <c r="AW1110" i="6"/>
  <c r="AW1111" i="6"/>
  <c r="AW1112" i="6"/>
  <c r="AW1113" i="6"/>
  <c r="AW1114" i="6"/>
  <c r="AW1115" i="6"/>
  <c r="AW1092" i="6"/>
  <c r="AW1093" i="6"/>
  <c r="AW1094" i="6"/>
  <c r="AW1095" i="6"/>
  <c r="AW1096" i="6"/>
  <c r="AW1097" i="6"/>
  <c r="AW1098" i="6"/>
  <c r="AW1099" i="6"/>
  <c r="AW1100" i="6"/>
  <c r="AW1101" i="6"/>
  <c r="AW1102" i="6"/>
  <c r="AW1103" i="6"/>
  <c r="AW1079" i="6"/>
  <c r="AW1080" i="6"/>
  <c r="AW1081" i="6"/>
  <c r="AW1082" i="6"/>
  <c r="AW1083" i="6"/>
  <c r="AW1084" i="6"/>
  <c r="AW1085" i="6"/>
  <c r="AW1086" i="6"/>
  <c r="AW1087" i="6"/>
  <c r="AW1088" i="6"/>
  <c r="AW1089" i="6"/>
  <c r="AW1090" i="6"/>
  <c r="AW1091" i="6"/>
  <c r="AJ30" i="23" l="1"/>
  <c r="AW1067" i="6"/>
  <c r="AW1068" i="6"/>
  <c r="AW1069" i="6"/>
  <c r="AW1070" i="6"/>
  <c r="AW1071" i="6"/>
  <c r="AW1072" i="6"/>
  <c r="AW1073" i="6"/>
  <c r="AW1074" i="6"/>
  <c r="AW1075" i="6"/>
  <c r="AW1076" i="6"/>
  <c r="AW1077" i="6"/>
  <c r="AW1078" i="6"/>
  <c r="F92" i="2"/>
  <c r="G92" i="2"/>
  <c r="J14" i="49" l="1"/>
  <c r="J15" i="49"/>
  <c r="J16" i="49"/>
  <c r="AF8" i="51" l="1"/>
  <c r="AE8" i="51"/>
  <c r="AD8" i="51" l="1"/>
  <c r="C37" i="42" l="1"/>
  <c r="AJ9" i="23" l="1"/>
  <c r="AG31" i="23"/>
  <c r="AY971" i="6" l="1"/>
  <c r="F90" i="2" l="1"/>
  <c r="G90" i="2"/>
  <c r="F91" i="2"/>
  <c r="G91" i="2"/>
  <c r="F88" i="2"/>
  <c r="F89" i="2"/>
  <c r="AN1" i="61" l="1"/>
  <c r="AN2" i="61" s="1"/>
  <c r="AW1055" i="6" l="1"/>
  <c r="AW1056" i="6"/>
  <c r="AW1057" i="6"/>
  <c r="AW1058" i="6"/>
  <c r="AW1059" i="6"/>
  <c r="AW1060" i="6"/>
  <c r="AW1061" i="6"/>
  <c r="AW1062" i="6"/>
  <c r="AW1063" i="6"/>
  <c r="AW1064" i="6"/>
  <c r="AW1065" i="6"/>
  <c r="AW1066" i="6"/>
  <c r="AW1054" i="6" l="1"/>
  <c r="AW1042" i="6"/>
  <c r="AW1043" i="6"/>
  <c r="AW1044" i="6"/>
  <c r="AW1045" i="6"/>
  <c r="AW1046" i="6"/>
  <c r="AW1047" i="6"/>
  <c r="AW1048" i="6"/>
  <c r="AW1049" i="6"/>
  <c r="AW1050" i="6"/>
  <c r="AW1051" i="6"/>
  <c r="AW1052" i="6"/>
  <c r="AW1053" i="6"/>
  <c r="AW1030" i="6" l="1"/>
  <c r="AW1031" i="6"/>
  <c r="AW1032" i="6"/>
  <c r="AW1033" i="6"/>
  <c r="AW1034" i="6"/>
  <c r="AW1035" i="6"/>
  <c r="AW1036" i="6"/>
  <c r="AW1037" i="6"/>
  <c r="AW1038" i="6"/>
  <c r="AW1039" i="6"/>
  <c r="AW1040" i="6"/>
  <c r="AW1041" i="6"/>
  <c r="AW1023" i="6" l="1"/>
  <c r="AW1024" i="6"/>
  <c r="AW1025" i="6"/>
  <c r="AW1026" i="6"/>
  <c r="AW1027" i="6"/>
  <c r="AW1028" i="6"/>
  <c r="AW1029" i="6"/>
  <c r="G88" i="2" l="1"/>
  <c r="G89" i="2"/>
  <c r="AW1011" i="6" l="1"/>
  <c r="AW1012" i="6"/>
  <c r="AW1013" i="6"/>
  <c r="AW1014" i="6"/>
  <c r="AW1015" i="6"/>
  <c r="AW1016" i="6"/>
  <c r="AW1017" i="6"/>
  <c r="AW1018" i="6"/>
  <c r="AW1019" i="6"/>
  <c r="AW1020" i="6"/>
  <c r="AW1021" i="6"/>
  <c r="AW1022" i="6"/>
  <c r="AW999" i="6" l="1"/>
  <c r="AW1000" i="6"/>
  <c r="AW1001" i="6"/>
  <c r="AW1002" i="6"/>
  <c r="AW1003" i="6"/>
  <c r="AW1004" i="6"/>
  <c r="AW1005" i="6"/>
  <c r="AW1006" i="6"/>
  <c r="AW1007" i="6"/>
  <c r="AW1008" i="6"/>
  <c r="AW1009" i="6"/>
  <c r="AW1010" i="6"/>
  <c r="AW988" i="6" l="1"/>
  <c r="AW989" i="6"/>
  <c r="AW990" i="6"/>
  <c r="AW991" i="6"/>
  <c r="AW992" i="6"/>
  <c r="AW993" i="6"/>
  <c r="AW994" i="6"/>
  <c r="AW995" i="6"/>
  <c r="AW996" i="6"/>
  <c r="AW997" i="6"/>
  <c r="AW998" i="6"/>
  <c r="AW987" i="6"/>
  <c r="A8" i="4" l="1"/>
  <c r="AD217" i="48" l="1"/>
  <c r="BK216" i="48"/>
  <c r="BK215" i="48"/>
  <c r="AD212" i="48"/>
  <c r="BK211" i="48"/>
  <c r="BK210" i="48"/>
  <c r="BK209" i="48"/>
  <c r="BK208" i="48"/>
  <c r="BK205" i="48"/>
  <c r="BK203" i="48"/>
  <c r="BK201" i="48"/>
  <c r="AD197" i="48"/>
  <c r="BK196" i="48"/>
  <c r="BK195" i="48"/>
  <c r="BK194" i="48"/>
  <c r="BK191" i="48"/>
  <c r="BK189" i="48"/>
  <c r="AD187" i="48"/>
  <c r="BK186" i="48"/>
  <c r="BK182" i="48"/>
  <c r="AD180" i="48"/>
  <c r="BK179" i="48"/>
  <c r="BK178" i="48"/>
  <c r="BK177" i="48"/>
  <c r="BK176" i="48"/>
  <c r="BK175" i="48"/>
  <c r="BK174" i="48"/>
  <c r="BK171" i="48"/>
  <c r="BK169" i="48"/>
  <c r="BK166" i="48"/>
  <c r="BK165" i="48"/>
  <c r="BK164" i="48"/>
  <c r="BK163" i="48"/>
  <c r="BK162" i="48"/>
  <c r="BK161" i="48"/>
  <c r="AD160" i="48"/>
  <c r="AD167" i="48" s="1"/>
  <c r="BK159" i="48"/>
  <c r="BK158" i="48"/>
  <c r="BK157" i="48"/>
  <c r="BK154" i="48"/>
  <c r="BK150" i="48"/>
  <c r="AD148" i="48"/>
  <c r="BK147" i="48"/>
  <c r="BK146" i="48"/>
  <c r="AD143" i="48"/>
  <c r="BK142" i="48"/>
  <c r="BK141" i="48"/>
  <c r="AD136" i="48"/>
  <c r="BK135" i="48"/>
  <c r="BK134" i="48"/>
  <c r="AD131" i="48"/>
  <c r="BK130" i="48"/>
  <c r="BK129" i="48"/>
  <c r="BK128" i="48"/>
  <c r="BK127" i="48"/>
  <c r="BK126" i="48"/>
  <c r="BK125" i="48"/>
  <c r="BK124" i="48"/>
  <c r="BK123" i="48"/>
  <c r="BK122" i="48"/>
  <c r="BK121" i="48"/>
  <c r="BK119" i="48"/>
  <c r="BK116" i="48"/>
  <c r="BK114" i="48"/>
  <c r="BK110" i="48"/>
  <c r="AD108" i="48"/>
  <c r="BK107" i="48"/>
  <c r="BK106" i="48"/>
  <c r="BK105" i="48"/>
  <c r="BK104" i="48"/>
  <c r="BK103" i="48"/>
  <c r="BK102" i="48"/>
  <c r="BK101" i="48"/>
  <c r="BK100" i="48"/>
  <c r="BK99" i="48"/>
  <c r="BK98" i="48"/>
  <c r="BK97" i="48"/>
  <c r="BK96" i="48"/>
  <c r="BK95" i="48"/>
  <c r="BK94" i="48"/>
  <c r="BK93" i="48"/>
  <c r="BK92" i="48"/>
  <c r="BK91" i="48"/>
  <c r="BK90" i="48"/>
  <c r="BK89" i="48"/>
  <c r="BK88" i="48"/>
  <c r="BK87" i="48"/>
  <c r="AD84" i="48"/>
  <c r="BK83" i="48"/>
  <c r="BK82" i="48"/>
  <c r="BK80" i="48"/>
  <c r="BK79" i="48"/>
  <c r="BK78" i="48"/>
  <c r="BK77" i="48"/>
  <c r="BK76" i="48"/>
  <c r="BK75" i="48"/>
  <c r="BK74" i="48"/>
  <c r="BK71" i="48"/>
  <c r="BK69" i="48"/>
  <c r="AD67" i="48"/>
  <c r="BK65" i="48"/>
  <c r="BK64" i="48"/>
  <c r="BK63" i="48"/>
  <c r="BK62" i="48"/>
  <c r="BK59" i="48"/>
  <c r="AD57" i="48"/>
  <c r="BK55" i="48"/>
  <c r="BK54" i="48"/>
  <c r="BK53" i="48"/>
  <c r="BK51" i="48"/>
  <c r="BK50" i="48"/>
  <c r="BK49" i="48"/>
  <c r="BK47" i="48"/>
  <c r="BK44" i="48"/>
  <c r="BK42" i="48"/>
  <c r="AD40" i="48"/>
  <c r="BK39" i="48"/>
  <c r="BK38" i="48"/>
  <c r="BK37" i="48"/>
  <c r="BK36" i="48"/>
  <c r="BK35" i="48"/>
  <c r="BK33" i="48"/>
  <c r="BK29" i="48"/>
  <c r="BK26" i="48"/>
  <c r="BK25" i="48"/>
  <c r="BK24" i="48"/>
  <c r="BK23" i="48"/>
  <c r="BK20" i="48"/>
  <c r="BK18" i="48"/>
  <c r="BK16" i="48"/>
  <c r="AD14" i="48"/>
  <c r="BK13" i="48"/>
  <c r="BK12" i="48"/>
  <c r="BK11" i="48"/>
  <c r="AD4" i="50" l="1"/>
  <c r="AD223" i="48" l="1"/>
  <c r="BK221" i="48"/>
  <c r="BK219" i="48"/>
  <c r="AD143" i="63"/>
  <c r="AD100" i="63"/>
  <c r="AD59" i="63"/>
  <c r="AP2" i="56"/>
  <c r="AD30" i="23"/>
  <c r="AD31" i="23" s="1"/>
  <c r="AF8" i="62" l="1"/>
  <c r="AF9" i="62" s="1"/>
  <c r="AE8" i="62"/>
  <c r="AE9" i="62" s="1"/>
  <c r="AD8" i="62"/>
  <c r="AD9" i="62" s="1"/>
  <c r="E23" i="44" l="1"/>
  <c r="P8" i="44"/>
  <c r="P10" i="44"/>
  <c r="D66" i="44"/>
  <c r="C66" i="44"/>
  <c r="E66" i="44"/>
  <c r="F29" i="44" s="1"/>
  <c r="F58" i="44" l="1"/>
  <c r="F19" i="44"/>
  <c r="F12" i="44"/>
  <c r="F61" i="44"/>
  <c r="F53" i="44"/>
  <c r="F45" i="44"/>
  <c r="F36" i="44"/>
  <c r="F28" i="44"/>
  <c r="F18" i="44"/>
  <c r="F11" i="44"/>
  <c r="F60" i="44"/>
  <c r="F52" i="44"/>
  <c r="F44" i="44"/>
  <c r="F35" i="44"/>
  <c r="F27" i="44"/>
  <c r="F17" i="44"/>
  <c r="F43" i="44"/>
  <c r="F15" i="44"/>
  <c r="F65" i="44"/>
  <c r="F57" i="44"/>
  <c r="F49" i="44"/>
  <c r="F41" i="44"/>
  <c r="F32" i="44"/>
  <c r="F10" i="44"/>
  <c r="F51" i="44"/>
  <c r="F26" i="44"/>
  <c r="F24" i="44"/>
  <c r="F33" i="44"/>
  <c r="F9" i="44"/>
  <c r="F64" i="44"/>
  <c r="F40" i="44"/>
  <c r="F21" i="44"/>
  <c r="F13" i="44"/>
  <c r="F63" i="44"/>
  <c r="F55" i="44"/>
  <c r="F47" i="44"/>
  <c r="F39" i="44"/>
  <c r="F30" i="44"/>
  <c r="F59" i="44"/>
  <c r="F34" i="44"/>
  <c r="F16" i="44"/>
  <c r="F50" i="44"/>
  <c r="F42" i="44"/>
  <c r="F25" i="44"/>
  <c r="F14" i="44"/>
  <c r="F56" i="44"/>
  <c r="F48" i="44"/>
  <c r="F31" i="44"/>
  <c r="F20" i="44"/>
  <c r="F37" i="44"/>
  <c r="F62" i="44"/>
  <c r="F54" i="44"/>
  <c r="F46" i="44"/>
  <c r="F38" i="44"/>
  <c r="G87" i="2"/>
  <c r="F87" i="2"/>
  <c r="G86" i="2"/>
  <c r="F86" i="2"/>
  <c r="G85" i="2"/>
  <c r="F85" i="2"/>
  <c r="G84" i="2"/>
  <c r="F84" i="2"/>
  <c r="G83" i="2"/>
  <c r="F83" i="2"/>
  <c r="G82" i="2"/>
  <c r="F82" i="2"/>
  <c r="G81" i="2"/>
  <c r="F81" i="2"/>
  <c r="G80" i="2"/>
  <c r="F80" i="2"/>
  <c r="G79" i="2"/>
  <c r="F79" i="2"/>
  <c r="G78" i="2"/>
  <c r="F78" i="2"/>
  <c r="G77" i="2"/>
  <c r="F77" i="2"/>
  <c r="G76" i="2"/>
  <c r="F76" i="2"/>
  <c r="G75" i="2"/>
  <c r="F75" i="2"/>
  <c r="G74" i="2"/>
  <c r="F74" i="2"/>
  <c r="G73" i="2"/>
  <c r="F73" i="2"/>
  <c r="G72" i="2"/>
  <c r="F72" i="2"/>
  <c r="G71" i="2"/>
  <c r="F71" i="2"/>
  <c r="G70" i="2"/>
  <c r="F70" i="2"/>
  <c r="G69" i="2"/>
  <c r="F69" i="2"/>
  <c r="G68" i="2"/>
  <c r="F68" i="2"/>
  <c r="G67" i="2"/>
  <c r="F67" i="2"/>
  <c r="G66" i="2"/>
  <c r="F66" i="2"/>
  <c r="G65" i="2"/>
  <c r="F65" i="2"/>
  <c r="G64" i="2"/>
  <c r="F64" i="2"/>
  <c r="G63" i="2"/>
  <c r="F63" i="2"/>
  <c r="G62" i="2"/>
  <c r="F62" i="2"/>
  <c r="G61" i="2"/>
  <c r="F61" i="2"/>
  <c r="G60" i="2"/>
  <c r="F60" i="2"/>
  <c r="G59" i="2"/>
  <c r="F59" i="2"/>
  <c r="G58" i="2"/>
  <c r="F58" i="2"/>
  <c r="G57" i="2"/>
  <c r="F57" i="2"/>
  <c r="G56" i="2"/>
  <c r="F56" i="2"/>
  <c r="G55" i="2"/>
  <c r="F55" i="2"/>
  <c r="G54" i="2"/>
  <c r="F54" i="2"/>
  <c r="G53" i="2"/>
  <c r="F53" i="2"/>
  <c r="G52" i="2"/>
  <c r="F52" i="2"/>
  <c r="G51" i="2"/>
  <c r="F51" i="2"/>
  <c r="G50" i="2"/>
  <c r="F50" i="2"/>
  <c r="G49" i="2"/>
  <c r="F49" i="2"/>
  <c r="G48" i="2"/>
  <c r="F48" i="2"/>
  <c r="G47" i="2"/>
  <c r="F47" i="2"/>
  <c r="G46" i="2"/>
  <c r="F46" i="2"/>
  <c r="G45" i="2"/>
  <c r="F45" i="2"/>
  <c r="G44" i="2"/>
  <c r="F44" i="2"/>
  <c r="G43" i="2"/>
  <c r="F43" i="2"/>
  <c r="G42" i="2"/>
  <c r="F42" i="2"/>
  <c r="G41" i="2"/>
  <c r="F41" i="2"/>
  <c r="G40" i="2"/>
  <c r="F40" i="2"/>
  <c r="G39" i="2"/>
  <c r="F39" i="2"/>
  <c r="G38" i="2"/>
  <c r="F38" i="2"/>
  <c r="G37" i="2"/>
  <c r="F37" i="2"/>
  <c r="G36" i="2"/>
  <c r="F36" i="2"/>
  <c r="G35" i="2"/>
  <c r="F35" i="2"/>
  <c r="G34" i="2"/>
  <c r="F34" i="2"/>
  <c r="G33" i="2"/>
  <c r="F33" i="2"/>
  <c r="G32" i="2"/>
  <c r="F32" i="2"/>
  <c r="G31" i="2"/>
  <c r="F31" i="2"/>
  <c r="G30" i="2"/>
  <c r="F30" i="2"/>
  <c r="G29" i="2"/>
  <c r="F29" i="2"/>
  <c r="G28" i="2"/>
  <c r="F28" i="2"/>
  <c r="G27" i="2"/>
  <c r="F27" i="2"/>
  <c r="G26" i="2"/>
  <c r="F26" i="2"/>
  <c r="G25" i="2"/>
  <c r="F25" i="2"/>
  <c r="G24" i="2"/>
  <c r="F24" i="2"/>
  <c r="G23" i="2"/>
  <c r="F23" i="2"/>
  <c r="G22" i="2"/>
  <c r="F22" i="2"/>
  <c r="G21" i="2"/>
  <c r="F21" i="2"/>
  <c r="G20" i="2"/>
  <c r="F20" i="2"/>
  <c r="G19" i="2"/>
  <c r="F19" i="2"/>
  <c r="G18" i="2"/>
  <c r="F18" i="2"/>
  <c r="G17" i="2"/>
  <c r="F17" i="2"/>
  <c r="G16" i="2"/>
  <c r="F16" i="2"/>
  <c r="G15" i="2"/>
  <c r="F15" i="2"/>
  <c r="G14" i="2"/>
  <c r="F14" i="2"/>
  <c r="G13" i="2"/>
  <c r="F13" i="2"/>
  <c r="G12" i="2"/>
  <c r="F12" i="2"/>
  <c r="G11" i="2"/>
  <c r="F11" i="2"/>
  <c r="G10" i="2"/>
  <c r="F10" i="2"/>
  <c r="G9" i="2"/>
  <c r="F9" i="2"/>
  <c r="G8" i="2"/>
  <c r="F8" i="2"/>
  <c r="H75" i="2"/>
  <c r="I75" i="2"/>
  <c r="H76" i="2"/>
  <c r="I76" i="2"/>
  <c r="H77" i="2"/>
  <c r="I77" i="2"/>
  <c r="H78" i="2"/>
  <c r="I78" i="2"/>
  <c r="H79" i="2"/>
  <c r="I79" i="2"/>
  <c r="D62" i="79" l="1"/>
  <c r="E62" i="79"/>
  <c r="D63" i="79"/>
  <c r="E63" i="79"/>
  <c r="M44" i="34" l="1"/>
  <c r="M45" i="34"/>
  <c r="M46" i="34"/>
  <c r="AD9" i="51" l="1"/>
  <c r="AC8" i="51"/>
  <c r="AC9" i="51" s="1"/>
  <c r="AB8" i="51"/>
  <c r="AB9" i="51" s="1"/>
  <c r="AA8" i="51"/>
  <c r="AA9" i="51" s="1"/>
  <c r="N80" i="61"/>
  <c r="O80" i="61"/>
  <c r="N81" i="61"/>
  <c r="O81" i="61"/>
  <c r="Y1" i="74" l="1"/>
  <c r="D79" i="22"/>
  <c r="E79" i="22"/>
  <c r="D80" i="22"/>
  <c r="E80" i="22"/>
  <c r="A8" i="75" l="1"/>
  <c r="R29" i="12"/>
  <c r="N76" i="61" l="1"/>
  <c r="O76" i="61"/>
  <c r="N77" i="61"/>
  <c r="O77" i="61"/>
  <c r="N78" i="61"/>
  <c r="O78" i="61"/>
  <c r="N79" i="61"/>
  <c r="O79" i="61"/>
  <c r="L80" i="52" l="1"/>
  <c r="L81" i="52"/>
  <c r="L82" i="52"/>
  <c r="E9" i="35" l="1"/>
  <c r="E10" i="35" s="1"/>
  <c r="E11" i="35" s="1"/>
  <c r="E12" i="35" s="1"/>
  <c r="E13" i="35" s="1"/>
  <c r="E14" i="35" s="1"/>
  <c r="E15" i="35" s="1"/>
  <c r="E16" i="35" s="1"/>
  <c r="E17" i="35" s="1"/>
  <c r="E18" i="35" s="1"/>
  <c r="E19" i="35" s="1"/>
  <c r="E20" i="35" s="1"/>
  <c r="E21" i="35" s="1"/>
  <c r="E22" i="35" s="1"/>
  <c r="E23" i="35" s="1"/>
  <c r="E24" i="35" s="1"/>
  <c r="E25" i="35" s="1"/>
  <c r="E26" i="35" s="1"/>
  <c r="E27" i="35" s="1"/>
  <c r="E28" i="35" s="1"/>
  <c r="E29" i="35" s="1"/>
  <c r="E30" i="35" s="1"/>
  <c r="E31" i="35" s="1"/>
  <c r="E32" i="35" s="1"/>
  <c r="E33" i="35" s="1"/>
  <c r="E34" i="35" s="1"/>
  <c r="E35" i="35" s="1"/>
  <c r="E36" i="35" s="1"/>
  <c r="E37" i="35" s="1"/>
  <c r="E38" i="35" s="1"/>
  <c r="E39" i="35" s="1"/>
  <c r="E40" i="35" s="1"/>
  <c r="E41" i="35" s="1"/>
  <c r="E42" i="35" s="1"/>
  <c r="D9" i="35"/>
  <c r="D10" i="35" s="1"/>
  <c r="D11" i="35" s="1"/>
  <c r="D12" i="35" s="1"/>
  <c r="D13" i="35" s="1"/>
  <c r="D14" i="35" s="1"/>
  <c r="D15" i="35" s="1"/>
  <c r="D16" i="35" s="1"/>
  <c r="D17" i="35" s="1"/>
  <c r="D18" i="35" s="1"/>
  <c r="D19" i="35" s="1"/>
  <c r="D20" i="35" s="1"/>
  <c r="D21" i="35" s="1"/>
  <c r="D22" i="35" s="1"/>
  <c r="D23" i="35" s="1"/>
  <c r="D24" i="35" s="1"/>
  <c r="D25" i="35" s="1"/>
  <c r="D26" i="35" s="1"/>
  <c r="D27" i="35" s="1"/>
  <c r="D28" i="35" s="1"/>
  <c r="D29" i="35" s="1"/>
  <c r="D30" i="35" s="1"/>
  <c r="D31" i="35" s="1"/>
  <c r="D32" i="35" s="1"/>
  <c r="D33" i="35" s="1"/>
  <c r="D34" i="35" s="1"/>
  <c r="D35" i="35" s="1"/>
  <c r="D36" i="35" s="1"/>
  <c r="D37" i="35" s="1"/>
  <c r="D38" i="35" s="1"/>
  <c r="D39" i="35" s="1"/>
  <c r="D40" i="35" s="1"/>
  <c r="D41" i="35" s="1"/>
  <c r="D42" i="35" s="1"/>
  <c r="F6" i="35"/>
  <c r="F8" i="35" l="1"/>
  <c r="F9" i="35" s="1"/>
  <c r="A67" i="11"/>
  <c r="AY68" i="6" l="1"/>
  <c r="B67" i="11"/>
  <c r="F10" i="35"/>
  <c r="AF30" i="23"/>
  <c r="AF31" i="23" s="1"/>
  <c r="AE30" i="23"/>
  <c r="AE31" i="23" s="1"/>
  <c r="N72" i="61"/>
  <c r="O72" i="61"/>
  <c r="N73" i="61"/>
  <c r="O73" i="61"/>
  <c r="N74" i="61"/>
  <c r="O74" i="61"/>
  <c r="N75" i="61"/>
  <c r="O75" i="61"/>
  <c r="F11" i="35" l="1"/>
  <c r="N82" i="61"/>
  <c r="O82" i="61"/>
  <c r="F12" i="35" l="1"/>
  <c r="F13" i="35" l="1"/>
  <c r="J74" i="49"/>
  <c r="J72" i="49"/>
  <c r="J70" i="49"/>
  <c r="J67" i="49"/>
  <c r="J66" i="49"/>
  <c r="J65" i="49"/>
  <c r="J64" i="49"/>
  <c r="J63" i="49"/>
  <c r="J59" i="49"/>
  <c r="J58" i="49"/>
  <c r="J57" i="49"/>
  <c r="J54" i="49"/>
  <c r="J52" i="49"/>
  <c r="J50" i="49"/>
  <c r="J43" i="49"/>
  <c r="J42" i="49"/>
  <c r="J41" i="49"/>
  <c r="J38" i="49"/>
  <c r="J36" i="49"/>
  <c r="J34" i="49"/>
  <c r="J32" i="49"/>
  <c r="J30" i="49"/>
  <c r="J27" i="49"/>
  <c r="J26" i="49"/>
  <c r="J25" i="49"/>
  <c r="J24" i="49"/>
  <c r="J19" i="49"/>
  <c r="F14" i="35" l="1"/>
  <c r="J48" i="49" l="1"/>
  <c r="F15" i="35"/>
  <c r="J85" i="49" l="1"/>
  <c r="F16" i="35"/>
  <c r="P26" i="79"/>
  <c r="P27" i="79"/>
  <c r="R27" i="79" l="1"/>
  <c r="Q27" i="79"/>
  <c r="F17" i="35"/>
  <c r="P28" i="79"/>
  <c r="R28" i="79" l="1"/>
  <c r="Q28" i="79"/>
  <c r="P29" i="79"/>
  <c r="F18" i="35"/>
  <c r="Q29" i="79" l="1"/>
  <c r="R29" i="79"/>
  <c r="P30" i="79"/>
  <c r="F19" i="35"/>
  <c r="R30" i="79" l="1"/>
  <c r="Q30" i="79"/>
  <c r="P31" i="79"/>
  <c r="F20" i="35"/>
  <c r="Q31" i="79" l="1"/>
  <c r="R31" i="79"/>
  <c r="P32" i="79"/>
  <c r="F21" i="35"/>
  <c r="R32" i="79" l="1"/>
  <c r="Q32" i="79"/>
  <c r="P33" i="79"/>
  <c r="F22" i="35"/>
  <c r="Q33" i="79" l="1"/>
  <c r="R33" i="79"/>
  <c r="P34" i="79"/>
  <c r="F23" i="35"/>
  <c r="R34" i="79" l="1"/>
  <c r="Q34" i="79"/>
  <c r="P35" i="79"/>
  <c r="F24" i="35"/>
  <c r="R35" i="79" l="1"/>
  <c r="Q35" i="79"/>
  <c r="P36" i="79"/>
  <c r="F25" i="35"/>
  <c r="Q36" i="79" l="1"/>
  <c r="R36" i="79"/>
  <c r="P37" i="79"/>
  <c r="F26" i="35"/>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F11" i="80"/>
  <c r="F12" i="80" s="1"/>
  <c r="F13" i="80" s="1"/>
  <c r="F14" i="80" s="1"/>
  <c r="F15" i="80" s="1"/>
  <c r="F16" i="80" s="1"/>
  <c r="F17" i="80" s="1"/>
  <c r="F18" i="80" s="1"/>
  <c r="F19" i="80" s="1"/>
  <c r="F20" i="80" s="1"/>
  <c r="F21" i="80" s="1"/>
  <c r="A11" i="80"/>
  <c r="A10" i="80"/>
  <c r="B2" i="79"/>
  <c r="E253" i="79"/>
  <c r="D253" i="79"/>
  <c r="E252" i="79"/>
  <c r="D252" i="79"/>
  <c r="E251" i="79"/>
  <c r="D251" i="79"/>
  <c r="E250" i="79"/>
  <c r="D250" i="79"/>
  <c r="E249" i="79"/>
  <c r="D249" i="79"/>
  <c r="E248" i="79"/>
  <c r="D248" i="79"/>
  <c r="E247" i="79"/>
  <c r="D247" i="79"/>
  <c r="E246" i="79"/>
  <c r="D246" i="79"/>
  <c r="E245" i="79"/>
  <c r="D245" i="79"/>
  <c r="E244" i="79"/>
  <c r="D244" i="79"/>
  <c r="E243" i="79"/>
  <c r="D243" i="79"/>
  <c r="E242" i="79"/>
  <c r="D242" i="79"/>
  <c r="E241" i="79"/>
  <c r="D241" i="79"/>
  <c r="E240" i="79"/>
  <c r="D240" i="79"/>
  <c r="E239" i="79"/>
  <c r="D239" i="79"/>
  <c r="E238" i="79"/>
  <c r="D238" i="79"/>
  <c r="E237" i="79"/>
  <c r="D237" i="79"/>
  <c r="E236" i="79"/>
  <c r="D236" i="79"/>
  <c r="E235" i="79"/>
  <c r="D235" i="79"/>
  <c r="E234" i="79"/>
  <c r="D234" i="79"/>
  <c r="E233" i="79"/>
  <c r="D233" i="79"/>
  <c r="E232" i="79"/>
  <c r="D232" i="79"/>
  <c r="E231" i="79"/>
  <c r="D231" i="79"/>
  <c r="E230" i="79"/>
  <c r="D230" i="79"/>
  <c r="E229" i="79"/>
  <c r="D229" i="79"/>
  <c r="E228" i="79"/>
  <c r="D228" i="79"/>
  <c r="E227" i="79"/>
  <c r="D227" i="79"/>
  <c r="E226" i="79"/>
  <c r="D226" i="79"/>
  <c r="E225" i="79"/>
  <c r="D225" i="79"/>
  <c r="E224" i="79"/>
  <c r="D224" i="79"/>
  <c r="E223" i="79"/>
  <c r="D223" i="79"/>
  <c r="E222" i="79"/>
  <c r="D222" i="79"/>
  <c r="E221" i="79"/>
  <c r="D221" i="79"/>
  <c r="E220" i="79"/>
  <c r="D220" i="79"/>
  <c r="E219" i="79"/>
  <c r="D219" i="79"/>
  <c r="E218" i="79"/>
  <c r="D218" i="79"/>
  <c r="E217" i="79"/>
  <c r="D217" i="79"/>
  <c r="E216" i="79"/>
  <c r="D216" i="79"/>
  <c r="E215" i="79"/>
  <c r="D215" i="79"/>
  <c r="E214" i="79"/>
  <c r="D214" i="79"/>
  <c r="E213" i="79"/>
  <c r="D213" i="79"/>
  <c r="E212" i="79"/>
  <c r="D212" i="79"/>
  <c r="E211" i="79"/>
  <c r="D211" i="79"/>
  <c r="E210" i="79"/>
  <c r="D210" i="79"/>
  <c r="E209" i="79"/>
  <c r="D209" i="79"/>
  <c r="E208" i="79"/>
  <c r="D208" i="79"/>
  <c r="E207" i="79"/>
  <c r="D207" i="79"/>
  <c r="E206" i="79"/>
  <c r="D206" i="79"/>
  <c r="E205" i="79"/>
  <c r="D205" i="79"/>
  <c r="E204" i="79"/>
  <c r="D204" i="79"/>
  <c r="E203" i="79"/>
  <c r="D203" i="79"/>
  <c r="E202" i="79"/>
  <c r="D202" i="79"/>
  <c r="E201" i="79"/>
  <c r="D201" i="79"/>
  <c r="E200" i="79"/>
  <c r="D200" i="79"/>
  <c r="E199" i="79"/>
  <c r="D199" i="79"/>
  <c r="E198" i="79"/>
  <c r="D198" i="79"/>
  <c r="E197" i="79"/>
  <c r="D197" i="79"/>
  <c r="E196" i="79"/>
  <c r="D196" i="79"/>
  <c r="E195" i="79"/>
  <c r="D195" i="79"/>
  <c r="E194" i="79"/>
  <c r="D194" i="79"/>
  <c r="E193" i="79"/>
  <c r="D193" i="79"/>
  <c r="E192" i="79"/>
  <c r="D192" i="79"/>
  <c r="E191" i="79"/>
  <c r="D191" i="79"/>
  <c r="E190" i="79"/>
  <c r="D190" i="79"/>
  <c r="E189" i="79"/>
  <c r="D189" i="79"/>
  <c r="E188" i="79"/>
  <c r="D188" i="79"/>
  <c r="E187" i="79"/>
  <c r="D187" i="79"/>
  <c r="E186" i="79"/>
  <c r="D186" i="79"/>
  <c r="E185" i="79"/>
  <c r="D185" i="79"/>
  <c r="E184" i="79"/>
  <c r="D184" i="79"/>
  <c r="E183" i="79"/>
  <c r="D183" i="79"/>
  <c r="E182" i="79"/>
  <c r="D182" i="79"/>
  <c r="E181" i="79"/>
  <c r="D181" i="79"/>
  <c r="E180" i="79"/>
  <c r="D180" i="79"/>
  <c r="E179" i="79"/>
  <c r="D179" i="79"/>
  <c r="E178" i="79"/>
  <c r="D178" i="79"/>
  <c r="E177" i="79"/>
  <c r="D177" i="79"/>
  <c r="E176" i="79"/>
  <c r="D176" i="79"/>
  <c r="E175" i="79"/>
  <c r="D175" i="79"/>
  <c r="E174" i="79"/>
  <c r="D174" i="79"/>
  <c r="E173" i="79"/>
  <c r="D173" i="79"/>
  <c r="E172" i="79"/>
  <c r="D172" i="79"/>
  <c r="E171" i="79"/>
  <c r="D171" i="79"/>
  <c r="E170" i="79"/>
  <c r="D170" i="79"/>
  <c r="E169" i="79"/>
  <c r="D169" i="79"/>
  <c r="E168" i="79"/>
  <c r="D168" i="79"/>
  <c r="E167" i="79"/>
  <c r="D167" i="79"/>
  <c r="E166" i="79"/>
  <c r="D166" i="79"/>
  <c r="E165" i="79"/>
  <c r="D165" i="79"/>
  <c r="E164" i="79"/>
  <c r="D164" i="79"/>
  <c r="E163" i="79"/>
  <c r="D163" i="79"/>
  <c r="E162" i="79"/>
  <c r="D162" i="79"/>
  <c r="E161" i="79"/>
  <c r="D161" i="79"/>
  <c r="E160" i="79"/>
  <c r="D160" i="79"/>
  <c r="E159" i="79"/>
  <c r="D159" i="79"/>
  <c r="E158" i="79"/>
  <c r="D158" i="79"/>
  <c r="E157" i="79"/>
  <c r="D157" i="79"/>
  <c r="E156" i="79"/>
  <c r="D156" i="79"/>
  <c r="E155" i="79"/>
  <c r="D155" i="79"/>
  <c r="E154" i="79"/>
  <c r="D154" i="79"/>
  <c r="E153" i="79"/>
  <c r="D153" i="79"/>
  <c r="E152" i="79"/>
  <c r="D152" i="79"/>
  <c r="E151" i="79"/>
  <c r="D151" i="79"/>
  <c r="E150" i="79"/>
  <c r="D150" i="79"/>
  <c r="E149" i="79"/>
  <c r="D149" i="79"/>
  <c r="E148" i="79"/>
  <c r="D148" i="79"/>
  <c r="E147" i="79"/>
  <c r="D147" i="79"/>
  <c r="E146" i="79"/>
  <c r="D146" i="79"/>
  <c r="E145" i="79"/>
  <c r="D145" i="79"/>
  <c r="E144" i="79"/>
  <c r="D144" i="79"/>
  <c r="E143" i="79"/>
  <c r="D143" i="79"/>
  <c r="E142" i="79"/>
  <c r="D142" i="79"/>
  <c r="E141" i="79"/>
  <c r="D141" i="79"/>
  <c r="E140" i="79"/>
  <c r="D140" i="79"/>
  <c r="E139" i="79"/>
  <c r="D139" i="79"/>
  <c r="E138" i="79"/>
  <c r="D138" i="79"/>
  <c r="E137" i="79"/>
  <c r="D137" i="79"/>
  <c r="E136" i="79"/>
  <c r="D136" i="79"/>
  <c r="E135" i="79"/>
  <c r="D135" i="79"/>
  <c r="E134" i="79"/>
  <c r="D134" i="79"/>
  <c r="E133" i="79"/>
  <c r="D133" i="79"/>
  <c r="E132" i="79"/>
  <c r="D132" i="79"/>
  <c r="E131" i="79"/>
  <c r="D131" i="79"/>
  <c r="E130" i="79"/>
  <c r="D130" i="79"/>
  <c r="E129" i="79"/>
  <c r="D129" i="79"/>
  <c r="E128" i="79"/>
  <c r="D128" i="79"/>
  <c r="E127" i="79"/>
  <c r="D127" i="79"/>
  <c r="E126" i="79"/>
  <c r="D126" i="79"/>
  <c r="E125" i="79"/>
  <c r="D125" i="79"/>
  <c r="E124" i="79"/>
  <c r="D124" i="79"/>
  <c r="E123" i="79"/>
  <c r="D123" i="79"/>
  <c r="E122" i="79"/>
  <c r="D122" i="79"/>
  <c r="E121" i="79"/>
  <c r="D121" i="79"/>
  <c r="E120" i="79"/>
  <c r="D120" i="79"/>
  <c r="E119" i="79"/>
  <c r="D119" i="79"/>
  <c r="E118" i="79"/>
  <c r="D118" i="79"/>
  <c r="E117" i="79"/>
  <c r="D117" i="79"/>
  <c r="E116" i="79"/>
  <c r="D116" i="79"/>
  <c r="E115" i="79"/>
  <c r="D115" i="79"/>
  <c r="E114" i="79"/>
  <c r="D114" i="79"/>
  <c r="E113" i="79"/>
  <c r="D113" i="79"/>
  <c r="E112" i="79"/>
  <c r="D112" i="79"/>
  <c r="E111" i="79"/>
  <c r="D111" i="79"/>
  <c r="E110" i="79"/>
  <c r="D110" i="79"/>
  <c r="E109" i="79"/>
  <c r="D109" i="79"/>
  <c r="E108" i="79"/>
  <c r="D108" i="79"/>
  <c r="E107" i="79"/>
  <c r="D107" i="79"/>
  <c r="E106" i="79"/>
  <c r="D106" i="79"/>
  <c r="E105" i="79"/>
  <c r="D105" i="79"/>
  <c r="E104" i="79"/>
  <c r="D104" i="79"/>
  <c r="E103" i="79"/>
  <c r="D103" i="79"/>
  <c r="E102" i="79"/>
  <c r="D102" i="79"/>
  <c r="E101" i="79"/>
  <c r="D101" i="79"/>
  <c r="E100" i="79"/>
  <c r="D100" i="79"/>
  <c r="E99" i="79"/>
  <c r="D99" i="79"/>
  <c r="E98" i="79"/>
  <c r="D98" i="79"/>
  <c r="E97" i="79"/>
  <c r="D97" i="79"/>
  <c r="E96" i="79"/>
  <c r="D96" i="79"/>
  <c r="E95" i="79"/>
  <c r="D95" i="79"/>
  <c r="E94" i="79"/>
  <c r="D94" i="79"/>
  <c r="E93" i="79"/>
  <c r="D93" i="79"/>
  <c r="E92" i="79"/>
  <c r="D92" i="79"/>
  <c r="E91" i="79"/>
  <c r="D91" i="79"/>
  <c r="E90" i="79"/>
  <c r="D90" i="79"/>
  <c r="E89" i="79"/>
  <c r="D89" i="79"/>
  <c r="E88" i="79"/>
  <c r="D88" i="79"/>
  <c r="E87" i="79"/>
  <c r="D87" i="79"/>
  <c r="E86" i="79"/>
  <c r="D86" i="79"/>
  <c r="E85" i="79"/>
  <c r="D85" i="79"/>
  <c r="E84" i="79"/>
  <c r="D84" i="79"/>
  <c r="E83" i="79"/>
  <c r="D83" i="79"/>
  <c r="E82" i="79"/>
  <c r="D82" i="79"/>
  <c r="E81" i="79"/>
  <c r="D81" i="79"/>
  <c r="E80" i="79"/>
  <c r="D80" i="79"/>
  <c r="E79" i="79"/>
  <c r="D79" i="79"/>
  <c r="E78" i="79"/>
  <c r="D78" i="79"/>
  <c r="E77" i="79"/>
  <c r="D77" i="79"/>
  <c r="E76" i="79"/>
  <c r="D76" i="79"/>
  <c r="E75" i="79"/>
  <c r="D75" i="79"/>
  <c r="E71" i="79"/>
  <c r="D71" i="79"/>
  <c r="E70" i="79"/>
  <c r="D70" i="79"/>
  <c r="E69" i="79"/>
  <c r="D69" i="79"/>
  <c r="E68" i="79"/>
  <c r="D68" i="79"/>
  <c r="E65" i="79"/>
  <c r="D65" i="79"/>
  <c r="E64" i="79"/>
  <c r="D64" i="79"/>
  <c r="E61" i="79"/>
  <c r="D61" i="79"/>
  <c r="E60" i="79"/>
  <c r="D60" i="79"/>
  <c r="E59" i="79"/>
  <c r="D59" i="79"/>
  <c r="E58" i="79"/>
  <c r="D58" i="79"/>
  <c r="E57" i="79"/>
  <c r="D57" i="79"/>
  <c r="E56" i="79"/>
  <c r="D56" i="79"/>
  <c r="E55" i="79"/>
  <c r="D55" i="79"/>
  <c r="E54" i="79"/>
  <c r="D54" i="79"/>
  <c r="E53" i="79"/>
  <c r="D53" i="79"/>
  <c r="E52" i="79"/>
  <c r="D52" i="79"/>
  <c r="E51" i="79"/>
  <c r="D51" i="79"/>
  <c r="E50" i="79"/>
  <c r="D50" i="79"/>
  <c r="E49" i="79"/>
  <c r="D49" i="79"/>
  <c r="E48" i="79"/>
  <c r="D48" i="79"/>
  <c r="E47" i="79"/>
  <c r="D47" i="79"/>
  <c r="E46" i="79"/>
  <c r="D46" i="79"/>
  <c r="E45" i="79"/>
  <c r="D45" i="79"/>
  <c r="E44" i="79"/>
  <c r="D44" i="79"/>
  <c r="E43" i="79"/>
  <c r="D43" i="79"/>
  <c r="E42" i="79"/>
  <c r="D42" i="79"/>
  <c r="E41" i="79"/>
  <c r="D41" i="79"/>
  <c r="E40" i="79"/>
  <c r="D40" i="79"/>
  <c r="E39" i="79"/>
  <c r="D39" i="79"/>
  <c r="E38" i="79"/>
  <c r="D38" i="79"/>
  <c r="E37" i="79"/>
  <c r="D37" i="79"/>
  <c r="E36" i="79"/>
  <c r="D36" i="79"/>
  <c r="E35" i="79"/>
  <c r="D35" i="79"/>
  <c r="E34" i="79"/>
  <c r="D34" i="79"/>
  <c r="E33" i="79"/>
  <c r="D33" i="79"/>
  <c r="E32" i="79"/>
  <c r="D32" i="79"/>
  <c r="E31" i="79"/>
  <c r="D31" i="79"/>
  <c r="E30" i="79"/>
  <c r="D30" i="79"/>
  <c r="E29" i="79"/>
  <c r="D29" i="79"/>
  <c r="E28" i="79"/>
  <c r="D28" i="79"/>
  <c r="E27" i="79"/>
  <c r="D27" i="79"/>
  <c r="E26" i="79"/>
  <c r="D26" i="79"/>
  <c r="E25" i="79"/>
  <c r="D25" i="79"/>
  <c r="E24" i="79"/>
  <c r="D24" i="79"/>
  <c r="E23" i="79"/>
  <c r="D23" i="79"/>
  <c r="E22" i="79"/>
  <c r="D22" i="79"/>
  <c r="E21" i="79"/>
  <c r="D21" i="79"/>
  <c r="E20" i="79"/>
  <c r="D20" i="79"/>
  <c r="E19" i="79"/>
  <c r="D19" i="79"/>
  <c r="E18" i="79"/>
  <c r="D18" i="79"/>
  <c r="E17" i="79"/>
  <c r="D17" i="79"/>
  <c r="E16" i="79"/>
  <c r="D16" i="79"/>
  <c r="E15" i="79"/>
  <c r="D15" i="79"/>
  <c r="E14" i="79"/>
  <c r="D14" i="79"/>
  <c r="E13" i="79"/>
  <c r="D13" i="79"/>
  <c r="E12" i="79"/>
  <c r="D12" i="79"/>
  <c r="E11" i="79"/>
  <c r="D11" i="79"/>
  <c r="E10" i="79"/>
  <c r="D10" i="79"/>
  <c r="E9" i="79"/>
  <c r="D9" i="79"/>
  <c r="B1" i="79"/>
  <c r="C1" i="79" s="1"/>
  <c r="R9" i="79"/>
  <c r="R26" i="79" s="1"/>
  <c r="Q9" i="79"/>
  <c r="Q26" i="79" s="1"/>
  <c r="P19" i="79"/>
  <c r="P18" i="79"/>
  <c r="P17" i="79"/>
  <c r="P16" i="79"/>
  <c r="P15" i="79"/>
  <c r="P14" i="79"/>
  <c r="P13" i="79"/>
  <c r="P12" i="79"/>
  <c r="P11" i="79"/>
  <c r="P10" i="79"/>
  <c r="R37" i="79" l="1"/>
  <c r="Q37" i="79"/>
  <c r="C48" i="80"/>
  <c r="C56" i="80"/>
  <c r="C64" i="80"/>
  <c r="C49" i="80"/>
  <c r="C57" i="80"/>
  <c r="C65" i="80"/>
  <c r="C50" i="80"/>
  <c r="C58" i="80"/>
  <c r="C66" i="80"/>
  <c r="C51" i="80"/>
  <c r="C59" i="80"/>
  <c r="C67" i="80"/>
  <c r="C52" i="80"/>
  <c r="C60" i="80"/>
  <c r="C68" i="80"/>
  <c r="C53" i="80"/>
  <c r="C61" i="80"/>
  <c r="C69" i="80"/>
  <c r="C46" i="80"/>
  <c r="C54" i="80"/>
  <c r="C62" i="80"/>
  <c r="C47" i="80"/>
  <c r="C55" i="80"/>
  <c r="C63" i="80"/>
  <c r="R10" i="79"/>
  <c r="Q10" i="79"/>
  <c r="Q18" i="79"/>
  <c r="R18" i="79"/>
  <c r="R11" i="79"/>
  <c r="Q11" i="79"/>
  <c r="Q12" i="79"/>
  <c r="R12" i="79"/>
  <c r="R13" i="79"/>
  <c r="Q13" i="79"/>
  <c r="R14" i="79"/>
  <c r="Q14" i="79"/>
  <c r="R15" i="79"/>
  <c r="Q15" i="79"/>
  <c r="R16" i="79"/>
  <c r="Q16" i="79"/>
  <c r="R19" i="79"/>
  <c r="Q19" i="79"/>
  <c r="R17" i="79"/>
  <c r="Q17" i="79"/>
  <c r="AH83" i="51"/>
  <c r="AG83" i="51"/>
  <c r="AG83" i="62"/>
  <c r="AH83" i="62"/>
  <c r="P38" i="79" l="1"/>
  <c r="AE83" i="51"/>
  <c r="AF83" i="51"/>
  <c r="AF83" i="62"/>
  <c r="AE83" i="62"/>
  <c r="AB83" i="51"/>
  <c r="T83" i="51"/>
  <c r="L83" i="51"/>
  <c r="D83" i="51"/>
  <c r="AA83" i="51"/>
  <c r="S83" i="51"/>
  <c r="K83" i="51"/>
  <c r="C83" i="51"/>
  <c r="Z83" i="51"/>
  <c r="R83" i="51"/>
  <c r="J83" i="51"/>
  <c r="AD83" i="51"/>
  <c r="Y83" i="51"/>
  <c r="Q83" i="51"/>
  <c r="I83" i="51"/>
  <c r="AC83" i="51"/>
  <c r="X83" i="51"/>
  <c r="P83" i="51"/>
  <c r="H83" i="51"/>
  <c r="W83" i="51"/>
  <c r="O83" i="51"/>
  <c r="G83" i="51"/>
  <c r="V83" i="51"/>
  <c r="N83" i="51"/>
  <c r="F83" i="51"/>
  <c r="U83" i="51"/>
  <c r="M83" i="51"/>
  <c r="E83" i="51"/>
  <c r="D83" i="62"/>
  <c r="R83" i="62"/>
  <c r="Z83" i="62"/>
  <c r="O83" i="62"/>
  <c r="C83" i="62"/>
  <c r="Q83" i="62"/>
  <c r="Y83" i="62"/>
  <c r="T83" i="62"/>
  <c r="P83" i="62"/>
  <c r="J83" i="62"/>
  <c r="L83" i="62"/>
  <c r="AB83" i="62"/>
  <c r="E83" i="62"/>
  <c r="I83" i="62"/>
  <c r="K83" i="62"/>
  <c r="S83" i="62"/>
  <c r="AA83" i="62"/>
  <c r="F83" i="62"/>
  <c r="H83" i="62"/>
  <c r="N83" i="62"/>
  <c r="V83" i="62"/>
  <c r="W83" i="62"/>
  <c r="G83" i="62"/>
  <c r="M83" i="62"/>
  <c r="U83" i="62"/>
  <c r="X83" i="62"/>
  <c r="F27" i="35"/>
  <c r="AD83" i="62"/>
  <c r="AC83" i="62"/>
  <c r="C2" i="79"/>
  <c r="Q19" i="80"/>
  <c r="B15" i="80"/>
  <c r="B22" i="80"/>
  <c r="B28" i="80"/>
  <c r="B32" i="80"/>
  <c r="B14" i="80"/>
  <c r="B48" i="80"/>
  <c r="B56" i="80"/>
  <c r="B64" i="80"/>
  <c r="B51" i="80"/>
  <c r="B59" i="80"/>
  <c r="B67" i="80"/>
  <c r="B24" i="80"/>
  <c r="B34" i="80"/>
  <c r="B40" i="80"/>
  <c r="B44" i="80"/>
  <c r="B57" i="80"/>
  <c r="B50" i="80"/>
  <c r="B66" i="80"/>
  <c r="B11" i="80"/>
  <c r="B17" i="80"/>
  <c r="B52" i="80"/>
  <c r="B60" i="80"/>
  <c r="B68" i="80"/>
  <c r="B19" i="80"/>
  <c r="B21" i="80"/>
  <c r="B23" i="80"/>
  <c r="B25" i="80"/>
  <c r="B27" i="80"/>
  <c r="B29" i="80"/>
  <c r="B31" i="80"/>
  <c r="B33" i="80"/>
  <c r="B35" i="80"/>
  <c r="B37" i="80"/>
  <c r="B39" i="80"/>
  <c r="B41" i="80"/>
  <c r="B43" i="80"/>
  <c r="B45" i="80"/>
  <c r="B53" i="80"/>
  <c r="B61" i="80"/>
  <c r="B69" i="80"/>
  <c r="B20" i="80"/>
  <c r="B26" i="80"/>
  <c r="B30" i="80"/>
  <c r="B36" i="80"/>
  <c r="B38" i="80"/>
  <c r="B42" i="80"/>
  <c r="B49" i="80"/>
  <c r="B65" i="80"/>
  <c r="B10" i="80"/>
  <c r="B16" i="80"/>
  <c r="B12" i="80"/>
  <c r="B46" i="80"/>
  <c r="B54" i="80"/>
  <c r="B62" i="80"/>
  <c r="B58" i="80"/>
  <c r="B18" i="80"/>
  <c r="B13" i="80"/>
  <c r="B47" i="80"/>
  <c r="B55" i="80"/>
  <c r="B63" i="80"/>
  <c r="Q38" i="79" l="1"/>
  <c r="R38" i="79"/>
  <c r="AJ83" i="62"/>
  <c r="AI83" i="62"/>
  <c r="AI83" i="51"/>
  <c r="AJ83" i="51"/>
  <c r="P39" i="79"/>
  <c r="F28" i="35"/>
  <c r="Q39" i="79" l="1"/>
  <c r="R39" i="79"/>
  <c r="P40" i="79"/>
  <c r="F29" i="35"/>
  <c r="R40" i="79" l="1"/>
  <c r="Q40" i="79"/>
  <c r="P41" i="79"/>
  <c r="F30" i="35"/>
  <c r="Q41" i="79" l="1"/>
  <c r="R41" i="79"/>
  <c r="P42" i="79"/>
  <c r="F31" i="35"/>
  <c r="P43" i="79" l="1"/>
  <c r="P44" i="79" s="1"/>
  <c r="R42" i="79"/>
  <c r="Q42" i="79"/>
  <c r="F32" i="35"/>
  <c r="R44" i="79" l="1"/>
  <c r="Q44" i="79"/>
  <c r="R43" i="79"/>
  <c r="Q43" i="79"/>
  <c r="P45" i="79"/>
  <c r="F33" i="35"/>
  <c r="R45" i="79" l="1"/>
  <c r="Q45" i="79"/>
  <c r="P46" i="79"/>
  <c r="F34" i="35"/>
  <c r="E11" i="80"/>
  <c r="Q46" i="79" l="1"/>
  <c r="R46" i="79"/>
  <c r="P47" i="79"/>
  <c r="F35" i="35"/>
  <c r="E12" i="80"/>
  <c r="Q47" i="79" l="1"/>
  <c r="R47" i="79"/>
  <c r="P48" i="79"/>
  <c r="F36" i="35"/>
  <c r="E13" i="80"/>
  <c r="R48" i="79" l="1"/>
  <c r="Q48" i="79"/>
  <c r="P49" i="79"/>
  <c r="F37" i="35"/>
  <c r="E14" i="80"/>
  <c r="Q49" i="79" l="1"/>
  <c r="R49" i="79"/>
  <c r="P50" i="79"/>
  <c r="F38" i="35"/>
  <c r="E15" i="80"/>
  <c r="R50" i="79" l="1"/>
  <c r="Q50" i="79"/>
  <c r="P51" i="79"/>
  <c r="F39" i="35"/>
  <c r="E16" i="80"/>
  <c r="R51" i="79" l="1"/>
  <c r="Q51" i="79"/>
  <c r="F40" i="35"/>
  <c r="E17" i="80"/>
  <c r="F41" i="35" l="1"/>
  <c r="E18" i="80"/>
  <c r="F42" i="35" l="1"/>
  <c r="E19" i="80"/>
  <c r="G11" i="80" l="1"/>
  <c r="E20" i="80"/>
  <c r="G12" i="80" l="1"/>
  <c r="E21" i="80"/>
  <c r="G13" i="80" l="1"/>
  <c r="G14" i="80" l="1"/>
  <c r="G15" i="80" l="1"/>
  <c r="AC8" i="62"/>
  <c r="AC9" i="62" s="1"/>
  <c r="AB8" i="62"/>
  <c r="AB9" i="62" s="1"/>
  <c r="T6" i="50"/>
  <c r="B118" i="60"/>
  <c r="C117" i="60" s="1"/>
  <c r="B29" i="60"/>
  <c r="C23" i="60" s="1"/>
  <c r="P9" i="44"/>
  <c r="G16" i="80" l="1"/>
  <c r="C110" i="60"/>
  <c r="C113" i="60"/>
  <c r="C115" i="60"/>
  <c r="C114" i="60"/>
  <c r="C116" i="60"/>
  <c r="C111" i="60"/>
  <c r="C112" i="60"/>
  <c r="C24" i="60"/>
  <c r="G17" i="80" l="1"/>
  <c r="G18" i="80" l="1"/>
  <c r="I18" i="80" l="1"/>
  <c r="H18" i="80"/>
  <c r="G19" i="80"/>
  <c r="AP3" i="56"/>
  <c r="AP1" i="56"/>
  <c r="T10" i="5"/>
  <c r="G20" i="80" l="1"/>
  <c r="G21" i="80" l="1"/>
  <c r="E53" i="34"/>
  <c r="A8" i="78" l="1"/>
  <c r="W2" i="78"/>
  <c r="C22" i="78" s="1"/>
  <c r="Z1" i="78" a="1"/>
  <c r="Z1" i="78" s="1"/>
  <c r="A20" i="78" l="1"/>
  <c r="A11" i="78" a="1"/>
  <c r="A11" i="78" s="1"/>
  <c r="A19" i="78" a="1"/>
  <c r="A19" i="78" s="1"/>
  <c r="A17" i="78" a="1"/>
  <c r="A17" i="78" s="1"/>
  <c r="A12" i="78" a="1"/>
  <c r="A12" i="78" s="1"/>
  <c r="A18" i="78" a="1"/>
  <c r="A18" i="78" s="1"/>
  <c r="A13" i="78" a="1"/>
  <c r="A13" i="78" s="1"/>
  <c r="A14" i="78" a="1"/>
  <c r="A14" i="78" s="1"/>
  <c r="A15" i="78" a="1"/>
  <c r="A15" i="78" s="1"/>
  <c r="A16" i="78" a="1"/>
  <c r="A16" i="78" s="1"/>
  <c r="A10" i="78" a="1"/>
  <c r="A10" i="78" s="1"/>
  <c r="C13" i="78" a="1"/>
  <c r="C13" i="78" s="1"/>
  <c r="C16" i="78" a="1"/>
  <c r="C16" i="78" s="1"/>
  <c r="C10" i="78" a="1"/>
  <c r="C10" i="78" s="1"/>
  <c r="C19" i="78" a="1"/>
  <c r="C19" i="78" s="1"/>
  <c r="C12" i="78" a="1"/>
  <c r="C12" i="78" s="1"/>
  <c r="C11" i="78" a="1"/>
  <c r="C11" i="78" s="1"/>
  <c r="C14" i="78" a="1"/>
  <c r="C14" i="78" s="1"/>
  <c r="C15" i="78" a="1"/>
  <c r="C15" i="78" s="1"/>
  <c r="C17" i="78" a="1"/>
  <c r="C17" i="78" s="1"/>
  <c r="C18" i="78" a="1"/>
  <c r="C18" i="78" s="1"/>
  <c r="A21" i="78"/>
  <c r="C21" i="78"/>
  <c r="C20" i="78" l="1"/>
  <c r="D20" i="78" s="1"/>
  <c r="D16" i="78"/>
  <c r="D18" i="78"/>
  <c r="D15" i="78"/>
  <c r="D19" i="78"/>
  <c r="D14" i="78"/>
  <c r="D10" i="78"/>
  <c r="D11" i="78"/>
  <c r="D12" i="78"/>
  <c r="D13" i="78"/>
  <c r="D17" i="78"/>
  <c r="A23" i="78"/>
  <c r="A29" i="78"/>
  <c r="W1" i="78"/>
  <c r="A25" i="78"/>
  <c r="W2" i="77" l="1"/>
  <c r="Z8" i="51" l="1"/>
  <c r="Z9" i="51" s="1"/>
  <c r="Y1" i="73" l="1"/>
  <c r="Z1" i="73" a="1"/>
  <c r="Z1" i="73" s="1"/>
  <c r="W2" i="73"/>
  <c r="C21" i="73" s="1"/>
  <c r="Z1" i="4" a="1"/>
  <c r="Z1" i="4" s="1"/>
  <c r="Y2" i="73" l="1"/>
  <c r="Y3" i="73" s="1"/>
  <c r="Y4" i="73" s="1"/>
  <c r="Y5" i="73" s="1"/>
  <c r="Y6" i="73" s="1"/>
  <c r="Y7" i="73" s="1"/>
  <c r="Y8" i="73" s="1"/>
  <c r="Y9" i="73" s="1"/>
  <c r="Y10" i="73" s="1"/>
  <c r="Y11" i="73" s="1"/>
  <c r="Y12" i="73" s="1"/>
  <c r="Y13" i="73" s="1"/>
  <c r="Y14" i="73" s="1"/>
  <c r="Y15" i="73" s="1"/>
  <c r="Y16" i="73" s="1"/>
  <c r="Y17" i="73" s="1"/>
  <c r="Y18" i="73" s="1"/>
  <c r="Y19" i="73" s="1"/>
  <c r="Y20" i="73" s="1"/>
  <c r="Y21" i="73" s="1"/>
  <c r="Y22" i="73" s="1"/>
  <c r="Y23" i="73" s="1"/>
  <c r="Y24" i="73" s="1"/>
  <c r="Y25" i="73" s="1"/>
  <c r="Z1" i="75" a="1"/>
  <c r="Z1" i="75" s="1"/>
  <c r="Z1" i="74" a="1"/>
  <c r="Z1" i="74" s="1"/>
  <c r="Z1" i="76" a="1"/>
  <c r="Z1" i="76" s="1"/>
  <c r="Z1" i="77" a="1"/>
  <c r="Z1" i="77" s="1"/>
  <c r="A21" i="77"/>
  <c r="A8" i="77"/>
  <c r="C18" i="77" l="1" a="1"/>
  <c r="C18" i="77" s="1"/>
  <c r="A12" i="77" a="1"/>
  <c r="A12" i="77" s="1"/>
  <c r="A16" i="77" a="1"/>
  <c r="A16" i="77" s="1"/>
  <c r="A19" i="77" a="1"/>
  <c r="A19" i="77" s="1"/>
  <c r="C10" i="77" a="1"/>
  <c r="C10" i="77" s="1"/>
  <c r="C14" i="77" a="1"/>
  <c r="C14" i="77" s="1"/>
  <c r="A11" i="77" a="1"/>
  <c r="A11" i="77" s="1"/>
  <c r="A15" i="77" a="1"/>
  <c r="A15" i="77" s="1"/>
  <c r="A18" i="77" a="1"/>
  <c r="A18" i="77" s="1"/>
  <c r="C11" i="77" a="1"/>
  <c r="C11" i="77" s="1"/>
  <c r="C15" i="77" a="1"/>
  <c r="C15" i="77" s="1"/>
  <c r="C19" i="77" a="1"/>
  <c r="C19" i="77" s="1"/>
  <c r="C13" i="77" a="1"/>
  <c r="C13" i="77" s="1"/>
  <c r="C12" i="77" a="1"/>
  <c r="C12" i="77" s="1"/>
  <c r="C16" i="77" a="1"/>
  <c r="C16" i="77" s="1"/>
  <c r="A13" i="77" a="1"/>
  <c r="A13" i="77" s="1"/>
  <c r="A17" i="77" a="1"/>
  <c r="A17" i="77" s="1"/>
  <c r="A10" i="77" a="1"/>
  <c r="A10" i="77" s="1"/>
  <c r="A14" i="77" a="1"/>
  <c r="A14" i="77" s="1"/>
  <c r="C17" i="77" a="1"/>
  <c r="C17" i="77" s="1"/>
  <c r="C21" i="77"/>
  <c r="W1" i="77" s="1"/>
  <c r="A20" i="77"/>
  <c r="D11" i="77" l="1"/>
  <c r="D13" i="77"/>
  <c r="D10" i="77"/>
  <c r="D19" i="77"/>
  <c r="D14" i="77"/>
  <c r="D17" i="77"/>
  <c r="D15" i="77"/>
  <c r="D12" i="77"/>
  <c r="C20" i="77"/>
  <c r="D20" i="77" s="1"/>
  <c r="D16" i="77"/>
  <c r="D18" i="77"/>
  <c r="A25" i="77"/>
  <c r="A23" i="77"/>
  <c r="A8" i="76" l="1"/>
  <c r="W2" i="76"/>
  <c r="A16" i="76" s="1"/>
  <c r="A8" i="74"/>
  <c r="W2" i="75"/>
  <c r="A21" i="75" s="1"/>
  <c r="C14" i="76" l="1" a="1"/>
  <c r="C14" i="76" s="1"/>
  <c r="A10" i="76" a="1"/>
  <c r="A10" i="76" s="1"/>
  <c r="C16" i="76"/>
  <c r="W1" i="76" s="1"/>
  <c r="C10" i="76" a="1"/>
  <c r="C10" i="76" s="1"/>
  <c r="A11" i="76" a="1"/>
  <c r="A11" i="76" s="1"/>
  <c r="C11" i="76" a="1"/>
  <c r="C11" i="76" s="1"/>
  <c r="A13" i="76" a="1"/>
  <c r="A13" i="76" s="1"/>
  <c r="A14" i="76" a="1"/>
  <c r="A14" i="76" s="1"/>
  <c r="C13" i="76" a="1"/>
  <c r="C13" i="76" s="1"/>
  <c r="A12" i="76" a="1"/>
  <c r="A12" i="76" s="1"/>
  <c r="A15" i="76"/>
  <c r="C12" i="76" a="1"/>
  <c r="C12" i="76" s="1"/>
  <c r="A16" i="75" a="1"/>
  <c r="A16" i="75" s="1"/>
  <c r="C19" i="75" a="1"/>
  <c r="C19" i="75" s="1"/>
  <c r="C21" i="75"/>
  <c r="C11" i="75" a="1"/>
  <c r="C11" i="75" s="1"/>
  <c r="A12" i="75" a="1"/>
  <c r="A12" i="75" s="1"/>
  <c r="C12" i="75" a="1"/>
  <c r="C12" i="75" s="1"/>
  <c r="A15" i="75" a="1"/>
  <c r="A15" i="75" s="1"/>
  <c r="C15" i="75" a="1"/>
  <c r="C15" i="75" s="1"/>
  <c r="C16" i="75" a="1"/>
  <c r="C16" i="75" s="1"/>
  <c r="A11" i="75" a="1"/>
  <c r="A11" i="75" s="1"/>
  <c r="A19" i="75" a="1"/>
  <c r="A19" i="75" s="1"/>
  <c r="A13" i="75" a="1"/>
  <c r="A13" i="75" s="1"/>
  <c r="A17" i="75" a="1"/>
  <c r="A17" i="75" s="1"/>
  <c r="A20" i="75"/>
  <c r="C13" i="75" a="1"/>
  <c r="C13" i="75" s="1"/>
  <c r="C17" i="75" a="1"/>
  <c r="C17" i="75" s="1"/>
  <c r="A10" i="75" a="1"/>
  <c r="A10" i="75" s="1"/>
  <c r="A14" i="75" a="1"/>
  <c r="A14" i="75" s="1"/>
  <c r="A18" i="75" a="1"/>
  <c r="A18" i="75" s="1"/>
  <c r="C10" i="75" a="1"/>
  <c r="C10" i="75" s="1"/>
  <c r="C14" i="75" a="1"/>
  <c r="C14" i="75" s="1"/>
  <c r="C18" i="75" a="1"/>
  <c r="C18" i="75" s="1"/>
  <c r="W1" i="75" l="1"/>
  <c r="D12" i="76"/>
  <c r="D13" i="76"/>
  <c r="D16" i="75"/>
  <c r="D11" i="76"/>
  <c r="D14" i="76"/>
  <c r="D10" i="75"/>
  <c r="D13" i="75"/>
  <c r="D17" i="75"/>
  <c r="D14" i="75"/>
  <c r="C15" i="76"/>
  <c r="D15" i="76" s="1"/>
  <c r="D18" i="75"/>
  <c r="D12" i="75"/>
  <c r="D19" i="75"/>
  <c r="D15" i="75"/>
  <c r="D11" i="75"/>
  <c r="A18" i="76"/>
  <c r="A20" i="76"/>
  <c r="D10" i="76"/>
  <c r="C20" i="75"/>
  <c r="D20" i="75" s="1"/>
  <c r="A25" i="75"/>
  <c r="A23" i="75"/>
  <c r="W2" i="74"/>
  <c r="A21" i="74" s="1"/>
  <c r="C12" i="74" l="1" a="1"/>
  <c r="C12" i="74" s="1"/>
  <c r="C16" i="74" a="1"/>
  <c r="C16" i="74" s="1"/>
  <c r="C13" i="74" a="1"/>
  <c r="C13" i="74" s="1"/>
  <c r="C17" i="74" a="1"/>
  <c r="C17" i="74" s="1"/>
  <c r="A17" i="74" a="1"/>
  <c r="A17" i="74" s="1"/>
  <c r="A10" i="74" a="1"/>
  <c r="A10" i="74" s="1"/>
  <c r="C14" i="74" a="1"/>
  <c r="C14" i="74" s="1"/>
  <c r="A11" i="74" a="1"/>
  <c r="A11" i="74" s="1"/>
  <c r="A15" i="74" a="1"/>
  <c r="A15" i="74" s="1"/>
  <c r="A19" i="74" a="1"/>
  <c r="A19" i="74" s="1"/>
  <c r="A18" i="74" a="1"/>
  <c r="A18" i="74" s="1"/>
  <c r="C10" i="74" a="1"/>
  <c r="C10" i="74" s="1"/>
  <c r="C11" i="74" a="1"/>
  <c r="C11" i="74" s="1"/>
  <c r="C15" i="74" a="1"/>
  <c r="C15" i="74" s="1"/>
  <c r="C19" i="74" a="1"/>
  <c r="C19" i="74" s="1"/>
  <c r="A13" i="74" a="1"/>
  <c r="A13" i="74" s="1"/>
  <c r="A14" i="74" a="1"/>
  <c r="A14" i="74" s="1"/>
  <c r="C18" i="74" a="1"/>
  <c r="C18" i="74" s="1"/>
  <c r="A12" i="74" a="1"/>
  <c r="A12" i="74" s="1"/>
  <c r="A16" i="74" a="1"/>
  <c r="A16" i="74" s="1"/>
  <c r="C21" i="74"/>
  <c r="W1" i="74" s="1"/>
  <c r="A20" i="74"/>
  <c r="C20" i="74" l="1"/>
  <c r="D20" i="74" s="1"/>
  <c r="D18" i="74"/>
  <c r="D13" i="74"/>
  <c r="D15" i="74"/>
  <c r="D16" i="74"/>
  <c r="D12" i="74"/>
  <c r="D10" i="74"/>
  <c r="D11" i="74"/>
  <c r="D17" i="74"/>
  <c r="D19" i="74"/>
  <c r="D14" i="74"/>
  <c r="A25" i="74"/>
  <c r="A23" i="74"/>
  <c r="A8" i="73"/>
  <c r="W2" i="4"/>
  <c r="Y1" i="76" l="1"/>
  <c r="Y2" i="76" s="1"/>
  <c r="Y3" i="76" s="1"/>
  <c r="Y4" i="76" s="1"/>
  <c r="Y5" i="76" s="1"/>
  <c r="Y6" i="76" s="1"/>
  <c r="Y7" i="76" s="1"/>
  <c r="Y8" i="76" s="1"/>
  <c r="Y9" i="76" s="1"/>
  <c r="Y10" i="76" s="1"/>
  <c r="Y11" i="76" s="1"/>
  <c r="Y12" i="76" s="1"/>
  <c r="Y13" i="76" s="1"/>
  <c r="Y14" i="76" s="1"/>
  <c r="Y15" i="76" s="1"/>
  <c r="Y16" i="76" s="1"/>
  <c r="Y17" i="76" s="1"/>
  <c r="Y18" i="76" s="1"/>
  <c r="Y19" i="76" s="1"/>
  <c r="Y20" i="76" s="1"/>
  <c r="Y21" i="76" s="1"/>
  <c r="Y22" i="76" s="1"/>
  <c r="Y23" i="76" s="1"/>
  <c r="Y24" i="76" s="1"/>
  <c r="Y25" i="76" s="1"/>
  <c r="Y1" i="77"/>
  <c r="Y2" i="77" s="1"/>
  <c r="Y3" i="77" s="1"/>
  <c r="Y4" i="77" s="1"/>
  <c r="Y5" i="77" s="1"/>
  <c r="Y6" i="77" s="1"/>
  <c r="Y7" i="77" s="1"/>
  <c r="Y8" i="77" s="1"/>
  <c r="Y9" i="77" s="1"/>
  <c r="Y10" i="77" s="1"/>
  <c r="Y11" i="77" s="1"/>
  <c r="Y12" i="77" s="1"/>
  <c r="Y13" i="77" s="1"/>
  <c r="Y14" i="77" s="1"/>
  <c r="Y15" i="77" s="1"/>
  <c r="Y16" i="77" s="1"/>
  <c r="Y17" i="77" s="1"/>
  <c r="Y18" i="77" s="1"/>
  <c r="Y19" i="77" s="1"/>
  <c r="Y20" i="77" s="1"/>
  <c r="Y21" i="77" s="1"/>
  <c r="Y22" i="77" s="1"/>
  <c r="Y23" i="77" s="1"/>
  <c r="Y24" i="77" s="1"/>
  <c r="Y25" i="77" s="1"/>
  <c r="Y1" i="75"/>
  <c r="Y2" i="75" s="1"/>
  <c r="Y3" i="75" s="1"/>
  <c r="Y4" i="75" s="1"/>
  <c r="Y5" i="75" s="1"/>
  <c r="Y6" i="75" s="1"/>
  <c r="Y7" i="75" s="1"/>
  <c r="Y8" i="75" s="1"/>
  <c r="Y9" i="75" s="1"/>
  <c r="Y10" i="75" s="1"/>
  <c r="Y11" i="75" s="1"/>
  <c r="Y12" i="75" s="1"/>
  <c r="Y13" i="75" s="1"/>
  <c r="Y14" i="75" s="1"/>
  <c r="Y15" i="75" s="1"/>
  <c r="Y16" i="75" s="1"/>
  <c r="Y17" i="75" s="1"/>
  <c r="Y18" i="75" s="1"/>
  <c r="Y19" i="75" s="1"/>
  <c r="Y20" i="75" s="1"/>
  <c r="Y21" i="75" s="1"/>
  <c r="Y22" i="75" s="1"/>
  <c r="Y23" i="75" s="1"/>
  <c r="Y24" i="75" s="1"/>
  <c r="Y25" i="75" s="1"/>
  <c r="Y1" i="78"/>
  <c r="Y2" i="78" s="1"/>
  <c r="Y3" i="78" s="1"/>
  <c r="Y4" i="78" s="1"/>
  <c r="Y5" i="78" s="1"/>
  <c r="Y6" i="78" s="1"/>
  <c r="Y7" i="78" s="1"/>
  <c r="Y8" i="78" s="1"/>
  <c r="Y9" i="78" s="1"/>
  <c r="Y10" i="78" s="1"/>
  <c r="Y11" i="78" s="1"/>
  <c r="Y12" i="78" s="1"/>
  <c r="Y13" i="78" s="1"/>
  <c r="Y14" i="78" s="1"/>
  <c r="Y15" i="78" s="1"/>
  <c r="Y16" i="78" s="1"/>
  <c r="Y17" i="78" s="1"/>
  <c r="Y18" i="78" s="1"/>
  <c r="Y19" i="78" s="1"/>
  <c r="Y20" i="78" s="1"/>
  <c r="Y21" i="78" s="1"/>
  <c r="Y22" i="78" s="1"/>
  <c r="Y23" i="78" s="1"/>
  <c r="Y24" i="78" s="1"/>
  <c r="Y25" i="78" s="1"/>
  <c r="Y1" i="4"/>
  <c r="Y2" i="4" s="1"/>
  <c r="Y3" i="4" s="1"/>
  <c r="Y4" i="4" s="1"/>
  <c r="Y5" i="4" s="1"/>
  <c r="Y6" i="4" s="1"/>
  <c r="Y7" i="4" s="1"/>
  <c r="Y8" i="4" s="1"/>
  <c r="Y9" i="4" s="1"/>
  <c r="Y10" i="4" s="1"/>
  <c r="Y11" i="4" s="1"/>
  <c r="Y12" i="4" s="1"/>
  <c r="Y13" i="4" s="1"/>
  <c r="Y14" i="4" s="1"/>
  <c r="Y15" i="4" s="1"/>
  <c r="Y16" i="4" s="1"/>
  <c r="Y17" i="4" s="1"/>
  <c r="Y18" i="4" s="1"/>
  <c r="Y19" i="4" s="1"/>
  <c r="Y20" i="4" s="1"/>
  <c r="Y21" i="4" s="1"/>
  <c r="Y22" i="4" s="1"/>
  <c r="Y23" i="4" s="1"/>
  <c r="Y24" i="4" s="1"/>
  <c r="Y25" i="4" s="1"/>
  <c r="Y2" i="74"/>
  <c r="Y3" i="74" s="1"/>
  <c r="Y4" i="74" s="1"/>
  <c r="Y5" i="74" s="1"/>
  <c r="Y6" i="74" s="1"/>
  <c r="Y7" i="74" s="1"/>
  <c r="Y8" i="74" s="1"/>
  <c r="Y9" i="74" s="1"/>
  <c r="Y10" i="74" s="1"/>
  <c r="Y11" i="74" s="1"/>
  <c r="Y12" i="74" s="1"/>
  <c r="Y13" i="74" s="1"/>
  <c r="Y14" i="74" s="1"/>
  <c r="Y15" i="74" s="1"/>
  <c r="Y16" i="74" s="1"/>
  <c r="Y17" i="74" s="1"/>
  <c r="Y18" i="74" s="1"/>
  <c r="Y19" i="74" s="1"/>
  <c r="Y20" i="74" s="1"/>
  <c r="Y21" i="74" s="1"/>
  <c r="Y22" i="74" s="1"/>
  <c r="Y23" i="74" s="1"/>
  <c r="Y24" i="74" s="1"/>
  <c r="Y25" i="74" s="1"/>
  <c r="C18" i="4" a="1"/>
  <c r="C18" i="4" s="1"/>
  <c r="C14" i="4" a="1"/>
  <c r="C14" i="4" s="1"/>
  <c r="C10" i="4" a="1"/>
  <c r="C10" i="4" s="1"/>
  <c r="C17" i="4" a="1"/>
  <c r="C17" i="4" s="1"/>
  <c r="C13" i="4" a="1"/>
  <c r="C13" i="4" s="1"/>
  <c r="A19" i="4" a="1"/>
  <c r="A19" i="4" s="1"/>
  <c r="A18" i="4" a="1"/>
  <c r="A18" i="4" s="1"/>
  <c r="A14" i="4" a="1"/>
  <c r="A14" i="4" s="1"/>
  <c r="A10" i="4" a="1"/>
  <c r="A10" i="4" s="1"/>
  <c r="A15" i="4" a="1"/>
  <c r="A15" i="4" s="1"/>
  <c r="A17" i="4" a="1"/>
  <c r="A17" i="4" s="1"/>
  <c r="A13" i="4" a="1"/>
  <c r="A13" i="4" s="1"/>
  <c r="C16" i="4" a="1"/>
  <c r="C16" i="4" s="1"/>
  <c r="C12" i="4" a="1"/>
  <c r="C12" i="4" s="1"/>
  <c r="C21" i="4"/>
  <c r="W1" i="4" s="1"/>
  <c r="A16" i="4" a="1"/>
  <c r="A16" i="4" s="1"/>
  <c r="A12" i="4" a="1"/>
  <c r="A12" i="4" s="1"/>
  <c r="C19" i="4" a="1"/>
  <c r="C19" i="4" s="1"/>
  <c r="C15" i="4" a="1"/>
  <c r="C15" i="4" s="1"/>
  <c r="C11" i="4" a="1"/>
  <c r="C11" i="4" s="1"/>
  <c r="A11" i="4" a="1"/>
  <c r="A11" i="4" s="1"/>
  <c r="A21" i="73"/>
  <c r="A17" i="73" a="1"/>
  <c r="A17" i="73" s="1"/>
  <c r="A13" i="73" a="1"/>
  <c r="A13" i="73" s="1"/>
  <c r="C16" i="73" a="1"/>
  <c r="C16" i="73" s="1"/>
  <c r="C12" i="73" a="1"/>
  <c r="C12" i="73" s="1"/>
  <c r="W1" i="73"/>
  <c r="A16" i="73" a="1"/>
  <c r="A16" i="73" s="1"/>
  <c r="A12" i="73" a="1"/>
  <c r="A12" i="73" s="1"/>
  <c r="C19" i="73" a="1"/>
  <c r="C19" i="73" s="1"/>
  <c r="C15" i="73" a="1"/>
  <c r="C15" i="73" s="1"/>
  <c r="C11" i="73" a="1"/>
  <c r="C11" i="73" s="1"/>
  <c r="A19" i="73" a="1"/>
  <c r="A19" i="73" s="1"/>
  <c r="A15" i="73" a="1"/>
  <c r="A15" i="73" s="1"/>
  <c r="A11" i="73" a="1"/>
  <c r="A11" i="73" s="1"/>
  <c r="C18" i="73" a="1"/>
  <c r="C18" i="73" s="1"/>
  <c r="C14" i="73" a="1"/>
  <c r="C14" i="73" s="1"/>
  <c r="C10" i="73" a="1"/>
  <c r="C10" i="73" s="1"/>
  <c r="A18" i="73" a="1"/>
  <c r="A18" i="73" s="1"/>
  <c r="A14" i="73" a="1"/>
  <c r="A14" i="73" s="1"/>
  <c r="A10" i="73" a="1"/>
  <c r="A10" i="73" s="1"/>
  <c r="C17" i="73" a="1"/>
  <c r="C17" i="73" s="1"/>
  <c r="C13" i="73" a="1"/>
  <c r="C13" i="73" s="1"/>
  <c r="A20" i="73"/>
  <c r="A20" i="4"/>
  <c r="A21" i="4"/>
  <c r="C20" i="4" l="1"/>
  <c r="D20" i="4" s="1"/>
  <c r="D10" i="4"/>
  <c r="D16" i="73"/>
  <c r="C20" i="73"/>
  <c r="D20" i="73" s="1"/>
  <c r="D15" i="73"/>
  <c r="D11" i="73"/>
  <c r="D10" i="73"/>
  <c r="D12" i="73"/>
  <c r="D14" i="73"/>
  <c r="D18" i="73"/>
  <c r="D13" i="73"/>
  <c r="D19" i="73"/>
  <c r="D17" i="73"/>
  <c r="A25" i="73"/>
  <c r="A23" i="73"/>
  <c r="A25" i="4"/>
  <c r="A23" i="4"/>
  <c r="D19" i="4"/>
  <c r="D16" i="4"/>
  <c r="D14" i="4"/>
  <c r="D18" i="4"/>
  <c r="D13" i="4"/>
  <c r="D15" i="4"/>
  <c r="D17" i="4"/>
  <c r="D12" i="4"/>
  <c r="D11" i="4"/>
  <c r="H65" i="54" l="1"/>
  <c r="H66" i="54"/>
  <c r="H67" i="54"/>
  <c r="H68" i="54"/>
  <c r="N71" i="52" l="1"/>
  <c r="N72" i="52"/>
  <c r="N73" i="52"/>
  <c r="N74" i="52"/>
  <c r="N75" i="52"/>
  <c r="N76" i="52"/>
  <c r="N77" i="52"/>
  <c r="N78" i="52"/>
  <c r="N79" i="52"/>
  <c r="N80" i="52"/>
  <c r="N81" i="52"/>
  <c r="N82" i="52"/>
  <c r="N83" i="52"/>
  <c r="N84" i="52"/>
  <c r="N85" i="52"/>
  <c r="N86" i="52"/>
  <c r="N87" i="52"/>
  <c r="N88" i="52"/>
  <c r="N89" i="52"/>
  <c r="N90" i="52"/>
  <c r="N91" i="52"/>
  <c r="N92" i="52"/>
  <c r="N93" i="52"/>
  <c r="N94" i="52"/>
  <c r="N95" i="52"/>
  <c r="N96" i="52"/>
  <c r="N97" i="52"/>
  <c r="N98" i="52"/>
  <c r="N99" i="52"/>
  <c r="N100" i="52"/>
  <c r="N101" i="52"/>
  <c r="N102" i="52"/>
  <c r="N103" i="52"/>
  <c r="N104" i="52"/>
  <c r="N105" i="52"/>
  <c r="N106" i="52"/>
  <c r="N107" i="52"/>
  <c r="N108" i="52"/>
  <c r="N109" i="52"/>
  <c r="N110" i="52"/>
  <c r="N111" i="52"/>
  <c r="N112" i="52"/>
  <c r="N113" i="52"/>
  <c r="N114" i="52"/>
  <c r="N115" i="52"/>
  <c r="N116" i="52"/>
  <c r="N117" i="52"/>
  <c r="N118" i="52"/>
  <c r="N119" i="52"/>
  <c r="N120" i="52"/>
  <c r="N121" i="52"/>
  <c r="N122" i="52"/>
  <c r="N123" i="52"/>
  <c r="N124" i="52"/>
  <c r="N125" i="52"/>
  <c r="N126" i="52"/>
  <c r="N127" i="52"/>
  <c r="N128" i="52"/>
  <c r="N129" i="52"/>
  <c r="N130" i="52"/>
  <c r="N131" i="52"/>
  <c r="N132" i="52"/>
  <c r="N133" i="52"/>
  <c r="N134" i="52"/>
  <c r="N135" i="52"/>
  <c r="N136" i="52"/>
  <c r="N137" i="52"/>
  <c r="N138" i="52"/>
  <c r="N139" i="52"/>
  <c r="N140" i="52"/>
  <c r="N141" i="52"/>
  <c r="N142" i="52"/>
  <c r="N143" i="52"/>
  <c r="N144" i="52"/>
  <c r="N145" i="52"/>
  <c r="N146" i="52"/>
  <c r="N147" i="52"/>
  <c r="N148" i="52"/>
  <c r="N149" i="52"/>
  <c r="N150" i="52"/>
  <c r="N151" i="52"/>
  <c r="N152" i="52"/>
  <c r="N153" i="52"/>
  <c r="N154" i="52"/>
  <c r="N155" i="52"/>
  <c r="N156" i="52"/>
  <c r="N157" i="52"/>
  <c r="N158" i="52"/>
  <c r="N159" i="52"/>
  <c r="N160" i="52"/>
  <c r="N161" i="52"/>
  <c r="N162" i="52"/>
  <c r="N163" i="52"/>
  <c r="N164" i="52"/>
  <c r="N165" i="52"/>
  <c r="N166" i="52"/>
  <c r="N167" i="52"/>
  <c r="N168" i="52"/>
  <c r="N169" i="52"/>
  <c r="N170" i="52"/>
  <c r="N171" i="52"/>
  <c r="N172" i="52"/>
  <c r="N173" i="52"/>
  <c r="N174" i="52"/>
  <c r="N175" i="52"/>
  <c r="N176" i="52"/>
  <c r="N177" i="52"/>
  <c r="N178" i="52"/>
  <c r="N179" i="52"/>
  <c r="N180" i="52"/>
  <c r="N181" i="52"/>
  <c r="N182" i="52"/>
  <c r="N183" i="52"/>
  <c r="N184" i="52"/>
  <c r="N185" i="52"/>
  <c r="N186" i="52"/>
  <c r="N187" i="52"/>
  <c r="N188" i="52"/>
  <c r="N189" i="52"/>
  <c r="N190" i="52"/>
  <c r="N191" i="52"/>
  <c r="N192" i="52"/>
  <c r="N193" i="52"/>
  <c r="N194" i="52"/>
  <c r="N195" i="52"/>
  <c r="N196" i="52"/>
  <c r="N197" i="52"/>
  <c r="N198" i="52"/>
  <c r="N199" i="52"/>
  <c r="N200" i="52"/>
  <c r="N201" i="52"/>
  <c r="N202" i="52"/>
  <c r="N203" i="52"/>
  <c r="N204" i="52"/>
  <c r="N205" i="52"/>
  <c r="N206" i="52"/>
  <c r="N207" i="52"/>
  <c r="N208" i="52"/>
  <c r="N209" i="52"/>
  <c r="N210" i="52"/>
  <c r="N211" i="52"/>
  <c r="N212" i="52"/>
  <c r="N213" i="52"/>
  <c r="N214" i="52"/>
  <c r="N215" i="52"/>
  <c r="N216" i="52"/>
  <c r="N217" i="52"/>
  <c r="N218" i="52"/>
  <c r="N219" i="52"/>
  <c r="N220" i="52"/>
  <c r="N221" i="52"/>
  <c r="N222" i="52"/>
  <c r="N223" i="52"/>
  <c r="N224" i="52"/>
  <c r="N225" i="52"/>
  <c r="N226" i="52"/>
  <c r="N227" i="52"/>
  <c r="N228" i="52"/>
  <c r="N229" i="52"/>
  <c r="N230" i="52"/>
  <c r="N231" i="52"/>
  <c r="N232" i="52"/>
  <c r="N233" i="52"/>
  <c r="N234" i="52"/>
  <c r="N235" i="52"/>
  <c r="N236" i="52"/>
  <c r="N237" i="52"/>
  <c r="N238" i="52"/>
  <c r="N239" i="52"/>
  <c r="N240" i="52"/>
  <c r="N241" i="52"/>
  <c r="N242" i="52"/>
  <c r="N243" i="52"/>
  <c r="N244" i="52"/>
  <c r="N245" i="52"/>
  <c r="N246" i="52"/>
  <c r="N247" i="52"/>
  <c r="N248" i="52"/>
  <c r="N249" i="52"/>
  <c r="N250" i="52"/>
  <c r="L79" i="52"/>
  <c r="M79" i="52"/>
  <c r="M80" i="52"/>
  <c r="M81" i="52"/>
  <c r="M82" i="52"/>
  <c r="L83" i="52"/>
  <c r="M83" i="52"/>
  <c r="L84" i="52"/>
  <c r="M84" i="52"/>
  <c r="L85" i="52"/>
  <c r="M85" i="52"/>
  <c r="L86" i="52"/>
  <c r="A86" i="52" s="1"/>
  <c r="M86" i="52"/>
  <c r="L88" i="52"/>
  <c r="M88" i="52"/>
  <c r="L89" i="52"/>
  <c r="M89" i="52"/>
  <c r="L90" i="52"/>
  <c r="M90" i="52"/>
  <c r="L91" i="52"/>
  <c r="A91" i="52" s="1"/>
  <c r="M91" i="52"/>
  <c r="L92" i="52"/>
  <c r="M92" i="52"/>
  <c r="L93" i="52"/>
  <c r="M93" i="52"/>
  <c r="L94" i="52"/>
  <c r="M94" i="52"/>
  <c r="L95" i="52"/>
  <c r="A95" i="52" s="1"/>
  <c r="M95" i="52"/>
  <c r="L96" i="52"/>
  <c r="M96" i="52"/>
  <c r="L97" i="52"/>
  <c r="M97" i="52"/>
  <c r="L98" i="52"/>
  <c r="M98" i="52"/>
  <c r="L99" i="52"/>
  <c r="A99" i="52" s="1"/>
  <c r="M99" i="52"/>
  <c r="L100" i="52"/>
  <c r="M100" i="52"/>
  <c r="AH72" i="62" l="1"/>
  <c r="AH73" i="51"/>
  <c r="AG73" i="51"/>
  <c r="AH72" i="51"/>
  <c r="AG71" i="62"/>
  <c r="AH71" i="62"/>
  <c r="AG72" i="51"/>
  <c r="AH71" i="51"/>
  <c r="AG73" i="62"/>
  <c r="AG71" i="51"/>
  <c r="AH73" i="62"/>
  <c r="AG72" i="62"/>
  <c r="AE71" i="51"/>
  <c r="AF71" i="51"/>
  <c r="AE72" i="51"/>
  <c r="AF72" i="51"/>
  <c r="AE73" i="51"/>
  <c r="AF73" i="51"/>
  <c r="G37" i="42"/>
  <c r="D37" i="42"/>
  <c r="E37" i="42" s="1"/>
  <c r="A98" i="52"/>
  <c r="A94" i="52"/>
  <c r="A90" i="52"/>
  <c r="A97" i="52"/>
  <c r="A93" i="52"/>
  <c r="A89" i="52"/>
  <c r="A100" i="52"/>
  <c r="A96" i="52"/>
  <c r="A92" i="52"/>
  <c r="A88" i="52"/>
  <c r="A85" i="52"/>
  <c r="A84" i="52"/>
  <c r="A83" i="52"/>
  <c r="A82" i="52"/>
  <c r="A81" i="52"/>
  <c r="A80" i="52"/>
  <c r="A79" i="52"/>
  <c r="C11" i="42"/>
  <c r="B9" i="42"/>
  <c r="C9" i="42" s="1"/>
  <c r="B10" i="42"/>
  <c r="C10" i="42" s="1"/>
  <c r="B11" i="42"/>
  <c r="B12" i="42"/>
  <c r="C12" i="42" s="1"/>
  <c r="B13" i="42"/>
  <c r="C13" i="42" s="1"/>
  <c r="B14" i="42"/>
  <c r="C14" i="42" s="1"/>
  <c r="B15" i="42"/>
  <c r="C15" i="42" s="1"/>
  <c r="B16" i="42"/>
  <c r="C16" i="42" s="1"/>
  <c r="B17" i="42"/>
  <c r="C17" i="42" s="1"/>
  <c r="B35" i="42"/>
  <c r="C35" i="42" s="1"/>
  <c r="B36" i="42"/>
  <c r="C36" i="42" s="1"/>
  <c r="B19" i="42"/>
  <c r="C19" i="42" s="1"/>
  <c r="B20" i="42"/>
  <c r="C20" i="42" s="1"/>
  <c r="B21" i="42"/>
  <c r="C21" i="42" s="1"/>
  <c r="B22" i="42"/>
  <c r="C22" i="42" s="1"/>
  <c r="B23" i="42"/>
  <c r="C23" i="42" s="1"/>
  <c r="B24" i="42"/>
  <c r="C24" i="42" s="1"/>
  <c r="B25" i="42"/>
  <c r="C25" i="42" s="1"/>
  <c r="B26" i="42"/>
  <c r="C26" i="42" s="1"/>
  <c r="B27" i="42"/>
  <c r="C27" i="42" s="1"/>
  <c r="B28" i="42"/>
  <c r="C28" i="42" s="1"/>
  <c r="B29" i="42"/>
  <c r="C29" i="42" s="1"/>
  <c r="B30" i="42"/>
  <c r="C30" i="42" s="1"/>
  <c r="B31" i="42"/>
  <c r="C31" i="42" s="1"/>
  <c r="B32" i="42"/>
  <c r="C32" i="42" s="1"/>
  <c r="B33" i="42"/>
  <c r="C33" i="42" s="1"/>
  <c r="B34" i="42"/>
  <c r="C34" i="42" s="1"/>
  <c r="B18" i="42"/>
  <c r="C18" i="42" s="1"/>
  <c r="F37" i="42" l="1"/>
  <c r="H37" i="42" s="1"/>
  <c r="I38" i="42" s="1"/>
  <c r="N56" i="52" l="1"/>
  <c r="F6" i="11" l="1"/>
  <c r="H6" i="53"/>
  <c r="G6" i="13"/>
  <c r="G6" i="18"/>
  <c r="S6" i="18" s="1"/>
  <c r="G6" i="59"/>
  <c r="I6" i="30"/>
  <c r="F6" i="37"/>
  <c r="F8" i="37" s="1"/>
  <c r="C103" i="60"/>
  <c r="C102" i="60"/>
  <c r="C101" i="60"/>
  <c r="C100" i="60"/>
  <c r="C99" i="60"/>
  <c r="C98" i="60"/>
  <c r="C97" i="60"/>
  <c r="C96" i="60"/>
  <c r="C95" i="60"/>
  <c r="C94" i="60"/>
  <c r="C93" i="60"/>
  <c r="C92" i="60"/>
  <c r="C91" i="60"/>
  <c r="C90" i="60"/>
  <c r="C89" i="60"/>
  <c r="C28" i="60"/>
  <c r="C27" i="60"/>
  <c r="C26" i="60"/>
  <c r="C25" i="60"/>
  <c r="C22" i="60"/>
  <c r="C21" i="60"/>
  <c r="C20" i="60"/>
  <c r="C19" i="60"/>
  <c r="C18" i="60"/>
  <c r="C17" i="60"/>
  <c r="C16" i="60"/>
  <c r="C15" i="60"/>
  <c r="C14" i="60"/>
  <c r="C13" i="60"/>
  <c r="C12" i="60"/>
  <c r="C11" i="60"/>
  <c r="C10" i="60"/>
  <c r="C9" i="60"/>
  <c r="C8" i="60"/>
  <c r="N70" i="52"/>
  <c r="N69" i="52"/>
  <c r="J68" i="52"/>
  <c r="N68" i="52" s="1"/>
  <c r="G68" i="52"/>
  <c r="J67" i="52"/>
  <c r="N67" i="52" s="1"/>
  <c r="G67" i="52"/>
  <c r="J66" i="52"/>
  <c r="N66" i="52" s="1"/>
  <c r="G66" i="52"/>
  <c r="J65" i="52"/>
  <c r="N65" i="52" s="1"/>
  <c r="G65" i="52"/>
  <c r="J64" i="52"/>
  <c r="N64" i="52" s="1"/>
  <c r="G64" i="52"/>
  <c r="J63" i="52"/>
  <c r="N63" i="52" s="1"/>
  <c r="G63" i="52"/>
  <c r="J62" i="52"/>
  <c r="N62" i="52" s="1"/>
  <c r="G62" i="52"/>
  <c r="J61" i="52"/>
  <c r="N61" i="52" s="1"/>
  <c r="G61" i="52"/>
  <c r="J60" i="52"/>
  <c r="N60" i="52" s="1"/>
  <c r="G60" i="52"/>
  <c r="J59" i="52"/>
  <c r="N59" i="52" s="1"/>
  <c r="G59" i="52"/>
  <c r="J58" i="52"/>
  <c r="N58" i="52" s="1"/>
  <c r="G58" i="52"/>
  <c r="J57" i="52"/>
  <c r="N57" i="52" s="1"/>
  <c r="G57" i="52"/>
  <c r="G56" i="52"/>
  <c r="J55" i="52"/>
  <c r="N55" i="52" s="1"/>
  <c r="G55" i="52"/>
  <c r="J54" i="52"/>
  <c r="N54" i="52" s="1"/>
  <c r="G54" i="52"/>
  <c r="J53" i="52"/>
  <c r="N53" i="52" s="1"/>
  <c r="G53" i="52"/>
  <c r="J52" i="52"/>
  <c r="N52" i="52" s="1"/>
  <c r="G52" i="52"/>
  <c r="J51" i="52"/>
  <c r="N51" i="52" s="1"/>
  <c r="G51" i="52"/>
  <c r="J50" i="52"/>
  <c r="N50" i="52" s="1"/>
  <c r="G50" i="52"/>
  <c r="J49" i="52"/>
  <c r="N49" i="52" s="1"/>
  <c r="G49" i="52"/>
  <c r="J48" i="52"/>
  <c r="N48" i="52" s="1"/>
  <c r="G48" i="52"/>
  <c r="J47" i="52"/>
  <c r="N47" i="52" s="1"/>
  <c r="G47" i="52"/>
  <c r="J46" i="52"/>
  <c r="N46" i="52" s="1"/>
  <c r="G46" i="52"/>
  <c r="J45" i="52"/>
  <c r="N45" i="52" s="1"/>
  <c r="G45" i="52"/>
  <c r="J44" i="52"/>
  <c r="N44" i="52" s="1"/>
  <c r="G44" i="52"/>
  <c r="J43" i="52"/>
  <c r="N43" i="52" s="1"/>
  <c r="G43" i="52"/>
  <c r="J42" i="52"/>
  <c r="N42" i="52" s="1"/>
  <c r="G42" i="52"/>
  <c r="J41" i="52"/>
  <c r="N41" i="52" s="1"/>
  <c r="G41" i="52"/>
  <c r="J40" i="52"/>
  <c r="N40" i="52" s="1"/>
  <c r="G40" i="52"/>
  <c r="J39" i="52"/>
  <c r="N39" i="52" s="1"/>
  <c r="G39" i="52"/>
  <c r="J38" i="52"/>
  <c r="N38" i="52" s="1"/>
  <c r="G38" i="52"/>
  <c r="J37" i="52"/>
  <c r="N37" i="52" s="1"/>
  <c r="G37" i="52"/>
  <c r="J36" i="52"/>
  <c r="N36" i="52" s="1"/>
  <c r="G36" i="52"/>
  <c r="J35" i="52"/>
  <c r="N35" i="52" s="1"/>
  <c r="G35" i="52"/>
  <c r="J34" i="52"/>
  <c r="N34" i="52" s="1"/>
  <c r="G34" i="52"/>
  <c r="J33" i="52"/>
  <c r="N33" i="52" s="1"/>
  <c r="G33" i="52"/>
  <c r="J32" i="52"/>
  <c r="N32" i="52" s="1"/>
  <c r="G32" i="52"/>
  <c r="J31" i="52"/>
  <c r="N31" i="52" s="1"/>
  <c r="G31" i="52"/>
  <c r="J30" i="52"/>
  <c r="N30" i="52" s="1"/>
  <c r="G30" i="52"/>
  <c r="J29" i="52"/>
  <c r="N29" i="52" s="1"/>
  <c r="G29" i="52"/>
  <c r="J28" i="52"/>
  <c r="N28" i="52" s="1"/>
  <c r="G28" i="52"/>
  <c r="J27" i="52"/>
  <c r="N27" i="52" s="1"/>
  <c r="G27" i="52"/>
  <c r="J26" i="52"/>
  <c r="N26" i="52" s="1"/>
  <c r="G26" i="52"/>
  <c r="J25" i="52"/>
  <c r="N25" i="52" s="1"/>
  <c r="G25" i="52"/>
  <c r="J24" i="52"/>
  <c r="N24" i="52" s="1"/>
  <c r="G24" i="52"/>
  <c r="J23" i="52"/>
  <c r="N23" i="52" s="1"/>
  <c r="G23" i="52"/>
  <c r="J22" i="52"/>
  <c r="N22" i="52" s="1"/>
  <c r="G22" i="52"/>
  <c r="J21" i="52"/>
  <c r="N21" i="52" s="1"/>
  <c r="G21" i="52"/>
  <c r="J20" i="52"/>
  <c r="N20" i="52" s="1"/>
  <c r="G20" i="52"/>
  <c r="J19" i="52"/>
  <c r="N19" i="52" s="1"/>
  <c r="G19" i="52"/>
  <c r="J18" i="52"/>
  <c r="N18" i="52" s="1"/>
  <c r="G18" i="52"/>
  <c r="J17" i="52"/>
  <c r="N17" i="52" s="1"/>
  <c r="G17" i="52"/>
  <c r="J16" i="52"/>
  <c r="N16" i="52" s="1"/>
  <c r="G16" i="52"/>
  <c r="J15" i="52"/>
  <c r="N15" i="52" s="1"/>
  <c r="G15" i="52"/>
  <c r="J14" i="52"/>
  <c r="N14" i="52" s="1"/>
  <c r="G14" i="52"/>
  <c r="J13" i="52"/>
  <c r="N13" i="52" s="1"/>
  <c r="G13" i="52"/>
  <c r="J12" i="52"/>
  <c r="N12" i="52" s="1"/>
  <c r="G12" i="52"/>
  <c r="J11" i="52"/>
  <c r="N11" i="52" s="1"/>
  <c r="G11" i="52"/>
  <c r="J10" i="52"/>
  <c r="N10" i="52" s="1"/>
  <c r="G10" i="52"/>
  <c r="J9" i="52"/>
  <c r="N9" i="52" s="1"/>
  <c r="G9" i="52"/>
  <c r="C132" i="63"/>
  <c r="K66" i="63"/>
  <c r="G66" i="63"/>
  <c r="G9" i="59" l="1"/>
  <c r="I8" i="30"/>
  <c r="G8" i="13"/>
  <c r="G8" i="18"/>
  <c r="H9" i="53"/>
  <c r="C109" i="60"/>
  <c r="C108" i="60"/>
  <c r="C107" i="60"/>
  <c r="C106" i="60"/>
  <c r="C105" i="60"/>
  <c r="C104" i="60"/>
  <c r="F8" i="11"/>
  <c r="T37" i="36" l="1"/>
  <c r="T38" i="36" s="1"/>
  <c r="T39" i="36" s="1"/>
  <c r="T40" i="36" s="1"/>
  <c r="T41" i="36" s="1"/>
  <c r="T42" i="36" s="1"/>
  <c r="T43" i="36" s="1"/>
  <c r="T44" i="36" s="1"/>
  <c r="T45" i="36" s="1"/>
  <c r="T46" i="36" s="1"/>
  <c r="T47" i="36" s="1"/>
  <c r="T48" i="36" s="1"/>
  <c r="T49" i="36" s="1"/>
  <c r="T50" i="36" s="1"/>
  <c r="T51" i="36" s="1"/>
  <c r="T52" i="36" s="1"/>
  <c r="T53" i="36" s="1"/>
  <c r="T54" i="36" s="1"/>
  <c r="T55" i="36" s="1"/>
  <c r="T56" i="36" s="1"/>
  <c r="T57" i="36" s="1"/>
  <c r="T58" i="36" s="1"/>
  <c r="T59" i="36" s="1"/>
  <c r="T60" i="36" s="1"/>
  <c r="T61" i="36" s="1"/>
  <c r="Q36" i="61"/>
  <c r="S36" i="28"/>
  <c r="S37" i="28" s="1"/>
  <c r="S38" i="28" s="1"/>
  <c r="S39" i="28" s="1"/>
  <c r="S40" i="28" s="1"/>
  <c r="S41" i="28" s="1"/>
  <c r="S42" i="28" s="1"/>
  <c r="S43" i="28" s="1"/>
  <c r="S44" i="28" s="1"/>
  <c r="S45" i="28" s="1"/>
  <c r="S46" i="28" s="1"/>
  <c r="S47" i="28" s="1"/>
  <c r="S48" i="28" s="1"/>
  <c r="S49" i="28" s="1"/>
  <c r="S50" i="28" s="1"/>
  <c r="S51" i="28" s="1"/>
  <c r="S52" i="28" s="1"/>
  <c r="S53" i="28" s="1"/>
  <c r="S54" i="28" s="1"/>
  <c r="S55" i="28" s="1"/>
  <c r="S56" i="28" s="1"/>
  <c r="S57" i="28" s="1"/>
  <c r="S58" i="28" s="1"/>
  <c r="S59" i="28" s="1"/>
  <c r="S60" i="28" s="1"/>
  <c r="Q36" i="22"/>
  <c r="Q37" i="22" s="1"/>
  <c r="Q38" i="22" s="1"/>
  <c r="Q39" i="22" s="1"/>
  <c r="Q40" i="22" s="1"/>
  <c r="Q41" i="22" s="1"/>
  <c r="Q42" i="22" s="1"/>
  <c r="Q43" i="22" s="1"/>
  <c r="Q44" i="22" s="1"/>
  <c r="Q45" i="22" s="1"/>
  <c r="Q46" i="22" s="1"/>
  <c r="Q47" i="22" s="1"/>
  <c r="Q48" i="22" s="1"/>
  <c r="Q49" i="22" s="1"/>
  <c r="Q50" i="22" s="1"/>
  <c r="Q51" i="22" s="1"/>
  <c r="Q52" i="22" s="1"/>
  <c r="Q53" i="22" s="1"/>
  <c r="Q54" i="22" s="1"/>
  <c r="Q55" i="22" s="1"/>
  <c r="Q56" i="22" s="1"/>
  <c r="Q57" i="22" s="1"/>
  <c r="Q58" i="22" s="1"/>
  <c r="Q59" i="22" s="1"/>
  <c r="Q60" i="22" s="1"/>
  <c r="Q36" i="17"/>
  <c r="Q37" i="17" s="1"/>
  <c r="Q38" i="17" s="1"/>
  <c r="Q39" i="17" s="1"/>
  <c r="Q40" i="17" s="1"/>
  <c r="Q41" i="17" s="1"/>
  <c r="Q42" i="17" s="1"/>
  <c r="Q43" i="17" s="1"/>
  <c r="Q44" i="17" s="1"/>
  <c r="Q45" i="17" s="1"/>
  <c r="Q46" i="17" s="1"/>
  <c r="Q47" i="17" s="1"/>
  <c r="Q48" i="17" s="1"/>
  <c r="Q49" i="17" s="1"/>
  <c r="Q50" i="17" s="1"/>
  <c r="Q51" i="17" s="1"/>
  <c r="Q52" i="17" s="1"/>
  <c r="Q53" i="17" s="1"/>
  <c r="Q54" i="17" s="1"/>
  <c r="Q55" i="17" s="1"/>
  <c r="Q56" i="17" s="1"/>
  <c r="Q57" i="17" s="1"/>
  <c r="Q58" i="17" s="1"/>
  <c r="Q59" i="17" s="1"/>
  <c r="Q60" i="17" s="1"/>
  <c r="R31" i="12"/>
  <c r="R32" i="12" s="1"/>
  <c r="R33" i="12" s="1"/>
  <c r="R34" i="12" s="1"/>
  <c r="R35" i="12" s="1"/>
  <c r="R36" i="12" s="1"/>
  <c r="R37" i="12" s="1"/>
  <c r="R38" i="12" s="1"/>
  <c r="R39" i="12" s="1"/>
  <c r="R40" i="12" s="1"/>
  <c r="R41" i="12" s="1"/>
  <c r="R42" i="12" s="1"/>
  <c r="R43" i="12" s="1"/>
  <c r="R44" i="12" s="1"/>
  <c r="R45" i="12" s="1"/>
  <c r="R46" i="12" s="1"/>
  <c r="R47" i="12" s="1"/>
  <c r="R48" i="12" s="1"/>
  <c r="R49" i="12" s="1"/>
  <c r="R50" i="12" s="1"/>
  <c r="K26" i="54"/>
  <c r="K27" i="54" s="1"/>
  <c r="K28" i="54" s="1"/>
  <c r="K29" i="54" s="1"/>
  <c r="K30" i="54" s="1"/>
  <c r="K31" i="54" s="1"/>
  <c r="K32" i="54" s="1"/>
  <c r="K33" i="54" s="1"/>
  <c r="K34" i="54" s="1"/>
  <c r="K35" i="54" s="1"/>
  <c r="K36" i="54" s="1"/>
  <c r="K37" i="54" s="1"/>
  <c r="K38" i="54" s="1"/>
  <c r="K39" i="54" s="1"/>
  <c r="K40" i="54" s="1"/>
  <c r="K41" i="54" s="1"/>
  <c r="K42" i="54" s="1"/>
  <c r="K43" i="54" s="1"/>
  <c r="K44" i="54" s="1"/>
  <c r="K45" i="54" s="1"/>
  <c r="K46" i="54" s="1"/>
  <c r="K47" i="54" s="1"/>
  <c r="K48" i="54" s="1"/>
  <c r="K49" i="54" s="1"/>
  <c r="K50" i="54" s="1"/>
  <c r="S36" i="2"/>
  <c r="R5" i="50"/>
  <c r="R7" i="50"/>
  <c r="R51" i="12" l="1"/>
  <c r="R52" i="12" s="1"/>
  <c r="R53" i="12" s="1"/>
  <c r="R54" i="12" s="1"/>
  <c r="R55" i="12" s="1"/>
  <c r="Q37" i="61"/>
  <c r="Q38" i="61" s="1"/>
  <c r="Q39" i="61" s="1"/>
  <c r="Q40" i="61" s="1"/>
  <c r="Q41" i="61" s="1"/>
  <c r="Q42" i="61" s="1"/>
  <c r="Q43" i="61" s="1"/>
  <c r="Q44" i="61" s="1"/>
  <c r="Q45" i="61" s="1"/>
  <c r="Q46" i="61" s="1"/>
  <c r="Q47" i="61" s="1"/>
  <c r="Q48" i="61" s="1"/>
  <c r="Q49" i="61" s="1"/>
  <c r="Q50" i="61" s="1"/>
  <c r="Q51" i="61" s="1"/>
  <c r="Q52" i="61" s="1"/>
  <c r="Q53" i="61" s="1"/>
  <c r="Q54" i="61" s="1"/>
  <c r="S5" i="50"/>
  <c r="Q5" i="50"/>
  <c r="B39" i="60"/>
  <c r="Q7" i="50"/>
  <c r="S7" i="50"/>
  <c r="Q55" i="61" l="1"/>
  <c r="Q56" i="61" s="1"/>
  <c r="Q57" i="61" s="1"/>
  <c r="Q58" i="61" s="1"/>
  <c r="Q59" i="61" s="1"/>
  <c r="Q60" i="61" s="1"/>
  <c r="P5" i="50"/>
  <c r="T5" i="50"/>
  <c r="C34" i="60"/>
  <c r="C35" i="60"/>
  <c r="C37" i="60"/>
  <c r="C38" i="60"/>
  <c r="C36" i="60"/>
  <c r="H77" i="36"/>
  <c r="I77" i="36"/>
  <c r="H78" i="36"/>
  <c r="I78" i="36"/>
  <c r="H79" i="36"/>
  <c r="I79" i="36"/>
  <c r="H80" i="36"/>
  <c r="I80" i="36"/>
  <c r="H81" i="36"/>
  <c r="I81" i="36"/>
  <c r="H82" i="36"/>
  <c r="I82" i="36"/>
  <c r="H83" i="36"/>
  <c r="I83" i="36"/>
  <c r="H84" i="36"/>
  <c r="I84" i="36"/>
  <c r="H85" i="36"/>
  <c r="I85" i="36"/>
  <c r="H86" i="36"/>
  <c r="I86" i="36"/>
  <c r="H87" i="36"/>
  <c r="I87" i="36"/>
  <c r="H88" i="36"/>
  <c r="I88" i="36"/>
  <c r="H89" i="36"/>
  <c r="I89" i="36"/>
  <c r="H90" i="36"/>
  <c r="I90" i="36"/>
  <c r="H91" i="36"/>
  <c r="I91" i="36"/>
  <c r="H92" i="36"/>
  <c r="I92" i="36"/>
  <c r="H93" i="36"/>
  <c r="I93" i="36"/>
  <c r="H94" i="36"/>
  <c r="I94" i="36"/>
  <c r="H95" i="36"/>
  <c r="I95" i="36"/>
  <c r="H96" i="36"/>
  <c r="I96" i="36"/>
  <c r="H97" i="36"/>
  <c r="I97" i="36"/>
  <c r="H98" i="36"/>
  <c r="I98" i="36"/>
  <c r="H99" i="36"/>
  <c r="I99" i="36"/>
  <c r="H100" i="36"/>
  <c r="I100" i="36"/>
  <c r="H101" i="36"/>
  <c r="I101" i="36"/>
  <c r="H102" i="36"/>
  <c r="I102" i="36"/>
  <c r="H103" i="36"/>
  <c r="I103" i="36"/>
  <c r="H104" i="36"/>
  <c r="I104" i="36"/>
  <c r="H105" i="36"/>
  <c r="I105" i="36"/>
  <c r="H106" i="36"/>
  <c r="I106" i="36"/>
  <c r="H107" i="36"/>
  <c r="I107" i="36"/>
  <c r="H108" i="36"/>
  <c r="I108" i="36"/>
  <c r="H109" i="36"/>
  <c r="I109" i="36"/>
  <c r="H110" i="36"/>
  <c r="I110" i="36"/>
  <c r="H111" i="36"/>
  <c r="I111" i="36"/>
  <c r="H112" i="36"/>
  <c r="I112" i="36"/>
  <c r="H113" i="36"/>
  <c r="I113" i="36"/>
  <c r="H114" i="36"/>
  <c r="I114" i="36"/>
  <c r="H115" i="36"/>
  <c r="I115" i="36"/>
  <c r="H116" i="36"/>
  <c r="I116" i="36"/>
  <c r="H117" i="36"/>
  <c r="I117" i="36"/>
  <c r="H118" i="36"/>
  <c r="I118" i="36"/>
  <c r="H119" i="36"/>
  <c r="I119" i="36"/>
  <c r="H120" i="36"/>
  <c r="I120" i="36"/>
  <c r="H121" i="36"/>
  <c r="I121" i="36"/>
  <c r="H122" i="36"/>
  <c r="I122" i="36"/>
  <c r="H123" i="36"/>
  <c r="I123" i="36"/>
  <c r="H124" i="36"/>
  <c r="I124" i="36"/>
  <c r="H125" i="36"/>
  <c r="I125" i="36"/>
  <c r="H126" i="36"/>
  <c r="I126" i="36"/>
  <c r="T7" i="50"/>
  <c r="P7" i="50"/>
  <c r="U5" i="50" l="1"/>
  <c r="AH70" i="51"/>
  <c r="AG70" i="51"/>
  <c r="AH69" i="51"/>
  <c r="AG70" i="62"/>
  <c r="AG69" i="51"/>
  <c r="AH69" i="62"/>
  <c r="AG69" i="62"/>
  <c r="AH70" i="62"/>
  <c r="B60" i="40"/>
  <c r="AE69" i="51"/>
  <c r="AF69" i="51"/>
  <c r="AE70" i="51"/>
  <c r="AF70" i="51"/>
  <c r="O5" i="50"/>
  <c r="T4" i="50"/>
  <c r="U7" i="50"/>
  <c r="O7" i="50"/>
  <c r="V5" i="50" l="1"/>
  <c r="AF74" i="51"/>
  <c r="AH74" i="51"/>
  <c r="AH74" i="62"/>
  <c r="N5" i="50"/>
  <c r="M40" i="71"/>
  <c r="M41" i="71"/>
  <c r="M42" i="71"/>
  <c r="M43" i="71"/>
  <c r="M44" i="71"/>
  <c r="M45" i="71"/>
  <c r="M46" i="71"/>
  <c r="M47" i="71"/>
  <c r="M48" i="71"/>
  <c r="M49" i="71"/>
  <c r="M50" i="71"/>
  <c r="M51" i="71"/>
  <c r="V10" i="50"/>
  <c r="N7" i="50"/>
  <c r="V7" i="50"/>
  <c r="V14" i="50"/>
  <c r="V15" i="50"/>
  <c r="M5" i="50" l="1"/>
  <c r="M7" i="50"/>
  <c r="L5" i="50" l="1"/>
  <c r="L7" i="50"/>
  <c r="K5" i="50" l="1"/>
  <c r="L15" i="44"/>
  <c r="L11" i="44"/>
  <c r="M18" i="44"/>
  <c r="M14" i="44"/>
  <c r="M10" i="44"/>
  <c r="L18" i="44"/>
  <c r="L10" i="44"/>
  <c r="M17" i="44"/>
  <c r="M13" i="44"/>
  <c r="M9" i="44"/>
  <c r="M12" i="44"/>
  <c r="L17" i="44"/>
  <c r="L13" i="44"/>
  <c r="L9" i="44"/>
  <c r="L16" i="44"/>
  <c r="M16" i="44"/>
  <c r="M15" i="44"/>
  <c r="M11" i="44"/>
  <c r="L14" i="44"/>
  <c r="L12" i="44"/>
  <c r="J9" i="44"/>
  <c r="K7" i="50"/>
  <c r="J5" i="50" l="1"/>
  <c r="D34" i="62"/>
  <c r="F34" i="62"/>
  <c r="H34" i="62"/>
  <c r="J34" i="62"/>
  <c r="L34" i="62"/>
  <c r="N34" i="62"/>
  <c r="P34" i="62"/>
  <c r="R34" i="62"/>
  <c r="T34" i="62"/>
  <c r="V34" i="62"/>
  <c r="J7" i="50"/>
  <c r="I5" i="50" l="1"/>
  <c r="S6" i="50"/>
  <c r="I7" i="50"/>
  <c r="H5" i="50" l="1"/>
  <c r="U4" i="50"/>
  <c r="V4" i="50"/>
  <c r="W4" i="50"/>
  <c r="X4" i="50"/>
  <c r="Y4" i="50"/>
  <c r="Z4" i="50"/>
  <c r="AA4" i="50"/>
  <c r="AB4" i="50"/>
  <c r="AC4" i="50"/>
  <c r="AE4" i="50"/>
  <c r="AF4" i="50"/>
  <c r="AG4" i="50"/>
  <c r="AH4" i="50"/>
  <c r="AI4" i="50"/>
  <c r="AJ4" i="50"/>
  <c r="AK4" i="50"/>
  <c r="AL4" i="50"/>
  <c r="AM4" i="50"/>
  <c r="AN4" i="50"/>
  <c r="AO4" i="50"/>
  <c r="AP4" i="50"/>
  <c r="AQ4" i="50"/>
  <c r="AR4" i="50"/>
  <c r="AS4" i="50"/>
  <c r="AT4" i="50"/>
  <c r="AU4" i="50"/>
  <c r="AV4" i="50"/>
  <c r="AK8" i="63"/>
  <c r="AI8" i="63"/>
  <c r="AE8" i="63"/>
  <c r="AA8" i="63"/>
  <c r="Z8" i="63"/>
  <c r="X8" i="63"/>
  <c r="U8" i="63"/>
  <c r="S8" i="63"/>
  <c r="Q8" i="63"/>
  <c r="O8" i="63"/>
  <c r="M8" i="63"/>
  <c r="K8" i="63"/>
  <c r="I8" i="63"/>
  <c r="H8" i="63"/>
  <c r="F8" i="63"/>
  <c r="D8" i="63"/>
  <c r="AN8" i="63"/>
  <c r="AL8" i="63"/>
  <c r="AH8" i="63"/>
  <c r="AD8" i="63"/>
  <c r="AB8" i="63"/>
  <c r="P8" i="63"/>
  <c r="N8" i="63"/>
  <c r="L8" i="63"/>
  <c r="J8" i="63"/>
  <c r="AC8" i="63"/>
  <c r="AG8" i="63"/>
  <c r="AM8" i="63"/>
  <c r="C8" i="63"/>
  <c r="R171" i="63"/>
  <c r="P163" i="63"/>
  <c r="J163" i="63"/>
  <c r="H163" i="63"/>
  <c r="F163" i="63"/>
  <c r="D163" i="63"/>
  <c r="H157" i="63"/>
  <c r="AL151" i="63"/>
  <c r="P151" i="63"/>
  <c r="J151" i="63"/>
  <c r="H151" i="63"/>
  <c r="F151" i="63"/>
  <c r="D151" i="63"/>
  <c r="AN143" i="63"/>
  <c r="AL143" i="63"/>
  <c r="AJ143" i="63"/>
  <c r="AH143" i="63"/>
  <c r="AF143" i="63"/>
  <c r="AB143" i="63"/>
  <c r="Z143" i="63"/>
  <c r="X143" i="63"/>
  <c r="V143" i="63"/>
  <c r="T143" i="63"/>
  <c r="R143" i="63"/>
  <c r="P143" i="63"/>
  <c r="N143" i="63"/>
  <c r="L143" i="63"/>
  <c r="J143" i="63"/>
  <c r="H143" i="63"/>
  <c r="F143" i="63"/>
  <c r="D143" i="63"/>
  <c r="AN138" i="63"/>
  <c r="AL138" i="63"/>
  <c r="AJ138" i="63"/>
  <c r="P138" i="63"/>
  <c r="J138" i="63"/>
  <c r="H138" i="63"/>
  <c r="F138" i="63"/>
  <c r="D138" i="63"/>
  <c r="T127" i="63"/>
  <c r="R127" i="63"/>
  <c r="P127" i="63"/>
  <c r="N127" i="63"/>
  <c r="L127" i="63"/>
  <c r="T122" i="63"/>
  <c r="S122" i="63"/>
  <c r="AN121" i="63"/>
  <c r="AN127" i="63" s="1"/>
  <c r="AL121" i="63"/>
  <c r="AL127" i="63" s="1"/>
  <c r="AJ121" i="63"/>
  <c r="AJ127" i="63" s="1"/>
  <c r="J121" i="63"/>
  <c r="J127" i="63" s="1"/>
  <c r="I121" i="63"/>
  <c r="H121" i="63"/>
  <c r="H127" i="63" s="1"/>
  <c r="G121" i="63"/>
  <c r="F121" i="63"/>
  <c r="F127" i="63" s="1"/>
  <c r="E121" i="63"/>
  <c r="D121" i="63"/>
  <c r="D127" i="63" s="1"/>
  <c r="C121" i="63"/>
  <c r="AN111" i="63"/>
  <c r="AL111" i="63"/>
  <c r="AJ111" i="63"/>
  <c r="P111" i="63"/>
  <c r="J111" i="63"/>
  <c r="H111" i="63"/>
  <c r="F111" i="63"/>
  <c r="D111" i="63"/>
  <c r="AN106" i="63"/>
  <c r="AM106" i="63"/>
  <c r="AL106" i="63"/>
  <c r="AK106" i="63"/>
  <c r="AJ106" i="63"/>
  <c r="P106" i="63"/>
  <c r="O106" i="63"/>
  <c r="J106" i="63"/>
  <c r="I106" i="63"/>
  <c r="H106" i="63"/>
  <c r="G106" i="63"/>
  <c r="F106" i="63"/>
  <c r="E106" i="63"/>
  <c r="D106" i="63"/>
  <c r="C106" i="63"/>
  <c r="AN100" i="63"/>
  <c r="AL100" i="63"/>
  <c r="AJ100" i="63"/>
  <c r="AH100" i="63"/>
  <c r="AF100" i="63"/>
  <c r="AB100" i="63"/>
  <c r="Z100" i="63"/>
  <c r="X100" i="63"/>
  <c r="V100" i="63"/>
  <c r="T100" i="63"/>
  <c r="P100" i="63"/>
  <c r="J100" i="63"/>
  <c r="H100" i="63"/>
  <c r="F100" i="63"/>
  <c r="D100" i="63"/>
  <c r="AN95" i="63"/>
  <c r="AL95" i="63"/>
  <c r="AJ95" i="63"/>
  <c r="P95" i="63"/>
  <c r="J95" i="63"/>
  <c r="H95" i="63"/>
  <c r="F95" i="63"/>
  <c r="D95" i="63"/>
  <c r="AB75" i="63"/>
  <c r="P75" i="63"/>
  <c r="N75" i="63"/>
  <c r="L75" i="63"/>
  <c r="J75" i="63"/>
  <c r="H75" i="63"/>
  <c r="F75" i="63"/>
  <c r="D75" i="63"/>
  <c r="AN59" i="63"/>
  <c r="AL59" i="63"/>
  <c r="AJ59" i="63"/>
  <c r="T59" i="63"/>
  <c r="R59" i="63"/>
  <c r="P59" i="63"/>
  <c r="N59" i="63"/>
  <c r="J59" i="63"/>
  <c r="H59" i="63"/>
  <c r="F59" i="63"/>
  <c r="D59" i="63"/>
  <c r="AN44" i="63"/>
  <c r="AL44" i="63"/>
  <c r="AJ44" i="63"/>
  <c r="P44" i="63"/>
  <c r="N44" i="63"/>
  <c r="J44" i="63"/>
  <c r="H44" i="63"/>
  <c r="F44" i="63"/>
  <c r="D44" i="63"/>
  <c r="AL34" i="63"/>
  <c r="AJ34" i="63"/>
  <c r="P34" i="63"/>
  <c r="J34" i="63"/>
  <c r="F34" i="63"/>
  <c r="D34" i="63"/>
  <c r="H27" i="63"/>
  <c r="H34" i="63" s="1"/>
  <c r="AN21" i="63"/>
  <c r="AL21" i="63"/>
  <c r="AJ21" i="63"/>
  <c r="P21" i="63"/>
  <c r="J21" i="63"/>
  <c r="H21" i="63"/>
  <c r="F18" i="63"/>
  <c r="F21" i="63" s="1"/>
  <c r="E18" i="63"/>
  <c r="D18" i="63"/>
  <c r="D21" i="63" s="1"/>
  <c r="C18" i="63"/>
  <c r="AN13" i="63"/>
  <c r="AM13" i="63"/>
  <c r="AL13" i="63"/>
  <c r="AK13" i="63"/>
  <c r="P13" i="63"/>
  <c r="N13" i="63"/>
  <c r="L13" i="63"/>
  <c r="J13" i="63"/>
  <c r="H13" i="63"/>
  <c r="F13" i="63"/>
  <c r="D13" i="63"/>
  <c r="H7" i="50"/>
  <c r="G5" i="50" l="1"/>
  <c r="P171" i="63"/>
  <c r="AJ8" i="63"/>
  <c r="AF8" i="63"/>
  <c r="Y8" i="63"/>
  <c r="W8" i="63"/>
  <c r="V8" i="63"/>
  <c r="T8" i="63"/>
  <c r="R8" i="63"/>
  <c r="G8" i="63"/>
  <c r="E8" i="63"/>
  <c r="G7" i="50"/>
  <c r="F5" i="50" l="1"/>
  <c r="E8" i="48"/>
  <c r="F8" i="48"/>
  <c r="G8" i="48"/>
  <c r="H8" i="48"/>
  <c r="I8" i="48"/>
  <c r="J8" i="48"/>
  <c r="K8" i="48"/>
  <c r="L8" i="48"/>
  <c r="M8" i="48"/>
  <c r="N8" i="48"/>
  <c r="O8" i="48"/>
  <c r="P8" i="48"/>
  <c r="Q8" i="48"/>
  <c r="R8" i="48"/>
  <c r="S8" i="48"/>
  <c r="T8" i="48"/>
  <c r="U8" i="48"/>
  <c r="V8" i="48"/>
  <c r="W8" i="48"/>
  <c r="X8" i="48"/>
  <c r="Y8" i="48"/>
  <c r="Z8" i="48"/>
  <c r="AA8" i="48"/>
  <c r="AB8" i="48"/>
  <c r="AC8" i="48"/>
  <c r="AD8" i="48"/>
  <c r="AE8" i="48"/>
  <c r="AF8" i="48"/>
  <c r="AG8" i="48"/>
  <c r="AH8" i="48"/>
  <c r="AI8" i="48"/>
  <c r="AJ8" i="48"/>
  <c r="AK8" i="48"/>
  <c r="AL8" i="48"/>
  <c r="AM8" i="48"/>
  <c r="AN8" i="48"/>
  <c r="AO8" i="48"/>
  <c r="AP8" i="48"/>
  <c r="AQ8" i="48"/>
  <c r="AR8" i="48"/>
  <c r="AU8" i="48"/>
  <c r="AV8" i="48"/>
  <c r="AW8" i="48"/>
  <c r="AX8" i="48"/>
  <c r="AY8" i="48"/>
  <c r="AZ8" i="48"/>
  <c r="AT8" i="48"/>
  <c r="AS8" i="48"/>
  <c r="F10" i="50"/>
  <c r="F15" i="50"/>
  <c r="F14" i="50"/>
  <c r="F13" i="50"/>
  <c r="F12" i="50"/>
  <c r="G13" i="42" l="1"/>
  <c r="G17" i="42"/>
  <c r="D12" i="42"/>
  <c r="E12" i="42" s="1"/>
  <c r="G12" i="42"/>
  <c r="D11" i="42"/>
  <c r="E11" i="42" s="1"/>
  <c r="G15" i="42"/>
  <c r="D10" i="42"/>
  <c r="E10" i="42" s="1"/>
  <c r="D9" i="42"/>
  <c r="E9" i="42" s="1"/>
  <c r="G9" i="42"/>
  <c r="D15" i="42"/>
  <c r="E15" i="42" s="1"/>
  <c r="G16" i="42"/>
  <c r="D14" i="42"/>
  <c r="E14" i="42" s="1"/>
  <c r="D17" i="42"/>
  <c r="E17" i="42" s="1"/>
  <c r="G10" i="42"/>
  <c r="G11" i="42"/>
  <c r="D16" i="42"/>
  <c r="E16" i="42" s="1"/>
  <c r="G14" i="42"/>
  <c r="D13" i="42"/>
  <c r="E13" i="42" s="1"/>
  <c r="E5" i="50"/>
  <c r="R4" i="50"/>
  <c r="S4" i="50"/>
  <c r="Q4" i="50"/>
  <c r="E13" i="50"/>
  <c r="E10" i="50"/>
  <c r="E14" i="50"/>
  <c r="E12" i="50"/>
  <c r="E15" i="50"/>
  <c r="D5" i="50" l="1"/>
  <c r="P4" i="50"/>
  <c r="D10" i="50"/>
  <c r="D12" i="50"/>
  <c r="D15" i="50"/>
  <c r="D14" i="50"/>
  <c r="D13" i="50"/>
  <c r="C5" i="50" l="1"/>
  <c r="O4" i="50"/>
  <c r="AA8" i="62"/>
  <c r="AA9" i="62" s="1"/>
  <c r="Z8" i="62"/>
  <c r="Z9" i="62" s="1"/>
  <c r="Y8" i="62"/>
  <c r="Y9" i="62" s="1"/>
  <c r="D8" i="62"/>
  <c r="D9" i="62" s="1"/>
  <c r="C12" i="50"/>
  <c r="C13" i="50"/>
  <c r="C7" i="50"/>
  <c r="C14" i="50"/>
  <c r="C15" i="50"/>
  <c r="C10" i="50"/>
  <c r="B5" i="50" l="1"/>
  <c r="N4" i="50"/>
  <c r="C8" i="62"/>
  <c r="B12" i="50"/>
  <c r="B15" i="50"/>
  <c r="B7" i="50"/>
  <c r="B14" i="50"/>
  <c r="B10" i="50"/>
  <c r="B13" i="50"/>
  <c r="C9" i="62" l="1"/>
  <c r="B4" i="50"/>
  <c r="M4" i="50"/>
  <c r="F8" i="62"/>
  <c r="F9" i="62" s="1"/>
  <c r="E8" i="62"/>
  <c r="E9" i="62" s="1"/>
  <c r="G8" i="62"/>
  <c r="G9" i="62" s="1"/>
  <c r="H8" i="62"/>
  <c r="H9" i="62" s="1"/>
  <c r="L4" i="50" l="1"/>
  <c r="J8" i="62"/>
  <c r="J9" i="62" s="1"/>
  <c r="I8" i="62"/>
  <c r="I9" i="62" s="1"/>
  <c r="K4" i="50" l="1"/>
  <c r="L8" i="62"/>
  <c r="L9" i="62" s="1"/>
  <c r="K8" i="62"/>
  <c r="K9" i="62" s="1"/>
  <c r="J4" i="50" l="1"/>
  <c r="N8" i="62"/>
  <c r="N9" i="62" s="1"/>
  <c r="M8" i="62"/>
  <c r="M9" i="62" l="1"/>
  <c r="I4" i="50"/>
  <c r="O8" i="62"/>
  <c r="O9" i="62" s="1"/>
  <c r="P8" i="62"/>
  <c r="P9" i="62" s="1"/>
  <c r="H4" i="50" l="1"/>
  <c r="R8" i="62"/>
  <c r="R9" i="62" s="1"/>
  <c r="Q8" i="62"/>
  <c r="Q9" i="62" l="1"/>
  <c r="G4" i="50"/>
  <c r="T8" i="62"/>
  <c r="T9" i="62" s="1"/>
  <c r="S8" i="62"/>
  <c r="S9" i="62" s="1"/>
  <c r="F4" i="50" l="1"/>
  <c r="V8" i="62"/>
  <c r="V9" i="62" s="1"/>
  <c r="U8" i="62"/>
  <c r="U9" i="62" s="1"/>
  <c r="E4" i="50" l="1"/>
  <c r="W8" i="62"/>
  <c r="W9" i="62" s="1"/>
  <c r="X8" i="62"/>
  <c r="X9" i="62" l="1"/>
  <c r="D4" i="50"/>
  <c r="E9" i="37"/>
  <c r="E10" i="37" s="1"/>
  <c r="E11" i="37" s="1"/>
  <c r="E12" i="37" s="1"/>
  <c r="E13" i="37" s="1"/>
  <c r="E14" i="37" s="1"/>
  <c r="E15" i="37" s="1"/>
  <c r="E16" i="37" s="1"/>
  <c r="E17" i="37" s="1"/>
  <c r="E18" i="37" s="1"/>
  <c r="E19" i="37" s="1"/>
  <c r="E20" i="37" s="1"/>
  <c r="E21" i="37" s="1"/>
  <c r="E22" i="37" s="1"/>
  <c r="E23" i="37" s="1"/>
  <c r="E24" i="37" s="1"/>
  <c r="E25" i="37" s="1"/>
  <c r="E26" i="37" s="1"/>
  <c r="E27" i="37" s="1"/>
  <c r="E28" i="37" s="1"/>
  <c r="E29" i="37" s="1"/>
  <c r="E30" i="37" s="1"/>
  <c r="E31" i="37" s="1"/>
  <c r="E32" i="37" s="1"/>
  <c r="E33" i="37" s="1"/>
  <c r="E34" i="37" s="1"/>
  <c r="E35" i="37" s="1"/>
  <c r="E36" i="37" s="1"/>
  <c r="D9" i="37"/>
  <c r="G10" i="53"/>
  <c r="G11" i="53" s="1"/>
  <c r="G12" i="53" s="1"/>
  <c r="G13" i="53" s="1"/>
  <c r="G14" i="53" s="1"/>
  <c r="G15" i="53" s="1"/>
  <c r="G16" i="53" s="1"/>
  <c r="G17" i="53" s="1"/>
  <c r="G18" i="53" s="1"/>
  <c r="G19" i="53" s="1"/>
  <c r="G20" i="53" s="1"/>
  <c r="G21" i="53" s="1"/>
  <c r="G22" i="53" s="1"/>
  <c r="G23" i="53" s="1"/>
  <c r="G24" i="53" s="1"/>
  <c r="G25" i="53" s="1"/>
  <c r="G26" i="53" s="1"/>
  <c r="G27" i="53" s="1"/>
  <c r="G28" i="53" s="1"/>
  <c r="G29" i="53" s="1"/>
  <c r="G30" i="53" s="1"/>
  <c r="G31" i="53" s="1"/>
  <c r="G32" i="53" s="1"/>
  <c r="G33" i="53" s="1"/>
  <c r="G34" i="53" s="1"/>
  <c r="G35" i="53" s="1"/>
  <c r="G36" i="53" s="1"/>
  <c r="G37" i="53" s="1"/>
  <c r="G38" i="53" s="1"/>
  <c r="G39" i="53" s="1"/>
  <c r="G40" i="53" s="1"/>
  <c r="G41" i="53" s="1"/>
  <c r="G42" i="53" s="1"/>
  <c r="G43" i="53" s="1"/>
  <c r="F10" i="53"/>
  <c r="F11" i="53" l="1"/>
  <c r="F12" i="53" s="1"/>
  <c r="F13" i="53" s="1"/>
  <c r="F14" i="53" s="1"/>
  <c r="F15" i="53" s="1"/>
  <c r="F16" i="53" s="1"/>
  <c r="F17" i="53" s="1"/>
  <c r="F18" i="53" s="1"/>
  <c r="F19" i="53" s="1"/>
  <c r="F20" i="53" s="1"/>
  <c r="F21" i="53" s="1"/>
  <c r="F22" i="53" s="1"/>
  <c r="F23" i="53" s="1"/>
  <c r="F24" i="53" s="1"/>
  <c r="F25" i="53" s="1"/>
  <c r="F26" i="53" s="1"/>
  <c r="F27" i="53" s="1"/>
  <c r="F28" i="53" s="1"/>
  <c r="F29" i="53" s="1"/>
  <c r="F30" i="53" s="1"/>
  <c r="F31" i="53" s="1"/>
  <c r="F32" i="53" s="1"/>
  <c r="F33" i="53" s="1"/>
  <c r="F34" i="53" s="1"/>
  <c r="F35" i="53" s="1"/>
  <c r="F36" i="53" s="1"/>
  <c r="F37" i="53" s="1"/>
  <c r="F38" i="53" s="1"/>
  <c r="F39" i="53" s="1"/>
  <c r="F40" i="53" s="1"/>
  <c r="F41" i="53" s="1"/>
  <c r="F42" i="53" s="1"/>
  <c r="F43" i="53" s="1"/>
  <c r="H10" i="53"/>
  <c r="H11" i="53" s="1"/>
  <c r="H12" i="53" s="1"/>
  <c r="H13" i="53" s="1"/>
  <c r="H14" i="53" s="1"/>
  <c r="H15" i="53" s="1"/>
  <c r="H16" i="53" s="1"/>
  <c r="H17" i="53" s="1"/>
  <c r="H18" i="53" s="1"/>
  <c r="H19" i="53" s="1"/>
  <c r="H20" i="53" s="1"/>
  <c r="H21" i="53" s="1"/>
  <c r="H22" i="53" s="1"/>
  <c r="H23" i="53" s="1"/>
  <c r="H24" i="53" s="1"/>
  <c r="H25" i="53" s="1"/>
  <c r="H26" i="53" s="1"/>
  <c r="H27" i="53" s="1"/>
  <c r="H28" i="53" s="1"/>
  <c r="H29" i="53" s="1"/>
  <c r="H30" i="53" s="1"/>
  <c r="H31" i="53" s="1"/>
  <c r="H32" i="53" s="1"/>
  <c r="H33" i="53" s="1"/>
  <c r="H34" i="53" s="1"/>
  <c r="H35" i="53" s="1"/>
  <c r="H36" i="53" s="1"/>
  <c r="H37" i="53" s="1"/>
  <c r="H38" i="53" s="1"/>
  <c r="H39" i="53" s="1"/>
  <c r="H40" i="53" s="1"/>
  <c r="H41" i="53" s="1"/>
  <c r="H42" i="53" s="1"/>
  <c r="H43" i="53" s="1"/>
  <c r="D10" i="37"/>
  <c r="F9" i="37"/>
  <c r="C4" i="50"/>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8" i="28"/>
  <c r="K43" i="53" l="1"/>
  <c r="J43" i="53"/>
  <c r="I43" i="53"/>
  <c r="K8" i="30"/>
  <c r="J8" i="30" s="1" a="1"/>
  <c r="J8" i="30" s="1"/>
  <c r="D11" i="37"/>
  <c r="F10" i="37"/>
  <c r="G9" i="30"/>
  <c r="H9" i="30"/>
  <c r="H10" i="30" s="1"/>
  <c r="H11" i="30" s="1"/>
  <c r="H12" i="30" s="1"/>
  <c r="H13" i="30" s="1"/>
  <c r="H14" i="30" s="1"/>
  <c r="H15" i="30" s="1"/>
  <c r="H16" i="30" s="1"/>
  <c r="H17" i="30" s="1"/>
  <c r="H18" i="30" s="1"/>
  <c r="H19" i="30" s="1"/>
  <c r="H20" i="30" s="1"/>
  <c r="H21" i="30" s="1"/>
  <c r="H22" i="30" s="1"/>
  <c r="H23" i="30" s="1"/>
  <c r="H24" i="30" s="1"/>
  <c r="H25" i="30" s="1"/>
  <c r="H26" i="30" s="1"/>
  <c r="H27" i="30" s="1"/>
  <c r="H28" i="30" s="1"/>
  <c r="H29" i="30" s="1"/>
  <c r="E10" i="59"/>
  <c r="F10" i="59"/>
  <c r="F11" i="59" s="1"/>
  <c r="F12" i="59" s="1"/>
  <c r="F13" i="59" s="1"/>
  <c r="F14" i="59" s="1"/>
  <c r="F15" i="59" s="1"/>
  <c r="F16" i="59" s="1"/>
  <c r="F17" i="59" s="1"/>
  <c r="F18" i="59" s="1"/>
  <c r="F19" i="59" s="1"/>
  <c r="F20" i="59" s="1"/>
  <c r="F21" i="59" s="1"/>
  <c r="F22" i="59" s="1"/>
  <c r="F23" i="59" s="1"/>
  <c r="F24" i="59" s="1"/>
  <c r="F25" i="59" s="1"/>
  <c r="F26" i="59" s="1"/>
  <c r="F27" i="59" s="1"/>
  <c r="F28" i="59" s="1"/>
  <c r="F29" i="59" s="1"/>
  <c r="F30" i="59" s="1"/>
  <c r="F31" i="59" s="1"/>
  <c r="F32" i="59" s="1"/>
  <c r="F33" i="59" s="1"/>
  <c r="F34" i="59" s="1"/>
  <c r="F35" i="59" s="1"/>
  <c r="F36" i="59" s="1"/>
  <c r="F37" i="59" s="1"/>
  <c r="F38" i="59" s="1"/>
  <c r="F39" i="59" s="1"/>
  <c r="F40" i="59" s="1"/>
  <c r="F41" i="59" s="1"/>
  <c r="F42" i="59" s="1"/>
  <c r="F43" i="59" s="1"/>
  <c r="F9" i="18"/>
  <c r="F10" i="18" s="1"/>
  <c r="F11" i="18" s="1"/>
  <c r="F12" i="18" s="1"/>
  <c r="F13" i="18" s="1"/>
  <c r="F14" i="18" s="1"/>
  <c r="F15" i="18" s="1"/>
  <c r="F16" i="18" s="1"/>
  <c r="F17" i="18" s="1"/>
  <c r="F18" i="18" s="1"/>
  <c r="F19" i="18" s="1"/>
  <c r="F20" i="18" s="1"/>
  <c r="F21" i="18" s="1"/>
  <c r="F22" i="18" s="1"/>
  <c r="F23" i="18" s="1"/>
  <c r="F24" i="18" s="1"/>
  <c r="F25" i="18" s="1"/>
  <c r="F26" i="18" s="1"/>
  <c r="F27" i="18" s="1"/>
  <c r="F28" i="18" s="1"/>
  <c r="F29" i="18" s="1"/>
  <c r="F30" i="18" s="1"/>
  <c r="F31" i="18" s="1"/>
  <c r="F32" i="18" s="1"/>
  <c r="F33" i="18" s="1"/>
  <c r="F34" i="18" s="1"/>
  <c r="F35" i="18" s="1"/>
  <c r="F36" i="18" s="1"/>
  <c r="F37" i="18" s="1"/>
  <c r="F38" i="18" s="1"/>
  <c r="F39" i="18" s="1"/>
  <c r="F40" i="18" s="1"/>
  <c r="F41" i="18" s="1"/>
  <c r="F42" i="18" s="1"/>
  <c r="F43" i="18" s="1"/>
  <c r="F44" i="18" s="1"/>
  <c r="F45" i="18" s="1"/>
  <c r="F46" i="18" s="1"/>
  <c r="F47" i="18" s="1"/>
  <c r="F48" i="18" s="1"/>
  <c r="F49" i="18" s="1"/>
  <c r="F50" i="18" s="1"/>
  <c r="F51" i="18" s="1"/>
  <c r="F52" i="18" s="1"/>
  <c r="F53" i="18" s="1"/>
  <c r="F54" i="18" s="1"/>
  <c r="F55" i="18" s="1"/>
  <c r="F56" i="18" s="1"/>
  <c r="F57" i="18" s="1"/>
  <c r="E9" i="18"/>
  <c r="F9" i="13"/>
  <c r="F10" i="13" s="1"/>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E9" i="13"/>
  <c r="E9" i="11"/>
  <c r="E10" i="11" s="1"/>
  <c r="E11" i="11" s="1"/>
  <c r="E12" i="11" s="1"/>
  <c r="E13" i="11" s="1"/>
  <c r="E14" i="11" s="1"/>
  <c r="E15" i="11" s="1"/>
  <c r="E16" i="11" s="1"/>
  <c r="E17" i="11" s="1"/>
  <c r="E18" i="11" s="1"/>
  <c r="E19" i="11" s="1"/>
  <c r="E20" i="11" s="1"/>
  <c r="E21" i="11" s="1"/>
  <c r="E22" i="11" s="1"/>
  <c r="E23" i="11" s="1"/>
  <c r="E24" i="11" s="1"/>
  <c r="E25" i="11" s="1"/>
  <c r="E26" i="11" s="1"/>
  <c r="E27" i="11" s="1"/>
  <c r="E28" i="11" s="1"/>
  <c r="E29" i="11" s="1"/>
  <c r="E30" i="11" s="1"/>
  <c r="E31" i="11" s="1"/>
  <c r="E32" i="11" s="1"/>
  <c r="E33" i="11" s="1"/>
  <c r="E34" i="11" s="1"/>
  <c r="E35" i="11" s="1"/>
  <c r="E36" i="11" s="1"/>
  <c r="E37" i="11" s="1"/>
  <c r="E38" i="11" s="1"/>
  <c r="E39" i="11" s="1"/>
  <c r="E40" i="11" s="1"/>
  <c r="E41" i="11" s="1"/>
  <c r="E42" i="11" s="1"/>
  <c r="D9" i="11"/>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9"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10" i="6"/>
  <c r="B11" i="6"/>
  <c r="B12" i="6"/>
  <c r="B13" i="6"/>
  <c r="B14" i="6"/>
  <c r="B15" i="6"/>
  <c r="B16" i="6"/>
  <c r="B17" i="6"/>
  <c r="B18" i="6"/>
  <c r="B19" i="6"/>
  <c r="B20" i="6"/>
  <c r="B21" i="6"/>
  <c r="B22" i="6"/>
  <c r="B23" i="6"/>
  <c r="B24" i="6"/>
  <c r="B9" i="6"/>
  <c r="K11" i="80" l="1"/>
  <c r="K19" i="80"/>
  <c r="K12" i="80"/>
  <c r="K20" i="80"/>
  <c r="K13" i="80"/>
  <c r="K21" i="80"/>
  <c r="K14" i="80"/>
  <c r="K15" i="80"/>
  <c r="K16" i="80"/>
  <c r="I16" i="80" s="1" a="1"/>
  <c r="I16" i="80" s="1"/>
  <c r="K18" i="80"/>
  <c r="K17" i="80"/>
  <c r="I17" i="80" s="1" a="1"/>
  <c r="I17" i="80" s="1"/>
  <c r="K10" i="80"/>
  <c r="J37" i="42"/>
  <c r="K37" i="42" s="1"/>
  <c r="K9" i="13"/>
  <c r="J9" i="13"/>
  <c r="K8" i="13"/>
  <c r="I8" i="13" s="1" a="1"/>
  <c r="I8" i="13" s="1"/>
  <c r="J31" i="42"/>
  <c r="J34" i="42"/>
  <c r="J25" i="42"/>
  <c r="J23" i="42"/>
  <c r="J14" i="42"/>
  <c r="J26" i="42"/>
  <c r="J35" i="42"/>
  <c r="J16" i="42"/>
  <c r="J30" i="42"/>
  <c r="J22" i="42"/>
  <c r="J11" i="42"/>
  <c r="J13" i="42"/>
  <c r="J29" i="42"/>
  <c r="J33" i="42"/>
  <c r="J21" i="42"/>
  <c r="J18" i="42"/>
  <c r="J10" i="42"/>
  <c r="J28" i="42"/>
  <c r="J17" i="42"/>
  <c r="J27" i="42"/>
  <c r="J36" i="42"/>
  <c r="J12" i="42"/>
  <c r="J24" i="42"/>
  <c r="J20" i="42"/>
  <c r="J15" i="42"/>
  <c r="J9" i="42"/>
  <c r="J32" i="42"/>
  <c r="J19" i="42"/>
  <c r="E10" i="18"/>
  <c r="E11" i="18" s="1"/>
  <c r="E12" i="18" s="1"/>
  <c r="E13" i="18" s="1"/>
  <c r="E14" i="18" s="1"/>
  <c r="E15" i="18" s="1"/>
  <c r="E16" i="18" s="1"/>
  <c r="E17" i="18" s="1"/>
  <c r="E18" i="18" s="1"/>
  <c r="E19" i="18" s="1"/>
  <c r="E20" i="18" s="1"/>
  <c r="E21" i="18" s="1"/>
  <c r="E22" i="18" s="1"/>
  <c r="E23" i="18" s="1"/>
  <c r="E24" i="18" s="1"/>
  <c r="E25" i="18" s="1"/>
  <c r="E26" i="18" s="1"/>
  <c r="E27" i="18" s="1"/>
  <c r="E28" i="18" s="1"/>
  <c r="E29" i="18" s="1"/>
  <c r="E30" i="18" s="1"/>
  <c r="E31" i="18" s="1"/>
  <c r="E32" i="18" s="1"/>
  <c r="E33" i="18" s="1"/>
  <c r="E34" i="18" s="1"/>
  <c r="E35" i="18" s="1"/>
  <c r="E36" i="18" s="1"/>
  <c r="E37" i="18" s="1"/>
  <c r="E38" i="18" s="1"/>
  <c r="E39" i="18" s="1"/>
  <c r="E40" i="18" s="1"/>
  <c r="E41" i="18" s="1"/>
  <c r="E42" i="18" s="1"/>
  <c r="G9" i="18"/>
  <c r="G10" i="18" s="1"/>
  <c r="G11" i="18" s="1"/>
  <c r="G12" i="18" s="1"/>
  <c r="G13" i="18" s="1"/>
  <c r="G14" i="18" s="1"/>
  <c r="G15" i="18" s="1"/>
  <c r="G16" i="18" s="1"/>
  <c r="G17" i="18" s="1"/>
  <c r="G18" i="18" s="1"/>
  <c r="G19" i="18" s="1"/>
  <c r="G20" i="18" s="1"/>
  <c r="G21" i="18" s="1"/>
  <c r="G22" i="18" s="1"/>
  <c r="G23" i="18" s="1"/>
  <c r="G24" i="18" s="1"/>
  <c r="G25" i="18" s="1"/>
  <c r="G26" i="18" s="1"/>
  <c r="G27" i="18" s="1"/>
  <c r="G28" i="18" s="1"/>
  <c r="G29" i="18" s="1"/>
  <c r="G30" i="18" s="1"/>
  <c r="G31" i="18" s="1"/>
  <c r="G32" i="18" s="1"/>
  <c r="G33" i="18" s="1"/>
  <c r="G34" i="18" s="1"/>
  <c r="G35" i="18" s="1"/>
  <c r="G36" i="18" s="1"/>
  <c r="G37" i="18" s="1"/>
  <c r="G38" i="18" s="1"/>
  <c r="G39" i="18" s="1"/>
  <c r="G40" i="18" s="1"/>
  <c r="G41" i="18" s="1"/>
  <c r="G42" i="18" s="1"/>
  <c r="F9" i="11"/>
  <c r="E11" i="59"/>
  <c r="G10" i="59"/>
  <c r="G9" i="13"/>
  <c r="K9" i="30"/>
  <c r="I9" i="30"/>
  <c r="H14" i="35"/>
  <c r="G14" i="35" s="1" a="1"/>
  <c r="G14" i="35" s="1"/>
  <c r="H22" i="35"/>
  <c r="G22" i="35" s="1" a="1"/>
  <c r="G22" i="35" s="1"/>
  <c r="H30" i="35"/>
  <c r="G30" i="35" s="1" a="1"/>
  <c r="G30" i="35" s="1"/>
  <c r="H38" i="35"/>
  <c r="G38" i="35" s="1" a="1"/>
  <c r="G38" i="35" s="1"/>
  <c r="H8" i="35"/>
  <c r="G8" i="35" s="1" a="1"/>
  <c r="G8" i="35" s="1"/>
  <c r="H20" i="35"/>
  <c r="G20" i="35" s="1" a="1"/>
  <c r="G20" i="35" s="1"/>
  <c r="H36" i="35"/>
  <c r="G36" i="35" s="1" a="1"/>
  <c r="G36" i="35" s="1"/>
  <c r="H37" i="35"/>
  <c r="G37" i="35" s="1" a="1"/>
  <c r="G37" i="35" s="1"/>
  <c r="H15" i="35"/>
  <c r="G15" i="35" s="1" a="1"/>
  <c r="G15" i="35" s="1"/>
  <c r="H23" i="35"/>
  <c r="G23" i="35" s="1" a="1"/>
  <c r="G23" i="35" s="1"/>
  <c r="H31" i="35"/>
  <c r="G31" i="35" s="1" a="1"/>
  <c r="G31" i="35" s="1"/>
  <c r="H39" i="35"/>
  <c r="G39" i="35" s="1" a="1"/>
  <c r="G39" i="35" s="1"/>
  <c r="H16" i="35"/>
  <c r="G16" i="35" s="1" a="1"/>
  <c r="G16" i="35" s="1"/>
  <c r="H24" i="35"/>
  <c r="G24" i="35" s="1" a="1"/>
  <c r="G24" i="35" s="1"/>
  <c r="H32" i="35"/>
  <c r="G32" i="35" s="1" a="1"/>
  <c r="G32" i="35" s="1"/>
  <c r="H40" i="35"/>
  <c r="G40" i="35" s="1" a="1"/>
  <c r="G40" i="35" s="1"/>
  <c r="H9" i="35"/>
  <c r="G9" i="35" s="1" a="1"/>
  <c r="G9" i="35" s="1"/>
  <c r="H17" i="35"/>
  <c r="G17" i="35" s="1" a="1"/>
  <c r="G17" i="35" s="1"/>
  <c r="H25" i="35"/>
  <c r="G25" i="35" s="1" a="1"/>
  <c r="G25" i="35" s="1"/>
  <c r="H33" i="35"/>
  <c r="G33" i="35" s="1" a="1"/>
  <c r="G33" i="35" s="1"/>
  <c r="H41" i="35"/>
  <c r="G41" i="35" s="1" a="1"/>
  <c r="G41" i="35" s="1"/>
  <c r="H10" i="35"/>
  <c r="G10" i="35" s="1" a="1"/>
  <c r="G10" i="35" s="1"/>
  <c r="H18" i="35"/>
  <c r="G18" i="35" s="1" a="1"/>
  <c r="G18" i="35" s="1"/>
  <c r="H26" i="35"/>
  <c r="G26" i="35" s="1" a="1"/>
  <c r="G26" i="35" s="1"/>
  <c r="H34" i="35"/>
  <c r="G34" i="35" s="1" a="1"/>
  <c r="G34" i="35" s="1"/>
  <c r="H42" i="35"/>
  <c r="G42" i="35" s="1" a="1"/>
  <c r="G42" i="35" s="1"/>
  <c r="H11" i="35"/>
  <c r="G11" i="35" s="1" a="1"/>
  <c r="G11" i="35" s="1"/>
  <c r="H19" i="35"/>
  <c r="G19" i="35" s="1" a="1"/>
  <c r="G19" i="35" s="1"/>
  <c r="H27" i="35"/>
  <c r="G27" i="35" s="1" a="1"/>
  <c r="G27" i="35" s="1"/>
  <c r="H35" i="35"/>
  <c r="G35" i="35" s="1" a="1"/>
  <c r="G35" i="35" s="1"/>
  <c r="H12" i="35"/>
  <c r="G12" i="35" s="1" a="1"/>
  <c r="G12" i="35" s="1"/>
  <c r="H28" i="35"/>
  <c r="G28" i="35" s="1" a="1"/>
  <c r="G28" i="35" s="1"/>
  <c r="H13" i="35"/>
  <c r="G13" i="35" s="1" a="1"/>
  <c r="G13" i="35" s="1"/>
  <c r="H29" i="35"/>
  <c r="G29" i="35" s="1" a="1"/>
  <c r="G29" i="35" s="1"/>
  <c r="H21" i="35"/>
  <c r="G21" i="35" s="1" a="1"/>
  <c r="G21" i="35" s="1"/>
  <c r="V1" i="49"/>
  <c r="V2" i="49" s="1"/>
  <c r="B8" i="49" s="1"/>
  <c r="J10" i="80"/>
  <c r="H10" i="80" s="1" a="1"/>
  <c r="H10" i="80" s="1"/>
  <c r="J11" i="80"/>
  <c r="H11" i="80" s="1" a="1"/>
  <c r="H11" i="80" s="1"/>
  <c r="J12" i="80"/>
  <c r="H12" i="80" s="1" a="1"/>
  <c r="H12" i="80" s="1"/>
  <c r="J13" i="80"/>
  <c r="H13" i="80" s="1" a="1"/>
  <c r="H13" i="80" s="1"/>
  <c r="J14" i="80"/>
  <c r="H14" i="80" s="1" a="1"/>
  <c r="H14" i="80" s="1"/>
  <c r="J15" i="80"/>
  <c r="H15" i="80" s="1" a="1"/>
  <c r="H15" i="80" s="1"/>
  <c r="J16" i="80"/>
  <c r="H16" i="80" s="1" a="1"/>
  <c r="H16" i="80" s="1"/>
  <c r="J17" i="80"/>
  <c r="H17" i="80" s="1" a="1"/>
  <c r="H17" i="80" s="1"/>
  <c r="J18" i="80"/>
  <c r="J19" i="80"/>
  <c r="J20" i="80"/>
  <c r="J21" i="80"/>
  <c r="D12" i="37"/>
  <c r="F11" i="37"/>
  <c r="H9" i="37"/>
  <c r="G9" i="37" s="1" a="1"/>
  <c r="G9" i="37" s="1"/>
  <c r="K10" i="59"/>
  <c r="J38" i="18"/>
  <c r="K35" i="18"/>
  <c r="J30" i="18"/>
  <c r="K27" i="18"/>
  <c r="J22" i="18"/>
  <c r="K19" i="18"/>
  <c r="J14" i="18"/>
  <c r="K11" i="18"/>
  <c r="L10" i="53"/>
  <c r="I10" i="53" s="1" a="1"/>
  <c r="I10" i="53" s="1"/>
  <c r="K9" i="59"/>
  <c r="I9" i="59" s="1" a="1"/>
  <c r="I9" i="59" s="1"/>
  <c r="J10" i="59"/>
  <c r="K40" i="18"/>
  <c r="J35" i="18"/>
  <c r="K32" i="18"/>
  <c r="J27" i="18"/>
  <c r="K24" i="18"/>
  <c r="J19" i="18"/>
  <c r="K16" i="18"/>
  <c r="J11" i="18"/>
  <c r="K8" i="18"/>
  <c r="H8" i="18" s="1" a="1"/>
  <c r="H8" i="18" s="1"/>
  <c r="N9" i="53"/>
  <c r="K9" i="53" s="1" a="1"/>
  <c r="K9" i="53" s="1"/>
  <c r="H12" i="37"/>
  <c r="H8" i="37"/>
  <c r="G8" i="37" s="1" a="1"/>
  <c r="G8" i="37" s="1"/>
  <c r="J40" i="18"/>
  <c r="K37" i="18"/>
  <c r="J32" i="18"/>
  <c r="K29" i="18"/>
  <c r="J24" i="18"/>
  <c r="K21" i="18"/>
  <c r="J16" i="18"/>
  <c r="K13" i="18"/>
  <c r="J8" i="18"/>
  <c r="I8" i="18" s="1" a="1"/>
  <c r="I8" i="18" s="1"/>
  <c r="H11" i="37"/>
  <c r="J9" i="59"/>
  <c r="H9" i="59" s="1" a="1"/>
  <c r="H9" i="59" s="1"/>
  <c r="J42" i="18"/>
  <c r="K39" i="18"/>
  <c r="J34" i="18"/>
  <c r="K31" i="18"/>
  <c r="J26" i="18"/>
  <c r="K23" i="18"/>
  <c r="J18" i="18"/>
  <c r="K15" i="18"/>
  <c r="J10" i="18"/>
  <c r="L9" i="53"/>
  <c r="I9" i="53" s="1" a="1"/>
  <c r="I9" i="53" s="1"/>
  <c r="H9" i="11"/>
  <c r="K42" i="18"/>
  <c r="J37" i="18"/>
  <c r="K26" i="18"/>
  <c r="J21" i="18"/>
  <c r="K10" i="18"/>
  <c r="K30" i="18"/>
  <c r="J23" i="18"/>
  <c r="K33" i="18"/>
  <c r="J8" i="13"/>
  <c r="H8" i="13" s="1" a="1"/>
  <c r="H8" i="13" s="1"/>
  <c r="J33" i="18"/>
  <c r="K36" i="18"/>
  <c r="J31" i="18"/>
  <c r="K20" i="18"/>
  <c r="J15" i="18"/>
  <c r="M9" i="53"/>
  <c r="J9" i="53" s="1" a="1"/>
  <c r="J9" i="53" s="1"/>
  <c r="K9" i="18"/>
  <c r="K11" i="59"/>
  <c r="J41" i="18"/>
  <c r="K14" i="18"/>
  <c r="J39" i="18"/>
  <c r="K17" i="18"/>
  <c r="N10" i="53"/>
  <c r="K10" i="53" s="1" a="1"/>
  <c r="K10" i="53" s="1"/>
  <c r="K22" i="18"/>
  <c r="K41" i="18"/>
  <c r="J36" i="18"/>
  <c r="K25" i="18"/>
  <c r="J20" i="18"/>
  <c r="J25" i="18"/>
  <c r="J9" i="18"/>
  <c r="K28" i="18"/>
  <c r="J12" i="18"/>
  <c r="K38" i="18"/>
  <c r="J17" i="18"/>
  <c r="J11" i="59"/>
  <c r="K34" i="18"/>
  <c r="J29" i="18"/>
  <c r="K18" i="18"/>
  <c r="J13" i="18"/>
  <c r="H8" i="11"/>
  <c r="G8" i="11" s="1" a="1"/>
  <c r="G8" i="11" s="1"/>
  <c r="K12" i="18"/>
  <c r="H10" i="37"/>
  <c r="G10" i="37" s="1" a="1"/>
  <c r="G10" i="37" s="1"/>
  <c r="J28" i="18"/>
  <c r="M10" i="53"/>
  <c r="J10" i="53" s="1" a="1"/>
  <c r="J10" i="53" s="1"/>
  <c r="S37" i="2"/>
  <c r="J4" i="8"/>
  <c r="J4" i="11" s="1"/>
  <c r="D10" i="11"/>
  <c r="L11" i="53" s="1"/>
  <c r="E10" i="13"/>
  <c r="G10" i="30"/>
  <c r="K10" i="30" s="1"/>
  <c r="E43" i="18"/>
  <c r="K43" i="18" s="1"/>
  <c r="H10" i="18" l="1" a="1"/>
  <c r="H10" i="18" s="1"/>
  <c r="I25" i="18" a="1"/>
  <c r="I25" i="18" s="1"/>
  <c r="I18" i="18" a="1"/>
  <c r="I18" i="18" s="1"/>
  <c r="I20" i="18" a="1"/>
  <c r="I20" i="18" s="1"/>
  <c r="H36" i="18" a="1"/>
  <c r="H36" i="18" s="1"/>
  <c r="H23" i="18" a="1"/>
  <c r="H23" i="18" s="1"/>
  <c r="H11" i="18" a="1"/>
  <c r="H11" i="18" s="1"/>
  <c r="H17" i="18" a="1"/>
  <c r="H17" i="18" s="1"/>
  <c r="H34" i="18" a="1"/>
  <c r="H34" i="18" s="1"/>
  <c r="I16" i="18" a="1"/>
  <c r="I16" i="18" s="1"/>
  <c r="I21" i="18" a="1"/>
  <c r="I21" i="18" s="1"/>
  <c r="H14" i="18" a="1"/>
  <c r="H14" i="18" s="1"/>
  <c r="H42" i="18" a="1"/>
  <c r="H42" i="18" s="1"/>
  <c r="H31" i="18" a="1"/>
  <c r="H31" i="18" s="1"/>
  <c r="H12" i="18" a="1"/>
  <c r="H12" i="18" s="1"/>
  <c r="H18" i="18" a="1"/>
  <c r="H18" i="18" s="1"/>
  <c r="I31" i="18" a="1"/>
  <c r="I31" i="18" s="1"/>
  <c r="I12" i="18" a="1"/>
  <c r="I12" i="18" s="1"/>
  <c r="H39" i="18" a="1"/>
  <c r="H39" i="18" s="1"/>
  <c r="I13" i="18" a="1"/>
  <c r="I13" i="18" s="1"/>
  <c r="H28" i="18" a="1"/>
  <c r="H28" i="18" s="1"/>
  <c r="I15" i="18" a="1"/>
  <c r="I15" i="18" s="1"/>
  <c r="I10" i="18" a="1"/>
  <c r="I10" i="18" s="1"/>
  <c r="I42" i="18" a="1"/>
  <c r="I42" i="18" s="1"/>
  <c r="H29" i="18" a="1"/>
  <c r="H29" i="18" s="1"/>
  <c r="I11" i="18" a="1"/>
  <c r="I11" i="18" s="1"/>
  <c r="I9" i="13" a="1"/>
  <c r="I9" i="13" s="1"/>
  <c r="H9" i="13" a="1"/>
  <c r="H9" i="13" s="1"/>
  <c r="O12" i="49"/>
  <c r="AM2" i="49" s="1"/>
  <c r="J10" i="13"/>
  <c r="K10" i="13"/>
  <c r="H40" i="18" a="1"/>
  <c r="H40" i="18" s="1"/>
  <c r="G9" i="11" a="1"/>
  <c r="G9" i="11" s="1"/>
  <c r="G11" i="37" a="1"/>
  <c r="G11" i="37" s="1"/>
  <c r="S38" i="2"/>
  <c r="J9" i="30" a="1"/>
  <c r="J9" i="30" s="1"/>
  <c r="H35" i="18" a="1"/>
  <c r="H35" i="18" s="1"/>
  <c r="H37" i="18" a="1"/>
  <c r="H37" i="18" s="1"/>
  <c r="I19" i="18" a="1"/>
  <c r="I19" i="18" s="1"/>
  <c r="I38" i="18" a="1"/>
  <c r="I38" i="18" s="1"/>
  <c r="I40" i="18" a="1"/>
  <c r="I40" i="18" s="1"/>
  <c r="I35" i="18" a="1"/>
  <c r="I35" i="18" s="1"/>
  <c r="I28" i="18" a="1"/>
  <c r="I28" i="18" s="1"/>
  <c r="H25" i="18" a="1"/>
  <c r="H25" i="18" s="1"/>
  <c r="I41" i="18" a="1"/>
  <c r="I41" i="18" s="1"/>
  <c r="I33" i="18" a="1"/>
  <c r="I33" i="18" s="1"/>
  <c r="I37" i="18" a="1"/>
  <c r="I37" i="18" s="1"/>
  <c r="I26" i="18" a="1"/>
  <c r="I26" i="18" s="1"/>
  <c r="I14" i="18" a="1"/>
  <c r="I14" i="18" s="1"/>
  <c r="H32" i="18" a="1"/>
  <c r="H32" i="18" s="1"/>
  <c r="H19" i="18" a="1"/>
  <c r="H19" i="18" s="1"/>
  <c r="H38" i="18" a="1"/>
  <c r="H38" i="18" s="1"/>
  <c r="H41" i="18" a="1"/>
  <c r="H41" i="18" s="1"/>
  <c r="H21" i="18" a="1"/>
  <c r="H21" i="18" s="1"/>
  <c r="I30" i="18" a="1"/>
  <c r="I30" i="18" s="1"/>
  <c r="N11" i="53"/>
  <c r="K11" i="53" s="1" a="1"/>
  <c r="K11" i="53" s="1"/>
  <c r="J43" i="18"/>
  <c r="I10" i="30"/>
  <c r="J10" i="30" s="1" a="1"/>
  <c r="J10" i="30" s="1"/>
  <c r="G10" i="13"/>
  <c r="H10" i="11"/>
  <c r="M11" i="53"/>
  <c r="J11" i="53" s="1" a="1"/>
  <c r="J11" i="53" s="1"/>
  <c r="E12" i="59"/>
  <c r="G11" i="59"/>
  <c r="F10" i="11"/>
  <c r="F11" i="11" s="1"/>
  <c r="G43" i="18"/>
  <c r="W1" i="49"/>
  <c r="G8" i="49"/>
  <c r="F4" i="37"/>
  <c r="H5" i="80"/>
  <c r="D13" i="37"/>
  <c r="F12" i="37"/>
  <c r="G12" i="37" s="1" a="1"/>
  <c r="G12" i="37" s="1"/>
  <c r="H24" i="18" a="1"/>
  <c r="H24" i="18" s="1"/>
  <c r="H33" i="18" a="1"/>
  <c r="H33" i="18" s="1"/>
  <c r="H27" i="18" a="1"/>
  <c r="H27" i="18" s="1"/>
  <c r="H26" i="18" a="1"/>
  <c r="H26" i="18" s="1"/>
  <c r="H20" i="18" a="1"/>
  <c r="H20" i="18" s="1"/>
  <c r="H13" i="18" a="1"/>
  <c r="H13" i="18" s="1"/>
  <c r="H15" i="18" a="1"/>
  <c r="H15" i="18" s="1"/>
  <c r="I9" i="18" a="1"/>
  <c r="I9" i="18" s="1"/>
  <c r="I23" i="18" a="1"/>
  <c r="I23" i="18" s="1"/>
  <c r="I17" i="18" a="1"/>
  <c r="I17" i="18" s="1"/>
  <c r="L3" i="59"/>
  <c r="J3" i="53"/>
  <c r="I4" i="30"/>
  <c r="I2" i="13"/>
  <c r="L2" i="18"/>
  <c r="I11" i="53" a="1"/>
  <c r="I11" i="53" s="1"/>
  <c r="D11" i="11"/>
  <c r="I39" i="18" a="1"/>
  <c r="I39" i="18" s="1"/>
  <c r="G11" i="30"/>
  <c r="K11" i="30" s="1"/>
  <c r="E11" i="13"/>
  <c r="K11" i="13" s="1"/>
  <c r="H22" i="18" a="1"/>
  <c r="H22" i="18" s="1"/>
  <c r="I24" i="18" a="1"/>
  <c r="I24" i="18" s="1"/>
  <c r="H9" i="18" a="1"/>
  <c r="H9" i="18" s="1"/>
  <c r="I34" i="18" a="1"/>
  <c r="I34" i="18" s="1"/>
  <c r="I36" i="18" a="1"/>
  <c r="I36" i="18" s="1"/>
  <c r="I27" i="18" a="1"/>
  <c r="I27" i="18" s="1"/>
  <c r="I29" i="18" a="1"/>
  <c r="I29" i="18" s="1"/>
  <c r="I22" i="18" a="1"/>
  <c r="I22" i="18" s="1"/>
  <c r="H16" i="18" a="1"/>
  <c r="H16" i="18" s="1"/>
  <c r="H30" i="18" a="1"/>
  <c r="H30" i="18" s="1"/>
  <c r="I32" i="18" a="1"/>
  <c r="I32" i="18" s="1"/>
  <c r="H10" i="59" a="1"/>
  <c r="H10" i="59" s="1"/>
  <c r="I10" i="59" a="1"/>
  <c r="I10" i="59" s="1"/>
  <c r="E44" i="18"/>
  <c r="H43" i="18" a="1"/>
  <c r="H43" i="18" s="1"/>
  <c r="G46" i="49" l="1"/>
  <c r="I46" i="49"/>
  <c r="I80" i="49"/>
  <c r="I78" i="49"/>
  <c r="G78" i="49"/>
  <c r="G79" i="49"/>
  <c r="I79" i="49"/>
  <c r="G45" i="49"/>
  <c r="I45" i="49"/>
  <c r="G64" i="49"/>
  <c r="I64" i="49"/>
  <c r="I66" i="49"/>
  <c r="G63" i="49"/>
  <c r="I54" i="49"/>
  <c r="G44" i="49"/>
  <c r="G34" i="49"/>
  <c r="G27" i="49"/>
  <c r="G54" i="49"/>
  <c r="I32" i="49"/>
  <c r="I65" i="49"/>
  <c r="G42" i="49"/>
  <c r="G26" i="49"/>
  <c r="G25" i="49"/>
  <c r="I52" i="49"/>
  <c r="G41" i="49"/>
  <c r="G32" i="49"/>
  <c r="I63" i="49"/>
  <c r="G52" i="49"/>
  <c r="I43" i="49"/>
  <c r="I38" i="49"/>
  <c r="G24" i="49"/>
  <c r="G19" i="49"/>
  <c r="I72" i="49"/>
  <c r="G67" i="49"/>
  <c r="I42" i="49"/>
  <c r="G38" i="49"/>
  <c r="I27" i="49"/>
  <c r="I19" i="49"/>
  <c r="I34" i="49"/>
  <c r="G72" i="49"/>
  <c r="G66" i="49"/>
  <c r="I41" i="49"/>
  <c r="I26" i="49"/>
  <c r="I67" i="49"/>
  <c r="I24" i="49"/>
  <c r="G65" i="49"/>
  <c r="I25" i="49"/>
  <c r="G43" i="49"/>
  <c r="AJ1" i="49"/>
  <c r="Q12" i="49"/>
  <c r="AM1" i="49" s="1"/>
  <c r="H10" i="13" a="1"/>
  <c r="H10" i="13" s="1"/>
  <c r="G10" i="11" a="1"/>
  <c r="G10" i="11" s="1"/>
  <c r="S39" i="2"/>
  <c r="I43" i="18" a="1"/>
  <c r="I43" i="18" s="1"/>
  <c r="I10" i="13" a="1"/>
  <c r="I10" i="13" s="1"/>
  <c r="J44" i="18"/>
  <c r="K44" i="18"/>
  <c r="E13" i="59"/>
  <c r="G12" i="59"/>
  <c r="J12" i="59"/>
  <c r="K12" i="59"/>
  <c r="J11" i="13"/>
  <c r="H11" i="11"/>
  <c r="G11" i="11" s="1" a="1"/>
  <c r="G11" i="11" s="1"/>
  <c r="M12" i="53"/>
  <c r="J12" i="53" s="1" a="1"/>
  <c r="J12" i="53" s="1"/>
  <c r="L12" i="53"/>
  <c r="I12" i="53" s="1" a="1"/>
  <c r="I12" i="53" s="1"/>
  <c r="N12" i="53"/>
  <c r="K12" i="53" s="1" a="1"/>
  <c r="K12" i="53" s="1"/>
  <c r="G11" i="13"/>
  <c r="G44" i="18"/>
  <c r="G45" i="18" s="1"/>
  <c r="I11" i="30"/>
  <c r="J11" i="30" s="1" a="1"/>
  <c r="J11" i="30" s="1"/>
  <c r="W2" i="49"/>
  <c r="D14" i="37"/>
  <c r="F13" i="37"/>
  <c r="H13" i="37"/>
  <c r="D12" i="11"/>
  <c r="E12" i="13"/>
  <c r="K12" i="13" s="1"/>
  <c r="G12" i="30"/>
  <c r="K12" i="30" s="1"/>
  <c r="H11" i="59" a="1"/>
  <c r="H11" i="59" s="1"/>
  <c r="I11" i="59" a="1"/>
  <c r="I11" i="59" s="1"/>
  <c r="E45" i="18"/>
  <c r="C46" i="49" l="1"/>
  <c r="E46" i="49"/>
  <c r="E82" i="49"/>
  <c r="E80" i="49"/>
  <c r="E79" i="49"/>
  <c r="E78" i="49"/>
  <c r="C79" i="49"/>
  <c r="C78" i="49"/>
  <c r="H11" i="13" a="1"/>
  <c r="H11" i="13" s="1"/>
  <c r="I68" i="49"/>
  <c r="I28" i="49"/>
  <c r="AJ2" i="49"/>
  <c r="E54" i="49"/>
  <c r="C54" i="49"/>
  <c r="E52" i="49"/>
  <c r="C52" i="49"/>
  <c r="E72" i="49"/>
  <c r="C72" i="49"/>
  <c r="C44" i="49"/>
  <c r="E45" i="49"/>
  <c r="E44" i="49"/>
  <c r="C45" i="49"/>
  <c r="E43" i="49"/>
  <c r="C27" i="49"/>
  <c r="E19" i="49"/>
  <c r="C38" i="49"/>
  <c r="C43" i="49"/>
  <c r="E26" i="49"/>
  <c r="C19" i="49"/>
  <c r="E42" i="49"/>
  <c r="E34" i="49"/>
  <c r="C26" i="49"/>
  <c r="C42" i="49"/>
  <c r="C34" i="49"/>
  <c r="E25" i="49"/>
  <c r="E41" i="49"/>
  <c r="E32" i="49"/>
  <c r="C25" i="49"/>
  <c r="C41" i="49"/>
  <c r="C32" i="49"/>
  <c r="E24" i="49"/>
  <c r="E38" i="49"/>
  <c r="E27" i="49"/>
  <c r="C24" i="49"/>
  <c r="S40" i="2"/>
  <c r="H44" i="18" a="1"/>
  <c r="H44" i="18" s="1"/>
  <c r="I44" i="18" a="1"/>
  <c r="I44" i="18" s="1"/>
  <c r="I11" i="13" a="1"/>
  <c r="I11" i="13" s="1"/>
  <c r="N13" i="53"/>
  <c r="K13" i="53" s="1" a="1"/>
  <c r="K13" i="53" s="1"/>
  <c r="L13" i="53"/>
  <c r="I13" i="53" s="1" a="1"/>
  <c r="I13" i="53" s="1"/>
  <c r="M13" i="53"/>
  <c r="J13" i="53" s="1" a="1"/>
  <c r="J13" i="53" s="1"/>
  <c r="H12" i="11"/>
  <c r="I12" i="30"/>
  <c r="J12" i="30" s="1" a="1"/>
  <c r="J12" i="30" s="1"/>
  <c r="J12" i="13"/>
  <c r="F12" i="11"/>
  <c r="K45" i="18"/>
  <c r="J45" i="18"/>
  <c r="G12" i="13"/>
  <c r="I12" i="13" s="1" a="1"/>
  <c r="I12" i="13" s="1"/>
  <c r="E14" i="59"/>
  <c r="G13" i="59"/>
  <c r="J13" i="59"/>
  <c r="K13" i="59"/>
  <c r="G13" i="37" a="1"/>
  <c r="G13" i="37" s="1"/>
  <c r="D15" i="37"/>
  <c r="F14" i="37"/>
  <c r="H14" i="37"/>
  <c r="D13" i="11"/>
  <c r="G13" i="30"/>
  <c r="K13" i="30" s="1"/>
  <c r="E13" i="13"/>
  <c r="K13" i="13" s="1"/>
  <c r="H12" i="59" a="1"/>
  <c r="H12" i="59" s="1"/>
  <c r="I12" i="59" a="1"/>
  <c r="I12" i="59" s="1"/>
  <c r="E46" i="18"/>
  <c r="G46" i="18" s="1"/>
  <c r="E28" i="49" l="1"/>
  <c r="H12" i="13" a="1"/>
  <c r="H12" i="13" s="1"/>
  <c r="F13" i="11"/>
  <c r="S41" i="2"/>
  <c r="G12" i="11" a="1"/>
  <c r="G12" i="11" s="1"/>
  <c r="H13" i="11"/>
  <c r="G13" i="11" s="1" a="1"/>
  <c r="G13" i="11" s="1"/>
  <c r="L14" i="53"/>
  <c r="I14" i="53" s="1" a="1"/>
  <c r="I14" i="53" s="1"/>
  <c r="M14" i="53"/>
  <c r="J14" i="53" s="1" a="1"/>
  <c r="J14" i="53" s="1"/>
  <c r="N14" i="53"/>
  <c r="K14" i="53" s="1" a="1"/>
  <c r="K14" i="53" s="1"/>
  <c r="K46" i="18"/>
  <c r="H46" i="18" s="1" a="1"/>
  <c r="H46" i="18" s="1"/>
  <c r="J46" i="18"/>
  <c r="I46" i="18" s="1" a="1"/>
  <c r="I46" i="18" s="1"/>
  <c r="E15" i="59"/>
  <c r="G14" i="59"/>
  <c r="J14" i="59"/>
  <c r="K14" i="59"/>
  <c r="I13" i="30"/>
  <c r="J13" i="30" s="1" a="1"/>
  <c r="J13" i="30" s="1"/>
  <c r="G13" i="13"/>
  <c r="G14" i="13" s="1"/>
  <c r="J13" i="13"/>
  <c r="G14" i="37" a="1"/>
  <c r="G14" i="37" s="1"/>
  <c r="D16" i="37"/>
  <c r="F15" i="37"/>
  <c r="H15" i="37"/>
  <c r="H45" i="18" a="1"/>
  <c r="H45" i="18" s="1"/>
  <c r="I45" i="18" a="1"/>
  <c r="I45" i="18" s="1"/>
  <c r="E14" i="13"/>
  <c r="K14" i="13" s="1"/>
  <c r="D14" i="11"/>
  <c r="G14" i="30"/>
  <c r="K14" i="30" s="1"/>
  <c r="H13" i="59" a="1"/>
  <c r="H13" i="59" s="1"/>
  <c r="I13" i="59" a="1"/>
  <c r="I13" i="59" s="1"/>
  <c r="E47" i="18"/>
  <c r="G47" i="18" s="1"/>
  <c r="S42" i="2" l="1"/>
  <c r="I13" i="13" a="1"/>
  <c r="I13" i="13" s="1"/>
  <c r="H13" i="13" a="1"/>
  <c r="H13" i="13" s="1"/>
  <c r="H14" i="11"/>
  <c r="M15" i="53"/>
  <c r="J15" i="53" s="1" a="1"/>
  <c r="J15" i="53" s="1"/>
  <c r="N15" i="53"/>
  <c r="K15" i="53" s="1" a="1"/>
  <c r="K15" i="53" s="1"/>
  <c r="L15" i="53"/>
  <c r="I15" i="53" s="1" a="1"/>
  <c r="I15" i="53" s="1"/>
  <c r="K47" i="18"/>
  <c r="J47" i="18"/>
  <c r="J14" i="13"/>
  <c r="H14" i="13" s="1" a="1"/>
  <c r="H14" i="13" s="1"/>
  <c r="I14" i="13" a="1"/>
  <c r="I14" i="13" s="1"/>
  <c r="F14" i="11"/>
  <c r="E16" i="59"/>
  <c r="G15" i="59"/>
  <c r="K15" i="59"/>
  <c r="J15" i="59"/>
  <c r="I14" i="30"/>
  <c r="J14" i="30" s="1" a="1"/>
  <c r="J14" i="30" s="1"/>
  <c r="G15" i="37" a="1"/>
  <c r="G15" i="37" s="1"/>
  <c r="D17" i="37"/>
  <c r="F16" i="37"/>
  <c r="H16" i="37"/>
  <c r="D15" i="11"/>
  <c r="E15" i="13"/>
  <c r="K15" i="13" s="1"/>
  <c r="G15" i="30"/>
  <c r="K15" i="30" s="1"/>
  <c r="H14" i="59" a="1"/>
  <c r="H14" i="59" s="1"/>
  <c r="I14" i="59" a="1"/>
  <c r="I14" i="59" s="1"/>
  <c r="E48" i="18"/>
  <c r="G48" i="18" s="1"/>
  <c r="F15" i="11" l="1"/>
  <c r="S43" i="2"/>
  <c r="G14" i="11" a="1"/>
  <c r="G14" i="11" s="1"/>
  <c r="J15" i="13"/>
  <c r="I15" i="30"/>
  <c r="J15" i="30" s="1" a="1"/>
  <c r="J15" i="30" s="1"/>
  <c r="E17" i="59"/>
  <c r="G16" i="59"/>
  <c r="K16" i="59"/>
  <c r="J16" i="59"/>
  <c r="J48" i="18"/>
  <c r="I48" i="18" s="1" a="1"/>
  <c r="I48" i="18" s="1"/>
  <c r="K48" i="18"/>
  <c r="H48" i="18" s="1" a="1"/>
  <c r="H48" i="18" s="1"/>
  <c r="H15" i="11"/>
  <c r="N16" i="53"/>
  <c r="K16" i="53" s="1" a="1"/>
  <c r="K16" i="53" s="1"/>
  <c r="L16" i="53"/>
  <c r="I16" i="53" s="1" a="1"/>
  <c r="I16" i="53" s="1"/>
  <c r="M16" i="53"/>
  <c r="J16" i="53" s="1" a="1"/>
  <c r="J16" i="53" s="1"/>
  <c r="G15" i="13"/>
  <c r="G16" i="37" a="1"/>
  <c r="G16" i="37" s="1"/>
  <c r="D18" i="37"/>
  <c r="F17" i="37"/>
  <c r="H17" i="37"/>
  <c r="I47" i="18" a="1"/>
  <c r="I47" i="18" s="1"/>
  <c r="H47" i="18" a="1"/>
  <c r="H47" i="18" s="1"/>
  <c r="G16" i="30"/>
  <c r="K16" i="30" s="1"/>
  <c r="E16" i="13"/>
  <c r="K16" i="13" s="1"/>
  <c r="D16" i="11"/>
  <c r="I15" i="59" a="1"/>
  <c r="I15" i="59" s="1"/>
  <c r="H15" i="59" a="1"/>
  <c r="H15" i="59" s="1"/>
  <c r="E49" i="18"/>
  <c r="G15" i="11" l="1" a="1"/>
  <c r="G15" i="11" s="1"/>
  <c r="S44" i="2"/>
  <c r="H15" i="13" a="1"/>
  <c r="H15" i="13" s="1"/>
  <c r="I15" i="13" a="1"/>
  <c r="I15" i="13" s="1"/>
  <c r="J16" i="13"/>
  <c r="G16" i="13"/>
  <c r="E18" i="59"/>
  <c r="G17" i="59"/>
  <c r="K17" i="59"/>
  <c r="J17" i="59"/>
  <c r="I16" i="30"/>
  <c r="J16" i="30" s="1" a="1"/>
  <c r="J16" i="30" s="1"/>
  <c r="K49" i="18"/>
  <c r="J49" i="18"/>
  <c r="H16" i="11"/>
  <c r="M17" i="53"/>
  <c r="J17" i="53" s="1" a="1"/>
  <c r="J17" i="53" s="1"/>
  <c r="L17" i="53"/>
  <c r="I17" i="53" s="1" a="1"/>
  <c r="I17" i="53" s="1"/>
  <c r="N17" i="53"/>
  <c r="K17" i="53" s="1" a="1"/>
  <c r="K17" i="53" s="1"/>
  <c r="F16" i="11"/>
  <c r="F17" i="11" s="1"/>
  <c r="G49" i="18"/>
  <c r="G17" i="37" a="1"/>
  <c r="G17" i="37" s="1"/>
  <c r="D19" i="37"/>
  <c r="F18" i="37"/>
  <c r="H18" i="37"/>
  <c r="D17" i="11"/>
  <c r="E17" i="13"/>
  <c r="K17" i="13" s="1"/>
  <c r="G17" i="30"/>
  <c r="K17" i="30" s="1"/>
  <c r="I16" i="59" a="1"/>
  <c r="I16" i="59" s="1"/>
  <c r="H16" i="59" a="1"/>
  <c r="H16" i="59" s="1"/>
  <c r="E50" i="18"/>
  <c r="S45" i="2" l="1"/>
  <c r="H49" i="18" a="1"/>
  <c r="H49" i="18" s="1"/>
  <c r="I49" i="18" a="1"/>
  <c r="I49" i="18" s="1"/>
  <c r="I16" i="13" a="1"/>
  <c r="I16" i="13" s="1"/>
  <c r="H16" i="13" a="1"/>
  <c r="H16" i="13" s="1"/>
  <c r="G16" i="11" a="1"/>
  <c r="G16" i="11" s="1"/>
  <c r="J17" i="13"/>
  <c r="G50" i="18"/>
  <c r="I17" i="30"/>
  <c r="J17" i="30" s="1" a="1"/>
  <c r="J17" i="30" s="1"/>
  <c r="K50" i="18"/>
  <c r="J50" i="18"/>
  <c r="L18" i="53"/>
  <c r="I18" i="53" s="1" a="1"/>
  <c r="I18" i="53" s="1"/>
  <c r="N18" i="53"/>
  <c r="K18" i="53" s="1" a="1"/>
  <c r="K18" i="53" s="1"/>
  <c r="M18" i="53"/>
  <c r="J18" i="53" s="1" a="1"/>
  <c r="J18" i="53" s="1"/>
  <c r="H17" i="11"/>
  <c r="G17" i="11" s="1" a="1"/>
  <c r="G17" i="11" s="1"/>
  <c r="E19" i="59"/>
  <c r="G18" i="59"/>
  <c r="J18" i="59"/>
  <c r="K18" i="59"/>
  <c r="G17" i="13"/>
  <c r="G18" i="37" a="1"/>
  <c r="G18" i="37" s="1"/>
  <c r="D20" i="37"/>
  <c r="F19" i="37"/>
  <c r="H19" i="37"/>
  <c r="D18" i="11"/>
  <c r="G18" i="30"/>
  <c r="K18" i="30" s="1"/>
  <c r="E18" i="13"/>
  <c r="K18" i="13" s="1"/>
  <c r="H17" i="59" a="1"/>
  <c r="H17" i="59" s="1"/>
  <c r="I17" i="59" a="1"/>
  <c r="I17" i="59" s="1"/>
  <c r="E51" i="18"/>
  <c r="S46" i="2" l="1"/>
  <c r="G19" i="37" a="1"/>
  <c r="G19" i="37" s="1"/>
  <c r="H17" i="13" a="1"/>
  <c r="H17" i="13" s="1"/>
  <c r="I17" i="13" a="1"/>
  <c r="I17" i="13" s="1"/>
  <c r="G18" i="13"/>
  <c r="I18" i="13" a="1"/>
  <c r="I18" i="13" s="1"/>
  <c r="J18" i="13"/>
  <c r="K51" i="18"/>
  <c r="J51" i="18"/>
  <c r="H18" i="11"/>
  <c r="N19" i="53"/>
  <c r="K19" i="53" s="1" a="1"/>
  <c r="K19" i="53" s="1"/>
  <c r="L19" i="53"/>
  <c r="I19" i="53" s="1" a="1"/>
  <c r="I19" i="53" s="1"/>
  <c r="M19" i="53"/>
  <c r="J19" i="53" s="1" a="1"/>
  <c r="J19" i="53" s="1"/>
  <c r="F18" i="11"/>
  <c r="E20" i="59"/>
  <c r="G19" i="59"/>
  <c r="J19" i="59"/>
  <c r="K19" i="59"/>
  <c r="I18" i="30"/>
  <c r="J18" i="30" s="1" a="1"/>
  <c r="J18" i="30" s="1"/>
  <c r="G51" i="18"/>
  <c r="G52" i="18" s="1"/>
  <c r="D21" i="37"/>
  <c r="F20" i="37"/>
  <c r="H20" i="37"/>
  <c r="H50" i="18" a="1"/>
  <c r="H50" i="18" s="1"/>
  <c r="I50" i="18" a="1"/>
  <c r="I50" i="18" s="1"/>
  <c r="E19" i="13"/>
  <c r="K19" i="13" s="1"/>
  <c r="G19" i="30"/>
  <c r="K19" i="30" s="1"/>
  <c r="D19" i="11"/>
  <c r="H18" i="59" a="1"/>
  <c r="H18" i="59" s="1"/>
  <c r="I18" i="59" a="1"/>
  <c r="I18" i="59" s="1"/>
  <c r="E52" i="18"/>
  <c r="G20" i="30"/>
  <c r="K20" i="30" s="1"/>
  <c r="I51" i="18" l="1" a="1"/>
  <c r="I51" i="18" s="1"/>
  <c r="H18" i="13" a="1"/>
  <c r="H18" i="13" s="1"/>
  <c r="G18" i="11" a="1"/>
  <c r="G18" i="11" s="1"/>
  <c r="S47" i="2"/>
  <c r="H51" i="18" a="1"/>
  <c r="H51" i="18" s="1"/>
  <c r="I19" i="30"/>
  <c r="I20" i="30" s="1"/>
  <c r="J20" i="30" s="1"/>
  <c r="L20" i="53"/>
  <c r="I20" i="53" s="1" a="1"/>
  <c r="I20" i="53" s="1"/>
  <c r="H19" i="11"/>
  <c r="M20" i="53"/>
  <c r="J20" i="53" s="1" a="1"/>
  <c r="J20" i="53" s="1"/>
  <c r="N20" i="53"/>
  <c r="K20" i="53" s="1" a="1"/>
  <c r="K20" i="53" s="1"/>
  <c r="K52" i="18"/>
  <c r="H52" i="18" s="1" a="1"/>
  <c r="H52" i="18" s="1"/>
  <c r="J52" i="18"/>
  <c r="I52" i="18" s="1" a="1"/>
  <c r="I52" i="18" s="1"/>
  <c r="J19" i="13"/>
  <c r="E21" i="59"/>
  <c r="G20" i="59"/>
  <c r="J20" i="59"/>
  <c r="K20" i="59"/>
  <c r="F19" i="11"/>
  <c r="G19" i="13"/>
  <c r="G20" i="37" a="1"/>
  <c r="G20" i="37" s="1"/>
  <c r="D22" i="37"/>
  <c r="F21" i="37"/>
  <c r="H21" i="37"/>
  <c r="D20" i="11"/>
  <c r="E20" i="13"/>
  <c r="K20" i="13" s="1"/>
  <c r="H19" i="59" a="1"/>
  <c r="H19" i="59" s="1"/>
  <c r="I19" i="59" a="1"/>
  <c r="I19" i="59" s="1"/>
  <c r="E53" i="18"/>
  <c r="G53" i="18" s="1"/>
  <c r="G21" i="30"/>
  <c r="G20" i="13" l="1"/>
  <c r="I20" i="13" s="1" a="1"/>
  <c r="I20" i="13" s="1"/>
  <c r="H19" i="13" a="1"/>
  <c r="H19" i="13" s="1"/>
  <c r="S48" i="2"/>
  <c r="J19" i="30" a="1"/>
  <c r="J19" i="30" s="1"/>
  <c r="I19" i="13" a="1"/>
  <c r="I19" i="13" s="1"/>
  <c r="G19" i="11" a="1"/>
  <c r="G19" i="11" s="1"/>
  <c r="I21" i="30"/>
  <c r="K21" i="30"/>
  <c r="J21" i="30" s="1"/>
  <c r="F20" i="11"/>
  <c r="E22" i="59"/>
  <c r="G21" i="59"/>
  <c r="K21" i="59"/>
  <c r="J21" i="59"/>
  <c r="H20" i="11"/>
  <c r="M21" i="53"/>
  <c r="J21" i="53" s="1" a="1"/>
  <c r="J21" i="53" s="1"/>
  <c r="L21" i="53"/>
  <c r="I21" i="53" s="1" a="1"/>
  <c r="I21" i="53" s="1"/>
  <c r="N21" i="53"/>
  <c r="K21" i="53" s="1" a="1"/>
  <c r="K21" i="53" s="1"/>
  <c r="K53" i="18"/>
  <c r="H53" i="18" s="1" a="1"/>
  <c r="H53" i="18" s="1"/>
  <c r="J53" i="18"/>
  <c r="I53" i="18" s="1" a="1"/>
  <c r="I53" i="18" s="1"/>
  <c r="J20" i="13"/>
  <c r="G21" i="37" a="1"/>
  <c r="G21" i="37" s="1"/>
  <c r="D23" i="37"/>
  <c r="F22" i="37"/>
  <c r="H22" i="37"/>
  <c r="E21" i="13"/>
  <c r="K21" i="13" s="1"/>
  <c r="D21" i="11"/>
  <c r="H20" i="59" a="1"/>
  <c r="H20" i="59" s="1"/>
  <c r="I20" i="59" a="1"/>
  <c r="I20" i="59" s="1"/>
  <c r="E54" i="18"/>
  <c r="G22" i="30"/>
  <c r="H20" i="13" l="1" a="1"/>
  <c r="H20" i="13" s="1"/>
  <c r="G20" i="11" a="1"/>
  <c r="G20" i="11" s="1"/>
  <c r="S49" i="2"/>
  <c r="I22" i="30"/>
  <c r="K22" i="30"/>
  <c r="L22" i="53"/>
  <c r="I22" i="53" s="1" a="1"/>
  <c r="I22" i="53" s="1"/>
  <c r="H21" i="11"/>
  <c r="N22" i="53"/>
  <c r="K22" i="53" s="1" a="1"/>
  <c r="K22" i="53" s="1"/>
  <c r="M22" i="53"/>
  <c r="J22" i="53" s="1" a="1"/>
  <c r="J22" i="53" s="1"/>
  <c r="J21" i="13"/>
  <c r="E23" i="59"/>
  <c r="G22" i="59"/>
  <c r="J22" i="59"/>
  <c r="K22" i="59"/>
  <c r="F21" i="11"/>
  <c r="J54" i="18"/>
  <c r="K54" i="18"/>
  <c r="G21" i="13"/>
  <c r="G22" i="13" s="1"/>
  <c r="G54" i="18"/>
  <c r="G22" i="37" a="1"/>
  <c r="G22" i="37" s="1"/>
  <c r="D24" i="37"/>
  <c r="F23" i="37"/>
  <c r="H23" i="37"/>
  <c r="D22" i="11"/>
  <c r="E22" i="13"/>
  <c r="K22" i="13" s="1"/>
  <c r="H21" i="59" a="1"/>
  <c r="H21" i="59" s="1"/>
  <c r="I21" i="59" a="1"/>
  <c r="I21" i="59" s="1"/>
  <c r="E55" i="18"/>
  <c r="G23" i="30"/>
  <c r="J22" i="30" l="1"/>
  <c r="I21" i="13" a="1"/>
  <c r="I21" i="13" s="1"/>
  <c r="S50" i="2"/>
  <c r="H54" i="18" a="1"/>
  <c r="H54" i="18" s="1"/>
  <c r="I54" i="18" a="1"/>
  <c r="I54" i="18" s="1"/>
  <c r="H21" i="13" a="1"/>
  <c r="H21" i="13" s="1"/>
  <c r="G21" i="11" a="1"/>
  <c r="G21" i="11" s="1"/>
  <c r="I23" i="30"/>
  <c r="K23" i="30"/>
  <c r="K55" i="18"/>
  <c r="J55" i="18"/>
  <c r="F22" i="11"/>
  <c r="L23" i="53"/>
  <c r="I23" i="53" s="1" a="1"/>
  <c r="I23" i="53" s="1"/>
  <c r="N23" i="53"/>
  <c r="K23" i="53" s="1" a="1"/>
  <c r="K23" i="53" s="1"/>
  <c r="M23" i="53"/>
  <c r="J23" i="53" s="1" a="1"/>
  <c r="J23" i="53" s="1"/>
  <c r="H22" i="11"/>
  <c r="J22" i="13"/>
  <c r="H22" i="13" s="1" a="1"/>
  <c r="H22" i="13" s="1"/>
  <c r="I22" i="13" a="1"/>
  <c r="I22" i="13" s="1"/>
  <c r="G55" i="18"/>
  <c r="E24" i="59"/>
  <c r="G23" i="59"/>
  <c r="K23" i="59"/>
  <c r="J23" i="59"/>
  <c r="G23" i="37" a="1"/>
  <c r="G23" i="37" s="1"/>
  <c r="D25" i="37"/>
  <c r="F24" i="37"/>
  <c r="H24" i="37"/>
  <c r="E23" i="13"/>
  <c r="K23" i="13" s="1"/>
  <c r="D23" i="11"/>
  <c r="I22" i="59" a="1"/>
  <c r="I22" i="59" s="1"/>
  <c r="H22" i="59" a="1"/>
  <c r="H22" i="59" s="1"/>
  <c r="E56" i="18"/>
  <c r="G24" i="30"/>
  <c r="J23" i="30" l="1"/>
  <c r="S51" i="2"/>
  <c r="I55" i="18" a="1"/>
  <c r="I55" i="18" s="1"/>
  <c r="H55" i="18" a="1"/>
  <c r="H55" i="18" s="1"/>
  <c r="G22" i="11" a="1"/>
  <c r="G22" i="11" s="1"/>
  <c r="I24" i="30"/>
  <c r="K24" i="30"/>
  <c r="N24" i="53"/>
  <c r="K24" i="53" s="1" a="1"/>
  <c r="K24" i="53" s="1"/>
  <c r="H23" i="11"/>
  <c r="M24" i="53"/>
  <c r="J24" i="53" s="1" a="1"/>
  <c r="J24" i="53" s="1"/>
  <c r="L24" i="53"/>
  <c r="I24" i="53" s="1" a="1"/>
  <c r="I24" i="53" s="1"/>
  <c r="J23" i="13"/>
  <c r="E25" i="59"/>
  <c r="G24" i="59"/>
  <c r="K24" i="59"/>
  <c r="J24" i="59"/>
  <c r="F23" i="11"/>
  <c r="J56" i="18"/>
  <c r="K56" i="18"/>
  <c r="G56" i="18"/>
  <c r="G23" i="13"/>
  <c r="G24" i="37" a="1"/>
  <c r="G24" i="37" s="1"/>
  <c r="D26" i="37"/>
  <c r="F25" i="37"/>
  <c r="H25" i="37"/>
  <c r="D24" i="11"/>
  <c r="E24" i="13"/>
  <c r="K24" i="13" s="1"/>
  <c r="I23" i="59" a="1"/>
  <c r="I23" i="59" s="1"/>
  <c r="H23" i="59" a="1"/>
  <c r="H23" i="59" s="1"/>
  <c r="E57" i="18"/>
  <c r="G25" i="30"/>
  <c r="J24" i="30" l="1"/>
  <c r="H23" i="13" a="1"/>
  <c r="H23" i="13" s="1"/>
  <c r="S52" i="2"/>
  <c r="G25" i="37" a="1"/>
  <c r="G25" i="37" s="1"/>
  <c r="I56" i="18" a="1"/>
  <c r="I56" i="18" s="1"/>
  <c r="I23" i="13" a="1"/>
  <c r="I23" i="13" s="1"/>
  <c r="G23" i="11" a="1"/>
  <c r="G23" i="11" s="1"/>
  <c r="L25" i="53"/>
  <c r="I25" i="53" s="1" a="1"/>
  <c r="I25" i="53" s="1"/>
  <c r="M25" i="53"/>
  <c r="J25" i="53" s="1" a="1"/>
  <c r="J25" i="53" s="1"/>
  <c r="H24" i="11"/>
  <c r="N25" i="53"/>
  <c r="K25" i="53" s="1" a="1"/>
  <c r="K25" i="53" s="1"/>
  <c r="K57" i="18"/>
  <c r="J57" i="18"/>
  <c r="I25" i="30"/>
  <c r="K25" i="30"/>
  <c r="J25" i="30" s="1"/>
  <c r="G57" i="18"/>
  <c r="F24" i="11"/>
  <c r="J24" i="13"/>
  <c r="G24" i="13"/>
  <c r="E26" i="59"/>
  <c r="G25" i="59"/>
  <c r="J25" i="59"/>
  <c r="K25" i="59"/>
  <c r="D27" i="37"/>
  <c r="F26" i="37"/>
  <c r="H26" i="37"/>
  <c r="E25" i="13"/>
  <c r="K25" i="13" s="1"/>
  <c r="D25" i="11"/>
  <c r="I24" i="59" a="1"/>
  <c r="I24" i="59" s="1"/>
  <c r="H24" i="59" a="1"/>
  <c r="H24" i="59" s="1"/>
  <c r="G26" i="30"/>
  <c r="G24" i="11" l="1" a="1"/>
  <c r="G24" i="11" s="1"/>
  <c r="S53" i="2"/>
  <c r="H24" i="13" a="1"/>
  <c r="H24" i="13" s="1"/>
  <c r="I24" i="13" a="1"/>
  <c r="I24" i="13" s="1"/>
  <c r="I26" i="30"/>
  <c r="K26" i="30"/>
  <c r="N26" i="53"/>
  <c r="K26" i="53" s="1" a="1"/>
  <c r="K26" i="53" s="1"/>
  <c r="H25" i="11"/>
  <c r="L26" i="53"/>
  <c r="I26" i="53" s="1" a="1"/>
  <c r="I26" i="53" s="1"/>
  <c r="M26" i="53"/>
  <c r="J26" i="53" s="1" a="1"/>
  <c r="J26" i="53" s="1"/>
  <c r="E27" i="59"/>
  <c r="G26" i="59"/>
  <c r="J26" i="59"/>
  <c r="K26" i="59"/>
  <c r="J25" i="13"/>
  <c r="G25" i="13"/>
  <c r="G26" i="13" s="1"/>
  <c r="F25" i="11"/>
  <c r="G26" i="37" a="1"/>
  <c r="G26" i="37" s="1"/>
  <c r="D28" i="37"/>
  <c r="F27" i="37"/>
  <c r="H27" i="37"/>
  <c r="D26" i="11"/>
  <c r="E26" i="13"/>
  <c r="K26" i="13" s="1"/>
  <c r="H25" i="59" a="1"/>
  <c r="H25" i="59" s="1"/>
  <c r="I25" i="59" a="1"/>
  <c r="I25" i="59" s="1"/>
  <c r="G27" i="30"/>
  <c r="J26" i="30" l="1"/>
  <c r="F26" i="11"/>
  <c r="S54" i="2"/>
  <c r="H25" i="13" a="1"/>
  <c r="H25" i="13" s="1"/>
  <c r="I25" i="13" a="1"/>
  <c r="I25" i="13" s="1"/>
  <c r="G25" i="11" a="1"/>
  <c r="G25" i="11" s="1"/>
  <c r="I26" i="13" a="1"/>
  <c r="I26" i="13" s="1"/>
  <c r="J26" i="13"/>
  <c r="H26" i="13" s="1" a="1"/>
  <c r="H26" i="13" s="1"/>
  <c r="E28" i="59"/>
  <c r="G27" i="59"/>
  <c r="J27" i="59"/>
  <c r="K27" i="59"/>
  <c r="M27" i="53"/>
  <c r="J27" i="53" s="1" a="1"/>
  <c r="J27" i="53" s="1"/>
  <c r="L27" i="53"/>
  <c r="I27" i="53" s="1" a="1"/>
  <c r="I27" i="53" s="1"/>
  <c r="N27" i="53"/>
  <c r="K27" i="53" s="1" a="1"/>
  <c r="K27" i="53" s="1"/>
  <c r="H26" i="11"/>
  <c r="G26" i="11" s="1" a="1"/>
  <c r="G26" i="11" s="1"/>
  <c r="I27" i="30"/>
  <c r="K27" i="30"/>
  <c r="G27" i="37" a="1"/>
  <c r="G27" i="37" s="1"/>
  <c r="D29" i="37"/>
  <c r="F28" i="37"/>
  <c r="H28" i="37"/>
  <c r="E27" i="13"/>
  <c r="D27" i="11"/>
  <c r="F27" i="11" s="1"/>
  <c r="H26" i="59" a="1"/>
  <c r="H26" i="59" s="1"/>
  <c r="I26" i="59" a="1"/>
  <c r="I26" i="59" s="1"/>
  <c r="G28" i="30"/>
  <c r="J27" i="30" l="1"/>
  <c r="G27" i="13"/>
  <c r="K27" i="13"/>
  <c r="I27" i="13" s="1" a="1"/>
  <c r="I27" i="13" s="1"/>
  <c r="S55" i="2"/>
  <c r="I28" i="30"/>
  <c r="J28" i="30" s="1"/>
  <c r="K28" i="30"/>
  <c r="J27" i="13"/>
  <c r="H27" i="11"/>
  <c r="G27" i="11" s="1" a="1"/>
  <c r="G27" i="11" s="1"/>
  <c r="N28" i="53"/>
  <c r="K28" i="53" s="1" a="1"/>
  <c r="K28" i="53" s="1"/>
  <c r="M28" i="53"/>
  <c r="J28" i="53" s="1" a="1"/>
  <c r="J28" i="53" s="1"/>
  <c r="L28" i="53"/>
  <c r="I28" i="53" s="1" a="1"/>
  <c r="I28" i="53" s="1"/>
  <c r="E29" i="59"/>
  <c r="G28" i="59"/>
  <c r="J28" i="59"/>
  <c r="K28" i="59"/>
  <c r="G28" i="37" a="1"/>
  <c r="G28" i="37" s="1"/>
  <c r="D30" i="37"/>
  <c r="F29" i="37"/>
  <c r="H29" i="37"/>
  <c r="D28" i="11"/>
  <c r="E28" i="13"/>
  <c r="K28" i="13" s="1"/>
  <c r="H27" i="59" a="1"/>
  <c r="H27" i="59" s="1"/>
  <c r="I27" i="59" a="1"/>
  <c r="I27" i="59" s="1"/>
  <c r="G29" i="30"/>
  <c r="H27" i="13" l="1" a="1"/>
  <c r="H27" i="13" s="1"/>
  <c r="S56" i="2"/>
  <c r="G29" i="37" a="1"/>
  <c r="G29" i="37" s="1"/>
  <c r="L29" i="53"/>
  <c r="I29" i="53" s="1" a="1"/>
  <c r="I29" i="53" s="1"/>
  <c r="H28" i="11"/>
  <c r="N29" i="53"/>
  <c r="K29" i="53" s="1" a="1"/>
  <c r="K29" i="53" s="1"/>
  <c r="M29" i="53"/>
  <c r="J29" i="53" s="1" a="1"/>
  <c r="J29" i="53" s="1"/>
  <c r="E30" i="59"/>
  <c r="G29" i="59"/>
  <c r="J29" i="59"/>
  <c r="K29" i="59"/>
  <c r="I29" i="30"/>
  <c r="J29" i="30" s="1"/>
  <c r="K29" i="30"/>
  <c r="F28" i="11"/>
  <c r="J28" i="13"/>
  <c r="G28" i="13"/>
  <c r="D31" i="37"/>
  <c r="F30" i="37"/>
  <c r="H30" i="37"/>
  <c r="E29" i="13"/>
  <c r="K29" i="13" s="1"/>
  <c r="D29" i="11"/>
  <c r="H28" i="59" a="1"/>
  <c r="H28" i="59" s="1"/>
  <c r="I28" i="59" a="1"/>
  <c r="I28" i="59" s="1"/>
  <c r="S57" i="2" l="1"/>
  <c r="I28" i="13" a="1"/>
  <c r="I28" i="13" s="1"/>
  <c r="H28" i="13" a="1"/>
  <c r="H28" i="13" s="1"/>
  <c r="G28" i="11" a="1"/>
  <c r="G28" i="11" s="1"/>
  <c r="L30" i="53"/>
  <c r="I30" i="53" s="1" a="1"/>
  <c r="I30" i="53" s="1"/>
  <c r="M30" i="53"/>
  <c r="J30" i="53" s="1" a="1"/>
  <c r="J30" i="53" s="1"/>
  <c r="H29" i="11"/>
  <c r="N30" i="53"/>
  <c r="K30" i="53" s="1" a="1"/>
  <c r="K30" i="53" s="1"/>
  <c r="F29" i="11"/>
  <c r="J29" i="13"/>
  <c r="G29" i="13"/>
  <c r="I29" i="13" s="1" a="1"/>
  <c r="I29" i="13" s="1"/>
  <c r="E31" i="59"/>
  <c r="G30" i="59"/>
  <c r="K30" i="59"/>
  <c r="J30" i="59"/>
  <c r="G30" i="37" a="1"/>
  <c r="G30" i="37" s="1"/>
  <c r="D32" i="37"/>
  <c r="F31" i="37"/>
  <c r="H31" i="37"/>
  <c r="D30" i="11"/>
  <c r="E30" i="13"/>
  <c r="K30" i="13" s="1"/>
  <c r="I29" i="59" a="1"/>
  <c r="I29" i="59" s="1"/>
  <c r="H29" i="59" a="1"/>
  <c r="H29" i="59" s="1"/>
  <c r="H29" i="13" l="1" a="1"/>
  <c r="H29" i="13" s="1"/>
  <c r="S58" i="2"/>
  <c r="G29" i="11" a="1"/>
  <c r="G29" i="11" s="1"/>
  <c r="G30" i="13"/>
  <c r="N31" i="53"/>
  <c r="K31" i="53" s="1" a="1"/>
  <c r="K31" i="53" s="1"/>
  <c r="M31" i="53"/>
  <c r="J31" i="53" s="1" a="1"/>
  <c r="J31" i="53" s="1"/>
  <c r="H30" i="11"/>
  <c r="L31" i="53"/>
  <c r="I31" i="53" s="1" a="1"/>
  <c r="I31" i="53" s="1"/>
  <c r="E32" i="59"/>
  <c r="G31" i="59"/>
  <c r="J31" i="59"/>
  <c r="K31" i="59"/>
  <c r="J30" i="13"/>
  <c r="I30" i="13" a="1"/>
  <c r="I30" i="13" s="1"/>
  <c r="F30" i="11"/>
  <c r="G31" i="37" a="1"/>
  <c r="G31" i="37" s="1"/>
  <c r="D33" i="37"/>
  <c r="F32" i="37"/>
  <c r="H32" i="37"/>
  <c r="E31" i="13"/>
  <c r="K31" i="13" s="1"/>
  <c r="D31" i="11"/>
  <c r="I30" i="59" a="1"/>
  <c r="I30" i="59" s="1"/>
  <c r="H30" i="59" a="1"/>
  <c r="H30" i="59" s="1"/>
  <c r="F31" i="11" l="1"/>
  <c r="H30" i="13" a="1"/>
  <c r="H30" i="13" s="1"/>
  <c r="S59" i="2"/>
  <c r="G30" i="11" a="1"/>
  <c r="G30" i="11" s="1"/>
  <c r="J31" i="13"/>
  <c r="E33" i="59"/>
  <c r="G32" i="59"/>
  <c r="K32" i="59"/>
  <c r="J32" i="59"/>
  <c r="L32" i="53"/>
  <c r="I32" i="53" s="1" a="1"/>
  <c r="I32" i="53" s="1"/>
  <c r="M32" i="53"/>
  <c r="J32" i="53" s="1" a="1"/>
  <c r="J32" i="53" s="1"/>
  <c r="H31" i="11"/>
  <c r="G31" i="11" s="1" a="1"/>
  <c r="G31" i="11" s="1"/>
  <c r="N32" i="53"/>
  <c r="K32" i="53" s="1" a="1"/>
  <c r="K32" i="53" s="1"/>
  <c r="G31" i="13"/>
  <c r="G32" i="37" a="1"/>
  <c r="G32" i="37" s="1"/>
  <c r="D34" i="37"/>
  <c r="F33" i="37"/>
  <c r="H33" i="37"/>
  <c r="D32" i="11"/>
  <c r="E32" i="13"/>
  <c r="K32" i="13" s="1"/>
  <c r="I31" i="59" a="1"/>
  <c r="I31" i="59" s="1"/>
  <c r="H31" i="59" a="1"/>
  <c r="H31" i="59" s="1"/>
  <c r="S60" i="2" l="1"/>
  <c r="H31" i="13" a="1"/>
  <c r="H31" i="13" s="1"/>
  <c r="I31" i="13" a="1"/>
  <c r="I31" i="13" s="1"/>
  <c r="N33" i="53"/>
  <c r="K33" i="53" s="1" a="1"/>
  <c r="K33" i="53" s="1"/>
  <c r="M33" i="53"/>
  <c r="J33" i="53" s="1" a="1"/>
  <c r="J33" i="53" s="1"/>
  <c r="L33" i="53"/>
  <c r="I33" i="53" s="1" a="1"/>
  <c r="I33" i="53" s="1"/>
  <c r="H32" i="11"/>
  <c r="J32" i="13"/>
  <c r="G32" i="13"/>
  <c r="E34" i="59"/>
  <c r="G33" i="59"/>
  <c r="K33" i="59"/>
  <c r="J33" i="59"/>
  <c r="F32" i="11"/>
  <c r="G33" i="37" a="1"/>
  <c r="G33" i="37" s="1"/>
  <c r="D35" i="37"/>
  <c r="F34" i="37"/>
  <c r="H34" i="37"/>
  <c r="E33" i="13"/>
  <c r="K33" i="13" s="1"/>
  <c r="D33" i="11"/>
  <c r="I32" i="59" a="1"/>
  <c r="I32" i="59" s="1"/>
  <c r="H32" i="59" a="1"/>
  <c r="H32" i="59" s="1"/>
  <c r="H32" i="13" l="1" a="1"/>
  <c r="H32" i="13" s="1"/>
  <c r="I32" i="13" a="1"/>
  <c r="I32" i="13" s="1"/>
  <c r="G32" i="11" a="1"/>
  <c r="G32" i="11" s="1"/>
  <c r="J33" i="13"/>
  <c r="E35" i="59"/>
  <c r="G34" i="59"/>
  <c r="K34" i="59"/>
  <c r="J34" i="59"/>
  <c r="G33" i="13"/>
  <c r="L34" i="53"/>
  <c r="I34" i="53" s="1" a="1"/>
  <c r="I34" i="53" s="1"/>
  <c r="M34" i="53"/>
  <c r="J34" i="53" s="1" a="1"/>
  <c r="J34" i="53" s="1"/>
  <c r="H33" i="11"/>
  <c r="N34" i="53"/>
  <c r="K34" i="53" s="1" a="1"/>
  <c r="K34" i="53" s="1"/>
  <c r="F33" i="11"/>
  <c r="G34" i="37" a="1"/>
  <c r="G34" i="37" s="1"/>
  <c r="D36" i="37"/>
  <c r="F35" i="37"/>
  <c r="H35" i="37"/>
  <c r="D34" i="11"/>
  <c r="E34" i="13"/>
  <c r="K34" i="13" s="1"/>
  <c r="H33" i="59" a="1"/>
  <c r="H33" i="59" s="1"/>
  <c r="I33" i="59" a="1"/>
  <c r="I33" i="59" s="1"/>
  <c r="G35" i="37" l="1" a="1"/>
  <c r="G35" i="37" s="1"/>
  <c r="I33" i="13" a="1"/>
  <c r="I33" i="13" s="1"/>
  <c r="H33" i="13" a="1"/>
  <c r="H33" i="13" s="1"/>
  <c r="G33" i="11" a="1"/>
  <c r="G33" i="11" s="1"/>
  <c r="G34" i="13"/>
  <c r="I34" i="13" s="1" a="1"/>
  <c r="I34" i="13" s="1"/>
  <c r="N35" i="53"/>
  <c r="K35" i="53" s="1" a="1"/>
  <c r="K35" i="53" s="1"/>
  <c r="M35" i="53"/>
  <c r="J35" i="53" s="1" a="1"/>
  <c r="J35" i="53" s="1"/>
  <c r="L35" i="53"/>
  <c r="I35" i="53" s="1" a="1"/>
  <c r="I35" i="53" s="1"/>
  <c r="H34" i="11"/>
  <c r="J34" i="13"/>
  <c r="F34" i="11"/>
  <c r="E36" i="59"/>
  <c r="G35" i="59"/>
  <c r="J35" i="59"/>
  <c r="K35" i="59"/>
  <c r="F36" i="37"/>
  <c r="H36" i="37"/>
  <c r="E35" i="13"/>
  <c r="K35" i="13" s="1"/>
  <c r="D35" i="11"/>
  <c r="H34" i="59" a="1"/>
  <c r="H34" i="59" s="1"/>
  <c r="I34" i="59" a="1"/>
  <c r="I34" i="59" s="1"/>
  <c r="H34" i="13" l="1" a="1"/>
  <c r="H34" i="13" s="1"/>
  <c r="G34" i="11" a="1"/>
  <c r="G34" i="11" s="1"/>
  <c r="L36" i="53"/>
  <c r="I36" i="53" s="1" a="1"/>
  <c r="I36" i="53" s="1"/>
  <c r="H35" i="11"/>
  <c r="N36" i="53"/>
  <c r="K36" i="53" s="1" a="1"/>
  <c r="K36" i="53" s="1"/>
  <c r="M36" i="53"/>
  <c r="J36" i="53" s="1" a="1"/>
  <c r="J36" i="53" s="1"/>
  <c r="F35" i="11"/>
  <c r="J35" i="13"/>
  <c r="E37" i="59"/>
  <c r="G36" i="59"/>
  <c r="K36" i="59"/>
  <c r="J36" i="59"/>
  <c r="G35" i="13"/>
  <c r="G36" i="13" s="1"/>
  <c r="G36" i="37" a="1"/>
  <c r="G36" i="37" s="1"/>
  <c r="D36" i="11"/>
  <c r="E36" i="13"/>
  <c r="K36" i="13" s="1"/>
  <c r="H35" i="59" a="1"/>
  <c r="H35" i="59" s="1"/>
  <c r="I35" i="59" a="1"/>
  <c r="I35" i="59" s="1"/>
  <c r="I35" i="13" l="1" a="1"/>
  <c r="I35" i="13" s="1"/>
  <c r="H35" i="13" a="1"/>
  <c r="H35" i="13" s="1"/>
  <c r="G35" i="11" a="1"/>
  <c r="G35" i="11" s="1"/>
  <c r="E38" i="59"/>
  <c r="G37" i="59"/>
  <c r="K37" i="59"/>
  <c r="J37" i="59"/>
  <c r="I36" i="13" a="1"/>
  <c r="I36" i="13" s="1"/>
  <c r="J36" i="13"/>
  <c r="H36" i="13" s="1" a="1"/>
  <c r="H36" i="13" s="1"/>
  <c r="L37" i="53"/>
  <c r="I37" i="53" s="1" a="1"/>
  <c r="I37" i="53" s="1"/>
  <c r="M37" i="53"/>
  <c r="J37" i="53" s="1" a="1"/>
  <c r="J37" i="53" s="1"/>
  <c r="H36" i="11"/>
  <c r="N37" i="53"/>
  <c r="K37" i="53" s="1" a="1"/>
  <c r="K37" i="53" s="1"/>
  <c r="F36" i="11"/>
  <c r="F37" i="11" s="1"/>
  <c r="G37" i="13"/>
  <c r="E37" i="13"/>
  <c r="K37" i="13" s="1"/>
  <c r="D37" i="11"/>
  <c r="H36" i="59" a="1"/>
  <c r="H36" i="59" s="1"/>
  <c r="I36" i="59" a="1"/>
  <c r="I36" i="59" s="1"/>
  <c r="G36" i="11" l="1" a="1"/>
  <c r="G36" i="11" s="1"/>
  <c r="L38" i="53"/>
  <c r="I38" i="53" s="1" a="1"/>
  <c r="I38" i="53" s="1"/>
  <c r="N38" i="53"/>
  <c r="K38" i="53" s="1" a="1"/>
  <c r="K38" i="53" s="1"/>
  <c r="H37" i="11"/>
  <c r="G37" i="11" s="1" a="1"/>
  <c r="G37" i="11" s="1"/>
  <c r="M38" i="53"/>
  <c r="J38" i="53" s="1" a="1"/>
  <c r="J38" i="53" s="1"/>
  <c r="J37" i="13"/>
  <c r="H37" i="13" s="1" a="1"/>
  <c r="H37" i="13" s="1"/>
  <c r="I37" i="13" a="1"/>
  <c r="I37" i="13" s="1"/>
  <c r="E39" i="59"/>
  <c r="G38" i="59"/>
  <c r="J38" i="59"/>
  <c r="K38" i="59"/>
  <c r="D38" i="11"/>
  <c r="E38" i="13"/>
  <c r="K38" i="13" s="1"/>
  <c r="I37" i="59" a="1"/>
  <c r="I37" i="59" s="1"/>
  <c r="H37" i="59" a="1"/>
  <c r="H37" i="59" s="1"/>
  <c r="L39" i="53" l="1"/>
  <c r="I39" i="53" s="1" a="1"/>
  <c r="I39" i="53" s="1"/>
  <c r="M39" i="53"/>
  <c r="J39" i="53" s="1" a="1"/>
  <c r="J39" i="53" s="1"/>
  <c r="N39" i="53"/>
  <c r="K39" i="53" s="1" a="1"/>
  <c r="K39" i="53" s="1"/>
  <c r="H38" i="11"/>
  <c r="J38" i="13"/>
  <c r="G39" i="59"/>
  <c r="J39" i="59"/>
  <c r="K39" i="59"/>
  <c r="E40" i="59"/>
  <c r="F38" i="11"/>
  <c r="G38" i="13"/>
  <c r="E39" i="13"/>
  <c r="K39" i="13" s="1"/>
  <c r="D39" i="11"/>
  <c r="I38" i="59" a="1"/>
  <c r="I38" i="59" s="1"/>
  <c r="H38" i="59" a="1"/>
  <c r="H38" i="59" s="1"/>
  <c r="H38" i="13" l="1" a="1"/>
  <c r="H38" i="13" s="1"/>
  <c r="G39" i="13"/>
  <c r="I39" i="13" s="1" a="1"/>
  <c r="I39" i="13" s="1"/>
  <c r="F39" i="11"/>
  <c r="I38" i="13" a="1"/>
  <c r="I38" i="13" s="1"/>
  <c r="G38" i="11" a="1"/>
  <c r="G38" i="11" s="1"/>
  <c r="N40" i="53"/>
  <c r="K40" i="53" s="1" a="1"/>
  <c r="K40" i="53" s="1"/>
  <c r="H39" i="11"/>
  <c r="G39" i="11" s="1" a="1"/>
  <c r="G39" i="11" s="1"/>
  <c r="M40" i="53"/>
  <c r="J40" i="53" s="1" a="1"/>
  <c r="J40" i="53" s="1"/>
  <c r="L40" i="53"/>
  <c r="I40" i="53" s="1" a="1"/>
  <c r="I40" i="53" s="1"/>
  <c r="J39" i="13"/>
  <c r="H39" i="13" s="1" a="1"/>
  <c r="H39" i="13" s="1"/>
  <c r="G40" i="59"/>
  <c r="J40" i="59"/>
  <c r="K40" i="59"/>
  <c r="E41" i="59"/>
  <c r="D40" i="11"/>
  <c r="F40" i="11" s="1"/>
  <c r="E40" i="13"/>
  <c r="I39" i="59" a="1"/>
  <c r="I39" i="59" s="1"/>
  <c r="H39" i="59" a="1"/>
  <c r="H39" i="59" s="1"/>
  <c r="J40" i="13" l="1"/>
  <c r="K40" i="13"/>
  <c r="M41" i="53"/>
  <c r="J41" i="53" s="1" a="1"/>
  <c r="J41" i="53" s="1"/>
  <c r="L41" i="53"/>
  <c r="I41" i="53" s="1" a="1"/>
  <c r="I41" i="53" s="1"/>
  <c r="H40" i="11"/>
  <c r="G40" i="11" s="1" a="1"/>
  <c r="G40" i="11" s="1"/>
  <c r="N41" i="53"/>
  <c r="K41" i="53" s="1" a="1"/>
  <c r="K41" i="53" s="1"/>
  <c r="G41" i="59"/>
  <c r="J41" i="59"/>
  <c r="K41" i="59"/>
  <c r="E42" i="59"/>
  <c r="G40" i="13"/>
  <c r="E41" i="13"/>
  <c r="K41" i="13" s="1"/>
  <c r="D41" i="11"/>
  <c r="I40" i="59" a="1"/>
  <c r="I40" i="59" s="1"/>
  <c r="H40" i="59" a="1"/>
  <c r="H40" i="59" s="1"/>
  <c r="H40" i="13" l="1" a="1"/>
  <c r="H40" i="13" s="1"/>
  <c r="I40" i="13" a="1"/>
  <c r="I40" i="13" s="1"/>
  <c r="N42" i="53"/>
  <c r="K42" i="53" s="1" a="1"/>
  <c r="K42" i="53" s="1"/>
  <c r="M42" i="53"/>
  <c r="J42" i="53" s="1" a="1"/>
  <c r="J42" i="53" s="1"/>
  <c r="L42" i="53"/>
  <c r="I42" i="53" s="1" a="1"/>
  <c r="I42" i="53" s="1"/>
  <c r="H41" i="11"/>
  <c r="J41" i="13"/>
  <c r="G41" i="13"/>
  <c r="G42" i="59"/>
  <c r="K42" i="59"/>
  <c r="J42" i="59"/>
  <c r="E43" i="59"/>
  <c r="F41" i="11"/>
  <c r="F42" i="11" s="1"/>
  <c r="G42" i="11" s="1"/>
  <c r="D42" i="11"/>
  <c r="E42" i="13"/>
  <c r="K42" i="13" s="1"/>
  <c r="H41" i="59" a="1"/>
  <c r="H41" i="59" s="1"/>
  <c r="I41" i="59" a="1"/>
  <c r="I41" i="59" s="1"/>
  <c r="I41" i="13" l="1" a="1"/>
  <c r="I41" i="13" s="1"/>
  <c r="H41" i="13" a="1"/>
  <c r="H41" i="13" s="1"/>
  <c r="G41" i="11" a="1"/>
  <c r="G41" i="11" s="1"/>
  <c r="J42" i="13"/>
  <c r="G42" i="13"/>
  <c r="N43" i="53"/>
  <c r="H42" i="11"/>
  <c r="M43" i="53"/>
  <c r="L43" i="53"/>
  <c r="G43" i="59"/>
  <c r="K43" i="59"/>
  <c r="J43" i="59"/>
  <c r="H42" i="59" a="1"/>
  <c r="H42" i="59" s="1"/>
  <c r="I42" i="59" a="1"/>
  <c r="I42" i="59" s="1"/>
  <c r="H43" i="59" l="1"/>
  <c r="I43" i="59"/>
  <c r="F34" i="51"/>
  <c r="Q7" i="61" l="1"/>
  <c r="U34" i="61"/>
  <c r="U8" i="61"/>
  <c r="Q34" i="61"/>
  <c r="N10" i="61"/>
  <c r="O10" i="61"/>
  <c r="N11" i="61"/>
  <c r="O11" i="61"/>
  <c r="N12" i="61"/>
  <c r="O12" i="61"/>
  <c r="N13" i="61"/>
  <c r="O13" i="61"/>
  <c r="N14" i="61"/>
  <c r="O14" i="61"/>
  <c r="N15" i="61"/>
  <c r="O15" i="61"/>
  <c r="N16" i="61"/>
  <c r="O16" i="61"/>
  <c r="N17" i="61"/>
  <c r="O17" i="61"/>
  <c r="N18" i="61"/>
  <c r="O18" i="61"/>
  <c r="N19" i="61"/>
  <c r="O19" i="61"/>
  <c r="N20" i="61"/>
  <c r="O20" i="61"/>
  <c r="N21" i="61"/>
  <c r="O21" i="61"/>
  <c r="N22" i="61"/>
  <c r="O22" i="61"/>
  <c r="N23" i="61"/>
  <c r="O23" i="61"/>
  <c r="N24" i="61"/>
  <c r="O24" i="61"/>
  <c r="N25" i="61"/>
  <c r="O25" i="61"/>
  <c r="N26" i="61"/>
  <c r="O26" i="61"/>
  <c r="N27" i="61"/>
  <c r="O27" i="61"/>
  <c r="S35" i="61"/>
  <c r="S9" i="61" l="1"/>
  <c r="O251" i="61"/>
  <c r="N251" i="61"/>
  <c r="O250" i="61"/>
  <c r="N250" i="61"/>
  <c r="O249" i="61"/>
  <c r="N249" i="61"/>
  <c r="O248" i="61"/>
  <c r="N248" i="61"/>
  <c r="O247" i="61"/>
  <c r="N247" i="61"/>
  <c r="O246" i="61"/>
  <c r="N246" i="61"/>
  <c r="O245" i="61"/>
  <c r="N245" i="61"/>
  <c r="O244" i="61"/>
  <c r="N244" i="61"/>
  <c r="O243" i="61"/>
  <c r="N243" i="61"/>
  <c r="O242" i="61"/>
  <c r="N242" i="61"/>
  <c r="O241" i="61"/>
  <c r="N241" i="61"/>
  <c r="O240" i="61"/>
  <c r="N240" i="61"/>
  <c r="O239" i="61"/>
  <c r="N239" i="61"/>
  <c r="O238" i="61"/>
  <c r="N238" i="61"/>
  <c r="O237" i="61"/>
  <c r="N237" i="61"/>
  <c r="O236" i="61"/>
  <c r="N236" i="61"/>
  <c r="O235" i="61"/>
  <c r="N235" i="61"/>
  <c r="O234" i="61"/>
  <c r="N234" i="61"/>
  <c r="O233" i="61"/>
  <c r="N233" i="61"/>
  <c r="O232" i="61"/>
  <c r="N232" i="61"/>
  <c r="O231" i="61"/>
  <c r="N231" i="61"/>
  <c r="O230" i="61"/>
  <c r="N230" i="61"/>
  <c r="O229" i="61"/>
  <c r="N229" i="61"/>
  <c r="O228" i="61"/>
  <c r="N228" i="61"/>
  <c r="O227" i="61"/>
  <c r="N227" i="61"/>
  <c r="O226" i="61"/>
  <c r="N226" i="61"/>
  <c r="O225" i="61"/>
  <c r="N225" i="61"/>
  <c r="O224" i="61"/>
  <c r="N224" i="61"/>
  <c r="O223" i="61"/>
  <c r="N223" i="61"/>
  <c r="O222" i="61"/>
  <c r="N222" i="61"/>
  <c r="O221" i="61"/>
  <c r="N221" i="61"/>
  <c r="O220" i="61"/>
  <c r="N220" i="61"/>
  <c r="O219" i="61"/>
  <c r="N219" i="61"/>
  <c r="O218" i="61"/>
  <c r="N218" i="61"/>
  <c r="O217" i="61"/>
  <c r="N217" i="61"/>
  <c r="O216" i="61"/>
  <c r="N216" i="61"/>
  <c r="O215" i="61"/>
  <c r="N215" i="61"/>
  <c r="O214" i="61"/>
  <c r="N214" i="61"/>
  <c r="O213" i="61"/>
  <c r="N213" i="61"/>
  <c r="O212" i="61"/>
  <c r="N212" i="61"/>
  <c r="O211" i="61"/>
  <c r="N211" i="61"/>
  <c r="O210" i="61"/>
  <c r="N210" i="61"/>
  <c r="O209" i="61"/>
  <c r="N209" i="61"/>
  <c r="O208" i="61"/>
  <c r="N208" i="61"/>
  <c r="O207" i="61"/>
  <c r="N207" i="61"/>
  <c r="O206" i="61"/>
  <c r="N206" i="61"/>
  <c r="O205" i="61"/>
  <c r="N205" i="61"/>
  <c r="O204" i="61"/>
  <c r="N204" i="61"/>
  <c r="O203" i="61"/>
  <c r="N203" i="61"/>
  <c r="O202" i="61"/>
  <c r="N202" i="61"/>
  <c r="O201" i="61"/>
  <c r="N201" i="61"/>
  <c r="O200" i="61"/>
  <c r="N200" i="61"/>
  <c r="O199" i="61"/>
  <c r="N199" i="61"/>
  <c r="O198" i="61"/>
  <c r="N198" i="61"/>
  <c r="O197" i="61"/>
  <c r="N197" i="61"/>
  <c r="O196" i="61"/>
  <c r="N196" i="61"/>
  <c r="O195" i="61"/>
  <c r="N195" i="61"/>
  <c r="O194" i="61"/>
  <c r="N194" i="61"/>
  <c r="O193" i="61"/>
  <c r="N193" i="61"/>
  <c r="O192" i="61"/>
  <c r="N192" i="61"/>
  <c r="O191" i="61"/>
  <c r="N191" i="61"/>
  <c r="O190" i="61"/>
  <c r="N190" i="61"/>
  <c r="O189" i="61"/>
  <c r="N189" i="61"/>
  <c r="O188" i="61"/>
  <c r="N188" i="61"/>
  <c r="O187" i="61"/>
  <c r="N187" i="61"/>
  <c r="O186" i="61"/>
  <c r="N186" i="61"/>
  <c r="O185" i="61"/>
  <c r="N185" i="61"/>
  <c r="O184" i="61"/>
  <c r="N184" i="61"/>
  <c r="O183" i="61"/>
  <c r="N183" i="61"/>
  <c r="O182" i="61"/>
  <c r="N182" i="61"/>
  <c r="O181" i="61"/>
  <c r="N181" i="61"/>
  <c r="O180" i="61"/>
  <c r="N180" i="61"/>
  <c r="O179" i="61"/>
  <c r="N179" i="61"/>
  <c r="O178" i="61"/>
  <c r="N178" i="61"/>
  <c r="O177" i="61"/>
  <c r="N177" i="61"/>
  <c r="O176" i="61"/>
  <c r="N176" i="61"/>
  <c r="O175" i="61"/>
  <c r="N175" i="61"/>
  <c r="O174" i="61"/>
  <c r="N174" i="61"/>
  <c r="O173" i="61"/>
  <c r="N173" i="61"/>
  <c r="O172" i="61"/>
  <c r="N172" i="61"/>
  <c r="O171" i="61"/>
  <c r="N171" i="61"/>
  <c r="O170" i="61"/>
  <c r="N170" i="61"/>
  <c r="O169" i="61"/>
  <c r="N169" i="61"/>
  <c r="O168" i="61"/>
  <c r="N168" i="61"/>
  <c r="O167" i="61"/>
  <c r="N167" i="61"/>
  <c r="O166" i="61"/>
  <c r="N166" i="61"/>
  <c r="O165" i="61"/>
  <c r="N165" i="61"/>
  <c r="O164" i="61"/>
  <c r="N164" i="61"/>
  <c r="O163" i="61"/>
  <c r="N163" i="61"/>
  <c r="O162" i="61"/>
  <c r="N162" i="61"/>
  <c r="O161" i="61"/>
  <c r="N161" i="61"/>
  <c r="O160" i="61"/>
  <c r="N160" i="61"/>
  <c r="O159" i="61"/>
  <c r="N159" i="61"/>
  <c r="O158" i="61"/>
  <c r="N158" i="61"/>
  <c r="O157" i="61"/>
  <c r="N157" i="61"/>
  <c r="O156" i="61"/>
  <c r="N156" i="61"/>
  <c r="O155" i="61"/>
  <c r="N155" i="61"/>
  <c r="O154" i="61"/>
  <c r="N154" i="61"/>
  <c r="O153" i="61"/>
  <c r="N153" i="61"/>
  <c r="O152" i="61"/>
  <c r="N152" i="61"/>
  <c r="O151" i="61"/>
  <c r="N151" i="61"/>
  <c r="O150" i="61"/>
  <c r="N150" i="61"/>
  <c r="O149" i="61"/>
  <c r="N149" i="61"/>
  <c r="O148" i="61"/>
  <c r="N148" i="61"/>
  <c r="O147" i="61"/>
  <c r="N147" i="61"/>
  <c r="O146" i="61"/>
  <c r="N146" i="61"/>
  <c r="O145" i="61"/>
  <c r="N145" i="61"/>
  <c r="O144" i="61"/>
  <c r="N144" i="61"/>
  <c r="O143" i="61"/>
  <c r="N143" i="61"/>
  <c r="O142" i="61"/>
  <c r="N142" i="61"/>
  <c r="O141" i="61"/>
  <c r="N141" i="61"/>
  <c r="O140" i="61"/>
  <c r="N140" i="61"/>
  <c r="O139" i="61"/>
  <c r="N139" i="61"/>
  <c r="O138" i="61"/>
  <c r="N138" i="61"/>
  <c r="O137" i="61"/>
  <c r="N137" i="61"/>
  <c r="O136" i="61"/>
  <c r="N136" i="61"/>
  <c r="O135" i="61"/>
  <c r="N135" i="61"/>
  <c r="O134" i="61"/>
  <c r="N134" i="61"/>
  <c r="O133" i="61"/>
  <c r="N133" i="61"/>
  <c r="O132" i="61"/>
  <c r="N132" i="61"/>
  <c r="O131" i="61"/>
  <c r="N131" i="61"/>
  <c r="O130" i="61"/>
  <c r="N130" i="61"/>
  <c r="O129" i="61"/>
  <c r="N129" i="61"/>
  <c r="O128" i="61"/>
  <c r="N128" i="61"/>
  <c r="O127" i="61"/>
  <c r="N127" i="61"/>
  <c r="O126" i="61"/>
  <c r="N126" i="61"/>
  <c r="O125" i="61"/>
  <c r="N125" i="61"/>
  <c r="O124" i="61"/>
  <c r="N124" i="61"/>
  <c r="O123" i="61"/>
  <c r="N123" i="61"/>
  <c r="O122" i="61"/>
  <c r="N122" i="61"/>
  <c r="O121" i="61"/>
  <c r="N121" i="61"/>
  <c r="O120" i="61"/>
  <c r="N120" i="61"/>
  <c r="O119" i="61"/>
  <c r="N119" i="61"/>
  <c r="O118" i="61"/>
  <c r="N118" i="61"/>
  <c r="O117" i="61"/>
  <c r="N117" i="61"/>
  <c r="O116" i="61"/>
  <c r="N116" i="61"/>
  <c r="O115" i="61"/>
  <c r="N115" i="61"/>
  <c r="O114" i="61"/>
  <c r="N114" i="61"/>
  <c r="O113" i="61"/>
  <c r="N113" i="61"/>
  <c r="O112" i="61"/>
  <c r="N112" i="61"/>
  <c r="O111" i="61"/>
  <c r="N111" i="61"/>
  <c r="O110" i="61"/>
  <c r="N110" i="61"/>
  <c r="O109" i="61"/>
  <c r="N109" i="61"/>
  <c r="O108" i="61"/>
  <c r="N108" i="61"/>
  <c r="O107" i="61"/>
  <c r="N107" i="61"/>
  <c r="O106" i="61"/>
  <c r="N106" i="61"/>
  <c r="O105" i="61"/>
  <c r="N105" i="61"/>
  <c r="O104" i="61"/>
  <c r="N104" i="61"/>
  <c r="O103" i="61"/>
  <c r="N103" i="61"/>
  <c r="O102" i="61"/>
  <c r="N102" i="61"/>
  <c r="O101" i="61"/>
  <c r="N101" i="61"/>
  <c r="O100" i="61"/>
  <c r="N100" i="61"/>
  <c r="O99" i="61"/>
  <c r="N99" i="61"/>
  <c r="O98" i="61"/>
  <c r="N98" i="61"/>
  <c r="O97" i="61"/>
  <c r="N97" i="61"/>
  <c r="O96" i="61"/>
  <c r="N96" i="61"/>
  <c r="O95" i="61"/>
  <c r="N95" i="61"/>
  <c r="O94" i="61"/>
  <c r="N94" i="61"/>
  <c r="O93" i="61"/>
  <c r="N93" i="61"/>
  <c r="O92" i="61"/>
  <c r="N92" i="61"/>
  <c r="O91" i="61"/>
  <c r="N91" i="61"/>
  <c r="O90" i="61"/>
  <c r="N90" i="61"/>
  <c r="O89" i="61"/>
  <c r="N89" i="61"/>
  <c r="O88" i="61"/>
  <c r="N88" i="61"/>
  <c r="O87" i="61"/>
  <c r="N87" i="61"/>
  <c r="O86" i="61"/>
  <c r="N86" i="61"/>
  <c r="O85" i="61"/>
  <c r="N85" i="61"/>
  <c r="O84" i="61"/>
  <c r="N84" i="61"/>
  <c r="O83" i="61"/>
  <c r="N83" i="61"/>
  <c r="O71" i="61"/>
  <c r="N71" i="61"/>
  <c r="O70" i="61"/>
  <c r="N70" i="61"/>
  <c r="O69" i="61"/>
  <c r="N69" i="61"/>
  <c r="O68" i="61"/>
  <c r="N68" i="61"/>
  <c r="O67" i="61"/>
  <c r="N67" i="61"/>
  <c r="O66" i="61"/>
  <c r="N66" i="61"/>
  <c r="O65" i="61"/>
  <c r="N65" i="61"/>
  <c r="O64" i="61"/>
  <c r="N64" i="61"/>
  <c r="O63" i="61"/>
  <c r="N63" i="61"/>
  <c r="O62" i="61"/>
  <c r="N62" i="61"/>
  <c r="O61" i="61"/>
  <c r="N61" i="61"/>
  <c r="O60" i="61"/>
  <c r="N60" i="61"/>
  <c r="O59" i="61"/>
  <c r="N59" i="61"/>
  <c r="O58" i="61"/>
  <c r="N58" i="61"/>
  <c r="O57" i="61"/>
  <c r="N57" i="61"/>
  <c r="O56" i="61"/>
  <c r="N56" i="61"/>
  <c r="O55" i="61"/>
  <c r="N55" i="61"/>
  <c r="O54" i="61"/>
  <c r="N54" i="61"/>
  <c r="O53" i="61"/>
  <c r="N53" i="61"/>
  <c r="O52" i="61"/>
  <c r="N52" i="61"/>
  <c r="O51" i="61"/>
  <c r="N51" i="61"/>
  <c r="O50" i="61"/>
  <c r="N50" i="61"/>
  <c r="O49" i="61"/>
  <c r="N49" i="61"/>
  <c r="O48" i="61"/>
  <c r="N48" i="61"/>
  <c r="O47" i="61"/>
  <c r="N47" i="61"/>
  <c r="O46" i="61"/>
  <c r="N46" i="61"/>
  <c r="O45" i="61"/>
  <c r="N45" i="61"/>
  <c r="O44" i="61"/>
  <c r="N44" i="61"/>
  <c r="O43" i="61"/>
  <c r="N43" i="61"/>
  <c r="O42" i="61"/>
  <c r="N42" i="61"/>
  <c r="O41" i="61"/>
  <c r="N41" i="61"/>
  <c r="O40" i="61"/>
  <c r="N40" i="61"/>
  <c r="O39" i="61"/>
  <c r="N39" i="61"/>
  <c r="O38" i="61"/>
  <c r="N38" i="61"/>
  <c r="O37" i="61"/>
  <c r="N37" i="61"/>
  <c r="Q35" i="61"/>
  <c r="O36" i="61"/>
  <c r="N36" i="61"/>
  <c r="O35" i="61"/>
  <c r="N35" i="61"/>
  <c r="O34" i="61"/>
  <c r="N34" i="61"/>
  <c r="O33" i="61"/>
  <c r="N33" i="61"/>
  <c r="O32" i="61"/>
  <c r="N32" i="61"/>
  <c r="O31" i="61"/>
  <c r="N31" i="61"/>
  <c r="O30" i="61"/>
  <c r="N30" i="61"/>
  <c r="O29" i="61"/>
  <c r="N29" i="61"/>
  <c r="O28" i="61"/>
  <c r="N28" i="61"/>
  <c r="Q19" i="61"/>
  <c r="Q18" i="61"/>
  <c r="Q17" i="61"/>
  <c r="Q16" i="61"/>
  <c r="Q15" i="61"/>
  <c r="Q14" i="61"/>
  <c r="Q13" i="61"/>
  <c r="Q12" i="61"/>
  <c r="Q11" i="61"/>
  <c r="Q10" i="61"/>
  <c r="O9" i="61"/>
  <c r="N9" i="61"/>
  <c r="D8" i="51"/>
  <c r="D9" i="51" s="1"/>
  <c r="C8" i="51"/>
  <c r="C9" i="51" s="1"/>
  <c r="S36" i="61"/>
  <c r="S54" i="61"/>
  <c r="R35" i="61"/>
  <c r="R36" i="61"/>
  <c r="AG63" i="62" l="1"/>
  <c r="AH63" i="62"/>
  <c r="AF36" i="62"/>
  <c r="AH36" i="62"/>
  <c r="AG65" i="51"/>
  <c r="AG36" i="51"/>
  <c r="AH80" i="51"/>
  <c r="AH63" i="51"/>
  <c r="AH76" i="62"/>
  <c r="AG26" i="62"/>
  <c r="AH80" i="62"/>
  <c r="AG80" i="62"/>
  <c r="AG80" i="51"/>
  <c r="AG63" i="51"/>
  <c r="AG76" i="62"/>
  <c r="AH26" i="51"/>
  <c r="AH76" i="51"/>
  <c r="I77" i="49" s="1"/>
  <c r="AH65" i="62"/>
  <c r="AG26" i="51"/>
  <c r="G21" i="49" s="1"/>
  <c r="AG76" i="51"/>
  <c r="G77" i="49" s="1"/>
  <c r="AG65" i="62"/>
  <c r="G59" i="49" s="1"/>
  <c r="AG36" i="62"/>
  <c r="AH26" i="62"/>
  <c r="AH65" i="51"/>
  <c r="AH36" i="51"/>
  <c r="AE63" i="51"/>
  <c r="AF63" i="51"/>
  <c r="AF65" i="51"/>
  <c r="AE36" i="51"/>
  <c r="AE80" i="51"/>
  <c r="AE65" i="51"/>
  <c r="AF36" i="51"/>
  <c r="AF80" i="51"/>
  <c r="AE76" i="51"/>
  <c r="C77" i="49" s="1"/>
  <c r="AF76" i="51"/>
  <c r="AE26" i="51"/>
  <c r="AF26" i="51"/>
  <c r="AC36" i="51"/>
  <c r="AD36" i="51"/>
  <c r="AA80" i="51"/>
  <c r="AF80" i="62"/>
  <c r="AF63" i="62"/>
  <c r="AE80" i="62"/>
  <c r="AE63" i="62"/>
  <c r="AE36" i="62"/>
  <c r="AF76" i="62"/>
  <c r="AF26" i="62"/>
  <c r="AE76" i="62"/>
  <c r="AE26" i="62"/>
  <c r="AF65" i="62"/>
  <c r="AE65" i="62"/>
  <c r="C59" i="49" s="1"/>
  <c r="AD76" i="51"/>
  <c r="AD65" i="51"/>
  <c r="AC76" i="51"/>
  <c r="AC65" i="51"/>
  <c r="AD26" i="51"/>
  <c r="AB76" i="51"/>
  <c r="AA76" i="51"/>
  <c r="Z76" i="51"/>
  <c r="AD63" i="51"/>
  <c r="AC26" i="51"/>
  <c r="Y76" i="51"/>
  <c r="AC63" i="51"/>
  <c r="AD80" i="51"/>
  <c r="AC80" i="51"/>
  <c r="AC36" i="62"/>
  <c r="AC76" i="62"/>
  <c r="AC26" i="62"/>
  <c r="AC65" i="62"/>
  <c r="AD76" i="62"/>
  <c r="AD80" i="62"/>
  <c r="AC80" i="62"/>
  <c r="AD36" i="62"/>
  <c r="AD65" i="62"/>
  <c r="AD63" i="62"/>
  <c r="AD26" i="62"/>
  <c r="AC63" i="62"/>
  <c r="Y36" i="62"/>
  <c r="Z36" i="62"/>
  <c r="Z65" i="51"/>
  <c r="Y65" i="51"/>
  <c r="AB63" i="51"/>
  <c r="AB80" i="51"/>
  <c r="AB36" i="51"/>
  <c r="AA63" i="51"/>
  <c r="AB65" i="51"/>
  <c r="Z80" i="51"/>
  <c r="AA65" i="51"/>
  <c r="AA36" i="51"/>
  <c r="Y80" i="51"/>
  <c r="Z63" i="51"/>
  <c r="AB26" i="51"/>
  <c r="Y63" i="51"/>
  <c r="AA26" i="51"/>
  <c r="V65" i="51"/>
  <c r="N65" i="51"/>
  <c r="F65" i="51"/>
  <c r="M65" i="51"/>
  <c r="E65" i="51"/>
  <c r="S65" i="51"/>
  <c r="C65" i="51"/>
  <c r="O65" i="51"/>
  <c r="U65" i="51"/>
  <c r="T65" i="51"/>
  <c r="L65" i="51"/>
  <c r="D65" i="51"/>
  <c r="K65" i="51"/>
  <c r="R65" i="51"/>
  <c r="J65" i="51"/>
  <c r="Q65" i="51"/>
  <c r="I65" i="51"/>
  <c r="H65" i="51"/>
  <c r="G65" i="51"/>
  <c r="X65" i="51"/>
  <c r="P65" i="51"/>
  <c r="W65" i="51"/>
  <c r="W76" i="62"/>
  <c r="O76" i="62"/>
  <c r="G76" i="62"/>
  <c r="Q36" i="62"/>
  <c r="I36" i="62"/>
  <c r="AA26" i="62"/>
  <c r="S26" i="62"/>
  <c r="K26" i="62"/>
  <c r="C26" i="62"/>
  <c r="V76" i="62"/>
  <c r="N76" i="62"/>
  <c r="F76" i="62"/>
  <c r="X36" i="62"/>
  <c r="P36" i="62"/>
  <c r="H36" i="62"/>
  <c r="Z26" i="62"/>
  <c r="R26" i="62"/>
  <c r="J26" i="62"/>
  <c r="U76" i="62"/>
  <c r="M76" i="62"/>
  <c r="E76" i="62"/>
  <c r="W36" i="62"/>
  <c r="O36" i="62"/>
  <c r="G36" i="62"/>
  <c r="Y26" i="62"/>
  <c r="Q26" i="62"/>
  <c r="I26" i="62"/>
  <c r="AB76" i="62"/>
  <c r="T76" i="62"/>
  <c r="L76" i="62"/>
  <c r="D76" i="62"/>
  <c r="V36" i="62"/>
  <c r="N36" i="62"/>
  <c r="F36" i="62"/>
  <c r="X26" i="62"/>
  <c r="P26" i="62"/>
  <c r="H26" i="62"/>
  <c r="AA76" i="62"/>
  <c r="S76" i="62"/>
  <c r="K76" i="62"/>
  <c r="C76" i="62"/>
  <c r="U36" i="62"/>
  <c r="M36" i="62"/>
  <c r="E36" i="62"/>
  <c r="W26" i="62"/>
  <c r="O26" i="62"/>
  <c r="G26" i="62"/>
  <c r="Z76" i="62"/>
  <c r="R76" i="62"/>
  <c r="J76" i="62"/>
  <c r="AB36" i="62"/>
  <c r="T36" i="62"/>
  <c r="L36" i="62"/>
  <c r="D36" i="62"/>
  <c r="V26" i="62"/>
  <c r="N26" i="62"/>
  <c r="F26" i="62"/>
  <c r="Y76" i="62"/>
  <c r="Q76" i="62"/>
  <c r="I76" i="62"/>
  <c r="AA36" i="62"/>
  <c r="S36" i="62"/>
  <c r="K36" i="62"/>
  <c r="C36" i="62"/>
  <c r="U26" i="62"/>
  <c r="M26" i="62"/>
  <c r="E26" i="62"/>
  <c r="X76" i="62"/>
  <c r="P76" i="62"/>
  <c r="H76" i="62"/>
  <c r="R36" i="62"/>
  <c r="J36" i="62"/>
  <c r="AB26" i="62"/>
  <c r="T26" i="62"/>
  <c r="L26" i="62"/>
  <c r="D26" i="62"/>
  <c r="AB80" i="62"/>
  <c r="T80" i="62"/>
  <c r="L80" i="62"/>
  <c r="D80" i="62"/>
  <c r="Y65" i="62"/>
  <c r="Q65" i="62"/>
  <c r="I65" i="62"/>
  <c r="U63" i="62"/>
  <c r="M63" i="62"/>
  <c r="E63" i="62"/>
  <c r="Y63" i="62"/>
  <c r="Q63" i="62"/>
  <c r="I63" i="62"/>
  <c r="G80" i="62"/>
  <c r="L65" i="62"/>
  <c r="W63" i="62"/>
  <c r="O63" i="62"/>
  <c r="G63" i="62"/>
  <c r="U80" i="62"/>
  <c r="M80" i="62"/>
  <c r="E80" i="62"/>
  <c r="Z65" i="62"/>
  <c r="R65" i="62"/>
  <c r="J65" i="62"/>
  <c r="V63" i="62"/>
  <c r="N63" i="62"/>
  <c r="F63" i="62"/>
  <c r="AA80" i="62"/>
  <c r="S80" i="62"/>
  <c r="K80" i="62"/>
  <c r="C80" i="62"/>
  <c r="X65" i="62"/>
  <c r="P65" i="62"/>
  <c r="H65" i="62"/>
  <c r="AB63" i="62"/>
  <c r="T63" i="62"/>
  <c r="L63" i="62"/>
  <c r="D63" i="62"/>
  <c r="X80" i="62"/>
  <c r="U65" i="62"/>
  <c r="W80" i="62"/>
  <c r="AB65" i="62"/>
  <c r="D65" i="62"/>
  <c r="Z80" i="62"/>
  <c r="R80" i="62"/>
  <c r="J80" i="62"/>
  <c r="W65" i="62"/>
  <c r="O65" i="62"/>
  <c r="G65" i="62"/>
  <c r="AA63" i="62"/>
  <c r="S63" i="62"/>
  <c r="K63" i="62"/>
  <c r="C63" i="62"/>
  <c r="H80" i="62"/>
  <c r="E65" i="62"/>
  <c r="O80" i="62"/>
  <c r="T65" i="62"/>
  <c r="Y80" i="62"/>
  <c r="Q80" i="62"/>
  <c r="I80" i="62"/>
  <c r="V65" i="62"/>
  <c r="N65" i="62"/>
  <c r="F65" i="62"/>
  <c r="Z63" i="62"/>
  <c r="R63" i="62"/>
  <c r="J63" i="62"/>
  <c r="P80" i="62"/>
  <c r="M65" i="62"/>
  <c r="X63" i="62"/>
  <c r="P63" i="62"/>
  <c r="H63" i="62"/>
  <c r="V80" i="62"/>
  <c r="N80" i="62"/>
  <c r="F80" i="62"/>
  <c r="AA65" i="62"/>
  <c r="S65" i="62"/>
  <c r="K65" i="62"/>
  <c r="C65" i="62"/>
  <c r="H36" i="51"/>
  <c r="Z36" i="51"/>
  <c r="C63" i="51"/>
  <c r="S18" i="61"/>
  <c r="R18" i="61"/>
  <c r="I36" i="51"/>
  <c r="S11" i="61"/>
  <c r="R11" i="61"/>
  <c r="S19" i="61"/>
  <c r="R19" i="61"/>
  <c r="S10" i="61"/>
  <c r="R10" i="61"/>
  <c r="S14" i="61"/>
  <c r="R14" i="61"/>
  <c r="S12" i="61"/>
  <c r="R12" i="61"/>
  <c r="S15" i="61"/>
  <c r="R15" i="61"/>
  <c r="E63" i="51"/>
  <c r="M63" i="51"/>
  <c r="U63" i="51"/>
  <c r="F63" i="51"/>
  <c r="N63" i="51"/>
  <c r="V63" i="51"/>
  <c r="G63" i="51"/>
  <c r="O63" i="51"/>
  <c r="W63" i="51"/>
  <c r="H63" i="51"/>
  <c r="P63" i="51"/>
  <c r="X63" i="51"/>
  <c r="I63" i="51"/>
  <c r="J63" i="51"/>
  <c r="R63" i="51"/>
  <c r="K63" i="51"/>
  <c r="S63" i="51"/>
  <c r="D63" i="51"/>
  <c r="L63" i="51"/>
  <c r="T63" i="51"/>
  <c r="Q63" i="51"/>
  <c r="R16" i="61"/>
  <c r="S16" i="61"/>
  <c r="R13" i="61"/>
  <c r="S13" i="61"/>
  <c r="R17" i="61"/>
  <c r="S17" i="61"/>
  <c r="U36" i="51"/>
  <c r="R9" i="61"/>
  <c r="K36" i="51"/>
  <c r="F36" i="51"/>
  <c r="Q36" i="51"/>
  <c r="S36" i="51"/>
  <c r="N36" i="51"/>
  <c r="J36" i="51"/>
  <c r="L36" i="51"/>
  <c r="G36" i="51"/>
  <c r="R36" i="51"/>
  <c r="T36" i="51"/>
  <c r="O36" i="51"/>
  <c r="C36" i="51"/>
  <c r="E36" i="51"/>
  <c r="D36" i="51"/>
  <c r="V36" i="51"/>
  <c r="S76" i="51"/>
  <c r="K76" i="51"/>
  <c r="D76" i="51"/>
  <c r="L80" i="51"/>
  <c r="T80" i="51"/>
  <c r="C80" i="51"/>
  <c r="L26" i="51"/>
  <c r="T26" i="51"/>
  <c r="F26" i="51"/>
  <c r="R76" i="51"/>
  <c r="J76" i="51"/>
  <c r="E80" i="51"/>
  <c r="M80" i="51"/>
  <c r="U80" i="51"/>
  <c r="D26" i="51"/>
  <c r="M26" i="51"/>
  <c r="U26" i="51"/>
  <c r="Q76" i="51"/>
  <c r="I76" i="51"/>
  <c r="F80" i="51"/>
  <c r="N80" i="51"/>
  <c r="V80" i="51"/>
  <c r="C26" i="51"/>
  <c r="N26" i="51"/>
  <c r="V26" i="51"/>
  <c r="X76" i="51"/>
  <c r="P76" i="51"/>
  <c r="H76" i="51"/>
  <c r="G80" i="51"/>
  <c r="O80" i="51"/>
  <c r="W80" i="51"/>
  <c r="G26" i="51"/>
  <c r="O26" i="51"/>
  <c r="W26" i="51"/>
  <c r="W76" i="51"/>
  <c r="O76" i="51"/>
  <c r="G76" i="51"/>
  <c r="H80" i="51"/>
  <c r="P80" i="51"/>
  <c r="X80" i="51"/>
  <c r="H26" i="51"/>
  <c r="P26" i="51"/>
  <c r="X26" i="51"/>
  <c r="V76" i="51"/>
  <c r="N76" i="51"/>
  <c r="F76" i="51"/>
  <c r="I80" i="51"/>
  <c r="Q80" i="51"/>
  <c r="I26" i="51"/>
  <c r="Q26" i="51"/>
  <c r="M76" i="51"/>
  <c r="E76" i="51"/>
  <c r="J80" i="51"/>
  <c r="R80" i="51"/>
  <c r="J26" i="51"/>
  <c r="R26" i="51"/>
  <c r="U76" i="51"/>
  <c r="T76" i="51"/>
  <c r="L76" i="51"/>
  <c r="C76" i="51"/>
  <c r="K80" i="51"/>
  <c r="S80" i="51"/>
  <c r="D80" i="51"/>
  <c r="K26" i="51"/>
  <c r="S26" i="51"/>
  <c r="E26" i="51"/>
  <c r="P36" i="51"/>
  <c r="M36" i="51"/>
  <c r="I21" i="49" l="1"/>
  <c r="E21" i="49"/>
  <c r="C21" i="49"/>
  <c r="E57" i="49"/>
  <c r="E77" i="49"/>
  <c r="C57" i="49"/>
  <c r="AJ26" i="62"/>
  <c r="AI76" i="62"/>
  <c r="AI26" i="62"/>
  <c r="AI36" i="62"/>
  <c r="AI63" i="62"/>
  <c r="AJ76" i="62"/>
  <c r="AJ80" i="51"/>
  <c r="AJ80" i="62"/>
  <c r="AI80" i="62"/>
  <c r="AI80" i="51"/>
  <c r="G74" i="49"/>
  <c r="AJ63" i="51"/>
  <c r="C74" i="49"/>
  <c r="E59" i="49"/>
  <c r="I59" i="49"/>
  <c r="AI63" i="51"/>
  <c r="G57" i="49"/>
  <c r="AI65" i="62"/>
  <c r="AI65" i="51"/>
  <c r="AJ65" i="62"/>
  <c r="AJ65" i="51"/>
  <c r="AJ76" i="51"/>
  <c r="AI76" i="51"/>
  <c r="AJ36" i="51"/>
  <c r="AI36" i="51"/>
  <c r="AJ26" i="51"/>
  <c r="G70" i="49"/>
  <c r="I57" i="49"/>
  <c r="G30" i="49"/>
  <c r="E70" i="49"/>
  <c r="E74" i="49"/>
  <c r="I74" i="49"/>
  <c r="I30" i="49"/>
  <c r="I70" i="49"/>
  <c r="C70" i="49"/>
  <c r="C30" i="49"/>
  <c r="E30" i="49"/>
  <c r="R40" i="61"/>
  <c r="R38" i="61"/>
  <c r="S38" i="61"/>
  <c r="R41" i="61"/>
  <c r="S41" i="61"/>
  <c r="R39" i="61"/>
  <c r="S42" i="61"/>
  <c r="S39" i="61"/>
  <c r="R37" i="61"/>
  <c r="S37" i="61"/>
  <c r="R43" i="61"/>
  <c r="S40" i="61"/>
  <c r="S43" i="61"/>
  <c r="B80" i="60" l="1"/>
  <c r="AA60" i="52"/>
  <c r="AA35" i="52"/>
  <c r="AA10" i="52"/>
  <c r="AB60" i="52"/>
  <c r="AB35" i="52"/>
  <c r="AB10" i="52"/>
  <c r="A9" i="59"/>
  <c r="B9" i="59" s="1"/>
  <c r="A10" i="59"/>
  <c r="B10" i="59" s="1"/>
  <c r="A11" i="59"/>
  <c r="B11" i="59" s="1"/>
  <c r="A12" i="59"/>
  <c r="C12" i="59" s="1"/>
  <c r="A13" i="59"/>
  <c r="B13" i="59" s="1"/>
  <c r="A14" i="59"/>
  <c r="C14" i="59" s="1"/>
  <c r="A15" i="59"/>
  <c r="A16" i="59"/>
  <c r="C16" i="59" s="1"/>
  <c r="A17" i="59"/>
  <c r="C17" i="59" s="1"/>
  <c r="A18" i="59"/>
  <c r="C18" i="59" s="1"/>
  <c r="A19" i="59"/>
  <c r="A20" i="59"/>
  <c r="B20" i="59" s="1"/>
  <c r="A21" i="59"/>
  <c r="A22" i="59"/>
  <c r="C22" i="59" s="1"/>
  <c r="A23" i="59"/>
  <c r="A24" i="59"/>
  <c r="C24" i="59" s="1"/>
  <c r="A25" i="59"/>
  <c r="A26" i="59"/>
  <c r="B26" i="59" s="1"/>
  <c r="A27" i="59"/>
  <c r="B27" i="59" s="1"/>
  <c r="A28" i="59"/>
  <c r="B28" i="59" s="1"/>
  <c r="A29" i="59"/>
  <c r="A30" i="59"/>
  <c r="C30" i="59" s="1"/>
  <c r="A31" i="59"/>
  <c r="A32" i="59"/>
  <c r="C32" i="59" s="1"/>
  <c r="A33" i="59"/>
  <c r="A34" i="59"/>
  <c r="C34" i="59" s="1"/>
  <c r="A35" i="59"/>
  <c r="A36" i="59"/>
  <c r="C36" i="59" s="1"/>
  <c r="A37" i="59"/>
  <c r="A38" i="59"/>
  <c r="C38" i="59" s="1"/>
  <c r="A39" i="59"/>
  <c r="A40" i="59"/>
  <c r="C40" i="59" s="1"/>
  <c r="A41" i="59"/>
  <c r="A42" i="59"/>
  <c r="C42" i="59" s="1"/>
  <c r="A43" i="59"/>
  <c r="B43" i="59" s="1"/>
  <c r="A44" i="59"/>
  <c r="B44" i="59" s="1"/>
  <c r="A45" i="59"/>
  <c r="B45" i="59" s="1"/>
  <c r="A46" i="59"/>
  <c r="C46" i="59" s="1"/>
  <c r="A47" i="59"/>
  <c r="A48" i="59"/>
  <c r="C48" i="59" s="1"/>
  <c r="A49" i="59"/>
  <c r="C49" i="59" s="1"/>
  <c r="A50" i="59"/>
  <c r="B50" i="59" s="1"/>
  <c r="A51" i="59"/>
  <c r="A52" i="59"/>
  <c r="B52" i="59" s="1"/>
  <c r="A53" i="59"/>
  <c r="A54" i="59"/>
  <c r="C54" i="59" s="1"/>
  <c r="A55" i="59"/>
  <c r="A56" i="59"/>
  <c r="C56" i="59" s="1"/>
  <c r="A57" i="59"/>
  <c r="A58" i="59"/>
  <c r="B58" i="59" s="1"/>
  <c r="A59" i="59"/>
  <c r="C59" i="59" s="1"/>
  <c r="A60" i="59"/>
  <c r="B60" i="59" s="1"/>
  <c r="A61" i="59"/>
  <c r="B61" i="59" s="1"/>
  <c r="A62" i="59"/>
  <c r="C62" i="59" s="1"/>
  <c r="A63" i="59"/>
  <c r="A64" i="59"/>
  <c r="C64" i="59" s="1"/>
  <c r="A65" i="59"/>
  <c r="A66" i="59"/>
  <c r="B66" i="59" s="1"/>
  <c r="A67" i="59"/>
  <c r="A68" i="59"/>
  <c r="C68" i="59" s="1"/>
  <c r="V58" i="56"/>
  <c r="W58" i="56"/>
  <c r="X58" i="56"/>
  <c r="Y58" i="56"/>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I245" i="54"/>
  <c r="I246" i="54"/>
  <c r="I247" i="54"/>
  <c r="I248" i="54"/>
  <c r="I249" i="54"/>
  <c r="I250" i="54"/>
  <c r="I9" i="54"/>
  <c r="H10" i="54"/>
  <c r="H11" i="54"/>
  <c r="H12" i="54"/>
  <c r="H13" i="54"/>
  <c r="H14" i="54"/>
  <c r="H15" i="54"/>
  <c r="H16" i="54"/>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H245" i="54"/>
  <c r="H246" i="54"/>
  <c r="H247" i="54"/>
  <c r="H248" i="54"/>
  <c r="H249" i="54"/>
  <c r="H250" i="54"/>
  <c r="H9" i="54"/>
  <c r="AM36" i="52"/>
  <c r="AL36" i="52"/>
  <c r="AK36" i="52"/>
  <c r="AJ36" i="52"/>
  <c r="AI36" i="52"/>
  <c r="AH36" i="52"/>
  <c r="AG36" i="52"/>
  <c r="AF36" i="52"/>
  <c r="AE36" i="52"/>
  <c r="AK35" i="52"/>
  <c r="AH35" i="52"/>
  <c r="AE35" i="52"/>
  <c r="AD36" i="52"/>
  <c r="AD34" i="52"/>
  <c r="Z36" i="36"/>
  <c r="Y36" i="36"/>
  <c r="X36" i="36"/>
  <c r="W36" i="36"/>
  <c r="V36" i="36"/>
  <c r="U36" i="36"/>
  <c r="T36" i="36"/>
  <c r="Y35" i="36"/>
  <c r="W35" i="36"/>
  <c r="U35" i="36"/>
  <c r="T34"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10" i="36"/>
  <c r="M10" i="5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9" i="52"/>
  <c r="I9" i="36"/>
  <c r="L10" i="52"/>
  <c r="A10" i="52" s="1"/>
  <c r="L11" i="52"/>
  <c r="L12" i="52"/>
  <c r="A12" i="52" s="1"/>
  <c r="L13" i="52"/>
  <c r="L14" i="52"/>
  <c r="A14" i="52" s="1"/>
  <c r="L15" i="52"/>
  <c r="L16" i="52"/>
  <c r="A16" i="52" s="1"/>
  <c r="L17" i="52"/>
  <c r="L18" i="52"/>
  <c r="A18" i="52" s="1"/>
  <c r="L19" i="52"/>
  <c r="L20" i="52"/>
  <c r="A20" i="52" s="1"/>
  <c r="L21" i="52"/>
  <c r="L22" i="52"/>
  <c r="A22" i="52" s="1"/>
  <c r="L23" i="52"/>
  <c r="L24" i="52"/>
  <c r="A24" i="52" s="1"/>
  <c r="L25" i="52"/>
  <c r="L26" i="52"/>
  <c r="A26" i="52" s="1"/>
  <c r="L27" i="52"/>
  <c r="L28" i="52"/>
  <c r="A28" i="52" s="1"/>
  <c r="L29" i="52"/>
  <c r="L30" i="52"/>
  <c r="A30" i="52" s="1"/>
  <c r="L31" i="52"/>
  <c r="L32" i="52"/>
  <c r="A32" i="52" s="1"/>
  <c r="L33" i="52"/>
  <c r="L34" i="52"/>
  <c r="A34" i="52" s="1"/>
  <c r="L35" i="52"/>
  <c r="L36" i="52"/>
  <c r="A36" i="52" s="1"/>
  <c r="L37" i="52"/>
  <c r="L38" i="52"/>
  <c r="A38" i="52" s="1"/>
  <c r="L39" i="52"/>
  <c r="L40" i="52"/>
  <c r="A40" i="52" s="1"/>
  <c r="L41" i="52"/>
  <c r="L42" i="52"/>
  <c r="A42" i="52" s="1"/>
  <c r="L43" i="52"/>
  <c r="L44" i="52"/>
  <c r="A44" i="52" s="1"/>
  <c r="L45" i="52"/>
  <c r="L46" i="52"/>
  <c r="A46" i="52" s="1"/>
  <c r="L47" i="52"/>
  <c r="L48" i="52"/>
  <c r="A48" i="52" s="1"/>
  <c r="L49" i="52"/>
  <c r="L50" i="52"/>
  <c r="A50" i="52" s="1"/>
  <c r="L51" i="52"/>
  <c r="L52" i="52"/>
  <c r="A52" i="52" s="1"/>
  <c r="L53" i="52"/>
  <c r="L54" i="52"/>
  <c r="A54" i="52" s="1"/>
  <c r="L55" i="52"/>
  <c r="L56" i="52"/>
  <c r="A56" i="52" s="1"/>
  <c r="L57" i="52"/>
  <c r="L58" i="52"/>
  <c r="A58" i="52" s="1"/>
  <c r="L59" i="52"/>
  <c r="L60" i="52"/>
  <c r="A60" i="52" s="1"/>
  <c r="L61" i="52"/>
  <c r="L62" i="52"/>
  <c r="A62" i="52" s="1"/>
  <c r="L63" i="52"/>
  <c r="L64" i="52"/>
  <c r="A64" i="52" s="1"/>
  <c r="L65" i="52"/>
  <c r="L66" i="52"/>
  <c r="A66" i="52" s="1"/>
  <c r="L67" i="52"/>
  <c r="L68" i="52"/>
  <c r="A68" i="52" s="1"/>
  <c r="L69" i="52"/>
  <c r="L70" i="52"/>
  <c r="A70" i="52" s="1"/>
  <c r="L71" i="52"/>
  <c r="L72" i="52"/>
  <c r="A72" i="52" s="1"/>
  <c r="L73" i="52"/>
  <c r="L74" i="52"/>
  <c r="A74" i="52" s="1"/>
  <c r="L75" i="52"/>
  <c r="L76" i="52"/>
  <c r="A76" i="52" s="1"/>
  <c r="L77" i="52"/>
  <c r="L78" i="52"/>
  <c r="L101" i="52"/>
  <c r="L102" i="52"/>
  <c r="A102" i="52" s="1"/>
  <c r="L103" i="52"/>
  <c r="L104" i="52"/>
  <c r="A104" i="52" s="1"/>
  <c r="L105" i="52"/>
  <c r="L106" i="52"/>
  <c r="A106" i="52" s="1"/>
  <c r="L107" i="52"/>
  <c r="L108" i="52"/>
  <c r="A108" i="52" s="1"/>
  <c r="L109" i="52"/>
  <c r="L110" i="52"/>
  <c r="A110" i="52" s="1"/>
  <c r="L111" i="52"/>
  <c r="L112" i="52"/>
  <c r="A112" i="52" s="1"/>
  <c r="L113" i="52"/>
  <c r="L114" i="52"/>
  <c r="A114" i="52" s="1"/>
  <c r="L115" i="52"/>
  <c r="L116" i="52"/>
  <c r="A116" i="52" s="1"/>
  <c r="L117" i="52"/>
  <c r="L118" i="52"/>
  <c r="A118" i="52" s="1"/>
  <c r="L119" i="52"/>
  <c r="L120" i="52"/>
  <c r="A120" i="52" s="1"/>
  <c r="L121" i="52"/>
  <c r="L122" i="52"/>
  <c r="A122" i="52" s="1"/>
  <c r="L123" i="52"/>
  <c r="L124" i="52"/>
  <c r="A124" i="52" s="1"/>
  <c r="L125" i="52"/>
  <c r="L126" i="52"/>
  <c r="A126" i="52" s="1"/>
  <c r="L127" i="52"/>
  <c r="L128" i="52"/>
  <c r="A128" i="52" s="1"/>
  <c r="L129" i="52"/>
  <c r="L130" i="52"/>
  <c r="A130" i="52" s="1"/>
  <c r="L131" i="52"/>
  <c r="L132" i="52"/>
  <c r="A132" i="52" s="1"/>
  <c r="L133" i="52"/>
  <c r="L134" i="52"/>
  <c r="A134" i="52" s="1"/>
  <c r="L135" i="52"/>
  <c r="L136" i="52"/>
  <c r="A136" i="52" s="1"/>
  <c r="L137" i="52"/>
  <c r="L138" i="52"/>
  <c r="A138" i="52" s="1"/>
  <c r="L139" i="52"/>
  <c r="L140" i="52"/>
  <c r="A140" i="52" s="1"/>
  <c r="L141" i="52"/>
  <c r="L142" i="52"/>
  <c r="A142" i="52" s="1"/>
  <c r="L143" i="52"/>
  <c r="L144" i="52"/>
  <c r="A144" i="52" s="1"/>
  <c r="L145" i="52"/>
  <c r="L146" i="52"/>
  <c r="A146" i="52" s="1"/>
  <c r="L147" i="52"/>
  <c r="L148" i="52"/>
  <c r="A148" i="52" s="1"/>
  <c r="L149" i="52"/>
  <c r="L150" i="52"/>
  <c r="A150" i="52" s="1"/>
  <c r="L151" i="52"/>
  <c r="L152" i="52"/>
  <c r="A152" i="52" s="1"/>
  <c r="L153" i="52"/>
  <c r="L154" i="52"/>
  <c r="A154" i="52" s="1"/>
  <c r="L155" i="52"/>
  <c r="L156" i="52"/>
  <c r="A156" i="52" s="1"/>
  <c r="L157" i="52"/>
  <c r="L158" i="52"/>
  <c r="A158" i="52" s="1"/>
  <c r="L159" i="52"/>
  <c r="L160" i="52"/>
  <c r="A160" i="52" s="1"/>
  <c r="L161" i="52"/>
  <c r="L162" i="52"/>
  <c r="A162" i="52" s="1"/>
  <c r="L163" i="52"/>
  <c r="L164" i="52"/>
  <c r="A164" i="52" s="1"/>
  <c r="L165" i="52"/>
  <c r="L166" i="52"/>
  <c r="A166" i="52" s="1"/>
  <c r="L167" i="52"/>
  <c r="L168" i="52"/>
  <c r="A168" i="52" s="1"/>
  <c r="L169" i="52"/>
  <c r="L170" i="52"/>
  <c r="A170" i="52" s="1"/>
  <c r="L171" i="52"/>
  <c r="L172" i="52"/>
  <c r="A172" i="52" s="1"/>
  <c r="L173" i="52"/>
  <c r="L174" i="52"/>
  <c r="A174" i="52" s="1"/>
  <c r="L175" i="52"/>
  <c r="L176" i="52"/>
  <c r="A176" i="52" s="1"/>
  <c r="L177" i="52"/>
  <c r="L178" i="52"/>
  <c r="A178" i="52" s="1"/>
  <c r="L179" i="52"/>
  <c r="L180" i="52"/>
  <c r="A180" i="52" s="1"/>
  <c r="L181" i="52"/>
  <c r="L182" i="52"/>
  <c r="A182" i="52" s="1"/>
  <c r="L183" i="52"/>
  <c r="L184" i="52"/>
  <c r="A184" i="52" s="1"/>
  <c r="L185" i="52"/>
  <c r="L186" i="52"/>
  <c r="A186" i="52" s="1"/>
  <c r="L187" i="52"/>
  <c r="L188" i="52"/>
  <c r="A188" i="52" s="1"/>
  <c r="L189" i="52"/>
  <c r="L190" i="52"/>
  <c r="A190" i="52" s="1"/>
  <c r="L191" i="52"/>
  <c r="L192" i="52"/>
  <c r="A192" i="52" s="1"/>
  <c r="L193" i="52"/>
  <c r="L194" i="52"/>
  <c r="A194" i="52" s="1"/>
  <c r="L195" i="52"/>
  <c r="L196" i="52"/>
  <c r="A196" i="52" s="1"/>
  <c r="L197" i="52"/>
  <c r="L198" i="52"/>
  <c r="A198" i="52" s="1"/>
  <c r="L199" i="52"/>
  <c r="L200" i="52"/>
  <c r="A200" i="52" s="1"/>
  <c r="L201" i="52"/>
  <c r="L202" i="52"/>
  <c r="A202" i="52" s="1"/>
  <c r="L203" i="52"/>
  <c r="L204" i="52"/>
  <c r="A204" i="52" s="1"/>
  <c r="L205" i="52"/>
  <c r="L206" i="52"/>
  <c r="A206" i="52" s="1"/>
  <c r="L207" i="52"/>
  <c r="L208" i="52"/>
  <c r="A208" i="52" s="1"/>
  <c r="L209" i="52"/>
  <c r="L210" i="52"/>
  <c r="A210" i="52" s="1"/>
  <c r="L211" i="52"/>
  <c r="L212" i="52"/>
  <c r="A212" i="52" s="1"/>
  <c r="L213" i="52"/>
  <c r="L214" i="52"/>
  <c r="A214" i="52" s="1"/>
  <c r="L215" i="52"/>
  <c r="L216" i="52"/>
  <c r="A216" i="52" s="1"/>
  <c r="L217" i="52"/>
  <c r="L218" i="52"/>
  <c r="A218" i="52" s="1"/>
  <c r="L219" i="52"/>
  <c r="L220" i="52"/>
  <c r="A220" i="52" s="1"/>
  <c r="L221" i="52"/>
  <c r="L222" i="52"/>
  <c r="A222" i="52" s="1"/>
  <c r="L223" i="52"/>
  <c r="L224" i="52"/>
  <c r="A224" i="52" s="1"/>
  <c r="L225" i="52"/>
  <c r="L226" i="52"/>
  <c r="A226" i="52" s="1"/>
  <c r="L227" i="52"/>
  <c r="L228" i="52"/>
  <c r="A228" i="52" s="1"/>
  <c r="L229" i="52"/>
  <c r="L230" i="52"/>
  <c r="A230" i="52" s="1"/>
  <c r="L231" i="52"/>
  <c r="L232" i="52"/>
  <c r="A232" i="52" s="1"/>
  <c r="L233" i="52"/>
  <c r="L234" i="52"/>
  <c r="A234" i="52" s="1"/>
  <c r="L235" i="52"/>
  <c r="L236" i="52"/>
  <c r="A236" i="52" s="1"/>
  <c r="L237" i="52"/>
  <c r="L238" i="52"/>
  <c r="A238" i="52" s="1"/>
  <c r="L239" i="52"/>
  <c r="L240" i="52"/>
  <c r="A240" i="52" s="1"/>
  <c r="L241" i="52"/>
  <c r="L242" i="52"/>
  <c r="A242" i="52" s="1"/>
  <c r="L243" i="52"/>
  <c r="L244" i="52"/>
  <c r="A244" i="52" s="1"/>
  <c r="L245" i="52"/>
  <c r="L246" i="52"/>
  <c r="A246" i="52" s="1"/>
  <c r="L247" i="52"/>
  <c r="L248" i="52"/>
  <c r="A248" i="52" s="1"/>
  <c r="L249" i="52"/>
  <c r="L250" i="52"/>
  <c r="A250" i="52" s="1"/>
  <c r="L9" i="52"/>
  <c r="L24" i="54"/>
  <c r="P24" i="54"/>
  <c r="N24" i="54"/>
  <c r="N25" i="54"/>
  <c r="O25" i="54"/>
  <c r="P25" i="54"/>
  <c r="Q25" i="54"/>
  <c r="M25" i="54"/>
  <c r="L25" i="54"/>
  <c r="K25" i="54"/>
  <c r="K23" i="54"/>
  <c r="U35" i="28"/>
  <c r="T35" i="28"/>
  <c r="S35" i="28"/>
  <c r="S34" i="28"/>
  <c r="F76" i="28"/>
  <c r="G76" i="28"/>
  <c r="F77" i="28"/>
  <c r="G77" i="28"/>
  <c r="F78" i="28"/>
  <c r="G78" i="28"/>
  <c r="F79" i="28"/>
  <c r="G79" i="28"/>
  <c r="F80" i="28"/>
  <c r="G80" i="28"/>
  <c r="F81" i="28"/>
  <c r="G81" i="28"/>
  <c r="F82" i="28"/>
  <c r="G82" i="28"/>
  <c r="F83" i="28"/>
  <c r="G83" i="28"/>
  <c r="F84" i="28"/>
  <c r="G84" i="28"/>
  <c r="F85" i="28"/>
  <c r="G85" i="28"/>
  <c r="F86" i="28"/>
  <c r="G86" i="28"/>
  <c r="F87" i="28"/>
  <c r="G87" i="28"/>
  <c r="F88" i="28"/>
  <c r="G88" i="28"/>
  <c r="F89" i="28"/>
  <c r="G89" i="28"/>
  <c r="F90" i="28"/>
  <c r="G90" i="28"/>
  <c r="F91" i="28"/>
  <c r="G91" i="28"/>
  <c r="F92" i="28"/>
  <c r="G92" i="28"/>
  <c r="F93" i="28"/>
  <c r="G93" i="28"/>
  <c r="F94" i="28"/>
  <c r="G94" i="28"/>
  <c r="F95" i="28"/>
  <c r="G95" i="28"/>
  <c r="F96" i="28"/>
  <c r="G96" i="28"/>
  <c r="F97" i="28"/>
  <c r="G97" i="28"/>
  <c r="F98" i="28"/>
  <c r="G98" i="28"/>
  <c r="F99" i="28"/>
  <c r="G99" i="28"/>
  <c r="F100" i="28"/>
  <c r="G100" i="28"/>
  <c r="F101" i="28"/>
  <c r="G101" i="28"/>
  <c r="F102" i="28"/>
  <c r="G102" i="28"/>
  <c r="F103" i="28"/>
  <c r="G103" i="28"/>
  <c r="F104" i="28"/>
  <c r="G104" i="28"/>
  <c r="F105" i="28"/>
  <c r="G105" i="28"/>
  <c r="F106" i="28"/>
  <c r="G106" i="28"/>
  <c r="F107" i="28"/>
  <c r="G107" i="28"/>
  <c r="F108" i="28"/>
  <c r="G108" i="28"/>
  <c r="F109" i="28"/>
  <c r="G109" i="28"/>
  <c r="F110" i="28"/>
  <c r="G110" i="28"/>
  <c r="F111" i="28"/>
  <c r="G111" i="28"/>
  <c r="F112" i="28"/>
  <c r="G112" i="28"/>
  <c r="F113" i="28"/>
  <c r="G113" i="28"/>
  <c r="F114" i="28"/>
  <c r="G114" i="28"/>
  <c r="F115" i="28"/>
  <c r="G115" i="28"/>
  <c r="F116" i="28"/>
  <c r="G116" i="28"/>
  <c r="F117" i="28"/>
  <c r="G117" i="28"/>
  <c r="F118" i="28"/>
  <c r="G118" i="28"/>
  <c r="F119" i="28"/>
  <c r="G119" i="28"/>
  <c r="F120" i="28"/>
  <c r="G120" i="28"/>
  <c r="F121" i="28"/>
  <c r="G121" i="28"/>
  <c r="F122" i="28"/>
  <c r="G122" i="28"/>
  <c r="F123" i="28"/>
  <c r="G123" i="28"/>
  <c r="F124" i="28"/>
  <c r="G124" i="28"/>
  <c r="F125" i="28"/>
  <c r="G125" i="28"/>
  <c r="F126" i="28"/>
  <c r="G126" i="28"/>
  <c r="F127" i="28"/>
  <c r="G127" i="28"/>
  <c r="F128" i="28"/>
  <c r="G128" i="28"/>
  <c r="F129" i="28"/>
  <c r="G129" i="28"/>
  <c r="F130" i="28"/>
  <c r="G130" i="28"/>
  <c r="F131" i="28"/>
  <c r="G131" i="28"/>
  <c r="F132" i="28"/>
  <c r="G132" i="28"/>
  <c r="F133" i="28"/>
  <c r="G133" i="28"/>
  <c r="F134" i="28"/>
  <c r="G134" i="28"/>
  <c r="F135" i="28"/>
  <c r="G135" i="28"/>
  <c r="F136" i="28"/>
  <c r="G136" i="28"/>
  <c r="F137" i="28"/>
  <c r="G137" i="28"/>
  <c r="F138" i="28"/>
  <c r="G138" i="28"/>
  <c r="F139" i="28"/>
  <c r="G139" i="28"/>
  <c r="F140" i="28"/>
  <c r="G140" i="28"/>
  <c r="F141" i="28"/>
  <c r="G141" i="28"/>
  <c r="F142" i="28"/>
  <c r="G142" i="28"/>
  <c r="F143" i="28"/>
  <c r="G143" i="28"/>
  <c r="F144" i="28"/>
  <c r="G144" i="28"/>
  <c r="F145" i="28"/>
  <c r="G145" i="28"/>
  <c r="F146" i="28"/>
  <c r="G146" i="28"/>
  <c r="F147" i="28"/>
  <c r="G147" i="28"/>
  <c r="F148" i="28"/>
  <c r="G148" i="28"/>
  <c r="F149" i="28"/>
  <c r="G149" i="28"/>
  <c r="F150" i="28"/>
  <c r="G150" i="28"/>
  <c r="F151" i="28"/>
  <c r="G151" i="28"/>
  <c r="F152" i="28"/>
  <c r="G152" i="28"/>
  <c r="F153" i="28"/>
  <c r="G153" i="28"/>
  <c r="F154" i="28"/>
  <c r="G154" i="28"/>
  <c r="F155" i="28"/>
  <c r="G155" i="28"/>
  <c r="F156" i="28"/>
  <c r="G156" i="28"/>
  <c r="F157" i="28"/>
  <c r="G157" i="28"/>
  <c r="F158" i="28"/>
  <c r="G158" i="28"/>
  <c r="F159" i="28"/>
  <c r="G159" i="28"/>
  <c r="F160" i="28"/>
  <c r="G160" i="28"/>
  <c r="F161" i="28"/>
  <c r="G161" i="28"/>
  <c r="F162" i="28"/>
  <c r="G162" i="28"/>
  <c r="F163" i="28"/>
  <c r="G163" i="28"/>
  <c r="F164" i="28"/>
  <c r="G164" i="28"/>
  <c r="F165" i="28"/>
  <c r="G165" i="28"/>
  <c r="F166" i="28"/>
  <c r="G166" i="28"/>
  <c r="F167" i="28"/>
  <c r="G167" i="28"/>
  <c r="F168" i="28"/>
  <c r="G168" i="28"/>
  <c r="F169" i="28"/>
  <c r="G169" i="28"/>
  <c r="F170" i="28"/>
  <c r="G170" i="28"/>
  <c r="F171" i="28"/>
  <c r="G171" i="28"/>
  <c r="F172" i="28"/>
  <c r="G172" i="28"/>
  <c r="F173" i="28"/>
  <c r="G173" i="28"/>
  <c r="F174" i="28"/>
  <c r="G174" i="28"/>
  <c r="F175" i="28"/>
  <c r="G175" i="28"/>
  <c r="F176" i="28"/>
  <c r="G176" i="28"/>
  <c r="F177" i="28"/>
  <c r="G177" i="28"/>
  <c r="F178" i="28"/>
  <c r="G178" i="28"/>
  <c r="F179" i="28"/>
  <c r="G179" i="28"/>
  <c r="F180" i="28"/>
  <c r="G180" i="28"/>
  <c r="F181" i="28"/>
  <c r="G181" i="28"/>
  <c r="F182" i="28"/>
  <c r="G182" i="28"/>
  <c r="F183" i="28"/>
  <c r="G183" i="28"/>
  <c r="F184" i="28"/>
  <c r="G184" i="28"/>
  <c r="F185" i="28"/>
  <c r="G185" i="28"/>
  <c r="F186" i="28"/>
  <c r="G186" i="28"/>
  <c r="F187" i="28"/>
  <c r="G187" i="28"/>
  <c r="F188" i="28"/>
  <c r="G188" i="28"/>
  <c r="F189" i="28"/>
  <c r="G189" i="28"/>
  <c r="F190" i="28"/>
  <c r="G190" i="28"/>
  <c r="F191" i="28"/>
  <c r="G191" i="28"/>
  <c r="F192" i="28"/>
  <c r="G192" i="28"/>
  <c r="F193" i="28"/>
  <c r="G193" i="28"/>
  <c r="F194" i="28"/>
  <c r="G194" i="28"/>
  <c r="F195" i="28"/>
  <c r="G195" i="28"/>
  <c r="F196" i="28"/>
  <c r="G196" i="28"/>
  <c r="F197" i="28"/>
  <c r="G197" i="28"/>
  <c r="F198" i="28"/>
  <c r="G198" i="28"/>
  <c r="F199" i="28"/>
  <c r="G199" i="28"/>
  <c r="F200" i="28"/>
  <c r="G200" i="28"/>
  <c r="F201" i="28"/>
  <c r="G201" i="28"/>
  <c r="F202" i="28"/>
  <c r="G202" i="28"/>
  <c r="F203" i="28"/>
  <c r="G203" i="28"/>
  <c r="F204" i="28"/>
  <c r="G204" i="28"/>
  <c r="F205" i="28"/>
  <c r="G205" i="28"/>
  <c r="F206" i="28"/>
  <c r="G206" i="28"/>
  <c r="F207" i="28"/>
  <c r="G207" i="28"/>
  <c r="F208" i="28"/>
  <c r="G208" i="28"/>
  <c r="F209" i="28"/>
  <c r="G209" i="28"/>
  <c r="F210" i="28"/>
  <c r="G210" i="28"/>
  <c r="F211" i="28"/>
  <c r="G211" i="28"/>
  <c r="F212" i="28"/>
  <c r="G212" i="28"/>
  <c r="F213" i="28"/>
  <c r="G213" i="28"/>
  <c r="F214" i="28"/>
  <c r="G214" i="28"/>
  <c r="F215" i="28"/>
  <c r="G215" i="28"/>
  <c r="F216" i="28"/>
  <c r="G216" i="28"/>
  <c r="F217" i="28"/>
  <c r="G217" i="28"/>
  <c r="F218" i="28"/>
  <c r="G218" i="28"/>
  <c r="F219" i="28"/>
  <c r="G219" i="28"/>
  <c r="F220" i="28"/>
  <c r="G220" i="28"/>
  <c r="F221" i="28"/>
  <c r="G221" i="28"/>
  <c r="F222" i="28"/>
  <c r="G222" i="28"/>
  <c r="F223" i="28"/>
  <c r="G223" i="28"/>
  <c r="F224" i="28"/>
  <c r="G224" i="28"/>
  <c r="F225" i="28"/>
  <c r="G225" i="28"/>
  <c r="F226" i="28"/>
  <c r="G226" i="28"/>
  <c r="F227" i="28"/>
  <c r="G227" i="28"/>
  <c r="F228" i="28"/>
  <c r="G228" i="28"/>
  <c r="F229" i="28"/>
  <c r="G229" i="28"/>
  <c r="F230" i="28"/>
  <c r="G230" i="28"/>
  <c r="F231" i="28"/>
  <c r="G231" i="28"/>
  <c r="F232" i="28"/>
  <c r="G232" i="28"/>
  <c r="F233" i="28"/>
  <c r="G233" i="28"/>
  <c r="F234" i="28"/>
  <c r="G234" i="28"/>
  <c r="F235" i="28"/>
  <c r="G235" i="28"/>
  <c r="F236" i="28"/>
  <c r="G236" i="28"/>
  <c r="F237" i="28"/>
  <c r="G237" i="28"/>
  <c r="F238" i="28"/>
  <c r="G238" i="28"/>
  <c r="F239" i="28"/>
  <c r="G239" i="28"/>
  <c r="F240" i="28"/>
  <c r="G240" i="28"/>
  <c r="F241" i="28"/>
  <c r="G241" i="28"/>
  <c r="F242" i="28"/>
  <c r="G242" i="28"/>
  <c r="F243" i="28"/>
  <c r="G243" i="28"/>
  <c r="F244" i="28"/>
  <c r="G244" i="28"/>
  <c r="F245" i="28"/>
  <c r="G245" i="28"/>
  <c r="F246" i="28"/>
  <c r="G246" i="28"/>
  <c r="F247" i="28"/>
  <c r="G247" i="28"/>
  <c r="F248" i="28"/>
  <c r="G248" i="28"/>
  <c r="F249" i="28"/>
  <c r="G249" i="28"/>
  <c r="F250" i="28"/>
  <c r="G250"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8" i="28"/>
  <c r="S35" i="22"/>
  <c r="R35" i="22"/>
  <c r="Q35" i="22"/>
  <c r="Q34" i="22"/>
  <c r="D76" i="22"/>
  <c r="E76" i="22"/>
  <c r="D77" i="22"/>
  <c r="E77" i="22"/>
  <c r="D78" i="22"/>
  <c r="E78" i="22"/>
  <c r="D81" i="22"/>
  <c r="E81" i="22"/>
  <c r="D82" i="22"/>
  <c r="E82" i="22"/>
  <c r="D83" i="22"/>
  <c r="E83" i="22"/>
  <c r="D84" i="22"/>
  <c r="E84" i="22"/>
  <c r="D85" i="22"/>
  <c r="E85" i="22"/>
  <c r="D86" i="22"/>
  <c r="E86" i="22"/>
  <c r="D87" i="22"/>
  <c r="E87" i="22"/>
  <c r="D88" i="22"/>
  <c r="E88" i="22"/>
  <c r="D89" i="22"/>
  <c r="E89" i="22"/>
  <c r="D90" i="22"/>
  <c r="E90" i="22"/>
  <c r="D91" i="22"/>
  <c r="E91" i="22"/>
  <c r="D92" i="22"/>
  <c r="E92" i="22"/>
  <c r="D93" i="22"/>
  <c r="E93" i="22"/>
  <c r="D94" i="22"/>
  <c r="E94" i="22"/>
  <c r="D95" i="22"/>
  <c r="E95" i="22"/>
  <c r="D96" i="22"/>
  <c r="E96" i="22"/>
  <c r="D97" i="22"/>
  <c r="E97" i="22"/>
  <c r="D98" i="22"/>
  <c r="E98" i="22"/>
  <c r="D99" i="22"/>
  <c r="E99" i="22"/>
  <c r="D100" i="22"/>
  <c r="E100" i="22"/>
  <c r="D101" i="22"/>
  <c r="E101" i="22"/>
  <c r="D102" i="22"/>
  <c r="E102" i="22"/>
  <c r="D103" i="22"/>
  <c r="E103" i="22"/>
  <c r="D104" i="22"/>
  <c r="E104" i="22"/>
  <c r="D105" i="22"/>
  <c r="E105" i="22"/>
  <c r="D106" i="22"/>
  <c r="E106" i="22"/>
  <c r="D107" i="22"/>
  <c r="E107" i="22"/>
  <c r="D108" i="22"/>
  <c r="E108" i="22"/>
  <c r="D109" i="22"/>
  <c r="E109" i="22"/>
  <c r="D110" i="22"/>
  <c r="E110" i="22"/>
  <c r="D111" i="22"/>
  <c r="E111" i="22"/>
  <c r="D112" i="22"/>
  <c r="E112" i="22"/>
  <c r="D113" i="22"/>
  <c r="E113" i="22"/>
  <c r="D114" i="22"/>
  <c r="E114" i="22"/>
  <c r="D115" i="22"/>
  <c r="E115" i="22"/>
  <c r="D116" i="22"/>
  <c r="E116" i="22"/>
  <c r="D117" i="22"/>
  <c r="E117" i="22"/>
  <c r="D118" i="22"/>
  <c r="E118" i="22"/>
  <c r="D119" i="22"/>
  <c r="E119" i="22"/>
  <c r="D120" i="22"/>
  <c r="E120" i="22"/>
  <c r="D121" i="22"/>
  <c r="E121" i="22"/>
  <c r="D122" i="22"/>
  <c r="E122" i="22"/>
  <c r="D123" i="22"/>
  <c r="E123" i="22"/>
  <c r="D124" i="22"/>
  <c r="E124" i="22"/>
  <c r="D125" i="22"/>
  <c r="E125" i="22"/>
  <c r="D126" i="22"/>
  <c r="E126" i="22"/>
  <c r="D127" i="22"/>
  <c r="E127" i="22"/>
  <c r="D128" i="22"/>
  <c r="E128" i="22"/>
  <c r="D129" i="22"/>
  <c r="E129" i="22"/>
  <c r="D130" i="22"/>
  <c r="E130" i="22"/>
  <c r="D131" i="22"/>
  <c r="E131" i="22"/>
  <c r="D132" i="22"/>
  <c r="E132" i="22"/>
  <c r="D133" i="22"/>
  <c r="E133" i="22"/>
  <c r="D134" i="22"/>
  <c r="E134" i="22"/>
  <c r="D135" i="22"/>
  <c r="E135" i="22"/>
  <c r="D136" i="22"/>
  <c r="E136" i="22"/>
  <c r="D137" i="22"/>
  <c r="E137" i="22"/>
  <c r="D138" i="22"/>
  <c r="E138" i="22"/>
  <c r="D139" i="22"/>
  <c r="E139" i="22"/>
  <c r="D140" i="22"/>
  <c r="E140" i="22"/>
  <c r="D141" i="22"/>
  <c r="E141" i="22"/>
  <c r="D142" i="22"/>
  <c r="E142" i="22"/>
  <c r="D143" i="22"/>
  <c r="E143" i="22"/>
  <c r="D144" i="22"/>
  <c r="E144" i="22"/>
  <c r="D145" i="22"/>
  <c r="E145" i="22"/>
  <c r="D146" i="22"/>
  <c r="E146" i="22"/>
  <c r="D147" i="22"/>
  <c r="E147" i="22"/>
  <c r="D148" i="22"/>
  <c r="E148" i="22"/>
  <c r="D149" i="22"/>
  <c r="E149" i="22"/>
  <c r="D150" i="22"/>
  <c r="E150" i="22"/>
  <c r="D151" i="22"/>
  <c r="E151" i="22"/>
  <c r="D152" i="22"/>
  <c r="E152" i="22"/>
  <c r="D153" i="22"/>
  <c r="E153" i="22"/>
  <c r="D154" i="22"/>
  <c r="E154" i="22"/>
  <c r="D155" i="22"/>
  <c r="E155" i="22"/>
  <c r="D156" i="22"/>
  <c r="E156" i="22"/>
  <c r="D157" i="22"/>
  <c r="E157" i="22"/>
  <c r="D158" i="22"/>
  <c r="E158" i="22"/>
  <c r="D159" i="22"/>
  <c r="E159" i="22"/>
  <c r="D160" i="22"/>
  <c r="E160" i="22"/>
  <c r="D161" i="22"/>
  <c r="E161" i="22"/>
  <c r="D162" i="22"/>
  <c r="E162" i="22"/>
  <c r="D163" i="22"/>
  <c r="E163" i="22"/>
  <c r="D164" i="22"/>
  <c r="E164" i="22"/>
  <c r="D165" i="22"/>
  <c r="E165" i="22"/>
  <c r="D166" i="22"/>
  <c r="E166" i="22"/>
  <c r="D167" i="22"/>
  <c r="E167" i="22"/>
  <c r="D168" i="22"/>
  <c r="E168" i="22"/>
  <c r="D169" i="22"/>
  <c r="E169" i="22"/>
  <c r="D170" i="22"/>
  <c r="E170" i="22"/>
  <c r="D171" i="22"/>
  <c r="E171" i="22"/>
  <c r="D172" i="22"/>
  <c r="E172" i="22"/>
  <c r="D173" i="22"/>
  <c r="E173" i="22"/>
  <c r="D174" i="22"/>
  <c r="E174" i="22"/>
  <c r="D175" i="22"/>
  <c r="E175" i="22"/>
  <c r="D176" i="22"/>
  <c r="E176" i="22"/>
  <c r="D177" i="22"/>
  <c r="E177" i="22"/>
  <c r="D178" i="22"/>
  <c r="E178" i="22"/>
  <c r="D179" i="22"/>
  <c r="E179" i="22"/>
  <c r="D180" i="22"/>
  <c r="E180" i="22"/>
  <c r="D181" i="22"/>
  <c r="E181" i="22"/>
  <c r="D182" i="22"/>
  <c r="E182" i="22"/>
  <c r="D183" i="22"/>
  <c r="E183" i="22"/>
  <c r="D184" i="22"/>
  <c r="E184" i="22"/>
  <c r="D185" i="22"/>
  <c r="E185" i="22"/>
  <c r="D186" i="22"/>
  <c r="E186" i="22"/>
  <c r="D187" i="22"/>
  <c r="E187" i="22"/>
  <c r="D188" i="22"/>
  <c r="E188" i="22"/>
  <c r="D189" i="22"/>
  <c r="E189" i="22"/>
  <c r="D190" i="22"/>
  <c r="E190" i="22"/>
  <c r="D191" i="22"/>
  <c r="E191" i="22"/>
  <c r="D192" i="22"/>
  <c r="E192" i="22"/>
  <c r="D193" i="22"/>
  <c r="E193" i="22"/>
  <c r="D194" i="22"/>
  <c r="E194" i="22"/>
  <c r="D195" i="22"/>
  <c r="E195" i="22"/>
  <c r="D196" i="22"/>
  <c r="E196" i="22"/>
  <c r="D197" i="22"/>
  <c r="E197" i="22"/>
  <c r="D198" i="22"/>
  <c r="E198" i="22"/>
  <c r="D199" i="22"/>
  <c r="E199" i="22"/>
  <c r="D200" i="22"/>
  <c r="E200" i="22"/>
  <c r="D201" i="22"/>
  <c r="E201" i="22"/>
  <c r="D202" i="22"/>
  <c r="E202" i="22"/>
  <c r="D203" i="22"/>
  <c r="E203" i="22"/>
  <c r="D204" i="22"/>
  <c r="E204" i="22"/>
  <c r="D205" i="22"/>
  <c r="E205" i="22"/>
  <c r="D206" i="22"/>
  <c r="E206" i="22"/>
  <c r="D207" i="22"/>
  <c r="E207" i="22"/>
  <c r="D208" i="22"/>
  <c r="E208" i="22"/>
  <c r="D209" i="22"/>
  <c r="E209" i="22"/>
  <c r="D210" i="22"/>
  <c r="E210" i="22"/>
  <c r="D211" i="22"/>
  <c r="E211" i="22"/>
  <c r="D212" i="22"/>
  <c r="E212" i="22"/>
  <c r="D213" i="22"/>
  <c r="E213" i="22"/>
  <c r="D214" i="22"/>
  <c r="E214" i="22"/>
  <c r="D215" i="22"/>
  <c r="E215" i="22"/>
  <c r="D216" i="22"/>
  <c r="E216" i="22"/>
  <c r="D217" i="22"/>
  <c r="E217" i="22"/>
  <c r="D218" i="22"/>
  <c r="E218" i="22"/>
  <c r="D219" i="22"/>
  <c r="E219" i="22"/>
  <c r="D220" i="22"/>
  <c r="E220" i="22"/>
  <c r="D221" i="22"/>
  <c r="E221" i="22"/>
  <c r="D222" i="22"/>
  <c r="E222" i="22"/>
  <c r="D223" i="22"/>
  <c r="E223" i="22"/>
  <c r="D224" i="22"/>
  <c r="E224" i="22"/>
  <c r="D225" i="22"/>
  <c r="E225" i="22"/>
  <c r="D226" i="22"/>
  <c r="E226" i="22"/>
  <c r="D227" i="22"/>
  <c r="E227" i="22"/>
  <c r="D228" i="22"/>
  <c r="E228" i="22"/>
  <c r="D229" i="22"/>
  <c r="E229" i="22"/>
  <c r="D230" i="22"/>
  <c r="E230" i="22"/>
  <c r="D231" i="22"/>
  <c r="E231" i="22"/>
  <c r="D232" i="22"/>
  <c r="E232" i="22"/>
  <c r="D233" i="22"/>
  <c r="E233" i="22"/>
  <c r="D234" i="22"/>
  <c r="E234" i="22"/>
  <c r="D235" i="22"/>
  <c r="E235" i="22"/>
  <c r="D236" i="22"/>
  <c r="E236" i="22"/>
  <c r="D237" i="22"/>
  <c r="E237" i="22"/>
  <c r="D238" i="22"/>
  <c r="E238" i="22"/>
  <c r="D239" i="22"/>
  <c r="E239" i="22"/>
  <c r="D240" i="22"/>
  <c r="E240" i="22"/>
  <c r="D241" i="22"/>
  <c r="E241" i="22"/>
  <c r="D242" i="22"/>
  <c r="E242" i="22"/>
  <c r="D243" i="22"/>
  <c r="E243" i="22"/>
  <c r="D244" i="22"/>
  <c r="E244" i="22"/>
  <c r="D245" i="22"/>
  <c r="E245" i="22"/>
  <c r="D246" i="22"/>
  <c r="E246" i="22"/>
  <c r="D247" i="22"/>
  <c r="E247" i="22"/>
  <c r="D248" i="22"/>
  <c r="E248" i="22"/>
  <c r="D249" i="22"/>
  <c r="E249" i="22"/>
  <c r="D250" i="22"/>
  <c r="E250"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8" i="22"/>
  <c r="S35" i="17"/>
  <c r="R35" i="17"/>
  <c r="Q35" i="17"/>
  <c r="Q34" i="17"/>
  <c r="D76" i="17"/>
  <c r="E76" i="17"/>
  <c r="D77" i="17"/>
  <c r="E77" i="17"/>
  <c r="D78" i="17"/>
  <c r="E78" i="17"/>
  <c r="D79" i="17"/>
  <c r="E79" i="17"/>
  <c r="D80" i="17"/>
  <c r="E80" i="17"/>
  <c r="D81" i="17"/>
  <c r="E81" i="17"/>
  <c r="D82" i="17"/>
  <c r="E82" i="17"/>
  <c r="D83" i="17"/>
  <c r="E83" i="17"/>
  <c r="D84" i="17"/>
  <c r="E84" i="17"/>
  <c r="D85" i="17"/>
  <c r="E85" i="17"/>
  <c r="D86" i="17"/>
  <c r="E86" i="17"/>
  <c r="D87" i="17"/>
  <c r="E87" i="17"/>
  <c r="D88" i="17"/>
  <c r="E88" i="17"/>
  <c r="D89" i="17"/>
  <c r="E89" i="17"/>
  <c r="D90" i="17"/>
  <c r="E90" i="17"/>
  <c r="D91" i="17"/>
  <c r="E91" i="17"/>
  <c r="D92" i="17"/>
  <c r="E92" i="17"/>
  <c r="D93" i="17"/>
  <c r="E93" i="17"/>
  <c r="D94" i="17"/>
  <c r="E94" i="17"/>
  <c r="D95" i="17"/>
  <c r="E95" i="17"/>
  <c r="D96" i="17"/>
  <c r="E96" i="17"/>
  <c r="D97" i="17"/>
  <c r="E97" i="17"/>
  <c r="D98" i="17"/>
  <c r="E98" i="17"/>
  <c r="D99" i="17"/>
  <c r="E99" i="17"/>
  <c r="D100" i="17"/>
  <c r="E100" i="17"/>
  <c r="D101" i="17"/>
  <c r="E101" i="17"/>
  <c r="D102" i="17"/>
  <c r="E102" i="17"/>
  <c r="D103" i="17"/>
  <c r="E103" i="17"/>
  <c r="D104" i="17"/>
  <c r="E104" i="17"/>
  <c r="D105" i="17"/>
  <c r="E105" i="17"/>
  <c r="D106" i="17"/>
  <c r="E106" i="17"/>
  <c r="D107" i="17"/>
  <c r="E107" i="17"/>
  <c r="D108" i="17"/>
  <c r="E108" i="17"/>
  <c r="D109" i="17"/>
  <c r="E109" i="17"/>
  <c r="D110" i="17"/>
  <c r="E110" i="17"/>
  <c r="D111" i="17"/>
  <c r="E111" i="17"/>
  <c r="D112" i="17"/>
  <c r="E112" i="17"/>
  <c r="D113" i="17"/>
  <c r="E113" i="17"/>
  <c r="D114" i="17"/>
  <c r="E114" i="17"/>
  <c r="D115" i="17"/>
  <c r="E115" i="17"/>
  <c r="D116" i="17"/>
  <c r="E116" i="17"/>
  <c r="D117" i="17"/>
  <c r="E117" i="17"/>
  <c r="D118" i="17"/>
  <c r="E118" i="17"/>
  <c r="D119" i="17"/>
  <c r="E119" i="17"/>
  <c r="D120" i="17"/>
  <c r="E120" i="17"/>
  <c r="D121" i="17"/>
  <c r="E121" i="17"/>
  <c r="D122" i="17"/>
  <c r="E122" i="17"/>
  <c r="D123" i="17"/>
  <c r="E123" i="17"/>
  <c r="D124" i="17"/>
  <c r="E124" i="17"/>
  <c r="D125" i="17"/>
  <c r="E125" i="17"/>
  <c r="D126" i="17"/>
  <c r="E126" i="17"/>
  <c r="D127" i="17"/>
  <c r="E127" i="17"/>
  <c r="D128" i="17"/>
  <c r="E128" i="17"/>
  <c r="D129" i="17"/>
  <c r="E129" i="17"/>
  <c r="D130" i="17"/>
  <c r="E130" i="17"/>
  <c r="D131" i="17"/>
  <c r="E131" i="17"/>
  <c r="D132" i="17"/>
  <c r="E132" i="17"/>
  <c r="D133" i="17"/>
  <c r="E133" i="17"/>
  <c r="D134" i="17"/>
  <c r="E134" i="17"/>
  <c r="D135" i="17"/>
  <c r="E135" i="17"/>
  <c r="D136" i="17"/>
  <c r="E136" i="17"/>
  <c r="D137" i="17"/>
  <c r="E137" i="17"/>
  <c r="D138" i="17"/>
  <c r="E138" i="17"/>
  <c r="D139" i="17"/>
  <c r="E139" i="17"/>
  <c r="D140" i="17"/>
  <c r="E140" i="17"/>
  <c r="D141" i="17"/>
  <c r="E141" i="17"/>
  <c r="D142" i="17"/>
  <c r="E142" i="17"/>
  <c r="D143" i="17"/>
  <c r="E143" i="17"/>
  <c r="D144" i="17"/>
  <c r="E144" i="17"/>
  <c r="D145" i="17"/>
  <c r="E145" i="17"/>
  <c r="D146" i="17"/>
  <c r="E146" i="17"/>
  <c r="D147" i="17"/>
  <c r="E147" i="17"/>
  <c r="D148" i="17"/>
  <c r="E148" i="17"/>
  <c r="D149" i="17"/>
  <c r="E149" i="17"/>
  <c r="D150" i="17"/>
  <c r="E150" i="17"/>
  <c r="D151" i="17"/>
  <c r="E151" i="17"/>
  <c r="D152" i="17"/>
  <c r="E152" i="17"/>
  <c r="D153" i="17"/>
  <c r="E153" i="17"/>
  <c r="D154" i="17"/>
  <c r="E154" i="17"/>
  <c r="D155" i="17"/>
  <c r="E155" i="17"/>
  <c r="D156" i="17"/>
  <c r="E156" i="17"/>
  <c r="D157" i="17"/>
  <c r="E157" i="17"/>
  <c r="D158" i="17"/>
  <c r="E158" i="17"/>
  <c r="D159" i="17"/>
  <c r="E159" i="17"/>
  <c r="D160" i="17"/>
  <c r="E160" i="17"/>
  <c r="D161" i="17"/>
  <c r="E161" i="17"/>
  <c r="D162" i="17"/>
  <c r="E162" i="17"/>
  <c r="D163" i="17"/>
  <c r="E163" i="17"/>
  <c r="D164" i="17"/>
  <c r="E164" i="17"/>
  <c r="D165" i="17"/>
  <c r="E165" i="17"/>
  <c r="D166" i="17"/>
  <c r="E166" i="17"/>
  <c r="D167" i="17"/>
  <c r="E167" i="17"/>
  <c r="D168" i="17"/>
  <c r="E168" i="17"/>
  <c r="D169" i="17"/>
  <c r="E169" i="17"/>
  <c r="D170" i="17"/>
  <c r="E170" i="17"/>
  <c r="D171" i="17"/>
  <c r="E171" i="17"/>
  <c r="D172" i="17"/>
  <c r="E172" i="17"/>
  <c r="D173" i="17"/>
  <c r="E173" i="17"/>
  <c r="D174" i="17"/>
  <c r="E174" i="17"/>
  <c r="D175" i="17"/>
  <c r="E175" i="17"/>
  <c r="D176" i="17"/>
  <c r="E176" i="17"/>
  <c r="D177" i="17"/>
  <c r="E177" i="17"/>
  <c r="D178" i="17"/>
  <c r="E178" i="17"/>
  <c r="D179" i="17"/>
  <c r="E179" i="17"/>
  <c r="D180" i="17"/>
  <c r="E180" i="17"/>
  <c r="D181" i="17"/>
  <c r="E181" i="17"/>
  <c r="D182" i="17"/>
  <c r="E182" i="17"/>
  <c r="D183" i="17"/>
  <c r="E183" i="17"/>
  <c r="D184" i="17"/>
  <c r="E184" i="17"/>
  <c r="D185" i="17"/>
  <c r="E185" i="17"/>
  <c r="D186" i="17"/>
  <c r="E186" i="17"/>
  <c r="D187" i="17"/>
  <c r="E187" i="17"/>
  <c r="D188" i="17"/>
  <c r="E188" i="17"/>
  <c r="D189" i="17"/>
  <c r="E189" i="17"/>
  <c r="D190" i="17"/>
  <c r="E190" i="17"/>
  <c r="D191" i="17"/>
  <c r="E191" i="17"/>
  <c r="D192" i="17"/>
  <c r="E192" i="17"/>
  <c r="D193" i="17"/>
  <c r="E193" i="17"/>
  <c r="D194" i="17"/>
  <c r="E194" i="17"/>
  <c r="D195" i="17"/>
  <c r="E195" i="17"/>
  <c r="D196" i="17"/>
  <c r="E196" i="17"/>
  <c r="D197" i="17"/>
  <c r="E197" i="17"/>
  <c r="D198" i="17"/>
  <c r="E198" i="17"/>
  <c r="D199" i="17"/>
  <c r="E199" i="17"/>
  <c r="D200" i="17"/>
  <c r="E200" i="17"/>
  <c r="D201" i="17"/>
  <c r="E201" i="17"/>
  <c r="D202" i="17"/>
  <c r="E202" i="17"/>
  <c r="D203" i="17"/>
  <c r="E203" i="17"/>
  <c r="D204" i="17"/>
  <c r="E204" i="17"/>
  <c r="D205" i="17"/>
  <c r="E205" i="17"/>
  <c r="D206" i="17"/>
  <c r="E206" i="17"/>
  <c r="D207" i="17"/>
  <c r="E207" i="17"/>
  <c r="D208" i="17"/>
  <c r="E208" i="17"/>
  <c r="D209" i="17"/>
  <c r="E209" i="17"/>
  <c r="D210" i="17"/>
  <c r="E210" i="17"/>
  <c r="D211" i="17"/>
  <c r="E211" i="17"/>
  <c r="D212" i="17"/>
  <c r="E212" i="17"/>
  <c r="D213" i="17"/>
  <c r="E213" i="17"/>
  <c r="D214" i="17"/>
  <c r="E214" i="17"/>
  <c r="D215" i="17"/>
  <c r="E215" i="17"/>
  <c r="D216" i="17"/>
  <c r="E216" i="17"/>
  <c r="D217" i="17"/>
  <c r="E217" i="17"/>
  <c r="D218" i="17"/>
  <c r="E218" i="17"/>
  <c r="D219" i="17"/>
  <c r="E219" i="17"/>
  <c r="D220" i="17"/>
  <c r="E220" i="17"/>
  <c r="D221" i="17"/>
  <c r="E221" i="17"/>
  <c r="D222" i="17"/>
  <c r="E222" i="17"/>
  <c r="D223" i="17"/>
  <c r="E223" i="17"/>
  <c r="D224" i="17"/>
  <c r="E224" i="17"/>
  <c r="D225" i="17"/>
  <c r="E225" i="17"/>
  <c r="D226" i="17"/>
  <c r="E226" i="17"/>
  <c r="D227" i="17"/>
  <c r="E227" i="17"/>
  <c r="D228" i="17"/>
  <c r="E228" i="17"/>
  <c r="D229" i="17"/>
  <c r="E229" i="17"/>
  <c r="D230" i="17"/>
  <c r="E230" i="17"/>
  <c r="D231" i="17"/>
  <c r="E231" i="17"/>
  <c r="D232" i="17"/>
  <c r="E232" i="17"/>
  <c r="D233" i="17"/>
  <c r="E233" i="17"/>
  <c r="D234" i="17"/>
  <c r="E234" i="17"/>
  <c r="D235" i="17"/>
  <c r="E235" i="17"/>
  <c r="D236" i="17"/>
  <c r="E236" i="17"/>
  <c r="D237" i="17"/>
  <c r="E237" i="17"/>
  <c r="D238" i="17"/>
  <c r="E238" i="17"/>
  <c r="D239" i="17"/>
  <c r="E239" i="17"/>
  <c r="D240" i="17"/>
  <c r="E240" i="17"/>
  <c r="D241" i="17"/>
  <c r="E241" i="17"/>
  <c r="D242" i="17"/>
  <c r="E242" i="17"/>
  <c r="D243" i="17"/>
  <c r="E243" i="17"/>
  <c r="D244" i="17"/>
  <c r="E244" i="17"/>
  <c r="D245" i="17"/>
  <c r="E245" i="17"/>
  <c r="D246" i="17"/>
  <c r="E246" i="17"/>
  <c r="D247" i="17"/>
  <c r="E247" i="17"/>
  <c r="D248" i="17"/>
  <c r="E248" i="17"/>
  <c r="D249" i="17"/>
  <c r="E249" i="17"/>
  <c r="D250" i="17"/>
  <c r="E250"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8" i="17"/>
  <c r="D8" i="17"/>
  <c r="S34" i="2"/>
  <c r="T30" i="12"/>
  <c r="S30" i="12"/>
  <c r="R30" i="12"/>
  <c r="D76" i="12"/>
  <c r="E76" i="12"/>
  <c r="D77" i="12"/>
  <c r="E77" i="12"/>
  <c r="D78" i="12"/>
  <c r="E78" i="12"/>
  <c r="D79" i="12"/>
  <c r="E79" i="12"/>
  <c r="D80" i="12"/>
  <c r="E80" i="12"/>
  <c r="D81" i="12"/>
  <c r="E81" i="12"/>
  <c r="D82" i="12"/>
  <c r="E82" i="12"/>
  <c r="D83" i="12"/>
  <c r="E83" i="12"/>
  <c r="D84" i="12"/>
  <c r="E84" i="12"/>
  <c r="D85" i="12"/>
  <c r="E85" i="12"/>
  <c r="D86" i="12"/>
  <c r="E86" i="12"/>
  <c r="D87" i="12"/>
  <c r="E87" i="12"/>
  <c r="D88" i="12"/>
  <c r="E88" i="12"/>
  <c r="D90" i="12"/>
  <c r="E90" i="12"/>
  <c r="D91" i="12"/>
  <c r="E91" i="12"/>
  <c r="D92" i="12"/>
  <c r="E92" i="12"/>
  <c r="D93" i="12"/>
  <c r="E93" i="12"/>
  <c r="D94" i="12"/>
  <c r="E94" i="12"/>
  <c r="D95" i="12"/>
  <c r="E95" i="12"/>
  <c r="D96" i="12"/>
  <c r="E96" i="12"/>
  <c r="D97" i="12"/>
  <c r="E97" i="12"/>
  <c r="D98" i="12"/>
  <c r="E98" i="12"/>
  <c r="D99" i="12"/>
  <c r="E99" i="12"/>
  <c r="D100" i="12"/>
  <c r="E100" i="12"/>
  <c r="D101" i="12"/>
  <c r="E101" i="12"/>
  <c r="D102" i="12"/>
  <c r="E102" i="12"/>
  <c r="D103" i="12"/>
  <c r="E103" i="12"/>
  <c r="D104" i="12"/>
  <c r="E104" i="12"/>
  <c r="D105" i="12"/>
  <c r="E105" i="12"/>
  <c r="D106" i="12"/>
  <c r="E106" i="12"/>
  <c r="D107" i="12"/>
  <c r="E107" i="12"/>
  <c r="D108" i="12"/>
  <c r="E108" i="12"/>
  <c r="D109" i="12"/>
  <c r="E109" i="12"/>
  <c r="D110" i="12"/>
  <c r="E110" i="12"/>
  <c r="D111" i="12"/>
  <c r="E111" i="12"/>
  <c r="D112" i="12"/>
  <c r="E112" i="12"/>
  <c r="D113" i="12"/>
  <c r="E113" i="12"/>
  <c r="D114" i="12"/>
  <c r="E114" i="12"/>
  <c r="D115" i="12"/>
  <c r="E115" i="12"/>
  <c r="D116" i="12"/>
  <c r="E116" i="12"/>
  <c r="D117" i="12"/>
  <c r="E117" i="12"/>
  <c r="D118" i="12"/>
  <c r="E118" i="12"/>
  <c r="D119" i="12"/>
  <c r="E119" i="12"/>
  <c r="D120" i="12"/>
  <c r="E120" i="12"/>
  <c r="D121" i="12"/>
  <c r="E121" i="12"/>
  <c r="D122" i="12"/>
  <c r="E122" i="12"/>
  <c r="D123" i="12"/>
  <c r="E123" i="12"/>
  <c r="D124" i="12"/>
  <c r="E124" i="12"/>
  <c r="D125" i="12"/>
  <c r="E125" i="12"/>
  <c r="D126" i="12"/>
  <c r="E126" i="12"/>
  <c r="D127" i="12"/>
  <c r="E127" i="12"/>
  <c r="D128" i="12"/>
  <c r="E128" i="12"/>
  <c r="D129" i="12"/>
  <c r="E129" i="12"/>
  <c r="D130" i="12"/>
  <c r="E130" i="12"/>
  <c r="D131" i="12"/>
  <c r="E131" i="12"/>
  <c r="D132" i="12"/>
  <c r="E132" i="12"/>
  <c r="D133" i="12"/>
  <c r="E133" i="12"/>
  <c r="D134" i="12"/>
  <c r="E134" i="12"/>
  <c r="D135" i="12"/>
  <c r="E135" i="12"/>
  <c r="D136" i="12"/>
  <c r="E136" i="12"/>
  <c r="D137" i="12"/>
  <c r="E137" i="12"/>
  <c r="D138" i="12"/>
  <c r="E138" i="12"/>
  <c r="D139" i="12"/>
  <c r="E139" i="12"/>
  <c r="D140" i="12"/>
  <c r="E140" i="12"/>
  <c r="D141" i="12"/>
  <c r="E141" i="12"/>
  <c r="D142" i="12"/>
  <c r="E142" i="12"/>
  <c r="D143" i="12"/>
  <c r="E143" i="12"/>
  <c r="D144" i="12"/>
  <c r="E144" i="12"/>
  <c r="D145" i="12"/>
  <c r="E145" i="12"/>
  <c r="D146" i="12"/>
  <c r="E146" i="12"/>
  <c r="D147" i="12"/>
  <c r="E147" i="12"/>
  <c r="D148" i="12"/>
  <c r="E148" i="12"/>
  <c r="D149" i="12"/>
  <c r="E149" i="12"/>
  <c r="D150" i="12"/>
  <c r="E150" i="12"/>
  <c r="D151" i="12"/>
  <c r="E151" i="12"/>
  <c r="D152" i="12"/>
  <c r="E152" i="12"/>
  <c r="D153" i="12"/>
  <c r="E153" i="12"/>
  <c r="D154" i="12"/>
  <c r="E154" i="12"/>
  <c r="D155" i="12"/>
  <c r="E155" i="12"/>
  <c r="D156" i="12"/>
  <c r="E156" i="12"/>
  <c r="D157" i="12"/>
  <c r="E157" i="12"/>
  <c r="D158" i="12"/>
  <c r="E158" i="12"/>
  <c r="D159" i="12"/>
  <c r="E159" i="12"/>
  <c r="D160" i="12"/>
  <c r="E160" i="12"/>
  <c r="D161" i="12"/>
  <c r="E161" i="12"/>
  <c r="D162" i="12"/>
  <c r="E162" i="12"/>
  <c r="D163" i="12"/>
  <c r="E163" i="12"/>
  <c r="D164" i="12"/>
  <c r="E164" i="12"/>
  <c r="D165" i="12"/>
  <c r="E165" i="12"/>
  <c r="D166" i="12"/>
  <c r="E166" i="12"/>
  <c r="D167" i="12"/>
  <c r="E167" i="12"/>
  <c r="D168" i="12"/>
  <c r="E168" i="12"/>
  <c r="D169" i="12"/>
  <c r="E169" i="12"/>
  <c r="D170" i="12"/>
  <c r="E170" i="12"/>
  <c r="D171" i="12"/>
  <c r="E171" i="12"/>
  <c r="D172" i="12"/>
  <c r="E172" i="12"/>
  <c r="D173" i="12"/>
  <c r="E173" i="12"/>
  <c r="D174" i="12"/>
  <c r="E174" i="12"/>
  <c r="D175" i="12"/>
  <c r="E175" i="12"/>
  <c r="D176" i="12"/>
  <c r="E176" i="12"/>
  <c r="D177" i="12"/>
  <c r="E177" i="12"/>
  <c r="D178" i="12"/>
  <c r="E178" i="12"/>
  <c r="D179" i="12"/>
  <c r="E179" i="12"/>
  <c r="D180" i="12"/>
  <c r="E180" i="12"/>
  <c r="D181" i="12"/>
  <c r="E181" i="12"/>
  <c r="D182" i="12"/>
  <c r="E182" i="12"/>
  <c r="D183" i="12"/>
  <c r="E183" i="12"/>
  <c r="D184" i="12"/>
  <c r="E184" i="12"/>
  <c r="D185" i="12"/>
  <c r="E185" i="12"/>
  <c r="D186" i="12"/>
  <c r="E186" i="12"/>
  <c r="D187" i="12"/>
  <c r="E187" i="12"/>
  <c r="D188" i="12"/>
  <c r="E188" i="12"/>
  <c r="D189" i="12"/>
  <c r="E189" i="12"/>
  <c r="D190" i="12"/>
  <c r="E190" i="12"/>
  <c r="D191" i="12"/>
  <c r="E191" i="12"/>
  <c r="D192" i="12"/>
  <c r="E192" i="12"/>
  <c r="D193" i="12"/>
  <c r="E193" i="12"/>
  <c r="D194" i="12"/>
  <c r="E194" i="12"/>
  <c r="D195" i="12"/>
  <c r="E195" i="12"/>
  <c r="D196" i="12"/>
  <c r="E196" i="12"/>
  <c r="D197" i="12"/>
  <c r="E197" i="12"/>
  <c r="D198" i="12"/>
  <c r="E198" i="12"/>
  <c r="D199" i="12"/>
  <c r="E199" i="12"/>
  <c r="D200" i="12"/>
  <c r="E200" i="12"/>
  <c r="D201" i="12"/>
  <c r="E201" i="12"/>
  <c r="D202" i="12"/>
  <c r="E202" i="12"/>
  <c r="D203" i="12"/>
  <c r="E203" i="12"/>
  <c r="D204" i="12"/>
  <c r="E204" i="12"/>
  <c r="D205" i="12"/>
  <c r="E205" i="12"/>
  <c r="D206" i="12"/>
  <c r="E206" i="12"/>
  <c r="D207" i="12"/>
  <c r="E207" i="12"/>
  <c r="D208" i="12"/>
  <c r="E208" i="12"/>
  <c r="D209" i="12"/>
  <c r="E209" i="12"/>
  <c r="D210" i="12"/>
  <c r="E210" i="12"/>
  <c r="D211" i="12"/>
  <c r="E211" i="12"/>
  <c r="D212" i="12"/>
  <c r="E212" i="12"/>
  <c r="D213" i="12"/>
  <c r="E213" i="12"/>
  <c r="D214" i="12"/>
  <c r="E214" i="12"/>
  <c r="D215" i="12"/>
  <c r="E215" i="12"/>
  <c r="D216" i="12"/>
  <c r="E216" i="12"/>
  <c r="D217" i="12"/>
  <c r="E217" i="12"/>
  <c r="D218" i="12"/>
  <c r="E218" i="12"/>
  <c r="D219" i="12"/>
  <c r="E219" i="12"/>
  <c r="D220" i="12"/>
  <c r="E220" i="12"/>
  <c r="D221" i="12"/>
  <c r="E221" i="12"/>
  <c r="D222" i="12"/>
  <c r="E222" i="12"/>
  <c r="D223" i="12"/>
  <c r="E223" i="12"/>
  <c r="D224" i="12"/>
  <c r="E224" i="12"/>
  <c r="D225" i="12"/>
  <c r="E225" i="12"/>
  <c r="D226" i="12"/>
  <c r="E226" i="12"/>
  <c r="D227" i="12"/>
  <c r="E227" i="12"/>
  <c r="D228" i="12"/>
  <c r="E228" i="12"/>
  <c r="D229" i="12"/>
  <c r="E229" i="12"/>
  <c r="D230" i="12"/>
  <c r="E230" i="12"/>
  <c r="D231" i="12"/>
  <c r="E231" i="12"/>
  <c r="D232" i="12"/>
  <c r="E232" i="12"/>
  <c r="D233" i="12"/>
  <c r="E233" i="12"/>
  <c r="D234" i="12"/>
  <c r="E234" i="12"/>
  <c r="D235" i="12"/>
  <c r="E235" i="12"/>
  <c r="D236" i="12"/>
  <c r="E236" i="12"/>
  <c r="D237" i="12"/>
  <c r="E237" i="12"/>
  <c r="D238" i="12"/>
  <c r="E238" i="12"/>
  <c r="D239" i="12"/>
  <c r="E239" i="12"/>
  <c r="D240" i="12"/>
  <c r="E240" i="12"/>
  <c r="D241" i="12"/>
  <c r="E241" i="12"/>
  <c r="D242" i="12"/>
  <c r="E242" i="12"/>
  <c r="D243" i="12"/>
  <c r="E243" i="12"/>
  <c r="D244" i="12"/>
  <c r="E244" i="12"/>
  <c r="D245" i="12"/>
  <c r="E245" i="12"/>
  <c r="D246" i="12"/>
  <c r="E246" i="12"/>
  <c r="D247" i="12"/>
  <c r="E247" i="12"/>
  <c r="D248" i="12"/>
  <c r="E248" i="12"/>
  <c r="D249" i="12"/>
  <c r="E249" i="12"/>
  <c r="D250" i="12"/>
  <c r="E250"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8" i="12"/>
  <c r="V35" i="2"/>
  <c r="U35" i="2"/>
  <c r="H80" i="2"/>
  <c r="I80" i="2"/>
  <c r="H81" i="2"/>
  <c r="I81" i="2"/>
  <c r="H82" i="2"/>
  <c r="I82" i="2"/>
  <c r="H83" i="2"/>
  <c r="I83" i="2"/>
  <c r="H84" i="2"/>
  <c r="I84" i="2"/>
  <c r="H85" i="2"/>
  <c r="I85" i="2"/>
  <c r="H86" i="2"/>
  <c r="I86" i="2"/>
  <c r="H87" i="2"/>
  <c r="I87" i="2"/>
  <c r="H88" i="2"/>
  <c r="I88" i="2"/>
  <c r="H89" i="2"/>
  <c r="I89" i="2"/>
  <c r="H90" i="2"/>
  <c r="I90" i="2"/>
  <c r="H91" i="2"/>
  <c r="I91" i="2"/>
  <c r="H92" i="2"/>
  <c r="I92" i="2"/>
  <c r="H93" i="2"/>
  <c r="I93" i="2"/>
  <c r="H94" i="2"/>
  <c r="I94" i="2"/>
  <c r="H95" i="2"/>
  <c r="I95" i="2"/>
  <c r="H96" i="2"/>
  <c r="I96" i="2"/>
  <c r="H97" i="2"/>
  <c r="I97" i="2"/>
  <c r="H98" i="2"/>
  <c r="I98" i="2"/>
  <c r="H99" i="2"/>
  <c r="I99" i="2"/>
  <c r="H100" i="2"/>
  <c r="I100" i="2"/>
  <c r="H101" i="2"/>
  <c r="I101" i="2"/>
  <c r="H102" i="2"/>
  <c r="I102" i="2"/>
  <c r="H103" i="2"/>
  <c r="I103" i="2"/>
  <c r="H104" i="2"/>
  <c r="I104" i="2"/>
  <c r="H105" i="2"/>
  <c r="I105" i="2"/>
  <c r="H106" i="2"/>
  <c r="I106" i="2"/>
  <c r="H107" i="2"/>
  <c r="I107" i="2"/>
  <c r="H108" i="2"/>
  <c r="I108" i="2"/>
  <c r="H109" i="2"/>
  <c r="I109" i="2"/>
  <c r="H110" i="2"/>
  <c r="I110" i="2"/>
  <c r="H111" i="2"/>
  <c r="I111" i="2"/>
  <c r="H112" i="2"/>
  <c r="I112" i="2"/>
  <c r="H113" i="2"/>
  <c r="I113" i="2"/>
  <c r="H114" i="2"/>
  <c r="I114" i="2"/>
  <c r="H115" i="2"/>
  <c r="I115" i="2"/>
  <c r="H116" i="2"/>
  <c r="I116" i="2"/>
  <c r="H117" i="2"/>
  <c r="I117" i="2"/>
  <c r="H118" i="2"/>
  <c r="I118" i="2"/>
  <c r="H119" i="2"/>
  <c r="I119" i="2"/>
  <c r="H120" i="2"/>
  <c r="I120" i="2"/>
  <c r="H121" i="2"/>
  <c r="I121" i="2"/>
  <c r="H122" i="2"/>
  <c r="I122" i="2"/>
  <c r="H123" i="2"/>
  <c r="I123" i="2"/>
  <c r="H124" i="2"/>
  <c r="I124" i="2"/>
  <c r="H125" i="2"/>
  <c r="I125" i="2"/>
  <c r="H126" i="2"/>
  <c r="I126" i="2"/>
  <c r="H127" i="2"/>
  <c r="I127" i="2"/>
  <c r="H128" i="2"/>
  <c r="I128" i="2"/>
  <c r="H129" i="2"/>
  <c r="I129" i="2"/>
  <c r="H130" i="2"/>
  <c r="I130" i="2"/>
  <c r="H131" i="2"/>
  <c r="I131" i="2"/>
  <c r="H132" i="2"/>
  <c r="I132" i="2"/>
  <c r="H133" i="2"/>
  <c r="I133" i="2"/>
  <c r="H134" i="2"/>
  <c r="I134" i="2"/>
  <c r="H135" i="2"/>
  <c r="I135" i="2"/>
  <c r="H136" i="2"/>
  <c r="I136" i="2"/>
  <c r="H137" i="2"/>
  <c r="I137" i="2"/>
  <c r="H138" i="2"/>
  <c r="I138" i="2"/>
  <c r="H139" i="2"/>
  <c r="I139" i="2"/>
  <c r="H140" i="2"/>
  <c r="I140" i="2"/>
  <c r="H141" i="2"/>
  <c r="I141" i="2"/>
  <c r="H142" i="2"/>
  <c r="I142" i="2"/>
  <c r="H143" i="2"/>
  <c r="I143" i="2"/>
  <c r="H144" i="2"/>
  <c r="I144" i="2"/>
  <c r="H145" i="2"/>
  <c r="I145" i="2"/>
  <c r="H146" i="2"/>
  <c r="I146" i="2"/>
  <c r="H147" i="2"/>
  <c r="I147" i="2"/>
  <c r="H148" i="2"/>
  <c r="I148" i="2"/>
  <c r="H149" i="2"/>
  <c r="I149" i="2"/>
  <c r="H150" i="2"/>
  <c r="I150" i="2"/>
  <c r="H151" i="2"/>
  <c r="I151" i="2"/>
  <c r="H152" i="2"/>
  <c r="I152" i="2"/>
  <c r="H153" i="2"/>
  <c r="I153" i="2"/>
  <c r="H154" i="2"/>
  <c r="I154" i="2"/>
  <c r="H155" i="2"/>
  <c r="I155" i="2"/>
  <c r="H156" i="2"/>
  <c r="I156" i="2"/>
  <c r="H157" i="2"/>
  <c r="I157" i="2"/>
  <c r="H158" i="2"/>
  <c r="I158" i="2"/>
  <c r="H159" i="2"/>
  <c r="I159" i="2"/>
  <c r="H160" i="2"/>
  <c r="I160" i="2"/>
  <c r="H161" i="2"/>
  <c r="I161" i="2"/>
  <c r="H162" i="2"/>
  <c r="I162" i="2"/>
  <c r="H163" i="2"/>
  <c r="I163" i="2"/>
  <c r="H164" i="2"/>
  <c r="I164" i="2"/>
  <c r="H165" i="2"/>
  <c r="I165" i="2"/>
  <c r="H166" i="2"/>
  <c r="I166" i="2"/>
  <c r="H167" i="2"/>
  <c r="I167" i="2"/>
  <c r="H168" i="2"/>
  <c r="I168" i="2"/>
  <c r="H169" i="2"/>
  <c r="I169" i="2"/>
  <c r="H170" i="2"/>
  <c r="I170" i="2"/>
  <c r="H171" i="2"/>
  <c r="I171" i="2"/>
  <c r="H172" i="2"/>
  <c r="I172" i="2"/>
  <c r="H173" i="2"/>
  <c r="I173" i="2"/>
  <c r="H174" i="2"/>
  <c r="I174" i="2"/>
  <c r="H175" i="2"/>
  <c r="I175" i="2"/>
  <c r="H176" i="2"/>
  <c r="I176" i="2"/>
  <c r="H177" i="2"/>
  <c r="I177" i="2"/>
  <c r="H178" i="2"/>
  <c r="I178" i="2"/>
  <c r="H179" i="2"/>
  <c r="I179" i="2"/>
  <c r="H180" i="2"/>
  <c r="I180" i="2"/>
  <c r="H181" i="2"/>
  <c r="I181" i="2"/>
  <c r="H182" i="2"/>
  <c r="I182" i="2"/>
  <c r="H183" i="2"/>
  <c r="I183" i="2"/>
  <c r="H184" i="2"/>
  <c r="I184" i="2"/>
  <c r="H185" i="2"/>
  <c r="I185" i="2"/>
  <c r="H186" i="2"/>
  <c r="I186" i="2"/>
  <c r="H187" i="2"/>
  <c r="I187" i="2"/>
  <c r="H188" i="2"/>
  <c r="I188" i="2"/>
  <c r="H189" i="2"/>
  <c r="I189" i="2"/>
  <c r="H190" i="2"/>
  <c r="I190" i="2"/>
  <c r="H191" i="2"/>
  <c r="I191" i="2"/>
  <c r="H192" i="2"/>
  <c r="I192" i="2"/>
  <c r="H193" i="2"/>
  <c r="I193" i="2"/>
  <c r="H194" i="2"/>
  <c r="I194" i="2"/>
  <c r="H195" i="2"/>
  <c r="I195" i="2"/>
  <c r="H196" i="2"/>
  <c r="I196" i="2"/>
  <c r="H197" i="2"/>
  <c r="I197" i="2"/>
  <c r="H198" i="2"/>
  <c r="I198" i="2"/>
  <c r="H199" i="2"/>
  <c r="I199" i="2"/>
  <c r="H200" i="2"/>
  <c r="I200" i="2"/>
  <c r="H201" i="2"/>
  <c r="I201" i="2"/>
  <c r="H202" i="2"/>
  <c r="I202" i="2"/>
  <c r="H203" i="2"/>
  <c r="I203" i="2"/>
  <c r="H204" i="2"/>
  <c r="I204" i="2"/>
  <c r="H205" i="2"/>
  <c r="I205" i="2"/>
  <c r="H206" i="2"/>
  <c r="I206" i="2"/>
  <c r="H207" i="2"/>
  <c r="I207" i="2"/>
  <c r="H208" i="2"/>
  <c r="I208" i="2"/>
  <c r="H209" i="2"/>
  <c r="I209" i="2"/>
  <c r="H210" i="2"/>
  <c r="I210" i="2"/>
  <c r="H211" i="2"/>
  <c r="I211" i="2"/>
  <c r="H212" i="2"/>
  <c r="I212" i="2"/>
  <c r="H213" i="2"/>
  <c r="I213" i="2"/>
  <c r="H214" i="2"/>
  <c r="I214" i="2"/>
  <c r="H215" i="2"/>
  <c r="I215" i="2"/>
  <c r="H216" i="2"/>
  <c r="I216" i="2"/>
  <c r="H217" i="2"/>
  <c r="I217" i="2"/>
  <c r="H218" i="2"/>
  <c r="I218" i="2"/>
  <c r="H219" i="2"/>
  <c r="I219" i="2"/>
  <c r="H220" i="2"/>
  <c r="I220" i="2"/>
  <c r="H221" i="2"/>
  <c r="I221" i="2"/>
  <c r="H222" i="2"/>
  <c r="I222" i="2"/>
  <c r="H223" i="2"/>
  <c r="I223" i="2"/>
  <c r="H224" i="2"/>
  <c r="I224" i="2"/>
  <c r="H225" i="2"/>
  <c r="I225" i="2"/>
  <c r="H226" i="2"/>
  <c r="I226" i="2"/>
  <c r="H227" i="2"/>
  <c r="I227" i="2"/>
  <c r="H228" i="2"/>
  <c r="I228" i="2"/>
  <c r="H229" i="2"/>
  <c r="I229" i="2"/>
  <c r="H230" i="2"/>
  <c r="I230" i="2"/>
  <c r="H231" i="2"/>
  <c r="I231" i="2"/>
  <c r="H232" i="2"/>
  <c r="I232" i="2"/>
  <c r="H233" i="2"/>
  <c r="I233" i="2"/>
  <c r="H234" i="2"/>
  <c r="I234" i="2"/>
  <c r="H235" i="2"/>
  <c r="I235" i="2"/>
  <c r="H236" i="2"/>
  <c r="I236" i="2"/>
  <c r="H237" i="2"/>
  <c r="I237" i="2"/>
  <c r="H238" i="2"/>
  <c r="I238" i="2"/>
  <c r="H239" i="2"/>
  <c r="I239" i="2"/>
  <c r="H240" i="2"/>
  <c r="I240" i="2"/>
  <c r="H241" i="2"/>
  <c r="I241" i="2"/>
  <c r="H242" i="2"/>
  <c r="I242" i="2"/>
  <c r="H243" i="2"/>
  <c r="I243" i="2"/>
  <c r="H244" i="2"/>
  <c r="I244" i="2"/>
  <c r="H245" i="2"/>
  <c r="I245" i="2"/>
  <c r="H246" i="2"/>
  <c r="I246" i="2"/>
  <c r="H247" i="2"/>
  <c r="I247" i="2"/>
  <c r="H248" i="2"/>
  <c r="I248" i="2"/>
  <c r="H249" i="2"/>
  <c r="I249" i="2"/>
  <c r="H250" i="2"/>
  <c r="I250"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8" i="2"/>
  <c r="S35" i="2"/>
  <c r="U58" i="56"/>
  <c r="T58" i="56"/>
  <c r="K20" i="54"/>
  <c r="K19" i="54"/>
  <c r="L19" i="54" s="1"/>
  <c r="K18" i="54"/>
  <c r="Q18" i="54" s="1"/>
  <c r="K17" i="54"/>
  <c r="L17" i="54" s="1"/>
  <c r="K16" i="54"/>
  <c r="P16" i="54" s="1"/>
  <c r="K15" i="54"/>
  <c r="L15" i="54" s="1"/>
  <c r="K14" i="54"/>
  <c r="P14" i="54" s="1"/>
  <c r="K13" i="54"/>
  <c r="Q13" i="54" s="1"/>
  <c r="K12" i="54"/>
  <c r="O12" i="54" s="1"/>
  <c r="K11" i="54"/>
  <c r="A68" i="53"/>
  <c r="C68" i="53" s="1"/>
  <c r="A67" i="53"/>
  <c r="B67" i="53" s="1"/>
  <c r="A66" i="53"/>
  <c r="D66" i="53" s="1"/>
  <c r="A65" i="53"/>
  <c r="A64" i="53"/>
  <c r="B64" i="53" s="1"/>
  <c r="A63" i="53"/>
  <c r="C63" i="53" s="1"/>
  <c r="A62" i="53"/>
  <c r="B62" i="53" s="1"/>
  <c r="A61" i="53"/>
  <c r="D61" i="53" s="1"/>
  <c r="A60" i="53"/>
  <c r="B60" i="53" s="1"/>
  <c r="A59" i="53"/>
  <c r="B59" i="53" s="1"/>
  <c r="A58" i="53"/>
  <c r="C58" i="53" s="1"/>
  <c r="A57" i="53"/>
  <c r="D57" i="53" s="1"/>
  <c r="A56" i="53"/>
  <c r="C56" i="53" s="1"/>
  <c r="A55" i="53"/>
  <c r="D55" i="53" s="1"/>
  <c r="A54" i="53"/>
  <c r="A53" i="53"/>
  <c r="C53" i="53" s="1"/>
  <c r="A52" i="53"/>
  <c r="C52" i="53" s="1"/>
  <c r="A51" i="53"/>
  <c r="C51" i="53" s="1"/>
  <c r="A50" i="53"/>
  <c r="D50" i="53" s="1"/>
  <c r="A49" i="53"/>
  <c r="D49" i="53" s="1"/>
  <c r="A48" i="53"/>
  <c r="C48" i="53" s="1"/>
  <c r="A47" i="53"/>
  <c r="C47" i="53" s="1"/>
  <c r="A46" i="53"/>
  <c r="C46" i="53" s="1"/>
  <c r="A45" i="53"/>
  <c r="D45" i="53" s="1"/>
  <c r="A44" i="53"/>
  <c r="D44" i="53" s="1"/>
  <c r="A43" i="53"/>
  <c r="B43" i="53" s="1"/>
  <c r="A42" i="53"/>
  <c r="C42" i="53" s="1"/>
  <c r="A41" i="53"/>
  <c r="A40" i="53"/>
  <c r="B40" i="53" s="1"/>
  <c r="A39" i="53"/>
  <c r="D39" i="53" s="1"/>
  <c r="A38" i="53"/>
  <c r="B38" i="53" s="1"/>
  <c r="A37" i="53"/>
  <c r="D37" i="53" s="1"/>
  <c r="A36" i="53"/>
  <c r="C36" i="53" s="1"/>
  <c r="A35" i="53"/>
  <c r="D35" i="53" s="1"/>
  <c r="A34" i="53"/>
  <c r="B34" i="53" s="1"/>
  <c r="A33" i="53"/>
  <c r="A32" i="53"/>
  <c r="C32" i="53" s="1"/>
  <c r="A31" i="53"/>
  <c r="A30" i="53"/>
  <c r="D30" i="53" s="1"/>
  <c r="A29" i="53"/>
  <c r="D29" i="53" s="1"/>
  <c r="A28" i="53"/>
  <c r="C28" i="53" s="1"/>
  <c r="A27" i="53"/>
  <c r="C27" i="53" s="1"/>
  <c r="A26" i="53"/>
  <c r="C26" i="53" s="1"/>
  <c r="A25" i="53"/>
  <c r="C25" i="53" s="1"/>
  <c r="A24" i="53"/>
  <c r="B24" i="53" s="1"/>
  <c r="A23" i="53"/>
  <c r="C23" i="53" s="1"/>
  <c r="A22" i="53"/>
  <c r="A21" i="53"/>
  <c r="D21" i="53" s="1"/>
  <c r="A20" i="53"/>
  <c r="D20" i="53" s="1"/>
  <c r="A19" i="53"/>
  <c r="C19" i="53" s="1"/>
  <c r="A18" i="53"/>
  <c r="C18" i="53" s="1"/>
  <c r="A17" i="53"/>
  <c r="D17" i="53" s="1"/>
  <c r="A16" i="53"/>
  <c r="D16" i="53" s="1"/>
  <c r="A15" i="53"/>
  <c r="C15" i="53" s="1"/>
  <c r="A14" i="53"/>
  <c r="D14" i="53" s="1"/>
  <c r="A13" i="53"/>
  <c r="B13" i="53" s="1"/>
  <c r="A12" i="53"/>
  <c r="C12" i="53" s="1"/>
  <c r="A11" i="53"/>
  <c r="B11" i="53" s="1"/>
  <c r="A10" i="53"/>
  <c r="A9" i="53"/>
  <c r="D9" i="53" s="1"/>
  <c r="U6" i="50"/>
  <c r="W6" i="50"/>
  <c r="Y8" i="51"/>
  <c r="Y9" i="51" s="1"/>
  <c r="X8" i="51"/>
  <c r="X9" i="51" s="1"/>
  <c r="W8" i="51"/>
  <c r="W9" i="51" s="1"/>
  <c r="V8" i="51"/>
  <c r="V9" i="51" s="1"/>
  <c r="U8" i="51"/>
  <c r="U9" i="51" s="1"/>
  <c r="T8" i="51"/>
  <c r="T9" i="51" s="1"/>
  <c r="S8" i="51"/>
  <c r="S9" i="51" s="1"/>
  <c r="R8" i="51"/>
  <c r="R9" i="51" s="1"/>
  <c r="Q8" i="51"/>
  <c r="Q9" i="51" s="1"/>
  <c r="P8" i="51"/>
  <c r="P9" i="51" s="1"/>
  <c r="O8" i="51"/>
  <c r="O9" i="51" s="1"/>
  <c r="N8" i="51"/>
  <c r="N9" i="51" s="1"/>
  <c r="M8" i="51"/>
  <c r="M9" i="51" s="1"/>
  <c r="L8" i="51"/>
  <c r="L9" i="51" s="1"/>
  <c r="K8" i="51"/>
  <c r="K9" i="51" s="1"/>
  <c r="J8" i="51"/>
  <c r="J9" i="51" s="1"/>
  <c r="I8" i="51"/>
  <c r="I9" i="51" s="1"/>
  <c r="H8" i="51"/>
  <c r="H9" i="51" s="1"/>
  <c r="G8" i="51"/>
  <c r="G9" i="51" s="1"/>
  <c r="F8" i="51"/>
  <c r="F9" i="51" s="1"/>
  <c r="E8" i="51"/>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9" i="36"/>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8" i="1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8" i="2"/>
  <c r="AJ10" i="23"/>
  <c r="AJ11" i="23"/>
  <c r="AJ12" i="23"/>
  <c r="AJ15" i="23"/>
  <c r="AJ16" i="23"/>
  <c r="AJ20" i="23"/>
  <c r="AJ21" i="23"/>
  <c r="AJ22" i="23"/>
  <c r="AJ24" i="23"/>
  <c r="AJ25" i="23"/>
  <c r="AJ26" i="23"/>
  <c r="AJ27" i="23"/>
  <c r="D64" i="52"/>
  <c r="D65" i="52"/>
  <c r="D66" i="52"/>
  <c r="D67" i="52"/>
  <c r="D68" i="52"/>
  <c r="S9" i="12"/>
  <c r="T9" i="12"/>
  <c r="R6" i="50"/>
  <c r="D63" i="52"/>
  <c r="D62" i="52"/>
  <c r="D61" i="52"/>
  <c r="D60" i="52"/>
  <c r="D59" i="52"/>
  <c r="D58" i="52"/>
  <c r="D57" i="52"/>
  <c r="D56" i="52"/>
  <c r="D55" i="52"/>
  <c r="D54" i="52"/>
  <c r="D53" i="52"/>
  <c r="D52" i="52"/>
  <c r="D51" i="52"/>
  <c r="D50" i="52"/>
  <c r="D49" i="52"/>
  <c r="D48" i="52"/>
  <c r="D47" i="52"/>
  <c r="D46" i="52"/>
  <c r="D45" i="52"/>
  <c r="D44" i="52"/>
  <c r="D43" i="52"/>
  <c r="D42" i="52"/>
  <c r="D41" i="52"/>
  <c r="D40" i="52"/>
  <c r="D39" i="52"/>
  <c r="D38" i="52"/>
  <c r="D37" i="52"/>
  <c r="D36" i="52"/>
  <c r="D35" i="52"/>
  <c r="D34" i="52"/>
  <c r="D33" i="52"/>
  <c r="D32" i="52"/>
  <c r="D31" i="52"/>
  <c r="D30" i="52"/>
  <c r="D29" i="52"/>
  <c r="D28" i="52"/>
  <c r="D27" i="52"/>
  <c r="D26" i="52"/>
  <c r="D25" i="52"/>
  <c r="D24" i="52"/>
  <c r="D23" i="52"/>
  <c r="D22" i="52"/>
  <c r="D21" i="52"/>
  <c r="D20" i="52"/>
  <c r="D19" i="52"/>
  <c r="D18" i="52"/>
  <c r="D17" i="52"/>
  <c r="D16" i="52"/>
  <c r="D15" i="52"/>
  <c r="D14" i="52"/>
  <c r="D13" i="52"/>
  <c r="D12" i="52"/>
  <c r="D11" i="52"/>
  <c r="D10" i="52"/>
  <c r="D9" i="52"/>
  <c r="Q7" i="21"/>
  <c r="R7" i="21"/>
  <c r="P8" i="21"/>
  <c r="P9" i="21"/>
  <c r="P10" i="21"/>
  <c r="P11" i="21"/>
  <c r="P12" i="21"/>
  <c r="P13" i="21"/>
  <c r="P14" i="21"/>
  <c r="P15" i="21"/>
  <c r="P16" i="21"/>
  <c r="P17" i="21"/>
  <c r="AV217" i="48"/>
  <c r="AU217" i="48"/>
  <c r="AT217" i="48"/>
  <c r="AS217" i="48"/>
  <c r="AR217" i="48"/>
  <c r="AQ217" i="48"/>
  <c r="AP217" i="48"/>
  <c r="AO217" i="48"/>
  <c r="AN217" i="48"/>
  <c r="AM217" i="48"/>
  <c r="AL217" i="48"/>
  <c r="AK217" i="48"/>
  <c r="AJ217" i="48"/>
  <c r="AI217" i="48"/>
  <c r="AH217" i="48"/>
  <c r="AG217" i="48"/>
  <c r="AF217" i="48"/>
  <c r="AE217" i="48"/>
  <c r="AC217" i="48"/>
  <c r="AB217" i="48"/>
  <c r="AA217" i="48"/>
  <c r="Z217" i="48"/>
  <c r="Y217" i="48"/>
  <c r="X217" i="48"/>
  <c r="W217" i="48"/>
  <c r="V217" i="48"/>
  <c r="U217" i="48"/>
  <c r="T217" i="48"/>
  <c r="S217" i="48"/>
  <c r="R217" i="48"/>
  <c r="Q217" i="48"/>
  <c r="P217" i="48"/>
  <c r="O217" i="48"/>
  <c r="N217" i="48"/>
  <c r="M217" i="48"/>
  <c r="L217" i="48"/>
  <c r="K217" i="48"/>
  <c r="J217" i="48"/>
  <c r="I217" i="48"/>
  <c r="H217" i="48"/>
  <c r="G217" i="48"/>
  <c r="F217" i="48"/>
  <c r="E217" i="48"/>
  <c r="D217" i="48"/>
  <c r="C217" i="48"/>
  <c r="AT212" i="48"/>
  <c r="AR212" i="48"/>
  <c r="AJ212" i="48"/>
  <c r="AH212" i="48"/>
  <c r="AF212" i="48"/>
  <c r="AB212" i="48"/>
  <c r="X212" i="48"/>
  <c r="V212" i="48"/>
  <c r="T212" i="48"/>
  <c r="R212" i="48"/>
  <c r="P212" i="48"/>
  <c r="N212" i="48"/>
  <c r="L212" i="48"/>
  <c r="J212" i="48"/>
  <c r="H212" i="48"/>
  <c r="F212" i="48"/>
  <c r="D212" i="48"/>
  <c r="L199" i="48"/>
  <c r="BK199" i="48" s="1"/>
  <c r="AZ197" i="48"/>
  <c r="AX197" i="48"/>
  <c r="AV197" i="48"/>
  <c r="AT197" i="48"/>
  <c r="AJ197" i="48"/>
  <c r="AH197" i="48"/>
  <c r="AF197" i="48"/>
  <c r="AB197" i="48"/>
  <c r="Z197" i="48"/>
  <c r="X197" i="48"/>
  <c r="V197" i="48"/>
  <c r="T197" i="48"/>
  <c r="R197" i="48"/>
  <c r="P197" i="48"/>
  <c r="N197" i="48"/>
  <c r="L197" i="48"/>
  <c r="J197" i="48"/>
  <c r="H197" i="48"/>
  <c r="F197" i="48"/>
  <c r="D197" i="48"/>
  <c r="AZ187" i="48"/>
  <c r="AX187" i="48"/>
  <c r="AV187" i="48"/>
  <c r="AU187" i="48"/>
  <c r="AT187" i="48"/>
  <c r="AS187" i="48"/>
  <c r="AR187" i="48"/>
  <c r="AQ187" i="48"/>
  <c r="AP187" i="48"/>
  <c r="AO187" i="48"/>
  <c r="AN187" i="48"/>
  <c r="AM187" i="48"/>
  <c r="AL187" i="48"/>
  <c r="AK187" i="48"/>
  <c r="AJ187" i="48"/>
  <c r="AI187" i="48"/>
  <c r="AH187" i="48"/>
  <c r="AG187" i="48"/>
  <c r="AF187" i="48"/>
  <c r="AE187" i="48"/>
  <c r="AC187" i="48"/>
  <c r="AB187" i="48"/>
  <c r="AA187" i="48"/>
  <c r="Z187" i="48"/>
  <c r="Y187" i="48"/>
  <c r="X187" i="48"/>
  <c r="W187" i="48"/>
  <c r="V187" i="48"/>
  <c r="U187" i="48"/>
  <c r="T187" i="48"/>
  <c r="S187" i="48"/>
  <c r="R187" i="48"/>
  <c r="Q187" i="48"/>
  <c r="P187" i="48"/>
  <c r="O187" i="48"/>
  <c r="N187" i="48"/>
  <c r="M187" i="48"/>
  <c r="L187" i="48"/>
  <c r="K187" i="48"/>
  <c r="J187" i="48"/>
  <c r="I187" i="48"/>
  <c r="H187" i="48"/>
  <c r="G187" i="48"/>
  <c r="F187" i="48"/>
  <c r="E187" i="48"/>
  <c r="D185" i="48"/>
  <c r="BK185" i="48" s="1"/>
  <c r="C185" i="48"/>
  <c r="BJ185" i="48" s="1"/>
  <c r="AZ180" i="48"/>
  <c r="AV180" i="48"/>
  <c r="AT180" i="48"/>
  <c r="AR180" i="48"/>
  <c r="AL180" i="48"/>
  <c r="AJ180" i="48"/>
  <c r="AH180" i="48"/>
  <c r="AF180" i="48"/>
  <c r="AB180" i="48"/>
  <c r="Z180" i="48"/>
  <c r="X180" i="48"/>
  <c r="V180" i="48"/>
  <c r="T180" i="48"/>
  <c r="R180" i="48"/>
  <c r="P180" i="48"/>
  <c r="N180" i="48"/>
  <c r="L180" i="48"/>
  <c r="J180" i="48"/>
  <c r="H180" i="48"/>
  <c r="F180" i="48"/>
  <c r="D180" i="48"/>
  <c r="Q174" i="48"/>
  <c r="O174" i="48"/>
  <c r="M174" i="48"/>
  <c r="K174" i="48"/>
  <c r="I174" i="48"/>
  <c r="BJ174" i="48" s="1"/>
  <c r="AZ160" i="48"/>
  <c r="AZ167" i="48" s="1"/>
  <c r="AX160" i="48"/>
  <c r="AX167" i="48" s="1"/>
  <c r="AV160" i="48"/>
  <c r="AV167" i="48" s="1"/>
  <c r="AU160" i="48"/>
  <c r="AT160" i="48"/>
  <c r="AT167" i="48" s="1"/>
  <c r="AS160" i="48"/>
  <c r="AR160" i="48"/>
  <c r="AR167" i="48" s="1"/>
  <c r="AQ160" i="48"/>
  <c r="AP160" i="48"/>
  <c r="AP167" i="48" s="1"/>
  <c r="AO160" i="48"/>
  <c r="AN160" i="48"/>
  <c r="AN167" i="48" s="1"/>
  <c r="AM160" i="48"/>
  <c r="AL160" i="48"/>
  <c r="AL167" i="48" s="1"/>
  <c r="AK160" i="48"/>
  <c r="AJ160" i="48"/>
  <c r="AJ167" i="48" s="1"/>
  <c r="AI160" i="48"/>
  <c r="AH160" i="48"/>
  <c r="AH167" i="48" s="1"/>
  <c r="AG160" i="48"/>
  <c r="AF160" i="48"/>
  <c r="AF167" i="48" s="1"/>
  <c r="AE160" i="48"/>
  <c r="AC160" i="48"/>
  <c r="AB160" i="48"/>
  <c r="AB167" i="48" s="1"/>
  <c r="AA160" i="48"/>
  <c r="Z160" i="48"/>
  <c r="Z167" i="48" s="1"/>
  <c r="Y160" i="48"/>
  <c r="X160" i="48"/>
  <c r="X167" i="48" s="1"/>
  <c r="W160" i="48"/>
  <c r="V160" i="48"/>
  <c r="V167" i="48" s="1"/>
  <c r="T160" i="48"/>
  <c r="T167" i="48" s="1"/>
  <c r="R160" i="48"/>
  <c r="R167" i="48" s="1"/>
  <c r="Q160" i="48"/>
  <c r="P160" i="48"/>
  <c r="P167" i="48" s="1"/>
  <c r="O160" i="48"/>
  <c r="N160" i="48"/>
  <c r="N167" i="48" s="1"/>
  <c r="M160" i="48"/>
  <c r="L160" i="48"/>
  <c r="L167" i="48" s="1"/>
  <c r="K160" i="48"/>
  <c r="J160" i="48"/>
  <c r="J167" i="48" s="1"/>
  <c r="I160" i="48"/>
  <c r="H160" i="48"/>
  <c r="H167" i="48" s="1"/>
  <c r="G160" i="48"/>
  <c r="F160" i="48"/>
  <c r="F167" i="48" s="1"/>
  <c r="E160" i="48"/>
  <c r="D160" i="48"/>
  <c r="C160" i="48"/>
  <c r="D152" i="48"/>
  <c r="BK152" i="48" s="1"/>
  <c r="C152" i="48"/>
  <c r="BJ152" i="48" s="1"/>
  <c r="AZ148" i="48"/>
  <c r="AX148" i="48"/>
  <c r="AV148" i="48"/>
  <c r="AT148" i="48"/>
  <c r="AJ148" i="48"/>
  <c r="AH148" i="48"/>
  <c r="AF148" i="48"/>
  <c r="AB148" i="48"/>
  <c r="Z148" i="48"/>
  <c r="X148" i="48"/>
  <c r="V148" i="48"/>
  <c r="T148" i="48"/>
  <c r="R148" i="48"/>
  <c r="P148" i="48"/>
  <c r="N148" i="48"/>
  <c r="L148" i="48"/>
  <c r="J148" i="48"/>
  <c r="H148" i="48"/>
  <c r="F148" i="48"/>
  <c r="D148" i="48"/>
  <c r="AZ143" i="48"/>
  <c r="AY143" i="48"/>
  <c r="AX143" i="48"/>
  <c r="AW143" i="48"/>
  <c r="AV143" i="48"/>
  <c r="AU143" i="48"/>
  <c r="AT143" i="48"/>
  <c r="AS143" i="48"/>
  <c r="AR143" i="48"/>
  <c r="AQ143" i="48"/>
  <c r="AP143" i="48"/>
  <c r="AO143" i="48"/>
  <c r="AN143" i="48"/>
  <c r="AM143" i="48"/>
  <c r="AJ143" i="48"/>
  <c r="AI143" i="48"/>
  <c r="AH143" i="48"/>
  <c r="AG143" i="48"/>
  <c r="AF143" i="48"/>
  <c r="AE143" i="48"/>
  <c r="AC143" i="48"/>
  <c r="AB143" i="48"/>
  <c r="AA143" i="48"/>
  <c r="Z143" i="48"/>
  <c r="Y143" i="48"/>
  <c r="X143" i="48"/>
  <c r="W143" i="48"/>
  <c r="V143" i="48"/>
  <c r="U143" i="48"/>
  <c r="T143" i="48"/>
  <c r="S143" i="48"/>
  <c r="R143" i="48"/>
  <c r="Q143" i="48"/>
  <c r="P143" i="48"/>
  <c r="O143" i="48"/>
  <c r="K140" i="48"/>
  <c r="K143" i="48" s="1"/>
  <c r="N139" i="48"/>
  <c r="N140" i="48" s="1"/>
  <c r="M139" i="48"/>
  <c r="M140" i="48" s="1"/>
  <c r="L139" i="48"/>
  <c r="L140" i="48" s="1"/>
  <c r="J139" i="48"/>
  <c r="I139" i="48"/>
  <c r="I140" i="48" s="1"/>
  <c r="H139" i="48"/>
  <c r="G139" i="48"/>
  <c r="G140" i="48" s="1"/>
  <c r="F139" i="48"/>
  <c r="F143" i="48" s="1"/>
  <c r="E139" i="48"/>
  <c r="E143" i="48" s="1"/>
  <c r="D139" i="48"/>
  <c r="C139" i="48"/>
  <c r="BJ139" i="48" s="1"/>
  <c r="AZ136" i="48"/>
  <c r="AX136" i="48"/>
  <c r="AV136" i="48"/>
  <c r="AT136" i="48"/>
  <c r="AR136" i="48"/>
  <c r="AP136" i="48"/>
  <c r="AN136" i="48"/>
  <c r="AL136" i="48"/>
  <c r="AJ136" i="48"/>
  <c r="AH136" i="48"/>
  <c r="AF136" i="48"/>
  <c r="AB136" i="48"/>
  <c r="Z136" i="48"/>
  <c r="X136" i="48"/>
  <c r="V136" i="48"/>
  <c r="T136" i="48"/>
  <c r="R136" i="48"/>
  <c r="P136" i="48"/>
  <c r="N136" i="48"/>
  <c r="L136" i="48"/>
  <c r="J136" i="48"/>
  <c r="H136" i="48"/>
  <c r="F136" i="48"/>
  <c r="D136" i="48"/>
  <c r="AZ131" i="48"/>
  <c r="AX131" i="48"/>
  <c r="AV131" i="48"/>
  <c r="AT131" i="48"/>
  <c r="AR131" i="48"/>
  <c r="AP131" i="48"/>
  <c r="AN131" i="48"/>
  <c r="AJ131" i="48"/>
  <c r="AH131" i="48"/>
  <c r="AF131" i="48"/>
  <c r="AB131" i="48"/>
  <c r="Z131" i="48"/>
  <c r="X131" i="48"/>
  <c r="V131" i="48"/>
  <c r="T131" i="48"/>
  <c r="R131" i="48"/>
  <c r="P131" i="48"/>
  <c r="N131" i="48"/>
  <c r="L131" i="48"/>
  <c r="J131" i="48"/>
  <c r="H131" i="48"/>
  <c r="F131" i="48"/>
  <c r="D120" i="48"/>
  <c r="BK120" i="48" s="1"/>
  <c r="C120" i="48"/>
  <c r="BJ120" i="48" s="1"/>
  <c r="AB112" i="48"/>
  <c r="Z112" i="48"/>
  <c r="X112" i="48"/>
  <c r="V112" i="48"/>
  <c r="T112" i="48"/>
  <c r="AV108" i="48"/>
  <c r="AT108" i="48"/>
  <c r="AR108" i="48"/>
  <c r="AP108" i="48"/>
  <c r="AN108" i="48"/>
  <c r="AL108" i="48"/>
  <c r="AJ108" i="48"/>
  <c r="AH108" i="48"/>
  <c r="AF108" i="48"/>
  <c r="AB108" i="48"/>
  <c r="Z108" i="48"/>
  <c r="X108" i="48"/>
  <c r="V108" i="48"/>
  <c r="T108" i="48"/>
  <c r="R108" i="48"/>
  <c r="P108" i="48"/>
  <c r="N108" i="48"/>
  <c r="L108" i="48"/>
  <c r="J108" i="48"/>
  <c r="H108" i="48"/>
  <c r="F108" i="48"/>
  <c r="D108" i="48"/>
  <c r="AZ84" i="48"/>
  <c r="AX84" i="48"/>
  <c r="AV84" i="48"/>
  <c r="AT84" i="48"/>
  <c r="AR84" i="48"/>
  <c r="AP84" i="48"/>
  <c r="AN84" i="48"/>
  <c r="AJ84" i="48"/>
  <c r="AH84" i="48"/>
  <c r="AF84" i="48"/>
  <c r="AB84" i="48"/>
  <c r="Z84" i="48"/>
  <c r="X84" i="48"/>
  <c r="V84" i="48"/>
  <c r="T84" i="48"/>
  <c r="R84" i="48"/>
  <c r="P84" i="48"/>
  <c r="N84" i="48"/>
  <c r="L84" i="48"/>
  <c r="F84" i="48"/>
  <c r="J81" i="48"/>
  <c r="J84" i="48" s="1"/>
  <c r="I81" i="48"/>
  <c r="H81" i="48"/>
  <c r="G81" i="48"/>
  <c r="D81" i="48"/>
  <c r="C81" i="48"/>
  <c r="BJ81" i="48" s="1"/>
  <c r="AX67" i="48"/>
  <c r="AT67" i="48"/>
  <c r="AP67" i="48"/>
  <c r="AN67" i="48"/>
  <c r="AJ67" i="48"/>
  <c r="AH67" i="48"/>
  <c r="AF67" i="48"/>
  <c r="AB67" i="48"/>
  <c r="Z67" i="48"/>
  <c r="X67" i="48"/>
  <c r="V67" i="48"/>
  <c r="T67" i="48"/>
  <c r="R67" i="48"/>
  <c r="P67" i="48"/>
  <c r="N67" i="48"/>
  <c r="L67" i="48"/>
  <c r="J67" i="48"/>
  <c r="F67" i="48"/>
  <c r="D66" i="48"/>
  <c r="BK66" i="48" s="1"/>
  <c r="C66" i="48"/>
  <c r="BJ66" i="48" s="1"/>
  <c r="AZ57" i="48"/>
  <c r="AX57" i="48"/>
  <c r="AV57" i="48"/>
  <c r="AT57" i="48"/>
  <c r="AR57" i="48"/>
  <c r="AP57" i="48"/>
  <c r="AN57" i="48"/>
  <c r="AJ57" i="48"/>
  <c r="AH57" i="48"/>
  <c r="AF57" i="48"/>
  <c r="AB57" i="48"/>
  <c r="Z57" i="48"/>
  <c r="X57" i="48"/>
  <c r="V57" i="48"/>
  <c r="T57" i="48"/>
  <c r="L56" i="48"/>
  <c r="K56" i="48"/>
  <c r="H56" i="48"/>
  <c r="G56" i="48"/>
  <c r="BJ56" i="48" s="1"/>
  <c r="L52" i="48"/>
  <c r="K52" i="48"/>
  <c r="J52" i="48"/>
  <c r="I52" i="48"/>
  <c r="H52" i="48"/>
  <c r="G52" i="48"/>
  <c r="D52" i="48"/>
  <c r="C52" i="48"/>
  <c r="BJ52" i="48" s="1"/>
  <c r="R48" i="48"/>
  <c r="R57" i="48" s="1"/>
  <c r="P48" i="48"/>
  <c r="P57" i="48" s="1"/>
  <c r="N48" i="48"/>
  <c r="N57" i="48" s="1"/>
  <c r="L48" i="48"/>
  <c r="H48" i="48"/>
  <c r="F48" i="48"/>
  <c r="F57" i="48" s="1"/>
  <c r="AZ40" i="48"/>
  <c r="AX40" i="48"/>
  <c r="AV40" i="48"/>
  <c r="AT40" i="48"/>
  <c r="AR40" i="48"/>
  <c r="AP40" i="48"/>
  <c r="AN40" i="48"/>
  <c r="AL40" i="48"/>
  <c r="AJ40" i="48"/>
  <c r="AH40" i="48"/>
  <c r="AF40" i="48"/>
  <c r="AB40" i="48"/>
  <c r="X40" i="48"/>
  <c r="T40" i="48"/>
  <c r="R40" i="48"/>
  <c r="J40" i="48"/>
  <c r="F40" i="48"/>
  <c r="AC34" i="48"/>
  <c r="Z34" i="48"/>
  <c r="Z40" i="48" s="1"/>
  <c r="Y34" i="48"/>
  <c r="V34" i="48"/>
  <c r="U34" i="48"/>
  <c r="Q32" i="48"/>
  <c r="P32" i="48"/>
  <c r="P40" i="48" s="1"/>
  <c r="O32" i="48"/>
  <c r="N32" i="48"/>
  <c r="N40" i="48" s="1"/>
  <c r="M32" i="48"/>
  <c r="L32" i="48"/>
  <c r="L40" i="48" s="1"/>
  <c r="K32" i="48"/>
  <c r="H32" i="48"/>
  <c r="H40" i="48" s="1"/>
  <c r="G32" i="48"/>
  <c r="D32" i="48"/>
  <c r="C32" i="48"/>
  <c r="D27" i="48"/>
  <c r="BK27" i="48" s="1"/>
  <c r="C27" i="48"/>
  <c r="BJ27" i="48" s="1"/>
  <c r="AZ14" i="48"/>
  <c r="AY14" i="48"/>
  <c r="AX14" i="48"/>
  <c r="AV14" i="48"/>
  <c r="AT14" i="48"/>
  <c r="AR14" i="48"/>
  <c r="AP14" i="48"/>
  <c r="AN14" i="48"/>
  <c r="AJ14" i="48"/>
  <c r="AH14" i="48"/>
  <c r="AF14" i="48"/>
  <c r="AB14" i="48"/>
  <c r="Z14" i="48"/>
  <c r="X14" i="48"/>
  <c r="V14" i="48"/>
  <c r="T14" i="48"/>
  <c r="R14" i="48"/>
  <c r="P14" i="48"/>
  <c r="N14" i="48"/>
  <c r="L14" i="48"/>
  <c r="J14" i="48"/>
  <c r="H14" i="48"/>
  <c r="F14" i="48"/>
  <c r="D14" i="48"/>
  <c r="C14" i="48"/>
  <c r="M8" i="34"/>
  <c r="M9" i="34"/>
  <c r="M10" i="34"/>
  <c r="M11" i="34"/>
  <c r="M12" i="34"/>
  <c r="M13" i="34"/>
  <c r="M14" i="34"/>
  <c r="M15" i="34"/>
  <c r="M16" i="34"/>
  <c r="M17" i="34"/>
  <c r="M18" i="34"/>
  <c r="M19" i="34"/>
  <c r="M20" i="34"/>
  <c r="M21" i="34"/>
  <c r="M22" i="34"/>
  <c r="M23" i="34"/>
  <c r="M24" i="34"/>
  <c r="M25" i="34"/>
  <c r="M26" i="34"/>
  <c r="M27" i="34"/>
  <c r="M28" i="34"/>
  <c r="M29" i="34"/>
  <c r="M30" i="34"/>
  <c r="M31" i="34"/>
  <c r="M32" i="34"/>
  <c r="M33" i="34"/>
  <c r="M34" i="34"/>
  <c r="M35" i="34"/>
  <c r="M36" i="34"/>
  <c r="M37" i="34"/>
  <c r="M38" i="34"/>
  <c r="M39" i="34"/>
  <c r="M40" i="34"/>
  <c r="M41" i="34"/>
  <c r="M42" i="34"/>
  <c r="M43" i="34"/>
  <c r="M7" i="34"/>
  <c r="I55" i="34" s="1"/>
  <c r="F17" i="42"/>
  <c r="H17" i="42" s="1"/>
  <c r="F16" i="42"/>
  <c r="F15" i="42"/>
  <c r="H15" i="42" s="1"/>
  <c r="F14" i="42"/>
  <c r="H14" i="42" s="1"/>
  <c r="F13" i="42"/>
  <c r="H13" i="42" s="1"/>
  <c r="F12" i="42"/>
  <c r="H12" i="42" s="1"/>
  <c r="F11" i="42"/>
  <c r="H11" i="42" s="1"/>
  <c r="F10" i="42"/>
  <c r="H10" i="42" s="1"/>
  <c r="F9" i="42"/>
  <c r="H9" i="42" s="1"/>
  <c r="D30" i="23"/>
  <c r="D31" i="23" s="1"/>
  <c r="E30" i="23"/>
  <c r="E31" i="23" s="1"/>
  <c r="F30" i="23"/>
  <c r="F31" i="23" s="1"/>
  <c r="G30" i="23"/>
  <c r="G31" i="23" s="1"/>
  <c r="H30" i="23"/>
  <c r="H31" i="23" s="1"/>
  <c r="I30" i="23"/>
  <c r="I31" i="23" s="1"/>
  <c r="J30" i="23"/>
  <c r="J31" i="23" s="1"/>
  <c r="K30" i="23"/>
  <c r="K31" i="23" s="1"/>
  <c r="L30" i="23"/>
  <c r="L31" i="23" s="1"/>
  <c r="M30" i="23"/>
  <c r="M31" i="23" s="1"/>
  <c r="N30" i="23"/>
  <c r="N31" i="23" s="1"/>
  <c r="O30" i="23"/>
  <c r="O31" i="23" s="1"/>
  <c r="P30" i="23"/>
  <c r="P31" i="23" s="1"/>
  <c r="Q30" i="23"/>
  <c r="Q31" i="23" s="1"/>
  <c r="R30" i="23"/>
  <c r="R31" i="23" s="1"/>
  <c r="S30" i="23"/>
  <c r="S31" i="23" s="1"/>
  <c r="V30" i="23"/>
  <c r="V31" i="23" s="1"/>
  <c r="W30" i="23"/>
  <c r="W31" i="23" s="1"/>
  <c r="Z30" i="23"/>
  <c r="Z31" i="23" s="1"/>
  <c r="AB30" i="23"/>
  <c r="AB31" i="23" s="1"/>
  <c r="AC30" i="23"/>
  <c r="AC31" i="23" s="1"/>
  <c r="Y30" i="23"/>
  <c r="Y31" i="23" s="1"/>
  <c r="AJ23" i="23"/>
  <c r="AJ19" i="23"/>
  <c r="AJ17" i="23"/>
  <c r="S51" i="40"/>
  <c r="W1" i="40" s="1"/>
  <c r="S50" i="40"/>
  <c r="S49" i="40"/>
  <c r="S48" i="40"/>
  <c r="S47" i="40"/>
  <c r="S46" i="40"/>
  <c r="S45" i="40"/>
  <c r="S44" i="40"/>
  <c r="S43" i="40"/>
  <c r="U43" i="40" s="1"/>
  <c r="S42" i="40"/>
  <c r="U41" i="40"/>
  <c r="T41" i="40"/>
  <c r="A67" i="37"/>
  <c r="B67" i="37" s="1"/>
  <c r="A66" i="37"/>
  <c r="B66" i="37" s="1"/>
  <c r="A65" i="37"/>
  <c r="B65" i="37" s="1"/>
  <c r="A64" i="37"/>
  <c r="B64" i="37" s="1"/>
  <c r="A63" i="37"/>
  <c r="B63" i="37" s="1"/>
  <c r="A62" i="37"/>
  <c r="B62" i="37" s="1"/>
  <c r="A61" i="37"/>
  <c r="B61" i="37" s="1"/>
  <c r="A60" i="37"/>
  <c r="B60" i="37" s="1"/>
  <c r="A59" i="37"/>
  <c r="B59" i="37" s="1"/>
  <c r="A58" i="37"/>
  <c r="B58" i="37" s="1"/>
  <c r="A57" i="37"/>
  <c r="B57" i="37" s="1"/>
  <c r="A56" i="37"/>
  <c r="B56" i="37" s="1"/>
  <c r="A55" i="37"/>
  <c r="B55" i="37" s="1"/>
  <c r="A54" i="37"/>
  <c r="B54" i="37" s="1"/>
  <c r="A53" i="37"/>
  <c r="B53" i="37" s="1"/>
  <c r="A52" i="37"/>
  <c r="B52" i="37" s="1"/>
  <c r="A51" i="37"/>
  <c r="B51" i="37" s="1"/>
  <c r="A50" i="37"/>
  <c r="B50" i="37" s="1"/>
  <c r="A49" i="37"/>
  <c r="B49" i="37" s="1"/>
  <c r="A48" i="37"/>
  <c r="B48" i="37" s="1"/>
  <c r="A47" i="37"/>
  <c r="B47" i="37" s="1"/>
  <c r="A46" i="37"/>
  <c r="B46" i="37" s="1"/>
  <c r="A45" i="37"/>
  <c r="B45" i="37" s="1"/>
  <c r="A44" i="37"/>
  <c r="B44" i="37" s="1"/>
  <c r="A43" i="37"/>
  <c r="B43" i="37" s="1"/>
  <c r="A42" i="37"/>
  <c r="B42" i="37" s="1"/>
  <c r="A41" i="37"/>
  <c r="B41" i="37" s="1"/>
  <c r="A40" i="37"/>
  <c r="B40" i="37" s="1"/>
  <c r="A39" i="37"/>
  <c r="B39" i="37" s="1"/>
  <c r="A38" i="37"/>
  <c r="B38" i="37" s="1"/>
  <c r="A37" i="37"/>
  <c r="B37" i="37" s="1"/>
  <c r="A36" i="37"/>
  <c r="B36" i="37" s="1"/>
  <c r="A35" i="37"/>
  <c r="B35" i="37" s="1"/>
  <c r="A34" i="37"/>
  <c r="B34" i="37" s="1"/>
  <c r="A33" i="37"/>
  <c r="B33" i="37" s="1"/>
  <c r="A32" i="37"/>
  <c r="B32" i="37" s="1"/>
  <c r="A31" i="37"/>
  <c r="B31" i="37" s="1"/>
  <c r="A30" i="37"/>
  <c r="B30" i="37" s="1"/>
  <c r="A29" i="37"/>
  <c r="B29" i="37" s="1"/>
  <c r="A28" i="37"/>
  <c r="B28" i="37" s="1"/>
  <c r="A27" i="37"/>
  <c r="B27" i="37" s="1"/>
  <c r="A26" i="37"/>
  <c r="B26" i="37" s="1"/>
  <c r="A25" i="37"/>
  <c r="B25" i="37" s="1"/>
  <c r="A24" i="37"/>
  <c r="B24" i="37" s="1"/>
  <c r="A23" i="37"/>
  <c r="B23" i="37" s="1"/>
  <c r="A22" i="37"/>
  <c r="B22" i="37" s="1"/>
  <c r="A21" i="37"/>
  <c r="B21" i="37" s="1"/>
  <c r="A20" i="37"/>
  <c r="B20" i="37" s="1"/>
  <c r="A19" i="37"/>
  <c r="B19" i="37" s="1"/>
  <c r="A18" i="37"/>
  <c r="B18" i="37" s="1"/>
  <c r="A17" i="37"/>
  <c r="B17" i="37" s="1"/>
  <c r="A16" i="37"/>
  <c r="B16" i="37" s="1"/>
  <c r="A15" i="37"/>
  <c r="B15" i="37" s="1"/>
  <c r="A14" i="37"/>
  <c r="B14" i="37" s="1"/>
  <c r="A13" i="37"/>
  <c r="B13" i="37" s="1"/>
  <c r="A12" i="37"/>
  <c r="B12" i="37" s="1"/>
  <c r="A11" i="37"/>
  <c r="B11" i="37" s="1"/>
  <c r="A10" i="37"/>
  <c r="B10" i="37" s="1"/>
  <c r="A9" i="37"/>
  <c r="B9" i="37" s="1"/>
  <c r="A8" i="37"/>
  <c r="B8" i="37" s="1"/>
  <c r="F10" i="36"/>
  <c r="G10" i="36"/>
  <c r="F11" i="36"/>
  <c r="G11" i="36"/>
  <c r="F12" i="36"/>
  <c r="G12" i="36"/>
  <c r="F13" i="36"/>
  <c r="G13" i="36"/>
  <c r="F14" i="36"/>
  <c r="G14" i="36"/>
  <c r="F15" i="36"/>
  <c r="G15" i="36"/>
  <c r="F16" i="36"/>
  <c r="G16" i="36"/>
  <c r="F17" i="36"/>
  <c r="G17" i="36"/>
  <c r="F18" i="36"/>
  <c r="G18" i="36"/>
  <c r="F19" i="36"/>
  <c r="G19" i="36"/>
  <c r="F20" i="36"/>
  <c r="G20" i="36"/>
  <c r="F21" i="36"/>
  <c r="G21" i="36"/>
  <c r="F22" i="36"/>
  <c r="G22" i="36"/>
  <c r="F23" i="36"/>
  <c r="G23" i="36"/>
  <c r="F24" i="36"/>
  <c r="G24" i="36"/>
  <c r="F25" i="36"/>
  <c r="G25" i="36"/>
  <c r="F26" i="36"/>
  <c r="G26" i="36"/>
  <c r="F27" i="36"/>
  <c r="G27" i="36"/>
  <c r="F28" i="36"/>
  <c r="G28" i="36"/>
  <c r="F29" i="36"/>
  <c r="G29" i="36"/>
  <c r="F30" i="36"/>
  <c r="G30" i="36"/>
  <c r="F31" i="36"/>
  <c r="G31" i="36"/>
  <c r="F32" i="36"/>
  <c r="G32" i="36"/>
  <c r="F33" i="36"/>
  <c r="G33" i="36"/>
  <c r="F34" i="36"/>
  <c r="G34" i="36"/>
  <c r="F35" i="36"/>
  <c r="G35" i="36"/>
  <c r="F36" i="36"/>
  <c r="G36" i="36"/>
  <c r="F37" i="36"/>
  <c r="G37" i="36"/>
  <c r="F38" i="36"/>
  <c r="G38" i="36"/>
  <c r="F39" i="36"/>
  <c r="G39" i="36"/>
  <c r="F40" i="36"/>
  <c r="G40" i="36"/>
  <c r="F41" i="36"/>
  <c r="G41" i="36"/>
  <c r="F42" i="36"/>
  <c r="G42" i="36"/>
  <c r="F43" i="36"/>
  <c r="G43" i="36"/>
  <c r="F44" i="36"/>
  <c r="G44" i="36"/>
  <c r="F45" i="36"/>
  <c r="G45" i="36"/>
  <c r="F46" i="36"/>
  <c r="G46" i="36"/>
  <c r="F47" i="36"/>
  <c r="G47" i="36"/>
  <c r="F48" i="36"/>
  <c r="G48" i="36"/>
  <c r="F49" i="36"/>
  <c r="G49" i="36"/>
  <c r="F50" i="36"/>
  <c r="G50" i="36"/>
  <c r="F51" i="36"/>
  <c r="G51" i="36"/>
  <c r="F52" i="36"/>
  <c r="G52" i="36"/>
  <c r="F53" i="36"/>
  <c r="G53" i="36"/>
  <c r="F54" i="36"/>
  <c r="G54" i="36"/>
  <c r="F55" i="36"/>
  <c r="G55" i="36"/>
  <c r="F56" i="36"/>
  <c r="G56" i="36"/>
  <c r="F57" i="36"/>
  <c r="G57" i="36"/>
  <c r="F58" i="36"/>
  <c r="G58" i="36"/>
  <c r="F59" i="36"/>
  <c r="G59" i="36"/>
  <c r="F60" i="36"/>
  <c r="G60" i="36"/>
  <c r="F61" i="36"/>
  <c r="G61" i="36"/>
  <c r="F62" i="36"/>
  <c r="G62" i="36"/>
  <c r="F63" i="36"/>
  <c r="G63" i="36"/>
  <c r="F64" i="36"/>
  <c r="G64" i="36"/>
  <c r="F65" i="36"/>
  <c r="G65" i="36"/>
  <c r="F66" i="36"/>
  <c r="G66" i="36"/>
  <c r="F67" i="36"/>
  <c r="G67" i="36"/>
  <c r="F68" i="36"/>
  <c r="G68" i="36"/>
  <c r="G9" i="36"/>
  <c r="F9" i="36"/>
  <c r="T20" i="36"/>
  <c r="T19" i="36"/>
  <c r="T18" i="36"/>
  <c r="T17" i="36"/>
  <c r="V17" i="36" s="1"/>
  <c r="T16" i="36"/>
  <c r="T15" i="36"/>
  <c r="T14" i="36"/>
  <c r="T13" i="36"/>
  <c r="T12" i="36"/>
  <c r="T11" i="36"/>
  <c r="A67" i="35"/>
  <c r="B67" i="35" s="1"/>
  <c r="A66" i="35"/>
  <c r="B66" i="35" s="1"/>
  <c r="A65" i="35"/>
  <c r="B65" i="35" s="1"/>
  <c r="A64" i="35"/>
  <c r="B64" i="35" s="1"/>
  <c r="A63" i="35"/>
  <c r="B63" i="35" s="1"/>
  <c r="A62" i="35"/>
  <c r="B62" i="35" s="1"/>
  <c r="A61" i="35"/>
  <c r="B61" i="35" s="1"/>
  <c r="A60" i="35"/>
  <c r="B60" i="35" s="1"/>
  <c r="A59" i="35"/>
  <c r="B59" i="35" s="1"/>
  <c r="A58" i="35"/>
  <c r="B58" i="35" s="1"/>
  <c r="A57" i="35"/>
  <c r="B57" i="35" s="1"/>
  <c r="A56" i="35"/>
  <c r="B56" i="35" s="1"/>
  <c r="A55" i="35"/>
  <c r="B55" i="35" s="1"/>
  <c r="A54" i="35"/>
  <c r="B54" i="35" s="1"/>
  <c r="A53" i="35"/>
  <c r="B53" i="35" s="1"/>
  <c r="A52" i="35"/>
  <c r="B52" i="35" s="1"/>
  <c r="A51" i="35"/>
  <c r="B51" i="35" s="1"/>
  <c r="A50" i="35"/>
  <c r="B50" i="35" s="1"/>
  <c r="A49" i="35"/>
  <c r="B49" i="35" s="1"/>
  <c r="A48" i="35"/>
  <c r="B48" i="35" s="1"/>
  <c r="A47" i="35"/>
  <c r="B47" i="35" s="1"/>
  <c r="A46" i="35"/>
  <c r="B46" i="35" s="1"/>
  <c r="A45" i="35"/>
  <c r="B45" i="35" s="1"/>
  <c r="A44" i="35"/>
  <c r="B44" i="35" s="1"/>
  <c r="A43" i="35"/>
  <c r="B43" i="35" s="1"/>
  <c r="A42" i="35"/>
  <c r="B42" i="35" s="1"/>
  <c r="A41" i="35"/>
  <c r="B41" i="35" s="1"/>
  <c r="A40" i="35"/>
  <c r="B40" i="35" s="1"/>
  <c r="A39" i="35"/>
  <c r="B39" i="35" s="1"/>
  <c r="A38" i="35"/>
  <c r="B38" i="35" s="1"/>
  <c r="A37" i="35"/>
  <c r="B37" i="35" s="1"/>
  <c r="A36" i="35"/>
  <c r="B36" i="35" s="1"/>
  <c r="A35" i="35"/>
  <c r="B35" i="35" s="1"/>
  <c r="A34" i="35"/>
  <c r="B34" i="35" s="1"/>
  <c r="A33" i="35"/>
  <c r="B33" i="35" s="1"/>
  <c r="A32" i="35"/>
  <c r="B32" i="35" s="1"/>
  <c r="A31" i="35"/>
  <c r="B31" i="35" s="1"/>
  <c r="A30" i="35"/>
  <c r="B30" i="35" s="1"/>
  <c r="A29" i="35"/>
  <c r="B29" i="35" s="1"/>
  <c r="A28" i="35"/>
  <c r="B28" i="35" s="1"/>
  <c r="A27" i="35"/>
  <c r="B27" i="35" s="1"/>
  <c r="A26" i="35"/>
  <c r="B26" i="35" s="1"/>
  <c r="A25" i="35"/>
  <c r="B25" i="35" s="1"/>
  <c r="A24" i="35"/>
  <c r="B24" i="35" s="1"/>
  <c r="A23" i="35"/>
  <c r="B23" i="35" s="1"/>
  <c r="A22" i="35"/>
  <c r="B22" i="35" s="1"/>
  <c r="A21" i="35"/>
  <c r="B21" i="35" s="1"/>
  <c r="A20" i="35"/>
  <c r="B20" i="35" s="1"/>
  <c r="A19" i="35"/>
  <c r="B19" i="35" s="1"/>
  <c r="A18" i="35"/>
  <c r="B18" i="35" s="1"/>
  <c r="A17" i="35"/>
  <c r="B17" i="35" s="1"/>
  <c r="A16" i="35"/>
  <c r="B16" i="35" s="1"/>
  <c r="A15" i="35"/>
  <c r="B15" i="35" s="1"/>
  <c r="A14" i="35"/>
  <c r="B14" i="35" s="1"/>
  <c r="A13" i="35"/>
  <c r="B13" i="35" s="1"/>
  <c r="A12" i="35"/>
  <c r="B12" i="35" s="1"/>
  <c r="A11" i="35"/>
  <c r="B11" i="35" s="1"/>
  <c r="A10" i="35"/>
  <c r="B10" i="35" s="1"/>
  <c r="A9" i="35"/>
  <c r="B9" i="35" s="1"/>
  <c r="A8" i="35"/>
  <c r="B8" i="35" s="1"/>
  <c r="E57" i="32"/>
  <c r="G57" i="32" s="1"/>
  <c r="E56" i="32"/>
  <c r="E55" i="32"/>
  <c r="E54" i="32"/>
  <c r="E53" i="32"/>
  <c r="E52" i="32"/>
  <c r="E51" i="32"/>
  <c r="E50" i="32"/>
  <c r="E49" i="32"/>
  <c r="G49" i="32" s="1"/>
  <c r="E48" i="32"/>
  <c r="G47" i="32"/>
  <c r="F47" i="32"/>
  <c r="A9" i="30"/>
  <c r="B9" i="30" s="1"/>
  <c r="A68" i="30"/>
  <c r="A67" i="30"/>
  <c r="A66" i="30"/>
  <c r="A65" i="30"/>
  <c r="A64" i="30"/>
  <c r="A63" i="30"/>
  <c r="A62" i="30"/>
  <c r="A61" i="30"/>
  <c r="A60" i="30"/>
  <c r="A59" i="30"/>
  <c r="A58" i="30"/>
  <c r="A57" i="30"/>
  <c r="A56" i="30"/>
  <c r="A55" i="30"/>
  <c r="C55" i="30" s="1"/>
  <c r="A54" i="30"/>
  <c r="E54" i="30" s="1"/>
  <c r="A53" i="30"/>
  <c r="C53" i="30" s="1"/>
  <c r="A52" i="30"/>
  <c r="B52" i="30" s="1"/>
  <c r="A51" i="30"/>
  <c r="C51" i="30" s="1"/>
  <c r="A50" i="30"/>
  <c r="E50" i="30" s="1"/>
  <c r="A49" i="30"/>
  <c r="E49" i="30" s="1"/>
  <c r="A48" i="30"/>
  <c r="C48" i="30" s="1"/>
  <c r="A47" i="30"/>
  <c r="E47" i="30" s="1"/>
  <c r="A46" i="30"/>
  <c r="C46" i="30" s="1"/>
  <c r="A45" i="30"/>
  <c r="C45" i="30" s="1"/>
  <c r="A44" i="30"/>
  <c r="C44" i="30" s="1"/>
  <c r="A43" i="30"/>
  <c r="D43" i="30" s="1"/>
  <c r="A42" i="30"/>
  <c r="C42" i="30" s="1"/>
  <c r="A41" i="30"/>
  <c r="B41" i="30" s="1"/>
  <c r="A40" i="30"/>
  <c r="D40" i="30" s="1"/>
  <c r="A39" i="30"/>
  <c r="D39" i="30" s="1"/>
  <c r="A38" i="30"/>
  <c r="B38" i="30" s="1"/>
  <c r="A37" i="30"/>
  <c r="E37" i="30" s="1"/>
  <c r="A36" i="30"/>
  <c r="B36" i="30" s="1"/>
  <c r="A35" i="30"/>
  <c r="B35" i="30" s="1"/>
  <c r="A34" i="30"/>
  <c r="D34" i="30" s="1"/>
  <c r="A33" i="30"/>
  <c r="E33" i="30" s="1"/>
  <c r="A32" i="30"/>
  <c r="C32" i="30" s="1"/>
  <c r="A31" i="30"/>
  <c r="C31" i="30" s="1"/>
  <c r="A30" i="30"/>
  <c r="C30" i="30" s="1"/>
  <c r="A29" i="30"/>
  <c r="E29" i="30" s="1"/>
  <c r="A28" i="30"/>
  <c r="B28" i="30" s="1"/>
  <c r="A27" i="30"/>
  <c r="D27" i="30" s="1"/>
  <c r="A26" i="30"/>
  <c r="C26" i="30" s="1"/>
  <c r="A25" i="30"/>
  <c r="D25" i="30" s="1"/>
  <c r="A24" i="30"/>
  <c r="C24" i="30" s="1"/>
  <c r="A23" i="30"/>
  <c r="D23" i="30" s="1"/>
  <c r="A22" i="30"/>
  <c r="A21" i="30"/>
  <c r="C21" i="30" s="1"/>
  <c r="A20" i="30"/>
  <c r="B20" i="30" s="1"/>
  <c r="A19" i="30"/>
  <c r="D19" i="30" s="1"/>
  <c r="A18" i="30"/>
  <c r="E18" i="30" s="1"/>
  <c r="A17" i="30"/>
  <c r="E17" i="30" s="1"/>
  <c r="A16" i="30"/>
  <c r="A15" i="30"/>
  <c r="E15" i="30" s="1"/>
  <c r="A14" i="30"/>
  <c r="C14" i="30" s="1"/>
  <c r="A13" i="30"/>
  <c r="E13" i="30" s="1"/>
  <c r="A12" i="30"/>
  <c r="D12" i="30" s="1"/>
  <c r="A11" i="30"/>
  <c r="D11" i="30" s="1"/>
  <c r="A10" i="30"/>
  <c r="S19" i="28"/>
  <c r="U19" i="28" s="1"/>
  <c r="S18" i="28"/>
  <c r="U18" i="28" s="1"/>
  <c r="S17" i="28"/>
  <c r="U17" i="28" s="1"/>
  <c r="S16" i="28"/>
  <c r="S15" i="28"/>
  <c r="S14" i="28"/>
  <c r="T14" i="28" s="1"/>
  <c r="S13" i="28"/>
  <c r="U13" i="28" s="1"/>
  <c r="S12" i="28"/>
  <c r="T12" i="28" s="1"/>
  <c r="S11" i="28"/>
  <c r="T11" i="28" s="1"/>
  <c r="S10" i="28"/>
  <c r="U10" i="28" s="1"/>
  <c r="E62" i="27"/>
  <c r="G62" i="27" s="1"/>
  <c r="E61" i="27"/>
  <c r="G61" i="27" s="1"/>
  <c r="E60" i="27"/>
  <c r="G60" i="27" s="1"/>
  <c r="E59" i="27"/>
  <c r="G59" i="27" s="1"/>
  <c r="E58" i="27"/>
  <c r="G58" i="27" s="1"/>
  <c r="E57" i="27"/>
  <c r="G57" i="27" s="1"/>
  <c r="E56" i="27"/>
  <c r="G56" i="27" s="1"/>
  <c r="E55" i="27"/>
  <c r="G55" i="27" s="1"/>
  <c r="E54" i="27"/>
  <c r="G54" i="27" s="1"/>
  <c r="E53" i="27"/>
  <c r="G53" i="27" s="1"/>
  <c r="G52" i="27"/>
  <c r="F52" i="27"/>
  <c r="Q19" i="22"/>
  <c r="S19" i="22" s="1"/>
  <c r="Q18" i="22"/>
  <c r="S18" i="22" s="1"/>
  <c r="Q17" i="22"/>
  <c r="S17" i="22" s="1"/>
  <c r="Q16" i="22"/>
  <c r="R16" i="22" s="1"/>
  <c r="Q15" i="22"/>
  <c r="S15" i="22" s="1"/>
  <c r="Q14" i="22"/>
  <c r="R14" i="22" s="1"/>
  <c r="Q13" i="22"/>
  <c r="S13" i="22" s="1"/>
  <c r="Q12" i="22"/>
  <c r="R12" i="22" s="1"/>
  <c r="Q11" i="22"/>
  <c r="S11" i="22" s="1"/>
  <c r="Q10" i="22"/>
  <c r="S10" i="22" s="1"/>
  <c r="A67" i="18"/>
  <c r="B67" i="18" s="1"/>
  <c r="A66" i="18"/>
  <c r="A65" i="18"/>
  <c r="C65" i="18" s="1"/>
  <c r="A64" i="18"/>
  <c r="C64" i="18" s="1"/>
  <c r="A63" i="18"/>
  <c r="C63" i="18" s="1"/>
  <c r="A62" i="18"/>
  <c r="B62" i="18" s="1"/>
  <c r="A61" i="18"/>
  <c r="C61" i="18" s="1"/>
  <c r="A60" i="18"/>
  <c r="A59" i="18"/>
  <c r="B59" i="18" s="1"/>
  <c r="A58" i="18"/>
  <c r="B58" i="18" s="1"/>
  <c r="A57" i="18"/>
  <c r="C57" i="18" s="1"/>
  <c r="A56" i="18"/>
  <c r="C56" i="18" s="1"/>
  <c r="A55" i="18"/>
  <c r="B55" i="18" s="1"/>
  <c r="A54" i="18"/>
  <c r="B54" i="18" s="1"/>
  <c r="A53" i="18"/>
  <c r="B53" i="18" s="1"/>
  <c r="A52" i="18"/>
  <c r="B52" i="18" s="1"/>
  <c r="A51" i="18"/>
  <c r="C51" i="18" s="1"/>
  <c r="A50" i="18"/>
  <c r="B50" i="18" s="1"/>
  <c r="A49" i="18"/>
  <c r="A48" i="18"/>
  <c r="A47" i="18"/>
  <c r="C47" i="18" s="1"/>
  <c r="A46" i="18"/>
  <c r="C46" i="18" s="1"/>
  <c r="A45" i="18"/>
  <c r="C45" i="18" s="1"/>
  <c r="A44" i="18"/>
  <c r="B44" i="18" s="1"/>
  <c r="A43" i="18"/>
  <c r="B43" i="18" s="1"/>
  <c r="A42" i="18"/>
  <c r="B42" i="18" s="1"/>
  <c r="A41" i="18"/>
  <c r="C41" i="18" s="1"/>
  <c r="A40" i="18"/>
  <c r="B40" i="18" s="1"/>
  <c r="A39" i="18"/>
  <c r="C39" i="18" s="1"/>
  <c r="A38" i="18"/>
  <c r="B38" i="18" s="1"/>
  <c r="A37" i="18"/>
  <c r="B37" i="18" s="1"/>
  <c r="A36" i="18"/>
  <c r="A35" i="18"/>
  <c r="B35" i="18" s="1"/>
  <c r="A34" i="18"/>
  <c r="C34" i="18" s="1"/>
  <c r="A33" i="18"/>
  <c r="C33" i="18" s="1"/>
  <c r="A32" i="18"/>
  <c r="A31" i="18"/>
  <c r="B31" i="18" s="1"/>
  <c r="A30" i="18"/>
  <c r="B30" i="18" s="1"/>
  <c r="A29" i="18"/>
  <c r="C29" i="18" s="1"/>
  <c r="A28" i="18"/>
  <c r="B28" i="18" s="1"/>
  <c r="A27" i="18"/>
  <c r="B27" i="18" s="1"/>
  <c r="A26" i="18"/>
  <c r="B26" i="18" s="1"/>
  <c r="A25" i="18"/>
  <c r="B25" i="18" s="1"/>
  <c r="A24" i="18"/>
  <c r="B24" i="18" s="1"/>
  <c r="A23" i="18"/>
  <c r="B23" i="18" s="1"/>
  <c r="A22" i="18"/>
  <c r="B22" i="18" s="1"/>
  <c r="A21" i="18"/>
  <c r="B21" i="18" s="1"/>
  <c r="A20" i="18"/>
  <c r="B20" i="18" s="1"/>
  <c r="A19" i="18"/>
  <c r="B19" i="18" s="1"/>
  <c r="A18" i="18"/>
  <c r="C18" i="18" s="1"/>
  <c r="A17" i="18"/>
  <c r="A16" i="18"/>
  <c r="B16" i="18" s="1"/>
  <c r="A15" i="18"/>
  <c r="C15" i="18" s="1"/>
  <c r="A14" i="18"/>
  <c r="C14" i="18" s="1"/>
  <c r="A13" i="18"/>
  <c r="B13" i="18" s="1"/>
  <c r="A12" i="18"/>
  <c r="C12" i="18" s="1"/>
  <c r="A11" i="18"/>
  <c r="A10" i="18"/>
  <c r="C10" i="18" s="1"/>
  <c r="A9" i="18"/>
  <c r="C9" i="18" s="1"/>
  <c r="A8" i="18"/>
  <c r="B8" i="18" s="1"/>
  <c r="Q19" i="17"/>
  <c r="S19" i="17" s="1"/>
  <c r="Q18" i="17"/>
  <c r="S18" i="17" s="1"/>
  <c r="Q17" i="17"/>
  <c r="R17" i="17" s="1"/>
  <c r="Q16" i="17"/>
  <c r="R16" i="17" s="1"/>
  <c r="Q15" i="17"/>
  <c r="S15" i="17" s="1"/>
  <c r="Q14" i="17"/>
  <c r="R14" i="17" s="1"/>
  <c r="Q13" i="17"/>
  <c r="S13" i="17" s="1"/>
  <c r="Q12" i="17"/>
  <c r="R12" i="17" s="1"/>
  <c r="Q11" i="17"/>
  <c r="R11" i="17" s="1"/>
  <c r="Q10" i="17"/>
  <c r="S10" i="17" s="1"/>
  <c r="A67" i="13"/>
  <c r="C67" i="13" s="1"/>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C8" i="13" s="1"/>
  <c r="U31" i="16"/>
  <c r="S41" i="16"/>
  <c r="U41" i="16" s="1"/>
  <c r="S40" i="16"/>
  <c r="U40" i="16" s="1"/>
  <c r="S39" i="16"/>
  <c r="U39" i="16" s="1"/>
  <c r="S38" i="16"/>
  <c r="S37" i="16"/>
  <c r="U37" i="16" s="1"/>
  <c r="S36" i="16"/>
  <c r="U36" i="16" s="1"/>
  <c r="S35" i="16"/>
  <c r="U35" i="16" s="1"/>
  <c r="S34" i="16"/>
  <c r="S33" i="16"/>
  <c r="S32" i="16"/>
  <c r="T31" i="16"/>
  <c r="R19" i="12"/>
  <c r="T19" i="12" s="1"/>
  <c r="R18" i="12"/>
  <c r="T18" i="12" s="1"/>
  <c r="R17" i="12"/>
  <c r="T17" i="12" s="1"/>
  <c r="R16" i="12"/>
  <c r="S16" i="12" s="1"/>
  <c r="R15" i="12"/>
  <c r="S15" i="12" s="1"/>
  <c r="R14" i="12"/>
  <c r="T14" i="12" s="1"/>
  <c r="R13" i="12"/>
  <c r="S13" i="12" s="1"/>
  <c r="R12" i="12"/>
  <c r="S12" i="12" s="1"/>
  <c r="R11" i="12"/>
  <c r="S11" i="12" s="1"/>
  <c r="R10" i="12"/>
  <c r="S10" i="12" s="1"/>
  <c r="A59" i="11"/>
  <c r="B59" i="11" s="1"/>
  <c r="A66" i="11"/>
  <c r="B66" i="11" s="1"/>
  <c r="A65" i="11"/>
  <c r="B65" i="11" s="1"/>
  <c r="A64" i="11"/>
  <c r="A63" i="11"/>
  <c r="B63" i="11" s="1"/>
  <c r="A62" i="11"/>
  <c r="B62" i="11" s="1"/>
  <c r="A61" i="11"/>
  <c r="A60" i="11"/>
  <c r="B60" i="11" s="1"/>
  <c r="A58" i="11"/>
  <c r="A57" i="11"/>
  <c r="B57" i="11" s="1"/>
  <c r="A56" i="11"/>
  <c r="B56" i="11" s="1"/>
  <c r="A55" i="11"/>
  <c r="A54" i="11"/>
  <c r="B54" i="11" s="1"/>
  <c r="A53" i="11"/>
  <c r="B53" i="11" s="1"/>
  <c r="A52" i="11"/>
  <c r="A51" i="11"/>
  <c r="B51" i="11" s="1"/>
  <c r="A50" i="11"/>
  <c r="B50" i="11" s="1"/>
  <c r="A49" i="11"/>
  <c r="A48" i="11"/>
  <c r="B48" i="11" s="1"/>
  <c r="A47" i="11"/>
  <c r="B47" i="11" s="1"/>
  <c r="A46" i="11"/>
  <c r="B46" i="11" s="1"/>
  <c r="A45" i="11"/>
  <c r="B45" i="11" s="1"/>
  <c r="A44" i="11"/>
  <c r="B44" i="11" s="1"/>
  <c r="A43" i="11"/>
  <c r="B43" i="11" s="1"/>
  <c r="A42" i="11"/>
  <c r="B42" i="11" s="1"/>
  <c r="A41" i="11"/>
  <c r="B41" i="11" s="1"/>
  <c r="A40" i="11"/>
  <c r="B40" i="11" s="1"/>
  <c r="A39" i="11"/>
  <c r="B39" i="11" s="1"/>
  <c r="A38" i="11"/>
  <c r="B38" i="11" s="1"/>
  <c r="A37" i="11"/>
  <c r="B37" i="11" s="1"/>
  <c r="A36" i="11"/>
  <c r="B36" i="11" s="1"/>
  <c r="A35" i="11"/>
  <c r="B35" i="11" s="1"/>
  <c r="A34" i="11"/>
  <c r="B34" i="11" s="1"/>
  <c r="A33" i="11"/>
  <c r="B33" i="11" s="1"/>
  <c r="A32" i="11"/>
  <c r="B32" i="11" s="1"/>
  <c r="A31" i="11"/>
  <c r="B31" i="11" s="1"/>
  <c r="A30" i="11"/>
  <c r="B30" i="11" s="1"/>
  <c r="A29" i="11"/>
  <c r="B29" i="11" s="1"/>
  <c r="A28" i="11"/>
  <c r="B28" i="11" s="1"/>
  <c r="A27" i="11"/>
  <c r="B27" i="11" s="1"/>
  <c r="A26" i="11"/>
  <c r="B26" i="11" s="1"/>
  <c r="A25" i="11"/>
  <c r="B25" i="11" s="1"/>
  <c r="A24" i="11"/>
  <c r="B24" i="11" s="1"/>
  <c r="A23" i="11"/>
  <c r="B23" i="11" s="1"/>
  <c r="A22" i="11"/>
  <c r="B22" i="11" s="1"/>
  <c r="A21" i="11"/>
  <c r="B21" i="11" s="1"/>
  <c r="A20" i="11"/>
  <c r="B20" i="11" s="1"/>
  <c r="A19" i="11"/>
  <c r="B19" i="11" s="1"/>
  <c r="A18" i="11"/>
  <c r="B18" i="11" s="1"/>
  <c r="A17" i="11"/>
  <c r="B17" i="11" s="1"/>
  <c r="A16" i="11"/>
  <c r="B16" i="11" s="1"/>
  <c r="A15" i="11"/>
  <c r="B15" i="11" s="1"/>
  <c r="A14" i="11"/>
  <c r="B14" i="11" s="1"/>
  <c r="A13" i="11"/>
  <c r="A12" i="11"/>
  <c r="B12" i="11" s="1"/>
  <c r="A11" i="11"/>
  <c r="B11" i="11" s="1"/>
  <c r="A10" i="11"/>
  <c r="A9" i="11"/>
  <c r="B9" i="11" s="1"/>
  <c r="A8" i="11"/>
  <c r="B8" i="11" s="1"/>
  <c r="U31" i="5"/>
  <c r="T31" i="5"/>
  <c r="S38" i="5"/>
  <c r="S41" i="5"/>
  <c r="S40" i="5"/>
  <c r="S39" i="5"/>
  <c r="S37" i="5"/>
  <c r="S36" i="5"/>
  <c r="S35" i="5"/>
  <c r="S34" i="5"/>
  <c r="S33" i="5"/>
  <c r="U33" i="5" s="1"/>
  <c r="S32" i="5"/>
  <c r="S20" i="2"/>
  <c r="S19" i="2"/>
  <c r="S18" i="2"/>
  <c r="S17" i="2"/>
  <c r="S16" i="2"/>
  <c r="S15" i="2"/>
  <c r="S14" i="2"/>
  <c r="S13" i="2"/>
  <c r="S12" i="2"/>
  <c r="S11" i="2"/>
  <c r="D16" i="50"/>
  <c r="D11" i="50"/>
  <c r="B16" i="50"/>
  <c r="F8" i="50"/>
  <c r="F9" i="50"/>
  <c r="D8" i="50"/>
  <c r="F16" i="50"/>
  <c r="E11" i="50"/>
  <c r="E75" i="50"/>
  <c r="F11" i="50"/>
  <c r="C9" i="50"/>
  <c r="D9" i="50"/>
  <c r="B9" i="50"/>
  <c r="E9" i="50"/>
  <c r="C11" i="50"/>
  <c r="E16" i="50"/>
  <c r="S44" i="61"/>
  <c r="C8" i="50"/>
  <c r="C16" i="50"/>
  <c r="B8" i="50"/>
  <c r="E8" i="50"/>
  <c r="B11" i="50"/>
  <c r="C74" i="60" l="1"/>
  <c r="C69" i="60"/>
  <c r="C68" i="60"/>
  <c r="C70" i="60"/>
  <c r="C72" i="60"/>
  <c r="C66" i="60"/>
  <c r="C71" i="60"/>
  <c r="C59" i="60"/>
  <c r="C73" i="60"/>
  <c r="C62" i="60"/>
  <c r="C67" i="60"/>
  <c r="C65" i="60"/>
  <c r="C79" i="60"/>
  <c r="C77" i="60"/>
  <c r="C61" i="60"/>
  <c r="C76" i="60"/>
  <c r="C63" i="60"/>
  <c r="C60" i="60"/>
  <c r="C75" i="60"/>
  <c r="C78" i="60"/>
  <c r="C64" i="60"/>
  <c r="C80" i="60"/>
  <c r="B83" i="60"/>
  <c r="B85" i="60" s="1"/>
  <c r="AH64" i="51"/>
  <c r="AG64" i="51"/>
  <c r="AH64" i="62"/>
  <c r="AH66" i="62" s="1"/>
  <c r="AG64" i="62"/>
  <c r="AD54" i="51"/>
  <c r="AD53" i="51" s="1"/>
  <c r="AH54" i="51"/>
  <c r="AH53" i="51" s="1"/>
  <c r="AG54" i="62"/>
  <c r="AH54" i="62"/>
  <c r="AH56" i="51"/>
  <c r="AH56" i="62"/>
  <c r="AG56" i="62"/>
  <c r="AG56" i="51"/>
  <c r="AH42" i="51"/>
  <c r="AG42" i="51"/>
  <c r="AH42" i="62"/>
  <c r="AG42" i="62"/>
  <c r="AG18" i="51"/>
  <c r="AG18" i="62"/>
  <c r="AH17" i="51"/>
  <c r="AH17" i="62"/>
  <c r="AG17" i="51"/>
  <c r="AG17" i="62"/>
  <c r="AH19" i="62"/>
  <c r="AH19" i="51"/>
  <c r="AH18" i="62"/>
  <c r="AG19" i="51"/>
  <c r="AG19" i="62"/>
  <c r="AH18" i="51"/>
  <c r="I15" i="49" s="1"/>
  <c r="AG13" i="62"/>
  <c r="AH12" i="62"/>
  <c r="AG12" i="62"/>
  <c r="AH13" i="51"/>
  <c r="AH13" i="62"/>
  <c r="AG13" i="51"/>
  <c r="AE12" i="62"/>
  <c r="AH12" i="51"/>
  <c r="AG12" i="51"/>
  <c r="AG14" i="51" s="1"/>
  <c r="BJ140" i="48"/>
  <c r="BJ32" i="48"/>
  <c r="BJ160" i="48"/>
  <c r="BK48" i="48"/>
  <c r="BK148" i="48"/>
  <c r="BK180" i="48"/>
  <c r="BJ34" i="48"/>
  <c r="BJ217" i="48"/>
  <c r="B75" i="32"/>
  <c r="G56" i="32" s="1"/>
  <c r="AE56" i="51"/>
  <c r="AF56" i="51"/>
  <c r="B68" i="27"/>
  <c r="AF54" i="51"/>
  <c r="AF53" i="51" s="1"/>
  <c r="B135" i="21"/>
  <c r="AF42" i="51"/>
  <c r="AE42" i="51"/>
  <c r="AE64" i="51"/>
  <c r="AF64" i="51"/>
  <c r="AF66" i="51" s="1"/>
  <c r="S50" i="12"/>
  <c r="T50" i="12"/>
  <c r="B46" i="56"/>
  <c r="D46" i="56"/>
  <c r="F46" i="56"/>
  <c r="AF17" i="51"/>
  <c r="AE18" i="51"/>
  <c r="AF19" i="51"/>
  <c r="AF18" i="51"/>
  <c r="AE19" i="51"/>
  <c r="AE17" i="51"/>
  <c r="B65" i="5"/>
  <c r="AF12" i="51"/>
  <c r="AE13" i="51"/>
  <c r="AF13" i="51"/>
  <c r="AE12" i="51"/>
  <c r="V57" i="2"/>
  <c r="U57" i="2"/>
  <c r="V58" i="2"/>
  <c r="U58" i="2"/>
  <c r="V59" i="2"/>
  <c r="U59" i="2"/>
  <c r="V60" i="2"/>
  <c r="U60" i="2"/>
  <c r="V56" i="2"/>
  <c r="U56" i="2"/>
  <c r="E9" i="51"/>
  <c r="BK81" i="48"/>
  <c r="BK52" i="48"/>
  <c r="BK56" i="48"/>
  <c r="BK108" i="48"/>
  <c r="BK32" i="48"/>
  <c r="BK160" i="48"/>
  <c r="V36" i="2"/>
  <c r="V37" i="2"/>
  <c r="V38" i="2"/>
  <c r="V39" i="2"/>
  <c r="V40" i="2"/>
  <c r="V41" i="2"/>
  <c r="V42" i="2"/>
  <c r="V43" i="2"/>
  <c r="V44" i="2"/>
  <c r="V45" i="2"/>
  <c r="V46" i="2"/>
  <c r="V47" i="2"/>
  <c r="V48" i="2"/>
  <c r="V49" i="2"/>
  <c r="V50" i="2"/>
  <c r="V51" i="2"/>
  <c r="V52" i="2"/>
  <c r="V53" i="2"/>
  <c r="V54" i="2"/>
  <c r="V55" i="2"/>
  <c r="BK136" i="48"/>
  <c r="BK212" i="48"/>
  <c r="B59" i="40"/>
  <c r="AC70" i="51"/>
  <c r="AD69" i="51"/>
  <c r="AD70" i="51"/>
  <c r="AF69" i="62"/>
  <c r="E63" i="49" s="1"/>
  <c r="AE69" i="62"/>
  <c r="C63" i="49" s="1"/>
  <c r="AC69" i="51"/>
  <c r="AE70" i="62"/>
  <c r="AF70" i="62"/>
  <c r="V40" i="48"/>
  <c r="BK34" i="48"/>
  <c r="BK139" i="48"/>
  <c r="BK217" i="48"/>
  <c r="BK14" i="48"/>
  <c r="BK112" i="48"/>
  <c r="BK197" i="48"/>
  <c r="AY50" i="6"/>
  <c r="B49" i="11"/>
  <c r="AY53" i="6"/>
  <c r="B52" i="11"/>
  <c r="AY56" i="6"/>
  <c r="B55" i="11"/>
  <c r="AY59" i="6"/>
  <c r="B58" i="11"/>
  <c r="AY62" i="6"/>
  <c r="B61" i="11"/>
  <c r="AY65" i="6"/>
  <c r="B64" i="11"/>
  <c r="AC56" i="62"/>
  <c r="AF56" i="62"/>
  <c r="AE56" i="62"/>
  <c r="AD56" i="51"/>
  <c r="AC56" i="51"/>
  <c r="B74" i="32"/>
  <c r="G55" i="32" s="1"/>
  <c r="AC54" i="62"/>
  <c r="AF54" i="62"/>
  <c r="AE54" i="62"/>
  <c r="B60" i="27"/>
  <c r="B66" i="27"/>
  <c r="B61" i="27"/>
  <c r="B62" i="27"/>
  <c r="B63" i="27"/>
  <c r="B67" i="27"/>
  <c r="F62" i="27" s="1"/>
  <c r="B64" i="27"/>
  <c r="B65" i="27"/>
  <c r="AC42" i="62"/>
  <c r="AF42" i="62"/>
  <c r="AE42" i="62"/>
  <c r="C36" i="49" s="1"/>
  <c r="AC64" i="62"/>
  <c r="AF64" i="62"/>
  <c r="AE64" i="62"/>
  <c r="C58" i="49" s="1"/>
  <c r="AC64" i="51"/>
  <c r="AD64" i="51"/>
  <c r="AD66" i="51" s="1"/>
  <c r="AC17" i="62"/>
  <c r="AC18" i="62"/>
  <c r="AC19" i="62"/>
  <c r="AE19" i="62"/>
  <c r="AE17" i="62"/>
  <c r="AF18" i="62"/>
  <c r="AE18" i="62"/>
  <c r="AF17" i="62"/>
  <c r="AF19" i="62"/>
  <c r="AC18" i="51"/>
  <c r="AC17" i="51"/>
  <c r="AD17" i="51"/>
  <c r="D45" i="56"/>
  <c r="B45" i="56"/>
  <c r="AC19" i="51"/>
  <c r="AD18" i="51"/>
  <c r="AD19" i="51"/>
  <c r="F45" i="56"/>
  <c r="V11" i="2"/>
  <c r="U11" i="2"/>
  <c r="U12" i="2"/>
  <c r="V12" i="2"/>
  <c r="U20" i="2"/>
  <c r="U13" i="2"/>
  <c r="V13" i="2"/>
  <c r="V15" i="2"/>
  <c r="U15" i="2"/>
  <c r="AC12" i="62"/>
  <c r="AC13" i="62"/>
  <c r="AE13" i="62"/>
  <c r="AF13" i="62"/>
  <c r="AF12" i="62"/>
  <c r="Z13" i="51"/>
  <c r="Z14" i="51" s="1"/>
  <c r="R13" i="51"/>
  <c r="J13" i="51"/>
  <c r="E13" i="62"/>
  <c r="M13" i="62"/>
  <c r="U13" i="62"/>
  <c r="Y13" i="51"/>
  <c r="Y14" i="51" s="1"/>
  <c r="Q13" i="51"/>
  <c r="I13" i="51"/>
  <c r="F13" i="62"/>
  <c r="N13" i="62"/>
  <c r="V13" i="62"/>
  <c r="D13" i="62"/>
  <c r="X13" i="51"/>
  <c r="P13" i="51"/>
  <c r="H13" i="51"/>
  <c r="G13" i="62"/>
  <c r="O13" i="62"/>
  <c r="W13" i="62"/>
  <c r="C13" i="62"/>
  <c r="W13" i="51"/>
  <c r="O13" i="51"/>
  <c r="G13" i="51"/>
  <c r="H13" i="62"/>
  <c r="P13" i="62"/>
  <c r="X13" i="62"/>
  <c r="Y13" i="62"/>
  <c r="AD13" i="51"/>
  <c r="V13" i="51"/>
  <c r="N13" i="51"/>
  <c r="F13" i="51"/>
  <c r="I13" i="62"/>
  <c r="Q13" i="62"/>
  <c r="AD13" i="62"/>
  <c r="AC13" i="51"/>
  <c r="U13" i="51"/>
  <c r="M13" i="51"/>
  <c r="E13" i="51"/>
  <c r="J13" i="62"/>
  <c r="R13" i="62"/>
  <c r="Z13" i="62"/>
  <c r="AB13" i="51"/>
  <c r="T13" i="51"/>
  <c r="L13" i="51"/>
  <c r="D13" i="51"/>
  <c r="K13" i="62"/>
  <c r="S13" i="62"/>
  <c r="AA13" i="62"/>
  <c r="AA13" i="51"/>
  <c r="S13" i="51"/>
  <c r="K13" i="51"/>
  <c r="C13" i="51"/>
  <c r="L13" i="62"/>
  <c r="T13" i="62"/>
  <c r="AB13" i="62"/>
  <c r="X12" i="51"/>
  <c r="U36" i="2"/>
  <c r="U37" i="2"/>
  <c r="U38" i="2"/>
  <c r="U39" i="2"/>
  <c r="U40" i="2"/>
  <c r="U41" i="2"/>
  <c r="U42" i="2"/>
  <c r="U43" i="2"/>
  <c r="U44" i="2"/>
  <c r="U45" i="2"/>
  <c r="U46" i="2"/>
  <c r="U47" i="2"/>
  <c r="U48" i="2"/>
  <c r="U49" i="2"/>
  <c r="U50" i="2"/>
  <c r="U51" i="2"/>
  <c r="U52" i="2"/>
  <c r="U53" i="2"/>
  <c r="U54" i="2"/>
  <c r="U55" i="2"/>
  <c r="V14" i="2"/>
  <c r="U14" i="2"/>
  <c r="U16" i="2"/>
  <c r="V16" i="2"/>
  <c r="U17" i="2"/>
  <c r="V17" i="2"/>
  <c r="V18" i="2"/>
  <c r="U18" i="2"/>
  <c r="V19" i="2"/>
  <c r="U19" i="2"/>
  <c r="C56" i="30"/>
  <c r="D56" i="30"/>
  <c r="E56" i="30"/>
  <c r="B56" i="30"/>
  <c r="D64" i="30"/>
  <c r="C64" i="30"/>
  <c r="E64" i="30"/>
  <c r="B64" i="30"/>
  <c r="B57" i="30"/>
  <c r="C57" i="30"/>
  <c r="D57" i="30"/>
  <c r="E57" i="30"/>
  <c r="C65" i="30"/>
  <c r="B65" i="30"/>
  <c r="D65" i="30"/>
  <c r="E65" i="30"/>
  <c r="D58" i="30"/>
  <c r="B58" i="30"/>
  <c r="E58" i="30"/>
  <c r="C58" i="30"/>
  <c r="D66" i="30"/>
  <c r="E66" i="30"/>
  <c r="B66" i="30"/>
  <c r="C66" i="30"/>
  <c r="C59" i="30"/>
  <c r="B59" i="30"/>
  <c r="D59" i="30"/>
  <c r="E59" i="30"/>
  <c r="C67" i="30"/>
  <c r="B67" i="30"/>
  <c r="D67" i="30"/>
  <c r="E67" i="30"/>
  <c r="D60" i="30"/>
  <c r="E60" i="30"/>
  <c r="B60" i="30"/>
  <c r="C60" i="30"/>
  <c r="D68" i="30"/>
  <c r="B68" i="30"/>
  <c r="E68" i="30"/>
  <c r="C68" i="30"/>
  <c r="B61" i="30"/>
  <c r="C61" i="30"/>
  <c r="D61" i="30"/>
  <c r="E61" i="30"/>
  <c r="D62" i="30"/>
  <c r="E62" i="30"/>
  <c r="B62" i="30"/>
  <c r="C62" i="30"/>
  <c r="B63" i="30"/>
  <c r="C63" i="30"/>
  <c r="D63" i="30"/>
  <c r="E63" i="30"/>
  <c r="AD12" i="51"/>
  <c r="AC12" i="51"/>
  <c r="B64" i="5"/>
  <c r="C64" i="5" s="1"/>
  <c r="AD42" i="51"/>
  <c r="AC42" i="51"/>
  <c r="B134" i="21"/>
  <c r="L11" i="54"/>
  <c r="N11" i="54"/>
  <c r="AY29" i="6"/>
  <c r="AY47" i="6"/>
  <c r="AY32" i="6"/>
  <c r="AY23" i="6"/>
  <c r="AY17" i="6"/>
  <c r="AY41" i="6"/>
  <c r="AY26" i="6"/>
  <c r="B10" i="11"/>
  <c r="AY11" i="6"/>
  <c r="AY35" i="6"/>
  <c r="AY44" i="6"/>
  <c r="AY20" i="6"/>
  <c r="B13" i="11"/>
  <c r="AY14" i="6"/>
  <c r="AY38" i="6"/>
  <c r="A247" i="52"/>
  <c r="A239" i="52"/>
  <c r="A231" i="52"/>
  <c r="A223" i="52"/>
  <c r="A215" i="52"/>
  <c r="A207" i="52"/>
  <c r="A199" i="52"/>
  <c r="A191" i="52"/>
  <c r="A183" i="52"/>
  <c r="A175" i="52"/>
  <c r="A167" i="52"/>
  <c r="A159" i="52"/>
  <c r="A151" i="52"/>
  <c r="A143" i="52"/>
  <c r="A135" i="52"/>
  <c r="A127" i="52"/>
  <c r="A119" i="52"/>
  <c r="A111" i="52"/>
  <c r="A103" i="52"/>
  <c r="A73" i="52"/>
  <c r="A65" i="52"/>
  <c r="A57" i="52"/>
  <c r="A49" i="52"/>
  <c r="A41" i="52"/>
  <c r="A33" i="52"/>
  <c r="A25" i="52"/>
  <c r="A17" i="52"/>
  <c r="E19" i="62"/>
  <c r="G17" i="62"/>
  <c r="M18" i="62"/>
  <c r="S19" i="62"/>
  <c r="W17" i="62"/>
  <c r="E18" i="62"/>
  <c r="I19" i="62"/>
  <c r="M17" i="62"/>
  <c r="S18" i="62"/>
  <c r="Y19" i="62"/>
  <c r="E17" i="62"/>
  <c r="I18" i="62"/>
  <c r="O19" i="62"/>
  <c r="S17" i="62"/>
  <c r="Y18" i="62"/>
  <c r="AD17" i="62"/>
  <c r="C19" i="62"/>
  <c r="I17" i="62"/>
  <c r="O18" i="62"/>
  <c r="U19" i="62"/>
  <c r="Y17" i="62"/>
  <c r="W18" i="62"/>
  <c r="C18" i="62"/>
  <c r="K19" i="62"/>
  <c r="O17" i="62"/>
  <c r="U18" i="62"/>
  <c r="AA19" i="62"/>
  <c r="Q17" i="62"/>
  <c r="C17" i="62"/>
  <c r="K18" i="62"/>
  <c r="Q19" i="62"/>
  <c r="U17" i="62"/>
  <c r="AA18" i="62"/>
  <c r="M19" i="62"/>
  <c r="G19" i="62"/>
  <c r="K17" i="62"/>
  <c r="Q18" i="62"/>
  <c r="W19" i="62"/>
  <c r="AA17" i="62"/>
  <c r="G18" i="62"/>
  <c r="A245" i="52"/>
  <c r="A237" i="52"/>
  <c r="A229" i="52"/>
  <c r="A221" i="52"/>
  <c r="A213" i="52"/>
  <c r="A205" i="52"/>
  <c r="A197" i="52"/>
  <c r="A189" i="52"/>
  <c r="A181" i="52"/>
  <c r="A173" i="52"/>
  <c r="A165" i="52"/>
  <c r="A157" i="52"/>
  <c r="A149" i="52"/>
  <c r="A141" i="52"/>
  <c r="A133" i="52"/>
  <c r="A125" i="52"/>
  <c r="A117" i="52"/>
  <c r="A109" i="52"/>
  <c r="A101" i="52"/>
  <c r="A71" i="52"/>
  <c r="A63" i="52"/>
  <c r="A55" i="52"/>
  <c r="A47" i="52"/>
  <c r="A39" i="52"/>
  <c r="A31" i="52"/>
  <c r="A23" i="52"/>
  <c r="A15" i="52"/>
  <c r="AC69" i="62"/>
  <c r="AD70" i="62"/>
  <c r="AC70" i="62"/>
  <c r="AD69" i="62"/>
  <c r="A9" i="52"/>
  <c r="A243" i="52"/>
  <c r="A235" i="52"/>
  <c r="A227" i="52"/>
  <c r="A219" i="52"/>
  <c r="A211" i="52"/>
  <c r="A203" i="52"/>
  <c r="A195" i="52"/>
  <c r="A187" i="52"/>
  <c r="A179" i="52"/>
  <c r="A171" i="52"/>
  <c r="A163" i="52"/>
  <c r="A155" i="52"/>
  <c r="A147" i="52"/>
  <c r="A139" i="52"/>
  <c r="A131" i="52"/>
  <c r="A123" i="52"/>
  <c r="A115" i="52"/>
  <c r="A107" i="52"/>
  <c r="A77" i="52"/>
  <c r="A69" i="52"/>
  <c r="A61" i="52"/>
  <c r="A53" i="52"/>
  <c r="A45" i="52"/>
  <c r="A37" i="52"/>
  <c r="A29" i="52"/>
  <c r="A21" i="52"/>
  <c r="A13" i="52"/>
  <c r="A249" i="52"/>
  <c r="A241" i="52"/>
  <c r="A233" i="52"/>
  <c r="A225" i="52"/>
  <c r="A217" i="52"/>
  <c r="A209" i="52"/>
  <c r="A201" i="52"/>
  <c r="A193" i="52"/>
  <c r="A185" i="52"/>
  <c r="A177" i="52"/>
  <c r="A169" i="52"/>
  <c r="A161" i="52"/>
  <c r="A153" i="52"/>
  <c r="A145" i="52"/>
  <c r="A137" i="52"/>
  <c r="A129" i="52"/>
  <c r="A121" i="52"/>
  <c r="A113" i="52"/>
  <c r="A105" i="52"/>
  <c r="A75" i="52"/>
  <c r="A67" i="52"/>
  <c r="A59" i="52"/>
  <c r="A51" i="52"/>
  <c r="A43" i="52"/>
  <c r="A35" i="52"/>
  <c r="A27" i="52"/>
  <c r="A19" i="52"/>
  <c r="A11" i="52"/>
  <c r="AD54" i="62"/>
  <c r="AB54" i="51"/>
  <c r="AB53" i="51" s="1"/>
  <c r="AD42" i="62"/>
  <c r="Y42" i="62"/>
  <c r="Z42" i="62"/>
  <c r="AD64" i="62"/>
  <c r="B58" i="16"/>
  <c r="AA64" i="51"/>
  <c r="AD19" i="62"/>
  <c r="AD18" i="62"/>
  <c r="AD12" i="62"/>
  <c r="B63" i="5"/>
  <c r="C63" i="5" s="1"/>
  <c r="AD56" i="62"/>
  <c r="Q9" i="44"/>
  <c r="Q10" i="44"/>
  <c r="T19" i="28"/>
  <c r="B57" i="40"/>
  <c r="AB69" i="51"/>
  <c r="B52" i="40"/>
  <c r="B56" i="40"/>
  <c r="B58" i="40"/>
  <c r="AA69" i="51"/>
  <c r="B41" i="40"/>
  <c r="B44" i="40"/>
  <c r="B47" i="40"/>
  <c r="B55" i="40"/>
  <c r="U45" i="40" s="1"/>
  <c r="B48" i="40"/>
  <c r="Z70" i="51"/>
  <c r="B49" i="40"/>
  <c r="B45" i="40"/>
  <c r="B43" i="40"/>
  <c r="B51" i="40"/>
  <c r="B53" i="40"/>
  <c r="Y70" i="51"/>
  <c r="B42" i="40"/>
  <c r="B46" i="40"/>
  <c r="Y69" i="51"/>
  <c r="B50" i="40"/>
  <c r="B54" i="40"/>
  <c r="U44" i="40" s="1"/>
  <c r="Z69" i="51"/>
  <c r="AB70" i="51"/>
  <c r="AA70" i="51"/>
  <c r="AA54" i="62"/>
  <c r="B56" i="27"/>
  <c r="B51" i="27"/>
  <c r="B49" i="27"/>
  <c r="B55" i="27"/>
  <c r="B50" i="27"/>
  <c r="B54" i="27"/>
  <c r="B53" i="27"/>
  <c r="B58" i="27"/>
  <c r="B52" i="27"/>
  <c r="B59" i="27"/>
  <c r="B57" i="27"/>
  <c r="D54" i="51"/>
  <c r="T54" i="51"/>
  <c r="J54" i="51"/>
  <c r="F54" i="51"/>
  <c r="V54" i="51"/>
  <c r="P54" i="51"/>
  <c r="H54" i="51"/>
  <c r="X54" i="51"/>
  <c r="X53" i="51" s="1"/>
  <c r="R54" i="51"/>
  <c r="L54" i="51"/>
  <c r="N54" i="51"/>
  <c r="B73" i="32"/>
  <c r="G54" i="32" s="1"/>
  <c r="AA56" i="51"/>
  <c r="AB56" i="51"/>
  <c r="B64" i="32"/>
  <c r="B56" i="32"/>
  <c r="B62" i="32"/>
  <c r="B59" i="32"/>
  <c r="B65" i="32"/>
  <c r="B71" i="32"/>
  <c r="B63" i="32"/>
  <c r="B70" i="32"/>
  <c r="B67" i="32"/>
  <c r="B58" i="32"/>
  <c r="B69" i="32"/>
  <c r="B61" i="32"/>
  <c r="B68" i="32"/>
  <c r="B60" i="32"/>
  <c r="B66" i="32"/>
  <c r="B57" i="32"/>
  <c r="AB12" i="51"/>
  <c r="AA12" i="51"/>
  <c r="P12" i="54"/>
  <c r="B44" i="56"/>
  <c r="D44" i="56"/>
  <c r="F44" i="56"/>
  <c r="AA17" i="51"/>
  <c r="AB19" i="51"/>
  <c r="AA18" i="51"/>
  <c r="AA19" i="51"/>
  <c r="AB18" i="51"/>
  <c r="F34" i="56"/>
  <c r="F42" i="56"/>
  <c r="D34" i="56"/>
  <c r="D42" i="56"/>
  <c r="B34" i="56"/>
  <c r="B42" i="56"/>
  <c r="D35" i="56"/>
  <c r="B35" i="56"/>
  <c r="B30" i="56"/>
  <c r="D31" i="56"/>
  <c r="B39" i="56"/>
  <c r="D40" i="56"/>
  <c r="F41" i="56"/>
  <c r="B41" i="56"/>
  <c r="F35" i="56"/>
  <c r="F43" i="56"/>
  <c r="D43" i="56"/>
  <c r="B43" i="56"/>
  <c r="F39" i="56"/>
  <c r="D32" i="56"/>
  <c r="F33" i="56"/>
  <c r="B33" i="56"/>
  <c r="F28" i="56"/>
  <c r="F36" i="56"/>
  <c r="D28" i="56"/>
  <c r="D36" i="56"/>
  <c r="B28" i="56"/>
  <c r="B36" i="56"/>
  <c r="F30" i="56"/>
  <c r="D30" i="56"/>
  <c r="F31" i="56"/>
  <c r="B31" i="56"/>
  <c r="F40" i="56"/>
  <c r="B40" i="56"/>
  <c r="D41" i="56"/>
  <c r="F29" i="56"/>
  <c r="F37" i="56"/>
  <c r="D29" i="56"/>
  <c r="D37" i="56"/>
  <c r="B29" i="56"/>
  <c r="B37" i="56"/>
  <c r="F38" i="56"/>
  <c r="D38" i="56"/>
  <c r="B38" i="56"/>
  <c r="D39" i="56"/>
  <c r="F32" i="56"/>
  <c r="B32" i="56"/>
  <c r="D33" i="56"/>
  <c r="Q19" i="54"/>
  <c r="Z64" i="51"/>
  <c r="Z66" i="51" s="1"/>
  <c r="Y64" i="51"/>
  <c r="AB64" i="51"/>
  <c r="AB66" i="51" s="1"/>
  <c r="B133" i="21"/>
  <c r="AA42" i="51"/>
  <c r="AB42" i="51"/>
  <c r="B116" i="21"/>
  <c r="B124" i="21"/>
  <c r="B120" i="21"/>
  <c r="B121" i="21"/>
  <c r="B130" i="21"/>
  <c r="R11" i="21" s="1"/>
  <c r="B117" i="21"/>
  <c r="B125" i="21"/>
  <c r="B119" i="21"/>
  <c r="B128" i="21"/>
  <c r="B122" i="21"/>
  <c r="B131" i="21"/>
  <c r="B118" i="21"/>
  <c r="B126" i="21"/>
  <c r="B127" i="21"/>
  <c r="B129" i="21"/>
  <c r="B123" i="21"/>
  <c r="A78" i="52"/>
  <c r="E58" i="34"/>
  <c r="B49" i="53"/>
  <c r="B45" i="5"/>
  <c r="B53" i="5"/>
  <c r="B61" i="5"/>
  <c r="C61" i="5" s="1"/>
  <c r="U36" i="5" s="1"/>
  <c r="B55" i="5"/>
  <c r="B56" i="5"/>
  <c r="B50" i="5"/>
  <c r="B46" i="5"/>
  <c r="B54" i="5"/>
  <c r="B47" i="5"/>
  <c r="B48" i="5"/>
  <c r="B57" i="5"/>
  <c r="B58" i="5"/>
  <c r="B51" i="5"/>
  <c r="B59" i="5"/>
  <c r="B52" i="5"/>
  <c r="B60" i="5"/>
  <c r="B49" i="5"/>
  <c r="B17" i="13"/>
  <c r="C17" i="13"/>
  <c r="B15" i="13"/>
  <c r="C15" i="13"/>
  <c r="B23" i="13"/>
  <c r="C23" i="13"/>
  <c r="B31" i="13"/>
  <c r="C31" i="13"/>
  <c r="B39" i="13"/>
  <c r="C39" i="13"/>
  <c r="B47" i="13"/>
  <c r="C47" i="13"/>
  <c r="B55" i="13"/>
  <c r="C55" i="13"/>
  <c r="B63" i="13"/>
  <c r="C63" i="13"/>
  <c r="B8" i="13"/>
  <c r="B16" i="13"/>
  <c r="C16" i="13"/>
  <c r="B24" i="13"/>
  <c r="C24" i="13"/>
  <c r="B32" i="13"/>
  <c r="C32" i="13"/>
  <c r="B40" i="13"/>
  <c r="C40" i="13"/>
  <c r="B48" i="13"/>
  <c r="C48" i="13"/>
  <c r="B56" i="13"/>
  <c r="C56" i="13"/>
  <c r="B64" i="13"/>
  <c r="C64" i="13"/>
  <c r="B33" i="13"/>
  <c r="C33" i="13"/>
  <c r="B65" i="13"/>
  <c r="C65" i="13"/>
  <c r="B10" i="13"/>
  <c r="C10" i="13"/>
  <c r="B34" i="13"/>
  <c r="C34" i="13"/>
  <c r="B58" i="13"/>
  <c r="C58" i="13"/>
  <c r="B19" i="13"/>
  <c r="C19" i="13"/>
  <c r="B43" i="13"/>
  <c r="C43" i="13"/>
  <c r="B67" i="13"/>
  <c r="B12" i="13"/>
  <c r="C12" i="13"/>
  <c r="B20" i="13"/>
  <c r="C20" i="13"/>
  <c r="B28" i="13"/>
  <c r="C28" i="13"/>
  <c r="B36" i="13"/>
  <c r="C36" i="13"/>
  <c r="B44" i="13"/>
  <c r="C44" i="13"/>
  <c r="B52" i="13"/>
  <c r="C52" i="13"/>
  <c r="B60" i="13"/>
  <c r="C60" i="13"/>
  <c r="B25" i="13"/>
  <c r="C25" i="13"/>
  <c r="B57" i="13"/>
  <c r="C57" i="13"/>
  <c r="B26" i="13"/>
  <c r="C26" i="13"/>
  <c r="B50" i="13"/>
  <c r="C50" i="13"/>
  <c r="B35" i="13"/>
  <c r="C35" i="13"/>
  <c r="B59" i="13"/>
  <c r="C59" i="13"/>
  <c r="B13" i="13"/>
  <c r="C13" i="13"/>
  <c r="B21" i="13"/>
  <c r="C21" i="13"/>
  <c r="B29" i="13"/>
  <c r="C29" i="13"/>
  <c r="B37" i="13"/>
  <c r="C37" i="13"/>
  <c r="B45" i="13"/>
  <c r="C45" i="13"/>
  <c r="B53" i="13"/>
  <c r="C53" i="13"/>
  <c r="B61" i="13"/>
  <c r="C61" i="13"/>
  <c r="B9" i="13"/>
  <c r="C9" i="13"/>
  <c r="B41" i="13"/>
  <c r="C41" i="13"/>
  <c r="B49" i="13"/>
  <c r="C49" i="13"/>
  <c r="B18" i="13"/>
  <c r="C18" i="13"/>
  <c r="B42" i="13"/>
  <c r="C42" i="13"/>
  <c r="B66" i="13"/>
  <c r="C66" i="13"/>
  <c r="B11" i="13"/>
  <c r="C11" i="13"/>
  <c r="B27" i="13"/>
  <c r="C27" i="13"/>
  <c r="B51" i="13"/>
  <c r="C51" i="13"/>
  <c r="B14" i="13"/>
  <c r="C14" i="13"/>
  <c r="B22" i="13"/>
  <c r="C22" i="13"/>
  <c r="B30" i="13"/>
  <c r="C30" i="13"/>
  <c r="B38" i="13"/>
  <c r="C38" i="13"/>
  <c r="B46" i="13"/>
  <c r="C46" i="13"/>
  <c r="B54" i="13"/>
  <c r="C54" i="13"/>
  <c r="B62" i="13"/>
  <c r="C62" i="13"/>
  <c r="H16" i="42"/>
  <c r="I16" i="42" s="1"/>
  <c r="I12" i="42"/>
  <c r="I14" i="42"/>
  <c r="R11" i="22"/>
  <c r="I15" i="42"/>
  <c r="I10" i="42"/>
  <c r="D41" i="30"/>
  <c r="I11" i="42"/>
  <c r="U11" i="28"/>
  <c r="I13" i="42"/>
  <c r="K10" i="42"/>
  <c r="AA42" i="62"/>
  <c r="S42" i="62"/>
  <c r="K42" i="62"/>
  <c r="C42" i="62"/>
  <c r="R42" i="62"/>
  <c r="J42" i="62"/>
  <c r="Q42" i="62"/>
  <c r="I42" i="62"/>
  <c r="X42" i="62"/>
  <c r="P42" i="62"/>
  <c r="H42" i="62"/>
  <c r="W42" i="62"/>
  <c r="O42" i="62"/>
  <c r="G42" i="62"/>
  <c r="V42" i="62"/>
  <c r="N42" i="62"/>
  <c r="F42" i="62"/>
  <c r="U42" i="62"/>
  <c r="M42" i="62"/>
  <c r="E42" i="62"/>
  <c r="AB42" i="62"/>
  <c r="T42" i="62"/>
  <c r="L42" i="62"/>
  <c r="D42" i="62"/>
  <c r="U56" i="51"/>
  <c r="M56" i="51"/>
  <c r="T56" i="51"/>
  <c r="L56" i="51"/>
  <c r="S56" i="51"/>
  <c r="K56" i="51"/>
  <c r="Z56" i="51"/>
  <c r="R56" i="51"/>
  <c r="J56" i="51"/>
  <c r="Y56" i="51"/>
  <c r="Q56" i="51"/>
  <c r="I56" i="51"/>
  <c r="X56" i="51"/>
  <c r="P56" i="51"/>
  <c r="H56" i="51"/>
  <c r="W56" i="51"/>
  <c r="O56" i="51"/>
  <c r="G56" i="51"/>
  <c r="V56" i="51"/>
  <c r="N56" i="51"/>
  <c r="AA56" i="62"/>
  <c r="K56" i="62"/>
  <c r="I56" i="62"/>
  <c r="Y56" i="62"/>
  <c r="W56" i="62"/>
  <c r="G56" i="62"/>
  <c r="U56" i="62"/>
  <c r="E56" i="62"/>
  <c r="S56" i="62"/>
  <c r="C56" i="62"/>
  <c r="Q56" i="62"/>
  <c r="O56" i="62"/>
  <c r="M56" i="62"/>
  <c r="R18" i="22"/>
  <c r="S12" i="22"/>
  <c r="R13" i="17"/>
  <c r="R10" i="22"/>
  <c r="Q54" i="62"/>
  <c r="I54" i="62"/>
  <c r="X54" i="62"/>
  <c r="P54" i="62"/>
  <c r="H54" i="62"/>
  <c r="W54" i="62"/>
  <c r="O54" i="62"/>
  <c r="G54" i="62"/>
  <c r="V54" i="62"/>
  <c r="N54" i="62"/>
  <c r="F54" i="62"/>
  <c r="U54" i="62"/>
  <c r="M54" i="62"/>
  <c r="E54" i="62"/>
  <c r="AB54" i="62"/>
  <c r="T54" i="62"/>
  <c r="L54" i="62"/>
  <c r="D54" i="62"/>
  <c r="S54" i="62"/>
  <c r="K54" i="62"/>
  <c r="C54" i="62"/>
  <c r="Z54" i="62"/>
  <c r="R54" i="62"/>
  <c r="J54" i="62"/>
  <c r="L12" i="54"/>
  <c r="Z12" i="62"/>
  <c r="Y12" i="62"/>
  <c r="Q12" i="62"/>
  <c r="I12" i="62"/>
  <c r="W12" i="62"/>
  <c r="G12" i="62"/>
  <c r="AB12" i="62"/>
  <c r="X12" i="62"/>
  <c r="P12" i="62"/>
  <c r="P14" i="62" s="1"/>
  <c r="H12" i="62"/>
  <c r="O12" i="62"/>
  <c r="M12" i="62"/>
  <c r="T12" i="62"/>
  <c r="V12" i="62"/>
  <c r="N12" i="62"/>
  <c r="N14" i="62" s="1"/>
  <c r="F12" i="62"/>
  <c r="U12" i="62"/>
  <c r="D12" i="62"/>
  <c r="AA12" i="62"/>
  <c r="S12" i="62"/>
  <c r="K12" i="62"/>
  <c r="C12" i="62"/>
  <c r="R12" i="62"/>
  <c r="J12" i="62"/>
  <c r="E12" i="62"/>
  <c r="L12" i="62"/>
  <c r="T64" i="51"/>
  <c r="T66" i="51" s="1"/>
  <c r="S64" i="51"/>
  <c r="Q64" i="51"/>
  <c r="I64" i="51"/>
  <c r="X64" i="51"/>
  <c r="X66" i="51" s="1"/>
  <c r="P64" i="51"/>
  <c r="P66" i="51" s="1"/>
  <c r="H64" i="51"/>
  <c r="H66" i="51" s="1"/>
  <c r="U64" i="51"/>
  <c r="L64" i="51"/>
  <c r="L66" i="51" s="1"/>
  <c r="J64" i="51"/>
  <c r="J66" i="51" s="1"/>
  <c r="W64" i="51"/>
  <c r="O64" i="51"/>
  <c r="G64" i="51"/>
  <c r="V64" i="51"/>
  <c r="V66" i="51" s="1"/>
  <c r="N64" i="51"/>
  <c r="N66" i="51" s="1"/>
  <c r="F64" i="51"/>
  <c r="M64" i="51"/>
  <c r="E64" i="51"/>
  <c r="K64" i="51"/>
  <c r="R64" i="51"/>
  <c r="R66" i="51" s="1"/>
  <c r="D64" i="51"/>
  <c r="V64" i="62"/>
  <c r="V66" i="62" s="1"/>
  <c r="N64" i="62"/>
  <c r="N66" i="62" s="1"/>
  <c r="F64" i="62"/>
  <c r="F66" i="62" s="1"/>
  <c r="T64" i="62"/>
  <c r="T66" i="62" s="1"/>
  <c r="C64" i="62"/>
  <c r="C64" i="51"/>
  <c r="U64" i="62"/>
  <c r="M64" i="62"/>
  <c r="E64" i="62"/>
  <c r="L64" i="62"/>
  <c r="L66" i="62" s="1"/>
  <c r="K64" i="62"/>
  <c r="AB64" i="62"/>
  <c r="D64" i="62"/>
  <c r="AA64" i="62"/>
  <c r="S64" i="62"/>
  <c r="Z64" i="62"/>
  <c r="Z66" i="62" s="1"/>
  <c r="R64" i="62"/>
  <c r="R66" i="62" s="1"/>
  <c r="J64" i="62"/>
  <c r="Y64" i="62"/>
  <c r="Q64" i="62"/>
  <c r="I64" i="62"/>
  <c r="X64" i="62"/>
  <c r="X66" i="62" s="1"/>
  <c r="P64" i="62"/>
  <c r="P66" i="62" s="1"/>
  <c r="H64" i="62"/>
  <c r="H66" i="62" s="1"/>
  <c r="W64" i="62"/>
  <c r="O64" i="62"/>
  <c r="G64" i="62"/>
  <c r="F70" i="62"/>
  <c r="Z69" i="62"/>
  <c r="X70" i="62"/>
  <c r="R69" i="62"/>
  <c r="P70" i="62"/>
  <c r="J69" i="62"/>
  <c r="D69" i="62"/>
  <c r="V69" i="62"/>
  <c r="AB69" i="62"/>
  <c r="R70" i="62"/>
  <c r="Y70" i="62"/>
  <c r="G69" i="62"/>
  <c r="E70" i="62"/>
  <c r="Y69" i="62"/>
  <c r="W70" i="62"/>
  <c r="Q69" i="62"/>
  <c r="O70" i="62"/>
  <c r="I69" i="62"/>
  <c r="M70" i="62"/>
  <c r="T70" i="62"/>
  <c r="H69" i="62"/>
  <c r="T69" i="62"/>
  <c r="AA69" i="62"/>
  <c r="I70" i="62"/>
  <c r="F69" i="62"/>
  <c r="D70" i="62"/>
  <c r="X69" i="62"/>
  <c r="V70" i="62"/>
  <c r="P69" i="62"/>
  <c r="N70" i="62"/>
  <c r="G70" i="62"/>
  <c r="AB70" i="62"/>
  <c r="L70" i="62"/>
  <c r="Z70" i="62"/>
  <c r="H70" i="62"/>
  <c r="S69" i="62"/>
  <c r="E69" i="62"/>
  <c r="C70" i="62"/>
  <c r="W69" i="62"/>
  <c r="U70" i="62"/>
  <c r="O69" i="62"/>
  <c r="N69" i="62"/>
  <c r="J70" i="62"/>
  <c r="K69" i="62"/>
  <c r="C69" i="62"/>
  <c r="AA70" i="62"/>
  <c r="U69" i="62"/>
  <c r="S70" i="62"/>
  <c r="M69" i="62"/>
  <c r="K70" i="62"/>
  <c r="L69" i="62"/>
  <c r="Q70" i="62"/>
  <c r="R14" i="21"/>
  <c r="T18" i="28"/>
  <c r="B27" i="30"/>
  <c r="C19" i="30"/>
  <c r="C11" i="30"/>
  <c r="C35" i="30"/>
  <c r="B43" i="30"/>
  <c r="R15" i="22"/>
  <c r="R19" i="22"/>
  <c r="R13" i="22"/>
  <c r="R19" i="17"/>
  <c r="U13" i="36"/>
  <c r="R12" i="21"/>
  <c r="B45" i="53"/>
  <c r="D55" i="30"/>
  <c r="U14" i="28"/>
  <c r="V14" i="36"/>
  <c r="U49" i="40"/>
  <c r="Z56" i="62"/>
  <c r="P56" i="62"/>
  <c r="R56" i="62"/>
  <c r="T56" i="62"/>
  <c r="V56" i="62"/>
  <c r="N56" i="62"/>
  <c r="X56" i="62"/>
  <c r="F56" i="62"/>
  <c r="D56" i="62"/>
  <c r="H56" i="62"/>
  <c r="L56" i="62"/>
  <c r="AB56" i="62"/>
  <c r="J56" i="62"/>
  <c r="C66" i="53"/>
  <c r="C34" i="53"/>
  <c r="S16" i="22"/>
  <c r="T17" i="28"/>
  <c r="E55" i="30"/>
  <c r="S16" i="17"/>
  <c r="U50" i="40"/>
  <c r="I56" i="34"/>
  <c r="E59" i="34"/>
  <c r="L16" i="54"/>
  <c r="T36" i="28"/>
  <c r="N17" i="62"/>
  <c r="R19" i="62"/>
  <c r="X18" i="62"/>
  <c r="N18" i="62"/>
  <c r="T17" i="62"/>
  <c r="X19" i="62"/>
  <c r="P18" i="62"/>
  <c r="V17" i="62"/>
  <c r="P19" i="62"/>
  <c r="V18" i="62"/>
  <c r="R17" i="62"/>
  <c r="N19" i="62"/>
  <c r="T18" i="62"/>
  <c r="Z17" i="62"/>
  <c r="P17" i="62"/>
  <c r="T19" i="62"/>
  <c r="Z18" i="62"/>
  <c r="Z19" i="62"/>
  <c r="X17" i="62"/>
  <c r="V19" i="62"/>
  <c r="R18" i="62"/>
  <c r="L17" i="62"/>
  <c r="J19" i="62"/>
  <c r="D17" i="62"/>
  <c r="F17" i="62"/>
  <c r="L19" i="62"/>
  <c r="F18" i="62"/>
  <c r="AB19" i="62"/>
  <c r="H19" i="62"/>
  <c r="J18" i="62"/>
  <c r="AB17" i="62"/>
  <c r="L18" i="62"/>
  <c r="AB18" i="62"/>
  <c r="H17" i="62"/>
  <c r="F19" i="62"/>
  <c r="D19" i="62"/>
  <c r="H18" i="62"/>
  <c r="J17" i="62"/>
  <c r="D18" i="62"/>
  <c r="D18" i="51"/>
  <c r="D63" i="53"/>
  <c r="B15" i="30"/>
  <c r="D15" i="30"/>
  <c r="E52" i="30"/>
  <c r="D36" i="30"/>
  <c r="E11" i="30"/>
  <c r="C36" i="30"/>
  <c r="E20" i="30"/>
  <c r="C52" i="30"/>
  <c r="E35" i="30"/>
  <c r="D52" i="30"/>
  <c r="C15" i="30"/>
  <c r="C13" i="30"/>
  <c r="D50" i="30"/>
  <c r="B13" i="30"/>
  <c r="D13" i="30"/>
  <c r="B11" i="30"/>
  <c r="B57" i="18"/>
  <c r="B51" i="18"/>
  <c r="C33" i="30"/>
  <c r="C20" i="18"/>
  <c r="B47" i="30"/>
  <c r="C20" i="30"/>
  <c r="B55" i="53"/>
  <c r="C14" i="53"/>
  <c r="C67" i="53"/>
  <c r="B47" i="18"/>
  <c r="D30" i="30"/>
  <c r="C57" i="53"/>
  <c r="B15" i="18"/>
  <c r="C55" i="53"/>
  <c r="B34" i="18"/>
  <c r="C35" i="53"/>
  <c r="B66" i="53"/>
  <c r="C20" i="59"/>
  <c r="B25" i="53"/>
  <c r="C43" i="53"/>
  <c r="C49" i="53"/>
  <c r="C62" i="53"/>
  <c r="B35" i="53"/>
  <c r="D25" i="53"/>
  <c r="D34" i="53"/>
  <c r="C11" i="59"/>
  <c r="C23" i="30"/>
  <c r="B9" i="18"/>
  <c r="C31" i="18"/>
  <c r="B65" i="18"/>
  <c r="B37" i="53"/>
  <c r="C38" i="53"/>
  <c r="B23" i="30"/>
  <c r="C53" i="18"/>
  <c r="D35" i="30"/>
  <c r="C9" i="53"/>
  <c r="B14" i="53"/>
  <c r="B63" i="18"/>
  <c r="B31" i="30"/>
  <c r="D31" i="30"/>
  <c r="B64" i="18"/>
  <c r="B55" i="30"/>
  <c r="D20" i="30"/>
  <c r="E25" i="30"/>
  <c r="C13" i="18"/>
  <c r="E23" i="30"/>
  <c r="B17" i="53"/>
  <c r="B39" i="53"/>
  <c r="C11" i="53"/>
  <c r="C17" i="53"/>
  <c r="C30" i="53"/>
  <c r="T16" i="12"/>
  <c r="S19" i="12"/>
  <c r="T12" i="12"/>
  <c r="I64" i="34"/>
  <c r="B40" i="59"/>
  <c r="C58" i="18"/>
  <c r="B53" i="53"/>
  <c r="B56" i="59"/>
  <c r="D46" i="30"/>
  <c r="R17" i="22"/>
  <c r="E38" i="30"/>
  <c r="G52" i="32"/>
  <c r="R10" i="17"/>
  <c r="C27" i="18"/>
  <c r="E46" i="30"/>
  <c r="E31" i="30"/>
  <c r="R15" i="17"/>
  <c r="S14" i="17"/>
  <c r="C21" i="18"/>
  <c r="U47" i="40"/>
  <c r="V13" i="36"/>
  <c r="Q12" i="54"/>
  <c r="B57" i="53"/>
  <c r="C50" i="53"/>
  <c r="C39" i="53"/>
  <c r="B50" i="53"/>
  <c r="D43" i="53"/>
  <c r="M14" i="54"/>
  <c r="B68" i="59"/>
  <c r="C52" i="18"/>
  <c r="T13" i="28"/>
  <c r="D18" i="30"/>
  <c r="E40" i="30"/>
  <c r="D51" i="30"/>
  <c r="U17" i="36"/>
  <c r="R9" i="21"/>
  <c r="P18" i="54"/>
  <c r="C21" i="53"/>
  <c r="Z37" i="36"/>
  <c r="U12" i="28"/>
  <c r="D14" i="30"/>
  <c r="N12" i="54"/>
  <c r="D26" i="53"/>
  <c r="C37" i="53"/>
  <c r="D58" i="53"/>
  <c r="C47" i="30"/>
  <c r="B53" i="30"/>
  <c r="C25" i="18"/>
  <c r="B14" i="18"/>
  <c r="C18" i="30"/>
  <c r="S11" i="17"/>
  <c r="B18" i="18"/>
  <c r="C38" i="18"/>
  <c r="B17" i="30"/>
  <c r="U15" i="36"/>
  <c r="V11" i="36"/>
  <c r="B21" i="53"/>
  <c r="B26" i="53"/>
  <c r="D53" i="53"/>
  <c r="B58" i="53"/>
  <c r="B9" i="53"/>
  <c r="D143" i="48"/>
  <c r="D167" i="48"/>
  <c r="BK167" i="48" s="1"/>
  <c r="D84" i="48"/>
  <c r="C187" i="48"/>
  <c r="BJ187" i="48" s="1"/>
  <c r="D57" i="48"/>
  <c r="D131" i="48"/>
  <c r="BK131" i="48" s="1"/>
  <c r="AN223" i="48"/>
  <c r="H57" i="48"/>
  <c r="L57" i="48"/>
  <c r="D18" i="53"/>
  <c r="D65" i="53"/>
  <c r="C65" i="53"/>
  <c r="Y37" i="36"/>
  <c r="J13" i="44"/>
  <c r="K13" i="44" s="1"/>
  <c r="J10" i="44"/>
  <c r="K10" i="44" s="1"/>
  <c r="K9" i="44"/>
  <c r="X37" i="36"/>
  <c r="B63" i="53"/>
  <c r="D31" i="53"/>
  <c r="C31" i="53"/>
  <c r="B31" i="53"/>
  <c r="B41" i="53"/>
  <c r="D41" i="53"/>
  <c r="K42" i="51"/>
  <c r="S42" i="51"/>
  <c r="F42" i="51"/>
  <c r="L42" i="51"/>
  <c r="V42" i="51"/>
  <c r="O42" i="51"/>
  <c r="X42" i="51"/>
  <c r="E42" i="51"/>
  <c r="N42" i="51"/>
  <c r="H42" i="51"/>
  <c r="M42" i="51"/>
  <c r="U42" i="51"/>
  <c r="G42" i="51"/>
  <c r="W42" i="51"/>
  <c r="I42" i="51"/>
  <c r="Q42" i="51"/>
  <c r="J42" i="51"/>
  <c r="R42" i="51"/>
  <c r="T42" i="51"/>
  <c r="P42" i="51"/>
  <c r="D69" i="51"/>
  <c r="C69" i="51"/>
  <c r="D70" i="51"/>
  <c r="C70" i="51"/>
  <c r="N69" i="51"/>
  <c r="V69" i="51"/>
  <c r="J70" i="51"/>
  <c r="R70" i="51"/>
  <c r="Q69" i="51"/>
  <c r="J69" i="51"/>
  <c r="N70" i="51"/>
  <c r="F69" i="51"/>
  <c r="G69" i="51"/>
  <c r="O69" i="51"/>
  <c r="W69" i="51"/>
  <c r="K70" i="51"/>
  <c r="S70" i="51"/>
  <c r="K69" i="51"/>
  <c r="S69" i="51"/>
  <c r="G70" i="51"/>
  <c r="O70" i="51"/>
  <c r="W70" i="51"/>
  <c r="E69" i="51"/>
  <c r="H69" i="51"/>
  <c r="P69" i="51"/>
  <c r="X69" i="51"/>
  <c r="L70" i="51"/>
  <c r="T70" i="51"/>
  <c r="R69" i="51"/>
  <c r="V70" i="51"/>
  <c r="L69" i="51"/>
  <c r="T69" i="51"/>
  <c r="H70" i="51"/>
  <c r="P70" i="51"/>
  <c r="X70" i="51"/>
  <c r="F70" i="51"/>
  <c r="M69" i="51"/>
  <c r="U69" i="51"/>
  <c r="I70" i="51"/>
  <c r="Q70" i="51"/>
  <c r="E70" i="51"/>
  <c r="I69" i="51"/>
  <c r="M70" i="51"/>
  <c r="U70" i="51"/>
  <c r="B29" i="53"/>
  <c r="C29" i="53"/>
  <c r="S18" i="12"/>
  <c r="E51" i="30"/>
  <c r="T10" i="12"/>
  <c r="S14" i="12"/>
  <c r="U32" i="16"/>
  <c r="C44" i="18"/>
  <c r="C25" i="30"/>
  <c r="F56" i="27"/>
  <c r="V15" i="36"/>
  <c r="U11" i="36"/>
  <c r="E55" i="34"/>
  <c r="G55" i="34"/>
  <c r="E57" i="34"/>
  <c r="G57" i="34"/>
  <c r="E56" i="34"/>
  <c r="H55" i="34"/>
  <c r="I57" i="34"/>
  <c r="D67" i="48"/>
  <c r="BK67" i="48" s="1"/>
  <c r="D22" i="53"/>
  <c r="C22" i="53"/>
  <c r="D42" i="53"/>
  <c r="B42" i="53"/>
  <c r="D47" i="53"/>
  <c r="B47" i="53"/>
  <c r="W37" i="36"/>
  <c r="C66" i="18"/>
  <c r="B66" i="18"/>
  <c r="T15" i="28"/>
  <c r="U15" i="28"/>
  <c r="U12" i="36"/>
  <c r="V12" i="36"/>
  <c r="U46" i="40"/>
  <c r="D187" i="48"/>
  <c r="BK187" i="48" s="1"/>
  <c r="D33" i="53"/>
  <c r="C33" i="53"/>
  <c r="U33" i="16"/>
  <c r="R18" i="17"/>
  <c r="E30" i="30"/>
  <c r="C23" i="18"/>
  <c r="C30" i="18"/>
  <c r="G48" i="32"/>
  <c r="U42" i="40"/>
  <c r="D13" i="53"/>
  <c r="C13" i="53"/>
  <c r="B18" i="53"/>
  <c r="D54" i="53"/>
  <c r="C54" i="53"/>
  <c r="C59" i="53"/>
  <c r="P17" i="54"/>
  <c r="N17" i="54"/>
  <c r="O17" i="54"/>
  <c r="Q17" i="54"/>
  <c r="I143" i="48"/>
  <c r="U16" i="36"/>
  <c r="K15" i="42"/>
  <c r="D12" i="51"/>
  <c r="C12" i="51"/>
  <c r="N12" i="51"/>
  <c r="Q12" i="51"/>
  <c r="Q14" i="51" s="1"/>
  <c r="I12" i="51"/>
  <c r="I14" i="51" s="1"/>
  <c r="R12" i="51"/>
  <c r="G12" i="51"/>
  <c r="O12" i="51"/>
  <c r="W12" i="51"/>
  <c r="W14" i="51" s="1"/>
  <c r="H12" i="51"/>
  <c r="H14" i="51" s="1"/>
  <c r="J12" i="51"/>
  <c r="J14" i="51" s="1"/>
  <c r="K12" i="51"/>
  <c r="S12" i="51"/>
  <c r="F12" i="51"/>
  <c r="L12" i="51"/>
  <c r="T12" i="51"/>
  <c r="T14" i="51" s="1"/>
  <c r="E12" i="51"/>
  <c r="M12" i="51"/>
  <c r="U12" i="51"/>
  <c r="V12" i="51"/>
  <c r="P12" i="51"/>
  <c r="B62" i="5"/>
  <c r="B55" i="16"/>
  <c r="B56" i="16"/>
  <c r="B49" i="16"/>
  <c r="B48" i="16"/>
  <c r="B46" i="16"/>
  <c r="B54" i="16"/>
  <c r="B57" i="16"/>
  <c r="B42" i="16"/>
  <c r="B50" i="16"/>
  <c r="B41" i="16"/>
  <c r="B43" i="16"/>
  <c r="B51" i="16"/>
  <c r="B44" i="16"/>
  <c r="B52" i="16"/>
  <c r="B45" i="16"/>
  <c r="B53" i="16"/>
  <c r="B47" i="16"/>
  <c r="B65" i="53"/>
  <c r="D38" i="53"/>
  <c r="M13" i="54"/>
  <c r="N13" i="54"/>
  <c r="L13" i="54"/>
  <c r="S17" i="12"/>
  <c r="T11" i="12"/>
  <c r="C62" i="18"/>
  <c r="C43" i="18"/>
  <c r="C42" i="18"/>
  <c r="B30" i="30"/>
  <c r="B46" i="18"/>
  <c r="V16" i="36"/>
  <c r="G62" i="34"/>
  <c r="C45" i="53"/>
  <c r="D10" i="53"/>
  <c r="C10" i="53"/>
  <c r="B10" i="53"/>
  <c r="C41" i="53"/>
  <c r="B61" i="53"/>
  <c r="C61" i="53"/>
  <c r="C19" i="51"/>
  <c r="C18" i="51"/>
  <c r="D19" i="51"/>
  <c r="D17" i="51"/>
  <c r="C17" i="51"/>
  <c r="G17" i="51"/>
  <c r="O17" i="51"/>
  <c r="W17" i="51"/>
  <c r="K18" i="51"/>
  <c r="S18" i="51"/>
  <c r="G19" i="51"/>
  <c r="O19" i="51"/>
  <c r="W19" i="51"/>
  <c r="E18" i="51"/>
  <c r="P17" i="51"/>
  <c r="T18" i="51"/>
  <c r="P19" i="51"/>
  <c r="R17" i="51"/>
  <c r="V18" i="51"/>
  <c r="S17" i="51"/>
  <c r="O18" i="51"/>
  <c r="K19" i="51"/>
  <c r="F17" i="51"/>
  <c r="P18" i="51"/>
  <c r="F18" i="51"/>
  <c r="H17" i="51"/>
  <c r="L18" i="51"/>
  <c r="X19" i="51"/>
  <c r="R19" i="51"/>
  <c r="L17" i="51"/>
  <c r="H18" i="51"/>
  <c r="L19" i="51"/>
  <c r="I17" i="51"/>
  <c r="Q17" i="51"/>
  <c r="M18" i="51"/>
  <c r="U18" i="51"/>
  <c r="I19" i="51"/>
  <c r="Q19" i="51"/>
  <c r="K17" i="51"/>
  <c r="G18" i="51"/>
  <c r="W18" i="51"/>
  <c r="S19" i="51"/>
  <c r="T17" i="51"/>
  <c r="T19" i="51"/>
  <c r="M17" i="51"/>
  <c r="U17" i="51"/>
  <c r="I18" i="51"/>
  <c r="Q18" i="51"/>
  <c r="M19" i="51"/>
  <c r="U19" i="51"/>
  <c r="F19" i="51"/>
  <c r="N17" i="51"/>
  <c r="V17" i="51"/>
  <c r="J18" i="51"/>
  <c r="R18" i="51"/>
  <c r="N19" i="51"/>
  <c r="V19" i="51"/>
  <c r="E19" i="51"/>
  <c r="X17" i="51"/>
  <c r="H19" i="51"/>
  <c r="E17" i="51"/>
  <c r="J17" i="51"/>
  <c r="N18" i="51"/>
  <c r="J19" i="51"/>
  <c r="X18" i="51"/>
  <c r="G65" i="34"/>
  <c r="B59" i="59"/>
  <c r="B49" i="30"/>
  <c r="C60" i="59"/>
  <c r="AH223" i="48"/>
  <c r="U37" i="36"/>
  <c r="D11" i="53"/>
  <c r="B24" i="59"/>
  <c r="C52" i="59"/>
  <c r="G56" i="34"/>
  <c r="D56" i="51"/>
  <c r="C56" i="51"/>
  <c r="F56" i="51"/>
  <c r="E56" i="51"/>
  <c r="L18" i="54"/>
  <c r="D67" i="53"/>
  <c r="B38" i="59"/>
  <c r="C44" i="59"/>
  <c r="X30" i="23"/>
  <c r="X31" i="23" s="1"/>
  <c r="AJ28" i="23"/>
  <c r="T30" i="23"/>
  <c r="T31" i="23" s="1"/>
  <c r="AJ14" i="23"/>
  <c r="AA30" i="23"/>
  <c r="AA31" i="23" s="1"/>
  <c r="C50" i="59"/>
  <c r="B40" i="30"/>
  <c r="B17" i="59"/>
  <c r="B34" i="59"/>
  <c r="C67" i="18"/>
  <c r="B12" i="18"/>
  <c r="E14" i="30"/>
  <c r="B18" i="30"/>
  <c r="C27" i="30"/>
  <c r="B51" i="30"/>
  <c r="E27" i="30"/>
  <c r="E19" i="30"/>
  <c r="E36" i="30"/>
  <c r="B33" i="18"/>
  <c r="B33" i="30"/>
  <c r="B33" i="53"/>
  <c r="B22" i="53"/>
  <c r="D59" i="53"/>
  <c r="B18" i="59"/>
  <c r="B36" i="59"/>
  <c r="C58" i="59"/>
  <c r="C28" i="59"/>
  <c r="C10" i="59"/>
  <c r="C54" i="18"/>
  <c r="B39" i="18"/>
  <c r="B45" i="18"/>
  <c r="B39" i="30"/>
  <c r="E43" i="30"/>
  <c r="B19" i="30"/>
  <c r="B10" i="18"/>
  <c r="C22" i="18"/>
  <c r="E39" i="30"/>
  <c r="E45" i="30"/>
  <c r="C16" i="53"/>
  <c r="C20" i="53"/>
  <c r="C24" i="53"/>
  <c r="C40" i="53"/>
  <c r="C44" i="53"/>
  <c r="C60" i="53"/>
  <c r="C64" i="53"/>
  <c r="B16" i="53"/>
  <c r="C27" i="59"/>
  <c r="C26" i="59"/>
  <c r="B42" i="59"/>
  <c r="C9" i="59"/>
  <c r="C19" i="18"/>
  <c r="D47" i="30"/>
  <c r="C43" i="30"/>
  <c r="C39" i="30"/>
  <c r="C40" i="30"/>
  <c r="E28" i="30"/>
  <c r="B41" i="18"/>
  <c r="B20" i="53"/>
  <c r="B54" i="53"/>
  <c r="C43" i="59"/>
  <c r="D40" i="53"/>
  <c r="B46" i="30"/>
  <c r="B12" i="59"/>
  <c r="B48" i="59"/>
  <c r="B64" i="59"/>
  <c r="C66" i="59"/>
  <c r="C13" i="59"/>
  <c r="C34" i="30"/>
  <c r="D60" i="53"/>
  <c r="B44" i="53"/>
  <c r="C35" i="18"/>
  <c r="C26" i="18"/>
  <c r="B14" i="30"/>
  <c r="D29" i="30"/>
  <c r="D53" i="30"/>
  <c r="B16" i="59"/>
  <c r="B32" i="59"/>
  <c r="B49" i="59"/>
  <c r="C61" i="59"/>
  <c r="L14" i="54"/>
  <c r="O13" i="54"/>
  <c r="M16" i="54"/>
  <c r="M27" i="54"/>
  <c r="M12" i="54"/>
  <c r="O14" i="54"/>
  <c r="N14" i="54"/>
  <c r="Q14" i="54"/>
  <c r="N18" i="54"/>
  <c r="P13" i="54"/>
  <c r="O16" i="54"/>
  <c r="O18" i="54"/>
  <c r="N16" i="54"/>
  <c r="M17" i="54"/>
  <c r="Q16" i="54"/>
  <c r="M18" i="54"/>
  <c r="D16" i="30"/>
  <c r="B16" i="30"/>
  <c r="E16" i="30"/>
  <c r="C16" i="30"/>
  <c r="B22" i="30"/>
  <c r="E22" i="30"/>
  <c r="C22" i="30"/>
  <c r="D22" i="30"/>
  <c r="G50" i="32"/>
  <c r="B36" i="18"/>
  <c r="C36" i="18"/>
  <c r="U18" i="36"/>
  <c r="V18" i="36"/>
  <c r="K11" i="42"/>
  <c r="U38" i="5"/>
  <c r="T15" i="12"/>
  <c r="C37" i="18"/>
  <c r="S14" i="22"/>
  <c r="D42" i="30"/>
  <c r="E42" i="30"/>
  <c r="B42" i="30"/>
  <c r="E53" i="30"/>
  <c r="C9" i="30"/>
  <c r="E9" i="30"/>
  <c r="D9" i="30"/>
  <c r="U19" i="36"/>
  <c r="V19" i="36"/>
  <c r="U38" i="16"/>
  <c r="E10" i="30"/>
  <c r="C10" i="30"/>
  <c r="D10" i="30"/>
  <c r="B10" i="30"/>
  <c r="AB223" i="48"/>
  <c r="U16" i="28"/>
  <c r="T16" i="28"/>
  <c r="B56" i="18"/>
  <c r="C50" i="18"/>
  <c r="C16" i="18"/>
  <c r="D21" i="30"/>
  <c r="B32" i="18"/>
  <c r="C32" i="18"/>
  <c r="E48" i="30"/>
  <c r="B48" i="30"/>
  <c r="D48" i="30"/>
  <c r="U20" i="36"/>
  <c r="V20" i="36"/>
  <c r="K17" i="42"/>
  <c r="C11" i="18"/>
  <c r="B11" i="18"/>
  <c r="AT223" i="48"/>
  <c r="B61" i="18"/>
  <c r="B21" i="30"/>
  <c r="U32" i="5"/>
  <c r="C8" i="18"/>
  <c r="T10" i="28"/>
  <c r="B60" i="18"/>
  <c r="C60" i="18"/>
  <c r="B26" i="30"/>
  <c r="E26" i="30"/>
  <c r="D26" i="30"/>
  <c r="D32" i="30"/>
  <c r="B32" i="30"/>
  <c r="E32" i="30"/>
  <c r="C37" i="30"/>
  <c r="B37" i="30"/>
  <c r="D37" i="30"/>
  <c r="C54" i="30"/>
  <c r="B54" i="30"/>
  <c r="D54" i="30"/>
  <c r="AJ18" i="23"/>
  <c r="U34" i="16"/>
  <c r="B17" i="18"/>
  <c r="C17" i="18"/>
  <c r="C55" i="18"/>
  <c r="E21" i="30"/>
  <c r="C38" i="30"/>
  <c r="D38" i="30"/>
  <c r="E12" i="30"/>
  <c r="C12" i="30"/>
  <c r="B12" i="30"/>
  <c r="D44" i="30"/>
  <c r="E44" i="30"/>
  <c r="B44" i="30"/>
  <c r="R8" i="21"/>
  <c r="O11" i="54"/>
  <c r="M11" i="54"/>
  <c r="Q11" i="54"/>
  <c r="P11" i="54"/>
  <c r="T13" i="12"/>
  <c r="B29" i="18"/>
  <c r="C49" i="30"/>
  <c r="C28" i="30"/>
  <c r="S17" i="17"/>
  <c r="B34" i="30"/>
  <c r="E34" i="30"/>
  <c r="C50" i="30"/>
  <c r="B50" i="30"/>
  <c r="U14" i="36"/>
  <c r="T223" i="48"/>
  <c r="AJ223" i="48"/>
  <c r="AZ223" i="48"/>
  <c r="AV223" i="48"/>
  <c r="J57" i="48"/>
  <c r="X223" i="48"/>
  <c r="AP223" i="48"/>
  <c r="H84" i="48"/>
  <c r="C28" i="18"/>
  <c r="D17" i="30"/>
  <c r="C48" i="18"/>
  <c r="B48" i="18"/>
  <c r="B24" i="30"/>
  <c r="E24" i="30"/>
  <c r="D24" i="30"/>
  <c r="B29" i="30"/>
  <c r="C29" i="30"/>
  <c r="B45" i="30"/>
  <c r="D45" i="30"/>
  <c r="K9" i="42"/>
  <c r="S12" i="17"/>
  <c r="C59" i="18"/>
  <c r="C24" i="18"/>
  <c r="C40" i="18"/>
  <c r="C17" i="30"/>
  <c r="D49" i="30"/>
  <c r="D28" i="30"/>
  <c r="D33" i="30"/>
  <c r="B49" i="18"/>
  <c r="C49" i="18"/>
  <c r="B25" i="30"/>
  <c r="K13" i="42"/>
  <c r="H140" i="48"/>
  <c r="D40" i="48"/>
  <c r="BK40" i="48" s="1"/>
  <c r="R17" i="21"/>
  <c r="E41" i="30"/>
  <c r="C41" i="30"/>
  <c r="K14" i="42"/>
  <c r="H57" i="34"/>
  <c r="H65" i="34"/>
  <c r="H59" i="34"/>
  <c r="G64" i="34"/>
  <c r="G59" i="34"/>
  <c r="E64" i="34"/>
  <c r="E61" i="34"/>
  <c r="I65" i="34"/>
  <c r="I58" i="34"/>
  <c r="H64" i="34"/>
  <c r="I62" i="34"/>
  <c r="Z223" i="48"/>
  <c r="AR223" i="48"/>
  <c r="R223" i="48"/>
  <c r="AL223" i="48"/>
  <c r="K12" i="42"/>
  <c r="C143" i="48"/>
  <c r="G143" i="48"/>
  <c r="R13" i="21"/>
  <c r="T32" i="12"/>
  <c r="B12" i="53"/>
  <c r="D12" i="53"/>
  <c r="D28" i="53"/>
  <c r="B28" i="53"/>
  <c r="B32" i="53"/>
  <c r="D32" i="53"/>
  <c r="B36" i="53"/>
  <c r="D36" i="53"/>
  <c r="B48" i="53"/>
  <c r="D48" i="53"/>
  <c r="D52" i="53"/>
  <c r="B52" i="53"/>
  <c r="B56" i="53"/>
  <c r="D56" i="53"/>
  <c r="B68" i="53"/>
  <c r="D68" i="53"/>
  <c r="D64" i="53"/>
  <c r="G51" i="32"/>
  <c r="J140" i="48"/>
  <c r="J143" i="48" s="1"/>
  <c r="J12" i="44"/>
  <c r="K12" i="44" s="1"/>
  <c r="R16" i="21"/>
  <c r="AF223" i="48"/>
  <c r="J17" i="44"/>
  <c r="K17" i="44" s="1"/>
  <c r="J18" i="44"/>
  <c r="K18" i="44" s="1"/>
  <c r="R15" i="21"/>
  <c r="B72" i="32"/>
  <c r="G53" i="32" s="1"/>
  <c r="D24" i="53"/>
  <c r="U51" i="40"/>
  <c r="L143" i="48"/>
  <c r="J14" i="44"/>
  <c r="K14" i="44" s="1"/>
  <c r="R10" i="21"/>
  <c r="N20" i="54"/>
  <c r="M20" i="54"/>
  <c r="P20" i="54"/>
  <c r="O20" i="54"/>
  <c r="L20" i="54"/>
  <c r="E60" i="34"/>
  <c r="I61" i="34"/>
  <c r="H63" i="34"/>
  <c r="I63" i="34"/>
  <c r="V223" i="48"/>
  <c r="S31" i="12"/>
  <c r="T31" i="12"/>
  <c r="B15" i="53"/>
  <c r="D15" i="53"/>
  <c r="B19" i="53"/>
  <c r="D19" i="53"/>
  <c r="B23" i="53"/>
  <c r="D23" i="53"/>
  <c r="B27" i="53"/>
  <c r="D27" i="53"/>
  <c r="D51" i="53"/>
  <c r="B51" i="53"/>
  <c r="H58" i="34"/>
  <c r="H56" i="34"/>
  <c r="H61" i="34"/>
  <c r="I59" i="34"/>
  <c r="E63" i="34"/>
  <c r="H62" i="34"/>
  <c r="H60" i="34"/>
  <c r="B132" i="21"/>
  <c r="E62" i="34"/>
  <c r="I60" i="34"/>
  <c r="G58" i="34"/>
  <c r="G60" i="34"/>
  <c r="G63" i="34"/>
  <c r="G61" i="34"/>
  <c r="AX223" i="48"/>
  <c r="J16" i="44"/>
  <c r="K16" i="44" s="1"/>
  <c r="J15" i="44"/>
  <c r="K15" i="44" s="1"/>
  <c r="J11" i="44"/>
  <c r="K11" i="44" s="1"/>
  <c r="R36" i="17"/>
  <c r="V37" i="36"/>
  <c r="R36" i="22"/>
  <c r="S36" i="22"/>
  <c r="R37" i="17"/>
  <c r="S37" i="22"/>
  <c r="R37" i="22"/>
  <c r="C45" i="59"/>
  <c r="B53" i="59"/>
  <c r="C53" i="59"/>
  <c r="B37" i="59"/>
  <c r="C37" i="59"/>
  <c r="B29" i="59"/>
  <c r="C29" i="59"/>
  <c r="B21" i="59"/>
  <c r="C21" i="59"/>
  <c r="P19" i="54"/>
  <c r="N19" i="54"/>
  <c r="M19" i="54"/>
  <c r="O19" i="54"/>
  <c r="N15" i="54"/>
  <c r="P15" i="54"/>
  <c r="O15" i="54"/>
  <c r="M15" i="54"/>
  <c r="Q15" i="54"/>
  <c r="L26" i="54"/>
  <c r="S37" i="17"/>
  <c r="C63" i="59"/>
  <c r="B63" i="59"/>
  <c r="C55" i="59"/>
  <c r="B55" i="59"/>
  <c r="C47" i="59"/>
  <c r="B47" i="59"/>
  <c r="C39" i="59"/>
  <c r="B39" i="59"/>
  <c r="C31" i="59"/>
  <c r="B31" i="59"/>
  <c r="C23" i="59"/>
  <c r="B23" i="59"/>
  <c r="C15" i="59"/>
  <c r="B15" i="59"/>
  <c r="M28" i="54"/>
  <c r="N27" i="54"/>
  <c r="S36" i="17"/>
  <c r="C67" i="59"/>
  <c r="B67" i="59"/>
  <c r="C51" i="59"/>
  <c r="B51" i="59"/>
  <c r="C35" i="59"/>
  <c r="B35" i="59"/>
  <c r="C19" i="59"/>
  <c r="B19" i="59"/>
  <c r="C65" i="59"/>
  <c r="B65" i="59"/>
  <c r="C57" i="59"/>
  <c r="B57" i="59"/>
  <c r="C41" i="59"/>
  <c r="B41" i="59"/>
  <c r="C33" i="59"/>
  <c r="B33" i="59"/>
  <c r="C25" i="59"/>
  <c r="B25" i="59"/>
  <c r="D46" i="53"/>
  <c r="B46" i="53"/>
  <c r="B30" i="53"/>
  <c r="U36" i="28"/>
  <c r="B14" i="59"/>
  <c r="B46" i="59"/>
  <c r="B30" i="59"/>
  <c r="B62" i="59"/>
  <c r="S32" i="12"/>
  <c r="B22" i="59"/>
  <c r="B54" i="59"/>
  <c r="D62" i="53"/>
  <c r="M26" i="54"/>
  <c r="L27" i="54"/>
  <c r="Q27" i="54"/>
  <c r="P26" i="54"/>
  <c r="P27" i="54"/>
  <c r="O27" i="54"/>
  <c r="Q26" i="54"/>
  <c r="O26" i="54"/>
  <c r="N26" i="54"/>
  <c r="O16" i="50"/>
  <c r="R8" i="50"/>
  <c r="Q13" i="50"/>
  <c r="H14" i="50"/>
  <c r="S8" i="50"/>
  <c r="P11" i="50"/>
  <c r="I14" i="50"/>
  <c r="G16" i="50"/>
  <c r="R44" i="61"/>
  <c r="M14" i="50"/>
  <c r="S16" i="50"/>
  <c r="Q8" i="50"/>
  <c r="O11" i="50"/>
  <c r="N8" i="50"/>
  <c r="G14" i="50"/>
  <c r="S13" i="50"/>
  <c r="I8" i="50"/>
  <c r="B17" i="50"/>
  <c r="J14" i="50"/>
  <c r="J8" i="50"/>
  <c r="J13" i="50"/>
  <c r="N13" i="50"/>
  <c r="M13" i="50"/>
  <c r="R16" i="50"/>
  <c r="H8" i="50"/>
  <c r="L16" i="50"/>
  <c r="J16" i="50"/>
  <c r="K11" i="50"/>
  <c r="Q16" i="50"/>
  <c r="R14" i="50"/>
  <c r="P14" i="50"/>
  <c r="D17" i="50"/>
  <c r="I16" i="50"/>
  <c r="R13" i="50"/>
  <c r="I11" i="50"/>
  <c r="N14" i="50"/>
  <c r="T16" i="50"/>
  <c r="U8" i="50"/>
  <c r="T13" i="50"/>
  <c r="M16" i="50"/>
  <c r="R12" i="50"/>
  <c r="G8" i="50"/>
  <c r="N73" i="50"/>
  <c r="L13" i="50"/>
  <c r="H16" i="50"/>
  <c r="U16" i="50"/>
  <c r="G13" i="50"/>
  <c r="P8" i="50"/>
  <c r="H13" i="50"/>
  <c r="K8" i="50"/>
  <c r="E17" i="50"/>
  <c r="O8" i="50"/>
  <c r="P13" i="50"/>
  <c r="R11" i="50"/>
  <c r="T14" i="50"/>
  <c r="V16" i="50"/>
  <c r="M8" i="50"/>
  <c r="L11" i="50"/>
  <c r="V8" i="50"/>
  <c r="M11" i="50"/>
  <c r="V13" i="50"/>
  <c r="T8" i="50"/>
  <c r="O13" i="50"/>
  <c r="F17" i="50"/>
  <c r="K13" i="50"/>
  <c r="K14" i="50"/>
  <c r="J12" i="50"/>
  <c r="O14" i="50"/>
  <c r="Q14" i="50"/>
  <c r="R42" i="61"/>
  <c r="S14" i="50"/>
  <c r="C17" i="50"/>
  <c r="N11" i="50"/>
  <c r="P16" i="50"/>
  <c r="N16" i="50"/>
  <c r="K16" i="50"/>
  <c r="L14" i="50"/>
  <c r="Q11" i="50"/>
  <c r="I13" i="50"/>
  <c r="L8" i="50"/>
  <c r="U13" i="50"/>
  <c r="U14" i="50"/>
  <c r="E15" i="49" l="1"/>
  <c r="I16" i="49"/>
  <c r="E16" i="49"/>
  <c r="C15" i="49"/>
  <c r="G36" i="49"/>
  <c r="E14" i="49"/>
  <c r="G14" i="49"/>
  <c r="G50" i="49"/>
  <c r="C14" i="49"/>
  <c r="G58" i="49"/>
  <c r="G15" i="49"/>
  <c r="AH14" i="51"/>
  <c r="L14" i="51"/>
  <c r="U35" i="5"/>
  <c r="C60" i="5"/>
  <c r="U37" i="5"/>
  <c r="C62" i="5"/>
  <c r="U34" i="5"/>
  <c r="C59" i="5"/>
  <c r="U40" i="5"/>
  <c r="C65" i="5"/>
  <c r="T51" i="40"/>
  <c r="U48" i="40"/>
  <c r="AJ54" i="62"/>
  <c r="AJ69" i="62"/>
  <c r="AI70" i="62"/>
  <c r="AI69" i="62"/>
  <c r="AJ70" i="62"/>
  <c r="U41" i="5"/>
  <c r="U39" i="5"/>
  <c r="AJ64" i="62"/>
  <c r="AI64" i="62"/>
  <c r="I58" i="49"/>
  <c r="AH66" i="51"/>
  <c r="AI54" i="62"/>
  <c r="I48" i="49"/>
  <c r="I47" i="49" s="1"/>
  <c r="I50" i="49"/>
  <c r="Q16" i="49" s="1"/>
  <c r="AJ42" i="62"/>
  <c r="AI42" i="62"/>
  <c r="I36" i="49"/>
  <c r="Q15" i="49" s="1"/>
  <c r="AH20" i="62"/>
  <c r="AH91" i="62" s="1"/>
  <c r="AJ19" i="62"/>
  <c r="AH20" i="51"/>
  <c r="I14" i="49"/>
  <c r="C16" i="49"/>
  <c r="G16" i="49"/>
  <c r="Z14" i="62"/>
  <c r="AG14" i="62"/>
  <c r="G11" i="49" s="1"/>
  <c r="J14" i="62"/>
  <c r="AH14" i="62"/>
  <c r="AI12" i="62"/>
  <c r="N14" i="51"/>
  <c r="AJ13" i="62"/>
  <c r="AI13" i="62"/>
  <c r="E14" i="51"/>
  <c r="AJ12" i="62"/>
  <c r="O14" i="51"/>
  <c r="AI17" i="62"/>
  <c r="AI19" i="62"/>
  <c r="AI18" i="62"/>
  <c r="AJ18" i="62"/>
  <c r="AJ17" i="62"/>
  <c r="AI69" i="51"/>
  <c r="AJ69" i="51"/>
  <c r="AI64" i="51"/>
  <c r="AJ54" i="51"/>
  <c r="AJ13" i="51"/>
  <c r="AJ42" i="51"/>
  <c r="AJ53" i="51"/>
  <c r="E48" i="49"/>
  <c r="E47" i="49" s="1"/>
  <c r="AJ12" i="51"/>
  <c r="E58" i="49"/>
  <c r="O17" i="49" s="1"/>
  <c r="AJ19" i="51"/>
  <c r="AI70" i="51"/>
  <c r="AI42" i="51"/>
  <c r="AJ18" i="51"/>
  <c r="AJ70" i="51"/>
  <c r="AJ64" i="51"/>
  <c r="BJ143" i="48"/>
  <c r="AJ56" i="51"/>
  <c r="AI56" i="51"/>
  <c r="AJ56" i="62"/>
  <c r="AI56" i="62"/>
  <c r="AI12" i="51"/>
  <c r="AI17" i="51"/>
  <c r="AJ17" i="51"/>
  <c r="AI29" i="51"/>
  <c r="AI24" i="51"/>
  <c r="AI22" i="51"/>
  <c r="AI26" i="51"/>
  <c r="AI13" i="51"/>
  <c r="AI18" i="51"/>
  <c r="AI19" i="51"/>
  <c r="E36" i="49"/>
  <c r="O15" i="49" s="1"/>
  <c r="C50" i="49"/>
  <c r="E50" i="49"/>
  <c r="O16" i="49" s="1"/>
  <c r="T43" i="40"/>
  <c r="E64" i="49"/>
  <c r="O20" i="49" s="1"/>
  <c r="C64" i="49"/>
  <c r="G14" i="51"/>
  <c r="F14" i="51"/>
  <c r="P14" i="51"/>
  <c r="AF20" i="51"/>
  <c r="AF91" i="51" s="1"/>
  <c r="V14" i="62"/>
  <c r="AE14" i="51"/>
  <c r="AB14" i="62"/>
  <c r="AF14" i="51"/>
  <c r="V14" i="51"/>
  <c r="M14" i="51"/>
  <c r="T41" i="16"/>
  <c r="L14" i="62"/>
  <c r="AJ22" i="51"/>
  <c r="U14" i="51"/>
  <c r="AA14" i="51"/>
  <c r="O18" i="49"/>
  <c r="AE14" i="62"/>
  <c r="BK84" i="48"/>
  <c r="T49" i="40"/>
  <c r="AC14" i="62"/>
  <c r="AF66" i="62"/>
  <c r="AD66" i="62"/>
  <c r="BK140" i="48"/>
  <c r="BK57" i="48"/>
  <c r="T46" i="40"/>
  <c r="R14" i="51"/>
  <c r="AD14" i="62"/>
  <c r="S14" i="51"/>
  <c r="AB14" i="51"/>
  <c r="F14" i="62"/>
  <c r="X14" i="62"/>
  <c r="T47" i="40"/>
  <c r="T42" i="40"/>
  <c r="T45" i="40"/>
  <c r="F50" i="32"/>
  <c r="F53" i="32"/>
  <c r="F51" i="32"/>
  <c r="F48" i="32"/>
  <c r="F54" i="32"/>
  <c r="F53" i="27"/>
  <c r="AF20" i="62"/>
  <c r="AD20" i="51"/>
  <c r="AD20" i="62"/>
  <c r="AC14" i="51"/>
  <c r="X14" i="51"/>
  <c r="T14" i="62"/>
  <c r="K14" i="51"/>
  <c r="R14" i="62"/>
  <c r="H14" i="62"/>
  <c r="AF14" i="62"/>
  <c r="AD14" i="51"/>
  <c r="C14" i="51"/>
  <c r="D14" i="51"/>
  <c r="L12" i="50"/>
  <c r="S45" i="61"/>
  <c r="S12" i="50"/>
  <c r="U12" i="50"/>
  <c r="V11" i="50"/>
  <c r="R73" i="50"/>
  <c r="U11" i="50"/>
  <c r="S73" i="50"/>
  <c r="P12" i="50"/>
  <c r="K12" i="50"/>
  <c r="V9" i="50"/>
  <c r="Q73" i="50"/>
  <c r="T12" i="50"/>
  <c r="K73" i="50"/>
  <c r="I12" i="50"/>
  <c r="P73" i="50"/>
  <c r="N12" i="50"/>
  <c r="U9" i="50"/>
  <c r="H12" i="50"/>
  <c r="O73" i="50"/>
  <c r="O12" i="50"/>
  <c r="V12" i="50"/>
  <c r="T9" i="50"/>
  <c r="M73" i="50"/>
  <c r="T11" i="50"/>
  <c r="Q12" i="50"/>
  <c r="L73" i="50"/>
  <c r="J73" i="50"/>
  <c r="M12" i="50"/>
  <c r="E17" i="49" l="1"/>
  <c r="I17" i="49"/>
  <c r="U15" i="49"/>
  <c r="C11" i="49"/>
  <c r="I11" i="49"/>
  <c r="Q14" i="49" s="1"/>
  <c r="Q17" i="49"/>
  <c r="U17" i="49" s="1"/>
  <c r="I60" i="49"/>
  <c r="U16" i="49"/>
  <c r="E60" i="49"/>
  <c r="E11" i="49"/>
  <c r="O14" i="49" s="1"/>
  <c r="T48" i="40"/>
  <c r="T50" i="40"/>
  <c r="T44" i="40"/>
  <c r="F52" i="32"/>
  <c r="Q13" i="21"/>
  <c r="D14" i="62"/>
  <c r="AJ14" i="62" s="1"/>
  <c r="F54" i="27"/>
  <c r="Q8" i="21"/>
  <c r="Q12" i="21"/>
  <c r="Q10" i="21"/>
  <c r="Q15" i="21"/>
  <c r="Q9" i="21"/>
  <c r="Q11" i="21"/>
  <c r="Q14" i="21"/>
  <c r="F55" i="32"/>
  <c r="F49" i="32"/>
  <c r="R74" i="50"/>
  <c r="T39" i="5"/>
  <c r="Q20" i="49"/>
  <c r="T41" i="5"/>
  <c r="T33" i="5"/>
  <c r="T35" i="5"/>
  <c r="AB66" i="62"/>
  <c r="T37" i="16"/>
  <c r="F58" i="27"/>
  <c r="F57" i="27"/>
  <c r="J66" i="62"/>
  <c r="T38" i="5"/>
  <c r="T37" i="5"/>
  <c r="T34" i="5"/>
  <c r="T36" i="5"/>
  <c r="T40" i="5"/>
  <c r="T32" i="5"/>
  <c r="F55" i="27"/>
  <c r="F60" i="27"/>
  <c r="F59" i="27"/>
  <c r="F61" i="27"/>
  <c r="I17" i="42"/>
  <c r="T40" i="16"/>
  <c r="Q17" i="21"/>
  <c r="T34" i="16"/>
  <c r="F57" i="32"/>
  <c r="F56" i="32"/>
  <c r="AB20" i="51"/>
  <c r="T32" i="16"/>
  <c r="T36" i="16"/>
  <c r="T38" i="16"/>
  <c r="T39" i="16"/>
  <c r="T35" i="16"/>
  <c r="D66" i="51"/>
  <c r="T33" i="16"/>
  <c r="Q16" i="21"/>
  <c r="J61" i="34"/>
  <c r="J56" i="34"/>
  <c r="J65" i="34"/>
  <c r="J58" i="34"/>
  <c r="J62" i="34"/>
  <c r="J63" i="34"/>
  <c r="J55" i="34"/>
  <c r="J59" i="34"/>
  <c r="J57" i="34"/>
  <c r="J60" i="34"/>
  <c r="J64" i="34"/>
  <c r="R75" i="50"/>
  <c r="K16" i="42"/>
  <c r="F66" i="51"/>
  <c r="R81" i="50"/>
  <c r="P20" i="62"/>
  <c r="X20" i="62"/>
  <c r="J20" i="62"/>
  <c r="R80" i="50"/>
  <c r="V20" i="62"/>
  <c r="L20" i="62"/>
  <c r="Z20" i="62"/>
  <c r="F20" i="62"/>
  <c r="T20" i="62"/>
  <c r="D20" i="62"/>
  <c r="H20" i="62"/>
  <c r="R20" i="62"/>
  <c r="AB20" i="62"/>
  <c r="N20" i="62"/>
  <c r="D66" i="62"/>
  <c r="AJ66" i="62" s="1"/>
  <c r="R79" i="50"/>
  <c r="H20" i="51"/>
  <c r="V20" i="51"/>
  <c r="J20" i="51"/>
  <c r="H143" i="48"/>
  <c r="BK143" i="48" s="1"/>
  <c r="S74" i="50"/>
  <c r="S81" i="50"/>
  <c r="S75" i="50"/>
  <c r="T37" i="28"/>
  <c r="R20" i="51"/>
  <c r="X20" i="51"/>
  <c r="N20" i="51"/>
  <c r="D20" i="51"/>
  <c r="L20" i="51"/>
  <c r="F20" i="51"/>
  <c r="T20" i="51"/>
  <c r="P20" i="51"/>
  <c r="U37" i="28"/>
  <c r="P28" i="54"/>
  <c r="L28" i="54"/>
  <c r="O28" i="54"/>
  <c r="N28" i="54"/>
  <c r="P29" i="54"/>
  <c r="Q28" i="54"/>
  <c r="S38" i="17"/>
  <c r="R38" i="17"/>
  <c r="R38" i="22"/>
  <c r="S38" i="22"/>
  <c r="X38" i="36"/>
  <c r="W38" i="36"/>
  <c r="Y38" i="36"/>
  <c r="V38" i="36"/>
  <c r="Z38" i="36"/>
  <c r="U38" i="36"/>
  <c r="D223" i="48"/>
  <c r="BK223" i="48" s="1"/>
  <c r="Q80" i="50"/>
  <c r="Q79" i="50"/>
  <c r="Q81" i="50"/>
  <c r="Q74" i="50"/>
  <c r="Q75" i="50"/>
  <c r="S33" i="12"/>
  <c r="T33" i="12"/>
  <c r="R9" i="50"/>
  <c r="G12" i="50"/>
  <c r="S11" i="50"/>
  <c r="R46" i="61"/>
  <c r="P9" i="50"/>
  <c r="M9" i="50"/>
  <c r="L9" i="50"/>
  <c r="Q9" i="50"/>
  <c r="I9" i="50"/>
  <c r="K9" i="50"/>
  <c r="G9" i="50"/>
  <c r="S46" i="61"/>
  <c r="N9" i="50"/>
  <c r="O9" i="50"/>
  <c r="J9" i="50"/>
  <c r="S9" i="50"/>
  <c r="J11" i="50"/>
  <c r="G11" i="50"/>
  <c r="H9" i="50"/>
  <c r="H11" i="50"/>
  <c r="R45" i="61"/>
  <c r="U14" i="49" l="1"/>
  <c r="AJ66" i="51"/>
  <c r="AJ53" i="62"/>
  <c r="AJ20" i="62"/>
  <c r="AJ20" i="51"/>
  <c r="Q78" i="50"/>
  <c r="I57" i="32"/>
  <c r="K57" i="32" s="1"/>
  <c r="Q18" i="49"/>
  <c r="S78" i="50"/>
  <c r="R78" i="50"/>
  <c r="M19" i="44"/>
  <c r="R76" i="50"/>
  <c r="Q76" i="50"/>
  <c r="S76" i="50"/>
  <c r="T38" i="28"/>
  <c r="U38" i="28"/>
  <c r="L29" i="54"/>
  <c r="N29" i="54"/>
  <c r="P30" i="54"/>
  <c r="M29" i="54"/>
  <c r="Q29" i="54"/>
  <c r="O29" i="54"/>
  <c r="S39" i="17"/>
  <c r="R39" i="17"/>
  <c r="U39" i="36"/>
  <c r="X39" i="36"/>
  <c r="W39" i="36"/>
  <c r="Z39" i="36"/>
  <c r="Y39" i="36"/>
  <c r="V39" i="36"/>
  <c r="P75" i="50"/>
  <c r="P80" i="50"/>
  <c r="P76" i="50"/>
  <c r="P79" i="50"/>
  <c r="P74" i="50"/>
  <c r="P78" i="50"/>
  <c r="P81" i="50"/>
  <c r="R39" i="22"/>
  <c r="S39" i="22"/>
  <c r="S34" i="12"/>
  <c r="T34" i="12"/>
  <c r="T39" i="28"/>
  <c r="U39" i="28"/>
  <c r="R47" i="61"/>
  <c r="N30" i="54" l="1"/>
  <c r="O30" i="54"/>
  <c r="M30" i="54"/>
  <c r="Q31" i="54"/>
  <c r="L30" i="54"/>
  <c r="Q30" i="54"/>
  <c r="R40" i="22"/>
  <c r="S40" i="22"/>
  <c r="V40" i="36"/>
  <c r="W40" i="36"/>
  <c r="X40" i="36"/>
  <c r="Y40" i="36"/>
  <c r="Z40" i="36"/>
  <c r="U40" i="36"/>
  <c r="S40" i="17"/>
  <c r="R40" i="17"/>
  <c r="O76" i="50"/>
  <c r="O75" i="50"/>
  <c r="O79" i="50"/>
  <c r="O78" i="50"/>
  <c r="O81" i="50"/>
  <c r="O80" i="50"/>
  <c r="O74" i="50"/>
  <c r="T35" i="12"/>
  <c r="S35" i="12"/>
  <c r="U40" i="28"/>
  <c r="T40" i="28"/>
  <c r="R48" i="61"/>
  <c r="S47" i="61"/>
  <c r="S48" i="61"/>
  <c r="L31" i="54" l="1"/>
  <c r="M31" i="54"/>
  <c r="N31" i="54"/>
  <c r="L32" i="54"/>
  <c r="P31" i="54"/>
  <c r="O31" i="54"/>
  <c r="S41" i="17"/>
  <c r="R41" i="17"/>
  <c r="X41" i="36"/>
  <c r="W41" i="36"/>
  <c r="U41" i="36"/>
  <c r="V41" i="36"/>
  <c r="Z41" i="36"/>
  <c r="Y41" i="36"/>
  <c r="N79" i="50"/>
  <c r="N76" i="50"/>
  <c r="N81" i="50"/>
  <c r="N74" i="50"/>
  <c r="N75" i="50"/>
  <c r="N78" i="50"/>
  <c r="N80" i="50"/>
  <c r="R41" i="22"/>
  <c r="S41" i="22"/>
  <c r="T36" i="12"/>
  <c r="S36" i="12"/>
  <c r="U41" i="28"/>
  <c r="T41" i="28"/>
  <c r="S49" i="61"/>
  <c r="R49" i="61"/>
  <c r="P32" i="54" l="1"/>
  <c r="O32" i="54"/>
  <c r="N32" i="54"/>
  <c r="P33" i="54"/>
  <c r="Q32" i="54"/>
  <c r="M32" i="54"/>
  <c r="S42" i="17"/>
  <c r="R42" i="17"/>
  <c r="M81" i="50"/>
  <c r="M74" i="50"/>
  <c r="M75" i="50"/>
  <c r="M78" i="50"/>
  <c r="M79" i="50"/>
  <c r="M76" i="50"/>
  <c r="M80" i="50"/>
  <c r="U42" i="36"/>
  <c r="W42" i="36"/>
  <c r="V42" i="36"/>
  <c r="X42" i="36"/>
  <c r="Z42" i="36"/>
  <c r="Y42" i="36"/>
  <c r="S42" i="22"/>
  <c r="R42" i="22"/>
  <c r="S37" i="12"/>
  <c r="T37" i="12"/>
  <c r="U42" i="28"/>
  <c r="T42" i="28"/>
  <c r="R50" i="61"/>
  <c r="S50" i="61"/>
  <c r="O33" i="54" l="1"/>
  <c r="N33" i="54"/>
  <c r="M33" i="54"/>
  <c r="N34" i="54"/>
  <c r="L33" i="54"/>
  <c r="Q33" i="54"/>
  <c r="S43" i="17"/>
  <c r="R43" i="17"/>
  <c r="S43" i="22"/>
  <c r="R43" i="22"/>
  <c r="L79" i="50"/>
  <c r="L76" i="50"/>
  <c r="L75" i="50"/>
  <c r="L80" i="50"/>
  <c r="L74" i="50"/>
  <c r="L81" i="50"/>
  <c r="L78" i="50"/>
  <c r="X43" i="36"/>
  <c r="W43" i="36"/>
  <c r="Y43" i="36"/>
  <c r="V43" i="36"/>
  <c r="U43" i="36"/>
  <c r="Z43" i="36"/>
  <c r="T38" i="12"/>
  <c r="S38" i="12"/>
  <c r="T43" i="28"/>
  <c r="U43" i="28"/>
  <c r="S51" i="61"/>
  <c r="R51" i="61"/>
  <c r="P34" i="54" l="1"/>
  <c r="M34" i="54"/>
  <c r="L34" i="54"/>
  <c r="Q34" i="54"/>
  <c r="M35" i="54"/>
  <c r="O34" i="54"/>
  <c r="U44" i="36"/>
  <c r="W44" i="36"/>
  <c r="V44" i="36"/>
  <c r="X44" i="36"/>
  <c r="Z44" i="36"/>
  <c r="Y44" i="36"/>
  <c r="S44" i="17"/>
  <c r="R44" i="17"/>
  <c r="S44" i="22"/>
  <c r="R44" i="22"/>
  <c r="K81" i="50"/>
  <c r="K79" i="50"/>
  <c r="K74" i="50"/>
  <c r="K76" i="50"/>
  <c r="K78" i="50"/>
  <c r="K80" i="50"/>
  <c r="K75" i="50"/>
  <c r="T39" i="12"/>
  <c r="S39" i="12"/>
  <c r="U44" i="28"/>
  <c r="T44" i="28"/>
  <c r="S52" i="61"/>
  <c r="R52" i="61"/>
  <c r="L35" i="54" l="1"/>
  <c r="N35" i="54"/>
  <c r="L36" i="54"/>
  <c r="O35" i="54"/>
  <c r="Q35" i="54"/>
  <c r="P35" i="54"/>
  <c r="S45" i="22"/>
  <c r="R45" i="22"/>
  <c r="J79" i="50"/>
  <c r="J75" i="50"/>
  <c r="J74" i="50"/>
  <c r="J78" i="50"/>
  <c r="J81" i="50"/>
  <c r="J76" i="50"/>
  <c r="J80" i="50"/>
  <c r="R45" i="17"/>
  <c r="S45" i="17"/>
  <c r="X45" i="36"/>
  <c r="V45" i="36"/>
  <c r="U45" i="36"/>
  <c r="Z45" i="36"/>
  <c r="Y45" i="36"/>
  <c r="W45" i="36"/>
  <c r="T40" i="12"/>
  <c r="S40" i="12"/>
  <c r="U45" i="28"/>
  <c r="T45" i="28"/>
  <c r="S53" i="61"/>
  <c r="Q36" i="54" l="1"/>
  <c r="P36" i="54"/>
  <c r="O36" i="54"/>
  <c r="M36" i="54"/>
  <c r="N36" i="54"/>
  <c r="Q37" i="54"/>
  <c r="W46" i="36"/>
  <c r="X46" i="36"/>
  <c r="Y46" i="36"/>
  <c r="Z46" i="36"/>
  <c r="V46" i="36"/>
  <c r="U46" i="36"/>
  <c r="S46" i="17"/>
  <c r="R46" i="17"/>
  <c r="R46" i="22"/>
  <c r="S46" i="22"/>
  <c r="S41" i="12"/>
  <c r="T41" i="12"/>
  <c r="T46" i="28"/>
  <c r="U46" i="28"/>
  <c r="R53" i="61"/>
  <c r="M37" i="54" l="1"/>
  <c r="O37" i="54"/>
  <c r="L37" i="54"/>
  <c r="P37" i="54"/>
  <c r="N37" i="54"/>
  <c r="R47" i="17"/>
  <c r="S47" i="17"/>
  <c r="S47" i="22"/>
  <c r="R47" i="22"/>
  <c r="V47" i="36"/>
  <c r="X47" i="36"/>
  <c r="W47" i="36"/>
  <c r="U47" i="36"/>
  <c r="Z47" i="36"/>
  <c r="Y47" i="36"/>
  <c r="T42" i="12"/>
  <c r="S42" i="12"/>
  <c r="M38" i="54"/>
  <c r="N38" i="54"/>
  <c r="P38" i="54"/>
  <c r="O38" i="54"/>
  <c r="Q38" i="54"/>
  <c r="L38" i="54"/>
  <c r="U47" i="28"/>
  <c r="T47" i="28"/>
  <c r="S55" i="61"/>
  <c r="R54" i="61"/>
  <c r="S48" i="22" l="1"/>
  <c r="R48" i="22"/>
  <c r="R48" i="17"/>
  <c r="S48" i="17"/>
  <c r="X48" i="36"/>
  <c r="W48" i="36"/>
  <c r="Z48" i="36"/>
  <c r="U48" i="36"/>
  <c r="V48" i="36"/>
  <c r="Y48" i="36"/>
  <c r="T43" i="12"/>
  <c r="S43" i="12"/>
  <c r="P39" i="54"/>
  <c r="M39" i="54"/>
  <c r="N39" i="54"/>
  <c r="O39" i="54"/>
  <c r="L39" i="54"/>
  <c r="Q39" i="54"/>
  <c r="U48" i="28"/>
  <c r="T48" i="28"/>
  <c r="S56" i="61"/>
  <c r="R55" i="61"/>
  <c r="U49" i="36" l="1"/>
  <c r="X49" i="36"/>
  <c r="W49" i="36"/>
  <c r="V49" i="36"/>
  <c r="Z49" i="36"/>
  <c r="Y49" i="36"/>
  <c r="R49" i="17"/>
  <c r="S49" i="17"/>
  <c r="R49" i="22"/>
  <c r="S49" i="22"/>
  <c r="T44" i="12"/>
  <c r="S44" i="12"/>
  <c r="Q40" i="54"/>
  <c r="L40" i="54"/>
  <c r="M40" i="54"/>
  <c r="N40" i="54"/>
  <c r="O40" i="54"/>
  <c r="P40" i="54"/>
  <c r="U49" i="28"/>
  <c r="T49" i="28"/>
  <c r="S57" i="61"/>
  <c r="R56" i="61"/>
  <c r="S58" i="61" l="1"/>
  <c r="S50" i="22"/>
  <c r="R50" i="22"/>
  <c r="W50" i="36"/>
  <c r="V50" i="36"/>
  <c r="U50" i="36"/>
  <c r="Z50" i="36"/>
  <c r="Y50" i="36"/>
  <c r="X50" i="36"/>
  <c r="R50" i="17"/>
  <c r="S50" i="17"/>
  <c r="S45" i="12"/>
  <c r="T45" i="12"/>
  <c r="M41" i="54"/>
  <c r="N41" i="54"/>
  <c r="O41" i="54"/>
  <c r="Q41" i="54"/>
  <c r="P41" i="54"/>
  <c r="L41" i="54"/>
  <c r="U50" i="28"/>
  <c r="T50" i="28"/>
  <c r="R57" i="61"/>
  <c r="R58" i="61" l="1"/>
  <c r="S59" i="61"/>
  <c r="R51" i="17"/>
  <c r="S51" i="17"/>
  <c r="U51" i="36"/>
  <c r="V51" i="36"/>
  <c r="Z51" i="36"/>
  <c r="X51" i="36"/>
  <c r="W51" i="36"/>
  <c r="Y51" i="36"/>
  <c r="R51" i="22"/>
  <c r="S51" i="22"/>
  <c r="T46" i="12"/>
  <c r="S46" i="12"/>
  <c r="L42" i="54"/>
  <c r="M42" i="54"/>
  <c r="O42" i="54"/>
  <c r="N42" i="54"/>
  <c r="P42" i="54"/>
  <c r="Q42" i="54"/>
  <c r="U51" i="28"/>
  <c r="T51" i="28"/>
  <c r="R59" i="61" l="1"/>
  <c r="S60" i="61"/>
  <c r="V52" i="36"/>
  <c r="U52" i="36"/>
  <c r="Z52" i="36"/>
  <c r="Y52" i="36"/>
  <c r="W52" i="36"/>
  <c r="X52" i="36"/>
  <c r="S52" i="22"/>
  <c r="R52" i="22"/>
  <c r="S52" i="17"/>
  <c r="R52" i="17"/>
  <c r="S47" i="12"/>
  <c r="T47" i="12"/>
  <c r="L43" i="54"/>
  <c r="N43" i="54"/>
  <c r="O43" i="54"/>
  <c r="M43" i="54"/>
  <c r="Q43" i="54"/>
  <c r="P43" i="54"/>
  <c r="T52" i="28"/>
  <c r="U52" i="28"/>
  <c r="R60" i="61" l="1"/>
  <c r="S80" i="50"/>
  <c r="R53" i="22"/>
  <c r="S53" i="22"/>
  <c r="S53" i="17"/>
  <c r="R53" i="17"/>
  <c r="Z53" i="36"/>
  <c r="U53" i="36"/>
  <c r="Y53" i="36"/>
  <c r="X53" i="36"/>
  <c r="W53" i="36"/>
  <c r="V53" i="36"/>
  <c r="T48" i="12"/>
  <c r="S48" i="12"/>
  <c r="L44" i="54"/>
  <c r="Q44" i="54"/>
  <c r="M44" i="54"/>
  <c r="N44" i="54"/>
  <c r="P44" i="54"/>
  <c r="O44" i="54"/>
  <c r="T53" i="28"/>
  <c r="U53" i="28"/>
  <c r="S54" i="17" l="1"/>
  <c r="R54" i="17"/>
  <c r="Z54" i="36"/>
  <c r="V54" i="36"/>
  <c r="U54" i="36"/>
  <c r="X54" i="36"/>
  <c r="Y54" i="36"/>
  <c r="W54" i="36"/>
  <c r="S54" i="22"/>
  <c r="R54" i="22"/>
  <c r="T49" i="12"/>
  <c r="S49" i="12"/>
  <c r="O45" i="54"/>
  <c r="Q45" i="54"/>
  <c r="L45" i="54"/>
  <c r="M45" i="54"/>
  <c r="P45" i="54"/>
  <c r="N45" i="54"/>
  <c r="T54" i="28"/>
  <c r="U54" i="28"/>
  <c r="R55" i="22" l="1"/>
  <c r="S55" i="22"/>
  <c r="U55" i="36"/>
  <c r="Y55" i="36"/>
  <c r="V55" i="36"/>
  <c r="Z55" i="36"/>
  <c r="X55" i="36"/>
  <c r="W55" i="36"/>
  <c r="R55" i="17"/>
  <c r="S55" i="17"/>
  <c r="N46" i="54"/>
  <c r="Q46" i="54"/>
  <c r="O46" i="54"/>
  <c r="P46" i="54"/>
  <c r="L46" i="54"/>
  <c r="M46" i="54"/>
  <c r="T55" i="28"/>
  <c r="U55" i="28"/>
  <c r="S56" i="22" l="1"/>
  <c r="R56" i="22"/>
  <c r="U56" i="36"/>
  <c r="V56" i="36"/>
  <c r="Y56" i="36"/>
  <c r="X56" i="36"/>
  <c r="W56" i="36"/>
  <c r="Z56" i="36"/>
  <c r="R56" i="17"/>
  <c r="S56" i="17"/>
  <c r="T51" i="12"/>
  <c r="S51" i="12"/>
  <c r="Q47" i="54"/>
  <c r="L47" i="54"/>
  <c r="M47" i="54"/>
  <c r="N47" i="54"/>
  <c r="O47" i="54"/>
  <c r="P47" i="54"/>
  <c r="T56" i="28"/>
  <c r="U56" i="28"/>
  <c r="Y57" i="36" l="1"/>
  <c r="U57" i="36"/>
  <c r="W57" i="36"/>
  <c r="X57" i="36"/>
  <c r="V57" i="36"/>
  <c r="Z57" i="36"/>
  <c r="S57" i="17"/>
  <c r="R57" i="17"/>
  <c r="S57" i="22"/>
  <c r="R57" i="22"/>
  <c r="T52" i="12"/>
  <c r="S52" i="12"/>
  <c r="P48" i="54"/>
  <c r="L48" i="54"/>
  <c r="O48" i="54"/>
  <c r="N48" i="54"/>
  <c r="M48" i="54"/>
  <c r="Q48" i="54"/>
  <c r="U57" i="28"/>
  <c r="T57" i="28"/>
  <c r="R58" i="17" l="1"/>
  <c r="S58" i="17"/>
  <c r="R58" i="22"/>
  <c r="S58" i="22"/>
  <c r="V58" i="36"/>
  <c r="U58" i="36"/>
  <c r="Z58" i="36"/>
  <c r="Y58" i="36"/>
  <c r="X58" i="36"/>
  <c r="W58" i="36"/>
  <c r="S53" i="12"/>
  <c r="T53" i="12"/>
  <c r="Q49" i="54"/>
  <c r="L49" i="54"/>
  <c r="N49" i="54"/>
  <c r="M49" i="54"/>
  <c r="O49" i="54"/>
  <c r="P49" i="54"/>
  <c r="U58" i="28"/>
  <c r="T58" i="28"/>
  <c r="S59" i="22" l="1"/>
  <c r="R59" i="22"/>
  <c r="U59" i="36"/>
  <c r="Z59" i="36"/>
  <c r="X59" i="36"/>
  <c r="Y59" i="36"/>
  <c r="W59" i="36"/>
  <c r="V59" i="36"/>
  <c r="R59" i="17"/>
  <c r="S59" i="17"/>
  <c r="S54" i="12"/>
  <c r="T54" i="12"/>
  <c r="Q50" i="54"/>
  <c r="L50" i="54"/>
  <c r="N50" i="54"/>
  <c r="O50" i="54"/>
  <c r="M50" i="54"/>
  <c r="P50" i="54"/>
  <c r="U59" i="28"/>
  <c r="T59" i="28"/>
  <c r="S60" i="17" l="1"/>
  <c r="R60" i="17"/>
  <c r="R60" i="22"/>
  <c r="S60" i="22"/>
  <c r="Y60" i="36"/>
  <c r="V60" i="36"/>
  <c r="U60" i="36"/>
  <c r="X60" i="36"/>
  <c r="W60" i="36"/>
  <c r="Z60" i="36"/>
  <c r="S55" i="12"/>
  <c r="T55" i="12"/>
  <c r="T60" i="28"/>
  <c r="U60" i="28"/>
  <c r="J83" i="50" l="1"/>
  <c r="Q83" i="50"/>
  <c r="O83" i="50"/>
  <c r="K83" i="50"/>
  <c r="N83" i="50"/>
  <c r="P83" i="50"/>
  <c r="L83" i="50"/>
  <c r="R83" i="50"/>
  <c r="M83" i="50"/>
  <c r="S83" i="50"/>
  <c r="S79" i="50"/>
  <c r="Y61" i="36"/>
  <c r="X61" i="36"/>
  <c r="U61" i="36"/>
  <c r="V61" i="36"/>
  <c r="W61" i="36"/>
  <c r="Z61" i="36"/>
  <c r="S62" i="56"/>
  <c r="W62" i="56" s="1"/>
  <c r="S68" i="56"/>
  <c r="V68" i="56" s="1"/>
  <c r="S65" i="56"/>
  <c r="Y65" i="56" s="1"/>
  <c r="S61" i="56"/>
  <c r="T61" i="56" s="1"/>
  <c r="S67" i="56"/>
  <c r="U67" i="56" s="1"/>
  <c r="S66" i="56"/>
  <c r="V66" i="56" s="1"/>
  <c r="S64" i="56"/>
  <c r="T64" i="56" s="1"/>
  <c r="S63" i="56"/>
  <c r="X63" i="56" s="1"/>
  <c r="S59" i="56"/>
  <c r="Y59" i="56" s="1"/>
  <c r="S60" i="56"/>
  <c r="U60" i="56" s="1"/>
  <c r="X64" i="56" l="1"/>
  <c r="Y60" i="56"/>
  <c r="W67" i="56"/>
  <c r="W63" i="56"/>
  <c r="Y67" i="56"/>
  <c r="Y68" i="56"/>
  <c r="T63" i="56"/>
  <c r="X67" i="56"/>
  <c r="Y63" i="56"/>
  <c r="V67" i="56"/>
  <c r="X62" i="56"/>
  <c r="T67" i="56"/>
  <c r="U68" i="56"/>
  <c r="Y61" i="56"/>
  <c r="W59" i="56"/>
  <c r="U61" i="56"/>
  <c r="W68" i="56"/>
  <c r="W65" i="56"/>
  <c r="T62" i="56"/>
  <c r="X60" i="56"/>
  <c r="Y62" i="56"/>
  <c r="V60" i="56"/>
  <c r="V64" i="56"/>
  <c r="V61" i="56"/>
  <c r="X68" i="56"/>
  <c r="U62" i="56"/>
  <c r="W60" i="56"/>
  <c r="T68" i="56"/>
  <c r="U59" i="56"/>
  <c r="Y66" i="56"/>
  <c r="W64" i="56"/>
  <c r="T65" i="56"/>
  <c r="T59" i="56"/>
  <c r="T60" i="56"/>
  <c r="V63" i="56"/>
  <c r="U66" i="56"/>
  <c r="W61" i="56"/>
  <c r="X65" i="56"/>
  <c r="V62" i="56"/>
  <c r="X59" i="56"/>
  <c r="X61" i="56"/>
  <c r="V59" i="56"/>
  <c r="T66" i="56"/>
  <c r="V65" i="56"/>
  <c r="U64" i="56"/>
  <c r="W66" i="56"/>
  <c r="U65" i="56"/>
  <c r="U63" i="56"/>
  <c r="Y64" i="56"/>
  <c r="X66" i="56"/>
  <c r="M26" i="71" l="1"/>
  <c r="M34" i="71"/>
  <c r="M24" i="71"/>
  <c r="M14" i="71"/>
  <c r="M20" i="71"/>
  <c r="M12" i="71"/>
  <c r="M33" i="71"/>
  <c r="M21" i="71"/>
  <c r="M38" i="71"/>
  <c r="M10" i="71"/>
  <c r="M28" i="71"/>
  <c r="M39" i="71"/>
  <c r="M18" i="71"/>
  <c r="M23" i="71"/>
  <c r="M27" i="71"/>
  <c r="M13" i="71"/>
  <c r="M31" i="71"/>
  <c r="M8" i="71"/>
  <c r="M25" i="71"/>
  <c r="M19" i="71"/>
  <c r="M11" i="71"/>
  <c r="M17" i="71"/>
  <c r="M32" i="71"/>
  <c r="M16" i="71"/>
  <c r="M15" i="71"/>
  <c r="M37" i="71"/>
  <c r="M30" i="71"/>
  <c r="M9" i="71"/>
  <c r="M35" i="71"/>
  <c r="M29" i="71"/>
  <c r="M22" i="71"/>
  <c r="M7" i="71"/>
  <c r="G56" i="71" l="1"/>
  <c r="G66" i="71"/>
  <c r="I65" i="71"/>
  <c r="I60" i="71"/>
  <c r="H59" i="71"/>
  <c r="I56" i="71"/>
  <c r="H63" i="71"/>
  <c r="G62" i="71"/>
  <c r="G58" i="71"/>
  <c r="E60" i="71"/>
  <c r="G61" i="71"/>
  <c r="G64" i="71"/>
  <c r="I63" i="71"/>
  <c r="E65" i="71"/>
  <c r="H65" i="71"/>
  <c r="I58" i="71"/>
  <c r="E61" i="71"/>
  <c r="G57" i="71"/>
  <c r="H62" i="71"/>
  <c r="E62" i="71"/>
  <c r="E64" i="71"/>
  <c r="I57" i="71"/>
  <c r="I66" i="71"/>
  <c r="H58" i="71"/>
  <c r="H66" i="71"/>
  <c r="E59" i="71"/>
  <c r="I59" i="71"/>
  <c r="H61" i="71"/>
  <c r="G63" i="71"/>
  <c r="H60" i="71"/>
  <c r="I62" i="71"/>
  <c r="E58" i="71"/>
  <c r="I61" i="71"/>
  <c r="G59" i="71"/>
  <c r="G60" i="71"/>
  <c r="H56" i="71"/>
  <c r="H64" i="71"/>
  <c r="E63" i="71"/>
  <c r="E57" i="71"/>
  <c r="G65" i="71"/>
  <c r="H57" i="71"/>
  <c r="I64" i="71"/>
  <c r="E56" i="71"/>
  <c r="M87" i="52"/>
  <c r="Z40" i="52"/>
  <c r="AA40" i="52" s="1"/>
  <c r="Z12" i="52"/>
  <c r="AA12" i="52" s="1"/>
  <c r="Z20" i="52"/>
  <c r="AB20" i="52" s="1"/>
  <c r="Z15" i="52"/>
  <c r="AB15" i="52" s="1"/>
  <c r="Z37" i="52"/>
  <c r="AB37" i="52" s="1"/>
  <c r="Z64" i="52"/>
  <c r="AA64" i="52" s="1"/>
  <c r="Z13" i="52"/>
  <c r="AA13" i="52" s="1"/>
  <c r="Z70" i="52"/>
  <c r="AA70" i="52" s="1"/>
  <c r="AB70" i="52"/>
  <c r="Z39" i="52"/>
  <c r="AA39" i="52" s="1"/>
  <c r="Z62" i="52"/>
  <c r="AA62" i="52" s="1"/>
  <c r="Z38" i="52"/>
  <c r="AA38" i="52" s="1"/>
  <c r="Z18" i="52"/>
  <c r="AB18" i="52" s="1"/>
  <c r="Z36" i="52"/>
  <c r="AB36" i="52" s="1"/>
  <c r="Z61" i="52"/>
  <c r="AB61" i="52" s="1"/>
  <c r="Z63" i="52"/>
  <c r="AA63" i="52" s="1"/>
  <c r="Z19" i="52"/>
  <c r="AB19" i="52" s="1"/>
  <c r="Z66" i="52"/>
  <c r="AA66" i="52" s="1"/>
  <c r="Z45" i="52"/>
  <c r="AB45" i="52" s="1"/>
  <c r="Z44" i="52"/>
  <c r="AA44" i="52" s="1"/>
  <c r="Z65" i="52"/>
  <c r="AA65" i="52" s="1"/>
  <c r="Z69" i="52"/>
  <c r="AB69" i="52" s="1"/>
  <c r="Z42" i="52"/>
  <c r="AB42" i="52" s="1"/>
  <c r="Z14" i="52"/>
  <c r="AB14" i="52" s="1"/>
  <c r="Z16" i="52"/>
  <c r="AA16" i="52" s="1"/>
  <c r="Z17" i="52"/>
  <c r="AB17" i="52" s="1"/>
  <c r="Z11" i="52"/>
  <c r="AB11" i="52" s="1"/>
  <c r="Z67" i="52"/>
  <c r="AB67" i="52" s="1"/>
  <c r="Z43" i="52"/>
  <c r="AB43" i="52" s="1"/>
  <c r="Z68" i="52"/>
  <c r="AA68" i="52" s="1"/>
  <c r="Z41" i="52"/>
  <c r="AA41" i="52" s="1"/>
  <c r="AA19" i="52" l="1"/>
  <c r="J65" i="71"/>
  <c r="AA43" i="52"/>
  <c r="AB16" i="52"/>
  <c r="J64" i="71"/>
  <c r="J60" i="71"/>
  <c r="J61" i="71"/>
  <c r="J62" i="71"/>
  <c r="J59" i="71"/>
  <c r="J57" i="71"/>
  <c r="J66" i="71"/>
  <c r="J63" i="71"/>
  <c r="J58" i="71"/>
  <c r="J56" i="71"/>
  <c r="AB65" i="52"/>
  <c r="AB44" i="52"/>
  <c r="AA45" i="52"/>
  <c r="AA20" i="52"/>
  <c r="AA18" i="52"/>
  <c r="AA11" i="52"/>
  <c r="AA69" i="52"/>
  <c r="AA36" i="52"/>
  <c r="AB39" i="52"/>
  <c r="AB13" i="52"/>
  <c r="AA42" i="52"/>
  <c r="AA61" i="52"/>
  <c r="AA37" i="52"/>
  <c r="AB41" i="52"/>
  <c r="AB68" i="52"/>
  <c r="AA67" i="52"/>
  <c r="AA17" i="52"/>
  <c r="AA14" i="52"/>
  <c r="AB66" i="52"/>
  <c r="AB63" i="52"/>
  <c r="AB38" i="52"/>
  <c r="AB64" i="52"/>
  <c r="AA15" i="52"/>
  <c r="AB40" i="52"/>
  <c r="AB62" i="52"/>
  <c r="AB12" i="52"/>
  <c r="AD37" i="52"/>
  <c r="L87" i="52"/>
  <c r="AC73" i="51" l="1"/>
  <c r="G36" i="42"/>
  <c r="AE72" i="62"/>
  <c r="C66" i="49" s="1"/>
  <c r="AD72" i="51"/>
  <c r="AC71" i="51"/>
  <c r="AF71" i="62"/>
  <c r="E65" i="49" s="1"/>
  <c r="AD73" i="51"/>
  <c r="AC72" i="51"/>
  <c r="AE73" i="62"/>
  <c r="C67" i="49" s="1"/>
  <c r="AE71" i="62"/>
  <c r="C65" i="49" s="1"/>
  <c r="AD71" i="51"/>
  <c r="AF73" i="62"/>
  <c r="E67" i="49" s="1"/>
  <c r="AF72" i="62"/>
  <c r="E66" i="49" s="1"/>
  <c r="D36" i="42"/>
  <c r="E36" i="42" s="1"/>
  <c r="F36" i="42" s="1"/>
  <c r="AJ37" i="52"/>
  <c r="AI37" i="52"/>
  <c r="AK37" i="52"/>
  <c r="AH37" i="52"/>
  <c r="AF37" i="52"/>
  <c r="AG37" i="52"/>
  <c r="AD38" i="52"/>
  <c r="AM37" i="52"/>
  <c r="AE37" i="52"/>
  <c r="AL37" i="52"/>
  <c r="A87" i="52"/>
  <c r="AD73" i="62"/>
  <c r="G32" i="42"/>
  <c r="G26" i="42"/>
  <c r="G18" i="42"/>
  <c r="G28" i="42"/>
  <c r="Y71" i="51"/>
  <c r="AC73" i="62"/>
  <c r="G19" i="42"/>
  <c r="D18" i="42"/>
  <c r="G21" i="42"/>
  <c r="G22" i="42"/>
  <c r="AB73" i="51"/>
  <c r="AD71" i="62"/>
  <c r="D19" i="42"/>
  <c r="D26" i="42"/>
  <c r="G20" i="42"/>
  <c r="G25" i="42"/>
  <c r="AB72" i="51"/>
  <c r="AD72" i="62"/>
  <c r="D34" i="42"/>
  <c r="G23" i="42"/>
  <c r="D24" i="42"/>
  <c r="D28" i="42"/>
  <c r="AA71" i="51"/>
  <c r="D35" i="42"/>
  <c r="E35" i="42" s="1"/>
  <c r="F35" i="42" s="1"/>
  <c r="D32" i="42"/>
  <c r="G24" i="42"/>
  <c r="D23" i="42"/>
  <c r="D25" i="42"/>
  <c r="Z71" i="51"/>
  <c r="AA72" i="51"/>
  <c r="D33" i="42"/>
  <c r="D31" i="42"/>
  <c r="G31" i="42"/>
  <c r="D21" i="42"/>
  <c r="G34" i="42"/>
  <c r="AA73" i="51"/>
  <c r="Y73" i="51"/>
  <c r="AC71" i="62"/>
  <c r="D22" i="42"/>
  <c r="G27" i="42"/>
  <c r="D27" i="42"/>
  <c r="D20" i="42"/>
  <c r="G29" i="42"/>
  <c r="Z73" i="51"/>
  <c r="AB71" i="51"/>
  <c r="AC72" i="62"/>
  <c r="G35" i="42"/>
  <c r="G30" i="42"/>
  <c r="D30" i="42"/>
  <c r="G33" i="42"/>
  <c r="D29" i="42"/>
  <c r="Y72" i="51"/>
  <c r="Z72" i="51"/>
  <c r="X73" i="51"/>
  <c r="G72" i="51"/>
  <c r="J72" i="51"/>
  <c r="E72" i="62"/>
  <c r="Q71" i="51"/>
  <c r="D73" i="51"/>
  <c r="I71" i="62"/>
  <c r="S73" i="51"/>
  <c r="H72" i="62"/>
  <c r="V72" i="62"/>
  <c r="N72" i="62"/>
  <c r="T73" i="51"/>
  <c r="L72" i="62"/>
  <c r="Z72" i="62"/>
  <c r="G71" i="51"/>
  <c r="AA73" i="62"/>
  <c r="T72" i="62"/>
  <c r="O71" i="62"/>
  <c r="P73" i="51"/>
  <c r="I72" i="51"/>
  <c r="Q73" i="62"/>
  <c r="S71" i="51"/>
  <c r="O73" i="51"/>
  <c r="V73" i="51"/>
  <c r="K71" i="51"/>
  <c r="R72" i="62"/>
  <c r="S72" i="62"/>
  <c r="I71" i="51"/>
  <c r="S72" i="51"/>
  <c r="M72" i="62"/>
  <c r="Q72" i="51"/>
  <c r="H73" i="51"/>
  <c r="N72" i="51"/>
  <c r="K72" i="62"/>
  <c r="U72" i="51"/>
  <c r="J72" i="62"/>
  <c r="U73" i="51"/>
  <c r="Q73" i="51"/>
  <c r="K71" i="62"/>
  <c r="U72" i="62"/>
  <c r="P72" i="62"/>
  <c r="U71" i="62"/>
  <c r="O71" i="51"/>
  <c r="I73" i="62"/>
  <c r="Y71" i="62"/>
  <c r="O72" i="51"/>
  <c r="C73" i="51"/>
  <c r="W72" i="51"/>
  <c r="W71" i="51"/>
  <c r="W72" i="62"/>
  <c r="X72" i="62"/>
  <c r="W71" i="62"/>
  <c r="C71" i="51"/>
  <c r="N73" i="51"/>
  <c r="W73" i="51"/>
  <c r="Y73" i="62"/>
  <c r="T72" i="51"/>
  <c r="Q71" i="62"/>
  <c r="R73" i="51"/>
  <c r="G73" i="62"/>
  <c r="Q72" i="62"/>
  <c r="F73" i="62"/>
  <c r="K73" i="62"/>
  <c r="E71" i="62"/>
  <c r="U71" i="51"/>
  <c r="AA71" i="62"/>
  <c r="M71" i="51"/>
  <c r="S71" i="62"/>
  <c r="K72" i="51"/>
  <c r="AA72" i="62"/>
  <c r="M73" i="51"/>
  <c r="E73" i="62"/>
  <c r="R72" i="51"/>
  <c r="M73" i="62"/>
  <c r="O73" i="62"/>
  <c r="G71" i="62"/>
  <c r="G72" i="62"/>
  <c r="W73" i="62"/>
  <c r="P72" i="51"/>
  <c r="G73" i="51"/>
  <c r="D72" i="51"/>
  <c r="AB72" i="62"/>
  <c r="I73" i="51"/>
  <c r="L72" i="51"/>
  <c r="K73" i="51"/>
  <c r="U73" i="62"/>
  <c r="Y72" i="62"/>
  <c r="F72" i="62"/>
  <c r="C72" i="51"/>
  <c r="I72" i="62"/>
  <c r="L73" i="51"/>
  <c r="X72" i="51"/>
  <c r="H72" i="51"/>
  <c r="M71" i="62"/>
  <c r="V72" i="51"/>
  <c r="S73" i="62"/>
  <c r="O72" i="62"/>
  <c r="J73" i="51"/>
  <c r="M72" i="51"/>
  <c r="D73" i="62"/>
  <c r="H73" i="62"/>
  <c r="Z73" i="62"/>
  <c r="V71" i="51"/>
  <c r="C73" i="62"/>
  <c r="E73" i="51"/>
  <c r="L71" i="51"/>
  <c r="D71" i="51"/>
  <c r="C71" i="62"/>
  <c r="X71" i="51"/>
  <c r="X73" i="62"/>
  <c r="E72" i="51"/>
  <c r="R71" i="51"/>
  <c r="F73" i="51"/>
  <c r="J71" i="51"/>
  <c r="AB73" i="62"/>
  <c r="N71" i="51"/>
  <c r="F72" i="51"/>
  <c r="E71" i="51"/>
  <c r="C72" i="62"/>
  <c r="H71" i="51"/>
  <c r="V73" i="62"/>
  <c r="P71" i="51"/>
  <c r="T71" i="51"/>
  <c r="D72" i="62"/>
  <c r="F71" i="51"/>
  <c r="F71" i="62"/>
  <c r="V71" i="62"/>
  <c r="AB71" i="62"/>
  <c r="Z71" i="62"/>
  <c r="H71" i="62"/>
  <c r="X71" i="62"/>
  <c r="D71" i="62"/>
  <c r="T71" i="62"/>
  <c r="T73" i="62"/>
  <c r="R73" i="62"/>
  <c r="R71" i="62"/>
  <c r="P71" i="62"/>
  <c r="P73" i="62"/>
  <c r="N71" i="62"/>
  <c r="N73" i="62"/>
  <c r="L73" i="62"/>
  <c r="L71" i="62"/>
  <c r="J73" i="62"/>
  <c r="J71" i="62"/>
  <c r="S10" i="50"/>
  <c r="T15" i="50"/>
  <c r="H10" i="50"/>
  <c r="J10" i="50"/>
  <c r="K15" i="50"/>
  <c r="U10" i="50"/>
  <c r="I10" i="50"/>
  <c r="U15" i="50"/>
  <c r="G15" i="50"/>
  <c r="O15" i="50"/>
  <c r="P15" i="50"/>
  <c r="Q15" i="50"/>
  <c r="R10" i="50"/>
  <c r="J15" i="50"/>
  <c r="M15" i="50"/>
  <c r="I15" i="50"/>
  <c r="P10" i="50"/>
  <c r="Q10" i="50"/>
  <c r="M10" i="50"/>
  <c r="T10" i="50"/>
  <c r="O10" i="50"/>
  <c r="L15" i="50"/>
  <c r="K10" i="50"/>
  <c r="N15" i="50"/>
  <c r="H15" i="50"/>
  <c r="R15" i="50"/>
  <c r="S15" i="50"/>
  <c r="G10" i="50"/>
  <c r="L10" i="50"/>
  <c r="N10" i="50"/>
  <c r="AJ72" i="62" l="1"/>
  <c r="AI71" i="62"/>
  <c r="AI72" i="51"/>
  <c r="AJ72" i="51"/>
  <c r="AI73" i="62"/>
  <c r="AI72" i="62"/>
  <c r="AJ73" i="62"/>
  <c r="AJ71" i="62"/>
  <c r="AI73" i="51"/>
  <c r="AJ73" i="51"/>
  <c r="AI71" i="51"/>
  <c r="AJ71" i="51"/>
  <c r="E68" i="49"/>
  <c r="Q21" i="49"/>
  <c r="O22" i="49"/>
  <c r="O21" i="49"/>
  <c r="O19" i="49"/>
  <c r="AF74" i="62"/>
  <c r="AF91" i="62" s="1"/>
  <c r="Q19" i="49"/>
  <c r="AD74" i="51"/>
  <c r="H36" i="42"/>
  <c r="AD74" i="62"/>
  <c r="AD91" i="62" s="1"/>
  <c r="AJ38" i="52"/>
  <c r="AM38" i="52"/>
  <c r="AK38" i="52"/>
  <c r="AF38" i="52"/>
  <c r="AE38" i="52"/>
  <c r="AD39" i="52"/>
  <c r="AL38" i="52"/>
  <c r="AI38" i="52"/>
  <c r="AH38" i="52"/>
  <c r="AG38" i="52"/>
  <c r="H35" i="42"/>
  <c r="AB74" i="51"/>
  <c r="AB91" i="51" s="1"/>
  <c r="P74" i="51"/>
  <c r="P91" i="51" s="1"/>
  <c r="Z74" i="51"/>
  <c r="B73" i="42"/>
  <c r="B53" i="42"/>
  <c r="B78" i="42"/>
  <c r="B84" i="42"/>
  <c r="B66" i="42"/>
  <c r="B64" i="42"/>
  <c r="B88" i="42"/>
  <c r="B61" i="42"/>
  <c r="B76" i="42"/>
  <c r="B58" i="42"/>
  <c r="B56" i="42"/>
  <c r="B80" i="42"/>
  <c r="B65" i="42"/>
  <c r="B67" i="42"/>
  <c r="B50" i="42"/>
  <c r="B87" i="42"/>
  <c r="B72" i="42"/>
  <c r="B85" i="42"/>
  <c r="B59" i="42"/>
  <c r="B82" i="42"/>
  <c r="B71" i="42"/>
  <c r="B63" i="42"/>
  <c r="B77" i="42"/>
  <c r="B51" i="42"/>
  <c r="B74" i="42"/>
  <c r="B54" i="42"/>
  <c r="B55" i="42"/>
  <c r="B69" i="42"/>
  <c r="B57" i="42"/>
  <c r="B49" i="42"/>
  <c r="B68" i="42"/>
  <c r="B86" i="42"/>
  <c r="B79" i="42"/>
  <c r="B60" i="42"/>
  <c r="B83" i="42"/>
  <c r="B81" i="42"/>
  <c r="B70" i="42"/>
  <c r="B62" i="42"/>
  <c r="B52" i="42"/>
  <c r="B75" i="42"/>
  <c r="T74" i="51"/>
  <c r="T91" i="51" s="1"/>
  <c r="J74" i="51"/>
  <c r="J91" i="51" s="1"/>
  <c r="X74" i="51"/>
  <c r="H74" i="51"/>
  <c r="H91" i="51" s="1"/>
  <c r="R74" i="51"/>
  <c r="R91" i="51" s="1"/>
  <c r="N77" i="50"/>
  <c r="K82" i="50"/>
  <c r="O77" i="50"/>
  <c r="P82" i="50"/>
  <c r="N82" i="50"/>
  <c r="S82" i="50"/>
  <c r="Q77" i="50"/>
  <c r="L77" i="50"/>
  <c r="O82" i="50"/>
  <c r="M82" i="50"/>
  <c r="J82" i="50"/>
  <c r="J77" i="50"/>
  <c r="K77" i="50"/>
  <c r="R77" i="50"/>
  <c r="L82" i="50"/>
  <c r="S77" i="50"/>
  <c r="R82" i="50"/>
  <c r="M77" i="50"/>
  <c r="Q82" i="50"/>
  <c r="P77" i="50"/>
  <c r="E21" i="42"/>
  <c r="F21" i="42" s="1"/>
  <c r="H21" i="42" s="1"/>
  <c r="E32" i="42"/>
  <c r="F32" i="42" s="1"/>
  <c r="H32" i="42" s="1"/>
  <c r="L74" i="62"/>
  <c r="L91" i="62" s="1"/>
  <c r="V74" i="62"/>
  <c r="V91" i="62" s="1"/>
  <c r="E22" i="42"/>
  <c r="F22" i="42" s="1"/>
  <c r="H22" i="42" s="1"/>
  <c r="V74" i="51"/>
  <c r="V91" i="51" s="1"/>
  <c r="H74" i="62"/>
  <c r="H91" i="62" s="1"/>
  <c r="R74" i="62"/>
  <c r="R91" i="62" s="1"/>
  <c r="AB74" i="62"/>
  <c r="AB91" i="62" s="1"/>
  <c r="E27" i="42"/>
  <c r="F27" i="42" s="1"/>
  <c r="H27" i="42" s="1"/>
  <c r="T74" i="62"/>
  <c r="T91" i="62" s="1"/>
  <c r="N74" i="51"/>
  <c r="N91" i="51" s="1"/>
  <c r="E24" i="42"/>
  <c r="F24" i="42" s="1"/>
  <c r="H24" i="42" s="1"/>
  <c r="L74" i="51"/>
  <c r="L91" i="51" s="1"/>
  <c r="E23" i="42"/>
  <c r="F23" i="42" s="1"/>
  <c r="H23" i="42" s="1"/>
  <c r="P74" i="62"/>
  <c r="P91" i="62" s="1"/>
  <c r="F74" i="51"/>
  <c r="F91" i="51" s="1"/>
  <c r="J74" i="62"/>
  <c r="J91" i="62" s="1"/>
  <c r="D74" i="51"/>
  <c r="E31" i="42"/>
  <c r="F31" i="42" s="1"/>
  <c r="H31" i="42" s="1"/>
  <c r="E18" i="42"/>
  <c r="F18" i="42" s="1"/>
  <c r="H18" i="42" s="1"/>
  <c r="N74" i="62"/>
  <c r="N91" i="62" s="1"/>
  <c r="D74" i="62"/>
  <c r="E20" i="42"/>
  <c r="F20" i="42" s="1"/>
  <c r="H20" i="42" s="1"/>
  <c r="E28" i="42"/>
  <c r="F28" i="42" s="1"/>
  <c r="H28" i="42" s="1"/>
  <c r="E34" i="42"/>
  <c r="F34" i="42" s="1"/>
  <c r="H34" i="42" s="1"/>
  <c r="Z74" i="62"/>
  <c r="Z91" i="62" s="1"/>
  <c r="E19" i="42"/>
  <c r="F19" i="42" s="1"/>
  <c r="H19" i="42" s="1"/>
  <c r="E30" i="42"/>
  <c r="F30" i="42" s="1"/>
  <c r="H30" i="42" s="1"/>
  <c r="F74" i="62"/>
  <c r="F91" i="62" s="1"/>
  <c r="E26" i="42"/>
  <c r="F26" i="42" s="1"/>
  <c r="H26" i="42" s="1"/>
  <c r="X74" i="62"/>
  <c r="X91" i="62" s="1"/>
  <c r="E33" i="42"/>
  <c r="F33" i="42" s="1"/>
  <c r="H33" i="42" s="1"/>
  <c r="E25" i="42"/>
  <c r="F25" i="42" s="1"/>
  <c r="H25" i="42" s="1"/>
  <c r="E29" i="42"/>
  <c r="F29" i="42" s="1"/>
  <c r="H29" i="42" s="1"/>
  <c r="O17" i="50"/>
  <c r="U17" i="50"/>
  <c r="N17" i="50"/>
  <c r="H17" i="50"/>
  <c r="I17" i="50"/>
  <c r="M17" i="50"/>
  <c r="P17" i="50"/>
  <c r="K17" i="50"/>
  <c r="L17" i="50"/>
  <c r="I29" i="42" l="1"/>
  <c r="I34" i="42"/>
  <c r="I24" i="42"/>
  <c r="I22" i="42"/>
  <c r="X91" i="51"/>
  <c r="Z91" i="51"/>
  <c r="AD91" i="51"/>
  <c r="I30" i="42"/>
  <c r="I33" i="42"/>
  <c r="D91" i="62"/>
  <c r="AJ74" i="62"/>
  <c r="AJ91" i="62" s="1"/>
  <c r="D91" i="51"/>
  <c r="AJ74" i="51"/>
  <c r="I27" i="42"/>
  <c r="I31" i="42"/>
  <c r="I35" i="42"/>
  <c r="I19" i="42"/>
  <c r="I32" i="42"/>
  <c r="I25" i="42"/>
  <c r="I21" i="42"/>
  <c r="I20" i="42"/>
  <c r="I36" i="42"/>
  <c r="I37" i="42"/>
  <c r="I28" i="42"/>
  <c r="I23" i="42"/>
  <c r="I26" i="42"/>
  <c r="E85" i="49"/>
  <c r="K36" i="42"/>
  <c r="Q23" i="49"/>
  <c r="AH39" i="52"/>
  <c r="AK39" i="52"/>
  <c r="AI39" i="52"/>
  <c r="AD40" i="52"/>
  <c r="AJ39" i="52"/>
  <c r="AE39" i="52"/>
  <c r="AL39" i="52"/>
  <c r="AG39" i="52"/>
  <c r="AM39" i="52"/>
  <c r="AF39" i="52"/>
  <c r="O23" i="49"/>
  <c r="K35" i="42"/>
  <c r="E60" i="42"/>
  <c r="D60" i="42"/>
  <c r="C60" i="42"/>
  <c r="C54" i="42"/>
  <c r="E54" i="42"/>
  <c r="D54" i="42"/>
  <c r="D85" i="42"/>
  <c r="E85" i="42"/>
  <c r="C85" i="42"/>
  <c r="E58" i="42"/>
  <c r="D58" i="42"/>
  <c r="C58" i="42"/>
  <c r="C53" i="42"/>
  <c r="E53" i="42"/>
  <c r="D53" i="42"/>
  <c r="D79" i="42"/>
  <c r="C79" i="42"/>
  <c r="E79" i="42"/>
  <c r="E74" i="42"/>
  <c r="D74" i="42"/>
  <c r="C74" i="42"/>
  <c r="E72" i="42"/>
  <c r="D72" i="42"/>
  <c r="C72" i="42"/>
  <c r="E76" i="42"/>
  <c r="C76" i="42"/>
  <c r="D76" i="42"/>
  <c r="E73" i="42"/>
  <c r="D73" i="42"/>
  <c r="C73" i="42"/>
  <c r="E75" i="42"/>
  <c r="D75" i="42"/>
  <c r="C75" i="42"/>
  <c r="E86" i="42"/>
  <c r="D86" i="42"/>
  <c r="C86" i="42"/>
  <c r="E51" i="42"/>
  <c r="D51" i="42"/>
  <c r="C51" i="42"/>
  <c r="E87" i="42"/>
  <c r="D87" i="42"/>
  <c r="C87" i="42"/>
  <c r="C61" i="42"/>
  <c r="E61" i="42"/>
  <c r="D61" i="42"/>
  <c r="E52" i="42"/>
  <c r="D52" i="42"/>
  <c r="C52" i="42"/>
  <c r="E68" i="42"/>
  <c r="D68" i="42"/>
  <c r="C68" i="42"/>
  <c r="E77" i="42"/>
  <c r="D77" i="42"/>
  <c r="C77" i="42"/>
  <c r="E50" i="42"/>
  <c r="D50" i="42"/>
  <c r="C50" i="42"/>
  <c r="E88" i="42"/>
  <c r="D88" i="42"/>
  <c r="C88" i="42"/>
  <c r="E62" i="42"/>
  <c r="D62" i="42"/>
  <c r="C62" i="42"/>
  <c r="E49" i="42"/>
  <c r="D49" i="42"/>
  <c r="C49" i="42"/>
  <c r="E63" i="42"/>
  <c r="D63" i="42"/>
  <c r="C63" i="42"/>
  <c r="E67" i="42"/>
  <c r="D67" i="42"/>
  <c r="C67" i="42"/>
  <c r="E64" i="42"/>
  <c r="D64" i="42"/>
  <c r="C64" i="42"/>
  <c r="E70" i="42"/>
  <c r="D70" i="42"/>
  <c r="C70" i="42"/>
  <c r="E57" i="42"/>
  <c r="D57" i="42"/>
  <c r="C57" i="42"/>
  <c r="E71" i="42"/>
  <c r="D71" i="42"/>
  <c r="C71" i="42"/>
  <c r="D65" i="42"/>
  <c r="C65" i="42"/>
  <c r="E65" i="42"/>
  <c r="E66" i="42"/>
  <c r="D66" i="42"/>
  <c r="C66" i="42"/>
  <c r="Q22" i="49"/>
  <c r="C81" i="42"/>
  <c r="E81" i="42"/>
  <c r="D81" i="42"/>
  <c r="C69" i="42"/>
  <c r="D69" i="42"/>
  <c r="E69" i="42"/>
  <c r="D82" i="42"/>
  <c r="C82" i="42"/>
  <c r="E82" i="42"/>
  <c r="E80" i="42"/>
  <c r="D80" i="42"/>
  <c r="C80" i="42"/>
  <c r="E84" i="42"/>
  <c r="D84" i="42"/>
  <c r="C84" i="42"/>
  <c r="E83" i="42"/>
  <c r="D83" i="42"/>
  <c r="C83" i="42"/>
  <c r="E55" i="42"/>
  <c r="D55" i="42"/>
  <c r="C55" i="42"/>
  <c r="E59" i="42"/>
  <c r="D59" i="42"/>
  <c r="C59" i="42"/>
  <c r="E56" i="42"/>
  <c r="D56" i="42"/>
  <c r="C56" i="42"/>
  <c r="E78" i="42"/>
  <c r="D78" i="42"/>
  <c r="C78" i="42"/>
  <c r="K20" i="42"/>
  <c r="K24" i="42"/>
  <c r="K21" i="42"/>
  <c r="K34" i="42"/>
  <c r="K27" i="42"/>
  <c r="K26" i="42"/>
  <c r="K22" i="42"/>
  <c r="K30" i="42"/>
  <c r="K25" i="42"/>
  <c r="I18" i="42"/>
  <c r="K18" i="42"/>
  <c r="K33" i="42"/>
  <c r="K19" i="42"/>
  <c r="K28" i="42"/>
  <c r="K23" i="42"/>
  <c r="K29" i="42"/>
  <c r="K32" i="42"/>
  <c r="K31" i="42"/>
  <c r="T17" i="50"/>
  <c r="S17" i="50"/>
  <c r="J17" i="50"/>
  <c r="Q17" i="50"/>
  <c r="G17" i="50"/>
  <c r="R17" i="50"/>
  <c r="O24" i="49" l="1"/>
  <c r="O13" i="49" s="1"/>
  <c r="P13" i="49" s="1"/>
  <c r="AD41" i="52"/>
  <c r="AF40" i="52"/>
  <c r="AG40" i="52"/>
  <c r="AJ40" i="52"/>
  <c r="AI40" i="52"/>
  <c r="AM40" i="52"/>
  <c r="AE40" i="52"/>
  <c r="AH40" i="52"/>
  <c r="AL40" i="52"/>
  <c r="AK40" i="52"/>
  <c r="A59" i="42"/>
  <c r="F59" i="42" s="1"/>
  <c r="A82" i="42"/>
  <c r="F82" i="42" s="1"/>
  <c r="A75" i="42"/>
  <c r="F75" i="42" s="1"/>
  <c r="A79" i="42"/>
  <c r="F79" i="42" s="1"/>
  <c r="A71" i="42"/>
  <c r="F71" i="42" s="1"/>
  <c r="A76" i="42"/>
  <c r="F76" i="42" s="1"/>
  <c r="A74" i="42"/>
  <c r="F74" i="42" s="1"/>
  <c r="A69" i="42"/>
  <c r="F69" i="42" s="1"/>
  <c r="A53" i="42"/>
  <c r="F53" i="42" s="1"/>
  <c r="A85" i="42"/>
  <c r="F85" i="42" s="1"/>
  <c r="A56" i="42"/>
  <c r="F56" i="42" s="1"/>
  <c r="A67" i="42"/>
  <c r="F67" i="42" s="1"/>
  <c r="A52" i="42"/>
  <c r="F52" i="42" s="1"/>
  <c r="A88" i="42"/>
  <c r="F88" i="42" s="1"/>
  <c r="A83" i="42"/>
  <c r="F83" i="42" s="1"/>
  <c r="A65" i="42"/>
  <c r="F65" i="42" s="1"/>
  <c r="A70" i="42"/>
  <c r="F70" i="42" s="1"/>
  <c r="A62" i="42"/>
  <c r="F62" i="42" s="1"/>
  <c r="A72" i="42"/>
  <c r="F72" i="42" s="1"/>
  <c r="A77" i="42"/>
  <c r="F77" i="42" s="1"/>
  <c r="A51" i="42"/>
  <c r="F51" i="42" s="1"/>
  <c r="A54" i="42"/>
  <c r="F54" i="42" s="1"/>
  <c r="A63" i="42"/>
  <c r="F63" i="42" s="1"/>
  <c r="A61" i="42"/>
  <c r="F61" i="42" s="1"/>
  <c r="A73" i="42"/>
  <c r="F73" i="42" s="1"/>
  <c r="A58" i="42"/>
  <c r="F58" i="42" s="1"/>
  <c r="A84" i="42"/>
  <c r="F84" i="42" s="1"/>
  <c r="A78" i="42"/>
  <c r="F78" i="42" s="1"/>
  <c r="A66" i="42"/>
  <c r="F66" i="42" s="1"/>
  <c r="A64" i="42"/>
  <c r="F64" i="42" s="1"/>
  <c r="A68" i="42"/>
  <c r="F68" i="42" s="1"/>
  <c r="A86" i="42"/>
  <c r="F86" i="42" s="1"/>
  <c r="A55" i="42"/>
  <c r="F55" i="42" s="1"/>
  <c r="A57" i="42"/>
  <c r="F57" i="42" s="1"/>
  <c r="A49" i="42"/>
  <c r="F49" i="42" s="1"/>
  <c r="A60" i="42"/>
  <c r="F60" i="42" s="1"/>
  <c r="A80" i="42"/>
  <c r="F80" i="42" s="1"/>
  <c r="A81" i="42"/>
  <c r="F81" i="42" s="1"/>
  <c r="A50" i="42"/>
  <c r="F50" i="42" s="1"/>
  <c r="A87" i="42"/>
  <c r="F87" i="42" s="1"/>
  <c r="J18" i="50"/>
  <c r="P18" i="49" l="1"/>
  <c r="P17" i="49"/>
  <c r="P22" i="49"/>
  <c r="P16" i="49"/>
  <c r="P14" i="49"/>
  <c r="P15" i="49"/>
  <c r="P20" i="49"/>
  <c r="P23" i="49"/>
  <c r="P21" i="49"/>
  <c r="P19" i="49"/>
  <c r="AL41" i="52"/>
  <c r="AM41" i="52"/>
  <c r="AE41" i="52"/>
  <c r="AG41" i="52"/>
  <c r="AJ41" i="52"/>
  <c r="AD42" i="52"/>
  <c r="AK41" i="52"/>
  <c r="AI41" i="52"/>
  <c r="AH41" i="52"/>
  <c r="AF41" i="52"/>
  <c r="AJ29" i="23"/>
  <c r="U30" i="23"/>
  <c r="AJ31" i="23" s="1"/>
  <c r="AJ42" i="52" l="1"/>
  <c r="AL42" i="52"/>
  <c r="AM42" i="52"/>
  <c r="AI42" i="52"/>
  <c r="AH42" i="52"/>
  <c r="AE42" i="52"/>
  <c r="AG42" i="52"/>
  <c r="AD43" i="52"/>
  <c r="AK42" i="52"/>
  <c r="AF42" i="52"/>
  <c r="U31" i="23"/>
  <c r="AH43" i="52" l="1"/>
  <c r="AJ43" i="52"/>
  <c r="AK43" i="52"/>
  <c r="AG43" i="52"/>
  <c r="AD44" i="52"/>
  <c r="AI43" i="52"/>
  <c r="AF43" i="52"/>
  <c r="AM43" i="52"/>
  <c r="AE43" i="52"/>
  <c r="AL43" i="52"/>
  <c r="AD45" i="52" l="1"/>
  <c r="AF44" i="52"/>
  <c r="AG44" i="52"/>
  <c r="AM44" i="52"/>
  <c r="AE44" i="52"/>
  <c r="AL44" i="52"/>
  <c r="AI44" i="52"/>
  <c r="AK44" i="52"/>
  <c r="AJ44" i="52"/>
  <c r="AH44" i="52"/>
  <c r="AL45" i="52" l="1"/>
  <c r="AM45" i="52"/>
  <c r="AE45" i="52"/>
  <c r="AK45" i="52"/>
  <c r="AI45" i="52"/>
  <c r="AF45" i="52"/>
  <c r="AG45" i="52"/>
  <c r="AJ45" i="52"/>
  <c r="AH45" i="52"/>
  <c r="AD46" i="52"/>
  <c r="AJ46" i="52" l="1"/>
  <c r="AL46" i="52"/>
  <c r="AI46" i="52"/>
  <c r="AK46" i="52"/>
  <c r="AM46" i="52"/>
  <c r="AH46" i="52"/>
  <c r="AG46" i="52"/>
  <c r="AD47" i="52"/>
  <c r="AE46" i="52"/>
  <c r="AF46" i="52"/>
  <c r="AH47" i="52" l="1"/>
  <c r="AJ47" i="52"/>
  <c r="AK47" i="52"/>
  <c r="AG47" i="52"/>
  <c r="AD48" i="52"/>
  <c r="AI47" i="52"/>
  <c r="AF47" i="52"/>
  <c r="AM47" i="52"/>
  <c r="AE47" i="52"/>
  <c r="AL47" i="52"/>
  <c r="AD49" i="52" l="1"/>
  <c r="AF48" i="52"/>
  <c r="AG48" i="52"/>
  <c r="AM48" i="52"/>
  <c r="AE48" i="52"/>
  <c r="AL48" i="52"/>
  <c r="AK48" i="52"/>
  <c r="AJ48" i="52"/>
  <c r="AH48" i="52"/>
  <c r="AI48" i="52"/>
  <c r="AL49" i="52" l="1"/>
  <c r="AM49" i="52"/>
  <c r="AE49" i="52"/>
  <c r="AK49" i="52"/>
  <c r="AJ49" i="52"/>
  <c r="AI49" i="52"/>
  <c r="AH49" i="52"/>
  <c r="AF49" i="52"/>
  <c r="AG49" i="52"/>
  <c r="AD50" i="52"/>
  <c r="AJ50" i="52" l="1"/>
  <c r="AL50" i="52"/>
  <c r="AM50" i="52"/>
  <c r="AK50" i="52"/>
  <c r="AI50" i="52"/>
  <c r="AH50" i="52"/>
  <c r="AG50" i="52"/>
  <c r="AD51" i="52"/>
  <c r="AE50" i="52"/>
  <c r="AF50" i="52"/>
  <c r="AH51" i="52" l="1"/>
  <c r="AJ51" i="52"/>
  <c r="AG51" i="52"/>
  <c r="AI51" i="52"/>
  <c r="AD52" i="52"/>
  <c r="AF51" i="52"/>
  <c r="AK51" i="52"/>
  <c r="AM51" i="52"/>
  <c r="AE51" i="52"/>
  <c r="AL51" i="52"/>
  <c r="AD53" i="52" l="1"/>
  <c r="AF52" i="52"/>
  <c r="AG52" i="52"/>
  <c r="AM52" i="52"/>
  <c r="AE52" i="52"/>
  <c r="AL52" i="52"/>
  <c r="AI52" i="52"/>
  <c r="AJ52" i="52"/>
  <c r="AH52" i="52"/>
  <c r="AK52" i="52"/>
  <c r="AL53" i="52" l="1"/>
  <c r="AM53" i="52"/>
  <c r="AK53" i="52"/>
  <c r="AE53" i="52"/>
  <c r="AJ53" i="52"/>
  <c r="AG53" i="52"/>
  <c r="AI53" i="52"/>
  <c r="AD54" i="52"/>
  <c r="AH53" i="52"/>
  <c r="AF53" i="52"/>
  <c r="AJ54" i="52" l="1"/>
  <c r="AL54" i="52"/>
  <c r="AE54" i="52"/>
  <c r="AK54" i="52"/>
  <c r="AI54" i="52"/>
  <c r="AH54" i="52"/>
  <c r="AM54" i="52"/>
  <c r="AD55" i="52"/>
  <c r="AG54" i="52"/>
  <c r="AF54" i="52"/>
  <c r="AH55" i="52" l="1"/>
  <c r="AJ55" i="52"/>
  <c r="AI55" i="52"/>
  <c r="AD56" i="52"/>
  <c r="AG55" i="52"/>
  <c r="AF55" i="52"/>
  <c r="AK55" i="52"/>
  <c r="AM55" i="52"/>
  <c r="AE55" i="52"/>
  <c r="AL55" i="52"/>
  <c r="AD57" i="52" l="1"/>
  <c r="AF56" i="52"/>
  <c r="AG56" i="52"/>
  <c r="AM56" i="52"/>
  <c r="AE56" i="52"/>
  <c r="AL56" i="52"/>
  <c r="AI56" i="52"/>
  <c r="AK56" i="52"/>
  <c r="AH56" i="52"/>
  <c r="AJ56" i="52"/>
  <c r="AL57" i="52" l="1"/>
  <c r="AM57" i="52"/>
  <c r="AK57" i="52"/>
  <c r="AE57" i="52"/>
  <c r="AJ57" i="52"/>
  <c r="AG57" i="52"/>
  <c r="AI57" i="52"/>
  <c r="AD58" i="52"/>
  <c r="AH57" i="52"/>
  <c r="AF57" i="52"/>
  <c r="AJ58" i="52" l="1"/>
  <c r="AL58" i="52"/>
  <c r="AI58" i="52"/>
  <c r="AK58" i="52"/>
  <c r="AM58" i="52"/>
  <c r="AE58" i="52"/>
  <c r="AG58" i="52"/>
  <c r="AD59" i="52"/>
  <c r="AH58" i="52"/>
  <c r="AF58" i="52"/>
  <c r="AH59" i="52" l="1"/>
  <c r="AJ59" i="52"/>
  <c r="AG59" i="52"/>
  <c r="AI59" i="52"/>
  <c r="AD60" i="52"/>
  <c r="AF59" i="52"/>
  <c r="AK59" i="52"/>
  <c r="AM59" i="52"/>
  <c r="AE59" i="52"/>
  <c r="AL59" i="52"/>
  <c r="AD61" i="52" l="1"/>
  <c r="AF60" i="52"/>
  <c r="AG60" i="52"/>
  <c r="AI60" i="52"/>
  <c r="AM60" i="52"/>
  <c r="AE60" i="52"/>
  <c r="AL60" i="52"/>
  <c r="AK60" i="52"/>
  <c r="AJ60" i="52"/>
  <c r="AH60" i="52"/>
  <c r="AL61" i="52" l="1"/>
  <c r="AG61" i="52"/>
  <c r="AK61" i="52"/>
  <c r="AJ61" i="52"/>
  <c r="AI61" i="52"/>
  <c r="AF61" i="52"/>
  <c r="AE61" i="52"/>
  <c r="AH61" i="52"/>
  <c r="AM61" i="52"/>
  <c r="AJ88" i="51" l="1"/>
  <c r="I82" i="49"/>
  <c r="AH91" i="51"/>
  <c r="V17" i="50"/>
  <c r="I85" i="49" l="1"/>
  <c r="Q24" i="49" s="1"/>
  <c r="R14" i="49" s="1"/>
  <c r="AJ91" i="51"/>
  <c r="R23" i="49" l="1"/>
  <c r="R22" i="49"/>
  <c r="R19" i="49"/>
  <c r="R20" i="49"/>
  <c r="R17" i="49"/>
  <c r="R15" i="49"/>
  <c r="Q13" i="49"/>
  <c r="R13" i="49" s="1"/>
  <c r="R16" i="49"/>
  <c r="R21" i="49"/>
  <c r="R18" i="49"/>
</calcChain>
</file>

<file path=xl/comments1.xml><?xml version="1.0" encoding="utf-8"?>
<comments xmlns="http://schemas.openxmlformats.org/spreadsheetml/2006/main">
  <authors>
    <author>Dept of Minerals and Energy</author>
    <author>Jill GREGORY</author>
    <author>SAMSON, Elliot</author>
    <author>Gregory</author>
  </authors>
  <commentList>
    <comment ref="C7" authorId="0" shapeId="0">
      <text>
        <r>
          <rPr>
            <b/>
            <sz val="8"/>
            <color indexed="81"/>
            <rFont val="Tahoma"/>
            <family val="2"/>
          </rPr>
          <t>Data taken from Departments 1980 Annual Report</t>
        </r>
      </text>
    </comment>
    <comment ref="BF7" authorId="1" shapeId="0">
      <text>
        <r>
          <rPr>
            <b/>
            <sz val="10"/>
            <color indexed="81"/>
            <rFont val="Tahoma"/>
            <family val="2"/>
          </rPr>
          <t>Note:  2005 data has been revised.  Revised data is displayed on Historic from 2006 sheet.</t>
        </r>
        <r>
          <rPr>
            <sz val="10"/>
            <color indexed="81"/>
            <rFont val="Tahoma"/>
            <family val="2"/>
          </rPr>
          <t xml:space="preserve">
</t>
        </r>
      </text>
    </comment>
    <comment ref="A12" authorId="2" shapeId="0">
      <text>
        <r>
          <rPr>
            <b/>
            <sz val="9"/>
            <color indexed="81"/>
            <rFont val="Tahoma"/>
            <family val="2"/>
          </rPr>
          <t>Incomplete</t>
        </r>
      </text>
    </comment>
    <comment ref="B34" authorId="0" shapeId="0">
      <text>
        <r>
          <rPr>
            <b/>
            <sz val="8"/>
            <color indexed="81"/>
            <rFont val="Tahoma"/>
            <family val="2"/>
          </rPr>
          <t>Contained metal</t>
        </r>
      </text>
    </comment>
    <comment ref="C34" authorId="0" shapeId="0">
      <text>
        <r>
          <rPr>
            <b/>
            <sz val="8"/>
            <color indexed="81"/>
            <rFont val="Tahoma"/>
            <family val="2"/>
          </rPr>
          <t>Content based on GSWA Mineral Resources Bulletin 13, Page 6</t>
        </r>
      </text>
    </comment>
    <comment ref="D38" authorId="0" shapeId="0">
      <text>
        <r>
          <rPr>
            <b/>
            <sz val="8"/>
            <color indexed="81"/>
            <rFont val="Tahoma"/>
            <family val="2"/>
          </rPr>
          <t>Value included in Lead value</t>
        </r>
      </text>
    </comment>
    <comment ref="C69" authorId="0" shapeId="0">
      <text>
        <r>
          <rPr>
            <b/>
            <sz val="8"/>
            <color indexed="81"/>
            <rFont val="Tahoma"/>
            <family val="2"/>
          </rPr>
          <t>No quantity recorded</t>
        </r>
      </text>
    </comment>
    <comment ref="A122" authorId="2" shapeId="0">
      <text>
        <r>
          <rPr>
            <b/>
            <sz val="8"/>
            <color indexed="81"/>
            <rFont val="Tahoma"/>
            <family val="2"/>
          </rPr>
          <t>Also known as Synthetic Rutile</t>
        </r>
      </text>
    </comment>
    <comment ref="A169" authorId="0" shapeId="0">
      <text>
        <r>
          <rPr>
            <sz val="8"/>
            <color indexed="81"/>
            <rFont val="Tahoma"/>
            <family val="2"/>
          </rPr>
          <t xml:space="preserve">Minor minerals of low value
</t>
        </r>
      </text>
    </comment>
    <comment ref="BK209" authorId="2" shapeId="0">
      <text>
        <r>
          <rPr>
            <sz val="9"/>
            <color indexed="81"/>
            <rFont val="Tahoma"/>
            <family val="2"/>
          </rPr>
          <t>Total is to year 2000</t>
        </r>
      </text>
    </comment>
    <comment ref="BK210" authorId="2" shapeId="0">
      <text>
        <r>
          <rPr>
            <sz val="9"/>
            <color indexed="81"/>
            <rFont val="Tahoma"/>
            <family val="2"/>
          </rPr>
          <t>Total is to year 2000</t>
        </r>
      </text>
    </comment>
    <comment ref="D223" authorId="3" shapeId="0">
      <text>
        <r>
          <rPr>
            <b/>
            <sz val="8"/>
            <color indexed="81"/>
            <rFont val="Tahoma"/>
            <family val="2"/>
          </rPr>
          <t>Difference between Annual Report published figure and this one relates to previously unavailable data for Condensate and Talc.</t>
        </r>
        <r>
          <rPr>
            <sz val="8"/>
            <color indexed="81"/>
            <rFont val="Tahoma"/>
            <family val="2"/>
          </rPr>
          <t xml:space="preserve">
</t>
        </r>
      </text>
    </comment>
  </commentList>
</comments>
</file>

<file path=xl/comments2.xml><?xml version="1.0" encoding="utf-8"?>
<comments xmlns="http://schemas.openxmlformats.org/spreadsheetml/2006/main">
  <authors>
    <author>BU07836</author>
    <author>SAMSON, Elliot</author>
  </authors>
  <commentList>
    <comment ref="AJ22" authorId="0" shapeId="0">
      <text>
        <r>
          <rPr>
            <sz val="9"/>
            <color indexed="81"/>
            <rFont val="Calibri"/>
            <family val="2"/>
            <scheme val="minor"/>
          </rPr>
          <t>Value only available up to 2007</t>
        </r>
      </text>
    </comment>
    <comment ref="AJ52" authorId="1" shapeId="0">
      <text>
        <r>
          <rPr>
            <sz val="9"/>
            <color indexed="81"/>
            <rFont val="Calibri"/>
            <family val="2"/>
          </rPr>
          <t>Quantity and value only since 2014</t>
        </r>
      </text>
    </comment>
  </commentList>
</comments>
</file>

<file path=xl/comments3.xml><?xml version="1.0" encoding="utf-8"?>
<comments xmlns="http://schemas.openxmlformats.org/spreadsheetml/2006/main">
  <authors>
    <author>SAMSON, Elliot</author>
  </authors>
  <commentList>
    <comment ref="AK62" authorId="0" shapeId="0">
      <text>
        <r>
          <rPr>
            <sz val="9"/>
            <color indexed="81"/>
            <rFont val="Calibri"/>
            <family val="2"/>
            <scheme val="minor"/>
          </rPr>
          <t>Change implemented to report only total Gem &amp; Semi-Precious Stones sales</t>
        </r>
      </text>
    </comment>
    <comment ref="A85" authorId="0" shapeId="0">
      <text>
        <r>
          <rPr>
            <b/>
            <sz val="8"/>
            <color indexed="81"/>
            <rFont val="Tahoma"/>
            <family val="2"/>
          </rPr>
          <t>Also known as Synthetic Rutile</t>
        </r>
        <r>
          <rPr>
            <sz val="9"/>
            <color indexed="81"/>
            <rFont val="Tahoma"/>
            <family val="2"/>
          </rPr>
          <t xml:space="preserve">
</t>
        </r>
      </text>
    </comment>
  </commentList>
</comments>
</file>

<file path=xl/comments4.xml><?xml version="1.0" encoding="utf-8"?>
<comments xmlns="http://schemas.openxmlformats.org/spreadsheetml/2006/main">
  <authors>
    <author>SAMSON, Elliot</author>
  </authors>
  <commentList>
    <comment ref="AJ52" authorId="0" shapeId="0">
      <text>
        <r>
          <rPr>
            <sz val="9"/>
            <color indexed="81"/>
            <rFont val="Calibri"/>
            <family val="2"/>
          </rPr>
          <t>Quantity and value only since 2014-15</t>
        </r>
      </text>
    </comment>
  </commentList>
</comments>
</file>

<file path=xl/sharedStrings.xml><?xml version="1.0" encoding="utf-8"?>
<sst xmlns="http://schemas.openxmlformats.org/spreadsheetml/2006/main" count="7917" uniqueCount="861">
  <si>
    <t>Alumina</t>
  </si>
  <si>
    <t>Gold</t>
  </si>
  <si>
    <t>Iron Ore</t>
  </si>
  <si>
    <t>Nickel</t>
  </si>
  <si>
    <t>Petroleum</t>
  </si>
  <si>
    <t>Uranium</t>
  </si>
  <si>
    <t>Quarter</t>
  </si>
  <si>
    <t>Quantity (Mt)</t>
  </si>
  <si>
    <t>:</t>
  </si>
  <si>
    <t>A$/T</t>
  </si>
  <si>
    <t>US$/lb</t>
  </si>
  <si>
    <t>A$/oz</t>
  </si>
  <si>
    <t>US$/oz</t>
  </si>
  <si>
    <t>62% Fines Spot</t>
  </si>
  <si>
    <t xml:space="preserve"> 58% Fines Spot</t>
  </si>
  <si>
    <t>58% Fines Spot</t>
  </si>
  <si>
    <t>CFR China</t>
  </si>
  <si>
    <t>Tapis Crude Oil</t>
  </si>
  <si>
    <t>US$/barrel</t>
  </si>
  <si>
    <t>Monthly Price Data</t>
  </si>
  <si>
    <t>Sources</t>
  </si>
  <si>
    <t>Source</t>
  </si>
  <si>
    <t>Argentina</t>
  </si>
  <si>
    <t>Bahrain</t>
  </si>
  <si>
    <t>China</t>
  </si>
  <si>
    <t>Egypt</t>
  </si>
  <si>
    <t>France</t>
  </si>
  <si>
    <t>India</t>
  </si>
  <si>
    <t>Indonesia</t>
  </si>
  <si>
    <t>Japan</t>
  </si>
  <si>
    <t>Korea, Republic Of</t>
  </si>
  <si>
    <t>Malaysia</t>
  </si>
  <si>
    <t>Mozambique</t>
  </si>
  <si>
    <t>Netherlands</t>
  </si>
  <si>
    <t>New Zealand</t>
  </si>
  <si>
    <t>Qatar</t>
  </si>
  <si>
    <t>Russian Federation</t>
  </si>
  <si>
    <t>Saudi Arabia</t>
  </si>
  <si>
    <t>South Africa</t>
  </si>
  <si>
    <t>Thailand</t>
  </si>
  <si>
    <t>United Arab Emirates</t>
  </si>
  <si>
    <t>United States</t>
  </si>
  <si>
    <t>Oman</t>
  </si>
  <si>
    <t>Nation</t>
  </si>
  <si>
    <t>Rank</t>
  </si>
  <si>
    <t>Other</t>
  </si>
  <si>
    <t>A$ Export Value</t>
  </si>
  <si>
    <t>% Of Total</t>
  </si>
  <si>
    <t>Quantity and Value by Quarter</t>
  </si>
  <si>
    <t>Year</t>
  </si>
  <si>
    <t>Last 10 years</t>
  </si>
  <si>
    <t>Last 10 Quarters</t>
  </si>
  <si>
    <t>Period</t>
  </si>
  <si>
    <t>Price (A$/tonne)</t>
  </si>
  <si>
    <t>Last 5 years</t>
  </si>
  <si>
    <t>Avg. Price (A$/tonne)</t>
  </si>
  <si>
    <t>Quantity (Kt)</t>
  </si>
  <si>
    <t>Western Australia (Mt)</t>
  </si>
  <si>
    <t>Rest of Australia (Mt)</t>
  </si>
  <si>
    <t>Western Australia (Kt)</t>
  </si>
  <si>
    <t>Rest of Australia (Kt)</t>
  </si>
  <si>
    <t>Nickel Monthly Price</t>
  </si>
  <si>
    <t>Nickel Average Annual Price</t>
  </si>
  <si>
    <t>Belgium</t>
  </si>
  <si>
    <t>Brazil</t>
  </si>
  <si>
    <t>Canada</t>
  </si>
  <si>
    <t>Finland</t>
  </si>
  <si>
    <t>Germany</t>
  </si>
  <si>
    <t>Italy</t>
  </si>
  <si>
    <t>Norway</t>
  </si>
  <si>
    <t>Singapore</t>
  </si>
  <si>
    <t>Sweden</t>
  </si>
  <si>
    <t>United Kingdom</t>
  </si>
  <si>
    <t>Western Australia Gold Quantity and Value</t>
  </si>
  <si>
    <t>Quantity (tonnes)</t>
  </si>
  <si>
    <t>Price (US$/oz)</t>
  </si>
  <si>
    <t>Price (A$/oz)</t>
  </si>
  <si>
    <t>Avg. Price (A$/oz)</t>
  </si>
  <si>
    <t>Chile</t>
  </si>
  <si>
    <t>Kazakhstan</t>
  </si>
  <si>
    <t>Mexico</t>
  </si>
  <si>
    <t>Pakistan</t>
  </si>
  <si>
    <t>Peru</t>
  </si>
  <si>
    <t>Philippines</t>
  </si>
  <si>
    <t>Spain</t>
  </si>
  <si>
    <t>Turkey</t>
  </si>
  <si>
    <t>Ukraine</t>
  </si>
  <si>
    <t>Western Australia Iron Ore Quantity and Value</t>
  </si>
  <si>
    <t>Iron Ore Monthly Price</t>
  </si>
  <si>
    <t>62% Fines Spot CFR China</t>
  </si>
  <si>
    <t>58% Fines Spot CFR China</t>
  </si>
  <si>
    <t>Australian and Western Australian Iron Ore Production</t>
  </si>
  <si>
    <t>Uranium Monthly Price</t>
  </si>
  <si>
    <t>Uranium Average Annual Price</t>
  </si>
  <si>
    <t>Avg. Price (US$/lb)</t>
  </si>
  <si>
    <t>Price (US$/lb)</t>
  </si>
  <si>
    <t>Crude Oil</t>
  </si>
  <si>
    <t>Condensate</t>
  </si>
  <si>
    <t>Combined Total</t>
  </si>
  <si>
    <t>Quantity (GL)</t>
  </si>
  <si>
    <t>Western Australia Crude Oil and Condensate Quantity and Value</t>
  </si>
  <si>
    <t>Tapis Crude Monthly Price</t>
  </si>
  <si>
    <t>Tapis Crude Average Annual Price</t>
  </si>
  <si>
    <t>Price (US$/bbl)</t>
  </si>
  <si>
    <t>Avg. Price (US$/bbl)</t>
  </si>
  <si>
    <t>Western Australia (GL)</t>
  </si>
  <si>
    <t>Rest of Australia (GL)</t>
  </si>
  <si>
    <t>Australian Crude Oil and Condensate Production</t>
  </si>
  <si>
    <t>Australian Iron Ore Production</t>
  </si>
  <si>
    <t>Australian and Western Australian Crude Oil and Condensate Production</t>
  </si>
  <si>
    <t>t</t>
  </si>
  <si>
    <t>TOTAL PETROLEUM</t>
  </si>
  <si>
    <t>Mineral Field</t>
  </si>
  <si>
    <t>District</t>
  </si>
  <si>
    <t>Total up to and including 1989</t>
  </si>
  <si>
    <t>Cumulative Total</t>
  </si>
  <si>
    <t>Ashburton</t>
  </si>
  <si>
    <t>Broad Arrow</t>
  </si>
  <si>
    <t>Coolgardie</t>
  </si>
  <si>
    <t>Dundas</t>
  </si>
  <si>
    <t>East Coolgardie</t>
  </si>
  <si>
    <t>East Murchison</t>
  </si>
  <si>
    <t>Gascoyne</t>
  </si>
  <si>
    <t>Kimberley</t>
  </si>
  <si>
    <t>Mt Margaret</t>
  </si>
  <si>
    <t>Murchison</t>
  </si>
  <si>
    <t>North Coolgardie</t>
  </si>
  <si>
    <t>North East Coolgardie</t>
  </si>
  <si>
    <t>Peak Hill</t>
  </si>
  <si>
    <t>Phillips River</t>
  </si>
  <si>
    <t>Pilbara</t>
  </si>
  <si>
    <t>South West</t>
  </si>
  <si>
    <t>West Kimberley</t>
  </si>
  <si>
    <t>West Pilbara</t>
  </si>
  <si>
    <t>Yalgoo</t>
  </si>
  <si>
    <t>Yilgarn</t>
  </si>
  <si>
    <t>State Generally</t>
  </si>
  <si>
    <t>Total</t>
  </si>
  <si>
    <t>oz</t>
  </si>
  <si>
    <t>KG</t>
  </si>
  <si>
    <t>Cumulative Historical Production</t>
  </si>
  <si>
    <t>Gigajoules</t>
  </si>
  <si>
    <t>(GJ, 10^9 J)</t>
  </si>
  <si>
    <t>Terrajoules</t>
  </si>
  <si>
    <t>(TJ, 10^12 J)</t>
  </si>
  <si>
    <t>A$/GJ</t>
  </si>
  <si>
    <t>US$/GJ</t>
  </si>
  <si>
    <t>US$/A$</t>
  </si>
  <si>
    <t xml:space="preserve">Value of WA </t>
  </si>
  <si>
    <t>Domestic Gas Sales</t>
  </si>
  <si>
    <t xml:space="preserve">Cubic Metres </t>
  </si>
  <si>
    <t>Natural Gas</t>
  </si>
  <si>
    <t>Papua New Guinea</t>
  </si>
  <si>
    <t>China Crude Steel Production and Iron Ore Imports</t>
  </si>
  <si>
    <t>Australia</t>
  </si>
  <si>
    <t>Iran</t>
  </si>
  <si>
    <t>Russia</t>
  </si>
  <si>
    <t>Mauritania</t>
  </si>
  <si>
    <t>Mongolia</t>
  </si>
  <si>
    <t>Venezuela</t>
  </si>
  <si>
    <t>Liberia</t>
  </si>
  <si>
    <t>Myanmar</t>
  </si>
  <si>
    <t>UAE</t>
  </si>
  <si>
    <t>Laos</t>
  </si>
  <si>
    <t>Vietnam</t>
  </si>
  <si>
    <t>USA</t>
  </si>
  <si>
    <t>Sierra Leone</t>
  </si>
  <si>
    <t>Others</t>
  </si>
  <si>
    <t>Source Nation</t>
  </si>
  <si>
    <t>Rank by Volume</t>
  </si>
  <si>
    <t>% Of Total by Volume</t>
  </si>
  <si>
    <t>Total Value (000s US$)</t>
  </si>
  <si>
    <t>Total Value (000 US$)</t>
  </si>
  <si>
    <t>All Others</t>
  </si>
  <si>
    <t>Nickel - Quantity and Value</t>
  </si>
  <si>
    <t>Nickel - Prices</t>
  </si>
  <si>
    <t>Nickel - Exports</t>
  </si>
  <si>
    <t>Gold - Cumulative Production</t>
  </si>
  <si>
    <t>Gold - Quantity and Value</t>
  </si>
  <si>
    <t>Gold - Prices</t>
  </si>
  <si>
    <t>Gold - Exports</t>
  </si>
  <si>
    <t>Iron Ore - Quantity and Value</t>
  </si>
  <si>
    <t>Iron Ore - Prices</t>
  </si>
  <si>
    <t>Iron Ore - Exports</t>
  </si>
  <si>
    <t>Uranium Prices</t>
  </si>
  <si>
    <t>Monthly Commodity Prices</t>
  </si>
  <si>
    <t>Avg. Price (US$/oz)</t>
  </si>
  <si>
    <t>Gold Average Annual Price</t>
  </si>
  <si>
    <t>Gold Monthly Price</t>
  </si>
  <si>
    <t>1886 to 1980</t>
  </si>
  <si>
    <t>COMMODITY</t>
  </si>
  <si>
    <t>UNIT</t>
  </si>
  <si>
    <t>QUANTITY</t>
  </si>
  <si>
    <t>ALUMINA/BAUXITE</t>
  </si>
  <si>
    <t>Bauxite (Crude Ore) (b)</t>
  </si>
  <si>
    <t>Gallium</t>
  </si>
  <si>
    <t>kg</t>
  </si>
  <si>
    <t>TOTAL ALUMINA/BAUXITE</t>
  </si>
  <si>
    <t>ALUNITE</t>
  </si>
  <si>
    <t>ARSENIC</t>
  </si>
  <si>
    <t>ANTIMONY</t>
  </si>
  <si>
    <t>ASBESTOS</t>
  </si>
  <si>
    <t>Anthophyllite</t>
  </si>
  <si>
    <t>Chrysotile</t>
  </si>
  <si>
    <t>Crocidolite</t>
  </si>
  <si>
    <t>Tremolite</t>
  </si>
  <si>
    <t>TOTAL ASBESTOS</t>
  </si>
  <si>
    <t>BARYTES</t>
  </si>
  <si>
    <t>BASE METALS</t>
  </si>
  <si>
    <t>Copper By-Product</t>
  </si>
  <si>
    <t>Copper Cathode</t>
  </si>
  <si>
    <t>Copper Ore &amp; Concentrates</t>
  </si>
  <si>
    <t>Copper (contained)</t>
  </si>
  <si>
    <t>Cupreous Ore &amp; Concentrates</t>
  </si>
  <si>
    <t>Zinc Ore (Fertiliser)</t>
  </si>
  <si>
    <t>TOTAL BASE METALS</t>
  </si>
  <si>
    <t>BISMUTH</t>
  </si>
  <si>
    <t>CHROMITE</t>
  </si>
  <si>
    <t>CLAYS</t>
  </si>
  <si>
    <t>Alunite</t>
  </si>
  <si>
    <t>Attapulgite</t>
  </si>
  <si>
    <t>Bentonite</t>
  </si>
  <si>
    <t>Cement Clay</t>
  </si>
  <si>
    <t>Clay Shale</t>
  </si>
  <si>
    <t>Fire Clay</t>
  </si>
  <si>
    <t>Fullers Earth</t>
  </si>
  <si>
    <t>Kaolin</t>
  </si>
  <si>
    <t>Saponite</t>
  </si>
  <si>
    <t>White Clay</t>
  </si>
  <si>
    <t>TOTAL CLAYS</t>
  </si>
  <si>
    <t>COAL</t>
  </si>
  <si>
    <t>CONSTRUCTION MATERIALS</t>
  </si>
  <si>
    <t>Sandstone</t>
  </si>
  <si>
    <t>TOTAL CONSTRUCTION MATERIALS</t>
  </si>
  <si>
    <t>DIAMONDS</t>
  </si>
  <si>
    <t>ct</t>
  </si>
  <si>
    <t>DIATOMITE</t>
  </si>
  <si>
    <t>DIMENSION STONE</t>
  </si>
  <si>
    <t>Beryl</t>
  </si>
  <si>
    <t>Black Granite</t>
  </si>
  <si>
    <t>Granite</t>
  </si>
  <si>
    <t>Jasper</t>
  </si>
  <si>
    <t>Lepidolite</t>
  </si>
  <si>
    <t>Marble</t>
  </si>
  <si>
    <t>Quartz</t>
  </si>
  <si>
    <t>Quartzite</t>
  </si>
  <si>
    <t>Slate</t>
  </si>
  <si>
    <t>TOTAL DIMENSION STONE</t>
  </si>
  <si>
    <t>GEM &amp; SEMI-PRECIOUS STONES</t>
  </si>
  <si>
    <t xml:space="preserve"> Agate</t>
  </si>
  <si>
    <t>Amethyst</t>
  </si>
  <si>
    <t>Chalcedony/Mookaite</t>
  </si>
  <si>
    <t>Chrysoprase</t>
  </si>
  <si>
    <t>Dravite</t>
  </si>
  <si>
    <t>Emerald</t>
  </si>
  <si>
    <t>Emerald (Cut and Rough)</t>
  </si>
  <si>
    <t>Magnesite</t>
  </si>
  <si>
    <t>Malachite</t>
  </si>
  <si>
    <t>Moss Opal</t>
  </si>
  <si>
    <t>Opal</t>
  </si>
  <si>
    <t>Opalite</t>
  </si>
  <si>
    <t>Prase</t>
  </si>
  <si>
    <t>Serpentinite</t>
  </si>
  <si>
    <t>Tiger Eye</t>
  </si>
  <si>
    <t>Tourmaline</t>
  </si>
  <si>
    <t>Variscite</t>
  </si>
  <si>
    <t>Zebra Rock</t>
  </si>
  <si>
    <t>TOTAL GEM &amp; SEMI-PRECIOUS STONES</t>
  </si>
  <si>
    <t>GLAUCONITE</t>
  </si>
  <si>
    <t>GOLD</t>
  </si>
  <si>
    <t>GRAPHITE</t>
  </si>
  <si>
    <t>GYPSUM</t>
  </si>
  <si>
    <t>HEAVY MINERAL SANDS</t>
  </si>
  <si>
    <t>n/a</t>
  </si>
  <si>
    <t>Reduced Ilmenite</t>
  </si>
  <si>
    <t>Kyanite</t>
  </si>
  <si>
    <t>Mineral Sands Concentrate</t>
  </si>
  <si>
    <t>Monazite</t>
  </si>
  <si>
    <t>Staurolite</t>
  </si>
  <si>
    <t>Xenotime</t>
  </si>
  <si>
    <t>INDUSTRIAL PEGMATITE MINERALS</t>
  </si>
  <si>
    <t>Feldspar</t>
  </si>
  <si>
    <t>Mica</t>
  </si>
  <si>
    <t>TOTAL INDUSTRIAL PEGMATITE MINERALS</t>
  </si>
  <si>
    <t>IRON ORE</t>
  </si>
  <si>
    <t>Domestic</t>
  </si>
  <si>
    <t>Exported</t>
  </si>
  <si>
    <t>Pellets</t>
  </si>
  <si>
    <t>Pig Iron</t>
  </si>
  <si>
    <t>TOTAL IRON ORE</t>
  </si>
  <si>
    <t>LIMESAND-LIMESTONE-DOLOMITE</t>
  </si>
  <si>
    <t xml:space="preserve"> Dolomite</t>
  </si>
  <si>
    <t xml:space="preserve"> Limesand-Limestone</t>
  </si>
  <si>
    <t>TOTAL LIMESAND-LIMESTONE-DOLOMITE</t>
  </si>
  <si>
    <t>MAGNESITE</t>
  </si>
  <si>
    <t>MANGANESE ORE</t>
  </si>
  <si>
    <t>MOLYBDENITE</t>
  </si>
  <si>
    <t>NICKEL INDUSTRY</t>
  </si>
  <si>
    <t>TOTAL COBALT</t>
  </si>
  <si>
    <t>Nickel Ore</t>
  </si>
  <si>
    <t>Ruthenium By-Product</t>
  </si>
  <si>
    <t>TOTAL NICKEL INDUSTRY</t>
  </si>
  <si>
    <t>OTHER</t>
  </si>
  <si>
    <t>PEAT</t>
  </si>
  <si>
    <t xml:space="preserve"> </t>
  </si>
  <si>
    <t xml:space="preserve">PETROLEUM </t>
  </si>
  <si>
    <t>kl</t>
  </si>
  <si>
    <t xml:space="preserve">TOTAL PETROLEUM </t>
  </si>
  <si>
    <t>PHOSPHATE</t>
  </si>
  <si>
    <t>PIGMENTS</t>
  </si>
  <si>
    <t>Ochre</t>
  </si>
  <si>
    <t>TOTAL PIGMENTS</t>
  </si>
  <si>
    <t>PYRITES (Gold By-Product)</t>
  </si>
  <si>
    <t>SALT</t>
  </si>
  <si>
    <t>SILICA-SILICA SAND</t>
  </si>
  <si>
    <t>Glass Sand</t>
  </si>
  <si>
    <t>TOTAL SILICA-SILICA SAND</t>
  </si>
  <si>
    <t>SILVER</t>
  </si>
  <si>
    <t>SOAPSTONE</t>
  </si>
  <si>
    <t>SPONGOLITE</t>
  </si>
  <si>
    <t>TALC</t>
  </si>
  <si>
    <t>TIN-TANTALUM-LITHIUM</t>
  </si>
  <si>
    <t>Petalite</t>
  </si>
  <si>
    <t>TOTAL TIN-TANTALUM-LITHIUM</t>
  </si>
  <si>
    <t>TUNGSTEN</t>
  </si>
  <si>
    <t>Scheelite</t>
  </si>
  <si>
    <t>Wolfram</t>
  </si>
  <si>
    <t>TOTAL TUNGSTEN</t>
  </si>
  <si>
    <t>VANADIUM</t>
  </si>
  <si>
    <t>VERMICULITE</t>
  </si>
  <si>
    <t>TOTAL VALUE</t>
  </si>
  <si>
    <t>VALUE</t>
  </si>
  <si>
    <t>Copper Metal</t>
  </si>
  <si>
    <t>Lead Metal</t>
  </si>
  <si>
    <t>Zinc Metal</t>
  </si>
  <si>
    <t>Aggregate</t>
  </si>
  <si>
    <t>Gravel</t>
  </si>
  <si>
    <t>Rock</t>
  </si>
  <si>
    <t>Sand</t>
  </si>
  <si>
    <t>Garnet</t>
  </si>
  <si>
    <t>Ilmenite</t>
  </si>
  <si>
    <t>Leucoxene</t>
  </si>
  <si>
    <t>Zircon</t>
  </si>
  <si>
    <t xml:space="preserve">Cobalt </t>
  </si>
  <si>
    <t>Palladium and Platinum By-Product</t>
  </si>
  <si>
    <t>LNG</t>
  </si>
  <si>
    <t>LPG - Butane and Propane</t>
  </si>
  <si>
    <t>'000m3</t>
  </si>
  <si>
    <t>$M</t>
  </si>
  <si>
    <t>Coal</t>
  </si>
  <si>
    <t>Base Metals</t>
  </si>
  <si>
    <t>Natural Gas and LPG</t>
  </si>
  <si>
    <t>Nickel Industry</t>
  </si>
  <si>
    <t>Rutile</t>
  </si>
  <si>
    <t>Spodumene</t>
  </si>
  <si>
    <t>Tantalite</t>
  </si>
  <si>
    <t>Tin Metal</t>
  </si>
  <si>
    <t>Date</t>
  </si>
  <si>
    <t>Petroleum - Exports</t>
  </si>
  <si>
    <t>Petroleum - WA vs Australia</t>
  </si>
  <si>
    <t>Historic annual average prices of nickel, and recent monthly prices.</t>
  </si>
  <si>
    <t>Value of nickel exports from Western Australia by destination.</t>
  </si>
  <si>
    <t>Annual historic nickel production in Western Australia as compared to the rest of the country.</t>
  </si>
  <si>
    <t>Historic annual average prices of gold, and recent monthly prices.</t>
  </si>
  <si>
    <t>Value of gold exports from Western Australia by destination.</t>
  </si>
  <si>
    <t>Annual historic gold production in Western Australia as compared to the rest of the country.</t>
  </si>
  <si>
    <t>US</t>
  </si>
  <si>
    <t>Colombia</t>
  </si>
  <si>
    <t>Ecuador</t>
  </si>
  <si>
    <t>Trinidad &amp; Tobago</t>
  </si>
  <si>
    <t>Other S. &amp; Cent. America</t>
  </si>
  <si>
    <t>Azerbaijan</t>
  </si>
  <si>
    <t>Denmark</t>
  </si>
  <si>
    <t>Romania</t>
  </si>
  <si>
    <t>Turkmenistan</t>
  </si>
  <si>
    <t>Uzbekistan</t>
  </si>
  <si>
    <t>Iraq</t>
  </si>
  <si>
    <t>Kuwait</t>
  </si>
  <si>
    <t>Syria</t>
  </si>
  <si>
    <t>Yemen</t>
  </si>
  <si>
    <t>Other Middle East</t>
  </si>
  <si>
    <t>Algeria</t>
  </si>
  <si>
    <t>Angola</t>
  </si>
  <si>
    <t>Chad</t>
  </si>
  <si>
    <t>Equatorial Guinea</t>
  </si>
  <si>
    <t>Gabon</t>
  </si>
  <si>
    <t>Libya</t>
  </si>
  <si>
    <t>Nigeria</t>
  </si>
  <si>
    <t>South Sudan</t>
  </si>
  <si>
    <t>Sudan</t>
  </si>
  <si>
    <t>Tunisia</t>
  </si>
  <si>
    <t>Other Africa</t>
  </si>
  <si>
    <t>Brunei</t>
  </si>
  <si>
    <t>Other Asia Pacific</t>
  </si>
  <si>
    <t>Oil: Total proved reserves</t>
  </si>
  <si>
    <t>OPEC Member Nations</t>
  </si>
  <si>
    <t>Non OPEC Member Nations</t>
  </si>
  <si>
    <t>'000 million barrels End 2014</t>
  </si>
  <si>
    <t>% of Total</t>
  </si>
  <si>
    <t>OPEC Affiliation</t>
  </si>
  <si>
    <t>Western Australia (Tonnes)</t>
  </si>
  <si>
    <t>Rest of Australia (Tonnes)</t>
  </si>
  <si>
    <t>Liquefied Natural Gas (LNG)</t>
  </si>
  <si>
    <t>Quantity (t)</t>
  </si>
  <si>
    <t>Quantity (PJ)</t>
  </si>
  <si>
    <t>Natural Gas and Related</t>
  </si>
  <si>
    <t>Western Australia Liquefied Natural Gas Quantity and Value</t>
  </si>
  <si>
    <t>Western Australia LPG (Butane and Propane) Quantity and Value</t>
  </si>
  <si>
    <t>Western Australia Natural Gas Quantity and Value</t>
  </si>
  <si>
    <t>Petroleum - Quantity and Value (Crude Oil and Condensate)</t>
  </si>
  <si>
    <t>Petroleum - Quantity and Value (Natural Gas and Related)</t>
  </si>
  <si>
    <t>Top Ten Nations by Oil Reserves</t>
  </si>
  <si>
    <t>Historic annual average prices of iron ore, and recent monthly prices.</t>
  </si>
  <si>
    <t>Value of iron ore exports from Western Australia by destination.</t>
  </si>
  <si>
    <t>Annual historic iron ore production in Western Australia as compared to the rest of the country.</t>
  </si>
  <si>
    <t>OPEC</t>
  </si>
  <si>
    <t>Non OPEC</t>
  </si>
  <si>
    <t>Iron ore</t>
  </si>
  <si>
    <t>Total Value</t>
  </si>
  <si>
    <t>Total Petroleum</t>
  </si>
  <si>
    <t>Other Minerals</t>
  </si>
  <si>
    <t>Quantity and Value</t>
  </si>
  <si>
    <t>Sources for data used in this document.</t>
  </si>
  <si>
    <t>Historic annual average prices of uranium, and recent monthly prices.</t>
  </si>
  <si>
    <t>Historic annual average Tapis crude oil prices, and recent monthly prices.</t>
  </si>
  <si>
    <t>Value of exports of petroleum products from Western Australia by destination.</t>
  </si>
  <si>
    <t>Annual historic crude oil and condensate production in Western Australia as compared to the rest of the country.</t>
  </si>
  <si>
    <t>Proven global oil reserves, by country and OPEC affiliation.</t>
  </si>
  <si>
    <t>WA Treasury Corp.</t>
  </si>
  <si>
    <t>Calendar Year</t>
  </si>
  <si>
    <t>Hong Kong (SAR of China)</t>
  </si>
  <si>
    <t>Korea, Republic of</t>
  </si>
  <si>
    <t>Switzerland</t>
  </si>
  <si>
    <t>Taiwan</t>
  </si>
  <si>
    <t>United States of America</t>
  </si>
  <si>
    <t>Lead</t>
  </si>
  <si>
    <t>$A/t</t>
  </si>
  <si>
    <t>Copper</t>
  </si>
  <si>
    <t>Zinc</t>
  </si>
  <si>
    <t>(A$/tonne)</t>
  </si>
  <si>
    <t>Base Metals - Quantity and Value</t>
  </si>
  <si>
    <t>Base Metals - Prices</t>
  </si>
  <si>
    <t>Base Metals - Exports</t>
  </si>
  <si>
    <t>Value of base metals exports from Western Australia by destination.</t>
  </si>
  <si>
    <t>Annual historic base metals production in Western Australia as compared to the rest of the country.</t>
  </si>
  <si>
    <t>Bulgaria</t>
  </si>
  <si>
    <t>Financial Year</t>
  </si>
  <si>
    <t>Select:</t>
  </si>
  <si>
    <t>A$/t</t>
  </si>
  <si>
    <t>Commodity</t>
  </si>
  <si>
    <t>Total (All Commodities)</t>
  </si>
  <si>
    <t>South Korea</t>
  </si>
  <si>
    <t>TOTAL</t>
  </si>
  <si>
    <t>Iceland</t>
  </si>
  <si>
    <t>Europe</t>
  </si>
  <si>
    <t>Asia</t>
  </si>
  <si>
    <t>North America</t>
  </si>
  <si>
    <t>Exporting Nation</t>
  </si>
  <si>
    <t>Exports 
(Billions of cubic metres)</t>
  </si>
  <si>
    <t>Percentage</t>
  </si>
  <si>
    <t>Importing Region</t>
  </si>
  <si>
    <t>Imports
(Billions of cubic metres)</t>
  </si>
  <si>
    <t>Middle East</t>
  </si>
  <si>
    <t>Percent of Asia Pacific Market supplied by WA</t>
  </si>
  <si>
    <t>Importing Nation</t>
  </si>
  <si>
    <t>Petroleum - Global LNG Trade</t>
  </si>
  <si>
    <t>Global trade in LNG, including WA and Australia's position within the global market.</t>
  </si>
  <si>
    <t>Montenegro</t>
  </si>
  <si>
    <t>Morocco</t>
  </si>
  <si>
    <t>EnergyQuest</t>
  </si>
  <si>
    <t>http://www.energyquest.com.au/</t>
  </si>
  <si>
    <t>Australian LNG, LPG and natural gas production</t>
  </si>
  <si>
    <t>China crude steel production</t>
  </si>
  <si>
    <t>China iron ore imports</t>
  </si>
  <si>
    <t>World Steel Association</t>
  </si>
  <si>
    <t>http://www.worldsteel.org</t>
  </si>
  <si>
    <t>Australian iron ore production</t>
  </si>
  <si>
    <t>Australian gold production</t>
  </si>
  <si>
    <t>Australian base metals production</t>
  </si>
  <si>
    <t>Australian alumina production</t>
  </si>
  <si>
    <t>http://kitco.com/gold.londonfix.html</t>
  </si>
  <si>
    <t>http://www.uxc.com</t>
  </si>
  <si>
    <t>Western Australia</t>
  </si>
  <si>
    <t>Rest of Australia</t>
  </si>
  <si>
    <t>US Exchange Rate</t>
  </si>
  <si>
    <t>Palladium By-Product</t>
  </si>
  <si>
    <t>Platinum By-Product</t>
  </si>
  <si>
    <t>Red Oxide</t>
  </si>
  <si>
    <t>LPG - Butane</t>
  </si>
  <si>
    <t>LPG - Propane</t>
  </si>
  <si>
    <t>Nickel Metal</t>
  </si>
  <si>
    <t>Cobalt By-Product</t>
  </si>
  <si>
    <t>Cobalt Metal</t>
  </si>
  <si>
    <t>Cobalt Sulphide</t>
  </si>
  <si>
    <t>Silica</t>
  </si>
  <si>
    <t>Silica Sand</t>
  </si>
  <si>
    <t>Tin</t>
  </si>
  <si>
    <t xml:space="preserve">Upgraded Ilmenite (a) </t>
  </si>
  <si>
    <t xml:space="preserve">Lead </t>
  </si>
  <si>
    <r>
      <t>'000m</t>
    </r>
    <r>
      <rPr>
        <vertAlign val="superscript"/>
        <sz val="11"/>
        <rFont val="Calibri"/>
        <family val="2"/>
        <scheme val="minor"/>
      </rPr>
      <t>3</t>
    </r>
  </si>
  <si>
    <t>Cumulative Quantitiy</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</si>
  <si>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</si>
  <si>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</si>
  <si>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</si>
  <si>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</si>
  <si>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</si>
  <si>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</si>
  <si>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</si>
  <si>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</si>
  <si>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</si>
  <si>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</si>
  <si>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</si>
  <si>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</si>
  <si>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</si>
  <si>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</si>
  <si>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</si>
  <si>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</si>
  <si>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</si>
  <si>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</si>
  <si>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</si>
  <si>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</si>
  <si>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</si>
  <si>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</si>
  <si>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</si>
  <si>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</si>
  <si>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</si>
  <si>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Minor Commodities</t>
  </si>
  <si>
    <t>Silver</t>
  </si>
  <si>
    <t>Salt</t>
  </si>
  <si>
    <t>Diamonds</t>
  </si>
  <si>
    <t>Quantity (Million Carats)</t>
  </si>
  <si>
    <t>Cobalt</t>
  </si>
  <si>
    <t>Platinum and Palladium</t>
  </si>
  <si>
    <t>Quantity (kg)</t>
  </si>
  <si>
    <t>Select Commodity:</t>
  </si>
  <si>
    <t>Quantity and Value by Year</t>
  </si>
  <si>
    <t>Australian and Western Australian Mineral Sands Production (By Value)</t>
  </si>
  <si>
    <t>Australian and Western Australian Mineral Sands Production</t>
  </si>
  <si>
    <t>Mineral Sands</t>
  </si>
  <si>
    <t>Mineral Sands Average Annual Price</t>
  </si>
  <si>
    <t>Mineral Sands Monthly Price</t>
  </si>
  <si>
    <t>MINERAL SANDS</t>
  </si>
  <si>
    <t>Historic annual average prices of mineral sands, and recent monthly prices.</t>
  </si>
  <si>
    <t>Value of mineral sands exports from Western Australia by destination.</t>
  </si>
  <si>
    <t>Annual historic mineral sands production in Western Australia as compared to the rest of the country.</t>
  </si>
  <si>
    <t>Historic Calendar Year</t>
  </si>
  <si>
    <t>Historic Financial Year</t>
  </si>
  <si>
    <t>TOTAL MINERAL SANDS</t>
  </si>
  <si>
    <t>Select: Financial Year</t>
  </si>
  <si>
    <t>Select: Calendar Year</t>
  </si>
  <si>
    <t xml:space="preserve"> Lead Metal</t>
  </si>
  <si>
    <t xml:space="preserve"> Zinc Metal</t>
  </si>
  <si>
    <t xml:space="preserve"> Aggregate</t>
  </si>
  <si>
    <t xml:space="preserve"> Gravel</t>
  </si>
  <si>
    <t xml:space="preserve"> Rock</t>
  </si>
  <si>
    <t xml:space="preserve"> Sand</t>
  </si>
  <si>
    <t xml:space="preserve"> Garnet</t>
  </si>
  <si>
    <t xml:space="preserve"> Ilmenite</t>
  </si>
  <si>
    <t xml:space="preserve"> Upgraded Ilmenite (a) </t>
  </si>
  <si>
    <t xml:space="preserve"> Leucoxene</t>
  </si>
  <si>
    <t xml:space="preserve"> Rutile</t>
  </si>
  <si>
    <t xml:space="preserve"> Zircon</t>
  </si>
  <si>
    <t xml:space="preserve"> Cobalt By-Product</t>
  </si>
  <si>
    <t xml:space="preserve"> Cobalt Metal</t>
  </si>
  <si>
    <t xml:space="preserve"> Cobalt Sulphide</t>
  </si>
  <si>
    <t xml:space="preserve"> Nickel Concentrate</t>
  </si>
  <si>
    <t xml:space="preserve"> Nickel </t>
  </si>
  <si>
    <t xml:space="preserve"> Platinum By-Product</t>
  </si>
  <si>
    <t xml:space="preserve"> Red Oxide</t>
  </si>
  <si>
    <t xml:space="preserve"> Silica</t>
  </si>
  <si>
    <t xml:space="preserve"> Silica Sand</t>
  </si>
  <si>
    <t xml:space="preserve"> Spodumene</t>
  </si>
  <si>
    <t xml:space="preserve"> Tantalite</t>
  </si>
  <si>
    <t xml:space="preserve"> Tin Metal</t>
  </si>
  <si>
    <t>OTHER (Includes diamonds, feldspar, red oxide, spongolite, talc and vanadium)</t>
  </si>
  <si>
    <t>n.a.</t>
  </si>
  <si>
    <t>n.a</t>
  </si>
  <si>
    <t>ALUMINA AND BAUXITE</t>
  </si>
  <si>
    <t>Alumina and Bauxite</t>
  </si>
  <si>
    <t>Total Contained Gold</t>
  </si>
  <si>
    <t xml:space="preserve">                                   -  </t>
  </si>
  <si>
    <t>UK</t>
  </si>
  <si>
    <t>2004-05</t>
  </si>
  <si>
    <t>Other Europe*</t>
  </si>
  <si>
    <t>Other Asia Pacific*</t>
  </si>
  <si>
    <t>*Note: Includes Re-Exports</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</si>
  <si>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</si>
  <si>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</si>
  <si>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</si>
  <si>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</si>
  <si>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</si>
  <si>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</si>
  <si>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</si>
  <si>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</si>
  <si>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</si>
  <si>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</si>
  <si>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</si>
  <si>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</si>
  <si>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</si>
  <si>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</si>
  <si>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</si>
  <si>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</si>
  <si>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</si>
  <si>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</si>
  <si>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</si>
  <si>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</si>
  <si>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2005-06</t>
  </si>
  <si>
    <t>2006-07</t>
  </si>
  <si>
    <t>2007-08</t>
  </si>
  <si>
    <t>2008-09</t>
  </si>
  <si>
    <t>2009-10</t>
  </si>
  <si>
    <t>2010-11</t>
  </si>
  <si>
    <t>2011-12</t>
  </si>
  <si>
    <t>2012-13</t>
  </si>
  <si>
    <t>2013-14</t>
  </si>
  <si>
    <t>2014-15</t>
  </si>
  <si>
    <t>2015-16</t>
  </si>
  <si>
    <t>Chart Data</t>
  </si>
  <si>
    <t xml:space="preserve">Click above to change chart data    </t>
  </si>
  <si>
    <t>Select Period:</t>
  </si>
  <si>
    <t>Price ($/GJ)</t>
  </si>
  <si>
    <t>WA Domestic Gas Price (A$/GJ)</t>
  </si>
  <si>
    <t>Quarterly WA Domestic Gas Price</t>
  </si>
  <si>
    <t>Click here to select an option</t>
  </si>
  <si>
    <t>A menu will drop down showing your choices</t>
  </si>
  <si>
    <t>Click to Select: Click anywhere in this tab to bring up the menu</t>
  </si>
  <si>
    <t>Click above to change chart data</t>
  </si>
  <si>
    <t>Details about how to use this file, and access the information held within it.</t>
  </si>
  <si>
    <t>Data</t>
  </si>
  <si>
    <t>How to Use</t>
  </si>
  <si>
    <t>East Coast Domestic Gas Price (A$/GJ)</t>
  </si>
  <si>
    <t>Price (US$/tonne)</t>
  </si>
  <si>
    <t>Avg. Price (US$/tonne)</t>
  </si>
  <si>
    <t>Petroleum - Gas Prices</t>
  </si>
  <si>
    <t xml:space="preserve"> $                         -  </t>
  </si>
  <si>
    <t>Monthly average prices for key Western Australian commodities.</t>
  </si>
  <si>
    <t>Historic average annual and monthly prices for copper, lead and zinc.</t>
  </si>
  <si>
    <t>Fin. Year</t>
  </si>
  <si>
    <t>FY H1</t>
  </si>
  <si>
    <t>Export Data (Calendar Year)</t>
  </si>
  <si>
    <t>Export Value</t>
  </si>
  <si>
    <t xml:space="preserve">Australian $ </t>
  </si>
  <si>
    <t>Export Data (Financial Year)</t>
  </si>
  <si>
    <t>Viet Nam</t>
  </si>
  <si>
    <t>Sri Lanka</t>
  </si>
  <si>
    <t>Nepal</t>
  </si>
  <si>
    <t>China (incl. Hong Kong)</t>
  </si>
  <si>
    <t>Macao</t>
  </si>
  <si>
    <t>Slovenia</t>
  </si>
  <si>
    <t>% Change (Price)</t>
  </si>
  <si>
    <t>China (Including Hong Kong)</t>
  </si>
  <si>
    <t>Base Metals Contained Gold/Silver</t>
  </si>
  <si>
    <t xml:space="preserve"> n/a </t>
  </si>
  <si>
    <t xml:space="preserve">                                    -  </t>
  </si>
  <si>
    <t>Western Australia mineral sands quantity and value</t>
  </si>
  <si>
    <t>Last 10 quarters</t>
  </si>
  <si>
    <t>Value by quarter</t>
  </si>
  <si>
    <t>Quantity and value by quarter</t>
  </si>
  <si>
    <t>Western Australia nickel quantity and value</t>
  </si>
  <si>
    <t>Alumina and bauxite</t>
  </si>
  <si>
    <t>Western Australia alumina and bauxite quantity and value</t>
  </si>
  <si>
    <t>Alumina monthly price</t>
  </si>
  <si>
    <t>Alumina average annual price</t>
  </si>
  <si>
    <t>Australian and Western Australian alumina production</t>
  </si>
  <si>
    <t>Base metals</t>
  </si>
  <si>
    <t>Western Australia base metals quantity and value</t>
  </si>
  <si>
    <t>Crude oil and condensate</t>
  </si>
  <si>
    <t>Western Australian natural gas</t>
  </si>
  <si>
    <t>Domestic use and prices</t>
  </si>
  <si>
    <t>2016-17</t>
  </si>
  <si>
    <t>Spodumene Concentrate</t>
  </si>
  <si>
    <t>Hong Kong</t>
  </si>
  <si>
    <t>Taiwan, Province Of China</t>
  </si>
  <si>
    <t>.</t>
  </si>
  <si>
    <t>Quantity and value of minerals and petroleum</t>
  </si>
  <si>
    <t>Australian and Western Australian base metals production</t>
  </si>
  <si>
    <t>Australian and Western Australian nickel production</t>
  </si>
  <si>
    <t>Australian and Western Australian gold production</t>
  </si>
  <si>
    <t>Q&amp;V 2 Yr Summary</t>
  </si>
  <si>
    <t>Major Commodity Summary</t>
  </si>
  <si>
    <t>CY Q&amp;V 2004-Now</t>
  </si>
  <si>
    <t>FY Q&amp;V 1984-85 to 2002-03</t>
  </si>
  <si>
    <t>FY Q&amp;V 2003-04 to Now</t>
  </si>
  <si>
    <t>Historic quantity and value of minerals and petroleum</t>
  </si>
  <si>
    <t>https://metals.argusmedia.com/</t>
  </si>
  <si>
    <t>N/A</t>
  </si>
  <si>
    <t> China</t>
  </si>
  <si>
    <t> Japan</t>
  </si>
  <si>
    <t> Korea, Republic of</t>
  </si>
  <si>
    <t> Taiwan</t>
  </si>
  <si>
    <t> Indonesia</t>
  </si>
  <si>
    <t>Annual historic Western Australian alumina production compared to the rest of Australia.</t>
  </si>
  <si>
    <t>Production and domestic consumption of natural gas in Western Australia, and comparison graph with the east coast.</t>
  </si>
  <si>
    <t/>
  </si>
  <si>
    <t>Alumina and Bauxite - Quantity and Value</t>
  </si>
  <si>
    <t>Alumina and Bauxite - Prices</t>
  </si>
  <si>
    <t>Alumina and Bauxite - Exports</t>
  </si>
  <si>
    <t>Bauxite</t>
  </si>
  <si>
    <t>Asia Pacific</t>
  </si>
  <si>
    <t>S. &amp; Cent. America</t>
  </si>
  <si>
    <t>Other EU</t>
  </si>
  <si>
    <t>Other CIS</t>
  </si>
  <si>
    <t>Other Europe</t>
  </si>
  <si>
    <t xml:space="preserve">Republic of Congo </t>
  </si>
  <si>
    <t>2017-18</t>
  </si>
  <si>
    <t>TOTAL ALUMINA &amp; BAUXITE</t>
  </si>
  <si>
    <t xml:space="preserve">  Hong Kong (SAR of China)</t>
  </si>
  <si>
    <t xml:space="preserve">  United Kingdom</t>
  </si>
  <si>
    <t xml:space="preserve">  China</t>
  </si>
  <si>
    <t xml:space="preserve">  Thailand</t>
  </si>
  <si>
    <t xml:space="preserve">  Singapore</t>
  </si>
  <si>
    <t xml:space="preserve">  India</t>
  </si>
  <si>
    <t xml:space="preserve">  Turkey</t>
  </si>
  <si>
    <t xml:space="preserve">  Korea, Republic of</t>
  </si>
  <si>
    <t xml:space="preserve">  Switzerland</t>
  </si>
  <si>
    <t xml:space="preserve">  United States of America</t>
  </si>
  <si>
    <t xml:space="preserve">  Japan</t>
  </si>
  <si>
    <t xml:space="preserve">  Taiwan</t>
  </si>
  <si>
    <t xml:space="preserve">  Vietnam</t>
  </si>
  <si>
    <t>-</t>
  </si>
  <si>
    <t xml:space="preserve">  Germany</t>
  </si>
  <si>
    <t>Other Americas*</t>
  </si>
  <si>
    <t>Global LNG Exports 2018</t>
  </si>
  <si>
    <t>World LNG Imports by Region 2018</t>
  </si>
  <si>
    <t>Asia Pacific Region Imports 2018 (by source country)</t>
  </si>
  <si>
    <t>Other Middle East &amp; Africa</t>
  </si>
  <si>
    <t>Countries and Regions Importing LNG in 2018</t>
  </si>
  <si>
    <t>'000 million barrels End 1998</t>
  </si>
  <si>
    <t>'000 million barrels End 2008</t>
  </si>
  <si>
    <t>'000 million barrels End 2018</t>
  </si>
  <si>
    <t>2018-19</t>
  </si>
  <si>
    <t xml:space="preserve">  Viet Nam</t>
  </si>
  <si>
    <t>Lithium</t>
  </si>
  <si>
    <t>Lithium Hydroxide</t>
  </si>
  <si>
    <t>CY Q&amp;V 1886-2003</t>
  </si>
  <si>
    <t>Nickel Concentrate</t>
  </si>
  <si>
    <t xml:space="preserve"> Palladium By-Product</t>
  </si>
  <si>
    <t>Agate</t>
  </si>
  <si>
    <t>Petroleum (East Coast Gas Price)</t>
  </si>
  <si>
    <t xml:space="preserve">Petroleum (Tapis Crude Oil) </t>
  </si>
  <si>
    <t>East Coast Domestic Gas</t>
  </si>
  <si>
    <t>Lithium Hydroxide - Asian Metal</t>
  </si>
  <si>
    <t>http://www.asianmetal.com/</t>
  </si>
  <si>
    <t>General Administration of Customs, China</t>
  </si>
  <si>
    <t>BP Statisitical Review of World Energy 2019</t>
  </si>
  <si>
    <t>http://english.customs.gov.cn/</t>
  </si>
  <si>
    <t>ABS</t>
  </si>
  <si>
    <t>Global oil reserves</t>
  </si>
  <si>
    <t>Global LNG trade</t>
  </si>
  <si>
    <t>Australian crude oil and condensate production</t>
  </si>
  <si>
    <t>Australian nickel production</t>
  </si>
  <si>
    <t>Prices</t>
  </si>
  <si>
    <t>https://www.abs.gov.au/</t>
  </si>
  <si>
    <t>Link</t>
  </si>
  <si>
    <t>WA alumina and bauxite exports</t>
  </si>
  <si>
    <t>WA base metals exports</t>
  </si>
  <si>
    <t>WA gold exports</t>
  </si>
  <si>
    <t>WA nickel exports</t>
  </si>
  <si>
    <t>WA iron ore exports</t>
  </si>
  <si>
    <t>WA quantity and value of mineral sales</t>
  </si>
  <si>
    <t>WA quantity and value of petroleum production</t>
  </si>
  <si>
    <t>DMIRS</t>
  </si>
  <si>
    <t>Petroleum - Global Oil Reserves</t>
  </si>
  <si>
    <t>China Crude Steel Production &amp; Iron Ore Imports (Financial Year)</t>
  </si>
  <si>
    <t>China Crude Steel Production &amp; Iron Ore Imports (Calendar Year)</t>
  </si>
  <si>
    <t>Annual historic calendar year crude steel production and iron ore imports in China since 1980, and a detailed breakdown of iron ore imports to China, including Australia's contribution.</t>
  </si>
  <si>
    <t>Annual historic financial year crude steel production and iron ore imports in China since 1990-91, and a detailed breakdown of iron ore imports to China, including Australia's contribution.</t>
  </si>
  <si>
    <t>Cumulative historical production of gold - on a calendar year basis only.</t>
  </si>
  <si>
    <t>Two year comparison of the value of the mineral and petroleum industry.</t>
  </si>
  <si>
    <t>Value of major commodities in Western Australia since 1999 - financial and calendar year options.</t>
  </si>
  <si>
    <t>Historic quantity and sales value of the mineral and petroleum industry - calendar year.</t>
  </si>
  <si>
    <t>Historic quantity and sales value of the mineral and petroleum industry - calendar year (post 2003).</t>
  </si>
  <si>
    <t>Historic quantity and sales value of the mineral and petroleum industry - financial year.</t>
  </si>
  <si>
    <t>Historic quantity and sales value of the mineral and petroleum industry - financial year (post 2003-04).</t>
  </si>
  <si>
    <t>Quarterly quantity and value figures for alumina in Western Australia.</t>
  </si>
  <si>
    <t>Historical average annual and monthly alumina prices .</t>
  </si>
  <si>
    <t>Value of alumina exports from Western Australia by destination.</t>
  </si>
  <si>
    <t>Quarterly quantity and value figures for base metals in Western Australia.</t>
  </si>
  <si>
    <t>Quarterly production and value figures for crude oil and condensate in Western Australia.</t>
  </si>
  <si>
    <t>Quarterly production and value figures for natural gas, LNG and LPG (butane and propane) in Western Australia.</t>
  </si>
  <si>
    <t>Alumina and Bauxite - WA vs Australia</t>
  </si>
  <si>
    <t>Base Metals - WA vs Australia</t>
  </si>
  <si>
    <t>Nickel - WA vs Australia</t>
  </si>
  <si>
    <t>Gold - WA vs Australia</t>
  </si>
  <si>
    <t>Iron Ore - WA vs Australia</t>
  </si>
  <si>
    <t>WA petroleum exports</t>
  </si>
  <si>
    <t>DMIRS and International Trade Statistics</t>
  </si>
  <si>
    <t>US$/t</t>
  </si>
  <si>
    <t>Pre April 99, ABARE via Minmet.  From April 99, Ux Consulting.</t>
  </si>
  <si>
    <t>Resources and Energy Quarterly</t>
  </si>
  <si>
    <t>ABS.Stat</t>
  </si>
  <si>
    <t>BP Statistical Review of World Energy</t>
  </si>
  <si>
    <t>Copper - London Metal Exchange average monthly cash official via Argus Metals</t>
  </si>
  <si>
    <t>Lead - London Metal Exchange average monthly cash official via Argus Metals</t>
  </si>
  <si>
    <t>Zinc - London Metal Exchange average monthly cash official via Argus Metals</t>
  </si>
  <si>
    <t>US$: London Fix via Kitco Inc.</t>
  </si>
  <si>
    <t>London Metal Exchange average monthly cash official via Argus Metals</t>
  </si>
  <si>
    <t>Pre Jun 99, ABARE, Report #39. From Jun 99, Australian Bureau of Statistics (ABS).</t>
  </si>
  <si>
    <t>Petroleum (WA Domestic Gas Price)</t>
  </si>
  <si>
    <t>Exchange Rates</t>
  </si>
  <si>
    <t>https://www.watc.wa.gov.au/</t>
  </si>
  <si>
    <t>WA Treasury Corporation</t>
  </si>
  <si>
    <t>A$:US$</t>
  </si>
  <si>
    <t>Cumulative Value</t>
  </si>
  <si>
    <t>Value ($ Million)</t>
  </si>
  <si>
    <t>$ Export Value</t>
  </si>
  <si>
    <t>Western Australia ($)</t>
  </si>
  <si>
    <t>Rest of Australia ($)</t>
  </si>
  <si>
    <t>China Crude Steel Production, 000s t</t>
  </si>
  <si>
    <t>China Iron Ore Imports, 000s t</t>
  </si>
  <si>
    <t>Import Volume (000s t)</t>
  </si>
  <si>
    <t>Avg Price (US$/tonne)</t>
  </si>
  <si>
    <t>US$/tonne</t>
  </si>
  <si>
    <t>Minor Commodities - Quantity and Value</t>
  </si>
  <si>
    <t>Quarterly quantity and value figures for nickel in Western Australia.</t>
  </si>
  <si>
    <t>Quarterly quantity and value figures for gold in Western Australia.</t>
  </si>
  <si>
    <t>Quarterly quantity and value figures for mineral sands in Western Australia.</t>
  </si>
  <si>
    <t>Quarterly quantity and value figures for iron ore in Western Australia.</t>
  </si>
  <si>
    <t>Quarterly quantity and value figures for coal, silver, salt, diamonds, cobalt, platinum and palladium in Western Australia.</t>
  </si>
  <si>
    <t>Pre 2016, DMIRS and NOPTA. From 2016, DMIRS, EnergyQuest, and Woodside</t>
  </si>
  <si>
    <t>Quantity (000 cubic metres)</t>
  </si>
  <si>
    <t>Mineral Sands - Quantity and Value</t>
  </si>
  <si>
    <t>Mineral Sands - Prices</t>
  </si>
  <si>
    <t>Mineral Sands - Exports</t>
  </si>
  <si>
    <t>Mineral Sands - WA vs Australia</t>
  </si>
  <si>
    <t>Lithium Monthly Price</t>
  </si>
  <si>
    <t>Lithium Average Annual Price</t>
  </si>
  <si>
    <t>Base Metals Monthly Price</t>
  </si>
  <si>
    <t>Base Metals Average Annual Price</t>
  </si>
  <si>
    <t>Lithium - Prices</t>
  </si>
  <si>
    <t>Lithium - Quantity &amp; Value</t>
  </si>
  <si>
    <t>Historic annual average prices of lithium carbonate and lithium hydroxide, and recent monthly prices.</t>
  </si>
  <si>
    <t>Petroleum - Oil Prices</t>
  </si>
  <si>
    <t>WA mineral sands exports</t>
  </si>
  <si>
    <t>Australian mineral sands production</t>
  </si>
  <si>
    <t>(May include Manganese, Rare Earths, Spongolite, Talc, Vanadium, Chromite, Cesium and Feldspar)</t>
  </si>
  <si>
    <t>Other (includes Garnet, Staurolite, Rutile and Synthetic Rutile)</t>
  </si>
  <si>
    <t>Other (may include Garnet, Rutile, Synthetic Rutile and Staurolite)</t>
  </si>
  <si>
    <t>Quarterly quantity and value figures for lithium in Western Australia.</t>
  </si>
  <si>
    <t>Pre Oct 2014, The Steel Index (TSI) spot prices for CFR China.  From Oct 2014, Argus Metals CFR China. From Nov 2019, TSI for 58% Fines Spot CFR Qingdao.</t>
  </si>
  <si>
    <t>Lao PDR</t>
  </si>
  <si>
    <t>China Iron Ore Imports by Source Nation 2019</t>
  </si>
  <si>
    <t>China Iron Ore Imports by Source Nation 2018-2019</t>
  </si>
  <si>
    <t>Kenya</t>
  </si>
  <si>
    <t xml:space="preserve">Rest of Europe </t>
  </si>
  <si>
    <t>Asia Pacific*</t>
  </si>
  <si>
    <t xml:space="preserve"> Other Europe*</t>
  </si>
  <si>
    <t>Office of the Chief Economist, Department of Industry, Science, Energy and Resources</t>
  </si>
  <si>
    <t>AU$: Perth mint selling price</t>
  </si>
  <si>
    <t>Synthetic Rutile</t>
  </si>
  <si>
    <t>Other (may include Garnet, Rutile, Synthetic Rutile, and Staurolite)</t>
  </si>
  <si>
    <t>(May include Rare Earths, Manganese, Spongolite, Talc, and Cesium)</t>
  </si>
  <si>
    <t>Iron Ore Average Annual Price</t>
  </si>
  <si>
    <t>Iron Ore US$/tonne</t>
  </si>
  <si>
    <t>Iron Ore A$/tonne</t>
  </si>
  <si>
    <t>Middle East &amp; Africa</t>
  </si>
  <si>
    <t>WA production (Million Tonnes)</t>
  </si>
  <si>
    <t>Total Asia Pacific Imports (Million Tonnes)</t>
  </si>
  <si>
    <t>Western Australia's Contribution to Asia Pacific Region in 2018</t>
  </si>
  <si>
    <t>Spodumene Concentrate 5% Min - Asian Metal</t>
  </si>
  <si>
    <t>Crude Oil and Condensate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</si>
</sst>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6" formatCode="&quot;$&quot;#,##0;[Red]\-&quot;$&quot;#,##0"/>
    <numFmt numFmtId="8" formatCode="&quot;$&quot;#,##0.00;[Red]\-&quot;$&quot;#,##0.00"/>
    <numFmt numFmtId="44" formatCode="_-&quot;$&quot;* #,##0.00_-;\-&quot;$&quot;* #,##0.00_-;_-&quot;$&quot;* &quot;-&quot;??_-;_-@_-"/>
    <numFmt numFmtId="43" formatCode="_-* #,##0.00_-;\-* #,##0.00_-;_-* &quot;-&quot;??_-;_-@_-"/>
    <numFmt numFmtId="164" formatCode="0.000"/>
    <numFmt numFmtId="165" formatCode="_(* #,##0.00_);_(* \(#,##0.00\);_(* &quot;-&quot;??_);_(@_)"/>
    <numFmt numFmtId="166" formatCode="_-* #,##0_-;\-* #,##0_-;_-* &quot;-&quot;??_-;_-@_-"/>
    <numFmt numFmtId="167" formatCode="0.0%"/>
    <numFmt numFmtId="168" formatCode="yyyy"/>
    <numFmt numFmtId="169" formatCode="&quot;$&quot;#,##0.00"/>
    <numFmt numFmtId="170" formatCode="&quot;$&quot;#,##0"/>
    <numFmt numFmtId="171" formatCode="#,##0.000"/>
    <numFmt numFmtId="172" formatCode="_-* #,##0.000_-;\-* #,##0.000_-;_-* &quot;-&quot;??_-;_-@_-"/>
    <numFmt numFmtId="173" formatCode="#,##0.0000"/>
    <numFmt numFmtId="174" formatCode="#,##0.0%;[Red]\-#,##0.0%"/>
    <numFmt numFmtId="175" formatCode="#,##0\ \(\r\)"/>
    <numFmt numFmtId="176" formatCode="0.0"/>
    <numFmt numFmtId="177" formatCode="0.0000"/>
    <numFmt numFmtId="178" formatCode="_-&quot;$&quot;* #,##0_-;\-&quot;$&quot;* #,##0_-;_-&quot;$&quot;* &quot;-&quot;??_-;_-@_-"/>
    <numFmt numFmtId="179" formatCode="_(* #,##0.0_);_(* \(#,##0.0\);_(* &quot;-&quot;??_);_(@_)"/>
    <numFmt numFmtId="180" formatCode="#,##0_);\(#,##0\)"/>
    <numFmt numFmtId="181" formatCode="#,##0.0"/>
    <numFmt numFmtId="182" formatCode="0.0000%"/>
    <numFmt numFmtId="183" formatCode="&quot;$&quot;#,##0.00;[Red]&quot;$&quot;#,##0.00"/>
    <numFmt numFmtId="184" formatCode="[$-C09]dd\-mmm\-yy;@"/>
    <numFmt numFmtId="185" formatCode="&quot;$&quot;#,##0.00_);[Red]\(&quot;$&quot;#,##0.00\)"/>
    <numFmt numFmtId="186" formatCode="mmm\ dd\,\ yyyy"/>
    <numFmt numFmtId="187" formatCode="0.00000"/>
    <numFmt numFmtId="188" formatCode="&quot;$&quot;#,##0.000"/>
    <numFmt numFmtId="189" formatCode="0.00;[Red]0.00"/>
    <numFmt numFmtId="190" formatCode="0_ ;[Red]\-0\ "/>
  </numFmts>
  <fonts count="131">
    <font>
      <sz val="11"/>
      <color theme="1"/>
      <name val="Calibri"/>
      <family val="2"/>
      <scheme val="minor"/>
    </font>
    <font>
      <sz val="11"/>
      <color theme="1"/>
      <name val="Calibri"/>
      <family val="2"/>
      <scheme val="minor"/>
    </font>
    <font>
      <sz val="10"/>
      <name val="Arial"/>
      <family val="2"/>
    </font>
    <font>
      <b/>
      <sz val="10"/>
      <name val="Arial"/>
      <family val="2"/>
    </font>
    <font>
      <u/>
      <sz val="10"/>
      <color theme="10"/>
      <name val="Arial"/>
      <family val="2"/>
    </font>
    <font>
      <b/>
      <sz val="11"/>
      <color theme="1"/>
      <name val="Calibri"/>
      <family val="2"/>
      <scheme val="minor"/>
    </font>
    <font>
      <sz val="11"/>
      <name val="Calibri"/>
      <family val="2"/>
      <scheme val="minor"/>
    </font>
    <font>
      <b/>
      <sz val="11"/>
      <color theme="0"/>
      <name val="Calibri"/>
      <family val="2"/>
      <scheme val="minor"/>
    </font>
    <font>
      <sz val="11"/>
      <color rgb="FFFF0000"/>
      <name val="Calibri"/>
      <family val="2"/>
      <scheme val="minor"/>
    </font>
    <font>
      <b/>
      <sz val="11"/>
      <name val="Calibri"/>
      <family val="2"/>
      <scheme val="minor"/>
    </font>
    <font>
      <sz val="9"/>
      <name val="Arial"/>
      <family val="2"/>
    </font>
    <font>
      <sz val="11"/>
      <color theme="0"/>
      <name val="Calibri"/>
      <family val="2"/>
      <scheme val="minor"/>
    </font>
    <font>
      <b/>
      <sz val="10"/>
      <color indexed="12"/>
      <name val="Arial"/>
      <family val="2"/>
    </font>
    <font>
      <sz val="10"/>
      <color theme="0"/>
      <name val="Arial"/>
      <family val="2"/>
    </font>
    <font>
      <sz val="9"/>
      <name val="Calibri"/>
      <family val="2"/>
      <scheme val="minor"/>
    </font>
    <font>
      <sz val="11"/>
      <color indexed="8"/>
      <name val="Calibri"/>
      <family val="2"/>
      <scheme val="minor"/>
    </font>
    <font>
      <b/>
      <sz val="8"/>
      <color indexed="81"/>
      <name val="Tahoma"/>
      <family val="2"/>
    </font>
    <font>
      <b/>
      <sz val="10"/>
      <color indexed="81"/>
      <name val="Tahoma"/>
      <family val="2"/>
    </font>
    <font>
      <sz val="10"/>
      <color indexed="81"/>
      <name val="Tahoma"/>
      <family val="2"/>
    </font>
    <font>
      <sz val="8"/>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sz val="11"/>
      <color theme="10"/>
      <name val="Calibri"/>
      <family val="2"/>
      <scheme val="minor"/>
    </font>
    <font>
      <sz val="8"/>
      <color theme="1"/>
      <name val="Calibri"/>
      <family val="2"/>
      <scheme val="minor"/>
    </font>
    <font>
      <b/>
      <sz val="11"/>
      <color indexed="8"/>
      <name val="Calibri"/>
      <family val="2"/>
      <scheme val="minor"/>
    </font>
    <font>
      <b/>
      <sz val="11"/>
      <color rgb="FFFF0000"/>
      <name val="Calibri"/>
      <family val="2"/>
      <scheme val="minor"/>
    </font>
    <font>
      <u/>
      <sz val="11"/>
      <color rgb="FF0000FF"/>
      <name val="Calibri"/>
      <family val="2"/>
      <scheme val="minor"/>
    </font>
    <font>
      <b/>
      <sz val="11"/>
      <color indexed="12"/>
      <name val="Calibri"/>
      <family val="2"/>
      <scheme val="minor"/>
    </font>
    <font>
      <sz val="11"/>
      <color indexed="16"/>
      <name val="Calibri"/>
      <family val="2"/>
      <scheme val="minor"/>
    </font>
    <font>
      <sz val="11"/>
      <color indexed="17"/>
      <name val="Calibri"/>
      <family val="2"/>
      <scheme val="minor"/>
    </font>
    <font>
      <sz val="11"/>
      <color indexed="21"/>
      <name val="Calibri"/>
      <family val="2"/>
      <scheme val="minor"/>
    </font>
    <font>
      <sz val="11"/>
      <color indexed="12"/>
      <name val="Calibri"/>
      <family val="2"/>
      <scheme val="minor"/>
    </font>
    <font>
      <sz val="11"/>
      <color indexed="10"/>
      <name val="Calibri"/>
      <family val="2"/>
      <scheme val="minor"/>
    </font>
    <font>
      <b/>
      <sz val="11"/>
      <color indexed="10"/>
      <name val="Calibri"/>
      <family val="2"/>
      <scheme val="minor"/>
    </font>
    <font>
      <vertAlign val="superscript"/>
      <sz val="11"/>
      <name val="Calibri"/>
      <family val="2"/>
      <scheme val="minor"/>
    </font>
    <font>
      <i/>
      <sz val="11"/>
      <name val="Calibri"/>
      <family val="2"/>
      <scheme val="minor"/>
    </font>
    <font>
      <b/>
      <sz val="22"/>
      <color theme="1"/>
      <name val="Calibri"/>
      <family val="2"/>
      <scheme val="minor"/>
    </font>
    <font>
      <sz val="11"/>
      <name val="Calibri"/>
      <family val="2"/>
    </font>
    <font>
      <b/>
      <sz val="1"/>
      <color theme="0"/>
      <name val="Calibri"/>
      <family val="2"/>
      <scheme val="minor"/>
    </font>
    <font>
      <sz val="2"/>
      <color theme="0"/>
      <name val="Calibri"/>
      <family val="2"/>
      <scheme val="minor"/>
    </font>
    <font>
      <sz val="11"/>
      <color theme="5"/>
      <name val="Calibri"/>
      <family val="2"/>
      <scheme val="minor"/>
    </font>
    <font>
      <b/>
      <sz val="2"/>
      <color theme="0"/>
      <name val="Calibri"/>
      <family val="2"/>
      <scheme val="minor"/>
    </font>
    <font>
      <b/>
      <sz val="11"/>
      <color theme="9" tint="-0.499984740745262"/>
      <name val="Calibri"/>
      <family val="2"/>
      <scheme val="minor"/>
    </font>
    <font>
      <sz val="11"/>
      <color theme="9" tint="-0.249977111117893"/>
      <name val="Calibri"/>
      <family val="2"/>
      <scheme val="minor"/>
    </font>
    <font>
      <sz val="11"/>
      <color theme="5" tint="-0.499984740745262"/>
      <name val="Calibri"/>
      <family val="2"/>
      <scheme val="minor"/>
    </font>
    <font>
      <i/>
      <sz val="11"/>
      <color rgb="FFFF0000"/>
      <name val="Calibri"/>
      <family val="2"/>
      <scheme val="minor"/>
    </font>
    <font>
      <sz val="11"/>
      <color rgb="FF000000"/>
      <name val="Calibri"/>
      <family val="2"/>
      <scheme val="minor"/>
    </font>
    <font>
      <sz val="9"/>
      <name val="Microsoft Sans Serif"/>
      <family val="2"/>
    </font>
    <font>
      <sz val="11"/>
      <color indexed="8"/>
      <name val="Calibri"/>
      <family val="2"/>
    </font>
    <font>
      <sz val="9"/>
      <color indexed="12"/>
      <name val="Calibri"/>
      <family val="2"/>
      <scheme val="minor"/>
    </font>
    <font>
      <sz val="9"/>
      <color indexed="21"/>
      <name val="Calibri"/>
      <family val="2"/>
      <scheme val="minor"/>
    </font>
    <font>
      <b/>
      <sz val="9"/>
      <name val="Calibri"/>
      <family val="2"/>
      <scheme val="minor"/>
    </font>
    <font>
      <sz val="10"/>
      <name val="Calibri"/>
      <family val="2"/>
      <scheme val="minor"/>
    </font>
    <font>
      <b/>
      <sz val="9"/>
      <color indexed="12"/>
      <name val="Calibri"/>
      <family val="2"/>
      <scheme val="minor"/>
    </font>
    <font>
      <sz val="9"/>
      <color rgb="FF002060"/>
      <name val="Calibri"/>
      <family val="2"/>
      <scheme val="minor"/>
    </font>
    <font>
      <b/>
      <sz val="9"/>
      <color rgb="FFFF0000"/>
      <name val="Calibri"/>
      <family val="2"/>
      <scheme val="minor"/>
    </font>
    <font>
      <i/>
      <sz val="8"/>
      <name val="Calibri"/>
      <family val="2"/>
      <scheme val="minor"/>
    </font>
    <font>
      <i/>
      <sz val="11"/>
      <color theme="1"/>
      <name val="Calibri"/>
      <family val="2"/>
      <scheme val="minor"/>
    </font>
    <font>
      <sz val="10"/>
      <name val="MS Sans Serif"/>
      <family val="2"/>
    </font>
    <font>
      <sz val="10"/>
      <color theme="4" tint="-0.249977111117893"/>
      <name val="Arial"/>
      <family val="2"/>
    </font>
    <font>
      <sz val="10"/>
      <color indexed="8"/>
      <name val="Arial"/>
      <family val="2"/>
    </font>
    <font>
      <sz val="10"/>
      <color indexed="10"/>
      <name val="Arial"/>
      <family val="2"/>
    </font>
    <font>
      <sz val="10"/>
      <color indexed="9"/>
      <name val="Arial"/>
      <family val="2"/>
    </font>
    <font>
      <b/>
      <sz val="10"/>
      <color indexed="52"/>
      <name val="Arial"/>
      <family val="2"/>
    </font>
    <font>
      <sz val="10"/>
      <color indexed="52"/>
      <name val="Arial"/>
      <family val="2"/>
    </font>
    <font>
      <sz val="10"/>
      <name val="Geneva"/>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b/>
      <sz val="10"/>
      <color theme="0"/>
      <name val="Arial"/>
      <family val="2"/>
    </font>
    <font>
      <i/>
      <sz val="11"/>
      <color theme="0"/>
      <name val="Calibri"/>
      <family val="2"/>
      <scheme val="minor"/>
    </font>
    <font>
      <u/>
      <sz val="10"/>
      <color indexed="12"/>
      <name val="Arial"/>
      <family val="2"/>
    </font>
    <font>
      <i/>
      <sz val="9"/>
      <color theme="5"/>
      <name val="Calibri"/>
      <family val="2"/>
      <scheme val="minor"/>
    </font>
    <font>
      <sz val="3"/>
      <color theme="0"/>
      <name val="Calibri"/>
      <family val="2"/>
      <scheme val="minor"/>
    </font>
    <font>
      <sz val="9"/>
      <color indexed="16"/>
      <name val="Calibri"/>
      <family val="2"/>
      <scheme val="minor"/>
    </font>
    <font>
      <sz val="11"/>
      <color theme="4"/>
      <name val="Calibri"/>
      <family val="2"/>
      <scheme val="minor"/>
    </font>
    <font>
      <sz val="11"/>
      <color theme="6" tint="-0.249977111117893"/>
      <name val="Calibri"/>
      <family val="2"/>
      <scheme val="minor"/>
    </font>
    <font>
      <sz val="9"/>
      <color rgb="FFFF0000"/>
      <name val="Calibri"/>
      <family val="2"/>
      <scheme val="minor"/>
    </font>
    <font>
      <sz val="10"/>
      <color theme="0"/>
      <name val="Calibri"/>
      <family val="2"/>
      <scheme val="minor"/>
    </font>
    <font>
      <b/>
      <sz val="11"/>
      <color rgb="FFDAEEF3"/>
      <name val="Calibri"/>
      <family val="2"/>
      <scheme val="minor"/>
    </font>
    <font>
      <b/>
      <sz val="11"/>
      <color rgb="FFFFFFCC"/>
      <name val="Calibri"/>
      <family val="2"/>
      <scheme val="minor"/>
    </font>
    <font>
      <sz val="12"/>
      <color rgb="FFFF0000"/>
      <name val="Calibri"/>
      <family val="2"/>
      <scheme val="minor"/>
    </font>
    <font>
      <sz val="10"/>
      <name val="Arial"/>
      <family val="2"/>
    </font>
    <font>
      <b/>
      <sz val="20"/>
      <color rgb="FFFF0000"/>
      <name val="Calibri"/>
      <family val="2"/>
      <scheme val="minor"/>
    </font>
    <font>
      <b/>
      <sz val="22"/>
      <color rgb="FFFF0000"/>
      <name val="Calibri"/>
      <family val="2"/>
      <scheme val="minor"/>
    </font>
    <font>
      <b/>
      <sz val="12"/>
      <color rgb="FFFF0000"/>
      <name val="Calibri"/>
      <family val="2"/>
      <scheme val="minor"/>
    </font>
    <font>
      <b/>
      <sz val="16"/>
      <color rgb="FFFF0000"/>
      <name val="Calibri"/>
      <family val="2"/>
      <scheme val="minor"/>
    </font>
    <font>
      <u/>
      <sz val="11"/>
      <color theme="4"/>
      <name val="Calibri"/>
      <family val="2"/>
      <scheme val="minor"/>
    </font>
    <font>
      <sz val="10"/>
      <name val="Arial"/>
      <family val="2"/>
    </font>
    <font>
      <sz val="9"/>
      <color indexed="81"/>
      <name val="Tahoma"/>
      <family val="2"/>
    </font>
    <font>
      <b/>
      <sz val="9"/>
      <color indexed="81"/>
      <name val="Tahoma"/>
      <family val="2"/>
    </font>
    <font>
      <sz val="11"/>
      <name val="Arial"/>
      <family val="2"/>
    </font>
    <font>
      <sz val="8"/>
      <name val="Arial"/>
      <family val="2"/>
    </font>
    <font>
      <sz val="8"/>
      <name val="Arial"/>
      <family val="2"/>
    </font>
    <font>
      <sz val="9"/>
      <name val="Geneva"/>
    </font>
    <font>
      <sz val="7"/>
      <name val="Arial"/>
      <family val="2"/>
    </font>
    <font>
      <sz val="8"/>
      <color indexed="8"/>
      <name val="Arial"/>
      <family val="2"/>
    </font>
    <font>
      <sz val="6"/>
      <name val="Arial"/>
      <family val="2"/>
    </font>
    <font>
      <sz val="7"/>
      <color indexed="8"/>
      <name val="Arial"/>
      <family val="2"/>
    </font>
    <font>
      <b/>
      <sz val="7"/>
      <color indexed="9"/>
      <name val="Arial"/>
      <family val="2"/>
    </font>
    <font>
      <sz val="6.5"/>
      <name val="Arial"/>
      <family val="2"/>
    </font>
    <font>
      <b/>
      <sz val="8.5"/>
      <color indexed="50"/>
      <name val="Arial"/>
      <family val="2"/>
    </font>
    <font>
      <b/>
      <sz val="7"/>
      <name val="Arial"/>
      <family val="2"/>
    </font>
    <font>
      <sz val="14"/>
      <color indexed="50"/>
      <name val="Arial"/>
      <family val="2"/>
    </font>
    <font>
      <sz val="11"/>
      <color rgb="FF0000FF"/>
      <name val="Calibri"/>
      <family val="2"/>
    </font>
    <font>
      <u/>
      <sz val="11"/>
      <color theme="10"/>
      <name val="Calibri"/>
      <family val="2"/>
    </font>
    <font>
      <u/>
      <sz val="11"/>
      <color rgb="FF0000FF"/>
      <name val="Calibri"/>
      <family val="2"/>
    </font>
    <font>
      <sz val="11"/>
      <color theme="1"/>
      <name val="Calibri"/>
      <family val="2"/>
    </font>
    <font>
      <sz val="9"/>
      <color indexed="81"/>
      <name val="Calibri"/>
      <family val="2"/>
      <scheme val="minor"/>
    </font>
    <font>
      <sz val="9"/>
      <color indexed="81"/>
      <name val="Calibri"/>
      <family val="2"/>
    </font>
    <font>
      <sz val="8"/>
      <name val="Arial"/>
      <family val="2"/>
    </font>
    <font>
      <u/>
      <sz val="8"/>
      <color indexed="12"/>
      <name val="Arial"/>
      <family val="2"/>
    </font>
  </fonts>
  <fills count="133">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theme="6" tint="0.79998168889431442"/>
        <bgColor indexed="64"/>
      </patternFill>
    </fill>
    <fill>
      <patternFill patternType="solid">
        <fgColor theme="0"/>
        <bgColor indexed="64"/>
      </patternFill>
    </fill>
    <fill>
      <patternFill patternType="solid">
        <fgColor theme="6"/>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79998168889431442"/>
        <bgColor theme="6" tint="0.79998168889431442"/>
      </patternFill>
    </fill>
    <fill>
      <patternFill patternType="solid">
        <fgColor theme="4"/>
        <bgColor theme="6"/>
      </patternFill>
    </fill>
    <fill>
      <patternFill patternType="solid">
        <fgColor theme="5" tint="0.79998168889431442"/>
        <bgColor theme="6" tint="0.79998168889431442"/>
      </patternFill>
    </fill>
    <fill>
      <patternFill patternType="solid">
        <fgColor theme="5" tint="0.79998168889431442"/>
        <bgColor indexed="64"/>
      </patternFill>
    </fill>
    <fill>
      <patternFill patternType="solid">
        <fgColor rgb="FFFFC000"/>
        <bgColor indexed="64"/>
      </patternFill>
    </fill>
    <fill>
      <patternFill patternType="solid">
        <fgColor rgb="FFFFFF99"/>
        <bgColor indexed="64"/>
      </patternFill>
    </fill>
    <fill>
      <patternFill patternType="solid">
        <fgColor rgb="FFFFFF99"/>
        <bgColor theme="6" tint="0.79998168889431442"/>
      </patternFill>
    </fill>
    <fill>
      <patternFill patternType="solid">
        <fgColor theme="7"/>
        <bgColor indexed="64"/>
      </patternFill>
    </fill>
    <fill>
      <patternFill patternType="solid">
        <fgColor theme="7"/>
        <bgColor theme="6"/>
      </patternFill>
    </fill>
    <fill>
      <patternFill patternType="solid">
        <fgColor theme="7" tint="0.79998168889431442"/>
        <bgColor theme="6" tint="0.79998168889431442"/>
      </patternFill>
    </fill>
    <fill>
      <patternFill patternType="solid">
        <fgColor theme="2" tint="-0.499984740745262"/>
        <bgColor theme="6"/>
      </patternFill>
    </fill>
    <fill>
      <patternFill patternType="solid">
        <fgColor theme="5"/>
        <bgColor indexed="64"/>
      </patternFill>
    </fill>
    <fill>
      <patternFill patternType="solid">
        <fgColor theme="5"/>
        <bgColor theme="6"/>
      </patternFill>
    </fill>
    <fill>
      <patternFill patternType="solid">
        <fgColor rgb="FFD6D1B8"/>
        <bgColor theme="6" tint="0.79998168889431442"/>
      </patternFill>
    </fill>
    <fill>
      <patternFill patternType="solid">
        <fgColor theme="8"/>
        <bgColor indexed="64"/>
      </patternFill>
    </fill>
    <fill>
      <patternFill patternType="solid">
        <fgColor theme="8" tint="0.79998168889431442"/>
        <bgColor theme="6" tint="0.79998168889431442"/>
      </patternFill>
    </fill>
    <fill>
      <patternFill patternType="solid">
        <fgColor theme="8"/>
        <bgColor theme="6"/>
      </patternFill>
    </fill>
    <fill>
      <patternFill patternType="solid">
        <fgColor rgb="FFFFFFCC"/>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F66CC"/>
        <bgColor theme="6"/>
      </patternFill>
    </fill>
    <fill>
      <patternFill patternType="solid">
        <fgColor rgb="FFFAD6F2"/>
        <bgColor theme="6" tint="0.79998168889431442"/>
      </patternFill>
    </fill>
    <fill>
      <patternFill patternType="solid">
        <fgColor rgb="FFFAD6F2"/>
        <bgColor indexed="64"/>
      </patternFill>
    </fill>
    <fill>
      <patternFill patternType="solid">
        <fgColor rgb="FFFF66CC"/>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C89600"/>
        <bgColor indexed="64"/>
      </patternFill>
    </fill>
    <fill>
      <patternFill patternType="solid">
        <fgColor rgb="FFC89600"/>
        <bgColor theme="6"/>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theme="6"/>
      </patternFill>
    </fill>
    <fill>
      <patternFill patternType="solid">
        <fgColor theme="0" tint="-0.14999847407452621"/>
        <bgColor theme="6" tint="0.79998168889431442"/>
      </patternFill>
    </fill>
    <fill>
      <patternFill patternType="solid">
        <fgColor indexed="2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5" tint="-0.499984740745262"/>
        <bgColor indexed="64"/>
      </patternFill>
    </fill>
    <fill>
      <patternFill patternType="solid">
        <fgColor rgb="FFDAEEF3"/>
        <bgColor indexed="64"/>
      </patternFill>
    </fill>
    <fill>
      <patternFill patternType="solid">
        <fgColor rgb="FFC8E6EE"/>
        <bgColor indexed="64"/>
      </patternFill>
    </fill>
    <fill>
      <patternFill patternType="solid">
        <fgColor rgb="FFFFE7CF"/>
        <bgColor indexed="64"/>
      </patternFill>
    </fill>
    <fill>
      <patternFill patternType="solid">
        <fgColor rgb="FFFF870F"/>
        <bgColor indexed="64"/>
      </patternFill>
    </fill>
    <fill>
      <patternFill patternType="solid">
        <fgColor rgb="FFFF870F"/>
        <bgColor theme="6"/>
      </patternFill>
    </fill>
    <fill>
      <patternFill patternType="solid">
        <fgColor rgb="FFFFE7CF"/>
        <bgColor theme="6" tint="0.79998168889431442"/>
      </patternFill>
    </fill>
    <fill>
      <patternFill patternType="solid">
        <fgColor rgb="FFC5D9F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FF870F"/>
        <bgColor theme="6" tint="0.79998168889431442"/>
      </patternFill>
    </fill>
    <fill>
      <patternFill patternType="solid">
        <fgColor rgb="FFC89600"/>
        <bgColor theme="6" tint="0.79998168889431442"/>
      </patternFill>
    </fill>
    <fill>
      <patternFill patternType="solid">
        <fgColor rgb="FFFF66CC"/>
        <bgColor theme="6" tint="0.79998168889431442"/>
      </patternFill>
    </fill>
    <fill>
      <patternFill patternType="solid">
        <fgColor rgb="FF9BBB59"/>
        <bgColor theme="6"/>
      </patternFill>
    </fill>
    <fill>
      <patternFill patternType="solid">
        <fgColor rgb="FF9BBB59"/>
        <bgColor theme="6" tint="0.79998168889431442"/>
      </patternFill>
    </fill>
    <fill>
      <patternFill patternType="solid">
        <fgColor rgb="FF9BBB59"/>
        <bgColor indexed="64"/>
      </patternFill>
    </fill>
    <fill>
      <patternFill patternType="solid">
        <fgColor rgb="FFC0504D"/>
        <bgColor indexed="64"/>
      </patternFill>
    </fill>
    <fill>
      <patternFill patternType="solid">
        <fgColor rgb="FFC0504D"/>
        <bgColor theme="6" tint="0.79998168889431442"/>
      </patternFill>
    </fill>
    <fill>
      <patternFill patternType="solid">
        <fgColor rgb="FF8064A2"/>
        <bgColor theme="6"/>
      </patternFill>
    </fill>
    <fill>
      <patternFill patternType="solid">
        <fgColor rgb="FF8064A2"/>
        <bgColor theme="6" tint="0.79998168889431442"/>
      </patternFill>
    </fill>
    <fill>
      <patternFill patternType="solid">
        <fgColor rgb="FF8064A2"/>
        <bgColor indexed="64"/>
      </patternFill>
    </fill>
    <fill>
      <patternFill patternType="solid">
        <fgColor rgb="FF4F81BD"/>
        <bgColor theme="6"/>
      </patternFill>
    </fill>
    <fill>
      <patternFill patternType="solid">
        <fgColor rgb="FF4F81BD"/>
        <bgColor theme="6" tint="0.79998168889431442"/>
      </patternFill>
    </fill>
    <fill>
      <patternFill patternType="solid">
        <fgColor rgb="FF4F81BD"/>
        <bgColor indexed="64"/>
      </patternFill>
    </fill>
    <fill>
      <patternFill patternType="solid">
        <fgColor rgb="FF4BACC6"/>
        <bgColor theme="6"/>
      </patternFill>
    </fill>
    <fill>
      <patternFill patternType="solid">
        <fgColor rgb="FF4BACC6"/>
        <bgColor theme="6" tint="0.79998168889431442"/>
      </patternFill>
    </fill>
    <fill>
      <patternFill patternType="solid">
        <fgColor rgb="FF4BACC6"/>
        <bgColor indexed="64"/>
      </patternFill>
    </fill>
    <fill>
      <patternFill patternType="solid">
        <fgColor rgb="FF948A54"/>
        <bgColor theme="6"/>
      </patternFill>
    </fill>
    <fill>
      <patternFill patternType="solid">
        <fgColor rgb="FF948A54"/>
        <bgColor theme="6" tint="0.79998168889431442"/>
      </patternFill>
    </fill>
    <fill>
      <patternFill patternType="solid">
        <fgColor rgb="FF948A54"/>
        <bgColor indexed="64"/>
      </patternFill>
    </fill>
  </fills>
  <borders count="90">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theme="6" tint="0.39997558519241921"/>
      </top>
      <bottom/>
      <diagonal/>
    </border>
    <border>
      <left/>
      <right style="thin">
        <color indexed="64"/>
      </right>
      <top style="thin">
        <color theme="6" tint="0.39997558519241921"/>
      </top>
      <bottom/>
      <diagonal/>
    </border>
    <border>
      <left style="thin">
        <color indexed="64"/>
      </left>
      <right/>
      <top style="thin">
        <color theme="6" tint="0.39997558519241921"/>
      </top>
      <bottom style="thin">
        <color indexed="64"/>
      </bottom>
      <diagonal/>
    </border>
    <border>
      <left/>
      <right style="thin">
        <color indexed="64"/>
      </right>
      <top style="thin">
        <color theme="6" tint="0.39997558519241921"/>
      </top>
      <bottom style="thin">
        <color indexed="64"/>
      </bottom>
      <diagonal/>
    </border>
    <border>
      <left style="thin">
        <color indexed="64"/>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theme="6" tint="0.39997558519241921"/>
      </top>
      <bottom/>
      <diagonal/>
    </border>
    <border>
      <left style="thin">
        <color indexed="64"/>
      </left>
      <right style="thin">
        <color indexed="64"/>
      </right>
      <top style="thin">
        <color theme="6" tint="0.39997558519241921"/>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ck">
        <color indexed="64"/>
      </left>
      <right style="thick">
        <color indexed="64"/>
      </right>
      <top style="medium">
        <color indexed="64"/>
      </top>
      <bottom/>
      <diagonal/>
    </border>
    <border>
      <left style="thick">
        <color indexed="64"/>
      </left>
      <right style="thick">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style="medium">
        <color indexed="64"/>
      </right>
      <top/>
      <bottom style="double">
        <color indexed="64"/>
      </bottom>
      <diagonal/>
    </border>
    <border>
      <left/>
      <right/>
      <top/>
      <bottom style="double">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top/>
      <bottom style="thin">
        <color indexed="50"/>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26218">
    <xf numFmtId="0" fontId="0" fillId="0" borderId="0"/>
    <xf numFmtId="0" fontId="4" fillId="0" borderId="0" applyNumberFormat="0" applyFill="0" applyBorder="0" applyAlignment="0" applyProtection="0"/>
    <xf numFmtId="0" fontId="20" fillId="0" borderId="0" applyNumberFormat="0" applyFill="0" applyBorder="0" applyAlignment="0" applyProtection="0"/>
    <xf numFmtId="0" fontId="21" fillId="0" borderId="54" applyNumberFormat="0" applyFill="0" applyAlignment="0" applyProtection="0"/>
    <xf numFmtId="0" fontId="22" fillId="0" borderId="55" applyNumberFormat="0" applyFill="0" applyAlignment="0" applyProtection="0"/>
    <xf numFmtId="0" fontId="23" fillId="0" borderId="56" applyNumberFormat="0" applyFill="0" applyAlignment="0" applyProtection="0"/>
    <xf numFmtId="0" fontId="23" fillId="0" borderId="0" applyNumberFormat="0" applyFill="0" applyBorder="0" applyAlignment="0" applyProtection="0"/>
    <xf numFmtId="0" fontId="24" fillId="33" borderId="0" applyNumberFormat="0" applyBorder="0" applyAlignment="0" applyProtection="0"/>
    <xf numFmtId="0" fontId="25" fillId="34" borderId="0" applyNumberFormat="0" applyBorder="0" applyAlignment="0" applyProtection="0"/>
    <xf numFmtId="0" fontId="26" fillId="35" borderId="0" applyNumberFormat="0" applyBorder="0" applyAlignment="0" applyProtection="0"/>
    <xf numFmtId="0" fontId="27" fillId="36" borderId="57" applyNumberFormat="0" applyAlignment="0" applyProtection="0"/>
    <xf numFmtId="0" fontId="28" fillId="37" borderId="58" applyNumberFormat="0" applyAlignment="0" applyProtection="0"/>
    <xf numFmtId="0" fontId="29" fillId="37" borderId="57" applyNumberFormat="0" applyAlignment="0" applyProtection="0"/>
    <xf numFmtId="0" fontId="30" fillId="0" borderId="59" applyNumberFormat="0" applyFill="0" applyAlignment="0" applyProtection="0"/>
    <xf numFmtId="0" fontId="7" fillId="38" borderId="60" applyNumberFormat="0" applyAlignment="0" applyProtection="0"/>
    <xf numFmtId="0" fontId="8" fillId="0" borderId="0" applyNumberFormat="0" applyFill="0" applyBorder="0" applyAlignment="0" applyProtection="0"/>
    <xf numFmtId="0" fontId="31" fillId="0" borderId="0" applyNumberFormat="0" applyFill="0" applyBorder="0" applyAlignment="0" applyProtection="0"/>
    <xf numFmtId="0" fontId="5" fillId="0" borderId="61" applyNumberFormat="0" applyFill="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43" fontId="1" fillId="0" borderId="0" applyFont="0" applyFill="0" applyBorder="0" applyAlignment="0" applyProtection="0"/>
    <xf numFmtId="0" fontId="2" fillId="0" borderId="0"/>
    <xf numFmtId="0" fontId="2" fillId="0" borderId="0"/>
    <xf numFmtId="0" fontId="57" fillId="0" borderId="0"/>
    <xf numFmtId="0" fontId="57" fillId="0" borderId="0"/>
    <xf numFmtId="0" fontId="57" fillId="0" borderId="0"/>
    <xf numFmtId="0" fontId="57"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58" fillId="81" borderId="0" applyNumberFormat="0" applyBorder="0" applyAlignment="0" applyProtection="0"/>
    <xf numFmtId="0" fontId="58" fillId="87" borderId="0" applyNumberFormat="0" applyBorder="0" applyAlignment="0" applyProtection="0"/>
    <xf numFmtId="184" fontId="1" fillId="68" borderId="0" applyNumberFormat="0" applyBorder="0" applyAlignment="0" applyProtection="0"/>
    <xf numFmtId="0" fontId="58" fillId="82" borderId="0" applyNumberFormat="0" applyBorder="0" applyAlignment="0" applyProtection="0"/>
    <xf numFmtId="0" fontId="58" fillId="88" borderId="0" applyNumberFormat="0" applyBorder="0" applyAlignment="0" applyProtection="0"/>
    <xf numFmtId="184" fontId="1" fillId="70" borderId="0" applyNumberFormat="0" applyBorder="0" applyAlignment="0" applyProtection="0"/>
    <xf numFmtId="0" fontId="58" fillId="83" borderId="0" applyNumberFormat="0" applyBorder="0" applyAlignment="0" applyProtection="0"/>
    <xf numFmtId="0" fontId="58" fillId="91" borderId="0" applyNumberFormat="0" applyBorder="0" applyAlignment="0" applyProtection="0"/>
    <xf numFmtId="184" fontId="1" fillId="72" borderId="0" applyNumberFormat="0" applyBorder="0" applyAlignment="0" applyProtection="0"/>
    <xf numFmtId="0" fontId="58" fillId="84" borderId="0" applyNumberFormat="0" applyBorder="0" applyAlignment="0" applyProtection="0"/>
    <xf numFmtId="0" fontId="58" fillId="86" borderId="0" applyNumberFormat="0" applyBorder="0" applyAlignment="0" applyProtection="0"/>
    <xf numFmtId="184" fontId="1" fillId="74" borderId="0" applyNumberFormat="0" applyBorder="0" applyAlignment="0" applyProtection="0"/>
    <xf numFmtId="0" fontId="58" fillId="85" borderId="0" applyNumberFormat="0" applyBorder="0" applyAlignment="0" applyProtection="0"/>
    <xf numFmtId="184" fontId="1" fillId="76" borderId="0" applyNumberFormat="0" applyBorder="0" applyAlignment="0" applyProtection="0"/>
    <xf numFmtId="0" fontId="58" fillId="86" borderId="0" applyNumberFormat="0" applyBorder="0" applyAlignment="0" applyProtection="0"/>
    <xf numFmtId="0" fontId="58" fillId="91" borderId="0" applyNumberFormat="0" applyBorder="0" applyAlignment="0" applyProtection="0"/>
    <xf numFmtId="184" fontId="1" fillId="78" borderId="0" applyNumberFormat="0" applyBorder="0" applyAlignment="0" applyProtection="0"/>
    <xf numFmtId="0" fontId="58" fillId="87" borderId="0" applyNumberFormat="0" applyBorder="0" applyAlignment="0" applyProtection="0"/>
    <xf numFmtId="0" fontId="58" fillId="85" borderId="0" applyNumberFormat="0" applyBorder="0" applyAlignment="0" applyProtection="0"/>
    <xf numFmtId="184" fontId="1" fillId="69" borderId="0" applyNumberFormat="0" applyBorder="0" applyAlignment="0" applyProtection="0"/>
    <xf numFmtId="0" fontId="58" fillId="88" borderId="0" applyNumberFormat="0" applyBorder="0" applyAlignment="0" applyProtection="0"/>
    <xf numFmtId="184" fontId="1" fillId="71" borderId="0" applyNumberFormat="0" applyBorder="0" applyAlignment="0" applyProtection="0"/>
    <xf numFmtId="0" fontId="58" fillId="89" borderId="0" applyNumberFormat="0" applyBorder="0" applyAlignment="0" applyProtection="0"/>
    <xf numFmtId="0" fontId="58" fillId="92" borderId="0" applyNumberFormat="0" applyBorder="0" applyAlignment="0" applyProtection="0"/>
    <xf numFmtId="184" fontId="1" fillId="73" borderId="0" applyNumberFormat="0" applyBorder="0" applyAlignment="0" applyProtection="0"/>
    <xf numFmtId="0" fontId="58" fillId="84" borderId="0" applyNumberFormat="0" applyBorder="0" applyAlignment="0" applyProtection="0"/>
    <xf numFmtId="0" fontId="58" fillId="82" borderId="0" applyNumberFormat="0" applyBorder="0" applyAlignment="0" applyProtection="0"/>
    <xf numFmtId="184" fontId="1" fillId="75" borderId="0" applyNumberFormat="0" applyBorder="0" applyAlignment="0" applyProtection="0"/>
    <xf numFmtId="0" fontId="58" fillId="87" borderId="0" applyNumberFormat="0" applyBorder="0" applyAlignment="0" applyProtection="0"/>
    <xf numFmtId="0" fontId="58" fillId="85" borderId="0" applyNumberFormat="0" applyBorder="0" applyAlignment="0" applyProtection="0"/>
    <xf numFmtId="184" fontId="1" fillId="77" borderId="0" applyNumberFormat="0" applyBorder="0" applyAlignment="0" applyProtection="0"/>
    <xf numFmtId="0" fontId="58" fillId="90" borderId="0" applyNumberFormat="0" applyBorder="0" applyAlignment="0" applyProtection="0"/>
    <xf numFmtId="0" fontId="58" fillId="91" borderId="0" applyNumberFormat="0" applyBorder="0" applyAlignment="0" applyProtection="0"/>
    <xf numFmtId="184" fontId="1" fillId="79" borderId="0" applyNumberFormat="0" applyBorder="0" applyAlignment="0" applyProtection="0"/>
    <xf numFmtId="184" fontId="1" fillId="80" borderId="68" applyNumberFormat="0" applyFont="0" applyAlignment="0" applyProtection="0"/>
    <xf numFmtId="0" fontId="58" fillId="85" borderId="0" applyNumberFormat="0" applyBorder="0" applyAlignment="0" applyProtection="0"/>
    <xf numFmtId="0" fontId="58" fillId="88" borderId="0" applyNumberFormat="0" applyBorder="0" applyAlignment="0" applyProtection="0"/>
    <xf numFmtId="44" fontId="56" fillId="0" borderId="0" applyFont="0" applyFill="0" applyBorder="0" applyAlignment="0" applyProtection="0"/>
    <xf numFmtId="9" fontId="2" fillId="0" borderId="0" applyFont="0" applyFill="0" applyBorder="0" applyAlignment="0" applyProtection="0"/>
    <xf numFmtId="4" fontId="68" fillId="0" borderId="0" applyFont="0" applyFill="0" applyBorder="0" applyAlignment="0" applyProtection="0"/>
    <xf numFmtId="185" fontId="68" fillId="0" borderId="0" applyFont="0" applyFill="0" applyBorder="0" applyAlignment="0" applyProtection="0"/>
    <xf numFmtId="9" fontId="68" fillId="0" borderId="0" applyFont="0" applyFill="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56" fillId="0" borderId="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43" fontId="56" fillId="0" borderId="0" applyFont="0" applyFill="0" applyBorder="0" applyAlignment="0" applyProtection="0"/>
    <xf numFmtId="4" fontId="68" fillId="0" borderId="0" applyFont="0" applyFill="0" applyBorder="0" applyAlignment="0" applyProtection="0"/>
    <xf numFmtId="185" fontId="68" fillId="0" borderId="0" applyFont="0" applyFill="0" applyBorder="0" applyAlignment="0" applyProtection="0"/>
    <xf numFmtId="0" fontId="4" fillId="0" borderId="0" applyNumberFormat="0" applyFill="0" applyBorder="0" applyAlignment="0" applyProtection="0"/>
    <xf numFmtId="0" fontId="2" fillId="0" borderId="0"/>
    <xf numFmtId="9" fontId="68" fillId="0" borderId="0" applyFont="0" applyFill="0" applyBorder="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70" fillId="87" borderId="0" applyNumberFormat="0" applyBorder="0" applyAlignment="0" applyProtection="0"/>
    <xf numFmtId="43" fontId="1" fillId="0" borderId="0" applyFont="0" applyFill="0" applyBorder="0" applyAlignment="0" applyProtection="0"/>
    <xf numFmtId="4" fontId="68" fillId="0" borderId="0" applyFont="0" applyFill="0" applyBorder="0" applyAlignment="0" applyProtection="0"/>
    <xf numFmtId="0" fontId="70" fillId="84" borderId="0" applyNumberFormat="0" applyBorder="0" applyAlignment="0" applyProtection="0"/>
    <xf numFmtId="43" fontId="1" fillId="0" borderId="0" applyFont="0" applyFill="0" applyBorder="0" applyAlignment="0" applyProtection="0"/>
    <xf numFmtId="0" fontId="72" fillId="9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2" fillId="94" borderId="0" applyNumberFormat="0" applyBorder="0" applyAlignment="0" applyProtection="0"/>
    <xf numFmtId="0" fontId="72" fillId="94" borderId="0" applyNumberFormat="0" applyBorder="0" applyAlignment="0" applyProtection="0"/>
    <xf numFmtId="43" fontId="1" fillId="0" borderId="0" applyFont="0" applyFill="0" applyBorder="0" applyAlignment="0" applyProtection="0"/>
    <xf numFmtId="0" fontId="74" fillId="0" borderId="73" applyNumberFormat="0" applyFill="0" applyAlignment="0" applyProtection="0"/>
    <xf numFmtId="0" fontId="70" fillId="85" borderId="0" applyNumberFormat="0" applyBorder="0" applyAlignment="0" applyProtection="0"/>
    <xf numFmtId="165" fontId="75" fillId="0" borderId="0" applyFont="0" applyFill="0" applyBorder="0" applyAlignment="0" applyProtection="0"/>
    <xf numFmtId="0" fontId="72" fillId="99" borderId="0" applyNumberFormat="0" applyBorder="0" applyAlignment="0" applyProtection="0"/>
    <xf numFmtId="0" fontId="71" fillId="0" borderId="0" applyNumberFormat="0" applyFill="0" applyBorder="0" applyAlignment="0" applyProtection="0"/>
    <xf numFmtId="43" fontId="1" fillId="0" borderId="0" applyFont="0" applyFill="0" applyBorder="0" applyAlignment="0" applyProtection="0"/>
    <xf numFmtId="0" fontId="70" fillId="89"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8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101" borderId="72"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2" fillId="95" borderId="0" applyNumberFormat="0" applyBorder="0" applyAlignment="0" applyProtection="0"/>
    <xf numFmtId="0" fontId="70" fillId="87" borderId="0" applyNumberFormat="0" applyBorder="0" applyAlignment="0" applyProtection="0"/>
    <xf numFmtId="43" fontId="1" fillId="0" borderId="0" applyFont="0" applyFill="0" applyBorder="0" applyAlignment="0" applyProtection="0"/>
    <xf numFmtId="0" fontId="72" fillId="9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0" fontId="70" fillId="88" borderId="0" applyNumberFormat="0" applyBorder="0" applyAlignment="0" applyProtection="0"/>
    <xf numFmtId="0" fontId="70" fillId="90" borderId="0" applyNumberFormat="0" applyBorder="0" applyAlignment="0" applyProtection="0"/>
    <xf numFmtId="43" fontId="1" fillId="0" borderId="0" applyFont="0" applyFill="0" applyBorder="0" applyAlignment="0" applyProtection="0"/>
    <xf numFmtId="0" fontId="72" fillId="9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2" fillId="0" borderId="0" applyFill="0" applyBorder="0" applyAlignment="0" applyProtection="0">
      <alignment wrapText="1"/>
    </xf>
    <xf numFmtId="43" fontId="1" fillId="0" borderId="0" applyFont="0" applyFill="0" applyBorder="0" applyAlignment="0" applyProtection="0"/>
    <xf numFmtId="43" fontId="1" fillId="0" borderId="0" applyFont="0" applyFill="0" applyBorder="0" applyAlignment="0" applyProtection="0"/>
    <xf numFmtId="0" fontId="70" fillId="8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86" borderId="0" applyNumberFormat="0" applyBorder="0" applyAlignment="0" applyProtection="0"/>
    <xf numFmtId="0" fontId="72" fillId="100" borderId="0" applyNumberFormat="0" applyBorder="0" applyAlignment="0" applyProtection="0"/>
    <xf numFmtId="0" fontId="72" fillId="93" borderId="0" applyNumberFormat="0" applyBorder="0" applyAlignment="0" applyProtection="0"/>
    <xf numFmtId="43" fontId="1" fillId="0" borderId="0" applyFont="0" applyFill="0" applyBorder="0" applyAlignment="0" applyProtection="0"/>
    <xf numFmtId="0" fontId="72" fillId="9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2" fillId="89" borderId="0" applyNumberFormat="0" applyBorder="0" applyAlignment="0" applyProtection="0"/>
    <xf numFmtId="0" fontId="72" fillId="8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8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70" fillId="91" borderId="74" applyNumberFormat="0" applyFont="0" applyAlignment="0" applyProtection="0"/>
    <xf numFmtId="44" fontId="2" fillId="0" borderId="0" applyFont="0" applyFill="0" applyBorder="0" applyAlignment="0" applyProtection="0"/>
    <xf numFmtId="0" fontId="76" fillId="86" borderId="72" applyNumberFormat="0" applyAlignment="0" applyProtection="0"/>
    <xf numFmtId="0" fontId="77" fillId="82" borderId="0" applyNumberFormat="0" applyBorder="0" applyAlignment="0" applyProtection="0"/>
    <xf numFmtId="0" fontId="78" fillId="9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2" fillId="0" borderId="0"/>
    <xf numFmtId="0" fontId="2" fillId="0" borderId="0"/>
    <xf numFmtId="0" fontId="68" fillId="0" borderId="0"/>
    <xf numFmtId="0" fontId="2" fillId="0" borderId="0"/>
    <xf numFmtId="0" fontId="75" fillId="0" borderId="0"/>
    <xf numFmtId="0" fontId="68" fillId="0" borderId="0"/>
    <xf numFmtId="4" fontId="68" fillId="0" borderId="0" applyFont="0" applyFill="0" applyBorder="0" applyAlignment="0" applyProtection="0"/>
    <xf numFmtId="0" fontId="2" fillId="0" borderId="0"/>
    <xf numFmtId="0" fontId="68" fillId="0" borderId="0"/>
    <xf numFmtId="0" fontId="2" fillId="0" borderId="0"/>
    <xf numFmtId="0" fontId="2" fillId="0" borderId="0"/>
    <xf numFmtId="0" fontId="68" fillId="0" borderId="0"/>
    <xf numFmtId="0" fontId="2" fillId="0" borderId="0"/>
    <xf numFmtId="0" fontId="2" fillId="0" borderId="0"/>
    <xf numFmtId="0" fontId="75"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9" fillId="83" borderId="0" applyNumberFormat="0" applyBorder="0" applyAlignment="0" applyProtection="0"/>
    <xf numFmtId="0" fontId="80" fillId="101" borderId="75" applyNumberFormat="0" applyAlignment="0" applyProtection="0"/>
    <xf numFmtId="186"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81" fillId="0" borderId="0" applyNumberFormat="0" applyFill="0" applyBorder="0" applyAlignment="0" applyProtection="0"/>
    <xf numFmtId="0" fontId="82" fillId="0" borderId="0" applyNumberFormat="0" applyFill="0" applyBorder="0" applyAlignment="0" applyProtection="0"/>
    <xf numFmtId="0" fontId="83" fillId="0" borderId="76" applyNumberFormat="0" applyFill="0" applyAlignment="0" applyProtection="0"/>
    <xf numFmtId="0" fontId="84" fillId="0" borderId="77" applyNumberFormat="0" applyFill="0" applyAlignment="0" applyProtection="0"/>
    <xf numFmtId="0" fontId="85" fillId="0" borderId="78" applyNumberFormat="0" applyFill="0" applyAlignment="0" applyProtection="0"/>
    <xf numFmtId="0" fontId="85" fillId="0" borderId="0" applyNumberFormat="0" applyFill="0" applyBorder="0" applyAlignment="0" applyProtection="0"/>
    <xf numFmtId="0" fontId="86" fillId="0" borderId="79" applyNumberFormat="0" applyFill="0" applyAlignment="0" applyProtection="0"/>
    <xf numFmtId="0" fontId="87" fillId="102" borderId="8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8" fillId="0" borderId="0" applyFont="0" applyFill="0" applyBorder="0" applyAlignment="0" applyProtection="0"/>
    <xf numFmtId="165" fontId="1" fillId="0" borderId="0" applyFont="0" applyFill="0" applyBorder="0" applyAlignment="0" applyProtection="0"/>
    <xf numFmtId="4" fontId="68" fillId="0" borderId="0" applyFont="0" applyFill="0" applyBorder="0" applyAlignment="0" applyProtection="0"/>
    <xf numFmtId="43" fontId="1" fillId="0" borderId="0" applyFont="0" applyFill="0" applyBorder="0" applyAlignment="0" applyProtection="0"/>
    <xf numFmtId="165" fontId="75" fillId="0" borderId="0" applyFont="0" applyFill="0" applyBorder="0" applyAlignment="0" applyProtection="0"/>
    <xf numFmtId="43" fontId="56"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 fontId="6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68" fillId="0" borderId="0" applyFont="0" applyFill="0" applyBorder="0" applyAlignment="0" applyProtection="0"/>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7" fillId="0" borderId="0"/>
    <xf numFmtId="0" fontId="2" fillId="0" borderId="0"/>
    <xf numFmtId="0" fontId="68"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7" fillId="0" borderId="0"/>
    <xf numFmtId="0" fontId="75" fillId="0" borderId="0"/>
    <xf numFmtId="0" fontId="68" fillId="0" borderId="0"/>
    <xf numFmtId="0" fontId="75"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57" fillId="0" borderId="0"/>
    <xf numFmtId="0" fontId="75" fillId="0" borderId="0"/>
    <xf numFmtId="0" fontId="68" fillId="0" borderId="0"/>
    <xf numFmtId="0" fontId="75"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75" fillId="0" borderId="0"/>
    <xf numFmtId="0" fontId="68"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2" fillId="0" borderId="0"/>
    <xf numFmtId="0" fontId="56"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75" fillId="0" borderId="0"/>
    <xf numFmtId="0" fontId="1" fillId="0" borderId="0"/>
    <xf numFmtId="0" fontId="1" fillId="0" borderId="0"/>
    <xf numFmtId="0" fontId="75"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7" fillId="0" borderId="0"/>
    <xf numFmtId="0" fontId="2" fillId="0" borderId="0"/>
    <xf numFmtId="0" fontId="2" fillId="0" borderId="0"/>
    <xf numFmtId="0" fontId="2" fillId="0" borderId="0" applyNumberFormat="0" applyFill="0" applyBorder="0" applyAlignment="0" applyProtection="0"/>
    <xf numFmtId="0" fontId="57" fillId="0" borderId="0"/>
    <xf numFmtId="0" fontId="2" fillId="0" borderId="0"/>
    <xf numFmtId="0" fontId="2" fillId="0" borderId="0"/>
    <xf numFmtId="0" fontId="2" fillId="0" borderId="0" applyNumberFormat="0" applyFill="0" applyBorder="0" applyAlignment="0" applyProtection="0"/>
    <xf numFmtId="0" fontId="57" fillId="0" borderId="0"/>
    <xf numFmtId="0" fontId="2" fillId="0" borderId="0"/>
    <xf numFmtId="0" fontId="2" fillId="0" borderId="0"/>
    <xf numFmtId="0" fontId="2" fillId="0" borderId="0" applyNumberFormat="0" applyFill="0" applyBorder="0" applyAlignment="0" applyProtection="0"/>
    <xf numFmtId="0" fontId="57" fillId="0" borderId="0"/>
    <xf numFmtId="0" fontId="2" fillId="0" borderId="0"/>
    <xf numFmtId="0" fontId="2" fillId="0" borderId="0"/>
    <xf numFmtId="0" fontId="2" fillId="0" borderId="0" applyNumberFormat="0" applyFill="0" applyBorder="0" applyAlignment="0" applyProtection="0"/>
    <xf numFmtId="0" fontId="57"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57" fillId="0" borderId="0"/>
    <xf numFmtId="0" fontId="2" fillId="0" borderId="0"/>
    <xf numFmtId="0" fontId="75" fillId="0" borderId="0"/>
    <xf numFmtId="0" fontId="75"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2" fillId="0" borderId="0" applyNumberFormat="0" applyFill="0" applyBorder="0" applyAlignment="0" applyProtection="0"/>
    <xf numFmtId="0" fontId="57"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75" fillId="0" borderId="0"/>
    <xf numFmtId="0" fontId="2" fillId="0" borderId="0"/>
    <xf numFmtId="0" fontId="2" fillId="0" borderId="0"/>
    <xf numFmtId="0" fontId="2" fillId="0" borderId="0"/>
    <xf numFmtId="0" fontId="2"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7"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75" fillId="0" borderId="0"/>
    <xf numFmtId="0" fontId="2" fillId="0" borderId="0" applyNumberFormat="0" applyFill="0" applyBorder="0" applyAlignment="0" applyProtection="0"/>
    <xf numFmtId="0" fontId="75" fillId="0" borderId="0"/>
    <xf numFmtId="0" fontId="2" fillId="0" borderId="0" applyNumberFormat="0" applyFill="0" applyBorder="0" applyAlignment="0" applyProtection="0"/>
    <xf numFmtId="0" fontId="2" fillId="0" borderId="0"/>
    <xf numFmtId="0" fontId="2" fillId="0" borderId="0"/>
    <xf numFmtId="0" fontId="57" fillId="0" borderId="0"/>
    <xf numFmtId="0" fontId="2" fillId="0" borderId="0"/>
    <xf numFmtId="0" fontId="2" fillId="0" borderId="0"/>
    <xf numFmtId="0" fontId="1" fillId="0" borderId="0"/>
    <xf numFmtId="0" fontId="2" fillId="0" borderId="0" applyNumberFormat="0" applyFill="0" applyBorder="0" applyAlignment="0" applyProtection="0"/>
    <xf numFmtId="0" fontId="75" fillId="0" borderId="0"/>
    <xf numFmtId="0" fontId="2" fillId="0" borderId="0" applyNumberFormat="0" applyFill="0" applyBorder="0" applyAlignment="0" applyProtection="0"/>
    <xf numFmtId="0" fontId="75"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75" fillId="0" borderId="0"/>
    <xf numFmtId="0" fontId="2" fillId="0" borderId="0" applyNumberFormat="0" applyFill="0" applyBorder="0" applyAlignment="0" applyProtection="0"/>
    <xf numFmtId="0" fontId="75" fillId="0" borderId="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75" fillId="0" borderId="0"/>
    <xf numFmtId="0" fontId="2" fillId="0" borderId="0"/>
    <xf numFmtId="0" fontId="75" fillId="0" borderId="0"/>
    <xf numFmtId="0" fontId="2" fillId="0" borderId="0"/>
    <xf numFmtId="0" fontId="2" fillId="0" borderId="0"/>
    <xf numFmtId="0" fontId="2" fillId="0" borderId="0"/>
    <xf numFmtId="0" fontId="2" fillId="0" borderId="0"/>
    <xf numFmtId="0" fontId="75"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186"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1" fillId="68" borderId="0" applyNumberFormat="0" applyBorder="0" applyAlignment="0" applyProtection="0"/>
    <xf numFmtId="0" fontId="1" fillId="68"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4" fontId="68" fillId="0" borderId="0" applyFont="0" applyFill="0" applyBorder="0" applyAlignment="0" applyProtection="0"/>
    <xf numFmtId="0" fontId="1" fillId="0" borderId="0"/>
    <xf numFmtId="0" fontId="1" fillId="80" borderId="68" applyNumberFormat="0" applyFont="0" applyAlignment="0" applyProtection="0"/>
    <xf numFmtId="0" fontId="1" fillId="80" borderId="6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72" borderId="0" applyNumberFormat="0" applyBorder="0" applyAlignment="0" applyProtection="0"/>
    <xf numFmtId="0" fontId="1" fillId="7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68" borderId="0" applyNumberFormat="0" applyBorder="0" applyAlignment="0" applyProtection="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68" applyNumberFormat="0" applyFont="0" applyAlignment="0" applyProtection="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76" borderId="0" applyNumberFormat="0" applyBorder="0" applyAlignment="0" applyProtection="0"/>
    <xf numFmtId="0" fontId="1" fillId="79" borderId="0" applyNumberFormat="0" applyBorder="0" applyAlignment="0" applyProtection="0"/>
    <xf numFmtId="0" fontId="1" fillId="77" borderId="0" applyNumberFormat="0" applyBorder="0" applyAlignment="0" applyProtection="0"/>
    <xf numFmtId="0" fontId="1" fillId="75"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1" borderId="0" applyNumberFormat="0" applyBorder="0" applyAlignment="0" applyProtection="0"/>
    <xf numFmtId="44" fontId="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57" fillId="0" borderId="0"/>
    <xf numFmtId="0" fontId="2" fillId="0" borderId="0"/>
    <xf numFmtId="0" fontId="56"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74" borderId="0" applyNumberFormat="0" applyBorder="0" applyAlignment="0" applyProtection="0"/>
    <xf numFmtId="0" fontId="1" fillId="68" borderId="0" applyNumberFormat="0" applyBorder="0" applyAlignment="0" applyProtection="0"/>
    <xf numFmtId="0" fontId="1" fillId="72" borderId="0" applyNumberFormat="0" applyBorder="0" applyAlignment="0" applyProtection="0"/>
    <xf numFmtId="0" fontId="1" fillId="70" borderId="0" applyNumberFormat="0" applyBorder="0" applyAlignment="0" applyProtection="0"/>
    <xf numFmtId="0" fontId="1" fillId="73" borderId="0" applyNumberFormat="0" applyBorder="0" applyAlignment="0" applyProtection="0"/>
    <xf numFmtId="0" fontId="1" fillId="78" borderId="0" applyNumberFormat="0" applyBorder="0" applyAlignment="0" applyProtection="0"/>
    <xf numFmtId="0" fontId="1" fillId="76"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9" borderId="0" applyNumberFormat="0" applyBorder="0" applyAlignment="0" applyProtection="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 fillId="0" borderId="0"/>
    <xf numFmtId="8" fontId="68" fillId="0" borderId="0" applyFont="0" applyFill="0" applyBorder="0" applyAlignment="0" applyProtection="0"/>
    <xf numFmtId="0" fontId="2" fillId="0" borderId="0"/>
    <xf numFmtId="43" fontId="56" fillId="0" borderId="0" applyFont="0" applyFill="0" applyBorder="0" applyAlignment="0" applyProtection="0"/>
    <xf numFmtId="8" fontId="68"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7" fillId="0" borderId="0"/>
    <xf numFmtId="184" fontId="1" fillId="68" borderId="0" applyNumberFormat="0" applyBorder="0" applyAlignment="0" applyProtection="0"/>
    <xf numFmtId="184" fontId="1" fillId="70" borderId="0" applyNumberFormat="0" applyBorder="0" applyAlignment="0" applyProtection="0"/>
    <xf numFmtId="184" fontId="1" fillId="72" borderId="0" applyNumberFormat="0" applyBorder="0" applyAlignment="0" applyProtection="0"/>
    <xf numFmtId="184" fontId="1" fillId="74" borderId="0" applyNumberFormat="0" applyBorder="0" applyAlignment="0" applyProtection="0"/>
    <xf numFmtId="184" fontId="1" fillId="78" borderId="0" applyNumberFormat="0" applyBorder="0" applyAlignment="0" applyProtection="0"/>
    <xf numFmtId="184" fontId="1" fillId="69" borderId="0" applyNumberFormat="0" applyBorder="0" applyAlignment="0" applyProtection="0"/>
    <xf numFmtId="184" fontId="1" fillId="73" borderId="0" applyNumberFormat="0" applyBorder="0" applyAlignment="0" applyProtection="0"/>
    <xf numFmtId="184" fontId="1" fillId="75" borderId="0" applyNumberFormat="0" applyBorder="0" applyAlignment="0" applyProtection="0"/>
    <xf numFmtId="184" fontId="1" fillId="77" borderId="0" applyNumberFormat="0" applyBorder="0" applyAlignment="0" applyProtection="0"/>
    <xf numFmtId="184" fontId="1" fillId="79" borderId="0" applyNumberFormat="0" applyBorder="0" applyAlignment="0" applyProtection="0"/>
    <xf numFmtId="0" fontId="58" fillId="85" borderId="0" applyNumberFormat="0" applyBorder="0" applyAlignment="0" applyProtection="0"/>
    <xf numFmtId="0" fontId="58" fillId="8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1" fillId="0" borderId="0"/>
    <xf numFmtId="0" fontId="1" fillId="0" borderId="0"/>
    <xf numFmtId="0" fontId="1" fillId="0" borderId="0"/>
    <xf numFmtId="0" fontId="1" fillId="0" borderId="0"/>
    <xf numFmtId="0" fontId="1"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2"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2" fillId="0" borderId="0"/>
    <xf numFmtId="0" fontId="2"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9" fontId="1" fillId="0" borderId="0" applyFont="0" applyFill="0" applyBorder="0" applyAlignment="0" applyProtection="0"/>
    <xf numFmtId="43" fontId="56" fillId="0" borderId="0" applyFont="0" applyFill="0" applyBorder="0" applyAlignment="0" applyProtection="0"/>
    <xf numFmtId="8" fontId="68" fillId="0" borderId="0" applyFont="0" applyFill="0" applyBorder="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184" fontId="1" fillId="68" borderId="0" applyNumberFormat="0" applyBorder="0" applyAlignment="0" applyProtection="0"/>
    <xf numFmtId="184" fontId="1" fillId="70" borderId="0" applyNumberFormat="0" applyBorder="0" applyAlignment="0" applyProtection="0"/>
    <xf numFmtId="184" fontId="1" fillId="72" borderId="0" applyNumberFormat="0" applyBorder="0" applyAlignment="0" applyProtection="0"/>
    <xf numFmtId="184" fontId="1" fillId="74" borderId="0" applyNumberFormat="0" applyBorder="0" applyAlignment="0" applyProtection="0"/>
    <xf numFmtId="184" fontId="1" fillId="78" borderId="0" applyNumberFormat="0" applyBorder="0" applyAlignment="0" applyProtection="0"/>
    <xf numFmtId="184" fontId="1" fillId="69" borderId="0" applyNumberFormat="0" applyBorder="0" applyAlignment="0" applyProtection="0"/>
    <xf numFmtId="184" fontId="1" fillId="73" borderId="0" applyNumberFormat="0" applyBorder="0" applyAlignment="0" applyProtection="0"/>
    <xf numFmtId="184" fontId="1" fillId="75" borderId="0" applyNumberFormat="0" applyBorder="0" applyAlignment="0" applyProtection="0"/>
    <xf numFmtId="184" fontId="1" fillId="77" borderId="0" applyNumberFormat="0" applyBorder="0" applyAlignment="0" applyProtection="0"/>
    <xf numFmtId="184" fontId="1" fillId="7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8" fontId="68" fillId="0" borderId="0" applyFont="0" applyFill="0" applyBorder="0" applyAlignment="0" applyProtection="0"/>
    <xf numFmtId="9" fontId="68" fillId="0" borderId="0" applyFont="0" applyFill="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43" fontId="56" fillId="0" borderId="0" applyFont="0" applyFill="0" applyBorder="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80" borderId="68" applyNumberFormat="0" applyFont="0" applyAlignment="0" applyProtection="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68" applyNumberFormat="0" applyFont="0" applyAlignment="0" applyProtection="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43" fontId="56" fillId="0" borderId="0" applyFont="0" applyFill="0" applyBorder="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9" fontId="1" fillId="0" borderId="0" applyFont="0" applyFill="0" applyBorder="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184" fontId="1" fillId="68" borderId="0" applyNumberFormat="0" applyBorder="0" applyAlignment="0" applyProtection="0"/>
    <xf numFmtId="184" fontId="1" fillId="70" borderId="0" applyNumberFormat="0" applyBorder="0" applyAlignment="0" applyProtection="0"/>
    <xf numFmtId="184" fontId="1" fillId="72" borderId="0" applyNumberFormat="0" applyBorder="0" applyAlignment="0" applyProtection="0"/>
    <xf numFmtId="184" fontId="1" fillId="74" borderId="0" applyNumberFormat="0" applyBorder="0" applyAlignment="0" applyProtection="0"/>
    <xf numFmtId="184" fontId="1" fillId="78" borderId="0" applyNumberFormat="0" applyBorder="0" applyAlignment="0" applyProtection="0"/>
    <xf numFmtId="184" fontId="1" fillId="69" borderId="0" applyNumberFormat="0" applyBorder="0" applyAlignment="0" applyProtection="0"/>
    <xf numFmtId="184" fontId="1" fillId="73" borderId="0" applyNumberFormat="0" applyBorder="0" applyAlignment="0" applyProtection="0"/>
    <xf numFmtId="184" fontId="1" fillId="75" borderId="0" applyNumberFormat="0" applyBorder="0" applyAlignment="0" applyProtection="0"/>
    <xf numFmtId="184" fontId="1" fillId="77" borderId="0" applyNumberFormat="0" applyBorder="0" applyAlignment="0" applyProtection="0"/>
    <xf numFmtId="184" fontId="1" fillId="7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56"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 fillId="80" borderId="68" applyNumberFormat="0" applyFont="0" applyAlignment="0" applyProtection="0"/>
    <xf numFmtId="0" fontId="1" fillId="0" borderId="0"/>
    <xf numFmtId="0" fontId="1" fillId="80" borderId="68"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56" fillId="0" borderId="0"/>
    <xf numFmtId="0" fontId="56" fillId="0" borderId="0"/>
    <xf numFmtId="0" fontId="56" fillId="0" borderId="0"/>
    <xf numFmtId="0" fontId="56" fillId="0" borderId="0"/>
    <xf numFmtId="0" fontId="56" fillId="0" borderId="0"/>
    <xf numFmtId="9" fontId="2" fillId="0" borderId="0" applyFont="0" applyFill="0" applyBorder="0" applyAlignment="0" applyProtection="0"/>
    <xf numFmtId="43" fontId="2" fillId="0" borderId="0" applyFont="0" applyFill="0" applyBorder="0" applyAlignment="0" applyProtection="0"/>
    <xf numFmtId="0" fontId="56"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57" fillId="0" borderId="0"/>
    <xf numFmtId="0" fontId="57" fillId="0" borderId="0"/>
    <xf numFmtId="0" fontId="57" fillId="0" borderId="0"/>
    <xf numFmtId="0" fontId="101" fillId="0" borderId="0"/>
    <xf numFmtId="43" fontId="2" fillId="0" borderId="0" applyFont="0" applyFill="0" applyBorder="0" applyAlignment="0" applyProtection="0"/>
    <xf numFmtId="44" fontId="2" fillId="0" borderId="0" applyFont="0" applyFill="0" applyBorder="0" applyAlignment="0" applyProtection="0"/>
    <xf numFmtId="0" fontId="101" fillId="0" borderId="0"/>
    <xf numFmtId="43" fontId="5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01" fillId="0" borderId="0"/>
    <xf numFmtId="43" fontId="2" fillId="0" borderId="0" applyFont="0" applyFill="0" applyBorder="0" applyAlignment="0" applyProtection="0"/>
    <xf numFmtId="44" fontId="2" fillId="0" borderId="0" applyFont="0" applyFill="0" applyBorder="0" applyAlignment="0" applyProtection="0"/>
    <xf numFmtId="0" fontId="57" fillId="0" borderId="0"/>
    <xf numFmtId="43" fontId="2" fillId="0" borderId="0" applyFont="0" applyFill="0" applyBorder="0" applyAlignment="0" applyProtection="0"/>
    <xf numFmtId="0" fontId="56" fillId="0" borderId="0"/>
    <xf numFmtId="0" fontId="56" fillId="0" borderId="0"/>
    <xf numFmtId="0" fontId="1" fillId="0" borderId="0"/>
    <xf numFmtId="0" fontId="57" fillId="0" borderId="0"/>
    <xf numFmtId="0" fontId="107" fillId="0" borderId="0"/>
    <xf numFmtId="43" fontId="2" fillId="0" borderId="0" applyFont="0" applyFill="0" applyBorder="0" applyAlignment="0" applyProtection="0"/>
    <xf numFmtId="44" fontId="2" fillId="0" borderId="0" applyFont="0" applyFill="0" applyBorder="0" applyAlignment="0" applyProtection="0"/>
    <xf numFmtId="0" fontId="107" fillId="0" borderId="0"/>
    <xf numFmtId="43" fontId="5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43" fontId="5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57" fillId="0" borderId="0"/>
    <xf numFmtId="0" fontId="57"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6"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6" fillId="0" borderId="0" applyFont="0" applyFill="0" applyBorder="0" applyAlignment="0" applyProtection="0"/>
    <xf numFmtId="8" fontId="6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56" fillId="0" borderId="0" applyFont="0" applyFill="0" applyBorder="0" applyAlignment="0" applyProtection="0"/>
    <xf numFmtId="8"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8"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8"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2" fillId="0" borderId="0" applyFill="0" applyBorder="0"/>
    <xf numFmtId="0" fontId="122" fillId="0" borderId="0"/>
    <xf numFmtId="0" fontId="116" fillId="0" borderId="0">
      <alignment horizontal="right"/>
    </xf>
    <xf numFmtId="0" fontId="120" fillId="0" borderId="0"/>
    <xf numFmtId="0" fontId="115" fillId="0" borderId="0"/>
    <xf numFmtId="0" fontId="118" fillId="0" borderId="0"/>
    <xf numFmtId="0" fontId="121" fillId="0" borderId="83" applyNumberFormat="0" applyAlignment="0"/>
    <xf numFmtId="0" fontId="114" fillId="0" borderId="0" applyAlignment="0">
      <alignment horizontal="left"/>
    </xf>
    <xf numFmtId="0" fontId="114" fillId="0" borderId="0">
      <alignment horizontal="right"/>
    </xf>
    <xf numFmtId="167" fontId="114" fillId="0" borderId="0">
      <alignment horizontal="right"/>
    </xf>
    <xf numFmtId="176" fontId="117" fillId="0" borderId="0">
      <alignment horizontal="right"/>
    </xf>
    <xf numFmtId="0" fontId="119" fillId="0" borderId="0"/>
    <xf numFmtId="43" fontId="113" fillId="0" borderId="0" applyFont="0" applyFill="0" applyBorder="0" applyAlignment="0" applyProtection="0"/>
    <xf numFmtId="167" fontId="113"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0" fontId="111" fillId="0" borderId="0" applyFill="0" applyBorder="0"/>
    <xf numFmtId="167" fontId="113" fillId="0" borderId="0" applyFont="0" applyFill="0" applyBorder="0" applyAlignment="0" applyProtection="0"/>
    <xf numFmtId="0" fontId="111" fillId="0" borderId="0" applyFill="0" applyBorder="0"/>
    <xf numFmtId="167" fontId="113" fillId="0" borderId="0" applyFont="0" applyFill="0" applyBorder="0" applyAlignment="0" applyProtection="0"/>
    <xf numFmtId="0" fontId="111" fillId="0" borderId="0" applyFill="0" applyBorder="0"/>
    <xf numFmtId="167" fontId="113" fillId="0" borderId="0" applyFont="0" applyFill="0" applyBorder="0" applyAlignment="0" applyProtection="0"/>
    <xf numFmtId="0" fontId="111" fillId="0" borderId="0" applyFill="0" applyBorder="0"/>
    <xf numFmtId="0" fontId="3" fillId="0" borderId="0"/>
    <xf numFmtId="0" fontId="111" fillId="0" borderId="0" applyFill="0" applyBorder="0"/>
    <xf numFmtId="0" fontId="111" fillId="0" borderId="0" applyFill="0" applyBorder="0"/>
    <xf numFmtId="0" fontId="129" fillId="0" borderId="0" applyFill="0" applyBorder="0"/>
    <xf numFmtId="0" fontId="130" fillId="0" borderId="0" applyNumberFormat="0" applyFill="0" applyBorder="0" applyAlignment="0" applyProtection="0">
      <alignment vertical="top"/>
      <protection locked="0"/>
    </xf>
    <xf numFmtId="43" fontId="58" fillId="0" borderId="0" applyFont="0" applyFill="0" applyBorder="0" applyAlignment="0" applyProtection="0"/>
  </cellStyleXfs>
  <cellXfs count="2068">
    <xf numFmtId="0" fontId="0" fillId="0" borderId="0" xfId="0"/>
    <xf numFmtId="0" fontId="2" fillId="0" borderId="0" xfId="0" applyFont="1" applyFill="1" applyBorder="1" applyAlignment="1">
      <alignment horizontal="left" wrapText="1"/>
    </xf>
    <xf numFmtId="183" fontId="0" fillId="0" borderId="0" xfId="0" applyNumberFormat="1"/>
    <xf numFmtId="17" fontId="0" fillId="0" borderId="0" xfId="0" applyNumberFormat="1"/>
    <xf numFmtId="0" fontId="0" fillId="0" borderId="0" xfId="0"/>
    <xf numFmtId="0" fontId="6" fillId="0" borderId="0" xfId="0" applyFont="1"/>
    <xf numFmtId="0" fontId="0" fillId="0" borderId="0" xfId="0"/>
    <xf numFmtId="0" fontId="0" fillId="0" borderId="0" xfId="0"/>
    <xf numFmtId="0" fontId="0" fillId="0" borderId="0" xfId="0"/>
    <xf numFmtId="0" fontId="5" fillId="0" borderId="0" xfId="0" applyFont="1"/>
    <xf numFmtId="0" fontId="0" fillId="6" borderId="9" xfId="0" applyFill="1" applyBorder="1"/>
    <xf numFmtId="0" fontId="0" fillId="7" borderId="7" xfId="0" applyFill="1" applyBorder="1"/>
    <xf numFmtId="3" fontId="0" fillId="0" borderId="0" xfId="0" applyNumberFormat="1"/>
    <xf numFmtId="0" fontId="0" fillId="7" borderId="9" xfId="0" applyFill="1" applyBorder="1"/>
    <xf numFmtId="0" fontId="0" fillId="6" borderId="8" xfId="0" applyFill="1" applyBorder="1"/>
    <xf numFmtId="17" fontId="0" fillId="0" borderId="0" xfId="0" applyNumberFormat="1" applyFill="1"/>
    <xf numFmtId="0" fontId="7" fillId="8" borderId="25" xfId="0" applyFont="1" applyFill="1" applyBorder="1"/>
    <xf numFmtId="0" fontId="7" fillId="8" borderId="27" xfId="0" applyFont="1" applyFill="1" applyBorder="1"/>
    <xf numFmtId="0" fontId="7" fillId="8" borderId="26" xfId="0" applyFont="1" applyFill="1" applyBorder="1"/>
    <xf numFmtId="0" fontId="7" fillId="4" borderId="25" xfId="0" applyFont="1" applyFill="1" applyBorder="1"/>
    <xf numFmtId="0" fontId="7" fillId="4" borderId="29" xfId="0" applyFont="1" applyFill="1" applyBorder="1"/>
    <xf numFmtId="17" fontId="0" fillId="0" borderId="1" xfId="0" applyNumberFormat="1" applyFont="1" applyFill="1" applyBorder="1"/>
    <xf numFmtId="17" fontId="0" fillId="0" borderId="3" xfId="0" applyNumberFormat="1" applyFont="1" applyFill="1" applyBorder="1"/>
    <xf numFmtId="169" fontId="0" fillId="5" borderId="31" xfId="0" applyNumberFormat="1" applyFont="1" applyFill="1" applyBorder="1"/>
    <xf numFmtId="0" fontId="0" fillId="0" borderId="0" xfId="0" applyFont="1"/>
    <xf numFmtId="164" fontId="6" fillId="0" borderId="7" xfId="0" applyNumberFormat="1" applyFont="1" applyFill="1" applyBorder="1"/>
    <xf numFmtId="164" fontId="6" fillId="6" borderId="6" xfId="0" applyNumberFormat="1" applyFont="1" applyFill="1" applyBorder="1"/>
    <xf numFmtId="0" fontId="7" fillId="12" borderId="29" xfId="0" applyFont="1" applyFill="1" applyBorder="1"/>
    <xf numFmtId="0" fontId="7" fillId="12" borderId="25" xfId="0" applyFont="1" applyFill="1" applyBorder="1"/>
    <xf numFmtId="169" fontId="0" fillId="0" borderId="32" xfId="0" applyNumberFormat="1" applyFont="1" applyFill="1" applyBorder="1"/>
    <xf numFmtId="169" fontId="0" fillId="0" borderId="31" xfId="0" applyNumberFormat="1" applyFont="1" applyFill="1" applyBorder="1"/>
    <xf numFmtId="169" fontId="0" fillId="11" borderId="31" xfId="0" applyNumberFormat="1" applyFont="1" applyFill="1" applyBorder="1"/>
    <xf numFmtId="169" fontId="0" fillId="0" borderId="28" xfId="0" applyNumberFormat="1" applyFont="1" applyFill="1" applyBorder="1"/>
    <xf numFmtId="0" fontId="7" fillId="9" borderId="3" xfId="0" applyNumberFormat="1" applyFont="1" applyFill="1" applyBorder="1"/>
    <xf numFmtId="2" fontId="6" fillId="0" borderId="2" xfId="0" applyNumberFormat="1" applyFont="1" applyFill="1" applyBorder="1"/>
    <xf numFmtId="2" fontId="6" fillId="0" borderId="7" xfId="0" applyNumberFormat="1" applyFont="1" applyFill="1" applyBorder="1"/>
    <xf numFmtId="2" fontId="6" fillId="10" borderId="7" xfId="0" applyNumberFormat="1" applyFont="1" applyFill="1" applyBorder="1"/>
    <xf numFmtId="2" fontId="6" fillId="7" borderId="2" xfId="0" applyNumberFormat="1" applyFont="1" applyFill="1" applyBorder="1"/>
    <xf numFmtId="2" fontId="6" fillId="7" borderId="7" xfId="0" applyNumberFormat="1" applyFont="1" applyFill="1" applyBorder="1"/>
    <xf numFmtId="0" fontId="7" fillId="9" borderId="1" xfId="0" applyNumberFormat="1" applyFont="1" applyFill="1" applyBorder="1"/>
    <xf numFmtId="2" fontId="6" fillId="10" borderId="2" xfId="0" applyNumberFormat="1" applyFont="1" applyFill="1" applyBorder="1"/>
    <xf numFmtId="0" fontId="7" fillId="8" borderId="1" xfId="0" applyNumberFormat="1" applyFont="1" applyFill="1" applyBorder="1"/>
    <xf numFmtId="0" fontId="1" fillId="0" borderId="0" xfId="0" applyFont="1"/>
    <xf numFmtId="0" fontId="7" fillId="12" borderId="11" xfId="0" applyFont="1" applyFill="1" applyBorder="1"/>
    <xf numFmtId="0" fontId="7" fillId="12" borderId="21" xfId="0" applyFont="1" applyFill="1" applyBorder="1"/>
    <xf numFmtId="0" fontId="7" fillId="12" borderId="20" xfId="0" applyFont="1" applyFill="1" applyBorder="1"/>
    <xf numFmtId="17" fontId="7" fillId="9" borderId="3" xfId="0" applyNumberFormat="1" applyFont="1" applyFill="1" applyBorder="1"/>
    <xf numFmtId="17" fontId="7" fillId="9" borderId="1" xfId="0" applyNumberFormat="1" applyFont="1" applyFill="1" applyBorder="1"/>
    <xf numFmtId="0" fontId="7" fillId="9" borderId="26" xfId="0" applyFont="1" applyFill="1" applyBorder="1"/>
    <xf numFmtId="0" fontId="7" fillId="9" borderId="27" xfId="0" applyFont="1" applyFill="1" applyBorder="1"/>
    <xf numFmtId="0" fontId="7" fillId="9" borderId="25" xfId="0" applyFont="1" applyFill="1" applyBorder="1"/>
    <xf numFmtId="0" fontId="0" fillId="0" borderId="0" xfId="0"/>
    <xf numFmtId="0" fontId="0" fillId="0" borderId="0" xfId="0"/>
    <xf numFmtId="0" fontId="0" fillId="14" borderId="7" xfId="0" applyFill="1" applyBorder="1"/>
    <xf numFmtId="170" fontId="0" fillId="6" borderId="8" xfId="0" applyNumberFormat="1" applyFill="1" applyBorder="1"/>
    <xf numFmtId="170" fontId="0" fillId="7" borderId="9" xfId="0" applyNumberFormat="1" applyFill="1" applyBorder="1"/>
    <xf numFmtId="170" fontId="0" fillId="6" borderId="9" xfId="0" applyNumberFormat="1" applyFill="1" applyBorder="1"/>
    <xf numFmtId="0" fontId="0" fillId="16" borderId="8" xfId="0" applyFill="1" applyBorder="1"/>
    <xf numFmtId="170" fontId="0" fillId="16" borderId="9" xfId="0" applyNumberFormat="1" applyFill="1" applyBorder="1"/>
    <xf numFmtId="0" fontId="0" fillId="16" borderId="7" xfId="0" applyFill="1" applyBorder="1"/>
    <xf numFmtId="0" fontId="0" fillId="16" borderId="9" xfId="0" applyFill="1" applyBorder="1"/>
    <xf numFmtId="169" fontId="0" fillId="0" borderId="2" xfId="0" applyNumberFormat="1" applyFont="1" applyFill="1" applyBorder="1"/>
    <xf numFmtId="169" fontId="0" fillId="0" borderId="5" xfId="0" applyNumberFormat="1" applyFont="1" applyFill="1" applyBorder="1"/>
    <xf numFmtId="169" fontId="6" fillId="10" borderId="2" xfId="0" applyNumberFormat="1" applyFont="1" applyFill="1" applyBorder="1"/>
    <xf numFmtId="169" fontId="0" fillId="16" borderId="28" xfId="0" applyNumberFormat="1" applyFont="1" applyFill="1" applyBorder="1"/>
    <xf numFmtId="170" fontId="0" fillId="16" borderId="8" xfId="0" applyNumberFormat="1" applyFill="1" applyBorder="1"/>
    <xf numFmtId="0" fontId="0" fillId="16" borderId="6" xfId="0" applyFill="1" applyBorder="1"/>
    <xf numFmtId="169" fontId="0" fillId="16" borderId="22" xfId="0" applyNumberFormat="1" applyFont="1" applyFill="1" applyBorder="1"/>
    <xf numFmtId="169" fontId="0" fillId="16" borderId="31" xfId="0" applyNumberFormat="1" applyFont="1" applyFill="1" applyBorder="1"/>
    <xf numFmtId="169" fontId="0" fillId="16" borderId="9" xfId="0" applyNumberFormat="1" applyFont="1" applyFill="1" applyBorder="1"/>
    <xf numFmtId="169" fontId="6" fillId="10" borderId="5" xfId="0" applyNumberFormat="1" applyFont="1" applyFill="1" applyBorder="1"/>
    <xf numFmtId="169" fontId="0" fillId="0" borderId="0" xfId="0" applyNumberFormat="1"/>
    <xf numFmtId="169" fontId="6" fillId="6" borderId="5" xfId="0" applyNumberFormat="1" applyFont="1" applyFill="1" applyBorder="1"/>
    <xf numFmtId="169" fontId="6" fillId="0" borderId="2" xfId="0" applyNumberFormat="1" applyFont="1" applyFill="1" applyBorder="1"/>
    <xf numFmtId="169" fontId="0" fillId="0" borderId="8" xfId="0" applyNumberFormat="1" applyFont="1" applyFill="1" applyBorder="1"/>
    <xf numFmtId="169" fontId="0" fillId="0" borderId="9" xfId="0" applyNumberFormat="1" applyFont="1" applyFill="1" applyBorder="1"/>
    <xf numFmtId="169" fontId="0" fillId="17" borderId="9" xfId="0" applyNumberFormat="1" applyFont="1" applyFill="1" applyBorder="1"/>
    <xf numFmtId="169" fontId="0" fillId="0" borderId="36" xfId="0" applyNumberFormat="1" applyFont="1" applyFill="1" applyBorder="1"/>
    <xf numFmtId="169" fontId="0" fillId="17" borderId="19" xfId="0" applyNumberFormat="1" applyFont="1" applyFill="1" applyBorder="1"/>
    <xf numFmtId="169" fontId="0" fillId="0" borderId="19" xfId="0" applyNumberFormat="1" applyFont="1" applyFill="1" applyBorder="1"/>
    <xf numFmtId="169" fontId="0" fillId="17" borderId="34" xfId="0" applyNumberFormat="1" applyFont="1" applyFill="1" applyBorder="1"/>
    <xf numFmtId="169" fontId="0" fillId="17" borderId="28" xfId="0" applyNumberFormat="1" applyFont="1" applyFill="1" applyBorder="1"/>
    <xf numFmtId="169" fontId="0" fillId="17" borderId="31" xfId="0" applyNumberFormat="1" applyFont="1" applyFill="1" applyBorder="1"/>
    <xf numFmtId="17" fontId="0" fillId="17" borderId="1" xfId="0" applyNumberFormat="1" applyFont="1" applyFill="1" applyBorder="1"/>
    <xf numFmtId="169" fontId="0" fillId="0" borderId="0" xfId="0" applyNumberFormat="1" applyFont="1" applyFill="1" applyBorder="1"/>
    <xf numFmtId="0" fontId="0" fillId="0" borderId="0" xfId="0"/>
    <xf numFmtId="0" fontId="0" fillId="0" borderId="0" xfId="0"/>
    <xf numFmtId="0" fontId="0" fillId="0" borderId="0" xfId="0"/>
    <xf numFmtId="169" fontId="6" fillId="3" borderId="2" xfId="0" applyNumberFormat="1" applyFont="1" applyFill="1" applyBorder="1"/>
    <xf numFmtId="0" fontId="7" fillId="18" borderId="1" xfId="0" applyNumberFormat="1" applyFont="1" applyFill="1" applyBorder="1"/>
    <xf numFmtId="0" fontId="7" fillId="19" borderId="11" xfId="0" applyFont="1" applyFill="1" applyBorder="1"/>
    <xf numFmtId="0" fontId="7" fillId="19" borderId="20" xfId="0" applyFont="1" applyFill="1" applyBorder="1"/>
    <xf numFmtId="0" fontId="7" fillId="18" borderId="27" xfId="0" applyFont="1" applyFill="1" applyBorder="1"/>
    <xf numFmtId="17" fontId="7" fillId="18" borderId="1" xfId="0" applyNumberFormat="1" applyFont="1" applyFill="1" applyBorder="1"/>
    <xf numFmtId="0" fontId="7" fillId="18" borderId="26" xfId="0" applyFont="1" applyFill="1" applyBorder="1"/>
    <xf numFmtId="0" fontId="7" fillId="19" borderId="21" xfId="0" applyFont="1" applyFill="1" applyBorder="1"/>
    <xf numFmtId="0" fontId="7" fillId="18" borderId="25" xfId="0" applyFont="1" applyFill="1" applyBorder="1"/>
    <xf numFmtId="0" fontId="7" fillId="18" borderId="3" xfId="0" applyNumberFormat="1" applyFont="1" applyFill="1" applyBorder="1"/>
    <xf numFmtId="0" fontId="0" fillId="0" borderId="0" xfId="0" applyFill="1"/>
    <xf numFmtId="0" fontId="7" fillId="21" borderId="25" xfId="0" applyFont="1" applyFill="1" applyBorder="1"/>
    <xf numFmtId="0" fontId="7" fillId="22" borderId="1" xfId="0" applyNumberFormat="1" applyFont="1" applyFill="1" applyBorder="1"/>
    <xf numFmtId="0" fontId="7" fillId="21" borderId="29" xfId="0" applyFont="1" applyFill="1" applyBorder="1"/>
    <xf numFmtId="169" fontId="0" fillId="13" borderId="9" xfId="0" applyNumberFormat="1" applyFont="1" applyFill="1" applyBorder="1"/>
    <xf numFmtId="169" fontId="0" fillId="13" borderId="22" xfId="0" applyNumberFormat="1" applyFont="1" applyFill="1" applyBorder="1"/>
    <xf numFmtId="169" fontId="0" fillId="13" borderId="2" xfId="0" applyNumberFormat="1" applyFont="1" applyFill="1" applyBorder="1"/>
    <xf numFmtId="0" fontId="7" fillId="23" borderId="29" xfId="0" applyFont="1" applyFill="1" applyBorder="1"/>
    <xf numFmtId="166" fontId="2" fillId="0" borderId="0" xfId="0" applyNumberFormat="1" applyFont="1" applyFill="1"/>
    <xf numFmtId="166" fontId="0" fillId="0" borderId="0" xfId="0" applyNumberFormat="1" applyFill="1"/>
    <xf numFmtId="169" fontId="6" fillId="14" borderId="2" xfId="0" applyNumberFormat="1" applyFont="1" applyFill="1" applyBorder="1"/>
    <xf numFmtId="164" fontId="6" fillId="14" borderId="7" xfId="0" applyNumberFormat="1" applyFont="1" applyFill="1" applyBorder="1"/>
    <xf numFmtId="17" fontId="7" fillId="22" borderId="1" xfId="0" applyNumberFormat="1" applyFont="1" applyFill="1" applyBorder="1"/>
    <xf numFmtId="0" fontId="7" fillId="22" borderId="26" xfId="0" applyFont="1" applyFill="1" applyBorder="1"/>
    <xf numFmtId="0" fontId="7" fillId="22" borderId="27" xfId="0" applyFont="1" applyFill="1" applyBorder="1"/>
    <xf numFmtId="0" fontId="7" fillId="22" borderId="25" xfId="0" applyFont="1" applyFill="1" applyBorder="1"/>
    <xf numFmtId="169" fontId="0" fillId="13" borderId="0" xfId="0" applyNumberFormat="1" applyFont="1" applyFill="1" applyBorder="1"/>
    <xf numFmtId="169" fontId="0" fillId="0" borderId="4" xfId="0" applyNumberFormat="1" applyFont="1" applyFill="1" applyBorder="1"/>
    <xf numFmtId="0" fontId="7" fillId="23" borderId="25" xfId="0" applyFont="1" applyFill="1" applyBorder="1"/>
    <xf numFmtId="170" fontId="0" fillId="14" borderId="9" xfId="0" applyNumberFormat="1" applyFill="1" applyBorder="1"/>
    <xf numFmtId="0" fontId="7" fillId="27" borderId="25" xfId="0" applyFont="1" applyFill="1" applyBorder="1"/>
    <xf numFmtId="17" fontId="7" fillId="25" borderId="1" xfId="0" applyNumberFormat="1" applyFont="1" applyFill="1" applyBorder="1"/>
    <xf numFmtId="0" fontId="7" fillId="22" borderId="1" xfId="0" applyFont="1" applyFill="1" applyBorder="1"/>
    <xf numFmtId="0" fontId="9" fillId="25" borderId="41" xfId="0" applyFont="1" applyFill="1" applyBorder="1" applyAlignment="1">
      <alignment horizontal="center"/>
    </xf>
    <xf numFmtId="0" fontId="7" fillId="25" borderId="3" xfId="0" applyNumberFormat="1" applyFont="1" applyFill="1" applyBorder="1"/>
    <xf numFmtId="169" fontId="6" fillId="0" borderId="35" xfId="0" applyNumberFormat="1" applyFont="1" applyFill="1" applyBorder="1"/>
    <xf numFmtId="0" fontId="7" fillId="27" borderId="29" xfId="0" applyFont="1" applyFill="1" applyBorder="1"/>
    <xf numFmtId="169" fontId="0" fillId="24" borderId="31" xfId="0" applyNumberFormat="1" applyFont="1" applyFill="1" applyBorder="1"/>
    <xf numFmtId="170" fontId="0" fillId="14" borderId="8" xfId="0" applyNumberFormat="1" applyFill="1" applyBorder="1"/>
    <xf numFmtId="0" fontId="0" fillId="14" borderId="6" xfId="0" applyFill="1" applyBorder="1"/>
    <xf numFmtId="0" fontId="7" fillId="25" borderId="25" xfId="0" applyFont="1" applyFill="1" applyBorder="1"/>
    <xf numFmtId="0" fontId="7" fillId="25" borderId="1" xfId="0" applyNumberFormat="1" applyFont="1" applyFill="1" applyBorder="1"/>
    <xf numFmtId="0" fontId="7" fillId="25" borderId="42" xfId="0" applyFont="1" applyFill="1" applyBorder="1"/>
    <xf numFmtId="0" fontId="7" fillId="25" borderId="40" xfId="0" applyFont="1" applyFill="1" applyBorder="1"/>
    <xf numFmtId="0" fontId="7" fillId="25" borderId="26" xfId="0" applyFont="1" applyFill="1" applyBorder="1"/>
    <xf numFmtId="0" fontId="7" fillId="25" borderId="27" xfId="0" applyFont="1" applyFill="1" applyBorder="1"/>
    <xf numFmtId="169" fontId="6" fillId="2" borderId="2" xfId="0" applyNumberFormat="1" applyFont="1" applyFill="1" applyBorder="1"/>
    <xf numFmtId="0" fontId="7" fillId="27" borderId="20" xfId="0" applyFont="1" applyFill="1" applyBorder="1"/>
    <xf numFmtId="0" fontId="7" fillId="27" borderId="21" xfId="0" applyFont="1" applyFill="1" applyBorder="1"/>
    <xf numFmtId="0" fontId="7" fillId="27" borderId="11" xfId="0" applyFont="1" applyFill="1" applyBorder="1"/>
    <xf numFmtId="0" fontId="0" fillId="0" borderId="0" xfId="0"/>
    <xf numFmtId="169" fontId="0" fillId="26" borderId="31" xfId="0" applyNumberFormat="1" applyFont="1" applyFill="1" applyBorder="1"/>
    <xf numFmtId="0" fontId="0" fillId="0" borderId="0" xfId="0"/>
    <xf numFmtId="0" fontId="0" fillId="0" borderId="0" xfId="0"/>
    <xf numFmtId="0" fontId="0" fillId="0" borderId="0" xfId="0"/>
    <xf numFmtId="0" fontId="0" fillId="0" borderId="0" xfId="0"/>
    <xf numFmtId="0" fontId="12" fillId="0" borderId="0" xfId="0" applyFont="1"/>
    <xf numFmtId="3" fontId="0" fillId="0" borderId="0" xfId="0" applyNumberFormat="1"/>
    <xf numFmtId="3" fontId="0" fillId="0" borderId="0" xfId="0" applyNumberFormat="1"/>
    <xf numFmtId="171" fontId="0" fillId="0" borderId="0" xfId="0" applyNumberFormat="1"/>
    <xf numFmtId="0" fontId="0" fillId="0" borderId="0" xfId="0" applyAlignment="1">
      <alignment horizontal="left" indent="1"/>
    </xf>
    <xf numFmtId="172" fontId="0" fillId="0" borderId="0" xfId="0" applyNumberFormat="1"/>
    <xf numFmtId="0" fontId="9" fillId="0" borderId="0" xfId="0" applyFont="1"/>
    <xf numFmtId="0" fontId="6" fillId="0" borderId="0" xfId="0" applyFont="1"/>
    <xf numFmtId="0" fontId="11" fillId="15" borderId="43" xfId="0" applyFont="1" applyFill="1" applyBorder="1" applyAlignment="1">
      <alignment vertical="center"/>
    </xf>
    <xf numFmtId="0" fontId="14" fillId="0" borderId="0" xfId="0" applyFont="1"/>
    <xf numFmtId="0" fontId="6" fillId="16" borderId="0" xfId="0" applyFont="1" applyFill="1" applyBorder="1"/>
    <xf numFmtId="3" fontId="6" fillId="16" borderId="28" xfId="0" applyNumberFormat="1" applyFont="1" applyFill="1" applyBorder="1"/>
    <xf numFmtId="171" fontId="6" fillId="0" borderId="0" xfId="0" applyNumberFormat="1" applyFont="1" applyBorder="1"/>
    <xf numFmtId="3" fontId="6" fillId="0" borderId="31" xfId="0" applyNumberFormat="1" applyFont="1" applyBorder="1"/>
    <xf numFmtId="171" fontId="6" fillId="16" borderId="0" xfId="0" applyNumberFormat="1" applyFont="1" applyFill="1" applyBorder="1"/>
    <xf numFmtId="3" fontId="6" fillId="16" borderId="31" xfId="0" applyNumberFormat="1" applyFont="1" applyFill="1" applyBorder="1"/>
    <xf numFmtId="3" fontId="6" fillId="16" borderId="32" xfId="0" applyNumberFormat="1" applyFont="1" applyFill="1" applyBorder="1"/>
    <xf numFmtId="174" fontId="1" fillId="0" borderId="0" xfId="0" applyNumberFormat="1" applyFont="1" applyBorder="1"/>
    <xf numFmtId="0" fontId="9" fillId="0" borderId="0" xfId="0" applyFont="1"/>
    <xf numFmtId="0" fontId="6" fillId="0" borderId="0" xfId="0" applyFont="1"/>
    <xf numFmtId="0" fontId="11" fillId="25" borderId="30" xfId="0" applyFont="1" applyFill="1" applyBorder="1" applyAlignment="1">
      <alignment wrapText="1"/>
    </xf>
    <xf numFmtId="0" fontId="11" fillId="25" borderId="3" xfId="0" applyFont="1" applyFill="1" applyBorder="1" applyAlignment="1">
      <alignment wrapText="1"/>
    </xf>
    <xf numFmtId="3" fontId="6" fillId="0" borderId="9" xfId="0" applyNumberFormat="1" applyFont="1" applyBorder="1" applyAlignment="1">
      <alignment horizontal="right"/>
    </xf>
    <xf numFmtId="170" fontId="6" fillId="0" borderId="0" xfId="0" applyNumberFormat="1" applyFont="1" applyBorder="1"/>
    <xf numFmtId="169" fontId="6" fillId="0" borderId="9" xfId="0" applyNumberFormat="1" applyFont="1" applyBorder="1"/>
    <xf numFmtId="169" fontId="6" fillId="0" borderId="0" xfId="0" applyNumberFormat="1" applyFont="1" applyBorder="1"/>
    <xf numFmtId="0" fontId="6" fillId="0" borderId="0" xfId="0" applyFont="1" applyAlignment="1">
      <alignment wrapText="1"/>
    </xf>
    <xf numFmtId="0" fontId="7" fillId="25" borderId="22" xfId="0" applyFont="1" applyFill="1" applyBorder="1" applyAlignment="1">
      <alignment horizontal="center" vertical="top" wrapText="1"/>
    </xf>
    <xf numFmtId="0" fontId="7" fillId="25" borderId="43" xfId="0" applyFont="1" applyFill="1" applyBorder="1" applyAlignment="1">
      <alignment horizontal="center" vertical="top" wrapText="1"/>
    </xf>
    <xf numFmtId="0" fontId="7" fillId="25" borderId="8" xfId="0" applyFont="1" applyFill="1" applyBorder="1" applyAlignment="1">
      <alignment horizontal="center" vertical="top" wrapText="1"/>
    </xf>
    <xf numFmtId="0" fontId="7" fillId="25" borderId="4" xfId="0" applyFont="1" applyFill="1" applyBorder="1" applyAlignment="1">
      <alignment horizontal="center" vertical="top" wrapText="1"/>
    </xf>
    <xf numFmtId="3" fontId="6" fillId="2" borderId="9" xfId="0" applyNumberFormat="1" applyFont="1" applyFill="1" applyBorder="1" applyAlignment="1">
      <alignment horizontal="right"/>
    </xf>
    <xf numFmtId="170" fontId="6" fillId="2" borderId="0" xfId="0" applyNumberFormat="1" applyFont="1" applyFill="1" applyBorder="1"/>
    <xf numFmtId="169" fontId="6" fillId="2" borderId="9" xfId="0" applyNumberFormat="1" applyFont="1" applyFill="1" applyBorder="1"/>
    <xf numFmtId="174" fontId="1" fillId="2" borderId="0" xfId="0" applyNumberFormat="1" applyFont="1" applyFill="1" applyBorder="1"/>
    <xf numFmtId="170" fontId="0" fillId="2" borderId="8" xfId="0" applyNumberFormat="1" applyFill="1" applyBorder="1"/>
    <xf numFmtId="0" fontId="0" fillId="2" borderId="6" xfId="0" applyFill="1" applyBorder="1"/>
    <xf numFmtId="0" fontId="0" fillId="2" borderId="8" xfId="0" applyFill="1" applyBorder="1"/>
    <xf numFmtId="167" fontId="0" fillId="2" borderId="7" xfId="0" applyNumberFormat="1" applyFill="1" applyBorder="1"/>
    <xf numFmtId="170" fontId="0" fillId="2" borderId="9" xfId="0" applyNumberFormat="1" applyFill="1" applyBorder="1"/>
    <xf numFmtId="0" fontId="0" fillId="2" borderId="7" xfId="0" applyFill="1" applyBorder="1"/>
    <xf numFmtId="0" fontId="0" fillId="2" borderId="9" xfId="0" applyFill="1" applyBorder="1"/>
    <xf numFmtId="0" fontId="7" fillId="25" borderId="11" xfId="0" applyFont="1" applyFill="1" applyBorder="1"/>
    <xf numFmtId="0" fontId="7" fillId="25" borderId="10" xfId="0" applyFont="1" applyFill="1" applyBorder="1"/>
    <xf numFmtId="0" fontId="0" fillId="0" borderId="0" xfId="0"/>
    <xf numFmtId="0" fontId="7" fillId="22" borderId="33" xfId="0" applyFont="1" applyFill="1" applyBorder="1"/>
    <xf numFmtId="0" fontId="7" fillId="22" borderId="30" xfId="0" applyFont="1" applyFill="1" applyBorder="1"/>
    <xf numFmtId="0" fontId="7" fillId="22" borderId="1" xfId="0" applyFont="1" applyFill="1" applyBorder="1"/>
    <xf numFmtId="3" fontId="6" fillId="14" borderId="45" xfId="0" applyNumberFormat="1" applyFont="1" applyFill="1" applyBorder="1"/>
    <xf numFmtId="3" fontId="6" fillId="14" borderId="35" xfId="0" applyNumberFormat="1" applyFont="1" applyFill="1" applyBorder="1"/>
    <xf numFmtId="3" fontId="6" fillId="0" borderId="7" xfId="0" applyNumberFormat="1" applyFont="1" applyBorder="1"/>
    <xf numFmtId="3" fontId="6" fillId="0" borderId="2" xfId="0" applyNumberFormat="1" applyFont="1" applyBorder="1"/>
    <xf numFmtId="3" fontId="6" fillId="14" borderId="7" xfId="0" applyNumberFormat="1" applyFont="1" applyFill="1" applyBorder="1"/>
    <xf numFmtId="3" fontId="6" fillId="14" borderId="2" xfId="0" applyNumberFormat="1" applyFont="1" applyFill="1" applyBorder="1"/>
    <xf numFmtId="3" fontId="6" fillId="0" borderId="7" xfId="0" applyNumberFormat="1" applyFont="1" applyFill="1" applyBorder="1"/>
    <xf numFmtId="3" fontId="6" fillId="0" borderId="2" xfId="0" applyNumberFormat="1" applyFont="1" applyFill="1" applyBorder="1"/>
    <xf numFmtId="0" fontId="7" fillId="22" borderId="46" xfId="0" applyFont="1" applyFill="1" applyBorder="1"/>
    <xf numFmtId="3" fontId="15" fillId="0" borderId="0" xfId="0" applyNumberFormat="1" applyFont="1" applyFill="1" applyBorder="1" applyAlignment="1">
      <alignment horizontal="right" vertical="center" wrapText="1"/>
    </xf>
    <xf numFmtId="0" fontId="15"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xf>
    <xf numFmtId="0" fontId="7" fillId="22" borderId="1" xfId="0" applyFont="1" applyFill="1" applyBorder="1" applyAlignment="1">
      <alignment horizontal="left" vertical="center"/>
    </xf>
    <xf numFmtId="3" fontId="15" fillId="14" borderId="0" xfId="0" applyNumberFormat="1" applyFont="1" applyFill="1" applyBorder="1" applyAlignment="1">
      <alignment horizontal="right" vertical="center" wrapText="1"/>
    </xf>
    <xf numFmtId="3" fontId="15" fillId="14" borderId="22" xfId="0" applyNumberFormat="1" applyFont="1" applyFill="1" applyBorder="1" applyAlignment="1">
      <alignment horizontal="right" vertical="center" wrapText="1"/>
    </xf>
    <xf numFmtId="3" fontId="15" fillId="0" borderId="9" xfId="0" applyNumberFormat="1" applyFont="1" applyFill="1" applyBorder="1" applyAlignment="1">
      <alignment horizontal="right" vertical="center" wrapText="1"/>
    </xf>
    <xf numFmtId="3" fontId="15" fillId="14" borderId="9" xfId="0" applyNumberFormat="1" applyFont="1" applyFill="1" applyBorder="1" applyAlignment="1">
      <alignment horizontal="right" vertical="center" wrapText="1"/>
    </xf>
    <xf numFmtId="0" fontId="7" fillId="22" borderId="25" xfId="0" applyFont="1" applyFill="1" applyBorder="1" applyAlignment="1">
      <alignment horizontal="center"/>
    </xf>
    <xf numFmtId="0" fontId="7" fillId="22" borderId="47" xfId="0" applyFont="1" applyFill="1" applyBorder="1" applyAlignment="1">
      <alignment horizontal="center"/>
    </xf>
    <xf numFmtId="0" fontId="7" fillId="22" borderId="26" xfId="0" applyFont="1" applyFill="1" applyBorder="1" applyAlignment="1">
      <alignment horizontal="center"/>
    </xf>
    <xf numFmtId="0" fontId="7" fillId="22" borderId="44" xfId="0" applyFont="1" applyFill="1" applyBorder="1" applyAlignment="1">
      <alignment horizontal="center"/>
    </xf>
    <xf numFmtId="3" fontId="15" fillId="14" borderId="48" xfId="0" applyNumberFormat="1" applyFont="1" applyFill="1" applyBorder="1" applyAlignment="1">
      <alignment horizontal="right" vertical="center" wrapText="1"/>
    </xf>
    <xf numFmtId="3" fontId="15" fillId="0" borderId="49" xfId="0" applyNumberFormat="1" applyFont="1" applyFill="1" applyBorder="1" applyAlignment="1">
      <alignment horizontal="right" vertical="center" wrapText="1"/>
    </xf>
    <xf numFmtId="3" fontId="15" fillId="14" borderId="49" xfId="0" applyNumberFormat="1" applyFont="1" applyFill="1" applyBorder="1" applyAlignment="1">
      <alignment horizontal="right" vertical="center" wrapText="1"/>
    </xf>
    <xf numFmtId="3" fontId="0" fillId="14" borderId="7" xfId="0" applyNumberFormat="1" applyFill="1" applyBorder="1"/>
    <xf numFmtId="3" fontId="0" fillId="7" borderId="7" xfId="0" applyNumberFormat="1" applyFill="1" applyBorder="1"/>
    <xf numFmtId="170" fontId="0" fillId="14" borderId="7" xfId="0" applyNumberFormat="1" applyFill="1" applyBorder="1"/>
    <xf numFmtId="170" fontId="0" fillId="7" borderId="7" xfId="0" applyNumberFormat="1" applyFill="1" applyBorder="1"/>
    <xf numFmtId="170" fontId="0" fillId="14" borderId="6" xfId="0" applyNumberFormat="1" applyFill="1" applyBorder="1"/>
    <xf numFmtId="0" fontId="7" fillId="22" borderId="40" xfId="0" applyFont="1" applyFill="1" applyBorder="1"/>
    <xf numFmtId="0" fontId="0" fillId="14" borderId="38" xfId="0" applyFill="1" applyBorder="1"/>
    <xf numFmtId="167" fontId="0" fillId="14" borderId="2" xfId="0" applyNumberFormat="1" applyFill="1" applyBorder="1"/>
    <xf numFmtId="0" fontId="0" fillId="7" borderId="38" xfId="0" applyFill="1" applyBorder="1"/>
    <xf numFmtId="167" fontId="0" fillId="7" borderId="2" xfId="0" applyNumberFormat="1" applyFill="1" applyBorder="1"/>
    <xf numFmtId="0" fontId="0" fillId="14" borderId="39" xfId="0" applyFill="1" applyBorder="1"/>
    <xf numFmtId="3" fontId="0" fillId="14" borderId="6" xfId="0" applyNumberFormat="1" applyFill="1" applyBorder="1"/>
    <xf numFmtId="167" fontId="0" fillId="14" borderId="5" xfId="0" applyNumberFormat="1" applyFill="1" applyBorder="1"/>
    <xf numFmtId="0" fontId="2" fillId="0" borderId="0" xfId="0" applyFont="1"/>
    <xf numFmtId="0" fontId="0" fillId="0" borderId="0" xfId="0" applyFill="1"/>
    <xf numFmtId="0" fontId="3" fillId="0" borderId="0" xfId="0" applyFont="1" applyFill="1"/>
    <xf numFmtId="0" fontId="2" fillId="0" borderId="0" xfId="0" applyFont="1" applyFill="1"/>
    <xf numFmtId="0" fontId="2" fillId="0" borderId="0" xfId="0" applyFont="1" applyFill="1" applyBorder="1"/>
    <xf numFmtId="0" fontId="0" fillId="0" borderId="0" xfId="0" applyFill="1" applyBorder="1"/>
    <xf numFmtId="0" fontId="0" fillId="0" borderId="0" xfId="0" applyBorder="1"/>
    <xf numFmtId="3" fontId="0" fillId="0" borderId="0" xfId="0" applyNumberFormat="1" applyBorder="1"/>
    <xf numFmtId="0" fontId="2" fillId="0" borderId="0" xfId="0" applyFont="1" applyFill="1" applyAlignment="1">
      <alignment horizontal="center"/>
    </xf>
    <xf numFmtId="0" fontId="2" fillId="0" borderId="0" xfId="0" applyFont="1" applyFill="1" applyBorder="1" applyAlignment="1">
      <alignment horizontal="center"/>
    </xf>
    <xf numFmtId="0" fontId="2" fillId="0" borderId="0" xfId="0" applyFont="1" applyAlignment="1">
      <alignment horizontal="center"/>
    </xf>
    <xf numFmtId="0" fontId="0" fillId="0" borderId="0" xfId="0" applyFont="1" applyFill="1"/>
    <xf numFmtId="0" fontId="0" fillId="0" borderId="0" xfId="0" applyFont="1" applyFill="1" applyAlignment="1">
      <alignment horizontal="right"/>
    </xf>
    <xf numFmtId="0" fontId="7" fillId="25" borderId="1" xfId="0" applyFont="1" applyFill="1" applyBorder="1" applyAlignment="1">
      <alignment horizontal="center" vertical="center"/>
    </xf>
    <xf numFmtId="0" fontId="7" fillId="25" borderId="0" xfId="0" quotePrefix="1" applyFont="1" applyFill="1" applyBorder="1" applyAlignment="1">
      <alignment horizontal="center" vertical="center" wrapText="1"/>
    </xf>
    <xf numFmtId="0" fontId="7" fillId="25" borderId="1" xfId="0" applyFont="1" applyFill="1" applyBorder="1"/>
    <xf numFmtId="176" fontId="6" fillId="2" borderId="0" xfId="0" applyNumberFormat="1" applyFont="1" applyFill="1" applyBorder="1"/>
    <xf numFmtId="0" fontId="7" fillId="31" borderId="25" xfId="0" applyFont="1" applyFill="1" applyBorder="1"/>
    <xf numFmtId="176" fontId="7" fillId="31" borderId="33" xfId="0" applyNumberFormat="1" applyFont="1" applyFill="1" applyBorder="1"/>
    <xf numFmtId="0" fontId="7" fillId="31" borderId="26" xfId="0" applyFont="1" applyFill="1" applyBorder="1"/>
    <xf numFmtId="10" fontId="0" fillId="0" borderId="31" xfId="0" applyNumberFormat="1" applyFont="1" applyBorder="1"/>
    <xf numFmtId="10" fontId="6" fillId="2" borderId="31" xfId="0" applyNumberFormat="1" applyFont="1" applyFill="1" applyBorder="1"/>
    <xf numFmtId="0" fontId="7" fillId="25" borderId="31" xfId="0" applyFont="1" applyFill="1" applyBorder="1" applyAlignment="1">
      <alignment horizontal="center" vertical="center"/>
    </xf>
    <xf numFmtId="0" fontId="7" fillId="25" borderId="9" xfId="0" quotePrefix="1" applyFont="1" applyFill="1" applyBorder="1" applyAlignment="1">
      <alignment horizontal="center" vertical="center" wrapText="1"/>
    </xf>
    <xf numFmtId="176" fontId="6" fillId="2" borderId="9" xfId="0" applyNumberFormat="1" applyFont="1" applyFill="1" applyBorder="1"/>
    <xf numFmtId="10" fontId="0" fillId="2" borderId="31" xfId="0" applyNumberFormat="1" applyFont="1" applyFill="1" applyBorder="1"/>
    <xf numFmtId="177" fontId="0" fillId="0" borderId="0" xfId="0" applyNumberFormat="1"/>
    <xf numFmtId="0" fontId="7" fillId="25" borderId="33" xfId="0" applyFont="1" applyFill="1" applyBorder="1"/>
    <xf numFmtId="17" fontId="7" fillId="25" borderId="1" xfId="0" applyNumberFormat="1" applyFont="1" applyFill="1" applyBorder="1"/>
    <xf numFmtId="3" fontId="6" fillId="0" borderId="7" xfId="0" applyNumberFormat="1" applyFont="1" applyFill="1" applyBorder="1"/>
    <xf numFmtId="164" fontId="6" fillId="0" borderId="7" xfId="0" applyNumberFormat="1" applyFont="1" applyFill="1" applyBorder="1"/>
    <xf numFmtId="169" fontId="6" fillId="0" borderId="2" xfId="0" applyNumberFormat="1" applyFont="1" applyFill="1" applyBorder="1"/>
    <xf numFmtId="3" fontId="6" fillId="2" borderId="7" xfId="0" applyNumberFormat="1" applyFont="1" applyFill="1" applyBorder="1"/>
    <xf numFmtId="164" fontId="6" fillId="2" borderId="7" xfId="0" applyNumberFormat="1" applyFont="1" applyFill="1" applyBorder="1"/>
    <xf numFmtId="169" fontId="6" fillId="2" borderId="2" xfId="0" applyNumberFormat="1" applyFont="1" applyFill="1" applyBorder="1"/>
    <xf numFmtId="169" fontId="5" fillId="0" borderId="0" xfId="0" applyNumberFormat="1" applyFont="1"/>
    <xf numFmtId="0" fontId="7" fillId="25" borderId="48" xfId="0" applyFont="1" applyFill="1" applyBorder="1" applyAlignment="1">
      <alignment horizontal="center" vertical="center"/>
    </xf>
    <xf numFmtId="0" fontId="7" fillId="25" borderId="49" xfId="0" applyFont="1" applyFill="1" applyBorder="1"/>
    <xf numFmtId="0" fontId="7" fillId="25" borderId="50" xfId="0" applyFont="1" applyFill="1" applyBorder="1"/>
    <xf numFmtId="0" fontId="7" fillId="25" borderId="43" xfId="0" applyFont="1" applyFill="1" applyBorder="1" applyAlignment="1">
      <alignment horizontal="center" vertical="center"/>
    </xf>
    <xf numFmtId="0" fontId="7" fillId="25" borderId="43" xfId="0" quotePrefix="1" applyFont="1" applyFill="1" applyBorder="1" applyAlignment="1">
      <alignment horizontal="center" vertical="center" wrapText="1"/>
    </xf>
    <xf numFmtId="0" fontId="7" fillId="25" borderId="28" xfId="0" applyFont="1" applyFill="1" applyBorder="1" applyAlignment="1">
      <alignment horizontal="center" vertical="center"/>
    </xf>
    <xf numFmtId="0" fontId="0" fillId="0" borderId="0" xfId="0" applyFont="1" applyBorder="1"/>
    <xf numFmtId="0" fontId="0" fillId="2" borderId="0" xfId="0" applyFont="1" applyFill="1" applyBorder="1"/>
    <xf numFmtId="10" fontId="0" fillId="2" borderId="2" xfId="0" applyNumberFormat="1" applyFont="1" applyFill="1" applyBorder="1"/>
    <xf numFmtId="0" fontId="0" fillId="2" borderId="4" xfId="0" applyFont="1" applyFill="1" applyBorder="1"/>
    <xf numFmtId="0" fontId="7" fillId="25" borderId="30" xfId="0" applyFont="1" applyFill="1" applyBorder="1" applyAlignment="1">
      <alignment horizontal="center" vertical="center"/>
    </xf>
    <xf numFmtId="0" fontId="7" fillId="25" borderId="3" xfId="0" applyFont="1" applyFill="1" applyBorder="1"/>
    <xf numFmtId="169" fontId="0" fillId="13" borderId="31" xfId="0" applyNumberFormat="1" applyFont="1" applyFill="1" applyBorder="1"/>
    <xf numFmtId="3" fontId="6" fillId="2" borderId="9" xfId="0" applyNumberFormat="1" applyFont="1" applyFill="1" applyBorder="1"/>
    <xf numFmtId="8" fontId="6" fillId="2" borderId="9" xfId="0" applyNumberFormat="1" applyFont="1" applyFill="1" applyBorder="1"/>
    <xf numFmtId="3" fontId="6" fillId="0" borderId="7" xfId="0" applyNumberFormat="1" applyFont="1" applyFill="1" applyBorder="1"/>
    <xf numFmtId="3" fontId="6" fillId="2" borderId="7" xfId="0" applyNumberFormat="1" applyFont="1" applyFill="1" applyBorder="1"/>
    <xf numFmtId="164" fontId="6" fillId="2" borderId="7" xfId="0" applyNumberFormat="1" applyFont="1" applyFill="1" applyBorder="1"/>
    <xf numFmtId="17" fontId="7" fillId="25" borderId="1" xfId="0" applyNumberFormat="1" applyFont="1" applyFill="1" applyBorder="1"/>
    <xf numFmtId="169" fontId="6" fillId="2" borderId="2" xfId="0" applyNumberFormat="1" applyFont="1" applyFill="1" applyBorder="1"/>
    <xf numFmtId="164" fontId="6" fillId="0" borderId="7" xfId="0" applyNumberFormat="1" applyFont="1" applyFill="1" applyBorder="1"/>
    <xf numFmtId="169" fontId="6" fillId="14" borderId="5" xfId="0" applyNumberFormat="1" applyFont="1" applyFill="1" applyBorder="1"/>
    <xf numFmtId="164" fontId="6" fillId="14" borderId="6" xfId="0" applyNumberFormat="1" applyFont="1" applyFill="1" applyBorder="1"/>
    <xf numFmtId="169" fontId="6" fillId="14" borderId="2" xfId="0" applyNumberFormat="1" applyFont="1" applyFill="1" applyBorder="1"/>
    <xf numFmtId="164" fontId="6" fillId="14" borderId="7" xfId="0" applyNumberFormat="1" applyFont="1" applyFill="1" applyBorder="1"/>
    <xf numFmtId="17" fontId="7" fillId="22" borderId="3" xfId="0" applyNumberFormat="1" applyFont="1" applyFill="1" applyBorder="1"/>
    <xf numFmtId="17" fontId="7" fillId="22" borderId="1" xfId="0" applyNumberFormat="1" applyFont="1" applyFill="1" applyBorder="1"/>
    <xf numFmtId="169" fontId="6" fillId="0" borderId="2" xfId="0" applyNumberFormat="1" applyFont="1" applyFill="1" applyBorder="1"/>
    <xf numFmtId="17" fontId="7" fillId="18" borderId="3" xfId="0" applyNumberFormat="1" applyFont="1" applyFill="1" applyBorder="1"/>
    <xf numFmtId="169" fontId="6" fillId="3" borderId="2" xfId="0" applyNumberFormat="1" applyFont="1" applyFill="1" applyBorder="1"/>
    <xf numFmtId="17" fontId="7" fillId="18" borderId="1" xfId="0" applyNumberFormat="1" applyFont="1" applyFill="1" applyBorder="1"/>
    <xf numFmtId="169" fontId="6" fillId="3" borderId="5" xfId="0" applyNumberFormat="1" applyFont="1" applyFill="1" applyBorder="1"/>
    <xf numFmtId="0" fontId="7" fillId="0" borderId="0" xfId="0" applyFont="1" applyFill="1" applyBorder="1"/>
    <xf numFmtId="0" fontId="7" fillId="0" borderId="0" xfId="0" applyFont="1" applyFill="1" applyBorder="1" applyAlignment="1">
      <alignment horizontal="center"/>
    </xf>
    <xf numFmtId="176" fontId="0" fillId="0" borderId="6" xfId="0" applyNumberFormat="1" applyFont="1" applyBorder="1"/>
    <xf numFmtId="0" fontId="6" fillId="0" borderId="0" xfId="0" applyNumberFormat="1" applyFont="1" applyFill="1" applyBorder="1"/>
    <xf numFmtId="0" fontId="6" fillId="0" borderId="0" xfId="0" applyNumberFormat="1" applyFont="1" applyFill="1" applyBorder="1"/>
    <xf numFmtId="0" fontId="6" fillId="0" borderId="0" xfId="0" applyNumberFormat="1" applyFont="1" applyFill="1" applyBorder="1"/>
    <xf numFmtId="169" fontId="0" fillId="0" borderId="0" xfId="0" applyNumberFormat="1" applyFill="1"/>
    <xf numFmtId="176" fontId="0" fillId="2" borderId="7" xfId="0" applyNumberFormat="1" applyFont="1" applyFill="1" applyBorder="1"/>
    <xf numFmtId="0" fontId="9" fillId="0" borderId="0" xfId="0" applyFont="1" applyFill="1" applyAlignment="1">
      <alignment horizontal="center"/>
    </xf>
    <xf numFmtId="0" fontId="9" fillId="0" borderId="0" xfId="0" applyFont="1" applyFill="1" applyBorder="1" applyAlignment="1">
      <alignment horizontal="center"/>
    </xf>
    <xf numFmtId="10" fontId="0" fillId="0" borderId="5" xfId="0" applyNumberFormat="1" applyFont="1" applyBorder="1"/>
    <xf numFmtId="3" fontId="6" fillId="16" borderId="0" xfId="0" applyNumberFormat="1" applyFont="1" applyFill="1" applyBorder="1"/>
    <xf numFmtId="0" fontId="0" fillId="0" borderId="1" xfId="0" applyBorder="1"/>
    <xf numFmtId="0" fontId="0" fillId="0" borderId="0" xfId="0" applyAlignment="1"/>
    <xf numFmtId="0" fontId="7" fillId="8" borderId="25" xfId="0" applyFont="1" applyFill="1" applyBorder="1" applyProtection="1"/>
    <xf numFmtId="0" fontId="7" fillId="8" borderId="27" xfId="0" applyFont="1" applyFill="1" applyBorder="1" applyProtection="1"/>
    <xf numFmtId="0" fontId="7" fillId="8" borderId="26" xfId="0" applyFont="1" applyFill="1" applyBorder="1" applyProtection="1"/>
    <xf numFmtId="17" fontId="7" fillId="8" borderId="1" xfId="0" applyNumberFormat="1" applyFont="1" applyFill="1" applyBorder="1" applyProtection="1"/>
    <xf numFmtId="164" fontId="6" fillId="0" borderId="7" xfId="0" applyNumberFormat="1" applyFont="1" applyFill="1" applyBorder="1" applyProtection="1"/>
    <xf numFmtId="169" fontId="6" fillId="0" borderId="2" xfId="0" applyNumberFormat="1" applyFont="1" applyFill="1" applyBorder="1" applyProtection="1"/>
    <xf numFmtId="164" fontId="6" fillId="6" borderId="7" xfId="0" applyNumberFormat="1" applyFont="1" applyFill="1" applyBorder="1" applyProtection="1"/>
    <xf numFmtId="169" fontId="6" fillId="6" borderId="2" xfId="0" applyNumberFormat="1" applyFont="1" applyFill="1" applyBorder="1" applyProtection="1"/>
    <xf numFmtId="17" fontId="0" fillId="0" borderId="15" xfId="0" applyNumberFormat="1" applyFont="1" applyBorder="1" applyProtection="1"/>
    <xf numFmtId="17" fontId="0" fillId="5" borderId="15" xfId="0" applyNumberFormat="1" applyFont="1" applyFill="1" applyBorder="1" applyProtection="1"/>
    <xf numFmtId="17" fontId="0" fillId="0" borderId="17" xfId="0" applyNumberFormat="1" applyFont="1" applyBorder="1" applyProtection="1"/>
    <xf numFmtId="0" fontId="0" fillId="0" borderId="0" xfId="0" applyFill="1"/>
    <xf numFmtId="0" fontId="0" fillId="0" borderId="0" xfId="0"/>
    <xf numFmtId="3" fontId="0" fillId="0" borderId="0" xfId="0" applyNumberFormat="1"/>
    <xf numFmtId="169" fontId="0" fillId="52" borderId="31" xfId="0" applyNumberFormat="1" applyFont="1" applyFill="1" applyBorder="1"/>
    <xf numFmtId="0" fontId="7" fillId="54" borderId="22" xfId="0" applyFont="1" applyFill="1" applyBorder="1" applyAlignment="1">
      <alignment horizontal="center"/>
    </xf>
    <xf numFmtId="0" fontId="7" fillId="51" borderId="3" xfId="0" applyFont="1" applyFill="1" applyBorder="1"/>
    <xf numFmtId="0" fontId="5" fillId="54" borderId="30" xfId="0" applyFont="1" applyFill="1" applyBorder="1" applyAlignment="1">
      <alignment horizontal="center"/>
    </xf>
    <xf numFmtId="0" fontId="7" fillId="51" borderId="8" xfId="0" applyFont="1" applyFill="1" applyBorder="1" applyAlignment="1">
      <alignment horizontal="center"/>
    </xf>
    <xf numFmtId="169" fontId="0" fillId="52" borderId="19" xfId="0" applyNumberFormat="1" applyFont="1" applyFill="1" applyBorder="1"/>
    <xf numFmtId="17" fontId="7" fillId="54" borderId="1" xfId="0" applyNumberFormat="1" applyFont="1" applyFill="1" applyBorder="1" applyProtection="1"/>
    <xf numFmtId="169" fontId="6" fillId="53" borderId="2" xfId="0" applyNumberFormat="1" applyFont="1" applyFill="1" applyBorder="1" applyProtection="1"/>
    <xf numFmtId="164" fontId="0" fillId="52" borderId="37" xfId="0" applyNumberFormat="1" applyFont="1" applyFill="1" applyBorder="1" applyProtection="1"/>
    <xf numFmtId="0" fontId="7" fillId="51" borderId="20" xfId="0" applyFont="1" applyFill="1" applyBorder="1" applyAlignment="1" applyProtection="1">
      <alignment horizontal="center"/>
    </xf>
    <xf numFmtId="0" fontId="7" fillId="54" borderId="35" xfId="0" applyFont="1" applyFill="1" applyBorder="1" applyAlignment="1">
      <alignment horizontal="center"/>
    </xf>
    <xf numFmtId="0" fontId="7" fillId="51" borderId="8" xfId="0" applyFont="1" applyFill="1" applyBorder="1"/>
    <xf numFmtId="169" fontId="0" fillId="52" borderId="28" xfId="0" applyNumberFormat="1" applyFont="1" applyFill="1" applyBorder="1"/>
    <xf numFmtId="0" fontId="7" fillId="51" borderId="62" xfId="0" applyFont="1" applyFill="1" applyBorder="1" applyAlignment="1" applyProtection="1">
      <alignment horizontal="center"/>
    </xf>
    <xf numFmtId="164" fontId="0" fillId="0" borderId="0" xfId="0" applyNumberFormat="1"/>
    <xf numFmtId="167" fontId="0" fillId="0" borderId="31" xfId="0" applyNumberFormat="1" applyFont="1" applyFill="1" applyBorder="1"/>
    <xf numFmtId="37" fontId="10" fillId="0" borderId="0" xfId="0" applyNumberFormat="1" applyFont="1" applyFill="1" applyBorder="1" applyProtection="1"/>
    <xf numFmtId="0" fontId="0" fillId="0" borderId="0" xfId="0" applyBorder="1"/>
    <xf numFmtId="37" fontId="10" fillId="0" borderId="0" xfId="0" applyNumberFormat="1" applyFont="1" applyFill="1" applyBorder="1" applyProtection="1">
      <protection hidden="1"/>
    </xf>
    <xf numFmtId="37" fontId="0" fillId="0" borderId="0" xfId="0" applyNumberFormat="1" applyBorder="1"/>
    <xf numFmtId="3" fontId="0" fillId="0" borderId="0" xfId="0" applyNumberFormat="1" applyBorder="1"/>
    <xf numFmtId="0" fontId="7" fillId="54" borderId="27" xfId="0" applyFont="1" applyFill="1" applyBorder="1"/>
    <xf numFmtId="0" fontId="7" fillId="54" borderId="26" xfId="0" applyFont="1" applyFill="1" applyBorder="1"/>
    <xf numFmtId="0" fontId="7" fillId="54" borderId="1" xfId="0" applyNumberFormat="1" applyFont="1" applyFill="1" applyBorder="1"/>
    <xf numFmtId="0" fontId="7" fillId="54" borderId="3" xfId="0" applyNumberFormat="1" applyFont="1" applyFill="1" applyBorder="1"/>
    <xf numFmtId="0" fontId="11" fillId="0" borderId="0" xfId="0" applyFont="1"/>
    <xf numFmtId="164" fontId="0" fillId="0" borderId="0" xfId="0" applyNumberFormat="1" applyFont="1" applyBorder="1"/>
    <xf numFmtId="0" fontId="0" fillId="0" borderId="2" xfId="0" applyFont="1" applyBorder="1"/>
    <xf numFmtId="164" fontId="0" fillId="0" borderId="4" xfId="0" applyNumberFormat="1" applyFont="1" applyBorder="1"/>
    <xf numFmtId="0" fontId="0" fillId="0" borderId="5" xfId="0" applyFont="1" applyBorder="1"/>
    <xf numFmtId="164" fontId="0" fillId="10" borderId="0" xfId="0" applyNumberFormat="1" applyFont="1" applyFill="1" applyBorder="1"/>
    <xf numFmtId="0" fontId="0" fillId="10" borderId="2" xfId="0" applyFont="1" applyFill="1" applyBorder="1"/>
    <xf numFmtId="164" fontId="0" fillId="14" borderId="0" xfId="0" applyNumberFormat="1" applyFont="1" applyFill="1" applyBorder="1"/>
    <xf numFmtId="164" fontId="0" fillId="6" borderId="0" xfId="0" applyNumberFormat="1" applyFont="1" applyFill="1" applyBorder="1"/>
    <xf numFmtId="0" fontId="0" fillId="6" borderId="2" xfId="0" applyFont="1" applyFill="1" applyBorder="1"/>
    <xf numFmtId="49" fontId="0" fillId="0" borderId="0" xfId="0" applyNumberFormat="1"/>
    <xf numFmtId="0" fontId="7" fillId="22" borderId="25" xfId="0" applyFont="1" applyFill="1" applyBorder="1" applyProtection="1"/>
    <xf numFmtId="0" fontId="7" fillId="22" borderId="27" xfId="0" applyFont="1" applyFill="1" applyBorder="1" applyProtection="1"/>
    <xf numFmtId="0" fontId="7" fillId="22" borderId="26" xfId="0" applyFont="1" applyFill="1" applyBorder="1" applyProtection="1"/>
    <xf numFmtId="49" fontId="7" fillId="22" borderId="30" xfId="0" applyNumberFormat="1" applyFont="1" applyFill="1" applyBorder="1" applyAlignment="1">
      <alignment horizontal="center"/>
    </xf>
    <xf numFmtId="49" fontId="7" fillId="22" borderId="1" xfId="0" applyNumberFormat="1" applyFont="1" applyFill="1" applyBorder="1" applyAlignment="1">
      <alignment horizontal="center"/>
    </xf>
    <xf numFmtId="49" fontId="7" fillId="22" borderId="3" xfId="0" applyNumberFormat="1" applyFont="1" applyFill="1" applyBorder="1" applyAlignment="1">
      <alignment horizontal="center"/>
    </xf>
    <xf numFmtId="0" fontId="7" fillId="9" borderId="25" xfId="0" applyFont="1" applyFill="1" applyBorder="1" applyProtection="1"/>
    <xf numFmtId="0" fontId="7" fillId="9" borderId="27" xfId="0" applyFont="1" applyFill="1" applyBorder="1" applyProtection="1"/>
    <xf numFmtId="0" fontId="7" fillId="9" borderId="26" xfId="0" applyFont="1" applyFill="1" applyBorder="1" applyProtection="1"/>
    <xf numFmtId="49" fontId="7" fillId="9" borderId="30" xfId="0" applyNumberFormat="1" applyFont="1" applyFill="1" applyBorder="1" applyAlignment="1">
      <alignment horizontal="center"/>
    </xf>
    <xf numFmtId="49" fontId="7" fillId="9" borderId="1" xfId="0" applyNumberFormat="1" applyFont="1" applyFill="1" applyBorder="1" applyAlignment="1">
      <alignment horizontal="center"/>
    </xf>
    <xf numFmtId="49" fontId="7" fillId="9" borderId="3" xfId="0" applyNumberFormat="1" applyFont="1" applyFill="1" applyBorder="1" applyAlignment="1">
      <alignment horizontal="center"/>
    </xf>
    <xf numFmtId="0" fontId="0" fillId="2" borderId="2" xfId="0" applyFont="1" applyFill="1" applyBorder="1"/>
    <xf numFmtId="164" fontId="0" fillId="0" borderId="4" xfId="0" applyNumberFormat="1" applyFont="1" applyFill="1" applyBorder="1"/>
    <xf numFmtId="0" fontId="0" fillId="0" borderId="5" xfId="0" applyFont="1" applyFill="1" applyBorder="1"/>
    <xf numFmtId="0" fontId="7" fillId="18" borderId="25" xfId="0" applyFont="1" applyFill="1" applyBorder="1" applyProtection="1"/>
    <xf numFmtId="0" fontId="7" fillId="18" borderId="27" xfId="0" applyFont="1" applyFill="1" applyBorder="1" applyProtection="1"/>
    <xf numFmtId="0" fontId="7" fillId="18" borderId="26" xfId="0" applyFont="1" applyFill="1" applyBorder="1" applyProtection="1"/>
    <xf numFmtId="49" fontId="7" fillId="18" borderId="30" xfId="0" applyNumberFormat="1" applyFont="1" applyFill="1" applyBorder="1" applyAlignment="1">
      <alignment horizontal="center"/>
    </xf>
    <xf numFmtId="49" fontId="7" fillId="18" borderId="1" xfId="0" applyNumberFormat="1" applyFont="1" applyFill="1" applyBorder="1" applyAlignment="1">
      <alignment horizontal="center"/>
    </xf>
    <xf numFmtId="49" fontId="7" fillId="18" borderId="3" xfId="0" applyNumberFormat="1" applyFont="1" applyFill="1" applyBorder="1" applyAlignment="1">
      <alignment horizontal="center"/>
    </xf>
    <xf numFmtId="49" fontId="7" fillId="54" borderId="30" xfId="0" applyNumberFormat="1" applyFont="1" applyFill="1" applyBorder="1" applyAlignment="1">
      <alignment horizontal="center"/>
    </xf>
    <xf numFmtId="49" fontId="7" fillId="54" borderId="1" xfId="0" applyNumberFormat="1" applyFont="1" applyFill="1" applyBorder="1" applyAlignment="1">
      <alignment horizontal="center"/>
    </xf>
    <xf numFmtId="49" fontId="7" fillId="54" borderId="3" xfId="0" applyNumberFormat="1" applyFont="1" applyFill="1" applyBorder="1" applyAlignment="1">
      <alignment horizontal="center"/>
    </xf>
    <xf numFmtId="164" fontId="0" fillId="53" borderId="0" xfId="0" applyNumberFormat="1" applyFont="1" applyFill="1" applyBorder="1"/>
    <xf numFmtId="0" fontId="0" fillId="53" borderId="2" xfId="0" applyFont="1" applyFill="1" applyBorder="1"/>
    <xf numFmtId="0" fontId="7" fillId="25" borderId="30" xfId="0" applyFont="1" applyFill="1" applyBorder="1" applyAlignment="1" applyProtection="1">
      <alignment horizontal="center"/>
    </xf>
    <xf numFmtId="0" fontId="7" fillId="27" borderId="63" xfId="0" applyFont="1" applyFill="1" applyBorder="1" applyProtection="1"/>
    <xf numFmtId="49" fontId="7" fillId="25" borderId="30" xfId="0" applyNumberFormat="1" applyFont="1" applyFill="1" applyBorder="1" applyAlignment="1">
      <alignment horizontal="center"/>
    </xf>
    <xf numFmtId="49" fontId="7" fillId="25" borderId="1" xfId="0" applyNumberFormat="1" applyFont="1" applyFill="1" applyBorder="1" applyAlignment="1">
      <alignment horizontal="center"/>
    </xf>
    <xf numFmtId="49" fontId="7" fillId="25" borderId="3" xfId="0" applyNumberFormat="1" applyFont="1" applyFill="1" applyBorder="1" applyAlignment="1">
      <alignment horizontal="center"/>
    </xf>
    <xf numFmtId="0" fontId="7" fillId="27" borderId="62" xfId="0" applyFont="1" applyFill="1" applyBorder="1" applyAlignment="1" applyProtection="1">
      <alignment horizontal="center"/>
    </xf>
    <xf numFmtId="0" fontId="7" fillId="27" borderId="20" xfId="0" applyFont="1" applyFill="1" applyBorder="1" applyAlignment="1" applyProtection="1">
      <alignment horizontal="center"/>
    </xf>
    <xf numFmtId="0" fontId="7" fillId="27" borderId="21" xfId="0" applyFont="1" applyFill="1" applyBorder="1" applyAlignment="1" applyProtection="1">
      <alignment horizontal="center"/>
    </xf>
    <xf numFmtId="0" fontId="7" fillId="27" borderId="10" xfId="0" applyFont="1" applyFill="1" applyBorder="1" applyAlignment="1" applyProtection="1">
      <alignment horizontal="center"/>
    </xf>
    <xf numFmtId="166" fontId="0" fillId="0" borderId="43" xfId="0" applyNumberFormat="1" applyFont="1" applyBorder="1"/>
    <xf numFmtId="166" fontId="0" fillId="2" borderId="0" xfId="0" applyNumberFormat="1" applyFont="1" applyFill="1" applyBorder="1"/>
    <xf numFmtId="166" fontId="0" fillId="0" borderId="0" xfId="0" applyNumberFormat="1" applyFont="1" applyBorder="1"/>
    <xf numFmtId="166" fontId="0" fillId="0" borderId="4" xfId="0" applyNumberFormat="1" applyFont="1" applyBorder="1"/>
    <xf numFmtId="0" fontId="7" fillId="51" borderId="32" xfId="0" applyFont="1" applyFill="1" applyBorder="1" applyAlignment="1">
      <alignment horizontal="center"/>
    </xf>
    <xf numFmtId="166" fontId="6" fillId="0" borderId="0" xfId="0" applyNumberFormat="1" applyFont="1" applyBorder="1" applyAlignment="1">
      <alignment horizontal="right"/>
    </xf>
    <xf numFmtId="166" fontId="6" fillId="2" borderId="9" xfId="0" applyNumberFormat="1" applyFont="1" applyFill="1" applyBorder="1" applyAlignment="1">
      <alignment horizontal="right"/>
    </xf>
    <xf numFmtId="166" fontId="6" fillId="2" borderId="0" xfId="0" applyNumberFormat="1" applyFont="1" applyFill="1" applyBorder="1" applyAlignment="1">
      <alignment horizontal="right"/>
    </xf>
    <xf numFmtId="166" fontId="6" fillId="0" borderId="9" xfId="0" applyNumberFormat="1" applyFont="1" applyBorder="1" applyAlignment="1">
      <alignment horizontal="right"/>
    </xf>
    <xf numFmtId="166" fontId="6" fillId="2" borderId="9" xfId="0" applyNumberFormat="1" applyFont="1" applyFill="1" applyBorder="1"/>
    <xf numFmtId="166" fontId="6" fillId="2" borderId="0" xfId="0" applyNumberFormat="1" applyFont="1" applyFill="1" applyBorder="1"/>
    <xf numFmtId="2" fontId="0" fillId="0" borderId="0" xfId="0" applyNumberFormat="1"/>
    <xf numFmtId="6" fontId="6" fillId="2" borderId="0" xfId="0" applyNumberFormat="1" applyFont="1" applyFill="1" applyBorder="1"/>
    <xf numFmtId="0" fontId="0" fillId="0" borderId="0" xfId="0"/>
    <xf numFmtId="0" fontId="0" fillId="0" borderId="0" xfId="0" applyFont="1"/>
    <xf numFmtId="0" fontId="7" fillId="19" borderId="29" xfId="0" applyFont="1" applyFill="1" applyBorder="1" applyAlignment="1">
      <alignment horizontal="center"/>
    </xf>
    <xf numFmtId="169" fontId="0" fillId="20" borderId="2" xfId="0" applyNumberFormat="1" applyFont="1" applyFill="1" applyBorder="1"/>
    <xf numFmtId="0" fontId="7" fillId="19" borderId="44" xfId="0" applyFont="1" applyFill="1" applyBorder="1" applyAlignment="1">
      <alignment horizontal="center"/>
    </xf>
    <xf numFmtId="169" fontId="0" fillId="20" borderId="31" xfId="0" applyNumberFormat="1" applyFont="1" applyFill="1" applyBorder="1"/>
    <xf numFmtId="0" fontId="7" fillId="19" borderId="25" xfId="0" applyFont="1" applyFill="1" applyBorder="1" applyAlignment="1">
      <alignment horizontal="center"/>
    </xf>
    <xf numFmtId="0" fontId="0" fillId="0" borderId="0" xfId="0"/>
    <xf numFmtId="0" fontId="0" fillId="0" borderId="0" xfId="0" applyFont="1" applyFill="1"/>
    <xf numFmtId="0" fontId="0" fillId="0" borderId="0" xfId="0" applyFont="1" applyFill="1" applyBorder="1"/>
    <xf numFmtId="4" fontId="9" fillId="0" borderId="0" xfId="0" applyNumberFormat="1" applyFont="1" applyFill="1" applyAlignment="1">
      <alignment horizontal="center"/>
    </xf>
    <xf numFmtId="4" fontId="9" fillId="0" borderId="0" xfId="0" applyNumberFormat="1" applyFont="1" applyFill="1" applyAlignment="1">
      <alignment horizontal="center"/>
    </xf>
    <xf numFmtId="0" fontId="5" fillId="0" borderId="0" xfId="0" applyFont="1" applyAlignment="1">
      <alignment horizontal="center" vertical="center"/>
    </xf>
    <xf numFmtId="2" fontId="9" fillId="0" borderId="0" xfId="0" applyNumberFormat="1" applyFont="1" applyFill="1" applyAlignment="1">
      <alignment horizontal="center"/>
    </xf>
    <xf numFmtId="0" fontId="6" fillId="0" borderId="0" xfId="0" applyFont="1"/>
    <xf numFmtId="0" fontId="11" fillId="0" borderId="0" xfId="0" applyNumberFormat="1" applyFont="1"/>
    <xf numFmtId="0" fontId="6" fillId="0" borderId="0" xfId="0" applyFont="1"/>
    <xf numFmtId="0" fontId="9" fillId="0" borderId="0" xfId="0" applyFont="1" applyAlignment="1">
      <alignment horizontal="right"/>
    </xf>
    <xf numFmtId="0" fontId="6" fillId="0" borderId="0" xfId="0" applyFont="1" applyAlignment="1">
      <alignment horizontal="right"/>
    </xf>
    <xf numFmtId="0" fontId="6" fillId="0" borderId="0" xfId="0" applyFont="1" applyBorder="1"/>
    <xf numFmtId="0" fontId="6" fillId="0" borderId="0" xfId="0" applyFont="1" applyBorder="1"/>
    <xf numFmtId="0" fontId="6" fillId="0" borderId="0" xfId="0" applyFont="1" applyFill="1" applyBorder="1"/>
    <xf numFmtId="0" fontId="11" fillId="0" borderId="0" xfId="0" applyFont="1"/>
    <xf numFmtId="0" fontId="11" fillId="0" borderId="0" xfId="0" applyFont="1" applyFill="1" applyBorder="1" applyAlignment="1" applyProtection="1">
      <alignment horizontal="left"/>
    </xf>
    <xf numFmtId="0" fontId="7" fillId="56" borderId="30" xfId="0" applyFont="1" applyFill="1" applyBorder="1"/>
    <xf numFmtId="0" fontId="7" fillId="56" borderId="1" xfId="0" applyFont="1" applyFill="1" applyBorder="1" applyAlignment="1" applyProtection="1">
      <alignment horizontal="left"/>
    </xf>
    <xf numFmtId="0" fontId="7" fillId="56" borderId="3" xfId="0" applyFont="1" applyFill="1" applyBorder="1"/>
    <xf numFmtId="0" fontId="7" fillId="56" borderId="4" xfId="0" applyFont="1" applyFill="1" applyBorder="1" applyAlignment="1">
      <alignment horizontal="right"/>
    </xf>
    <xf numFmtId="0" fontId="7" fillId="56" borderId="8" xfId="0" applyFont="1" applyFill="1" applyBorder="1" applyAlignment="1">
      <alignment horizontal="right"/>
    </xf>
    <xf numFmtId="0" fontId="7" fillId="19" borderId="25" xfId="0" applyFont="1" applyFill="1" applyBorder="1"/>
    <xf numFmtId="0" fontId="7" fillId="19" borderId="33" xfId="0" applyFont="1" applyFill="1" applyBorder="1"/>
    <xf numFmtId="0" fontId="7" fillId="19" borderId="26" xfId="0" applyFont="1" applyFill="1" applyBorder="1"/>
    <xf numFmtId="166" fontId="0" fillId="26" borderId="22" xfId="0" applyNumberFormat="1" applyFont="1" applyFill="1" applyBorder="1"/>
    <xf numFmtId="0" fontId="32" fillId="53" borderId="0" xfId="1" applyFont="1" applyFill="1"/>
    <xf numFmtId="0" fontId="32" fillId="28" borderId="0" xfId="1" applyFont="1" applyFill="1"/>
    <xf numFmtId="0" fontId="32" fillId="14" borderId="0" xfId="1" applyFont="1" applyFill="1"/>
    <xf numFmtId="0" fontId="0" fillId="6" borderId="0" xfId="0" applyFont="1" applyFill="1"/>
    <xf numFmtId="0" fontId="0" fillId="53" borderId="0" xfId="0" applyFont="1" applyFill="1"/>
    <xf numFmtId="0" fontId="0" fillId="10" borderId="0" xfId="0" applyFont="1" applyFill="1"/>
    <xf numFmtId="0" fontId="0" fillId="28" borderId="0" xfId="0" applyFont="1" applyFill="1"/>
    <xf numFmtId="0" fontId="0" fillId="3" borderId="0" xfId="0" applyFont="1" applyFill="1"/>
    <xf numFmtId="0" fontId="0" fillId="14" borderId="0" xfId="0" applyFont="1" applyFill="1"/>
    <xf numFmtId="0" fontId="0" fillId="29" borderId="0" xfId="0" applyFont="1" applyFill="1"/>
    <xf numFmtId="0" fontId="0" fillId="2" borderId="0" xfId="0" applyFont="1" applyFill="1"/>
    <xf numFmtId="0" fontId="0" fillId="0" borderId="0" xfId="0" applyBorder="1"/>
    <xf numFmtId="0" fontId="0" fillId="0" borderId="8" xfId="0" applyFill="1" applyBorder="1"/>
    <xf numFmtId="0" fontId="33" fillId="0" borderId="0" xfId="0" applyFont="1"/>
    <xf numFmtId="165" fontId="6" fillId="0" borderId="0" xfId="0" applyNumberFormat="1" applyFont="1" applyFill="1" applyBorder="1" applyAlignment="1">
      <alignment horizontal="left" vertical="top"/>
    </xf>
    <xf numFmtId="167" fontId="6" fillId="0" borderId="2" xfId="0" applyNumberFormat="1" applyFont="1" applyBorder="1"/>
    <xf numFmtId="0" fontId="6" fillId="0" borderId="0" xfId="0" applyFont="1" applyFill="1" applyBorder="1" applyAlignment="1">
      <alignment horizontal="left"/>
    </xf>
    <xf numFmtId="2" fontId="6" fillId="0" borderId="0" xfId="0" applyNumberFormat="1" applyFont="1" applyFill="1" applyBorder="1" applyAlignment="1">
      <alignment horizontal="right"/>
    </xf>
    <xf numFmtId="0" fontId="6" fillId="0" borderId="0" xfId="0" applyFont="1" applyFill="1" applyBorder="1" applyAlignment="1">
      <alignment horizontal="left" wrapText="1"/>
    </xf>
    <xf numFmtId="0" fontId="34" fillId="0" borderId="0" xfId="0" applyFont="1" applyFill="1" applyBorder="1" applyAlignment="1">
      <alignment horizontal="left" wrapText="1"/>
    </xf>
    <xf numFmtId="0" fontId="6" fillId="0" borderId="0" xfId="0" applyFont="1"/>
    <xf numFmtId="0" fontId="6" fillId="0" borderId="0" xfId="0" applyFont="1"/>
    <xf numFmtId="0" fontId="15" fillId="0" borderId="0" xfId="0" applyFont="1" applyFill="1" applyBorder="1" applyAlignment="1">
      <alignment horizontal="left" vertical="top"/>
    </xf>
    <xf numFmtId="179" fontId="34" fillId="0" borderId="0" xfId="0" applyNumberFormat="1" applyFont="1" applyFill="1" applyBorder="1" applyAlignment="1">
      <alignment horizontal="left" vertical="top"/>
    </xf>
    <xf numFmtId="2" fontId="8" fillId="0" borderId="0" xfId="0" applyNumberFormat="1" applyFont="1" applyFill="1" applyBorder="1"/>
    <xf numFmtId="0" fontId="8" fillId="0" borderId="0" xfId="0" applyFont="1" applyFill="1" applyBorder="1" applyAlignment="1">
      <alignment horizontal="left" vertical="top"/>
    </xf>
    <xf numFmtId="179" fontId="35" fillId="0" borderId="0" xfId="0" applyNumberFormat="1" applyFont="1" applyFill="1" applyBorder="1" applyAlignment="1">
      <alignment horizontal="left" vertical="top"/>
    </xf>
    <xf numFmtId="0" fontId="35" fillId="0" borderId="0" xfId="0" applyFont="1" applyFill="1" applyBorder="1" applyAlignment="1">
      <alignment horizontal="left" vertical="top"/>
    </xf>
    <xf numFmtId="0" fontId="6" fillId="0" borderId="0" xfId="0" applyFont="1" applyBorder="1"/>
    <xf numFmtId="0" fontId="7" fillId="25" borderId="30" xfId="0" applyFont="1" applyFill="1" applyBorder="1" applyAlignment="1">
      <alignment horizontal="center"/>
    </xf>
    <xf numFmtId="179" fontId="7" fillId="25" borderId="1" xfId="0" applyNumberFormat="1" applyFont="1" applyFill="1" applyBorder="1" applyAlignment="1">
      <alignment horizontal="left"/>
    </xf>
    <xf numFmtId="179" fontId="7" fillId="25" borderId="1" xfId="0" applyNumberFormat="1" applyFont="1" applyFill="1" applyBorder="1" applyAlignment="1">
      <alignment horizontal="left" wrapText="1"/>
    </xf>
    <xf numFmtId="0" fontId="7" fillId="25" borderId="1" xfId="0" applyFont="1" applyFill="1" applyBorder="1" applyAlignment="1">
      <alignment horizontal="left"/>
    </xf>
    <xf numFmtId="179" fontId="7" fillId="25" borderId="3" xfId="0" applyNumberFormat="1" applyFont="1" applyFill="1" applyBorder="1" applyAlignment="1">
      <alignment horizontal="left"/>
    </xf>
    <xf numFmtId="0" fontId="7" fillId="25" borderId="43" xfId="0" applyFont="1" applyFill="1" applyBorder="1" applyAlignment="1">
      <alignment horizontal="center" wrapText="1"/>
    </xf>
    <xf numFmtId="0" fontId="7" fillId="25" borderId="35" xfId="0" applyFont="1" applyFill="1" applyBorder="1" applyAlignment="1">
      <alignment horizontal="center"/>
    </xf>
    <xf numFmtId="0" fontId="7" fillId="25" borderId="30" xfId="0" applyFont="1" applyFill="1" applyBorder="1" applyAlignment="1">
      <alignment wrapText="1"/>
    </xf>
    <xf numFmtId="0" fontId="7" fillId="25" borderId="1" xfId="0" applyFont="1" applyFill="1" applyBorder="1" applyAlignment="1">
      <alignment wrapText="1"/>
    </xf>
    <xf numFmtId="0" fontId="7" fillId="25" borderId="3" xfId="0" applyFont="1" applyFill="1" applyBorder="1" applyAlignment="1">
      <alignment wrapText="1"/>
    </xf>
    <xf numFmtId="165" fontId="6" fillId="2" borderId="0" xfId="0" applyNumberFormat="1" applyFont="1" applyFill="1" applyBorder="1" applyAlignment="1">
      <alignment horizontal="left" vertical="top"/>
    </xf>
    <xf numFmtId="167" fontId="6" fillId="2" borderId="2" xfId="0" applyNumberFormat="1" applyFont="1" applyFill="1" applyBorder="1"/>
    <xf numFmtId="165" fontId="6" fillId="2" borderId="0" xfId="0" applyNumberFormat="1" applyFont="1" applyFill="1" applyBorder="1" applyAlignment="1">
      <alignment horizontal="right" vertical="top"/>
    </xf>
    <xf numFmtId="165" fontId="6" fillId="30" borderId="4" xfId="0" applyNumberFormat="1" applyFont="1" applyFill="1" applyBorder="1"/>
    <xf numFmtId="0" fontId="6" fillId="30" borderId="5" xfId="0" applyFont="1" applyFill="1" applyBorder="1"/>
    <xf numFmtId="0" fontId="0" fillId="0" borderId="0" xfId="0"/>
    <xf numFmtId="166" fontId="8" fillId="0" borderId="0" xfId="0" applyNumberFormat="1" applyFont="1" applyFill="1"/>
    <xf numFmtId="0" fontId="8" fillId="0" borderId="0" xfId="0" applyFont="1"/>
    <xf numFmtId="2" fontId="0" fillId="5" borderId="22" xfId="0" applyNumberFormat="1" applyFont="1" applyFill="1" applyBorder="1"/>
    <xf numFmtId="2" fontId="6" fillId="6" borderId="2" xfId="0" applyNumberFormat="1" applyFont="1" applyFill="1" applyBorder="1"/>
    <xf numFmtId="2" fontId="6" fillId="6" borderId="7" xfId="0" applyNumberFormat="1" applyFont="1" applyFill="1" applyBorder="1"/>
    <xf numFmtId="2" fontId="6" fillId="0" borderId="7" xfId="0" applyNumberFormat="1" applyFont="1" applyFill="1" applyBorder="1" applyProtection="1"/>
    <xf numFmtId="2" fontId="6" fillId="53" borderId="7" xfId="0" applyNumberFormat="1" applyFont="1" applyFill="1" applyBorder="1" applyProtection="1"/>
    <xf numFmtId="2" fontId="0" fillId="52" borderId="37" xfId="0" applyNumberFormat="1" applyFont="1" applyFill="1" applyBorder="1" applyProtection="1"/>
    <xf numFmtId="2" fontId="0" fillId="0" borderId="43" xfId="0" applyNumberFormat="1" applyFont="1" applyBorder="1"/>
    <xf numFmtId="2" fontId="0" fillId="53" borderId="0" xfId="0" applyNumberFormat="1" applyFont="1" applyFill="1" applyBorder="1"/>
    <xf numFmtId="2" fontId="0" fillId="0" borderId="0" xfId="0" applyNumberFormat="1" applyFont="1" applyBorder="1"/>
    <xf numFmtId="2" fontId="6" fillId="10" borderId="6" xfId="0" applyNumberFormat="1" applyFont="1" applyFill="1" applyBorder="1"/>
    <xf numFmtId="2" fontId="6" fillId="16" borderId="7" xfId="0" applyNumberFormat="1" applyFont="1" applyFill="1" applyBorder="1"/>
    <xf numFmtId="2" fontId="6" fillId="16" borderId="2" xfId="0" applyNumberFormat="1" applyFont="1" applyFill="1" applyBorder="1"/>
    <xf numFmtId="2" fontId="6" fillId="0" borderId="7" xfId="0" applyNumberFormat="1" applyFont="1" applyFill="1" applyBorder="1"/>
    <xf numFmtId="2" fontId="6" fillId="0" borderId="2" xfId="0" applyNumberFormat="1" applyFont="1" applyFill="1" applyBorder="1"/>
    <xf numFmtId="2" fontId="6" fillId="16" borderId="7" xfId="0" applyNumberFormat="1" applyFont="1" applyFill="1" applyBorder="1"/>
    <xf numFmtId="2" fontId="6" fillId="16" borderId="2" xfId="0" applyNumberFormat="1" applyFont="1" applyFill="1" applyBorder="1"/>
    <xf numFmtId="2" fontId="6" fillId="16" borderId="6" xfId="0" applyNumberFormat="1" applyFont="1" applyFill="1" applyBorder="1"/>
    <xf numFmtId="2" fontId="6" fillId="16" borderId="5" xfId="0" applyNumberFormat="1" applyFont="1" applyFill="1" applyBorder="1"/>
    <xf numFmtId="2" fontId="0" fillId="17" borderId="22" xfId="0" applyNumberFormat="1" applyFont="1" applyFill="1" applyBorder="1"/>
    <xf numFmtId="2" fontId="0" fillId="0" borderId="35" xfId="0" applyNumberFormat="1" applyFont="1" applyBorder="1"/>
    <xf numFmtId="2" fontId="0" fillId="16" borderId="0" xfId="0" applyNumberFormat="1" applyFont="1" applyFill="1" applyBorder="1"/>
    <xf numFmtId="2" fontId="0" fillId="16" borderId="2" xfId="0" applyNumberFormat="1" applyFont="1" applyFill="1" applyBorder="1"/>
    <xf numFmtId="2" fontId="0" fillId="0" borderId="2" xfId="0" applyNumberFormat="1" applyFont="1" applyBorder="1"/>
    <xf numFmtId="2" fontId="0" fillId="0" borderId="0" xfId="0" applyNumberFormat="1" applyFont="1" applyFill="1" applyBorder="1"/>
    <xf numFmtId="2" fontId="0" fillId="0" borderId="2" xfId="0" applyNumberFormat="1" applyFont="1" applyFill="1" applyBorder="1"/>
    <xf numFmtId="2" fontId="0" fillId="0" borderId="4" xfId="0" applyNumberFormat="1" applyFont="1" applyFill="1" applyBorder="1"/>
    <xf numFmtId="2" fontId="0" fillId="0" borderId="5" xfId="0" applyNumberFormat="1" applyFont="1" applyFill="1" applyBorder="1"/>
    <xf numFmtId="0" fontId="8" fillId="0" borderId="0" xfId="0" applyFont="1"/>
    <xf numFmtId="2" fontId="6" fillId="3" borderId="7" xfId="0" applyNumberFormat="1" applyFont="1" applyFill="1" applyBorder="1"/>
    <xf numFmtId="2" fontId="6" fillId="3" borderId="7" xfId="0" applyNumberFormat="1" applyFont="1" applyFill="1" applyBorder="1"/>
    <xf numFmtId="2" fontId="6" fillId="3" borderId="6" xfId="0" applyNumberFormat="1" applyFont="1" applyFill="1" applyBorder="1"/>
    <xf numFmtId="2" fontId="0" fillId="20" borderId="9" xfId="0" applyNumberFormat="1" applyFont="1" applyFill="1" applyBorder="1"/>
    <xf numFmtId="2" fontId="0" fillId="0" borderId="9" xfId="0" applyNumberFormat="1" applyFont="1" applyBorder="1"/>
    <xf numFmtId="2" fontId="0" fillId="0" borderId="7" xfId="0" applyNumberFormat="1" applyFont="1" applyBorder="1"/>
    <xf numFmtId="2" fontId="0" fillId="0" borderId="64" xfId="0" applyNumberFormat="1" applyFont="1" applyBorder="1"/>
    <xf numFmtId="2" fontId="0" fillId="0" borderId="14" xfId="0" applyNumberFormat="1" applyFont="1" applyBorder="1"/>
    <xf numFmtId="2" fontId="0" fillId="3" borderId="0" xfId="0" applyNumberFormat="1" applyFont="1" applyFill="1" applyBorder="1"/>
    <xf numFmtId="2" fontId="6" fillId="14" borderId="7" xfId="0" applyNumberFormat="1" applyFont="1" applyFill="1" applyBorder="1"/>
    <xf numFmtId="2" fontId="6" fillId="14" borderId="2" xfId="0" applyNumberFormat="1" applyFont="1" applyFill="1" applyBorder="1"/>
    <xf numFmtId="2" fontId="6" fillId="2" borderId="7" xfId="0" applyNumberFormat="1" applyFont="1" applyFill="1" applyBorder="1"/>
    <xf numFmtId="2" fontId="6" fillId="2" borderId="7" xfId="0" applyNumberFormat="1" applyFont="1" applyFill="1" applyBorder="1"/>
    <xf numFmtId="2" fontId="0" fillId="0" borderId="0" xfId="0" applyNumberFormat="1" applyFill="1"/>
    <xf numFmtId="2" fontId="6" fillId="0" borderId="37" xfId="0" applyNumberFormat="1" applyFont="1" applyFill="1" applyBorder="1"/>
    <xf numFmtId="2" fontId="6" fillId="2" borderId="38" xfId="0" applyNumberFormat="1" applyFont="1" applyFill="1" applyBorder="1"/>
    <xf numFmtId="2" fontId="6" fillId="0" borderId="38" xfId="0" applyNumberFormat="1" applyFont="1" applyFill="1" applyBorder="1"/>
    <xf numFmtId="2" fontId="0" fillId="26" borderId="22" xfId="0" applyNumberFormat="1" applyFont="1" applyFill="1" applyBorder="1"/>
    <xf numFmtId="2" fontId="0" fillId="26" borderId="7" xfId="0" applyNumberFormat="1" applyFont="1" applyFill="1" applyBorder="1"/>
    <xf numFmtId="2" fontId="0" fillId="2" borderId="0" xfId="0" applyNumberFormat="1" applyFont="1" applyFill="1" applyBorder="1"/>
    <xf numFmtId="0" fontId="8" fillId="0" borderId="0" xfId="0" applyFont="1"/>
    <xf numFmtId="0" fontId="6" fillId="59" borderId="0" xfId="0" applyFont="1" applyFill="1"/>
    <xf numFmtId="0" fontId="6" fillId="0" borderId="0" xfId="0" applyFont="1" applyFill="1"/>
    <xf numFmtId="0" fontId="6" fillId="2" borderId="0" xfId="0" applyFont="1" applyFill="1"/>
    <xf numFmtId="0" fontId="6" fillId="0" borderId="0" xfId="0" applyFont="1" applyFill="1"/>
    <xf numFmtId="0" fontId="6" fillId="28" borderId="0" xfId="0" applyFont="1" applyFill="1"/>
    <xf numFmtId="0" fontId="0" fillId="32" borderId="0" xfId="0" applyFont="1" applyFill="1"/>
    <xf numFmtId="0" fontId="6" fillId="29" borderId="0" xfId="0" applyFont="1" applyFill="1"/>
    <xf numFmtId="0" fontId="6" fillId="53" borderId="0" xfId="0" applyFont="1" applyFill="1"/>
    <xf numFmtId="0" fontId="6" fillId="58" borderId="0" xfId="0" applyFont="1" applyFill="1"/>
    <xf numFmtId="0" fontId="36" fillId="2" borderId="0" xfId="1" applyFont="1" applyFill="1"/>
    <xf numFmtId="0" fontId="0" fillId="60" borderId="0" xfId="0" applyFont="1" applyFill="1"/>
    <xf numFmtId="0" fontId="32" fillId="29" borderId="0" xfId="1" applyFont="1" applyFill="1" applyAlignment="1">
      <alignment wrapText="1"/>
    </xf>
    <xf numFmtId="0" fontId="6" fillId="32" borderId="0" xfId="0" applyFont="1" applyFill="1"/>
    <xf numFmtId="0" fontId="6" fillId="6" borderId="0" xfId="0" applyFont="1" applyFill="1"/>
    <xf numFmtId="0" fontId="0" fillId="58" borderId="0" xfId="0" applyFont="1" applyFill="1"/>
    <xf numFmtId="0" fontId="0" fillId="29" borderId="0" xfId="0" applyFont="1" applyFill="1" applyAlignment="1">
      <alignment wrapText="1"/>
    </xf>
    <xf numFmtId="0" fontId="6" fillId="60" borderId="0" xfId="0" applyFont="1" applyFill="1"/>
    <xf numFmtId="0" fontId="32" fillId="32" borderId="0" xfId="1" applyFont="1" applyFill="1"/>
    <xf numFmtId="0" fontId="6" fillId="14" borderId="0" xfId="0" applyFont="1" applyFill="1"/>
    <xf numFmtId="0" fontId="6" fillId="0" borderId="0" xfId="0" applyFont="1"/>
    <xf numFmtId="0" fontId="6" fillId="3" borderId="0" xfId="0" applyFont="1" applyFill="1"/>
    <xf numFmtId="0" fontId="9" fillId="0" borderId="0" xfId="0" applyFont="1"/>
    <xf numFmtId="2" fontId="0" fillId="13" borderId="22" xfId="0" applyNumberFormat="1" applyFont="1" applyFill="1" applyBorder="1"/>
    <xf numFmtId="2" fontId="6" fillId="2" borderId="2" xfId="0" applyNumberFormat="1" applyFont="1" applyFill="1" applyBorder="1"/>
    <xf numFmtId="2" fontId="0" fillId="2" borderId="7" xfId="0" applyNumberFormat="1" applyFont="1" applyFill="1" applyBorder="1"/>
    <xf numFmtId="2" fontId="0" fillId="2" borderId="6" xfId="0" applyNumberFormat="1" applyFont="1" applyFill="1" applyBorder="1"/>
    <xf numFmtId="167" fontId="0" fillId="2" borderId="2" xfId="0" applyNumberFormat="1" applyFont="1" applyFill="1" applyBorder="1"/>
    <xf numFmtId="167" fontId="0" fillId="0" borderId="2" xfId="0" applyNumberFormat="1" applyFont="1" applyBorder="1"/>
    <xf numFmtId="167" fontId="0" fillId="2" borderId="5" xfId="0" applyNumberFormat="1" applyFont="1" applyFill="1" applyBorder="1"/>
    <xf numFmtId="171" fontId="1" fillId="0" borderId="9" xfId="0" applyNumberFormat="1" applyFont="1" applyBorder="1"/>
    <xf numFmtId="171" fontId="1" fillId="2" borderId="9" xfId="0" applyNumberFormat="1" applyFont="1" applyFill="1" applyBorder="1"/>
    <xf numFmtId="171" fontId="0" fillId="2" borderId="9" xfId="0" applyNumberFormat="1" applyFill="1" applyBorder="1"/>
    <xf numFmtId="0" fontId="6" fillId="0" borderId="0" xfId="0" applyFont="1" applyAlignment="1">
      <alignment horizontal="center"/>
    </xf>
    <xf numFmtId="166" fontId="1" fillId="0" borderId="0" xfId="0" applyNumberFormat="1" applyFont="1" applyFill="1"/>
    <xf numFmtId="0" fontId="9" fillId="0" borderId="0" xfId="0" applyFont="1" applyFill="1"/>
    <xf numFmtId="0" fontId="6" fillId="0" borderId="0" xfId="0" applyFont="1" applyFill="1" applyAlignment="1">
      <alignment horizontal="center"/>
    </xf>
    <xf numFmtId="0" fontId="9" fillId="2" borderId="0" xfId="0" applyFont="1" applyFill="1" applyBorder="1" applyAlignment="1" applyProtection="1">
      <alignment horizontal="left"/>
    </xf>
    <xf numFmtId="0" fontId="9" fillId="2" borderId="0" xfId="0" applyFont="1" applyFill="1" applyBorder="1" applyAlignment="1" applyProtection="1">
      <alignment horizontal="center"/>
    </xf>
    <xf numFmtId="0" fontId="9" fillId="2" borderId="0" xfId="0" applyFont="1" applyFill="1" applyBorder="1" applyAlignment="1" applyProtection="1">
      <alignment horizontal="centerContinuous"/>
    </xf>
    <xf numFmtId="0" fontId="37" fillId="2" borderId="0" xfId="0" applyFont="1" applyFill="1" applyBorder="1" applyAlignment="1" applyProtection="1">
      <alignment horizontal="left"/>
      <protection locked="0"/>
    </xf>
    <xf numFmtId="0" fontId="6" fillId="2" borderId="0" xfId="0" applyFont="1" applyFill="1" applyBorder="1" applyAlignment="1" applyProtection="1">
      <alignment horizontal="center"/>
    </xf>
    <xf numFmtId="3" fontId="6" fillId="2" borderId="0" xfId="0" applyNumberFormat="1" applyFont="1" applyFill="1" applyBorder="1"/>
    <xf numFmtId="3" fontId="6" fillId="2" borderId="0" xfId="0" applyNumberFormat="1" applyFont="1" applyFill="1" applyBorder="1" applyAlignment="1">
      <alignment horizontal="center"/>
    </xf>
    <xf numFmtId="3" fontId="6" fillId="2" borderId="0" xfId="0" applyNumberFormat="1" applyFont="1" applyFill="1" applyBorder="1" applyAlignment="1" applyProtection="1">
      <alignment horizontal="right"/>
    </xf>
    <xf numFmtId="3" fontId="6" fillId="2" borderId="0" xfId="0" applyNumberFormat="1" applyFont="1" applyFill="1" applyBorder="1"/>
    <xf numFmtId="3" fontId="6" fillId="2" borderId="0" xfId="0" applyNumberFormat="1" applyFont="1" applyFill="1" applyBorder="1"/>
    <xf numFmtId="22" fontId="38" fillId="0" borderId="0" xfId="0" applyNumberFormat="1" applyFont="1" applyFill="1" applyBorder="1"/>
    <xf numFmtId="0" fontId="38" fillId="0" borderId="0" xfId="0" applyFont="1" applyFill="1" applyBorder="1"/>
    <xf numFmtId="3" fontId="6" fillId="0" borderId="0" xfId="0" applyNumberFormat="1" applyFont="1" applyFill="1" applyBorder="1"/>
    <xf numFmtId="3" fontId="6" fillId="0" borderId="0" xfId="0" applyNumberFormat="1" applyFont="1" applyFill="1" applyBorder="1" applyAlignment="1">
      <alignment horizontal="center"/>
    </xf>
    <xf numFmtId="0" fontId="38" fillId="0" borderId="0" xfId="0" applyFont="1" applyFill="1" applyBorder="1" applyAlignment="1">
      <alignment horizontal="right"/>
    </xf>
    <xf numFmtId="3" fontId="6" fillId="0" borderId="0" xfId="0" applyNumberFormat="1" applyFont="1" applyFill="1" applyBorder="1"/>
    <xf numFmtId="3" fontId="6" fillId="0" borderId="0" xfId="0" applyNumberFormat="1" applyFont="1" applyFill="1" applyBorder="1"/>
    <xf numFmtId="0" fontId="37" fillId="0" borderId="0" xfId="0" applyFont="1" applyFill="1" applyBorder="1" applyAlignment="1" applyProtection="1">
      <alignment horizontal="left"/>
      <protection locked="0"/>
    </xf>
    <xf numFmtId="0" fontId="6" fillId="0" borderId="0" xfId="0" applyFont="1" applyFill="1" applyBorder="1" applyAlignment="1">
      <alignment horizontal="right"/>
    </xf>
    <xf numFmtId="0" fontId="39" fillId="0" borderId="0" xfId="0" applyFont="1" applyFill="1" applyBorder="1" applyAlignment="1" applyProtection="1">
      <alignment horizontal="left"/>
    </xf>
    <xf numFmtId="0" fontId="6" fillId="0" borderId="0" xfId="0" applyFont="1" applyFill="1" applyBorder="1" applyAlignment="1" applyProtection="1">
      <alignment horizontal="center"/>
    </xf>
    <xf numFmtId="3" fontId="6" fillId="0" borderId="0" xfId="0" applyNumberFormat="1" applyFont="1" applyFill="1" applyBorder="1" applyAlignment="1" applyProtection="1">
      <alignment horizontal="right"/>
    </xf>
    <xf numFmtId="0" fontId="40" fillId="0" borderId="0" xfId="0" applyFont="1" applyFill="1" applyBorder="1" applyAlignment="1" applyProtection="1">
      <alignment horizontal="left"/>
      <protection locked="0"/>
    </xf>
    <xf numFmtId="3" fontId="8" fillId="0" borderId="0" xfId="0" applyNumberFormat="1" applyFont="1" applyFill="1" applyBorder="1"/>
    <xf numFmtId="3" fontId="6" fillId="2" borderId="0" xfId="0" applyNumberFormat="1" applyFont="1" applyFill="1" applyBorder="1" applyAlignment="1">
      <alignment horizontal="right"/>
    </xf>
    <xf numFmtId="0" fontId="41" fillId="0" borderId="0" xfId="0" applyFont="1" applyFill="1" applyBorder="1" applyAlignment="1" applyProtection="1">
      <alignment horizontal="left"/>
      <protection locked="0"/>
    </xf>
    <xf numFmtId="3" fontId="8" fillId="0" borderId="0" xfId="0" applyNumberFormat="1" applyFont="1" applyFill="1" applyBorder="1"/>
    <xf numFmtId="0" fontId="6" fillId="2" borderId="0" xfId="0" applyFont="1" applyFill="1" applyBorder="1" applyAlignment="1">
      <alignment horizontal="center"/>
    </xf>
    <xf numFmtId="0" fontId="41" fillId="2" borderId="0" xfId="0" applyFont="1" applyFill="1" applyBorder="1" applyAlignment="1" applyProtection="1">
      <alignment horizontal="left"/>
      <protection locked="0"/>
    </xf>
    <xf numFmtId="0" fontId="6" fillId="2" borderId="0" xfId="0" applyFont="1" applyFill="1" applyBorder="1"/>
    <xf numFmtId="0" fontId="6" fillId="0" borderId="0" xfId="0" applyFont="1" applyFill="1" applyBorder="1" applyAlignment="1" applyProtection="1">
      <alignment horizontal="right"/>
    </xf>
    <xf numFmtId="3" fontId="35" fillId="0" borderId="0" xfId="0" applyNumberFormat="1" applyFont="1" applyFill="1" applyBorder="1"/>
    <xf numFmtId="166" fontId="6" fillId="0" borderId="0" xfId="0" applyNumberFormat="1" applyFont="1" applyFill="1" applyBorder="1"/>
    <xf numFmtId="166" fontId="8" fillId="0" borderId="0" xfId="0" applyNumberFormat="1" applyFont="1" applyFill="1" applyBorder="1"/>
    <xf numFmtId="3" fontId="6" fillId="0" borderId="0" xfId="0" applyNumberFormat="1" applyFont="1" applyFill="1" applyBorder="1" applyAlignment="1">
      <alignment horizontal="right"/>
    </xf>
    <xf numFmtId="3" fontId="6" fillId="0" borderId="0" xfId="0" applyNumberFormat="1" applyFont="1" applyFill="1" applyBorder="1" applyAlignment="1">
      <alignment horizontal="right"/>
    </xf>
    <xf numFmtId="3" fontId="6" fillId="2" borderId="0" xfId="0" applyNumberFormat="1" applyFont="1" applyFill="1" applyBorder="1"/>
    <xf numFmtId="0" fontId="40" fillId="2" borderId="0" xfId="0" applyFont="1" applyFill="1" applyBorder="1" applyAlignment="1" applyProtection="1">
      <alignment horizontal="left"/>
      <protection locked="0"/>
    </xf>
    <xf numFmtId="0" fontId="6" fillId="2" borderId="0" xfId="0" applyFont="1" applyFill="1" applyBorder="1" applyAlignment="1">
      <alignment horizontal="right"/>
    </xf>
    <xf numFmtId="0" fontId="39" fillId="2" borderId="0" xfId="0" applyFont="1" applyFill="1" applyBorder="1" applyAlignment="1" applyProtection="1">
      <alignment horizontal="left"/>
    </xf>
    <xf numFmtId="0" fontId="6" fillId="2" borderId="0" xfId="0" quotePrefix="1" applyFont="1" applyFill="1" applyBorder="1" applyAlignment="1" applyProtection="1">
      <alignment horizontal="center"/>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3" fontId="6" fillId="2" borderId="0" xfId="0" applyNumberFormat="1" applyFont="1" applyFill="1" applyBorder="1" applyAlignment="1">
      <alignment horizontal="right"/>
    </xf>
    <xf numFmtId="3" fontId="6" fillId="2" borderId="0" xfId="0" quotePrefix="1" applyNumberFormat="1" applyFont="1" applyFill="1" applyBorder="1" applyAlignment="1">
      <alignment horizontal="left"/>
    </xf>
    <xf numFmtId="3" fontId="6" fillId="2" borderId="0" xfId="0" applyNumberFormat="1" applyFont="1" applyFill="1" applyBorder="1" applyProtection="1"/>
    <xf numFmtId="3" fontId="6" fillId="2" borderId="0" xfId="0" applyNumberFormat="1" applyFont="1" applyFill="1" applyBorder="1" applyAlignment="1" applyProtection="1">
      <alignment horizontal="center"/>
    </xf>
    <xf numFmtId="0" fontId="6" fillId="0" borderId="0" xfId="0" applyFont="1" applyBorder="1" applyAlignment="1">
      <alignment horizontal="center"/>
    </xf>
    <xf numFmtId="3" fontId="6" fillId="0" borderId="0" xfId="0" applyNumberFormat="1" applyFont="1"/>
    <xf numFmtId="3" fontId="6" fillId="0" borderId="0" xfId="0" applyNumberFormat="1" applyFont="1" applyFill="1" applyBorder="1" applyProtection="1"/>
    <xf numFmtId="3" fontId="6" fillId="0" borderId="0" xfId="0" applyNumberFormat="1" applyFont="1" applyFill="1"/>
    <xf numFmtId="3" fontId="6" fillId="0" borderId="0" xfId="0" quotePrefix="1" applyNumberFormat="1" applyFont="1" applyFill="1" applyBorder="1" applyAlignment="1">
      <alignment horizontal="left"/>
    </xf>
    <xf numFmtId="3" fontId="6" fillId="0" borderId="0" xfId="0" applyNumberFormat="1" applyFont="1" applyBorder="1"/>
    <xf numFmtId="166" fontId="6" fillId="0" borderId="0" xfId="0" applyNumberFormat="1" applyFont="1" applyAlignment="1">
      <alignment horizontal="right"/>
    </xf>
    <xf numFmtId="3" fontId="6" fillId="0" borderId="0" xfId="0" applyNumberFormat="1" applyFont="1" applyAlignment="1">
      <alignment horizontal="right"/>
    </xf>
    <xf numFmtId="0" fontId="42" fillId="0" borderId="0" xfId="0" applyFont="1" applyAlignment="1">
      <alignment horizontal="right"/>
    </xf>
    <xf numFmtId="0" fontId="6" fillId="0" borderId="0" xfId="0" applyFont="1"/>
    <xf numFmtId="3" fontId="6" fillId="0" borderId="0" xfId="0" applyNumberFormat="1" applyFont="1"/>
    <xf numFmtId="166" fontId="6" fillId="0" borderId="0" xfId="0" applyNumberFormat="1" applyFont="1"/>
    <xf numFmtId="166" fontId="6" fillId="0" borderId="0" xfId="0" applyNumberFormat="1" applyFont="1" applyFill="1" applyAlignment="1">
      <alignment horizontal="right"/>
    </xf>
    <xf numFmtId="166" fontId="6" fillId="0" borderId="0" xfId="0" applyNumberFormat="1" applyFont="1" applyFill="1"/>
    <xf numFmtId="3" fontId="6" fillId="0" borderId="0" xfId="0" applyNumberFormat="1" applyFont="1" applyFill="1" applyAlignment="1">
      <alignment horizontal="right"/>
    </xf>
    <xf numFmtId="0" fontId="42" fillId="0" borderId="0" xfId="0" applyFont="1" applyFill="1" applyAlignment="1">
      <alignment horizontal="right"/>
    </xf>
    <xf numFmtId="0" fontId="9" fillId="0" borderId="0" xfId="0" applyFont="1" applyFill="1" applyBorder="1" applyAlignment="1" applyProtection="1">
      <alignment horizontal="center"/>
    </xf>
    <xf numFmtId="0" fontId="6" fillId="0" borderId="0" xfId="0" applyFont="1" applyFill="1" applyBorder="1" applyAlignment="1">
      <alignment horizontal="center"/>
    </xf>
    <xf numFmtId="0" fontId="9" fillId="0" borderId="0" xfId="0" applyFont="1" applyFill="1" applyBorder="1" applyAlignment="1">
      <alignment horizontal="center"/>
    </xf>
    <xf numFmtId="0" fontId="9" fillId="0" borderId="0" xfId="0" applyFont="1" applyAlignment="1">
      <alignment horizontal="center"/>
    </xf>
    <xf numFmtId="0" fontId="9" fillId="0" borderId="0" xfId="0" applyFont="1" applyFill="1" applyBorder="1" applyAlignment="1" applyProtection="1">
      <alignment horizontal="left"/>
    </xf>
    <xf numFmtId="166" fontId="9" fillId="0" borderId="0" xfId="0" applyNumberFormat="1" applyFont="1" applyAlignment="1">
      <alignment horizontal="right"/>
    </xf>
    <xf numFmtId="166" fontId="6" fillId="0" borderId="0" xfId="0" applyNumberFormat="1" applyFont="1" applyFill="1" applyBorder="1" applyAlignment="1">
      <alignment horizontal="right"/>
    </xf>
    <xf numFmtId="166"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3" fontId="9" fillId="0" borderId="0" xfId="0" applyNumberFormat="1" applyFont="1" applyFill="1" applyBorder="1" applyAlignment="1">
      <alignment horizontal="center"/>
    </xf>
    <xf numFmtId="3" fontId="43" fillId="0" borderId="0" xfId="0" applyNumberFormat="1" applyFont="1" applyFill="1" applyBorder="1" applyAlignment="1">
      <alignment horizontal="right"/>
    </xf>
    <xf numFmtId="3" fontId="9" fillId="0" borderId="0" xfId="0" applyNumberFormat="1" applyFont="1" applyFill="1" applyBorder="1" applyAlignment="1">
      <alignment horizontal="centerContinuous"/>
    </xf>
    <xf numFmtId="3" fontId="9" fillId="0" borderId="0" xfId="0" applyNumberFormat="1" applyFont="1" applyFill="1" applyBorder="1" applyAlignment="1">
      <alignment horizontal="right"/>
    </xf>
    <xf numFmtId="166" fontId="6" fillId="2" borderId="0" xfId="0" applyNumberFormat="1" applyFont="1" applyFill="1" applyBorder="1" applyAlignment="1" applyProtection="1">
      <alignment horizontal="right"/>
    </xf>
    <xf numFmtId="3" fontId="9" fillId="2" borderId="0" xfId="0" applyNumberFormat="1" applyFont="1" applyFill="1" applyBorder="1" applyAlignment="1" applyProtection="1">
      <alignment horizontal="center"/>
    </xf>
    <xf numFmtId="3" fontId="9" fillId="2" borderId="0" xfId="0" applyNumberFormat="1" applyFont="1" applyFill="1" applyBorder="1" applyAlignment="1">
      <alignment horizontal="center"/>
    </xf>
    <xf numFmtId="3" fontId="9" fillId="2" borderId="0" xfId="0" applyNumberFormat="1" applyFont="1" applyFill="1" applyBorder="1" applyAlignment="1" applyProtection="1">
      <alignment horizontal="centerContinuous"/>
    </xf>
    <xf numFmtId="3" fontId="9" fillId="2" borderId="0" xfId="0" applyNumberFormat="1" applyFont="1" applyFill="1" applyBorder="1" applyAlignment="1">
      <alignment horizontal="centerContinuous"/>
    </xf>
    <xf numFmtId="3" fontId="43" fillId="2" borderId="0" xfId="0" applyNumberFormat="1" applyFont="1" applyFill="1" applyBorder="1" applyAlignment="1">
      <alignment horizontal="right"/>
    </xf>
    <xf numFmtId="3" fontId="9" fillId="2" borderId="0" xfId="0" applyNumberFormat="1" applyFont="1" applyFill="1" applyBorder="1" applyAlignment="1">
      <alignment horizontal="right"/>
    </xf>
    <xf numFmtId="0" fontId="6" fillId="2" borderId="0" xfId="0" applyFont="1" applyFill="1"/>
    <xf numFmtId="3" fontId="6" fillId="2" borderId="0" xfId="0" applyNumberFormat="1" applyFont="1" applyFill="1" applyBorder="1" applyAlignment="1" applyProtection="1">
      <alignment horizontal="right"/>
    </xf>
    <xf numFmtId="3" fontId="6" fillId="2" borderId="0" xfId="0" applyNumberFormat="1" applyFont="1" applyFill="1" applyBorder="1" applyAlignment="1">
      <alignment horizontal="right"/>
    </xf>
    <xf numFmtId="3" fontId="6" fillId="2" borderId="0" xfId="0" applyNumberFormat="1" applyFont="1" applyFill="1" applyBorder="1"/>
    <xf numFmtId="3" fontId="15" fillId="2" borderId="0" xfId="0" applyNumberFormat="1" applyFont="1" applyFill="1" applyBorder="1"/>
    <xf numFmtId="3" fontId="9" fillId="2" borderId="0" xfId="0" applyNumberFormat="1" applyFont="1" applyFill="1" applyBorder="1"/>
    <xf numFmtId="3" fontId="6" fillId="2" borderId="0" xfId="0" applyNumberFormat="1" applyFont="1" applyFill="1" applyBorder="1" applyAlignment="1" applyProtection="1">
      <alignment horizontal="left"/>
    </xf>
    <xf numFmtId="3" fontId="42" fillId="2" borderId="0" xfId="0" applyNumberFormat="1" applyFont="1" applyFill="1"/>
    <xf numFmtId="3" fontId="42" fillId="2" borderId="0" xfId="0" applyNumberFormat="1" applyFont="1" applyFill="1" applyBorder="1" applyAlignment="1" applyProtection="1">
      <alignment horizontal="right"/>
    </xf>
    <xf numFmtId="3" fontId="6" fillId="2" borderId="0" xfId="0" quotePrefix="1" applyNumberFormat="1" applyFont="1" applyFill="1" applyBorder="1" applyAlignment="1">
      <alignment horizontal="right"/>
    </xf>
    <xf numFmtId="3" fontId="6" fillId="2" borderId="0" xfId="0" quotePrefix="1" applyNumberFormat="1" applyFont="1" applyFill="1" applyBorder="1" applyAlignment="1">
      <alignment horizontal="left"/>
    </xf>
    <xf numFmtId="3" fontId="34" fillId="2" borderId="0" xfId="0" applyNumberFormat="1" applyFont="1" applyFill="1" applyBorder="1"/>
    <xf numFmtId="3" fontId="6" fillId="0" borderId="0" xfId="0" applyNumberFormat="1" applyFont="1" applyFill="1" applyBorder="1" applyAlignment="1" applyProtection="1">
      <alignment horizontal="right"/>
    </xf>
    <xf numFmtId="166" fontId="6"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center"/>
    </xf>
    <xf numFmtId="3" fontId="6" fillId="0" borderId="0" xfId="0" applyNumberFormat="1" applyFont="1" applyFill="1" applyBorder="1"/>
    <xf numFmtId="3" fontId="6" fillId="0" borderId="0" xfId="0" quotePrefix="1" applyNumberFormat="1" applyFont="1" applyFill="1" applyBorder="1" applyAlignment="1">
      <alignment horizontal="left"/>
    </xf>
    <xf numFmtId="3" fontId="34" fillId="0" borderId="0" xfId="0" applyNumberFormat="1" applyFont="1" applyFill="1" applyBorder="1"/>
    <xf numFmtId="3" fontId="15" fillId="0" borderId="0" xfId="0" applyNumberFormat="1" applyFont="1" applyFill="1" applyBorder="1"/>
    <xf numFmtId="3" fontId="42" fillId="0" borderId="0" xfId="0" applyNumberFormat="1" applyFont="1" applyFill="1" applyBorder="1" applyAlignment="1" applyProtection="1">
      <alignment horizontal="right"/>
    </xf>
    <xf numFmtId="0" fontId="42" fillId="0" borderId="0" xfId="0" applyFont="1" applyFill="1" applyBorder="1" applyAlignment="1" applyProtection="1">
      <alignment horizontal="right"/>
    </xf>
    <xf numFmtId="3" fontId="6" fillId="0" borderId="0" xfId="0" applyNumberFormat="1" applyFont="1" applyFill="1" applyBorder="1" applyAlignment="1" applyProtection="1">
      <alignment horizontal="left"/>
    </xf>
    <xf numFmtId="3" fontId="42" fillId="0" borderId="0" xfId="0" applyNumberFormat="1" applyFont="1" applyFill="1" applyBorder="1" applyAlignment="1">
      <alignment horizontal="right"/>
    </xf>
    <xf numFmtId="3" fontId="6" fillId="0" borderId="0" xfId="0" applyNumberFormat="1" applyFont="1" applyFill="1" applyBorder="1" applyAlignment="1">
      <alignment horizontal="right"/>
    </xf>
    <xf numFmtId="3" fontId="6" fillId="0" borderId="0" xfId="0" quotePrefix="1" applyNumberFormat="1" applyFont="1" applyFill="1" applyBorder="1" applyAlignment="1">
      <alignment horizontal="right"/>
    </xf>
    <xf numFmtId="22" fontId="6" fillId="0" borderId="0" xfId="0" applyNumberFormat="1" applyFont="1" applyFill="1" applyBorder="1"/>
    <xf numFmtId="3" fontId="6" fillId="0" borderId="0" xfId="0" applyNumberFormat="1" applyFont="1" applyFill="1" applyBorder="1" applyAlignment="1">
      <alignment horizontal="right"/>
    </xf>
    <xf numFmtId="3" fontId="9" fillId="0" borderId="0" xfId="0" applyNumberFormat="1" applyFont="1" applyFill="1" applyBorder="1" applyAlignment="1" applyProtection="1">
      <alignment horizontal="left"/>
    </xf>
    <xf numFmtId="3" fontId="9" fillId="0" borderId="0" xfId="0" applyNumberFormat="1" applyFont="1" applyFill="1" applyBorder="1"/>
    <xf numFmtId="3" fontId="6" fillId="2" borderId="0" xfId="0" applyNumberFormat="1" applyFont="1" applyFill="1" applyBorder="1" applyAlignment="1">
      <alignment horizontal="right"/>
    </xf>
    <xf numFmtId="3" fontId="9" fillId="2" borderId="0" xfId="0" applyNumberFormat="1" applyFont="1" applyFill="1" applyBorder="1" applyAlignment="1" applyProtection="1">
      <alignment horizontal="left"/>
    </xf>
    <xf numFmtId="3" fontId="9" fillId="2" borderId="0" xfId="0" applyNumberFormat="1" applyFont="1" applyFill="1" applyBorder="1" applyAlignment="1" applyProtection="1">
      <alignment horizontal="right"/>
    </xf>
    <xf numFmtId="175" fontId="6" fillId="2" borderId="0" xfId="0" applyNumberFormat="1" applyFont="1" applyFill="1" applyBorder="1" applyAlignment="1" applyProtection="1">
      <alignment horizontal="right"/>
    </xf>
    <xf numFmtId="3" fontId="6" fillId="2" borderId="0" xfId="0" applyNumberFormat="1" applyFont="1" applyFill="1" applyBorder="1"/>
    <xf numFmtId="3" fontId="6" fillId="0" borderId="0" xfId="0" applyNumberFormat="1" applyFont="1" applyFill="1" applyBorder="1"/>
    <xf numFmtId="3" fontId="43" fillId="0" borderId="0" xfId="0" applyNumberFormat="1" applyFont="1" applyFill="1" applyBorder="1" applyAlignment="1" applyProtection="1">
      <alignment horizontal="right"/>
    </xf>
    <xf numFmtId="3" fontId="6" fillId="0" borderId="0" xfId="0" applyNumberFormat="1" applyFont="1" applyFill="1" applyAlignment="1">
      <alignment horizontal="right"/>
    </xf>
    <xf numFmtId="3" fontId="6" fillId="2" borderId="0" xfId="0" applyNumberFormat="1" applyFont="1" applyFill="1"/>
    <xf numFmtId="3" fontId="42" fillId="0" borderId="0" xfId="0" quotePrefix="1" applyNumberFormat="1" applyFont="1" applyFill="1" applyBorder="1" applyAlignment="1">
      <alignment horizontal="right"/>
    </xf>
    <xf numFmtId="171" fontId="6" fillId="0" borderId="0" xfId="0" applyNumberFormat="1" applyFont="1" applyFill="1" applyBorder="1" applyAlignment="1" applyProtection="1">
      <alignment horizontal="right"/>
    </xf>
    <xf numFmtId="171" fontId="6" fillId="0" borderId="0" xfId="0" applyNumberFormat="1" applyFont="1" applyFill="1" applyBorder="1" applyAlignment="1">
      <alignment horizontal="right"/>
    </xf>
    <xf numFmtId="173" fontId="6" fillId="0" borderId="0" xfId="0" applyNumberFormat="1" applyFont="1" applyFill="1" applyBorder="1"/>
    <xf numFmtId="171" fontId="6" fillId="0" borderId="0" xfId="0" applyNumberFormat="1" applyFont="1" applyFill="1" applyBorder="1" applyProtection="1"/>
    <xf numFmtId="3" fontId="42" fillId="2" borderId="0" xfId="0" applyNumberFormat="1" applyFont="1" applyFill="1" applyBorder="1" applyAlignment="1">
      <alignment horizontal="right"/>
    </xf>
    <xf numFmtId="3" fontId="6" fillId="2" borderId="0" xfId="0" quotePrefix="1" applyNumberFormat="1" applyFont="1" applyFill="1" applyBorder="1" applyAlignment="1" applyProtection="1">
      <alignment horizontal="right"/>
    </xf>
    <xf numFmtId="3" fontId="6" fillId="2" borderId="0" xfId="0" quotePrefix="1" applyNumberFormat="1" applyFont="1" applyFill="1" applyBorder="1" applyAlignment="1" applyProtection="1">
      <alignment horizontal="right"/>
    </xf>
    <xf numFmtId="3" fontId="6" fillId="2" borderId="0" xfId="0" quotePrefix="1" applyNumberFormat="1" applyFont="1" applyFill="1" applyBorder="1" applyAlignment="1" applyProtection="1">
      <alignment horizontal="center"/>
    </xf>
    <xf numFmtId="0" fontId="6" fillId="0" borderId="0" xfId="0" applyFont="1" applyFill="1" applyBorder="1" applyAlignment="1" applyProtection="1">
      <alignment horizontal="left"/>
    </xf>
    <xf numFmtId="166" fontId="42" fillId="0" borderId="0" xfId="0" applyNumberFormat="1" applyFont="1" applyFill="1" applyBorder="1" applyAlignment="1" applyProtection="1">
      <alignment horizontal="right"/>
    </xf>
    <xf numFmtId="0" fontId="39" fillId="2" borderId="0" xfId="0" quotePrefix="1" applyFont="1" applyFill="1" applyBorder="1" applyAlignment="1" applyProtection="1">
      <alignment horizontal="left"/>
    </xf>
    <xf numFmtId="3" fontId="9" fillId="0" borderId="0" xfId="0" applyNumberFormat="1" applyFont="1" applyFill="1" applyBorder="1" applyProtection="1"/>
    <xf numFmtId="3" fontId="9" fillId="0" borderId="0" xfId="0" applyNumberFormat="1" applyFont="1" applyFill="1" applyBorder="1"/>
    <xf numFmtId="3" fontId="6" fillId="0" borderId="0" xfId="0" applyNumberFormat="1" applyFont="1" applyFill="1" applyBorder="1" applyProtection="1"/>
    <xf numFmtId="3" fontId="9" fillId="2" borderId="0" xfId="0" applyNumberFormat="1" applyFont="1" applyFill="1" applyBorder="1" applyProtection="1"/>
    <xf numFmtId="3" fontId="6" fillId="2" borderId="0" xfId="0" applyNumberFormat="1" applyFont="1" applyFill="1" applyBorder="1" applyProtection="1"/>
    <xf numFmtId="3" fontId="42" fillId="2" borderId="0" xfId="0" quotePrefix="1" applyNumberFormat="1" applyFont="1" applyFill="1" applyBorder="1" applyAlignment="1">
      <alignment horizontal="right"/>
    </xf>
    <xf numFmtId="3" fontId="42" fillId="0" borderId="0" xfId="0" applyNumberFormat="1" applyFont="1" applyAlignment="1">
      <alignment horizontal="right"/>
    </xf>
    <xf numFmtId="0" fontId="6" fillId="0" borderId="0" xfId="0" quotePrefix="1" applyFont="1" applyFill="1" applyBorder="1" applyAlignment="1" applyProtection="1">
      <alignment horizontal="center"/>
    </xf>
    <xf numFmtId="0" fontId="42" fillId="0" borderId="0" xfId="0" applyFont="1" applyFill="1" applyBorder="1" applyAlignment="1">
      <alignment horizontal="right"/>
    </xf>
    <xf numFmtId="3" fontId="6" fillId="0" borderId="0" xfId="0" applyNumberFormat="1" applyFont="1" applyBorder="1" applyAlignment="1">
      <alignment horizontal="right"/>
    </xf>
    <xf numFmtId="0" fontId="42" fillId="0" borderId="0" xfId="0" applyFont="1" applyBorder="1" applyAlignment="1">
      <alignment horizontal="right"/>
    </xf>
    <xf numFmtId="0" fontId="6" fillId="0" borderId="0" xfId="0" applyFont="1" applyBorder="1" applyAlignment="1">
      <alignment horizontal="right"/>
    </xf>
    <xf numFmtId="3" fontId="6" fillId="0" borderId="0" xfId="0" quotePrefix="1" applyNumberFormat="1" applyFont="1" applyFill="1" applyBorder="1" applyAlignment="1" applyProtection="1">
      <alignment horizontal="center"/>
    </xf>
    <xf numFmtId="0" fontId="7" fillId="61" borderId="26" xfId="0" applyFont="1" applyFill="1" applyBorder="1" applyAlignment="1">
      <alignment horizontal="right" vertical="center"/>
    </xf>
    <xf numFmtId="0" fontId="7" fillId="61" borderId="33" xfId="0" applyFont="1" applyFill="1" applyBorder="1" applyAlignment="1">
      <alignment horizontal="right" vertical="center" wrapText="1"/>
    </xf>
    <xf numFmtId="0" fontId="7" fillId="61" borderId="0" xfId="0" applyFont="1" applyFill="1" applyBorder="1"/>
    <xf numFmtId="0" fontId="7" fillId="61" borderId="30" xfId="0" applyFont="1" applyFill="1" applyBorder="1" applyAlignment="1">
      <alignment vertical="center"/>
    </xf>
    <xf numFmtId="3" fontId="7" fillId="61" borderId="43" xfId="0" applyNumberFormat="1" applyFont="1" applyFill="1" applyBorder="1" applyAlignment="1">
      <alignment vertical="center"/>
    </xf>
    <xf numFmtId="0" fontId="7" fillId="61" borderId="33" xfId="0" applyFont="1" applyFill="1" applyBorder="1" applyAlignment="1">
      <alignment vertical="center"/>
    </xf>
    <xf numFmtId="0" fontId="7" fillId="61" borderId="1" xfId="0" applyFont="1" applyFill="1" applyBorder="1"/>
    <xf numFmtId="0" fontId="7" fillId="61" borderId="25" xfId="0" applyFont="1" applyFill="1" applyBorder="1" applyAlignment="1">
      <alignment vertical="center"/>
    </xf>
    <xf numFmtId="0" fontId="7" fillId="61" borderId="43" xfId="0" applyFont="1" applyFill="1" applyBorder="1" applyAlignment="1">
      <alignment vertical="center"/>
    </xf>
    <xf numFmtId="0" fontId="6" fillId="0" borderId="0" xfId="0" applyFont="1" applyAlignment="1">
      <alignment horizontal="center"/>
    </xf>
    <xf numFmtId="0" fontId="7" fillId="61" borderId="25" xfId="0" applyFont="1" applyFill="1" applyBorder="1"/>
    <xf numFmtId="17" fontId="7" fillId="61" borderId="1" xfId="0" applyNumberFormat="1" applyFont="1" applyFill="1" applyBorder="1"/>
    <xf numFmtId="17" fontId="7" fillId="61" borderId="1" xfId="0" applyNumberFormat="1" applyFont="1" applyFill="1" applyBorder="1"/>
    <xf numFmtId="17" fontId="7" fillId="61" borderId="3" xfId="0" applyNumberFormat="1" applyFont="1" applyFill="1" applyBorder="1"/>
    <xf numFmtId="0" fontId="7" fillId="61" borderId="27" xfId="0" applyFont="1" applyFill="1" applyBorder="1"/>
    <xf numFmtId="0" fontId="7" fillId="61" borderId="26" xfId="0" applyFont="1" applyFill="1" applyBorder="1"/>
    <xf numFmtId="0" fontId="7" fillId="61" borderId="25" xfId="0" applyFont="1" applyFill="1" applyBorder="1" applyProtection="1"/>
    <xf numFmtId="0" fontId="7" fillId="61" borderId="27" xfId="0" applyFont="1" applyFill="1" applyBorder="1" applyProtection="1"/>
    <xf numFmtId="0" fontId="7" fillId="61" borderId="26" xfId="0" applyFont="1" applyFill="1" applyBorder="1" applyProtection="1"/>
    <xf numFmtId="49" fontId="7" fillId="61" borderId="30" xfId="0" applyNumberFormat="1" applyFont="1" applyFill="1" applyBorder="1" applyAlignment="1">
      <alignment horizontal="center"/>
    </xf>
    <xf numFmtId="49" fontId="7" fillId="61" borderId="1" xfId="0" applyNumberFormat="1" applyFont="1" applyFill="1" applyBorder="1" applyAlignment="1">
      <alignment horizontal="center"/>
    </xf>
    <xf numFmtId="49" fontId="7" fillId="61" borderId="3" xfId="0" applyNumberFormat="1" applyFont="1" applyFill="1" applyBorder="1" applyAlignment="1">
      <alignment horizontal="center"/>
    </xf>
    <xf numFmtId="0" fontId="7" fillId="62" borderId="25" xfId="0" applyFont="1" applyFill="1" applyBorder="1"/>
    <xf numFmtId="0" fontId="7" fillId="62" borderId="33" xfId="0" applyFont="1" applyFill="1" applyBorder="1"/>
    <xf numFmtId="0" fontId="7" fillId="62" borderId="29" xfId="0" applyFont="1" applyFill="1" applyBorder="1"/>
    <xf numFmtId="0" fontId="7" fillId="61" borderId="10" xfId="0" applyFont="1" applyFill="1" applyBorder="1"/>
    <xf numFmtId="0" fontId="7" fillId="61" borderId="1" xfId="0" applyNumberFormat="1" applyFont="1" applyFill="1" applyBorder="1"/>
    <xf numFmtId="0" fontId="7" fillId="8" borderId="33" xfId="0" applyFont="1" applyFill="1" applyBorder="1" applyProtection="1"/>
    <xf numFmtId="49" fontId="7" fillId="8" borderId="43" xfId="0" applyNumberFormat="1" applyFont="1" applyFill="1" applyBorder="1" applyAlignment="1">
      <alignment horizontal="center"/>
    </xf>
    <xf numFmtId="49" fontId="7" fillId="8" borderId="0" xfId="0" applyNumberFormat="1" applyFont="1" applyFill="1" applyBorder="1" applyAlignment="1">
      <alignment horizontal="center"/>
    </xf>
    <xf numFmtId="49" fontId="7" fillId="8" borderId="4" xfId="0" applyNumberFormat="1" applyFont="1" applyFill="1" applyBorder="1" applyAlignment="1">
      <alignment horizontal="center"/>
    </xf>
    <xf numFmtId="0" fontId="9" fillId="0" borderId="0" xfId="0" applyFont="1" applyFill="1" applyBorder="1" applyAlignment="1">
      <alignment horizontal="center"/>
    </xf>
    <xf numFmtId="17" fontId="7" fillId="63" borderId="1" xfId="0" applyNumberFormat="1" applyFont="1" applyFill="1" applyBorder="1"/>
    <xf numFmtId="17" fontId="7" fillId="63" borderId="1" xfId="0" applyNumberFormat="1" applyFont="1" applyFill="1" applyBorder="1"/>
    <xf numFmtId="17" fontId="7" fillId="63" borderId="3" xfId="0" applyNumberFormat="1" applyFont="1" applyFill="1" applyBorder="1"/>
    <xf numFmtId="169" fontId="6" fillId="64" borderId="2" xfId="0" applyNumberFormat="1" applyFont="1" applyFill="1" applyBorder="1"/>
    <xf numFmtId="169" fontId="6" fillId="64" borderId="5" xfId="0" applyNumberFormat="1" applyFont="1" applyFill="1" applyBorder="1"/>
    <xf numFmtId="164" fontId="6" fillId="0" borderId="38" xfId="0" applyNumberFormat="1" applyFont="1" applyFill="1" applyBorder="1"/>
    <xf numFmtId="164" fontId="6" fillId="64" borderId="38" xfId="0" applyNumberFormat="1" applyFont="1" applyFill="1" applyBorder="1"/>
    <xf numFmtId="164" fontId="6" fillId="64" borderId="39" xfId="0" applyNumberFormat="1" applyFont="1" applyFill="1" applyBorder="1"/>
    <xf numFmtId="0" fontId="9" fillId="0" borderId="25" xfId="0" applyFont="1" applyBorder="1" applyAlignment="1"/>
    <xf numFmtId="0" fontId="7" fillId="63" borderId="25" xfId="0" applyFont="1" applyFill="1" applyBorder="1" applyAlignment="1">
      <alignment horizontal="center" vertical="center"/>
    </xf>
    <xf numFmtId="0" fontId="6" fillId="0" borderId="0"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7" fillId="63" borderId="46" xfId="0" applyFont="1" applyFill="1" applyBorder="1" applyAlignment="1">
      <alignment horizontal="center" vertical="center" wrapText="1"/>
    </xf>
    <xf numFmtId="164" fontId="0" fillId="64" borderId="0" xfId="0" applyNumberFormat="1" applyFont="1" applyFill="1" applyBorder="1"/>
    <xf numFmtId="0" fontId="0" fillId="64" borderId="2" xfId="0" applyFont="1" applyFill="1" applyBorder="1"/>
    <xf numFmtId="0" fontId="7" fillId="63" borderId="25" xfId="0" applyFont="1" applyFill="1" applyBorder="1" applyProtection="1"/>
    <xf numFmtId="49" fontId="7" fillId="63" borderId="30" xfId="0" applyNumberFormat="1" applyFont="1" applyFill="1" applyBorder="1" applyAlignment="1">
      <alignment horizontal="center"/>
    </xf>
    <xf numFmtId="49" fontId="7" fillId="63" borderId="1" xfId="0" applyNumberFormat="1" applyFont="1" applyFill="1" applyBorder="1" applyAlignment="1">
      <alignment horizontal="center"/>
    </xf>
    <xf numFmtId="49" fontId="7" fillId="63" borderId="3" xfId="0" applyNumberFormat="1" applyFont="1" applyFill="1" applyBorder="1" applyAlignment="1">
      <alignment horizontal="center"/>
    </xf>
    <xf numFmtId="0" fontId="7" fillId="63" borderId="27" xfId="0" applyFont="1" applyFill="1" applyBorder="1" applyProtection="1"/>
    <xf numFmtId="0" fontId="7" fillId="63" borderId="26" xfId="0" applyFont="1" applyFill="1" applyBorder="1" applyProtection="1"/>
    <xf numFmtId="0" fontId="11" fillId="0" borderId="0" xfId="0" applyFont="1" applyBorder="1" applyAlignment="1"/>
    <xf numFmtId="0" fontId="11" fillId="0" borderId="0" xfId="0" applyFont="1" applyFill="1" applyBorder="1" applyAlignment="1"/>
    <xf numFmtId="0" fontId="7" fillId="65" borderId="20" xfId="0" applyFont="1" applyFill="1" applyBorder="1"/>
    <xf numFmtId="0" fontId="7" fillId="65" borderId="21" xfId="0" applyFont="1" applyFill="1" applyBorder="1"/>
    <xf numFmtId="0" fontId="7" fillId="65" borderId="11" xfId="0" applyFont="1" applyFill="1" applyBorder="1"/>
    <xf numFmtId="2" fontId="0" fillId="66" borderId="22" xfId="0" applyNumberFormat="1" applyFont="1" applyFill="1" applyBorder="1"/>
    <xf numFmtId="2" fontId="0" fillId="66" borderId="7" xfId="0" applyNumberFormat="1" applyFont="1" applyFill="1" applyBorder="1"/>
    <xf numFmtId="164" fontId="6" fillId="64" borderId="38" xfId="0" applyNumberFormat="1" applyFont="1" applyFill="1" applyBorder="1" applyAlignment="1">
      <alignment vertical="center"/>
    </xf>
    <xf numFmtId="169" fontId="6" fillId="64" borderId="2" xfId="0" applyNumberFormat="1" applyFont="1" applyFill="1" applyBorder="1" applyAlignment="1">
      <alignment vertical="center"/>
    </xf>
    <xf numFmtId="0" fontId="6" fillId="0" borderId="0" xfId="0" applyNumberFormat="1" applyFont="1" applyFill="1" applyBorder="1" applyAlignment="1">
      <alignment vertical="center"/>
    </xf>
    <xf numFmtId="0" fontId="6" fillId="0" borderId="0" xfId="0" applyNumberFormat="1" applyFont="1" applyFill="1" applyBorder="1" applyAlignment="1">
      <alignment vertical="center"/>
    </xf>
    <xf numFmtId="17" fontId="7" fillId="63" borderId="1" xfId="0" applyNumberFormat="1" applyFont="1" applyFill="1" applyBorder="1" applyAlignment="1">
      <alignment vertical="center"/>
    </xf>
    <xf numFmtId="0" fontId="0" fillId="7" borderId="0" xfId="0" applyFill="1"/>
    <xf numFmtId="0" fontId="0" fillId="7" borderId="0" xfId="0" applyFill="1" applyAlignment="1"/>
    <xf numFmtId="166" fontId="6" fillId="0" borderId="0" xfId="0" applyNumberFormat="1" applyFont="1" applyFill="1" applyBorder="1" applyAlignment="1" applyProtection="1">
      <alignment horizontal="center"/>
    </xf>
    <xf numFmtId="166" fontId="6" fillId="0" borderId="0" xfId="0" applyNumberFormat="1" applyFont="1" applyFill="1" applyBorder="1"/>
    <xf numFmtId="166" fontId="6" fillId="2" borderId="0" xfId="0" applyNumberFormat="1" applyFont="1" applyFill="1" applyBorder="1" applyAlignment="1" applyProtection="1">
      <alignment horizontal="center"/>
    </xf>
    <xf numFmtId="166" fontId="6" fillId="0" borderId="0" xfId="0" applyNumberFormat="1" applyFont="1" applyAlignment="1">
      <alignment horizontal="center"/>
    </xf>
    <xf numFmtId="166" fontId="47" fillId="0" borderId="0" xfId="0" applyNumberFormat="1" applyFont="1" applyFill="1" applyBorder="1"/>
    <xf numFmtId="166" fontId="6" fillId="0" borderId="0" xfId="0" applyNumberFormat="1" applyFont="1" applyFill="1" applyBorder="1" applyAlignment="1" applyProtection="1">
      <alignment horizontal="right"/>
    </xf>
    <xf numFmtId="0" fontId="6" fillId="0" borderId="0" xfId="0" applyFont="1" applyFill="1" applyBorder="1"/>
    <xf numFmtId="0" fontId="0" fillId="64" borderId="0" xfId="0" applyFont="1" applyFill="1"/>
    <xf numFmtId="0" fontId="0" fillId="0" borderId="0" xfId="0" applyNumberFormat="1" applyFill="1"/>
    <xf numFmtId="2" fontId="6" fillId="0" borderId="0" xfId="0" applyNumberFormat="1" applyFont="1"/>
    <xf numFmtId="0" fontId="0" fillId="0" borderId="0" xfId="0"/>
    <xf numFmtId="0" fontId="9" fillId="0" borderId="0" xfId="0" applyFont="1" applyFill="1" applyBorder="1" applyAlignment="1">
      <alignment horizontal="center"/>
    </xf>
    <xf numFmtId="0" fontId="9" fillId="0" borderId="0" xfId="0" applyFont="1" applyFill="1" applyAlignment="1">
      <alignment horizontal="center"/>
    </xf>
    <xf numFmtId="17" fontId="0" fillId="0" borderId="0" xfId="0" applyNumberFormat="1" applyFont="1"/>
    <xf numFmtId="2" fontId="0" fillId="0" borderId="0" xfId="0" applyNumberFormat="1" applyFont="1"/>
    <xf numFmtId="8" fontId="0" fillId="0" borderId="0" xfId="0" applyNumberFormat="1" applyFont="1"/>
    <xf numFmtId="169" fontId="0" fillId="0" borderId="0" xfId="0" applyNumberFormat="1" applyFont="1"/>
    <xf numFmtId="169" fontId="0" fillId="0" borderId="0" xfId="0" applyNumberFormat="1" applyFont="1" applyFill="1"/>
    <xf numFmtId="0" fontId="48" fillId="0" borderId="0" xfId="0" applyFont="1" applyAlignment="1"/>
    <xf numFmtId="0" fontId="49" fillId="0" borderId="0" xfId="0" applyFont="1" applyAlignment="1"/>
    <xf numFmtId="0" fontId="50" fillId="0" borderId="0" xfId="0" applyFont="1"/>
    <xf numFmtId="169" fontId="0" fillId="13" borderId="28" xfId="0" applyNumberFormat="1" applyFont="1" applyFill="1" applyBorder="1"/>
    <xf numFmtId="0" fontId="6" fillId="0" borderId="0" xfId="0" applyFont="1" applyAlignment="1">
      <alignment horizontal="center"/>
    </xf>
    <xf numFmtId="166" fontId="0" fillId="0" borderId="0" xfId="0" applyNumberFormat="1" applyFont="1"/>
    <xf numFmtId="0" fontId="9" fillId="0" borderId="0" xfId="0" applyFont="1" applyFill="1" applyBorder="1" applyAlignment="1">
      <alignment horizontal="center"/>
    </xf>
    <xf numFmtId="0" fontId="9" fillId="0" borderId="0" xfId="0" applyFont="1" applyAlignment="1">
      <alignment horizontal="center"/>
    </xf>
    <xf numFmtId="0" fontId="49" fillId="0" borderId="4" xfId="0" applyFont="1" applyBorder="1" applyAlignment="1"/>
    <xf numFmtId="0" fontId="7" fillId="56" borderId="22" xfId="0" applyFont="1" applyFill="1" applyBorder="1" applyAlignment="1">
      <alignment horizontal="right"/>
    </xf>
    <xf numFmtId="3" fontId="0" fillId="0" borderId="0" xfId="0" applyNumberFormat="1" applyFont="1" applyFill="1" applyBorder="1"/>
    <xf numFmtId="0" fontId="0" fillId="0" borderId="0" xfId="0" applyFont="1" applyBorder="1"/>
    <xf numFmtId="3" fontId="0" fillId="0" borderId="0" xfId="0" applyNumberFormat="1" applyFont="1" applyBorder="1"/>
    <xf numFmtId="0" fontId="9" fillId="0" borderId="0" xfId="0" applyFont="1" applyFill="1" applyBorder="1" applyAlignment="1" applyProtection="1">
      <alignment horizontal="centerContinuous"/>
    </xf>
    <xf numFmtId="3" fontId="6" fillId="0" borderId="0" xfId="0" applyNumberFormat="1" applyFont="1" applyBorder="1" applyProtection="1"/>
    <xf numFmtId="166" fontId="6" fillId="0" borderId="0" xfId="0" applyNumberFormat="1" applyFont="1" applyBorder="1"/>
    <xf numFmtId="0" fontId="9" fillId="0" borderId="0" xfId="0" applyFont="1" applyFill="1" applyBorder="1"/>
    <xf numFmtId="3" fontId="6" fillId="0" borderId="0" xfId="0" applyNumberFormat="1" applyFont="1" applyBorder="1" applyAlignment="1" applyProtection="1">
      <alignment horizontal="right"/>
    </xf>
    <xf numFmtId="180" fontId="6" fillId="0" borderId="0" xfId="0" applyNumberFormat="1" applyFont="1" applyFill="1" applyBorder="1" applyAlignment="1" applyProtection="1">
      <alignment horizontal="center"/>
    </xf>
    <xf numFmtId="0" fontId="6" fillId="67" borderId="0" xfId="0" applyFont="1" applyFill="1" applyBorder="1"/>
    <xf numFmtId="3" fontId="6" fillId="67" borderId="0" xfId="0" applyNumberFormat="1" applyFont="1" applyFill="1" applyBorder="1" applyAlignment="1">
      <alignment horizontal="right"/>
    </xf>
    <xf numFmtId="3" fontId="6" fillId="67" borderId="0" xfId="0" applyNumberFormat="1" applyFont="1" applyFill="1" applyBorder="1"/>
    <xf numFmtId="0" fontId="9" fillId="67" borderId="0" xfId="0" applyFont="1" applyFill="1" applyBorder="1"/>
    <xf numFmtId="0" fontId="6" fillId="67" borderId="0" xfId="0" applyFont="1" applyFill="1" applyBorder="1" applyAlignment="1" applyProtection="1">
      <alignment horizontal="center"/>
    </xf>
    <xf numFmtId="3" fontId="6" fillId="67" borderId="0" xfId="0" applyNumberFormat="1" applyFont="1" applyFill="1" applyBorder="1" applyAlignment="1" applyProtection="1">
      <alignment horizontal="right"/>
    </xf>
    <xf numFmtId="3" fontId="6" fillId="67" borderId="0" xfId="0" applyNumberFormat="1" applyFont="1" applyFill="1" applyBorder="1" applyProtection="1"/>
    <xf numFmtId="3" fontId="6" fillId="67" borderId="0" xfId="0" quotePrefix="1" applyNumberFormat="1" applyFont="1" applyFill="1" applyBorder="1" applyAlignment="1">
      <alignment horizontal="left"/>
    </xf>
    <xf numFmtId="166" fontId="6" fillId="67" borderId="0" xfId="0" applyNumberFormat="1" applyFont="1" applyFill="1" applyBorder="1"/>
    <xf numFmtId="166" fontId="6" fillId="67" borderId="0" xfId="0" applyNumberFormat="1" applyFont="1" applyFill="1" applyBorder="1"/>
    <xf numFmtId="3" fontId="9" fillId="67" borderId="0" xfId="0" applyNumberFormat="1" applyFont="1" applyFill="1" applyBorder="1"/>
    <xf numFmtId="166" fontId="6" fillId="0" borderId="0" xfId="0" applyNumberFormat="1" applyFont="1" applyBorder="1"/>
    <xf numFmtId="3" fontId="6" fillId="67" borderId="0" xfId="0" applyNumberFormat="1" applyFont="1" applyFill="1" applyBorder="1" applyAlignment="1" applyProtection="1">
      <alignment horizontal="center"/>
    </xf>
    <xf numFmtId="181" fontId="6" fillId="67" borderId="0" xfId="0" applyNumberFormat="1" applyFont="1" applyFill="1" applyBorder="1" applyAlignment="1" applyProtection="1">
      <alignment horizontal="right"/>
    </xf>
    <xf numFmtId="0" fontId="6" fillId="67" borderId="0" xfId="0" applyFont="1" applyFill="1" applyBorder="1" applyAlignment="1" applyProtection="1">
      <alignment horizontal="right"/>
    </xf>
    <xf numFmtId="0" fontId="9" fillId="67" borderId="0" xfId="0" applyNumberFormat="1" applyFont="1" applyFill="1" applyBorder="1"/>
    <xf numFmtId="0" fontId="9" fillId="0" borderId="0" xfId="0" applyNumberFormat="1" applyFont="1" applyBorder="1"/>
    <xf numFmtId="180" fontId="6" fillId="67" borderId="0" xfId="0" applyNumberFormat="1" applyFont="1" applyFill="1" applyBorder="1" applyProtection="1"/>
    <xf numFmtId="0" fontId="6" fillId="67" borderId="0" xfId="0" quotePrefix="1" applyFont="1" applyFill="1" applyBorder="1" applyAlignment="1" applyProtection="1">
      <alignment horizontal="center"/>
    </xf>
    <xf numFmtId="3" fontId="9" fillId="67" borderId="0" xfId="0" applyNumberFormat="1" applyFont="1" applyFill="1" applyBorder="1" applyProtection="1"/>
    <xf numFmtId="166" fontId="6" fillId="67" borderId="0" xfId="0" applyNumberFormat="1" applyFont="1" applyFill="1" applyBorder="1" applyProtection="1"/>
    <xf numFmtId="0" fontId="6" fillId="28" borderId="0" xfId="0" applyFont="1" applyFill="1" applyBorder="1"/>
    <xf numFmtId="0" fontId="37" fillId="28" borderId="0" xfId="0" applyFont="1" applyFill="1" applyBorder="1" applyAlignment="1" applyProtection="1">
      <alignment horizontal="left"/>
      <protection locked="0"/>
    </xf>
    <xf numFmtId="0" fontId="6" fillId="28" borderId="0" xfId="0" applyFont="1" applyFill="1" applyBorder="1" applyAlignment="1" applyProtection="1">
      <alignment horizontal="center"/>
    </xf>
    <xf numFmtId="3" fontId="6" fillId="28" borderId="0" xfId="0" applyNumberFormat="1" applyFont="1" applyFill="1" applyBorder="1" applyAlignment="1" applyProtection="1">
      <alignment horizontal="right"/>
    </xf>
    <xf numFmtId="3" fontId="6" fillId="28" borderId="0" xfId="0" applyNumberFormat="1" applyFont="1" applyFill="1" applyBorder="1" applyAlignment="1" applyProtection="1">
      <alignment horizontal="center"/>
    </xf>
    <xf numFmtId="0" fontId="9" fillId="28" borderId="0" xfId="0" applyFont="1" applyFill="1" applyBorder="1" applyAlignment="1" applyProtection="1">
      <alignment horizontal="center"/>
    </xf>
    <xf numFmtId="0" fontId="9" fillId="28" borderId="0" xfId="0" applyFont="1" applyFill="1" applyBorder="1" applyAlignment="1">
      <alignment horizontal="center"/>
    </xf>
    <xf numFmtId="0" fontId="9" fillId="28" borderId="0" xfId="0" applyFont="1" applyFill="1" applyBorder="1" applyAlignment="1" applyProtection="1">
      <alignment horizontal="centerContinuous"/>
    </xf>
    <xf numFmtId="3" fontId="6" fillId="28" borderId="0" xfId="0" applyNumberFormat="1" applyFont="1" applyFill="1" applyBorder="1" applyProtection="1"/>
    <xf numFmtId="3" fontId="6" fillId="28" borderId="0" xfId="0" applyNumberFormat="1" applyFont="1" applyFill="1" applyBorder="1"/>
    <xf numFmtId="166" fontId="6" fillId="28" borderId="0" xfId="0" applyNumberFormat="1" applyFont="1" applyFill="1" applyBorder="1"/>
    <xf numFmtId="3" fontId="6" fillId="28" borderId="0" xfId="0" applyNumberFormat="1" applyFont="1" applyFill="1" applyBorder="1" applyAlignment="1">
      <alignment horizontal="right"/>
    </xf>
    <xf numFmtId="0" fontId="40" fillId="28" borderId="0" xfId="0" applyFont="1" applyFill="1" applyBorder="1" applyAlignment="1" applyProtection="1">
      <alignment horizontal="left"/>
      <protection locked="0"/>
    </xf>
    <xf numFmtId="180" fontId="6" fillId="28" borderId="0" xfId="0" applyNumberFormat="1" applyFont="1" applyFill="1" applyBorder="1" applyAlignment="1" applyProtection="1">
      <alignment horizontal="center"/>
    </xf>
    <xf numFmtId="0" fontId="6" fillId="0" borderId="0" xfId="0" applyFont="1" applyBorder="1"/>
    <xf numFmtId="3" fontId="6" fillId="0" borderId="0" xfId="0" applyNumberFormat="1" applyFont="1" applyBorder="1"/>
    <xf numFmtId="10" fontId="6" fillId="0" borderId="0" xfId="0" applyNumberFormat="1" applyFont="1" applyBorder="1"/>
    <xf numFmtId="3" fontId="9" fillId="0" borderId="0" xfId="0" applyNumberFormat="1" applyFont="1" applyBorder="1" applyAlignment="1">
      <alignment horizontal="right"/>
    </xf>
    <xf numFmtId="3" fontId="0" fillId="28" borderId="0" xfId="0" applyNumberFormat="1" applyFont="1" applyFill="1" applyBorder="1"/>
    <xf numFmtId="0" fontId="0" fillId="28" borderId="0" xfId="0" applyFont="1" applyFill="1" applyBorder="1"/>
    <xf numFmtId="3" fontId="6" fillId="28" borderId="0" xfId="0" applyNumberFormat="1" applyFont="1" applyFill="1" applyBorder="1" applyAlignment="1">
      <alignment horizontal="right"/>
    </xf>
    <xf numFmtId="180" fontId="6" fillId="28" borderId="0" xfId="0" applyNumberFormat="1" applyFont="1" applyFill="1" applyBorder="1" applyProtection="1"/>
    <xf numFmtId="3" fontId="6" fillId="0" borderId="0" xfId="0" applyNumberFormat="1" applyFont="1" applyBorder="1" applyAlignment="1">
      <alignment horizontal="right"/>
    </xf>
    <xf numFmtId="3" fontId="6" fillId="67" borderId="0" xfId="0" applyNumberFormat="1" applyFont="1" applyFill="1" applyBorder="1" applyAlignment="1">
      <alignment horizontal="right"/>
    </xf>
    <xf numFmtId="3" fontId="6" fillId="67" borderId="0" xfId="0" applyNumberFormat="1" applyFont="1" applyFill="1" applyBorder="1"/>
    <xf numFmtId="180" fontId="6" fillId="0" borderId="0" xfId="0" applyNumberFormat="1" applyFont="1" applyBorder="1" applyProtection="1"/>
    <xf numFmtId="0" fontId="6" fillId="0" borderId="0" xfId="0" applyFont="1" applyBorder="1" applyProtection="1"/>
    <xf numFmtId="180" fontId="6" fillId="0" borderId="0" xfId="0" applyNumberFormat="1" applyFont="1" applyFill="1" applyBorder="1" applyProtection="1"/>
    <xf numFmtId="0" fontId="0" fillId="0" borderId="0" xfId="0" applyFont="1" applyFill="1" applyBorder="1"/>
    <xf numFmtId="0" fontId="51" fillId="0" borderId="0" xfId="0" applyFont="1"/>
    <xf numFmtId="0" fontId="49" fillId="0" borderId="0" xfId="0" applyFont="1" applyBorder="1" applyAlignment="1"/>
    <xf numFmtId="0" fontId="9" fillId="28" borderId="0" xfId="0" applyFont="1" applyFill="1" applyBorder="1" applyAlignment="1" applyProtection="1">
      <alignment horizontal="left"/>
    </xf>
    <xf numFmtId="170" fontId="9" fillId="28" borderId="0" xfId="0" applyNumberFormat="1" applyFont="1" applyFill="1" applyBorder="1" applyAlignment="1" applyProtection="1">
      <alignment horizontal="right"/>
    </xf>
    <xf numFmtId="0" fontId="9" fillId="28" borderId="0" xfId="0" applyFont="1" applyFill="1" applyBorder="1" applyAlignment="1" applyProtection="1">
      <alignment horizontal="right"/>
    </xf>
    <xf numFmtId="0" fontId="6" fillId="28" borderId="0" xfId="0" applyFont="1" applyFill="1" applyBorder="1" applyAlignment="1">
      <alignment horizontal="center"/>
    </xf>
    <xf numFmtId="0" fontId="41" fillId="28" borderId="0" xfId="0" applyFont="1" applyFill="1" applyBorder="1" applyAlignment="1" applyProtection="1">
      <alignment horizontal="left"/>
      <protection locked="0"/>
    </xf>
    <xf numFmtId="0" fontId="6" fillId="28" borderId="0" xfId="0" quotePrefix="1" applyFont="1" applyFill="1" applyBorder="1" applyAlignment="1" applyProtection="1">
      <alignment horizontal="center"/>
    </xf>
    <xf numFmtId="0" fontId="6" fillId="28" borderId="0" xfId="0" applyFont="1" applyFill="1" applyBorder="1" applyAlignment="1" applyProtection="1">
      <alignment horizontal="left"/>
    </xf>
    <xf numFmtId="0" fontId="52" fillId="28" borderId="0" xfId="0" applyFont="1" applyFill="1" applyBorder="1" applyAlignment="1" applyProtection="1">
      <alignment horizontal="left"/>
      <protection locked="0"/>
    </xf>
    <xf numFmtId="0" fontId="52" fillId="0" borderId="0" xfId="0" applyFont="1" applyFill="1" applyBorder="1" applyAlignment="1" applyProtection="1">
      <alignment horizontal="left"/>
      <protection locked="0"/>
    </xf>
    <xf numFmtId="0" fontId="53" fillId="0" borderId="0" xfId="0" applyFont="1" applyFill="1" applyBorder="1" applyAlignment="1" applyProtection="1">
      <alignment horizontal="left"/>
    </xf>
    <xf numFmtId="0" fontId="53" fillId="28" borderId="0" xfId="0" applyFont="1" applyFill="1" applyBorder="1" applyAlignment="1" applyProtection="1">
      <alignment horizontal="left"/>
    </xf>
    <xf numFmtId="0" fontId="54" fillId="28" borderId="0" xfId="0" applyFont="1" applyFill="1" applyBorder="1" applyAlignment="1" applyProtection="1">
      <alignment horizontal="left"/>
      <protection locked="0"/>
    </xf>
    <xf numFmtId="0" fontId="54" fillId="0" borderId="0" xfId="0" applyFont="1" applyFill="1" applyBorder="1" applyAlignment="1" applyProtection="1">
      <alignment horizontal="left"/>
      <protection locked="0"/>
    </xf>
    <xf numFmtId="166" fontId="6" fillId="28" borderId="0" xfId="0" applyNumberFormat="1" applyFont="1" applyFill="1" applyBorder="1" applyAlignment="1" applyProtection="1">
      <alignment horizontal="right"/>
    </xf>
    <xf numFmtId="170" fontId="6" fillId="28" borderId="0" xfId="0" applyNumberFormat="1" applyFont="1" applyFill="1" applyBorder="1" applyAlignment="1" applyProtection="1">
      <alignment horizontal="right"/>
    </xf>
    <xf numFmtId="170" fontId="0" fillId="0" borderId="0" xfId="0" applyNumberFormat="1" applyAlignment="1">
      <alignment horizontal="right"/>
    </xf>
    <xf numFmtId="166" fontId="6" fillId="0" borderId="0" xfId="0" applyNumberFormat="1" applyFont="1" applyFill="1" applyBorder="1" applyAlignment="1" applyProtection="1">
      <alignment horizontal="right"/>
    </xf>
    <xf numFmtId="170" fontId="6" fillId="0" borderId="0" xfId="0" applyNumberFormat="1" applyFont="1" applyFill="1" applyBorder="1" applyAlignment="1" applyProtection="1">
      <alignment horizontal="right"/>
    </xf>
    <xf numFmtId="166" fontId="0" fillId="0" borderId="0" xfId="0" applyNumberFormat="1" applyFont="1" applyAlignment="1">
      <alignment horizontal="right"/>
    </xf>
    <xf numFmtId="166" fontId="9" fillId="28" borderId="0" xfId="0" applyNumberFormat="1" applyFont="1" applyFill="1" applyBorder="1" applyAlignment="1" applyProtection="1">
      <alignment horizontal="right"/>
    </xf>
    <xf numFmtId="0" fontId="9" fillId="0" borderId="0" xfId="0" applyFont="1" applyFill="1" applyBorder="1" applyAlignment="1">
      <alignment horizontal="center"/>
    </xf>
    <xf numFmtId="0" fontId="9" fillId="0" borderId="0" xfId="0" applyFont="1" applyFill="1" applyAlignment="1">
      <alignment horizontal="center"/>
    </xf>
    <xf numFmtId="0" fontId="0" fillId="7" borderId="14" xfId="0" applyFont="1" applyFill="1" applyBorder="1"/>
    <xf numFmtId="0" fontId="0" fillId="0" borderId="0" xfId="0" applyFont="1"/>
    <xf numFmtId="168" fontId="0" fillId="53" borderId="30" xfId="0" applyNumberFormat="1" applyFont="1" applyFill="1" applyBorder="1"/>
    <xf numFmtId="0" fontId="0" fillId="53" borderId="28" xfId="0" applyNumberFormat="1" applyFont="1" applyFill="1" applyBorder="1"/>
    <xf numFmtId="178" fontId="0" fillId="53" borderId="28" xfId="0" applyNumberFormat="1" applyFont="1" applyFill="1" applyBorder="1"/>
    <xf numFmtId="167" fontId="0" fillId="53" borderId="28" xfId="0" applyNumberFormat="1" applyFont="1" applyFill="1" applyBorder="1"/>
    <xf numFmtId="168" fontId="0" fillId="53" borderId="1" xfId="0" applyNumberFormat="1" applyFont="1" applyFill="1" applyBorder="1"/>
    <xf numFmtId="0" fontId="0" fillId="53" borderId="31" xfId="0" applyNumberFormat="1" applyFont="1" applyFill="1" applyBorder="1"/>
    <xf numFmtId="178" fontId="0" fillId="53" borderId="31" xfId="0" applyNumberFormat="1" applyFont="1" applyFill="1" applyBorder="1"/>
    <xf numFmtId="167" fontId="0" fillId="53" borderId="31" xfId="0" applyNumberFormat="1" applyFont="1" applyFill="1" applyBorder="1"/>
    <xf numFmtId="168" fontId="0" fillId="53" borderId="3" xfId="0" applyNumberFormat="1" applyFont="1" applyFill="1" applyBorder="1"/>
    <xf numFmtId="178" fontId="0" fillId="53" borderId="32" xfId="0" applyNumberFormat="1" applyFont="1" applyFill="1" applyBorder="1"/>
    <xf numFmtId="167" fontId="0" fillId="53" borderId="32" xfId="0" applyNumberFormat="1" applyFont="1" applyFill="1" applyBorder="1"/>
    <xf numFmtId="0" fontId="0" fillId="0" borderId="66" xfId="0" applyBorder="1"/>
    <xf numFmtId="0" fontId="0" fillId="0" borderId="67" xfId="0" applyBorder="1"/>
    <xf numFmtId="170" fontId="8" fillId="0" borderId="66" xfId="0" applyNumberFormat="1" applyFont="1" applyBorder="1"/>
    <xf numFmtId="0" fontId="55" fillId="0" borderId="65" xfId="0" applyFont="1" applyBorder="1"/>
    <xf numFmtId="0" fontId="38" fillId="0" borderId="0" xfId="0" applyFont="1" applyFill="1" applyBorder="1" applyAlignment="1">
      <alignment horizontal="center"/>
    </xf>
    <xf numFmtId="166" fontId="47" fillId="0" borderId="0" xfId="0" applyNumberFormat="1" applyFont="1" applyFill="1" applyBorder="1" applyAlignment="1">
      <alignment horizontal="center"/>
    </xf>
    <xf numFmtId="166" fontId="6" fillId="0" borderId="0" xfId="0" applyNumberFormat="1" applyFont="1" applyFill="1" applyBorder="1" applyAlignment="1">
      <alignment horizontal="center"/>
    </xf>
    <xf numFmtId="0" fontId="6" fillId="7" borderId="0" xfId="0" applyFont="1" applyFill="1" applyBorder="1" applyAlignment="1" applyProtection="1">
      <alignment horizontal="center"/>
    </xf>
    <xf numFmtId="170" fontId="6" fillId="0" borderId="0" xfId="0" applyNumberFormat="1" applyFont="1" applyFill="1" applyBorder="1" applyAlignment="1">
      <alignment horizontal="right"/>
    </xf>
    <xf numFmtId="170" fontId="6" fillId="2" borderId="0" xfId="0" applyNumberFormat="1" applyFont="1" applyFill="1" applyBorder="1" applyAlignment="1">
      <alignment horizontal="right"/>
    </xf>
    <xf numFmtId="170" fontId="38" fillId="0" borderId="0" xfId="0" applyNumberFormat="1" applyFont="1" applyFill="1" applyBorder="1" applyAlignment="1">
      <alignment horizontal="right"/>
    </xf>
    <xf numFmtId="170" fontId="6" fillId="2" borderId="0" xfId="0" applyNumberFormat="1" applyFont="1" applyFill="1" applyBorder="1" applyAlignment="1" applyProtection="1">
      <alignment horizontal="right"/>
    </xf>
    <xf numFmtId="170" fontId="6" fillId="0" borderId="0" xfId="0" applyNumberFormat="1" applyFont="1" applyBorder="1" applyAlignment="1">
      <alignment horizontal="right"/>
    </xf>
    <xf numFmtId="170" fontId="6" fillId="0" borderId="0" xfId="0" applyNumberFormat="1" applyFont="1" applyAlignment="1">
      <alignment horizontal="right"/>
    </xf>
    <xf numFmtId="6" fontId="6" fillId="0" borderId="0" xfId="0" applyNumberFormat="1" applyFont="1"/>
    <xf numFmtId="3" fontId="6" fillId="0" borderId="0" xfId="0" applyNumberFormat="1" applyFont="1" applyAlignment="1">
      <alignment horizontal="center"/>
    </xf>
    <xf numFmtId="0" fontId="1" fillId="0" borderId="0" xfId="0" applyFont="1" applyFill="1"/>
    <xf numFmtId="8" fontId="6" fillId="0" borderId="0" xfId="0" applyNumberFormat="1" applyFont="1" applyFill="1" applyBorder="1" applyAlignment="1">
      <alignment horizontal="right"/>
    </xf>
    <xf numFmtId="0" fontId="7" fillId="61" borderId="33" xfId="0" applyFont="1" applyFill="1" applyBorder="1" applyAlignment="1">
      <alignment horizontal="right" vertical="center"/>
    </xf>
    <xf numFmtId="0" fontId="7" fillId="8" borderId="30" xfId="0" applyNumberFormat="1" applyFont="1" applyFill="1" applyBorder="1" applyAlignment="1">
      <alignment horizontal="center"/>
    </xf>
    <xf numFmtId="0" fontId="7" fillId="8" borderId="1" xfId="0" applyNumberFormat="1" applyFont="1" applyFill="1" applyBorder="1" applyAlignment="1">
      <alignment horizontal="center"/>
    </xf>
    <xf numFmtId="0" fontId="7" fillId="8" borderId="3" xfId="0" applyNumberFormat="1" applyFont="1" applyFill="1" applyBorder="1" applyAlignment="1">
      <alignment horizontal="center"/>
    </xf>
    <xf numFmtId="169" fontId="0" fillId="6" borderId="0" xfId="0" applyNumberFormat="1" applyFont="1" applyFill="1"/>
    <xf numFmtId="169" fontId="0" fillId="14" borderId="0" xfId="0" applyNumberFormat="1" applyFont="1" applyFill="1"/>
    <xf numFmtId="169" fontId="0" fillId="11" borderId="0" xfId="0" applyNumberFormat="1" applyFont="1" applyFill="1" applyBorder="1"/>
    <xf numFmtId="169" fontId="0" fillId="2" borderId="0" xfId="0" applyNumberFormat="1" applyFont="1" applyFill="1"/>
    <xf numFmtId="169" fontId="6" fillId="53" borderId="0" xfId="0" applyNumberFormat="1" applyFont="1" applyFill="1" applyBorder="1" applyProtection="1"/>
    <xf numFmtId="169" fontId="0" fillId="29" borderId="0" xfId="0" applyNumberFormat="1" applyFont="1" applyFill="1"/>
    <xf numFmtId="169" fontId="0" fillId="3" borderId="0" xfId="0" applyNumberFormat="1" applyFont="1" applyFill="1"/>
    <xf numFmtId="169" fontId="6" fillId="0" borderId="0" xfId="0" applyNumberFormat="1" applyFont="1" applyFill="1" applyBorder="1" applyProtection="1"/>
    <xf numFmtId="166" fontId="0" fillId="0" borderId="0" xfId="0" applyNumberFormat="1" applyFont="1" applyFill="1" applyAlignment="1">
      <alignment horizontal="right"/>
    </xf>
    <xf numFmtId="170" fontId="0" fillId="0" borderId="0" xfId="0" applyNumberFormat="1" applyFill="1" applyAlignment="1">
      <alignment horizontal="right"/>
    </xf>
    <xf numFmtId="170" fontId="0" fillId="0" borderId="0" xfId="0" applyNumberFormat="1" applyFont="1" applyAlignment="1">
      <alignment horizontal="right"/>
    </xf>
    <xf numFmtId="166" fontId="0" fillId="28" borderId="0" xfId="0" applyNumberFormat="1" applyFont="1" applyFill="1" applyAlignment="1">
      <alignment horizontal="right"/>
    </xf>
    <xf numFmtId="170" fontId="0" fillId="28" borderId="0" xfId="0" applyNumberFormat="1" applyFill="1" applyAlignment="1">
      <alignment horizontal="right"/>
    </xf>
    <xf numFmtId="0" fontId="9" fillId="28" borderId="0" xfId="0" applyFont="1" applyFill="1" applyBorder="1" applyAlignment="1" applyProtection="1">
      <alignment horizontal="center"/>
    </xf>
    <xf numFmtId="0" fontId="0" fillId="0" borderId="0" xfId="0"/>
    <xf numFmtId="0" fontId="0" fillId="0" borderId="0" xfId="0" applyFill="1"/>
    <xf numFmtId="0" fontId="0" fillId="0" borderId="19" xfId="0" applyBorder="1"/>
    <xf numFmtId="0" fontId="9" fillId="28" borderId="19" xfId="0" applyFont="1" applyFill="1" applyBorder="1" applyAlignment="1" applyProtection="1">
      <alignment horizontal="centerContinuous"/>
    </xf>
    <xf numFmtId="0" fontId="9" fillId="28" borderId="19" xfId="0" applyFont="1" applyFill="1" applyBorder="1" applyAlignment="1" applyProtection="1">
      <alignment horizontal="center"/>
    </xf>
    <xf numFmtId="43" fontId="6" fillId="28" borderId="19" xfId="42" applyFont="1" applyFill="1" applyBorder="1" applyAlignment="1" applyProtection="1">
      <alignment horizontal="right"/>
    </xf>
    <xf numFmtId="43" fontId="1" fillId="0" borderId="19" xfId="42" applyFont="1" applyBorder="1" applyAlignment="1">
      <alignment horizontal="right"/>
    </xf>
    <xf numFmtId="170" fontId="0" fillId="0" borderId="0" xfId="0" applyNumberFormat="1" applyFont="1" applyBorder="1" applyAlignment="1">
      <alignment horizontal="right"/>
    </xf>
    <xf numFmtId="43" fontId="1" fillId="0" borderId="19" xfId="42" applyFont="1" applyBorder="1"/>
    <xf numFmtId="43" fontId="1" fillId="0" borderId="19" xfId="42" applyFont="1" applyFill="1" applyBorder="1" applyAlignment="1">
      <alignment horizontal="right"/>
    </xf>
    <xf numFmtId="170" fontId="0" fillId="0" borderId="0" xfId="0" applyNumberFormat="1" applyFont="1" applyFill="1" applyBorder="1" applyAlignment="1">
      <alignment horizontal="right"/>
    </xf>
    <xf numFmtId="170" fontId="0" fillId="0" borderId="0" xfId="0" applyNumberFormat="1" applyBorder="1" applyAlignment="1">
      <alignment horizontal="right"/>
    </xf>
    <xf numFmtId="166" fontId="0" fillId="0" borderId="0" xfId="42" applyNumberFormat="1" applyFont="1" applyFill="1" applyAlignment="1">
      <alignment horizontal="right"/>
    </xf>
    <xf numFmtId="9" fontId="0" fillId="0" borderId="0" xfId="90" applyFont="1"/>
    <xf numFmtId="10" fontId="0" fillId="10" borderId="31" xfId="0" applyNumberFormat="1" applyFont="1" applyFill="1" applyBorder="1"/>
    <xf numFmtId="3" fontId="15" fillId="0" borderId="50" xfId="0" applyNumberFormat="1" applyFont="1" applyFill="1" applyBorder="1" applyAlignment="1">
      <alignment horizontal="right" vertical="center" wrapText="1"/>
    </xf>
    <xf numFmtId="170" fontId="6" fillId="0" borderId="7" xfId="0" applyNumberFormat="1" applyFont="1" applyFill="1" applyBorder="1"/>
    <xf numFmtId="170" fontId="6" fillId="0" borderId="2" xfId="0" applyNumberFormat="1" applyFont="1" applyFill="1" applyBorder="1"/>
    <xf numFmtId="170" fontId="6" fillId="3" borderId="7" xfId="0" applyNumberFormat="1" applyFont="1" applyFill="1" applyBorder="1"/>
    <xf numFmtId="170" fontId="6" fillId="3" borderId="2" xfId="0" applyNumberFormat="1" applyFont="1" applyFill="1" applyBorder="1"/>
    <xf numFmtId="170" fontId="6" fillId="7" borderId="7" xfId="0" applyNumberFormat="1" applyFont="1" applyFill="1" applyBorder="1"/>
    <xf numFmtId="170" fontId="6" fillId="7" borderId="2" xfId="0" applyNumberFormat="1" applyFont="1" applyFill="1" applyBorder="1"/>
    <xf numFmtId="2" fontId="8" fillId="0" borderId="7" xfId="0" applyNumberFormat="1" applyFont="1" applyFill="1" applyBorder="1"/>
    <xf numFmtId="169" fontId="8" fillId="0" borderId="2" xfId="0" applyNumberFormat="1" applyFont="1" applyFill="1" applyBorder="1"/>
    <xf numFmtId="169" fontId="8" fillId="2" borderId="5" xfId="0" applyNumberFormat="1" applyFont="1" applyFill="1" applyBorder="1"/>
    <xf numFmtId="3" fontId="8" fillId="0" borderId="7" xfId="0" applyNumberFormat="1" applyFont="1" applyFill="1" applyBorder="1"/>
    <xf numFmtId="164" fontId="8" fillId="0" borderId="7" xfId="0" applyNumberFormat="1" applyFont="1" applyFill="1" applyBorder="1"/>
    <xf numFmtId="0" fontId="64" fillId="0" borderId="1" xfId="0" applyFont="1" applyFill="1" applyBorder="1" applyAlignment="1" applyProtection="1">
      <alignment horizontal="left"/>
      <protection locked="0"/>
    </xf>
    <xf numFmtId="0" fontId="64" fillId="0" borderId="1" xfId="0" applyFont="1" applyFill="1" applyBorder="1" applyAlignment="1" applyProtection="1">
      <alignment horizontal="left"/>
    </xf>
    <xf numFmtId="0" fontId="63" fillId="0" borderId="1" xfId="0" applyFont="1" applyFill="1" applyBorder="1" applyAlignment="1" applyProtection="1">
      <alignment horizontal="left"/>
      <protection locked="0"/>
    </xf>
    <xf numFmtId="3" fontId="14" fillId="0" borderId="2" xfId="0" applyNumberFormat="1" applyFont="1" applyFill="1" applyBorder="1"/>
    <xf numFmtId="3" fontId="14" fillId="0" borderId="0" xfId="0" applyNumberFormat="1" applyFont="1" applyFill="1" applyBorder="1"/>
    <xf numFmtId="3" fontId="14" fillId="0" borderId="1" xfId="0" applyNumberFormat="1" applyFont="1" applyFill="1" applyBorder="1"/>
    <xf numFmtId="3" fontId="14" fillId="0" borderId="0" xfId="0" applyNumberFormat="1" applyFont="1" applyFill="1" applyBorder="1" applyAlignment="1">
      <alignment horizontal="right"/>
    </xf>
    <xf numFmtId="178" fontId="2" fillId="0" borderId="1" xfId="0" applyNumberFormat="1" applyFont="1" applyBorder="1" applyAlignment="1">
      <alignment horizontal="right"/>
    </xf>
    <xf numFmtId="167" fontId="2" fillId="0" borderId="2" xfId="0" applyNumberFormat="1" applyFont="1" applyBorder="1" applyAlignment="1">
      <alignment horizontal="right"/>
    </xf>
    <xf numFmtId="178" fontId="2" fillId="0" borderId="0" xfId="0" applyNumberFormat="1" applyFont="1" applyBorder="1" applyAlignment="1">
      <alignment horizontal="right"/>
    </xf>
    <xf numFmtId="169" fontId="6" fillId="0" borderId="2" xfId="0" applyNumberFormat="1" applyFont="1" applyBorder="1"/>
    <xf numFmtId="169" fontId="0" fillId="2" borderId="2" xfId="0" applyNumberFormat="1" applyFill="1" applyBorder="1"/>
    <xf numFmtId="167" fontId="6" fillId="0" borderId="69" xfId="0" applyNumberFormat="1" applyFont="1" applyBorder="1"/>
    <xf numFmtId="179" fontId="6" fillId="0" borderId="0" xfId="0" applyNumberFormat="1" applyFont="1" applyFill="1" applyBorder="1" applyAlignment="1">
      <alignment horizontal="left" vertical="top"/>
    </xf>
    <xf numFmtId="179" fontId="6" fillId="2" borderId="0" xfId="0" applyNumberFormat="1" applyFont="1" applyFill="1" applyBorder="1" applyAlignment="1">
      <alignment horizontal="left" vertical="top"/>
    </xf>
    <xf numFmtId="179" fontId="6" fillId="2" borderId="0" xfId="0" applyNumberFormat="1" applyFont="1" applyFill="1" applyBorder="1" applyAlignment="1">
      <alignment horizontal="right" vertical="top"/>
    </xf>
    <xf numFmtId="179" fontId="6" fillId="0" borderId="70" xfId="0" applyNumberFormat="1" applyFont="1" applyFill="1" applyBorder="1" applyAlignment="1">
      <alignment horizontal="left" vertical="top"/>
    </xf>
    <xf numFmtId="179" fontId="6" fillId="30" borderId="4" xfId="0" applyNumberFormat="1" applyFont="1" applyFill="1" applyBorder="1"/>
    <xf numFmtId="0" fontId="66" fillId="0" borderId="0" xfId="0" applyFont="1" applyAlignment="1">
      <alignment horizontal="left" vertical="top"/>
    </xf>
    <xf numFmtId="167" fontId="6" fillId="2" borderId="5" xfId="90" applyNumberFormat="1" applyFont="1" applyFill="1" applyBorder="1"/>
    <xf numFmtId="0" fontId="9" fillId="0" borderId="0" xfId="0" applyFont="1" applyFill="1" applyBorder="1" applyAlignment="1">
      <alignment horizontal="center"/>
    </xf>
    <xf numFmtId="0" fontId="9" fillId="0" borderId="0" xfId="0" applyFont="1" applyFill="1" applyAlignment="1">
      <alignment horizontal="center"/>
    </xf>
    <xf numFmtId="0" fontId="0" fillId="8" borderId="33" xfId="0" applyFont="1" applyFill="1" applyBorder="1"/>
    <xf numFmtId="0" fontId="7" fillId="8" borderId="46" xfId="0" applyFont="1" applyFill="1" applyBorder="1"/>
    <xf numFmtId="0" fontId="7" fillId="9" borderId="46" xfId="0" applyFont="1" applyFill="1" applyBorder="1" applyAlignment="1">
      <alignment horizontal="left"/>
    </xf>
    <xf numFmtId="0" fontId="7" fillId="18" borderId="46" xfId="0" applyFont="1" applyFill="1" applyBorder="1"/>
    <xf numFmtId="0" fontId="7" fillId="63" borderId="30" xfId="0" applyFont="1" applyFill="1" applyBorder="1"/>
    <xf numFmtId="0" fontId="7" fillId="63" borderId="3" xfId="0" applyFont="1" applyFill="1" applyBorder="1"/>
    <xf numFmtId="0" fontId="7" fillId="25" borderId="25" xfId="0" applyFont="1" applyFill="1" applyBorder="1" applyAlignment="1">
      <alignment horizontal="right"/>
    </xf>
    <xf numFmtId="8" fontId="0" fillId="0" borderId="0" xfId="0" applyNumberFormat="1"/>
    <xf numFmtId="3" fontId="6" fillId="2" borderId="0" xfId="0" applyNumberFormat="1" applyFont="1" applyFill="1" applyBorder="1" applyAlignment="1"/>
    <xf numFmtId="182" fontId="0" fillId="0" borderId="0" xfId="90" applyNumberFormat="1" applyFont="1"/>
    <xf numFmtId="2" fontId="2" fillId="0" borderId="0" xfId="43" applyNumberFormat="1"/>
    <xf numFmtId="2" fontId="69" fillId="0" borderId="0" xfId="43" applyNumberFormat="1" applyFont="1"/>
    <xf numFmtId="169" fontId="2" fillId="0" borderId="0" xfId="43" applyNumberFormat="1" applyFont="1"/>
    <xf numFmtId="0" fontId="6" fillId="0" borderId="0" xfId="0" quotePrefix="1" applyFont="1"/>
    <xf numFmtId="0" fontId="6" fillId="0" borderId="0" xfId="0" quotePrefix="1" applyFont="1" applyFill="1" applyBorder="1"/>
    <xf numFmtId="0" fontId="6" fillId="0" borderId="33" xfId="0" applyFont="1" applyBorder="1"/>
    <xf numFmtId="0" fontId="7" fillId="25" borderId="33" xfId="0" applyFont="1" applyFill="1" applyBorder="1" applyAlignment="1"/>
    <xf numFmtId="169" fontId="6" fillId="0" borderId="19" xfId="89" applyNumberFormat="1" applyFont="1" applyBorder="1"/>
    <xf numFmtId="1" fontId="0" fillId="0" borderId="0" xfId="0" applyNumberFormat="1"/>
    <xf numFmtId="0" fontId="7" fillId="25" borderId="0" xfId="0" applyFont="1" applyFill="1" applyBorder="1"/>
    <xf numFmtId="0" fontId="7" fillId="25" borderId="26" xfId="0" applyFont="1" applyFill="1" applyBorder="1" applyAlignment="1"/>
    <xf numFmtId="0" fontId="7" fillId="25" borderId="25" xfId="0" applyFont="1" applyFill="1" applyBorder="1" applyAlignment="1"/>
    <xf numFmtId="169" fontId="6" fillId="0" borderId="0" xfId="0" applyNumberFormat="1" applyFont="1" applyFill="1" applyBorder="1"/>
    <xf numFmtId="0" fontId="7" fillId="25" borderId="33" xfId="0" applyFont="1" applyFill="1" applyBorder="1" applyAlignment="1">
      <alignment horizontal="center" vertical="center"/>
    </xf>
    <xf numFmtId="0" fontId="6" fillId="0" borderId="25" xfId="0" applyFont="1" applyBorder="1"/>
    <xf numFmtId="169" fontId="6" fillId="2" borderId="5" xfId="89" applyNumberFormat="1" applyFont="1" applyFill="1" applyBorder="1"/>
    <xf numFmtId="0" fontId="7" fillId="25" borderId="1" xfId="0" applyFont="1" applyFill="1" applyBorder="1" applyAlignment="1">
      <alignment horizontal="center"/>
    </xf>
    <xf numFmtId="0" fontId="7" fillId="25" borderId="25" xfId="0" applyFont="1" applyFill="1" applyBorder="1" applyAlignment="1">
      <alignment horizontal="center" vertical="center"/>
    </xf>
    <xf numFmtId="0" fontId="7" fillId="25" borderId="4" xfId="0" applyFont="1" applyFill="1" applyBorder="1"/>
    <xf numFmtId="0" fontId="49" fillId="0" borderId="0" xfId="0" applyFont="1"/>
    <xf numFmtId="169" fontId="6" fillId="2" borderId="36" xfId="89" applyNumberFormat="1" applyFont="1" applyFill="1" applyBorder="1"/>
    <xf numFmtId="169" fontId="6" fillId="2" borderId="2" xfId="89" applyNumberFormat="1" applyFont="1" applyFill="1" applyBorder="1"/>
    <xf numFmtId="0" fontId="7" fillId="25" borderId="26" xfId="0" applyFont="1" applyFill="1" applyBorder="1" applyAlignment="1">
      <alignment horizontal="center" vertical="center" wrapText="1"/>
    </xf>
    <xf numFmtId="169" fontId="6" fillId="2" borderId="19" xfId="89" applyNumberFormat="1" applyFont="1" applyFill="1" applyBorder="1"/>
    <xf numFmtId="169" fontId="6" fillId="0" borderId="2" xfId="89" applyNumberFormat="1" applyFont="1" applyBorder="1"/>
    <xf numFmtId="0" fontId="7" fillId="25" borderId="47" xfId="0" applyFont="1" applyFill="1" applyBorder="1" applyAlignment="1">
      <alignment horizontal="center" vertical="center" wrapText="1"/>
    </xf>
    <xf numFmtId="14" fontId="6" fillId="0" borderId="0" xfId="0" applyNumberFormat="1" applyFont="1"/>
    <xf numFmtId="185" fontId="2" fillId="0" borderId="0" xfId="137" applyFont="1"/>
    <xf numFmtId="0" fontId="7" fillId="12" borderId="47" xfId="0" applyFont="1" applyFill="1" applyBorder="1"/>
    <xf numFmtId="169" fontId="0" fillId="11" borderId="19" xfId="0" applyNumberFormat="1" applyFont="1" applyFill="1" applyBorder="1"/>
    <xf numFmtId="169" fontId="0" fillId="11" borderId="2" xfId="0" applyNumberFormat="1" applyFont="1" applyFill="1" applyBorder="1"/>
    <xf numFmtId="0" fontId="7" fillId="12" borderId="26" xfId="0" applyFont="1" applyFill="1" applyBorder="1"/>
    <xf numFmtId="0" fontId="70" fillId="86" borderId="0" xfId="243"/>
    <xf numFmtId="0" fontId="67" fillId="0" borderId="0" xfId="0" applyFont="1" applyFill="1" applyBorder="1" applyAlignment="1"/>
    <xf numFmtId="0" fontId="49" fillId="0" borderId="0" xfId="0" applyFont="1" applyFill="1"/>
    <xf numFmtId="0" fontId="0" fillId="0" borderId="0" xfId="0"/>
    <xf numFmtId="3" fontId="0" fillId="0" borderId="0" xfId="0" applyNumberFormat="1"/>
    <xf numFmtId="0" fontId="0" fillId="0" borderId="0" xfId="0" applyFill="1" applyBorder="1"/>
    <xf numFmtId="0" fontId="0" fillId="7" borderId="13" xfId="0" applyFill="1" applyBorder="1"/>
    <xf numFmtId="170" fontId="0" fillId="7" borderId="13" xfId="0" applyNumberFormat="1" applyFill="1" applyBorder="1"/>
    <xf numFmtId="0" fontId="0" fillId="7" borderId="14" xfId="0" applyFill="1" applyBorder="1"/>
    <xf numFmtId="0" fontId="0" fillId="7" borderId="12" xfId="0" applyFill="1" applyBorder="1"/>
    <xf numFmtId="0" fontId="7" fillId="9" borderId="10" xfId="0" applyFont="1" applyFill="1" applyBorder="1"/>
    <xf numFmtId="0" fontId="7" fillId="9" borderId="11" xfId="0" applyFont="1" applyFill="1" applyBorder="1"/>
    <xf numFmtId="0" fontId="0" fillId="10" borderId="9" xfId="0" applyFill="1" applyBorder="1"/>
    <xf numFmtId="0" fontId="0" fillId="10" borderId="7" xfId="0" applyFill="1" applyBorder="1"/>
    <xf numFmtId="170" fontId="0" fillId="10" borderId="9" xfId="0" applyNumberFormat="1" applyFill="1" applyBorder="1"/>
    <xf numFmtId="167" fontId="0" fillId="10" borderId="7" xfId="0" applyNumberFormat="1" applyFill="1" applyBorder="1"/>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0" fillId="10" borderId="8" xfId="0" applyFill="1" applyBorder="1"/>
    <xf numFmtId="0" fontId="0" fillId="10" borderId="6" xfId="0" applyFill="1" applyBorder="1"/>
    <xf numFmtId="170" fontId="0" fillId="10" borderId="8" xfId="0" applyNumberFormat="1" applyFill="1" applyBorder="1"/>
    <xf numFmtId="167" fontId="0" fillId="10" borderId="6" xfId="0" applyNumberFormat="1" applyFill="1" applyBorder="1"/>
    <xf numFmtId="0" fontId="0" fillId="0" borderId="0" xfId="0"/>
    <xf numFmtId="3" fontId="0" fillId="0" borderId="0" xfId="0" applyNumberFormat="1"/>
    <xf numFmtId="0" fontId="0" fillId="7" borderId="13" xfId="0" applyFill="1" applyBorder="1"/>
    <xf numFmtId="170" fontId="0" fillId="7" borderId="13" xfId="0" applyNumberFormat="1" applyFill="1" applyBorder="1"/>
    <xf numFmtId="0" fontId="0" fillId="7" borderId="14" xfId="0" applyFill="1" applyBorder="1"/>
    <xf numFmtId="0" fontId="0" fillId="7" borderId="12" xfId="0" applyFill="1" applyBorder="1"/>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7" fillId="18" borderId="10" xfId="0" applyFont="1" applyFill="1" applyBorder="1"/>
    <xf numFmtId="0" fontId="7" fillId="18" borderId="11" xfId="0" applyFont="1" applyFill="1" applyBorder="1"/>
    <xf numFmtId="0" fontId="0" fillId="3" borderId="9" xfId="0" applyFill="1" applyBorder="1"/>
    <xf numFmtId="0" fontId="0" fillId="3" borderId="7" xfId="0" applyFill="1" applyBorder="1"/>
    <xf numFmtId="170" fontId="0" fillId="3" borderId="9" xfId="0" applyNumberFormat="1" applyFill="1" applyBorder="1"/>
    <xf numFmtId="167" fontId="0" fillId="3" borderId="7" xfId="0" applyNumberFormat="1" applyFill="1" applyBorder="1"/>
    <xf numFmtId="0" fontId="0" fillId="3" borderId="8" xfId="0" applyFill="1" applyBorder="1"/>
    <xf numFmtId="0" fontId="0" fillId="3" borderId="6" xfId="0" applyFill="1" applyBorder="1"/>
    <xf numFmtId="170" fontId="0" fillId="3" borderId="8" xfId="0" applyNumberFormat="1" applyFill="1" applyBorder="1"/>
    <xf numFmtId="167" fontId="0" fillId="3" borderId="6" xfId="0" applyNumberFormat="1" applyFill="1" applyBorder="1"/>
    <xf numFmtId="0" fontId="0" fillId="0" borderId="0" xfId="0" applyFill="1"/>
    <xf numFmtId="0" fontId="0" fillId="0" borderId="0" xfId="0"/>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0" fillId="0" borderId="6" xfId="0" applyFill="1" applyBorder="1"/>
    <xf numFmtId="170" fontId="0" fillId="0" borderId="8" xfId="0" applyNumberFormat="1" applyFill="1" applyBorder="1"/>
    <xf numFmtId="0" fontId="9" fillId="0" borderId="0" xfId="0" applyFont="1" applyAlignment="1">
      <alignment horizontal="center"/>
    </xf>
    <xf numFmtId="0" fontId="5" fillId="0" borderId="0" xfId="0" applyFont="1" applyAlignment="1">
      <alignment horizontal="center"/>
    </xf>
    <xf numFmtId="0" fontId="7" fillId="22" borderId="10" xfId="0" applyFont="1" applyFill="1" applyBorder="1"/>
    <xf numFmtId="6" fontId="0" fillId="0" borderId="0" xfId="0" applyNumberFormat="1"/>
    <xf numFmtId="0" fontId="0" fillId="14" borderId="9" xfId="0" applyFill="1" applyBorder="1"/>
    <xf numFmtId="0" fontId="7" fillId="22" borderId="11" xfId="0" applyFont="1" applyFill="1" applyBorder="1"/>
    <xf numFmtId="0" fontId="0" fillId="0" borderId="0" xfId="0"/>
    <xf numFmtId="0" fontId="0" fillId="14" borderId="7" xfId="0" applyFill="1" applyBorder="1"/>
    <xf numFmtId="170" fontId="0" fillId="14" borderId="9" xfId="0" applyNumberFormat="1" applyFill="1" applyBorder="1"/>
    <xf numFmtId="169" fontId="6" fillId="28" borderId="0" xfId="0" applyNumberFormat="1" applyFont="1" applyFill="1" applyAlignment="1">
      <alignment horizontal="right"/>
    </xf>
    <xf numFmtId="169" fontId="6" fillId="14" borderId="0" xfId="0" applyNumberFormat="1" applyFont="1" applyFill="1"/>
    <xf numFmtId="169" fontId="6" fillId="0" borderId="0" xfId="0" applyNumberFormat="1" applyFont="1" applyFill="1" applyAlignment="1">
      <alignment horizontal="right"/>
    </xf>
    <xf numFmtId="169" fontId="6" fillId="0" borderId="0" xfId="0" applyNumberFormat="1" applyFont="1" applyFill="1"/>
    <xf numFmtId="17" fontId="0" fillId="0" borderId="0" xfId="0" applyNumberFormat="1" applyFont="1" applyFill="1" applyAlignment="1">
      <alignment horizontal="left"/>
    </xf>
    <xf numFmtId="17" fontId="6" fillId="0" borderId="0" xfId="0" applyNumberFormat="1" applyFont="1" applyFill="1" applyAlignment="1">
      <alignment horizontal="center" vertical="center"/>
    </xf>
    <xf numFmtId="0" fontId="0" fillId="0" borderId="0" xfId="0" applyFont="1" applyAlignment="1">
      <alignment horizontal="center" vertical="center"/>
    </xf>
    <xf numFmtId="0" fontId="5" fillId="0" borderId="0" xfId="0" applyFont="1" applyFill="1" applyBorder="1"/>
    <xf numFmtId="167" fontId="0" fillId="2" borderId="8" xfId="90" applyNumberFormat="1" applyFont="1" applyFill="1" applyBorder="1"/>
    <xf numFmtId="0" fontId="8" fillId="0" borderId="0" xfId="0" applyFont="1" applyFill="1"/>
    <xf numFmtId="0" fontId="92" fillId="0" borderId="0" xfId="0" applyFont="1"/>
    <xf numFmtId="0" fontId="92" fillId="0" borderId="0" xfId="0" applyFont="1" applyFill="1"/>
    <xf numFmtId="10" fontId="0" fillId="0" borderId="0" xfId="90" applyNumberFormat="1" applyFont="1" applyFill="1" applyBorder="1"/>
    <xf numFmtId="167" fontId="0" fillId="0" borderId="0" xfId="0" applyNumberFormat="1" applyFont="1" applyFill="1" applyBorder="1"/>
    <xf numFmtId="170" fontId="0" fillId="0" borderId="0" xfId="0" applyNumberFormat="1" applyFont="1" applyFill="1" applyBorder="1"/>
    <xf numFmtId="6" fontId="0" fillId="0" borderId="0" xfId="0" applyNumberFormat="1" applyFont="1" applyBorder="1"/>
    <xf numFmtId="6" fontId="0" fillId="0" borderId="0" xfId="0" applyNumberFormat="1" applyFont="1" applyFill="1" applyBorder="1"/>
    <xf numFmtId="10" fontId="0" fillId="0" borderId="0" xfId="0" applyNumberFormat="1" applyFont="1" applyFill="1" applyBorder="1"/>
    <xf numFmtId="8" fontId="0" fillId="0" borderId="0" xfId="0" applyNumberFormat="1" applyFont="1" applyFill="1" applyBorder="1"/>
    <xf numFmtId="0" fontId="6" fillId="0" borderId="0" xfId="6400" applyFont="1" applyBorder="1"/>
    <xf numFmtId="170" fontId="6" fillId="0" borderId="0" xfId="6400" applyNumberFormat="1" applyFont="1" applyBorder="1"/>
    <xf numFmtId="10" fontId="6" fillId="0" borderId="0" xfId="5498" applyNumberFormat="1" applyFont="1" applyBorder="1"/>
    <xf numFmtId="0" fontId="6" fillId="0" borderId="0" xfId="6397" applyFont="1" applyBorder="1"/>
    <xf numFmtId="170" fontId="6" fillId="0" borderId="0" xfId="6397" applyNumberFormat="1" applyFont="1" applyBorder="1"/>
    <xf numFmtId="0" fontId="6" fillId="0" borderId="0" xfId="6398" applyFont="1" applyBorder="1"/>
    <xf numFmtId="170" fontId="6" fillId="0" borderId="0" xfId="6398" applyNumberFormat="1" applyFont="1" applyBorder="1"/>
    <xf numFmtId="0" fontId="6" fillId="0" borderId="0" xfId="6399" applyFont="1" applyBorder="1"/>
    <xf numFmtId="170" fontId="6" fillId="0" borderId="0" xfId="6399" applyNumberFormat="1" applyFont="1" applyBorder="1"/>
    <xf numFmtId="0" fontId="6" fillId="0" borderId="0" xfId="6395" applyFont="1" applyBorder="1"/>
    <xf numFmtId="170" fontId="6" fillId="0" borderId="0" xfId="6395" applyNumberFormat="1" applyFont="1" applyBorder="1"/>
    <xf numFmtId="0" fontId="6" fillId="0" borderId="0" xfId="6411" applyFont="1" applyBorder="1"/>
    <xf numFmtId="170" fontId="6" fillId="0" borderId="0" xfId="6411" applyNumberFormat="1" applyFont="1" applyBorder="1"/>
    <xf numFmtId="0" fontId="6" fillId="0" borderId="0" xfId="6418" applyFont="1" applyBorder="1"/>
    <xf numFmtId="170" fontId="6" fillId="0" borderId="0" xfId="6418" applyNumberFormat="1" applyFont="1" applyBorder="1"/>
    <xf numFmtId="0" fontId="6" fillId="0" borderId="0" xfId="6410" applyFont="1" applyBorder="1"/>
    <xf numFmtId="170" fontId="6" fillId="0" borderId="0" xfId="6410" applyNumberFormat="1" applyFont="1" applyBorder="1"/>
    <xf numFmtId="0" fontId="6" fillId="0" borderId="0" xfId="6417" applyFont="1" applyBorder="1"/>
    <xf numFmtId="170" fontId="6" fillId="0" borderId="0" xfId="6417" applyNumberFormat="1" applyFont="1" applyBorder="1"/>
    <xf numFmtId="0" fontId="6" fillId="0" borderId="0" xfId="6409" applyFont="1" applyBorder="1"/>
    <xf numFmtId="170" fontId="6" fillId="0" borderId="0" xfId="6409" applyNumberFormat="1" applyFont="1" applyBorder="1"/>
    <xf numFmtId="0" fontId="6" fillId="0" borderId="0" xfId="6412" applyFont="1" applyBorder="1"/>
    <xf numFmtId="170" fontId="6" fillId="0" borderId="0" xfId="6412" applyNumberFormat="1" applyFont="1" applyBorder="1"/>
    <xf numFmtId="0" fontId="6" fillId="0" borderId="0" xfId="6392" applyFont="1" applyBorder="1"/>
    <xf numFmtId="170" fontId="6" fillId="0" borderId="0" xfId="6392" applyNumberFormat="1" applyFont="1" applyBorder="1"/>
    <xf numFmtId="0" fontId="6" fillId="0" borderId="0" xfId="6394" applyFont="1" applyBorder="1"/>
    <xf numFmtId="170" fontId="6" fillId="0" borderId="0" xfId="6394" applyNumberFormat="1" applyFont="1" applyBorder="1"/>
    <xf numFmtId="0" fontId="6" fillId="0" borderId="0" xfId="6403" applyFont="1" applyBorder="1"/>
    <xf numFmtId="170" fontId="6" fillId="0" borderId="0" xfId="6403" applyNumberFormat="1" applyFont="1" applyBorder="1"/>
    <xf numFmtId="0" fontId="6" fillId="0" borderId="0" xfId="6415" applyFont="1" applyBorder="1"/>
    <xf numFmtId="170" fontId="6" fillId="0" borderId="0" xfId="6415" applyNumberFormat="1" applyFont="1" applyBorder="1"/>
    <xf numFmtId="0" fontId="6" fillId="0" borderId="0" xfId="6396" applyFont="1" applyBorder="1"/>
    <xf numFmtId="170" fontId="6" fillId="0" borderId="0" xfId="6396" applyNumberFormat="1" applyFont="1" applyBorder="1"/>
    <xf numFmtId="0" fontId="6" fillId="0" borderId="0" xfId="6422" applyFont="1" applyBorder="1"/>
    <xf numFmtId="170" fontId="6" fillId="0" borderId="0" xfId="6422" applyNumberFormat="1" applyFont="1" applyBorder="1"/>
    <xf numFmtId="0" fontId="6" fillId="0" borderId="0" xfId="6402" applyFont="1" applyBorder="1"/>
    <xf numFmtId="170" fontId="6" fillId="0" borderId="0" xfId="6402" applyNumberFormat="1" applyFont="1" applyBorder="1"/>
    <xf numFmtId="0" fontId="6" fillId="0" borderId="0" xfId="6422" applyFont="1" applyFill="1" applyBorder="1"/>
    <xf numFmtId="0" fontId="6" fillId="0" borderId="0" xfId="6393" applyFont="1" applyBorder="1"/>
    <xf numFmtId="170" fontId="6" fillId="0" borderId="0" xfId="6393" applyNumberFormat="1" applyFont="1" applyBorder="1"/>
    <xf numFmtId="0" fontId="6" fillId="0" borderId="0" xfId="6413" applyFont="1" applyBorder="1"/>
    <xf numFmtId="170" fontId="6" fillId="0" borderId="0" xfId="6413" applyNumberFormat="1" applyFont="1" applyBorder="1"/>
    <xf numFmtId="0" fontId="6" fillId="0" borderId="0" xfId="6421" applyFont="1" applyBorder="1"/>
    <xf numFmtId="170" fontId="6" fillId="0" borderId="0" xfId="6421" applyNumberFormat="1" applyFont="1" applyBorder="1"/>
    <xf numFmtId="0" fontId="6" fillId="0" borderId="0" xfId="6420" applyFont="1" applyBorder="1"/>
    <xf numFmtId="170" fontId="6" fillId="0" borderId="0" xfId="6420" applyNumberFormat="1" applyFont="1" applyBorder="1"/>
    <xf numFmtId="0" fontId="6" fillId="0" borderId="0" xfId="6416" applyFont="1" applyBorder="1"/>
    <xf numFmtId="170" fontId="6" fillId="0" borderId="0" xfId="6416" applyNumberFormat="1" applyFont="1" applyBorder="1"/>
    <xf numFmtId="0" fontId="6" fillId="0" borderId="0" xfId="6416" applyFont="1" applyFill="1" applyBorder="1"/>
    <xf numFmtId="170" fontId="6" fillId="0" borderId="0" xfId="6416" applyNumberFormat="1" applyFont="1" applyFill="1" applyBorder="1"/>
    <xf numFmtId="10" fontId="6" fillId="0" borderId="0" xfId="5498" applyNumberFormat="1" applyFont="1" applyFill="1" applyBorder="1"/>
    <xf numFmtId="0" fontId="6" fillId="0" borderId="0" xfId="6414" applyFont="1" applyFill="1" applyBorder="1"/>
    <xf numFmtId="170" fontId="6" fillId="0" borderId="0" xfId="6414" applyNumberFormat="1" applyFont="1" applyFill="1" applyBorder="1"/>
    <xf numFmtId="0" fontId="6" fillId="0" borderId="0" xfId="6407" applyFont="1" applyFill="1" applyBorder="1"/>
    <xf numFmtId="170" fontId="6" fillId="0" borderId="0" xfId="6407" applyNumberFormat="1" applyFont="1" applyFill="1" applyBorder="1"/>
    <xf numFmtId="0" fontId="6" fillId="0" borderId="0" xfId="6408" applyFont="1" applyFill="1" applyBorder="1"/>
    <xf numFmtId="170" fontId="6" fillId="0" borderId="0" xfId="6408" applyNumberFormat="1" applyFont="1" applyFill="1" applyBorder="1"/>
    <xf numFmtId="0" fontId="6" fillId="0" borderId="0" xfId="6405" applyFont="1" applyFill="1" applyBorder="1"/>
    <xf numFmtId="170" fontId="6" fillId="0" borderId="0" xfId="6405" applyNumberFormat="1" applyFont="1" applyFill="1" applyBorder="1"/>
    <xf numFmtId="0" fontId="6" fillId="0" borderId="0" xfId="6419" applyFont="1" applyFill="1" applyBorder="1"/>
    <xf numFmtId="170" fontId="6" fillId="0" borderId="0" xfId="6419" applyNumberFormat="1" applyFont="1" applyFill="1" applyBorder="1"/>
    <xf numFmtId="0" fontId="9" fillId="0" borderId="0" xfId="0" applyFont="1" applyAlignment="1">
      <alignment horizontal="center"/>
    </xf>
    <xf numFmtId="10" fontId="0" fillId="0" borderId="0" xfId="90" applyNumberFormat="1" applyFont="1"/>
    <xf numFmtId="3" fontId="15" fillId="0" borderId="43" xfId="0" applyNumberFormat="1" applyFont="1" applyFill="1" applyBorder="1" applyAlignment="1">
      <alignment horizontal="right" vertical="center" wrapText="1"/>
    </xf>
    <xf numFmtId="0" fontId="7" fillId="0" borderId="43" xfId="0" applyFont="1" applyFill="1" applyBorder="1" applyAlignment="1">
      <alignment horizontal="left" vertical="center"/>
    </xf>
    <xf numFmtId="2" fontId="6" fillId="7" borderId="5" xfId="0" applyNumberFormat="1" applyFont="1" applyFill="1" applyBorder="1"/>
    <xf numFmtId="43" fontId="0" fillId="0" borderId="43" xfId="0" applyNumberFormat="1" applyFont="1" applyBorder="1"/>
    <xf numFmtId="43" fontId="0" fillId="2" borderId="0" xfId="0" applyNumberFormat="1" applyFont="1" applyFill="1" applyBorder="1"/>
    <xf numFmtId="43" fontId="0" fillId="0" borderId="0" xfId="0" applyNumberFormat="1" applyFont="1" applyBorder="1"/>
    <xf numFmtId="2" fontId="0" fillId="2" borderId="2" xfId="0" applyNumberFormat="1" applyFont="1" applyFill="1" applyBorder="1"/>
    <xf numFmtId="166" fontId="0" fillId="26" borderId="22" xfId="42" applyNumberFormat="1" applyFont="1" applyFill="1" applyBorder="1"/>
    <xf numFmtId="17" fontId="7" fillId="8" borderId="1" xfId="0" applyNumberFormat="1" applyFont="1" applyFill="1" applyBorder="1"/>
    <xf numFmtId="164" fontId="6" fillId="6" borderId="7" xfId="0" applyNumberFormat="1" applyFont="1" applyFill="1" applyBorder="1"/>
    <xf numFmtId="169" fontId="6" fillId="6" borderId="2" xfId="0" applyNumberFormat="1" applyFont="1" applyFill="1" applyBorder="1"/>
    <xf numFmtId="167" fontId="0" fillId="0" borderId="0" xfId="90" applyNumberFormat="1" applyFont="1"/>
    <xf numFmtId="169" fontId="0" fillId="0" borderId="35" xfId="0" applyNumberFormat="1" applyFont="1" applyBorder="1"/>
    <xf numFmtId="169" fontId="0" fillId="14" borderId="2" xfId="0" applyNumberFormat="1" applyFont="1" applyFill="1" applyBorder="1"/>
    <xf numFmtId="169" fontId="0" fillId="0" borderId="2" xfId="0" applyNumberFormat="1" applyFont="1" applyBorder="1"/>
    <xf numFmtId="9" fontId="6" fillId="0" borderId="0" xfId="90" applyFont="1" applyFill="1" applyBorder="1"/>
    <xf numFmtId="167" fontId="6" fillId="0" borderId="0" xfId="90" applyNumberFormat="1" applyFont="1" applyFill="1" applyBorder="1"/>
    <xf numFmtId="1" fontId="7" fillId="8" borderId="1" xfId="0" applyNumberFormat="1" applyFont="1" applyFill="1" applyBorder="1" applyAlignment="1">
      <alignment horizontal="center"/>
    </xf>
    <xf numFmtId="169" fontId="0" fillId="53" borderId="2" xfId="0" applyNumberFormat="1" applyFont="1" applyFill="1" applyBorder="1"/>
    <xf numFmtId="169" fontId="0" fillId="3" borderId="2" xfId="0" applyNumberFormat="1" applyFont="1" applyFill="1" applyBorder="1"/>
    <xf numFmtId="0" fontId="9" fillId="2" borderId="0" xfId="0" applyFont="1" applyFill="1" applyBorder="1" applyAlignment="1" applyProtection="1">
      <alignment horizontal="center"/>
    </xf>
    <xf numFmtId="9" fontId="0" fillId="0" borderId="0" xfId="0" applyNumberFormat="1" applyFont="1" applyFill="1" applyBorder="1"/>
    <xf numFmtId="166" fontId="6" fillId="0" borderId="0" xfId="49" applyNumberFormat="1" applyFont="1" applyFill="1" applyBorder="1" applyAlignment="1" applyProtection="1">
      <alignment horizontal="center"/>
    </xf>
    <xf numFmtId="166" fontId="6" fillId="0" borderId="0" xfId="49" applyNumberFormat="1" applyFont="1" applyFill="1" applyBorder="1" applyAlignment="1" applyProtection="1">
      <alignment horizontal="left"/>
    </xf>
    <xf numFmtId="166" fontId="6" fillId="2" borderId="0" xfId="49" applyNumberFormat="1" applyFont="1" applyFill="1" applyBorder="1" applyAlignment="1" applyProtection="1">
      <alignment horizontal="left"/>
    </xf>
    <xf numFmtId="166" fontId="6" fillId="2" borderId="0" xfId="49" applyNumberFormat="1" applyFont="1" applyFill="1" applyBorder="1" applyAlignment="1" applyProtection="1">
      <alignment horizontal="center"/>
    </xf>
    <xf numFmtId="0" fontId="0" fillId="8" borderId="0" xfId="0" applyFill="1"/>
    <xf numFmtId="6" fontId="0" fillId="0" borderId="0" xfId="0" applyNumberFormat="1" applyBorder="1"/>
    <xf numFmtId="6" fontId="0" fillId="0" borderId="0" xfId="0" applyNumberFormat="1" applyFill="1" applyBorder="1"/>
    <xf numFmtId="10" fontId="0" fillId="0" borderId="0" xfId="0" applyNumberFormat="1" applyBorder="1"/>
    <xf numFmtId="0" fontId="7" fillId="54" borderId="25" xfId="0" applyFont="1" applyFill="1" applyBorder="1"/>
    <xf numFmtId="0" fontId="0" fillId="0" borderId="0" xfId="0" applyFill="1" applyBorder="1"/>
    <xf numFmtId="170" fontId="0" fillId="0" borderId="0" xfId="0" applyNumberFormat="1"/>
    <xf numFmtId="0" fontId="0" fillId="0" borderId="0" xfId="0"/>
    <xf numFmtId="3" fontId="0" fillId="0" borderId="0" xfId="0" applyNumberFormat="1"/>
    <xf numFmtId="0" fontId="0" fillId="0" borderId="0" xfId="0" applyBorder="1"/>
    <xf numFmtId="0" fontId="0" fillId="7" borderId="13" xfId="0" applyFill="1" applyBorder="1"/>
    <xf numFmtId="170" fontId="0" fillId="7" borderId="13" xfId="0" applyNumberFormat="1" applyFill="1" applyBorder="1"/>
    <xf numFmtId="0" fontId="0" fillId="7" borderId="12" xfId="0" applyFill="1" applyBorder="1"/>
    <xf numFmtId="168" fontId="0" fillId="0" borderId="1" xfId="0" applyNumberFormat="1" applyFont="1" applyFill="1" applyBorder="1"/>
    <xf numFmtId="0" fontId="7" fillId="51" borderId="25" xfId="0" applyFont="1" applyFill="1" applyBorder="1"/>
    <xf numFmtId="0" fontId="7" fillId="51" borderId="27" xfId="0" applyFont="1" applyFill="1" applyBorder="1"/>
    <xf numFmtId="0" fontId="7" fillId="51" borderId="29" xfId="0" applyFont="1" applyFill="1" applyBorder="1"/>
    <xf numFmtId="0" fontId="0" fillId="0" borderId="31" xfId="0" applyNumberFormat="1" applyFont="1" applyFill="1" applyBorder="1"/>
    <xf numFmtId="178" fontId="0" fillId="0" borderId="31" xfId="0" applyNumberFormat="1" applyFont="1" applyFill="1" applyBorder="1"/>
    <xf numFmtId="2" fontId="8" fillId="2" borderId="7" xfId="0" applyNumberFormat="1" applyFont="1" applyFill="1" applyBorder="1"/>
    <xf numFmtId="169" fontId="8" fillId="2" borderId="2" xfId="0" applyNumberFormat="1" applyFont="1" applyFill="1" applyBorder="1"/>
    <xf numFmtId="3" fontId="8" fillId="2" borderId="7" xfId="0" applyNumberFormat="1" applyFont="1" applyFill="1" applyBorder="1"/>
    <xf numFmtId="164" fontId="8" fillId="2" borderId="7" xfId="0" applyNumberFormat="1" applyFont="1" applyFill="1" applyBorder="1"/>
    <xf numFmtId="0" fontId="6" fillId="0" borderId="0" xfId="0" applyFont="1" applyFill="1" applyBorder="1" applyAlignment="1" applyProtection="1"/>
    <xf numFmtId="166" fontId="6" fillId="0" borderId="0" xfId="0" applyNumberFormat="1" applyFont="1" applyFill="1" applyBorder="1" applyAlignment="1"/>
    <xf numFmtId="166" fontId="6" fillId="2" borderId="0" xfId="42" applyNumberFormat="1" applyFont="1" applyFill="1" applyBorder="1"/>
    <xf numFmtId="166" fontId="6" fillId="0" borderId="0" xfId="42" applyNumberFormat="1" applyFont="1" applyFill="1" applyBorder="1"/>
    <xf numFmtId="166" fontId="6" fillId="0" borderId="0" xfId="42" applyNumberFormat="1" applyFont="1" applyFill="1" applyBorder="1" applyAlignment="1" applyProtection="1">
      <alignment horizontal="center"/>
    </xf>
    <xf numFmtId="166" fontId="2" fillId="0" borderId="0" xfId="42" applyNumberFormat="1" applyFont="1"/>
    <xf numFmtId="166" fontId="6" fillId="2" borderId="0" xfId="42" applyNumberFormat="1" applyFont="1" applyFill="1" applyBorder="1" applyAlignment="1" applyProtection="1">
      <alignment horizontal="center"/>
    </xf>
    <xf numFmtId="166" fontId="35" fillId="0" borderId="0" xfId="42" applyNumberFormat="1" applyFont="1" applyFill="1" applyBorder="1"/>
    <xf numFmtId="166" fontId="8" fillId="0" borderId="0" xfId="42" applyNumberFormat="1" applyFont="1" applyFill="1" applyBorder="1"/>
    <xf numFmtId="166" fontId="6" fillId="0" borderId="0" xfId="42" applyNumberFormat="1" applyFont="1" applyFill="1" applyBorder="1" applyAlignment="1" applyProtection="1">
      <alignment horizontal="right"/>
    </xf>
    <xf numFmtId="166" fontId="6" fillId="2" borderId="0" xfId="49" applyNumberFormat="1" applyFont="1" applyFill="1" applyBorder="1" applyAlignment="1" applyProtection="1">
      <alignment horizontal="center"/>
    </xf>
    <xf numFmtId="9" fontId="0" fillId="0" borderId="0" xfId="90" applyNumberFormat="1" applyFont="1"/>
    <xf numFmtId="167" fontId="6" fillId="0" borderId="0" xfId="90" applyNumberFormat="1" applyFont="1"/>
    <xf numFmtId="0" fontId="0" fillId="0" borderId="0" xfId="0"/>
    <xf numFmtId="169" fontId="0" fillId="0" borderId="0" xfId="0" applyNumberFormat="1"/>
    <xf numFmtId="171" fontId="6" fillId="0" borderId="0" xfId="0" applyNumberFormat="1" applyFont="1"/>
    <xf numFmtId="171" fontId="11" fillId="0" borderId="0" xfId="0" applyNumberFormat="1" applyFont="1"/>
    <xf numFmtId="185" fontId="13" fillId="0" borderId="0" xfId="137" applyFont="1"/>
    <xf numFmtId="0" fontId="61" fillId="30" borderId="30" xfId="0" applyFont="1" applyFill="1" applyBorder="1" applyAlignment="1" applyProtection="1">
      <alignment horizontal="left"/>
    </xf>
    <xf numFmtId="0" fontId="61" fillId="30" borderId="1" xfId="0" applyFont="1" applyFill="1" applyBorder="1" applyAlignment="1" applyProtection="1">
      <alignment horizontal="left"/>
    </xf>
    <xf numFmtId="0" fontId="61" fillId="30" borderId="0" xfId="0" applyFont="1" applyFill="1" applyBorder="1" applyAlignment="1" applyProtection="1">
      <alignment horizontal="right"/>
    </xf>
    <xf numFmtId="0" fontId="61" fillId="30" borderId="2" xfId="0" applyFont="1" applyFill="1" applyBorder="1" applyAlignment="1" applyProtection="1">
      <alignment horizontal="left"/>
    </xf>
    <xf numFmtId="0" fontId="61" fillId="30" borderId="1" xfId="0" applyFont="1" applyFill="1" applyBorder="1" applyAlignment="1" applyProtection="1">
      <alignment horizontal="right"/>
    </xf>
    <xf numFmtId="0" fontId="61" fillId="30" borderId="2" xfId="0" applyFont="1" applyFill="1" applyBorder="1" applyAlignment="1" applyProtection="1">
      <alignment horizontal="right"/>
    </xf>
    <xf numFmtId="0" fontId="61" fillId="30" borderId="3" xfId="0" applyFont="1" applyFill="1" applyBorder="1" applyAlignment="1" applyProtection="1">
      <alignment horizontal="left"/>
    </xf>
    <xf numFmtId="0" fontId="61" fillId="30" borderId="3" xfId="0" applyFont="1" applyFill="1" applyBorder="1" applyAlignment="1" applyProtection="1">
      <alignment horizontal="center"/>
    </xf>
    <xf numFmtId="0" fontId="61" fillId="30" borderId="4" xfId="0" applyFont="1" applyFill="1" applyBorder="1" applyAlignment="1" applyProtection="1">
      <alignment horizontal="center"/>
    </xf>
    <xf numFmtId="0" fontId="61" fillId="30" borderId="5" xfId="0" applyFont="1" applyFill="1" applyBorder="1" applyAlignment="1" applyProtection="1">
      <alignment horizontal="center"/>
    </xf>
    <xf numFmtId="0" fontId="63" fillId="2" borderId="1" xfId="0" applyFont="1" applyFill="1" applyBorder="1" applyAlignment="1" applyProtection="1">
      <alignment horizontal="left"/>
      <protection locked="0"/>
    </xf>
    <xf numFmtId="3" fontId="14" fillId="2" borderId="0" xfId="0" applyNumberFormat="1" applyFont="1" applyFill="1" applyBorder="1"/>
    <xf numFmtId="3" fontId="14" fillId="2" borderId="1" xfId="0" applyNumberFormat="1" applyFont="1" applyFill="1" applyBorder="1"/>
    <xf numFmtId="3" fontId="14" fillId="2" borderId="2" xfId="0" applyNumberFormat="1" applyFont="1" applyFill="1" applyBorder="1"/>
    <xf numFmtId="3" fontId="14" fillId="7" borderId="0" xfId="0" applyNumberFormat="1" applyFont="1" applyFill="1" applyBorder="1"/>
    <xf numFmtId="0" fontId="59" fillId="2" borderId="1" xfId="0" applyFont="1" applyFill="1" applyBorder="1" applyAlignment="1" applyProtection="1">
      <alignment horizontal="left"/>
      <protection locked="0"/>
    </xf>
    <xf numFmtId="3" fontId="65" fillId="0" borderId="0" xfId="0" applyNumberFormat="1" applyFont="1" applyFill="1" applyBorder="1"/>
    <xf numFmtId="0" fontId="60" fillId="2" borderId="1" xfId="0" applyFont="1" applyFill="1" applyBorder="1" applyAlignment="1" applyProtection="1">
      <alignment horizontal="left"/>
      <protection locked="0"/>
    </xf>
    <xf numFmtId="0" fontId="64" fillId="2" borderId="1" xfId="0" applyFont="1" applyFill="1" applyBorder="1" applyAlignment="1" applyProtection="1">
      <alignment horizontal="left"/>
    </xf>
    <xf numFmtId="3" fontId="14" fillId="2" borderId="0" xfId="0" applyNumberFormat="1" applyFont="1" applyFill="1" applyBorder="1" applyAlignment="1">
      <alignment horizontal="right"/>
    </xf>
    <xf numFmtId="3" fontId="14" fillId="2" borderId="1" xfId="0" applyNumberFormat="1" applyFont="1" applyFill="1" applyBorder="1" applyAlignment="1">
      <alignment horizontal="right"/>
    </xf>
    <xf numFmtId="0" fontId="63" fillId="30" borderId="1" xfId="0" applyFont="1" applyFill="1" applyBorder="1" applyAlignment="1" applyProtection="1">
      <alignment horizontal="left"/>
      <protection locked="0"/>
    </xf>
    <xf numFmtId="3" fontId="14" fillId="30" borderId="0" xfId="0" applyNumberFormat="1" applyFont="1" applyFill="1" applyBorder="1"/>
    <xf numFmtId="3" fontId="14" fillId="30" borderId="1" xfId="0" applyNumberFormat="1" applyFont="1" applyFill="1" applyBorder="1"/>
    <xf numFmtId="3" fontId="14" fillId="30" borderId="0" xfId="0" quotePrefix="1" applyNumberFormat="1" applyFont="1" applyFill="1" applyBorder="1" applyAlignment="1">
      <alignment horizontal="left"/>
    </xf>
    <xf numFmtId="3" fontId="14" fillId="30" borderId="2" xfId="0" quotePrefix="1" applyNumberFormat="1" applyFont="1" applyFill="1" applyBorder="1" applyAlignment="1">
      <alignment horizontal="left"/>
    </xf>
    <xf numFmtId="3" fontId="14" fillId="30" borderId="2" xfId="0" applyNumberFormat="1" applyFont="1" applyFill="1" applyBorder="1" applyProtection="1"/>
    <xf numFmtId="0" fontId="62" fillId="30" borderId="3" xfId="0" applyFont="1" applyFill="1" applyBorder="1"/>
    <xf numFmtId="0" fontId="62" fillId="30" borderId="4" xfId="0" applyFont="1" applyFill="1" applyBorder="1" applyAlignment="1">
      <alignment horizontal="center"/>
    </xf>
    <xf numFmtId="0" fontId="62" fillId="30" borderId="4" xfId="0" applyFont="1" applyFill="1" applyBorder="1"/>
    <xf numFmtId="0" fontId="62" fillId="30" borderId="5" xfId="0" applyFont="1" applyFill="1" applyBorder="1"/>
    <xf numFmtId="0" fontId="0" fillId="30" borderId="44" xfId="0" applyFill="1" applyBorder="1"/>
    <xf numFmtId="0" fontId="0" fillId="30" borderId="3" xfId="0" applyFill="1" applyBorder="1"/>
    <xf numFmtId="178" fontId="2" fillId="30" borderId="3" xfId="0" applyNumberFormat="1" applyFont="1" applyFill="1" applyBorder="1" applyAlignment="1">
      <alignment horizontal="right"/>
    </xf>
    <xf numFmtId="0" fontId="0" fillId="30" borderId="5" xfId="0" applyFill="1" applyBorder="1" applyAlignment="1">
      <alignment horizontal="right"/>
    </xf>
    <xf numFmtId="178" fontId="2" fillId="30" borderId="4" xfId="0" applyNumberFormat="1" applyFont="1" applyFill="1" applyBorder="1" applyAlignment="1">
      <alignment horizontal="right"/>
    </xf>
    <xf numFmtId="0" fontId="0" fillId="2" borderId="30" xfId="0" applyFill="1" applyBorder="1"/>
    <xf numFmtId="178" fontId="2" fillId="2" borderId="30" xfId="0" applyNumberFormat="1" applyFont="1" applyFill="1" applyBorder="1" applyAlignment="1">
      <alignment horizontal="right"/>
    </xf>
    <xf numFmtId="167" fontId="2" fillId="2" borderId="35" xfId="0" applyNumberFormat="1" applyFont="1" applyFill="1" applyBorder="1" applyAlignment="1">
      <alignment horizontal="right"/>
    </xf>
    <xf numFmtId="178" fontId="2" fillId="2" borderId="43" xfId="0" applyNumberFormat="1" applyFont="1" applyFill="1" applyBorder="1" applyAlignment="1">
      <alignment horizontal="right"/>
    </xf>
    <xf numFmtId="0" fontId="0" fillId="2" borderId="1" xfId="0" applyFill="1" applyBorder="1"/>
    <xf numFmtId="178" fontId="2" fillId="2" borderId="1" xfId="0" applyNumberFormat="1" applyFont="1" applyFill="1" applyBorder="1" applyAlignment="1">
      <alignment horizontal="right"/>
    </xf>
    <xf numFmtId="167" fontId="2" fillId="2" borderId="2" xfId="0" applyNumberFormat="1" applyFont="1" applyFill="1" applyBorder="1" applyAlignment="1">
      <alignment horizontal="right"/>
    </xf>
    <xf numFmtId="178" fontId="2" fillId="2" borderId="0" xfId="0" applyNumberFormat="1" applyFont="1" applyFill="1" applyBorder="1" applyAlignment="1">
      <alignment horizontal="right"/>
    </xf>
    <xf numFmtId="0" fontId="0" fillId="2" borderId="3" xfId="0" applyFill="1" applyBorder="1"/>
    <xf numFmtId="178" fontId="2" fillId="2" borderId="3" xfId="0" applyNumberFormat="1" applyFont="1" applyFill="1" applyBorder="1" applyAlignment="1">
      <alignment horizontal="right"/>
    </xf>
    <xf numFmtId="167" fontId="2" fillId="2" borderId="5" xfId="0" applyNumberFormat="1" applyFont="1" applyFill="1" applyBorder="1" applyAlignment="1">
      <alignment horizontal="right"/>
    </xf>
    <xf numFmtId="178" fontId="2" fillId="2" borderId="4" xfId="0" applyNumberFormat="1" applyFont="1" applyFill="1" applyBorder="1" applyAlignment="1">
      <alignment horizontal="right"/>
    </xf>
    <xf numFmtId="0" fontId="0" fillId="104" borderId="1" xfId="0" applyFill="1" applyBorder="1"/>
    <xf numFmtId="0" fontId="0" fillId="105" borderId="25" xfId="0" applyFill="1" applyBorder="1"/>
    <xf numFmtId="178" fontId="2" fillId="105" borderId="25" xfId="0" applyNumberFormat="1" applyFont="1" applyFill="1" applyBorder="1" applyAlignment="1">
      <alignment horizontal="right"/>
    </xf>
    <xf numFmtId="167" fontId="2" fillId="105" borderId="26" xfId="0" applyNumberFormat="1" applyFont="1" applyFill="1" applyBorder="1" applyAlignment="1">
      <alignment horizontal="right"/>
    </xf>
    <xf numFmtId="178" fontId="2" fillId="105" borderId="33" xfId="0" applyNumberFormat="1" applyFont="1" applyFill="1" applyBorder="1" applyAlignment="1">
      <alignment horizontal="right"/>
    </xf>
    <xf numFmtId="0" fontId="7" fillId="25" borderId="1" xfId="0" applyFont="1" applyFill="1" applyBorder="1" applyAlignment="1">
      <alignment horizontal="left" indent="1"/>
    </xf>
    <xf numFmtId="0" fontId="7" fillId="25" borderId="3" xfId="0" applyFont="1" applyFill="1" applyBorder="1" applyAlignment="1">
      <alignment horizontal="left" indent="1"/>
    </xf>
    <xf numFmtId="170" fontId="9" fillId="28" borderId="7" xfId="0" applyNumberFormat="1" applyFont="1" applyFill="1" applyBorder="1" applyAlignment="1" applyProtection="1">
      <alignment horizontal="right"/>
    </xf>
    <xf numFmtId="166" fontId="6" fillId="28" borderId="7" xfId="0" applyNumberFormat="1" applyFont="1" applyFill="1" applyBorder="1" applyAlignment="1" applyProtection="1">
      <alignment horizontal="right"/>
    </xf>
    <xf numFmtId="170" fontId="6" fillId="28" borderId="7" xfId="0" applyNumberFormat="1" applyFont="1" applyFill="1" applyBorder="1" applyAlignment="1" applyProtection="1">
      <alignment horizontal="right"/>
    </xf>
    <xf numFmtId="166" fontId="0" fillId="0" borderId="0" xfId="42" applyNumberFormat="1" applyFont="1" applyAlignment="1">
      <alignment horizontal="right"/>
    </xf>
    <xf numFmtId="166" fontId="6" fillId="28" borderId="0" xfId="42" applyNumberFormat="1" applyFont="1" applyFill="1" applyBorder="1" applyAlignment="1" applyProtection="1">
      <alignment horizontal="right"/>
    </xf>
    <xf numFmtId="166" fontId="9" fillId="28" borderId="0" xfId="42" applyNumberFormat="1" applyFont="1" applyFill="1" applyBorder="1" applyAlignment="1" applyProtection="1">
      <alignment horizontal="right"/>
    </xf>
    <xf numFmtId="0" fontId="5" fillId="0" borderId="0" xfId="0" applyFont="1" applyAlignment="1">
      <alignment horizontal="center"/>
    </xf>
    <xf numFmtId="0" fontId="0" fillId="106" borderId="0" xfId="0" applyFont="1" applyFill="1"/>
    <xf numFmtId="17" fontId="7" fillId="107" borderId="1" xfId="0" applyNumberFormat="1" applyFont="1" applyFill="1" applyBorder="1"/>
    <xf numFmtId="164" fontId="6" fillId="106" borderId="7" xfId="0" applyNumberFormat="1" applyFont="1" applyFill="1" applyBorder="1"/>
    <xf numFmtId="169" fontId="6" fillId="106" borderId="2" xfId="0" applyNumberFormat="1" applyFont="1" applyFill="1" applyBorder="1"/>
    <xf numFmtId="0" fontId="9" fillId="0" borderId="46" xfId="0" applyFont="1" applyFill="1" applyBorder="1" applyAlignment="1"/>
    <xf numFmtId="0" fontId="7" fillId="107" borderId="33" xfId="0" applyFont="1" applyFill="1" applyBorder="1" applyAlignment="1">
      <alignment horizontal="center"/>
    </xf>
    <xf numFmtId="0" fontId="7" fillId="107" borderId="26" xfId="0" applyFont="1" applyFill="1" applyBorder="1" applyAlignment="1">
      <alignment horizontal="center"/>
    </xf>
    <xf numFmtId="0" fontId="7" fillId="107" borderId="44" xfId="0" applyFont="1" applyFill="1" applyBorder="1" applyAlignment="1">
      <alignment horizontal="center"/>
    </xf>
    <xf numFmtId="0" fontId="0" fillId="0" borderId="30" xfId="0" applyBorder="1"/>
    <xf numFmtId="0" fontId="0" fillId="0" borderId="35" xfId="0" applyBorder="1"/>
    <xf numFmtId="0" fontId="0" fillId="0" borderId="3" xfId="0" applyBorder="1"/>
    <xf numFmtId="0" fontId="0" fillId="0" borderId="5" xfId="0" applyBorder="1"/>
    <xf numFmtId="169" fontId="0" fillId="106" borderId="0" xfId="0" applyNumberFormat="1" applyFont="1" applyFill="1"/>
    <xf numFmtId="164" fontId="6" fillId="0" borderId="6" xfId="0" applyNumberFormat="1" applyFont="1" applyFill="1" applyBorder="1"/>
    <xf numFmtId="0" fontId="7" fillId="107" borderId="1" xfId="0" applyNumberFormat="1" applyFont="1" applyFill="1" applyBorder="1" applyAlignment="1">
      <alignment horizontal="center"/>
    </xf>
    <xf numFmtId="0" fontId="7" fillId="107" borderId="3" xfId="0" applyNumberFormat="1" applyFont="1" applyFill="1" applyBorder="1" applyAlignment="1">
      <alignment horizontal="center"/>
    </xf>
    <xf numFmtId="0" fontId="5" fillId="107" borderId="30" xfId="0" applyFont="1" applyFill="1" applyBorder="1" applyAlignment="1">
      <alignment horizontal="center"/>
    </xf>
    <xf numFmtId="0" fontId="7" fillId="107" borderId="22" xfId="0" applyFont="1" applyFill="1" applyBorder="1" applyAlignment="1">
      <alignment horizontal="center"/>
    </xf>
    <xf numFmtId="0" fontId="7" fillId="108" borderId="3" xfId="0" applyFont="1" applyFill="1" applyBorder="1"/>
    <xf numFmtId="0" fontId="7" fillId="108" borderId="8" xfId="0" applyFont="1" applyFill="1" applyBorder="1" applyAlignment="1">
      <alignment horizontal="center"/>
    </xf>
    <xf numFmtId="0" fontId="7" fillId="108" borderId="32" xfId="0" applyFont="1" applyFill="1" applyBorder="1" applyAlignment="1">
      <alignment horizontal="center"/>
    </xf>
    <xf numFmtId="169" fontId="0" fillId="109" borderId="28" xfId="0" applyNumberFormat="1" applyFont="1" applyFill="1" applyBorder="1"/>
    <xf numFmtId="169" fontId="0" fillId="109" borderId="31" xfId="0" applyNumberFormat="1" applyFont="1" applyFill="1" applyBorder="1"/>
    <xf numFmtId="169" fontId="0" fillId="109" borderId="32" xfId="0" applyNumberFormat="1" applyFont="1" applyFill="1" applyBorder="1"/>
    <xf numFmtId="0" fontId="0" fillId="0" borderId="0" xfId="0" applyNumberFormat="1"/>
    <xf numFmtId="0" fontId="95" fillId="0" borderId="0" xfId="0" applyFont="1"/>
    <xf numFmtId="0" fontId="7" fillId="30" borderId="46" xfId="0" applyFont="1" applyFill="1" applyBorder="1"/>
    <xf numFmtId="37" fontId="61" fillId="30" borderId="0" xfId="0" applyNumberFormat="1" applyFont="1" applyFill="1" applyBorder="1" applyAlignment="1" applyProtection="1">
      <alignment horizontal="center"/>
    </xf>
    <xf numFmtId="0" fontId="61" fillId="30" borderId="0" xfId="0" applyFont="1" applyFill="1" applyBorder="1" applyAlignment="1" applyProtection="1">
      <alignment horizontal="center"/>
    </xf>
    <xf numFmtId="0" fontId="62" fillId="30" borderId="0" xfId="0" applyFont="1" applyFill="1" applyBorder="1"/>
    <xf numFmtId="3" fontId="96" fillId="0" borderId="0" xfId="0" applyNumberFormat="1" applyFont="1" applyFill="1" applyBorder="1"/>
    <xf numFmtId="3" fontId="96" fillId="30" borderId="0" xfId="0" applyNumberFormat="1" applyFont="1" applyFill="1" applyBorder="1" applyProtection="1"/>
    <xf numFmtId="0" fontId="7" fillId="22" borderId="22" xfId="0" applyFont="1" applyFill="1" applyBorder="1" applyAlignment="1">
      <alignment horizontal="center" vertical="center"/>
    </xf>
    <xf numFmtId="0" fontId="7" fillId="23" borderId="3" xfId="0" applyFont="1" applyFill="1" applyBorder="1"/>
    <xf numFmtId="0" fontId="7" fillId="22" borderId="8" xfId="0" applyFont="1" applyFill="1" applyBorder="1" applyAlignment="1">
      <alignment horizontal="center" vertical="center"/>
    </xf>
    <xf numFmtId="0" fontId="7" fillId="23" borderId="5" xfId="0" applyFont="1" applyFill="1" applyBorder="1"/>
    <xf numFmtId="0" fontId="0" fillId="0" borderId="0" xfId="0" applyBorder="1"/>
    <xf numFmtId="0" fontId="0" fillId="0" borderId="0" xfId="0"/>
    <xf numFmtId="0" fontId="7" fillId="22" borderId="43" xfId="0" applyFont="1" applyFill="1" applyBorder="1"/>
    <xf numFmtId="166" fontId="0" fillId="14" borderId="0" xfId="42" applyNumberFormat="1" applyFont="1" applyFill="1" applyBorder="1"/>
    <xf numFmtId="169" fontId="0" fillId="0" borderId="2" xfId="0" applyNumberFormat="1" applyBorder="1"/>
    <xf numFmtId="0" fontId="7" fillId="22" borderId="35" xfId="0" applyFont="1" applyFill="1" applyBorder="1"/>
    <xf numFmtId="166" fontId="0" fillId="0" borderId="0" xfId="42" applyNumberFormat="1" applyFont="1" applyBorder="1"/>
    <xf numFmtId="169" fontId="0" fillId="14" borderId="2" xfId="0" applyNumberFormat="1" applyFill="1" applyBorder="1"/>
    <xf numFmtId="0" fontId="7" fillId="22" borderId="1" xfId="0" applyFont="1" applyFill="1" applyBorder="1"/>
    <xf numFmtId="0" fontId="7" fillId="22" borderId="30" xfId="0" applyFont="1" applyFill="1" applyBorder="1"/>
    <xf numFmtId="0" fontId="7" fillId="22" borderId="3" xfId="0" applyFont="1" applyFill="1" applyBorder="1"/>
    <xf numFmtId="2" fontId="0" fillId="6" borderId="2" xfId="0" applyNumberFormat="1" applyFont="1" applyFill="1" applyBorder="1"/>
    <xf numFmtId="2" fontId="0" fillId="0" borderId="16" xfId="0" applyNumberFormat="1" applyFont="1" applyBorder="1" applyProtection="1"/>
    <xf numFmtId="2" fontId="0" fillId="5" borderId="16" xfId="0" applyNumberFormat="1" applyFont="1" applyFill="1" applyBorder="1" applyProtection="1"/>
    <xf numFmtId="2" fontId="0" fillId="0" borderId="18" xfId="0" applyNumberFormat="1" applyFont="1" applyBorder="1" applyProtection="1"/>
    <xf numFmtId="2" fontId="0" fillId="0" borderId="23" xfId="0" applyNumberFormat="1" applyFont="1" applyBorder="1" applyProtection="1"/>
    <xf numFmtId="2" fontId="0" fillId="5" borderId="23" xfId="0" applyNumberFormat="1" applyFont="1" applyFill="1" applyBorder="1" applyProtection="1"/>
    <xf numFmtId="2" fontId="0" fillId="0" borderId="24" xfId="0" applyNumberFormat="1" applyFont="1" applyBorder="1" applyProtection="1"/>
    <xf numFmtId="2" fontId="0" fillId="6" borderId="0" xfId="0" applyNumberFormat="1" applyFont="1" applyFill="1" applyBorder="1"/>
    <xf numFmtId="2" fontId="0" fillId="52" borderId="31" xfId="0" applyNumberFormat="1" applyFont="1" applyFill="1" applyBorder="1" applyProtection="1"/>
    <xf numFmtId="10" fontId="0" fillId="0" borderId="0" xfId="90" applyNumberFormat="1" applyFont="1" applyBorder="1"/>
    <xf numFmtId="44" fontId="0" fillId="0" borderId="0" xfId="89" applyFont="1"/>
    <xf numFmtId="44" fontId="0" fillId="0" borderId="0" xfId="0" applyNumberFormat="1"/>
    <xf numFmtId="164" fontId="6" fillId="106" borderId="0" xfId="0" applyNumberFormat="1" applyFont="1" applyFill="1" applyBorder="1"/>
    <xf numFmtId="164" fontId="6" fillId="0" borderId="0" xfId="0" applyNumberFormat="1" applyFont="1" applyFill="1" applyBorder="1"/>
    <xf numFmtId="0" fontId="7" fillId="107" borderId="25" xfId="0" applyFont="1" applyFill="1" applyBorder="1"/>
    <xf numFmtId="0" fontId="7" fillId="107" borderId="33" xfId="0" applyFont="1" applyFill="1" applyBorder="1"/>
    <xf numFmtId="0" fontId="7" fillId="107" borderId="26" xfId="0" applyFont="1" applyFill="1" applyBorder="1"/>
    <xf numFmtId="188" fontId="6" fillId="106" borderId="2" xfId="0" applyNumberFormat="1" applyFont="1" applyFill="1" applyBorder="1"/>
    <xf numFmtId="188" fontId="0" fillId="0" borderId="0" xfId="0" applyNumberFormat="1" applyFont="1" applyFill="1" applyBorder="1"/>
    <xf numFmtId="6" fontId="6" fillId="0" borderId="0" xfId="0" applyNumberFormat="1" applyFont="1" applyBorder="1"/>
    <xf numFmtId="9" fontId="11" fillId="0" borderId="0" xfId="90" applyFont="1"/>
    <xf numFmtId="2" fontId="11" fillId="0" borderId="0" xfId="0" applyNumberFormat="1" applyFont="1"/>
    <xf numFmtId="0" fontId="7" fillId="56" borderId="43" xfId="0" applyFont="1" applyFill="1" applyBorder="1" applyAlignment="1">
      <alignment horizontal="right"/>
    </xf>
    <xf numFmtId="0" fontId="7" fillId="56" borderId="36" xfId="0" applyFont="1" applyFill="1" applyBorder="1" applyAlignment="1">
      <alignment horizontal="right"/>
    </xf>
    <xf numFmtId="0" fontId="7" fillId="56" borderId="28" xfId="0" applyFont="1" applyFill="1" applyBorder="1" applyAlignment="1">
      <alignment horizontal="right"/>
    </xf>
    <xf numFmtId="0" fontId="7" fillId="56" borderId="32" xfId="0" applyFont="1" applyFill="1" applyBorder="1" applyAlignment="1">
      <alignment horizontal="right"/>
    </xf>
    <xf numFmtId="3" fontId="7" fillId="61" borderId="35" xfId="0" applyNumberFormat="1" applyFont="1" applyFill="1" applyBorder="1" applyAlignment="1">
      <alignment vertical="center"/>
    </xf>
    <xf numFmtId="0" fontId="97" fillId="61" borderId="3" xfId="0" applyFont="1" applyFill="1" applyBorder="1"/>
    <xf numFmtId="0" fontId="97" fillId="61" borderId="4" xfId="0" applyFont="1" applyFill="1" applyBorder="1"/>
    <xf numFmtId="0" fontId="97" fillId="15" borderId="4" xfId="0" applyFont="1" applyFill="1" applyBorder="1"/>
    <xf numFmtId="166" fontId="97" fillId="61" borderId="4" xfId="0" applyNumberFormat="1" applyFont="1" applyFill="1" applyBorder="1"/>
    <xf numFmtId="166" fontId="11" fillId="61" borderId="5" xfId="0" applyNumberFormat="1" applyFont="1" applyFill="1" applyBorder="1"/>
    <xf numFmtId="169" fontId="0" fillId="2" borderId="2" xfId="0" applyNumberFormat="1" applyFont="1" applyFill="1" applyBorder="1"/>
    <xf numFmtId="2" fontId="0" fillId="0" borderId="4" xfId="0" applyNumberFormat="1" applyFont="1" applyBorder="1"/>
    <xf numFmtId="10" fontId="6" fillId="0" borderId="0" xfId="90" applyNumberFormat="1" applyFont="1" applyBorder="1"/>
    <xf numFmtId="170" fontId="0" fillId="20" borderId="7" xfId="0" applyNumberFormat="1" applyFont="1" applyFill="1" applyBorder="1"/>
    <xf numFmtId="170" fontId="0" fillId="20" borderId="22" xfId="0" applyNumberFormat="1" applyFont="1" applyFill="1" applyBorder="1"/>
    <xf numFmtId="17" fontId="11" fillId="0" borderId="0" xfId="0" applyNumberFormat="1" applyFont="1"/>
    <xf numFmtId="10" fontId="5" fillId="0" borderId="0" xfId="90" applyNumberFormat="1" applyFont="1"/>
    <xf numFmtId="3" fontId="6" fillId="7" borderId="6" xfId="0" applyNumberFormat="1" applyFont="1" applyFill="1" applyBorder="1"/>
    <xf numFmtId="3" fontId="6" fillId="7" borderId="5" xfId="0" applyNumberFormat="1" applyFont="1" applyFill="1" applyBorder="1"/>
    <xf numFmtId="166" fontId="6" fillId="0" borderId="0" xfId="6534" applyNumberFormat="1" applyFont="1" applyFill="1" applyBorder="1" applyAlignment="1" applyProtection="1">
      <alignment horizontal="left"/>
    </xf>
    <xf numFmtId="166" fontId="6" fillId="0" borderId="0" xfId="6534" applyNumberFormat="1" applyFont="1" applyFill="1" applyBorder="1" applyAlignment="1" applyProtection="1">
      <alignment horizontal="center"/>
    </xf>
    <xf numFmtId="2" fontId="0" fillId="13" borderId="9" xfId="0" applyNumberFormat="1" applyFont="1" applyFill="1" applyBorder="1"/>
    <xf numFmtId="166" fontId="0" fillId="0" borderId="0" xfId="42" applyNumberFormat="1" applyFont="1" applyFill="1" applyBorder="1"/>
    <xf numFmtId="43" fontId="0" fillId="0" borderId="0" xfId="42" applyFont="1"/>
    <xf numFmtId="169" fontId="0" fillId="0" borderId="0" xfId="89" applyNumberFormat="1" applyFont="1"/>
    <xf numFmtId="2" fontId="6" fillId="104" borderId="7" xfId="0" applyNumberFormat="1" applyFont="1" applyFill="1" applyBorder="1"/>
    <xf numFmtId="2" fontId="0" fillId="26" borderId="45" xfId="0" applyNumberFormat="1" applyFont="1" applyFill="1" applyBorder="1"/>
    <xf numFmtId="2" fontId="0" fillId="26" borderId="9" xfId="0" applyNumberFormat="1" applyFont="1" applyFill="1" applyBorder="1"/>
    <xf numFmtId="2" fontId="0" fillId="17" borderId="9" xfId="0" applyNumberFormat="1" applyFont="1" applyFill="1" applyBorder="1"/>
    <xf numFmtId="166" fontId="0" fillId="0" borderId="9" xfId="0" applyNumberFormat="1" applyFont="1" applyBorder="1"/>
    <xf numFmtId="166" fontId="0" fillId="26" borderId="9" xfId="0" applyNumberFormat="1" applyFont="1" applyFill="1" applyBorder="1"/>
    <xf numFmtId="166" fontId="0" fillId="0" borderId="64" xfId="0" applyNumberFormat="1" applyFont="1" applyBorder="1"/>
    <xf numFmtId="166" fontId="0" fillId="0" borderId="9" xfId="42" applyNumberFormat="1" applyFont="1" applyBorder="1"/>
    <xf numFmtId="166" fontId="0" fillId="26" borderId="9" xfId="42" applyNumberFormat="1" applyFont="1" applyFill="1" applyBorder="1"/>
    <xf numFmtId="166" fontId="0" fillId="0" borderId="64" xfId="42" applyNumberFormat="1" applyFont="1" applyBorder="1"/>
    <xf numFmtId="164" fontId="0" fillId="7" borderId="0" xfId="0" applyNumberFormat="1" applyFont="1" applyFill="1" applyBorder="1"/>
    <xf numFmtId="169" fontId="0" fillId="7" borderId="2" xfId="0" applyNumberFormat="1" applyFont="1" applyFill="1" applyBorder="1"/>
    <xf numFmtId="164" fontId="0" fillId="7" borderId="43" xfId="0" applyNumberFormat="1" applyFont="1" applyFill="1" applyBorder="1"/>
    <xf numFmtId="169" fontId="0" fillId="7" borderId="35" xfId="0" applyNumberFormat="1" applyFont="1" applyFill="1" applyBorder="1"/>
    <xf numFmtId="164" fontId="0" fillId="7" borderId="4" xfId="0" applyNumberFormat="1" applyFont="1" applyFill="1" applyBorder="1"/>
    <xf numFmtId="169" fontId="0" fillId="7" borderId="5" xfId="0" applyNumberFormat="1" applyFont="1" applyFill="1" applyBorder="1"/>
    <xf numFmtId="170" fontId="0" fillId="20" borderId="45" xfId="0" applyNumberFormat="1" applyFont="1" applyFill="1" applyBorder="1"/>
    <xf numFmtId="170" fontId="0" fillId="0" borderId="9" xfId="0" applyNumberFormat="1" applyFont="1" applyBorder="1"/>
    <xf numFmtId="170" fontId="0" fillId="0" borderId="7" xfId="0" applyNumberFormat="1" applyFont="1" applyBorder="1"/>
    <xf numFmtId="170" fontId="0" fillId="20" borderId="9" xfId="0" applyNumberFormat="1" applyFont="1" applyFill="1" applyBorder="1"/>
    <xf numFmtId="170" fontId="0" fillId="0" borderId="64" xfId="0" applyNumberFormat="1" applyFont="1" applyBorder="1"/>
    <xf numFmtId="170" fontId="0" fillId="0" borderId="14" xfId="0" applyNumberFormat="1" applyFont="1" applyBorder="1"/>
    <xf numFmtId="2" fontId="0" fillId="7" borderId="4" xfId="0" applyNumberFormat="1" applyFont="1" applyFill="1" applyBorder="1"/>
    <xf numFmtId="2" fontId="0" fillId="7" borderId="0" xfId="0" applyNumberFormat="1" applyFont="1" applyFill="1" applyBorder="1"/>
    <xf numFmtId="2" fontId="0" fillId="7" borderId="43" xfId="0" applyNumberFormat="1" applyFont="1" applyFill="1" applyBorder="1"/>
    <xf numFmtId="0" fontId="0" fillId="7" borderId="5" xfId="0" applyFont="1" applyFill="1" applyBorder="1"/>
    <xf numFmtId="0" fontId="0" fillId="7" borderId="2" xfId="0" applyFont="1" applyFill="1" applyBorder="1"/>
    <xf numFmtId="2" fontId="0" fillId="52" borderId="28" xfId="0" applyNumberFormat="1" applyFont="1" applyFill="1" applyBorder="1" applyProtection="1"/>
    <xf numFmtId="2" fontId="0" fillId="0" borderId="38" xfId="0" applyNumberFormat="1" applyFont="1" applyBorder="1" applyProtection="1"/>
    <xf numFmtId="2" fontId="0" fillId="0" borderId="31" xfId="0" applyNumberFormat="1" applyFont="1" applyBorder="1" applyProtection="1"/>
    <xf numFmtId="164" fontId="0" fillId="0" borderId="38" xfId="0" applyNumberFormat="1" applyFont="1" applyBorder="1" applyProtection="1"/>
    <xf numFmtId="2" fontId="0" fillId="52" borderId="38" xfId="0" applyNumberFormat="1" applyFont="1" applyFill="1" applyBorder="1" applyProtection="1"/>
    <xf numFmtId="164" fontId="0" fillId="52" borderId="38" xfId="0" applyNumberFormat="1" applyFont="1" applyFill="1" applyBorder="1" applyProtection="1"/>
    <xf numFmtId="2" fontId="0" fillId="0" borderId="39" xfId="0" applyNumberFormat="1" applyFont="1" applyBorder="1" applyProtection="1"/>
    <xf numFmtId="2" fontId="0" fillId="0" borderId="32" xfId="0" applyNumberFormat="1" applyFont="1" applyBorder="1" applyProtection="1"/>
    <xf numFmtId="164" fontId="0" fillId="0" borderId="39" xfId="0" applyNumberFormat="1" applyFont="1" applyBorder="1" applyProtection="1"/>
    <xf numFmtId="2" fontId="0" fillId="5" borderId="9" xfId="0" applyNumberFormat="1" applyFont="1" applyFill="1" applyBorder="1"/>
    <xf numFmtId="2" fontId="0" fillId="7" borderId="35" xfId="0" applyNumberFormat="1" applyFont="1" applyFill="1" applyBorder="1"/>
    <xf numFmtId="2" fontId="0" fillId="10" borderId="2" xfId="0" applyNumberFormat="1" applyFont="1" applyFill="1" applyBorder="1"/>
    <xf numFmtId="2" fontId="0" fillId="7" borderId="2" xfId="0" applyNumberFormat="1" applyFont="1" applyFill="1" applyBorder="1"/>
    <xf numFmtId="2" fontId="0" fillId="10" borderId="0" xfId="0" applyNumberFormat="1" applyFont="1" applyFill="1" applyBorder="1"/>
    <xf numFmtId="2" fontId="0" fillId="11" borderId="45" xfId="0" applyNumberFormat="1" applyFont="1" applyFill="1" applyBorder="1"/>
    <xf numFmtId="2" fontId="0" fillId="11" borderId="7" xfId="0" applyNumberFormat="1" applyFont="1" applyFill="1" applyBorder="1"/>
    <xf numFmtId="2" fontId="0" fillId="11" borderId="22" xfId="0" applyNumberFormat="1" applyFont="1" applyFill="1" applyBorder="1"/>
    <xf numFmtId="2" fontId="0" fillId="11" borderId="9" xfId="0" applyNumberFormat="1" applyFont="1" applyFill="1" applyBorder="1"/>
    <xf numFmtId="0" fontId="7" fillId="9" borderId="11" xfId="0" applyFont="1" applyFill="1" applyBorder="1" applyAlignment="1">
      <alignment horizontal="right"/>
    </xf>
    <xf numFmtId="170" fontId="0" fillId="0" borderId="0" xfId="90" applyNumberFormat="1" applyFont="1"/>
    <xf numFmtId="0" fontId="6" fillId="0" borderId="0" xfId="1" applyFont="1" applyFill="1"/>
    <xf numFmtId="0" fontId="6" fillId="6" borderId="0" xfId="1" applyFont="1" applyFill="1"/>
    <xf numFmtId="0" fontId="6" fillId="53" borderId="0" xfId="1" applyFont="1" applyFill="1"/>
    <xf numFmtId="0" fontId="6" fillId="10" borderId="0" xfId="1" applyFont="1" applyFill="1"/>
    <xf numFmtId="0" fontId="6" fillId="28" borderId="0" xfId="1" applyFont="1" applyFill="1"/>
    <xf numFmtId="0" fontId="6" fillId="3" borderId="0" xfId="1" applyFont="1" applyFill="1"/>
    <xf numFmtId="0" fontId="6" fillId="14" borderId="0" xfId="1" applyFont="1" applyFill="1"/>
    <xf numFmtId="0" fontId="6" fillId="29" borderId="0" xfId="1" applyFont="1" applyFill="1"/>
    <xf numFmtId="0" fontId="6" fillId="64" borderId="0" xfId="1" applyFont="1" applyFill="1"/>
    <xf numFmtId="0" fontId="6" fillId="57" borderId="0" xfId="1" applyFont="1" applyFill="1"/>
    <xf numFmtId="0" fontId="6" fillId="2" borderId="0" xfId="1" applyFont="1" applyFill="1"/>
    <xf numFmtId="0" fontId="7" fillId="51" borderId="81" xfId="0" applyFont="1" applyFill="1" applyBorder="1" applyAlignment="1" applyProtection="1">
      <alignment horizontal="center"/>
    </xf>
    <xf numFmtId="0" fontId="0" fillId="28" borderId="0" xfId="0" applyFill="1"/>
    <xf numFmtId="0" fontId="9" fillId="0" borderId="0" xfId="0" applyFont="1" applyAlignment="1" applyProtection="1"/>
    <xf numFmtId="0" fontId="9" fillId="8" borderId="0" xfId="0" applyFont="1" applyFill="1" applyBorder="1" applyAlignment="1">
      <alignment horizontal="center"/>
    </xf>
    <xf numFmtId="0" fontId="7" fillId="4" borderId="62" xfId="0" applyFont="1" applyFill="1" applyBorder="1" applyAlignment="1" applyProtection="1">
      <alignment horizontal="center"/>
    </xf>
    <xf numFmtId="0" fontId="7" fillId="4" borderId="20" xfId="0" applyFont="1" applyFill="1" applyBorder="1" applyAlignment="1" applyProtection="1">
      <alignment horizontal="center"/>
    </xf>
    <xf numFmtId="0" fontId="7" fillId="8" borderId="0" xfId="0" applyFont="1" applyFill="1" applyBorder="1"/>
    <xf numFmtId="0" fontId="9" fillId="0" borderId="0" xfId="0" applyFont="1" applyBorder="1" applyAlignment="1" applyProtection="1"/>
    <xf numFmtId="0" fontId="98" fillId="2" borderId="0" xfId="0" applyFont="1" applyFill="1" applyBorder="1" applyAlignment="1" applyProtection="1">
      <alignment horizontal="center"/>
    </xf>
    <xf numFmtId="0" fontId="99" fillId="28" borderId="0" xfId="0" applyFont="1" applyFill="1" applyBorder="1" applyAlignment="1" applyProtection="1">
      <alignment horizontal="center"/>
    </xf>
    <xf numFmtId="0" fontId="9" fillId="28" borderId="0" xfId="0" applyFont="1" applyFill="1" applyBorder="1" applyAlignment="1" applyProtection="1">
      <alignment horizontal="center"/>
    </xf>
    <xf numFmtId="0" fontId="9" fillId="28" borderId="19" xfId="0" applyFont="1" applyFill="1" applyBorder="1" applyAlignment="1" applyProtection="1">
      <alignment horizontal="center"/>
    </xf>
    <xf numFmtId="2" fontId="6" fillId="2" borderId="35" xfId="0" applyNumberFormat="1" applyFont="1" applyFill="1" applyBorder="1"/>
    <xf numFmtId="176" fontId="0" fillId="0" borderId="0" xfId="0" applyNumberFormat="1" applyFont="1" applyFill="1" applyBorder="1" applyAlignment="1">
      <alignment horizontal="right" vertical="center"/>
    </xf>
    <xf numFmtId="176" fontId="0" fillId="0" borderId="9" xfId="0" applyNumberFormat="1" applyFont="1" applyBorder="1" applyAlignment="1">
      <alignment horizontal="right" vertical="center"/>
    </xf>
    <xf numFmtId="176" fontId="0" fillId="0" borderId="0" xfId="0" applyNumberFormat="1" applyFont="1" applyBorder="1" applyAlignment="1">
      <alignment horizontal="right" vertical="center"/>
    </xf>
    <xf numFmtId="176" fontId="0" fillId="2" borderId="0" xfId="0" applyNumberFormat="1" applyFont="1" applyFill="1" applyBorder="1" applyAlignment="1">
      <alignment horizontal="right" vertical="center"/>
    </xf>
    <xf numFmtId="176" fontId="0" fillId="2" borderId="9" xfId="0" applyNumberFormat="1" applyFont="1" applyFill="1" applyBorder="1" applyAlignment="1">
      <alignment horizontal="right" vertical="center"/>
    </xf>
    <xf numFmtId="166" fontId="0" fillId="28" borderId="0" xfId="42" applyNumberFormat="1" applyFont="1" applyFill="1"/>
    <xf numFmtId="166" fontId="0" fillId="28" borderId="0" xfId="42" applyNumberFormat="1" applyFont="1" applyFill="1" applyAlignment="1">
      <alignment horizontal="right"/>
    </xf>
    <xf numFmtId="166" fontId="0" fillId="0" borderId="0" xfId="42" applyNumberFormat="1" applyFont="1" applyBorder="1" applyAlignment="1">
      <alignment horizontal="right"/>
    </xf>
    <xf numFmtId="166" fontId="0" fillId="0" borderId="0" xfId="42" applyNumberFormat="1" applyFont="1"/>
    <xf numFmtId="0" fontId="0" fillId="28" borderId="19" xfId="0" applyFill="1" applyBorder="1"/>
    <xf numFmtId="2" fontId="0" fillId="66" borderId="45" xfId="0" applyNumberFormat="1" applyFont="1" applyFill="1" applyBorder="1"/>
    <xf numFmtId="2" fontId="0" fillId="66" borderId="9" xfId="0" applyNumberFormat="1" applyFont="1" applyFill="1" applyBorder="1"/>
    <xf numFmtId="0" fontId="0" fillId="0" borderId="0" xfId="90" applyNumberFormat="1" applyFont="1"/>
    <xf numFmtId="0" fontId="61" fillId="30" borderId="82" xfId="0" applyFont="1" applyFill="1" applyBorder="1" applyAlignment="1" applyProtection="1">
      <alignment horizontal="center"/>
    </xf>
    <xf numFmtId="0" fontId="61" fillId="30" borderId="39" xfId="0" applyFont="1" applyFill="1" applyBorder="1" applyAlignment="1" applyProtection="1">
      <alignment horizontal="center"/>
    </xf>
    <xf numFmtId="0" fontId="14" fillId="2" borderId="38" xfId="0" applyFont="1" applyFill="1" applyBorder="1" applyAlignment="1" applyProtection="1">
      <alignment horizontal="center"/>
    </xf>
    <xf numFmtId="0" fontId="14" fillId="0" borderId="38" xfId="0" applyFont="1" applyFill="1" applyBorder="1"/>
    <xf numFmtId="0" fontId="14" fillId="0" borderId="38" xfId="0" applyFont="1" applyFill="1" applyBorder="1" applyAlignment="1" applyProtection="1">
      <alignment horizontal="center"/>
    </xf>
    <xf numFmtId="0" fontId="14" fillId="2" borderId="38" xfId="0" applyFont="1" applyFill="1" applyBorder="1"/>
    <xf numFmtId="0" fontId="14" fillId="30" borderId="38" xfId="0" applyFont="1" applyFill="1" applyBorder="1"/>
    <xf numFmtId="0" fontId="62" fillId="30" borderId="39" xfId="0" applyFont="1" applyFill="1" applyBorder="1" applyAlignment="1">
      <alignment horizontal="center"/>
    </xf>
    <xf numFmtId="0" fontId="102" fillId="0" borderId="0" xfId="0" applyFont="1"/>
    <xf numFmtId="0" fontId="103" fillId="0" borderId="0" xfId="0" applyFont="1"/>
    <xf numFmtId="0" fontId="104" fillId="0" borderId="0" xfId="0" applyFont="1"/>
    <xf numFmtId="0" fontId="105" fillId="0" borderId="0" xfId="0" applyFont="1"/>
    <xf numFmtId="0" fontId="0" fillId="53" borderId="32" xfId="0" applyNumberFormat="1" applyFont="1" applyFill="1" applyBorder="1"/>
    <xf numFmtId="0" fontId="6" fillId="0" borderId="0" xfId="0" applyFont="1" applyBorder="1" applyAlignment="1"/>
    <xf numFmtId="176" fontId="0" fillId="0" borderId="0" xfId="0" applyNumberFormat="1"/>
    <xf numFmtId="0" fontId="6" fillId="0" borderId="0" xfId="0" applyFont="1" applyAlignment="1">
      <alignment vertical="center"/>
    </xf>
    <xf numFmtId="10" fontId="0" fillId="10" borderId="7" xfId="0" applyNumberFormat="1" applyFill="1" applyBorder="1"/>
    <xf numFmtId="0" fontId="49" fillId="7" borderId="0" xfId="0" applyFont="1" applyFill="1"/>
    <xf numFmtId="0" fontId="100" fillId="7" borderId="0" xfId="0" applyFont="1" applyFill="1"/>
    <xf numFmtId="178" fontId="0" fillId="7" borderId="0" xfId="0" applyNumberFormat="1" applyFill="1"/>
    <xf numFmtId="164" fontId="6" fillId="6" borderId="6" xfId="21900" applyNumberFormat="1" applyFont="1" applyFill="1" applyBorder="1"/>
    <xf numFmtId="169" fontId="6" fillId="6" borderId="2" xfId="21900" applyNumberFormat="1" applyFont="1" applyFill="1" applyBorder="1"/>
    <xf numFmtId="164" fontId="6" fillId="6" borderId="7" xfId="21900" applyNumberFormat="1" applyFont="1" applyFill="1" applyBorder="1"/>
    <xf numFmtId="164" fontId="6" fillId="0" borderId="7" xfId="21900" applyNumberFormat="1" applyFont="1" applyFill="1" applyBorder="1"/>
    <xf numFmtId="169" fontId="6" fillId="0" borderId="31" xfId="22882" applyNumberFormat="1" applyFont="1" applyFill="1" applyBorder="1"/>
    <xf numFmtId="164" fontId="6" fillId="6" borderId="7" xfId="22882" applyNumberFormat="1" applyFont="1" applyFill="1" applyBorder="1"/>
    <xf numFmtId="169" fontId="6" fillId="6" borderId="2" xfId="22882" applyNumberFormat="1" applyFont="1" applyFill="1" applyBorder="1"/>
    <xf numFmtId="164" fontId="6" fillId="6" borderId="38" xfId="0" applyNumberFormat="1" applyFont="1" applyFill="1" applyBorder="1"/>
    <xf numFmtId="169" fontId="6" fillId="6" borderId="31" xfId="22882" applyNumberFormat="1" applyFont="1" applyFill="1" applyBorder="1"/>
    <xf numFmtId="164" fontId="6" fillId="6" borderId="6" xfId="22882" applyNumberFormat="1" applyFont="1" applyFill="1" applyBorder="1"/>
    <xf numFmtId="164" fontId="6" fillId="0" borderId="7" xfId="22882" applyNumberFormat="1" applyFont="1" applyFill="1" applyBorder="1"/>
    <xf numFmtId="169" fontId="6" fillId="6" borderId="5" xfId="22882" applyNumberFormat="1" applyFont="1" applyFill="1" applyBorder="1"/>
    <xf numFmtId="169" fontId="6" fillId="6" borderId="5" xfId="21900" applyNumberFormat="1" applyFont="1" applyFill="1" applyBorder="1"/>
    <xf numFmtId="17" fontId="7" fillId="8" borderId="1" xfId="21900" applyNumberFormat="1" applyFont="1" applyFill="1" applyBorder="1"/>
    <xf numFmtId="169" fontId="6" fillId="0" borderId="2" xfId="21900" applyNumberFormat="1" applyFont="1" applyFill="1" applyBorder="1"/>
    <xf numFmtId="169" fontId="6" fillId="0" borderId="2" xfId="22882" applyNumberFormat="1" applyFont="1" applyFill="1" applyBorder="1"/>
    <xf numFmtId="169" fontId="6" fillId="0" borderId="31" xfId="0" applyNumberFormat="1" applyFont="1" applyFill="1" applyBorder="1" applyProtection="1"/>
    <xf numFmtId="2" fontId="6" fillId="53" borderId="38" xfId="0" applyNumberFormat="1" applyFont="1" applyFill="1" applyBorder="1" applyProtection="1"/>
    <xf numFmtId="169" fontId="6" fillId="53" borderId="31" xfId="0" applyNumberFormat="1" applyFont="1" applyFill="1" applyBorder="1" applyProtection="1"/>
    <xf numFmtId="169" fontId="6" fillId="0" borderId="31" xfId="0" applyNumberFormat="1" applyFont="1" applyFill="1" applyBorder="1"/>
    <xf numFmtId="2" fontId="6" fillId="0" borderId="31" xfId="0" applyNumberFormat="1" applyFont="1" applyFill="1" applyBorder="1"/>
    <xf numFmtId="3" fontId="6" fillId="7" borderId="7" xfId="0" applyNumberFormat="1" applyFont="1" applyFill="1" applyBorder="1"/>
    <xf numFmtId="3" fontId="6" fillId="7" borderId="2" xfId="0" applyNumberFormat="1" applyFont="1" applyFill="1" applyBorder="1"/>
    <xf numFmtId="0" fontId="7" fillId="25" borderId="3" xfId="0" applyFont="1" applyFill="1" applyBorder="1" applyAlignment="1">
      <alignment horizontal="center"/>
    </xf>
    <xf numFmtId="166" fontId="6" fillId="0" borderId="4" xfId="0" applyNumberFormat="1" applyFont="1" applyFill="1" applyBorder="1"/>
    <xf numFmtId="6" fontId="6" fillId="0" borderId="4" xfId="0" applyNumberFormat="1" applyFont="1" applyFill="1" applyBorder="1"/>
    <xf numFmtId="0" fontId="0" fillId="0" borderId="0" xfId="0"/>
    <xf numFmtId="0" fontId="0" fillId="0" borderId="0" xfId="0" applyBorder="1"/>
    <xf numFmtId="0" fontId="6" fillId="0" borderId="0" xfId="0" applyFont="1" applyFill="1" applyAlignment="1">
      <alignment horizontal="right"/>
    </xf>
    <xf numFmtId="0" fontId="35" fillId="0" borderId="0" xfId="0" applyFont="1"/>
    <xf numFmtId="0" fontId="7" fillId="8" borderId="0" xfId="0" applyNumberFormat="1" applyFont="1" applyFill="1" applyBorder="1"/>
    <xf numFmtId="2" fontId="6" fillId="6" borderId="0" xfId="0" applyNumberFormat="1" applyFont="1" applyFill="1" applyBorder="1"/>
    <xf numFmtId="2" fontId="6" fillId="6" borderId="31" xfId="0" applyNumberFormat="1" applyFont="1" applyFill="1" applyBorder="1"/>
    <xf numFmtId="165" fontId="6" fillId="0" borderId="70" xfId="0" applyNumberFormat="1" applyFont="1" applyFill="1" applyBorder="1" applyAlignment="1">
      <alignment horizontal="left" vertical="top"/>
    </xf>
    <xf numFmtId="167" fontId="6" fillId="0" borderId="69" xfId="0" applyNumberFormat="1" applyFont="1" applyFill="1" applyBorder="1"/>
    <xf numFmtId="176" fontId="6" fillId="0" borderId="0" xfId="0" applyNumberFormat="1" applyFont="1" applyBorder="1"/>
    <xf numFmtId="176" fontId="6" fillId="0" borderId="9" xfId="0" applyNumberFormat="1" applyFont="1" applyBorder="1"/>
    <xf numFmtId="176" fontId="6" fillId="10" borderId="0" xfId="0" applyNumberFormat="1" applyFont="1" applyFill="1" applyBorder="1"/>
    <xf numFmtId="176" fontId="6" fillId="10" borderId="8" xfId="0" applyNumberFormat="1" applyFont="1" applyFill="1" applyBorder="1"/>
    <xf numFmtId="3" fontId="6" fillId="14" borderId="6" xfId="0" applyNumberFormat="1" applyFont="1" applyFill="1" applyBorder="1"/>
    <xf numFmtId="3" fontId="6" fillId="14" borderId="5" xfId="0" applyNumberFormat="1" applyFont="1" applyFill="1" applyBorder="1"/>
    <xf numFmtId="0" fontId="5" fillId="0" borderId="0" xfId="0" applyFont="1" applyAlignment="1">
      <alignment horizontal="center"/>
    </xf>
    <xf numFmtId="0" fontId="5" fillId="0" borderId="0" xfId="0" applyFont="1" applyBorder="1" applyAlignment="1">
      <alignment horizontal="center"/>
    </xf>
    <xf numFmtId="0" fontId="67" fillId="0" borderId="0" xfId="0" applyFont="1" applyBorder="1" applyAlignment="1">
      <alignment horizontal="center"/>
    </xf>
    <xf numFmtId="170" fontId="6" fillId="0" borderId="2" xfId="0" applyNumberFormat="1" applyFont="1" applyFill="1" applyBorder="1" applyAlignment="1">
      <alignment horizontal="right"/>
    </xf>
    <xf numFmtId="170" fontId="6" fillId="57" borderId="2" xfId="0" applyNumberFormat="1" applyFont="1" applyFill="1" applyBorder="1" applyAlignment="1">
      <alignment horizontal="right"/>
    </xf>
    <xf numFmtId="170" fontId="6" fillId="55" borderId="5" xfId="0" applyNumberFormat="1" applyFont="1" applyFill="1" applyBorder="1" applyAlignment="1">
      <alignment horizontal="right"/>
    </xf>
    <xf numFmtId="3" fontId="14" fillId="7" borderId="0" xfId="0" applyNumberFormat="1" applyFont="1" applyFill="1" applyBorder="1" applyAlignment="1">
      <alignment horizontal="right"/>
    </xf>
    <xf numFmtId="0" fontId="6" fillId="106" borderId="0" xfId="0" applyFont="1" applyFill="1"/>
    <xf numFmtId="0" fontId="32" fillId="106" borderId="0" xfId="1" applyFont="1" applyFill="1"/>
    <xf numFmtId="0" fontId="32" fillId="3" borderId="0" xfId="1" applyFont="1" applyFill="1"/>
    <xf numFmtId="0" fontId="0" fillId="110" borderId="0" xfId="0" applyFont="1" applyFill="1"/>
    <xf numFmtId="170" fontId="6" fillId="3" borderId="2" xfId="0" applyNumberFormat="1" applyFont="1" applyFill="1" applyBorder="1" applyAlignment="1">
      <alignment horizontal="right"/>
    </xf>
    <xf numFmtId="0" fontId="32" fillId="6" borderId="0" xfId="1" applyFont="1" applyFill="1"/>
    <xf numFmtId="4" fontId="0" fillId="2" borderId="0" xfId="0" applyNumberFormat="1" applyFont="1" applyFill="1"/>
    <xf numFmtId="4" fontId="0" fillId="0" borderId="0" xfId="0" applyNumberFormat="1"/>
    <xf numFmtId="169" fontId="0" fillId="0" borderId="0" xfId="0" applyNumberFormat="1" applyFill="1" applyBorder="1"/>
    <xf numFmtId="0" fontId="32" fillId="0" borderId="0" xfId="1" applyFont="1"/>
    <xf numFmtId="3" fontId="14" fillId="2" borderId="2" xfId="0" applyNumberFormat="1" applyFont="1" applyFill="1" applyBorder="1" applyAlignment="1">
      <alignment horizontal="right"/>
    </xf>
    <xf numFmtId="0" fontId="45" fillId="0" borderId="0" xfId="0" applyFont="1" applyFill="1"/>
    <xf numFmtId="0" fontId="45" fillId="0" borderId="0" xfId="0" applyFont="1" applyFill="1" applyBorder="1"/>
    <xf numFmtId="0" fontId="52" fillId="67" borderId="0" xfId="0" applyFont="1" applyFill="1" applyBorder="1" applyAlignment="1" applyProtection="1">
      <alignment horizontal="left"/>
      <protection locked="0"/>
    </xf>
    <xf numFmtId="0" fontId="53" fillId="67" borderId="0" xfId="0" applyFont="1" applyFill="1" applyBorder="1" applyAlignment="1" applyProtection="1">
      <alignment horizontal="left"/>
    </xf>
    <xf numFmtId="0" fontId="54" fillId="67" borderId="0" xfId="0" applyFont="1" applyFill="1" applyBorder="1" applyAlignment="1" applyProtection="1">
      <alignment horizontal="left"/>
      <protection locked="0"/>
    </xf>
    <xf numFmtId="0" fontId="52" fillId="7" borderId="0" xfId="0" applyFont="1" applyFill="1" applyBorder="1" applyAlignment="1" applyProtection="1">
      <alignment horizontal="left"/>
      <protection locked="0"/>
    </xf>
    <xf numFmtId="3" fontId="6" fillId="7" borderId="0" xfId="0" applyNumberFormat="1" applyFont="1" applyFill="1" applyBorder="1" applyAlignment="1" applyProtection="1">
      <alignment horizontal="right"/>
    </xf>
    <xf numFmtId="3" fontId="6" fillId="7" borderId="0" xfId="0" applyNumberFormat="1" applyFont="1" applyFill="1" applyBorder="1" applyAlignment="1">
      <alignment horizontal="right"/>
    </xf>
    <xf numFmtId="3" fontId="6" fillId="7" borderId="0" xfId="0" applyNumberFormat="1" applyFont="1" applyFill="1" applyBorder="1"/>
    <xf numFmtId="180" fontId="6" fillId="7" borderId="0" xfId="0" applyNumberFormat="1" applyFont="1" applyFill="1" applyBorder="1" applyProtection="1"/>
    <xf numFmtId="3" fontId="6" fillId="7" borderId="0" xfId="0" applyNumberFormat="1" applyFont="1" applyFill="1" applyBorder="1" applyProtection="1"/>
    <xf numFmtId="0" fontId="6" fillId="7" borderId="0" xfId="0" applyFont="1" applyFill="1" applyBorder="1"/>
    <xf numFmtId="0" fontId="53" fillId="7" borderId="0" xfId="0" applyFont="1" applyFill="1" applyBorder="1" applyAlignment="1" applyProtection="1">
      <alignment horizontal="left"/>
    </xf>
    <xf numFmtId="166" fontId="6" fillId="7" borderId="0" xfId="0" applyNumberFormat="1" applyFont="1" applyFill="1" applyBorder="1"/>
    <xf numFmtId="0" fontId="54" fillId="7" borderId="0" xfId="0" applyFont="1" applyFill="1" applyBorder="1" applyAlignment="1" applyProtection="1">
      <alignment horizontal="left"/>
      <protection locked="0"/>
    </xf>
    <xf numFmtId="0" fontId="6" fillId="7" borderId="0" xfId="0" applyNumberFormat="1" applyFont="1" applyFill="1" applyBorder="1"/>
    <xf numFmtId="3" fontId="9" fillId="7" borderId="0" xfId="0" applyNumberFormat="1" applyFont="1" applyFill="1" applyBorder="1"/>
    <xf numFmtId="0" fontId="6" fillId="7" borderId="0" xfId="0" quotePrefix="1" applyFont="1" applyFill="1" applyBorder="1" applyAlignment="1" applyProtection="1">
      <alignment horizontal="center"/>
    </xf>
    <xf numFmtId="3" fontId="6" fillId="7" borderId="0" xfId="0" quotePrefix="1" applyNumberFormat="1" applyFont="1" applyFill="1" applyBorder="1" applyAlignment="1" applyProtection="1">
      <alignment horizontal="right"/>
    </xf>
    <xf numFmtId="3" fontId="6" fillId="7" borderId="0" xfId="0" applyNumberFormat="1" applyFont="1" applyFill="1" applyBorder="1" applyAlignment="1" applyProtection="1">
      <alignment horizontal="center"/>
    </xf>
    <xf numFmtId="3" fontId="9" fillId="28" borderId="0" xfId="0" applyNumberFormat="1" applyFont="1" applyFill="1" applyBorder="1"/>
    <xf numFmtId="0" fontId="53" fillId="28" borderId="0" xfId="0" quotePrefix="1" applyFont="1" applyFill="1" applyBorder="1" applyAlignment="1" applyProtection="1">
      <alignment horizontal="left"/>
    </xf>
    <xf numFmtId="3" fontId="6" fillId="28" borderId="0" xfId="0" quotePrefix="1" applyNumberFormat="1" applyFont="1" applyFill="1" applyBorder="1" applyAlignment="1" applyProtection="1">
      <alignment horizontal="right"/>
    </xf>
    <xf numFmtId="0" fontId="6" fillId="7" borderId="0" xfId="0" applyFont="1" applyFill="1" applyBorder="1" applyAlignment="1">
      <alignment horizontal="center"/>
    </xf>
    <xf numFmtId="4" fontId="6" fillId="0" borderId="7" xfId="0" applyNumberFormat="1" applyFont="1" applyFill="1" applyBorder="1"/>
    <xf numFmtId="4" fontId="6" fillId="0" borderId="2" xfId="0" applyNumberFormat="1" applyFont="1" applyFill="1" applyBorder="1"/>
    <xf numFmtId="4" fontId="6" fillId="53" borderId="7" xfId="0" applyNumberFormat="1" applyFont="1" applyFill="1" applyBorder="1"/>
    <xf numFmtId="4" fontId="6" fillId="53" borderId="2" xfId="0" applyNumberFormat="1" applyFont="1" applyFill="1" applyBorder="1"/>
    <xf numFmtId="4" fontId="6" fillId="7" borderId="7" xfId="0" applyNumberFormat="1" applyFont="1" applyFill="1" applyBorder="1"/>
    <xf numFmtId="4" fontId="6" fillId="7" borderId="2" xfId="0" applyNumberFormat="1" applyFont="1" applyFill="1" applyBorder="1"/>
    <xf numFmtId="0" fontId="7" fillId="18" borderId="27" xfId="0" applyFont="1" applyFill="1" applyBorder="1" applyAlignment="1">
      <alignment horizontal="right"/>
    </xf>
    <xf numFmtId="0" fontId="7" fillId="18" borderId="26" xfId="0" applyFont="1" applyFill="1" applyBorder="1" applyAlignment="1">
      <alignment horizontal="right"/>
    </xf>
    <xf numFmtId="0" fontId="7" fillId="63" borderId="26" xfId="0" applyFont="1" applyFill="1" applyBorder="1" applyAlignment="1">
      <alignment horizontal="center" vertical="center" wrapText="1"/>
    </xf>
    <xf numFmtId="0" fontId="7" fillId="0" borderId="0" xfId="0" applyFont="1" applyFill="1" applyBorder="1" applyAlignment="1">
      <alignment wrapText="1"/>
    </xf>
    <xf numFmtId="0" fontId="0" fillId="0" borderId="0" xfId="0" applyAlignment="1">
      <alignment wrapText="1"/>
    </xf>
    <xf numFmtId="169" fontId="0" fillId="0" borderId="32" xfId="0" applyNumberFormat="1" applyFont="1" applyFill="1" applyBorder="1" applyAlignment="1">
      <alignment horizontal="right"/>
    </xf>
    <xf numFmtId="164" fontId="6" fillId="7" borderId="0" xfId="0" applyNumberFormat="1" applyFont="1" applyFill="1" applyBorder="1"/>
    <xf numFmtId="188" fontId="6" fillId="7" borderId="2" xfId="0" applyNumberFormat="1" applyFont="1" applyFill="1" applyBorder="1"/>
    <xf numFmtId="164" fontId="6" fillId="7" borderId="4" xfId="0" applyNumberFormat="1" applyFont="1" applyFill="1" applyBorder="1"/>
    <xf numFmtId="188" fontId="6" fillId="7" borderId="5" xfId="0" applyNumberFormat="1" applyFont="1" applyFill="1" applyBorder="1"/>
    <xf numFmtId="0" fontId="7" fillId="0" borderId="4" xfId="0" applyFont="1" applyFill="1" applyBorder="1"/>
    <xf numFmtId="0" fontId="67" fillId="0" borderId="4" xfId="0" applyFont="1" applyFill="1" applyBorder="1" applyAlignment="1"/>
    <xf numFmtId="164" fontId="6" fillId="0" borderId="28" xfId="0" applyNumberFormat="1" applyFont="1" applyFill="1" applyBorder="1"/>
    <xf numFmtId="164" fontId="6" fillId="0" borderId="31" xfId="0" applyNumberFormat="1" applyFont="1" applyFill="1" applyBorder="1"/>
    <xf numFmtId="164" fontId="6" fillId="0" borderId="32" xfId="0" applyNumberFormat="1" applyFont="1" applyFill="1" applyBorder="1"/>
    <xf numFmtId="164" fontId="6" fillId="0" borderId="45" xfId="0" applyNumberFormat="1" applyFont="1" applyFill="1" applyBorder="1"/>
    <xf numFmtId="0" fontId="7" fillId="107" borderId="28" xfId="0" applyFont="1" applyFill="1" applyBorder="1" applyAlignment="1">
      <alignment horizontal="center"/>
    </xf>
    <xf numFmtId="169" fontId="0" fillId="0" borderId="31" xfId="0" applyNumberFormat="1" applyFont="1" applyFill="1" applyBorder="1" applyAlignment="1">
      <alignment horizontal="right"/>
    </xf>
    <xf numFmtId="0" fontId="6" fillId="112" borderId="0" xfId="0" applyFont="1" applyFill="1"/>
    <xf numFmtId="0" fontId="32" fillId="112" borderId="0" xfId="1" applyFont="1" applyFill="1"/>
    <xf numFmtId="0" fontId="64" fillId="7" borderId="1" xfId="0" applyFont="1" applyFill="1" applyBorder="1" applyAlignment="1" applyProtection="1">
      <alignment horizontal="left"/>
    </xf>
    <xf numFmtId="22" fontId="93" fillId="2" borderId="1" xfId="0" applyNumberFormat="1" applyFont="1" applyFill="1" applyBorder="1"/>
    <xf numFmtId="0" fontId="63" fillId="7" borderId="1" xfId="0" applyFont="1" applyFill="1" applyBorder="1" applyAlignment="1" applyProtection="1">
      <alignment horizontal="left"/>
      <protection locked="0"/>
    </xf>
    <xf numFmtId="0" fontId="14" fillId="7" borderId="38" xfId="0" applyFont="1" applyFill="1" applyBorder="1"/>
    <xf numFmtId="3" fontId="14" fillId="7" borderId="2" xfId="0" applyNumberFormat="1" applyFont="1" applyFill="1" applyBorder="1"/>
    <xf numFmtId="3" fontId="14" fillId="7" borderId="1" xfId="0" applyNumberFormat="1" applyFont="1" applyFill="1" applyBorder="1"/>
    <xf numFmtId="0" fontId="59" fillId="7" borderId="1" xfId="0" applyFont="1" applyFill="1" applyBorder="1" applyAlignment="1" applyProtection="1">
      <alignment horizontal="left"/>
      <protection locked="0"/>
    </xf>
    <xf numFmtId="3" fontId="65" fillId="2" borderId="1" xfId="0" applyNumberFormat="1" applyFont="1" applyFill="1" applyBorder="1"/>
    <xf numFmtId="3" fontId="65" fillId="2" borderId="0" xfId="0" applyNumberFormat="1" applyFont="1" applyFill="1" applyBorder="1"/>
    <xf numFmtId="3" fontId="65" fillId="2" borderId="2" xfId="0" applyNumberFormat="1" applyFont="1" applyFill="1" applyBorder="1"/>
    <xf numFmtId="0" fontId="14" fillId="7" borderId="38" xfId="0" applyFont="1" applyFill="1" applyBorder="1" applyAlignment="1">
      <alignment horizontal="center"/>
    </xf>
    <xf numFmtId="0" fontId="14" fillId="7" borderId="38" xfId="0" applyFont="1" applyFill="1" applyBorder="1" applyAlignment="1" applyProtection="1">
      <alignment horizontal="center"/>
    </xf>
    <xf numFmtId="0" fontId="60" fillId="7" borderId="1" xfId="0" applyFont="1" applyFill="1" applyBorder="1" applyAlignment="1" applyProtection="1">
      <alignment horizontal="left"/>
      <protection locked="0"/>
    </xf>
    <xf numFmtId="3" fontId="14" fillId="7" borderId="2" xfId="0" applyNumberFormat="1" applyFont="1" applyFill="1" applyBorder="1" applyAlignment="1">
      <alignment horizontal="right"/>
    </xf>
    <xf numFmtId="0" fontId="14" fillId="7" borderId="38" xfId="0" quotePrefix="1" applyFont="1" applyFill="1" applyBorder="1" applyAlignment="1" applyProtection="1">
      <alignment horizontal="center"/>
    </xf>
    <xf numFmtId="0" fontId="14" fillId="7" borderId="1" xfId="0" applyFont="1" applyFill="1" applyBorder="1" applyAlignment="1" applyProtection="1">
      <alignment horizontal="left"/>
    </xf>
    <xf numFmtId="164" fontId="0" fillId="106" borderId="7" xfId="0" applyNumberFormat="1" applyFont="1" applyFill="1" applyBorder="1"/>
    <xf numFmtId="169" fontId="0" fillId="106" borderId="2" xfId="0" applyNumberFormat="1" applyFont="1" applyFill="1" applyBorder="1"/>
    <xf numFmtId="164" fontId="0" fillId="0" borderId="7" xfId="0" applyNumberFormat="1" applyFont="1" applyFill="1" applyBorder="1"/>
    <xf numFmtId="17" fontId="7" fillId="8" borderId="3" xfId="0" applyNumberFormat="1" applyFont="1" applyFill="1" applyBorder="1"/>
    <xf numFmtId="17" fontId="7" fillId="54" borderId="1" xfId="0" applyNumberFormat="1" applyFont="1" applyFill="1" applyBorder="1"/>
    <xf numFmtId="0" fontId="0" fillId="0" borderId="43" xfId="0" applyBorder="1"/>
    <xf numFmtId="169" fontId="0" fillId="0" borderId="43" xfId="0" applyNumberFormat="1" applyBorder="1"/>
    <xf numFmtId="2" fontId="0" fillId="0" borderId="43" xfId="0" applyNumberFormat="1" applyBorder="1"/>
    <xf numFmtId="0" fontId="106" fillId="0" borderId="0" xfId="1" applyFont="1" applyFill="1"/>
    <xf numFmtId="4" fontId="6" fillId="53" borderId="6" xfId="0" applyNumberFormat="1" applyFont="1" applyFill="1" applyBorder="1"/>
    <xf numFmtId="4" fontId="6" fillId="53" borderId="32" xfId="0" applyNumberFormat="1" applyFont="1" applyFill="1" applyBorder="1"/>
    <xf numFmtId="170" fontId="6" fillId="0" borderId="6" xfId="0" applyNumberFormat="1" applyFont="1" applyFill="1" applyBorder="1"/>
    <xf numFmtId="170" fontId="6" fillId="0" borderId="5" xfId="0" applyNumberFormat="1" applyFont="1" applyFill="1" applyBorder="1" applyAlignment="1">
      <alignment horizontal="right"/>
    </xf>
    <xf numFmtId="189" fontId="0" fillId="7" borderId="2" xfId="0" applyNumberFormat="1" applyFont="1" applyFill="1" applyBorder="1"/>
    <xf numFmtId="2" fontId="6" fillId="7" borderId="0" xfId="0" applyNumberFormat="1" applyFont="1" applyFill="1" applyBorder="1"/>
    <xf numFmtId="2" fontId="6" fillId="7" borderId="31" xfId="0" applyNumberFormat="1" applyFont="1" applyFill="1" applyBorder="1"/>
    <xf numFmtId="3" fontId="110" fillId="0" borderId="0" xfId="0" applyNumberFormat="1" applyFont="1" applyFill="1" applyAlignment="1"/>
    <xf numFmtId="190" fontId="0" fillId="0" borderId="0" xfId="0" applyNumberFormat="1" applyFill="1"/>
    <xf numFmtId="4" fontId="6" fillId="0" borderId="0" xfId="0" applyNumberFormat="1" applyFont="1" applyFill="1" applyBorder="1"/>
    <xf numFmtId="1" fontId="110" fillId="0" borderId="0" xfId="0" applyNumberFormat="1" applyFont="1" applyFill="1" applyBorder="1" applyAlignment="1"/>
    <xf numFmtId="2" fontId="0" fillId="0" borderId="0" xfId="0" applyNumberFormat="1" applyFill="1" applyBorder="1"/>
    <xf numFmtId="1" fontId="0" fillId="0" borderId="0" xfId="0" applyNumberFormat="1" applyFill="1" applyBorder="1"/>
    <xf numFmtId="0" fontId="94" fillId="0" borderId="43" xfId="0" applyFont="1" applyBorder="1"/>
    <xf numFmtId="17" fontId="7" fillId="107" borderId="0" xfId="0" applyNumberFormat="1" applyFont="1" applyFill="1" applyBorder="1"/>
    <xf numFmtId="17" fontId="7" fillId="25" borderId="0" xfId="0" applyNumberFormat="1" applyFont="1" applyFill="1" applyBorder="1"/>
    <xf numFmtId="187" fontId="0" fillId="0" borderId="43" xfId="0" applyNumberFormat="1" applyBorder="1"/>
    <xf numFmtId="2" fontId="6" fillId="14" borderId="0" xfId="0" applyNumberFormat="1" applyFont="1" applyFill="1" applyBorder="1"/>
    <xf numFmtId="2" fontId="6" fillId="0" borderId="0" xfId="0" applyNumberFormat="1" applyFont="1" applyFill="1" applyBorder="1"/>
    <xf numFmtId="2" fontId="6" fillId="14" borderId="36" xfId="0" applyNumberFormat="1" applyFont="1" applyFill="1" applyBorder="1"/>
    <xf numFmtId="0" fontId="7" fillId="0" borderId="0" xfId="0" applyNumberFormat="1" applyFont="1" applyFill="1" applyBorder="1"/>
    <xf numFmtId="0" fontId="0" fillId="0" borderId="1" xfId="0" applyFill="1" applyBorder="1"/>
    <xf numFmtId="169" fontId="6" fillId="106" borderId="31" xfId="0" applyNumberFormat="1" applyFont="1" applyFill="1" applyBorder="1"/>
    <xf numFmtId="17" fontId="0" fillId="0" borderId="43" xfId="0" applyNumberFormat="1" applyFill="1" applyBorder="1"/>
    <xf numFmtId="0" fontId="0" fillId="0" borderId="43" xfId="0" applyNumberFormat="1" applyFill="1" applyBorder="1"/>
    <xf numFmtId="169" fontId="0" fillId="0" borderId="43" xfId="0" applyNumberFormat="1" applyFill="1" applyBorder="1"/>
    <xf numFmtId="2" fontId="6" fillId="0" borderId="6" xfId="0" applyNumberFormat="1" applyFont="1" applyFill="1" applyBorder="1"/>
    <xf numFmtId="17" fontId="7" fillId="0" borderId="0" xfId="0" applyNumberFormat="1" applyFont="1" applyFill="1" applyBorder="1"/>
    <xf numFmtId="2" fontId="6" fillId="104" borderId="6" xfId="0" applyNumberFormat="1" applyFont="1" applyFill="1" applyBorder="1"/>
    <xf numFmtId="0" fontId="0" fillId="0" borderId="0" xfId="0" applyFill="1"/>
    <xf numFmtId="2" fontId="6" fillId="2" borderId="32" xfId="0" applyNumberFormat="1" applyFont="1" applyFill="1" applyBorder="1"/>
    <xf numFmtId="166" fontId="8" fillId="0" borderId="0" xfId="42" applyNumberFormat="1" applyFont="1" applyFill="1" applyAlignment="1">
      <alignment horizontal="right"/>
    </xf>
    <xf numFmtId="170" fontId="6" fillId="0" borderId="0" xfId="0" applyNumberFormat="1" applyFont="1" applyFill="1" applyAlignment="1">
      <alignment horizontal="right"/>
    </xf>
    <xf numFmtId="166" fontId="6" fillId="2" borderId="0" xfId="42" applyNumberFormat="1" applyFont="1" applyFill="1" applyBorder="1" applyAlignment="1">
      <alignment horizontal="right"/>
    </xf>
    <xf numFmtId="3" fontId="6" fillId="2" borderId="0" xfId="0" applyNumberFormat="1" applyFont="1" applyFill="1" applyBorder="1" applyAlignment="1">
      <alignment horizontal="center" vertical="center"/>
    </xf>
    <xf numFmtId="166" fontId="9" fillId="0" borderId="0" xfId="42" applyNumberFormat="1" applyFont="1" applyFill="1" applyBorder="1"/>
    <xf numFmtId="167" fontId="6" fillId="0" borderId="2" xfId="0" applyNumberFormat="1" applyFont="1" applyFill="1" applyBorder="1"/>
    <xf numFmtId="3" fontId="111" fillId="0" borderId="0" xfId="0" applyNumberFormat="1" applyFont="1" applyAlignment="1">
      <alignment horizontal="left"/>
    </xf>
    <xf numFmtId="0" fontId="7" fillId="25" borderId="3" xfId="0" applyFont="1" applyFill="1" applyBorder="1" applyAlignment="1">
      <alignment horizontal="left"/>
    </xf>
    <xf numFmtId="165" fontId="6" fillId="0" borderId="0" xfId="0" applyNumberFormat="1" applyFont="1" applyFill="1" applyBorder="1" applyAlignment="1">
      <alignment horizontal="right" vertical="top"/>
    </xf>
    <xf numFmtId="165" fontId="6" fillId="30" borderId="85" xfId="0" applyNumberFormat="1" applyFont="1" applyFill="1" applyBorder="1"/>
    <xf numFmtId="167" fontId="6" fillId="30" borderId="84" xfId="0" applyNumberFormat="1" applyFont="1" applyFill="1" applyBorder="1"/>
    <xf numFmtId="176" fontId="6" fillId="2" borderId="0" xfId="0" applyNumberFormat="1" applyFont="1" applyFill="1" applyBorder="1" applyAlignment="1">
      <alignment horizontal="right" vertical="center"/>
    </xf>
    <xf numFmtId="176" fontId="6" fillId="0" borderId="0" xfId="0" applyNumberFormat="1" applyFont="1" applyBorder="1" applyAlignment="1">
      <alignment horizontal="right" vertical="center"/>
    </xf>
    <xf numFmtId="2" fontId="0" fillId="13" borderId="28" xfId="0" applyNumberFormat="1" applyFont="1" applyFill="1" applyBorder="1"/>
    <xf numFmtId="2" fontId="0" fillId="0" borderId="31" xfId="0" applyNumberFormat="1" applyFont="1" applyBorder="1"/>
    <xf numFmtId="2" fontId="0" fillId="13" borderId="31" xfId="0" applyNumberFormat="1" applyFont="1" applyFill="1" applyBorder="1"/>
    <xf numFmtId="2" fontId="0" fillId="0" borderId="8" xfId="0" applyNumberFormat="1" applyFont="1" applyBorder="1"/>
    <xf numFmtId="2" fontId="0" fillId="0" borderId="32" xfId="0" applyNumberFormat="1" applyFont="1" applyBorder="1"/>
    <xf numFmtId="0" fontId="7" fillId="23" borderId="44" xfId="0" applyFont="1" applyFill="1" applyBorder="1" applyAlignment="1">
      <alignment horizontal="center" vertical="center"/>
    </xf>
    <xf numFmtId="0" fontId="7" fillId="23" borderId="26" xfId="0" applyFont="1" applyFill="1" applyBorder="1"/>
    <xf numFmtId="0" fontId="7" fillId="22" borderId="71" xfId="0" applyFont="1" applyFill="1" applyBorder="1"/>
    <xf numFmtId="167" fontId="0" fillId="0" borderId="2" xfId="0" applyNumberFormat="1" applyFill="1" applyBorder="1"/>
    <xf numFmtId="167" fontId="0" fillId="0" borderId="5" xfId="0" applyNumberFormat="1" applyFill="1" applyBorder="1"/>
    <xf numFmtId="0" fontId="0" fillId="7" borderId="47" xfId="0" applyFill="1" applyBorder="1"/>
    <xf numFmtId="0" fontId="0" fillId="7" borderId="33" xfId="0" applyFill="1" applyBorder="1"/>
    <xf numFmtId="170" fontId="0" fillId="7" borderId="33" xfId="0" applyNumberFormat="1" applyFill="1" applyBorder="1"/>
    <xf numFmtId="0" fontId="0" fillId="7" borderId="26" xfId="0" applyFill="1" applyBorder="1"/>
    <xf numFmtId="2" fontId="0" fillId="13" borderId="35" xfId="0" applyNumberFormat="1" applyFont="1" applyFill="1" applyBorder="1"/>
    <xf numFmtId="2" fontId="0" fillId="13" borderId="2" xfId="0" applyNumberFormat="1" applyFont="1" applyFill="1" applyBorder="1"/>
    <xf numFmtId="2" fontId="0" fillId="0" borderId="5" xfId="0" applyNumberFormat="1" applyFont="1" applyBorder="1"/>
    <xf numFmtId="0" fontId="7" fillId="23" borderId="33" xfId="0" applyFont="1" applyFill="1" applyBorder="1"/>
    <xf numFmtId="0" fontId="7" fillId="61" borderId="29" xfId="0" applyFont="1" applyFill="1" applyBorder="1"/>
    <xf numFmtId="167" fontId="0" fillId="16" borderId="31" xfId="0" applyNumberFormat="1" applyFill="1" applyBorder="1"/>
    <xf numFmtId="167" fontId="0" fillId="7" borderId="31" xfId="0" applyNumberFormat="1" applyFill="1" applyBorder="1"/>
    <xf numFmtId="167" fontId="0" fillId="16" borderId="32" xfId="0" applyNumberFormat="1" applyFill="1" applyBorder="1"/>
    <xf numFmtId="0" fontId="0" fillId="7" borderId="25" xfId="0" applyFill="1" applyBorder="1"/>
    <xf numFmtId="0" fontId="7" fillId="61" borderId="46" xfId="0" applyFont="1" applyFill="1" applyBorder="1"/>
    <xf numFmtId="0" fontId="7" fillId="61" borderId="40" xfId="0" applyFont="1" applyFill="1" applyBorder="1"/>
    <xf numFmtId="0" fontId="7" fillId="62" borderId="44" xfId="0" applyFont="1" applyFill="1" applyBorder="1"/>
    <xf numFmtId="0" fontId="7" fillId="62" borderId="26" xfId="0" applyFont="1" applyFill="1" applyBorder="1"/>
    <xf numFmtId="2" fontId="0" fillId="17" borderId="35" xfId="0" applyNumberFormat="1" applyFont="1" applyFill="1" applyBorder="1"/>
    <xf numFmtId="2" fontId="0" fillId="17" borderId="2" xfId="0" applyNumberFormat="1" applyFont="1" applyFill="1" applyBorder="1"/>
    <xf numFmtId="0" fontId="7" fillId="51" borderId="37" xfId="0" applyFont="1" applyFill="1" applyBorder="1"/>
    <xf numFmtId="0" fontId="7" fillId="51" borderId="3" xfId="0" applyFont="1" applyFill="1" applyBorder="1" applyAlignment="1">
      <alignment horizontal="right"/>
    </xf>
    <xf numFmtId="0" fontId="7" fillId="51" borderId="3" xfId="0" applyFont="1" applyFill="1" applyBorder="1" applyProtection="1"/>
    <xf numFmtId="0" fontId="7" fillId="54" borderId="48" xfId="0" applyFont="1" applyFill="1" applyBorder="1" applyAlignment="1" applyProtection="1">
      <alignment horizontal="center"/>
    </xf>
    <xf numFmtId="0" fontId="7" fillId="54" borderId="44" xfId="0" applyFont="1" applyFill="1" applyBorder="1"/>
    <xf numFmtId="0" fontId="7" fillId="4" borderId="26" xfId="0" applyFont="1" applyFill="1" applyBorder="1"/>
    <xf numFmtId="2" fontId="0" fillId="5" borderId="35" xfId="0" applyNumberFormat="1" applyFont="1" applyFill="1" applyBorder="1"/>
    <xf numFmtId="2" fontId="0" fillId="5" borderId="2" xfId="0" applyNumberFormat="1" applyFont="1" applyFill="1" applyBorder="1"/>
    <xf numFmtId="2" fontId="0" fillId="0" borderId="5" xfId="0" applyNumberFormat="1" applyFill="1" applyBorder="1"/>
    <xf numFmtId="0" fontId="7" fillId="4" borderId="33" xfId="0" applyFont="1" applyFill="1" applyBorder="1"/>
    <xf numFmtId="0" fontId="7" fillId="4" borderId="25" xfId="0" applyFont="1" applyFill="1" applyBorder="1" applyAlignment="1">
      <alignment horizontal="center" vertical="center"/>
    </xf>
    <xf numFmtId="0" fontId="8" fillId="0" borderId="0" xfId="0" applyFont="1" applyAlignment="1">
      <alignment vertical="top"/>
    </xf>
    <xf numFmtId="0" fontId="7" fillId="8" borderId="25" xfId="0" applyFont="1" applyFill="1" applyBorder="1" applyAlignment="1">
      <alignment horizontal="left"/>
    </xf>
    <xf numFmtId="0" fontId="7" fillId="8" borderId="29" xfId="0" applyFont="1" applyFill="1" applyBorder="1" applyAlignment="1">
      <alignment horizontal="right"/>
    </xf>
    <xf numFmtId="167" fontId="0" fillId="6" borderId="31" xfId="0" applyNumberFormat="1" applyFill="1" applyBorder="1"/>
    <xf numFmtId="167" fontId="0" fillId="0" borderId="31" xfId="0" applyNumberFormat="1" applyFill="1" applyBorder="1"/>
    <xf numFmtId="167" fontId="0" fillId="6" borderId="32" xfId="90" applyNumberFormat="1" applyFont="1" applyFill="1" applyBorder="1"/>
    <xf numFmtId="0" fontId="0" fillId="6" borderId="38" xfId="0" applyFill="1" applyBorder="1"/>
    <xf numFmtId="0" fontId="0" fillId="6" borderId="39" xfId="0" applyFill="1" applyBorder="1"/>
    <xf numFmtId="0" fontId="7" fillId="4" borderId="3" xfId="0" applyFont="1" applyFill="1" applyBorder="1" applyProtection="1"/>
    <xf numFmtId="0" fontId="7" fillId="8" borderId="48" xfId="0" applyFont="1" applyFill="1" applyBorder="1" applyAlignment="1" applyProtection="1">
      <alignment horizontal="center"/>
    </xf>
    <xf numFmtId="166" fontId="6" fillId="0" borderId="0" xfId="42" applyNumberFormat="1" applyFont="1" applyAlignment="1">
      <alignment horizontal="right"/>
    </xf>
    <xf numFmtId="170" fontId="9" fillId="0" borderId="0" xfId="0" applyNumberFormat="1" applyFont="1" applyFill="1" applyBorder="1" applyAlignment="1" applyProtection="1">
      <alignment horizontal="right"/>
    </xf>
    <xf numFmtId="0" fontId="123" fillId="60" borderId="0" xfId="0" applyFont="1" applyFill="1"/>
    <xf numFmtId="0" fontId="124" fillId="60" borderId="0" xfId="1" applyFont="1" applyFill="1" applyBorder="1" applyAlignment="1" applyProtection="1">
      <alignment horizontal="left"/>
    </xf>
    <xf numFmtId="0" fontId="123" fillId="53" borderId="0" xfId="0" applyFont="1" applyFill="1"/>
    <xf numFmtId="0" fontId="124" fillId="111" borderId="0" xfId="1" applyFont="1" applyFill="1" applyBorder="1" applyAlignment="1" applyProtection="1">
      <alignment horizontal="left"/>
    </xf>
    <xf numFmtId="0" fontId="124" fillId="28" borderId="0" xfId="1" applyFont="1" applyFill="1"/>
    <xf numFmtId="0" fontId="124" fillId="28" borderId="0" xfId="1" applyFont="1" applyFill="1" applyBorder="1" applyAlignment="1" applyProtection="1">
      <alignment horizontal="left"/>
    </xf>
    <xf numFmtId="0" fontId="124" fillId="14" borderId="0" xfId="1" applyFont="1" applyFill="1"/>
    <xf numFmtId="0" fontId="124" fillId="14" borderId="0" xfId="1" applyFont="1" applyFill="1" applyBorder="1" applyAlignment="1" applyProtection="1">
      <alignment horizontal="left"/>
    </xf>
    <xf numFmtId="0" fontId="125" fillId="14" borderId="0" xfId="1" applyFont="1" applyFill="1"/>
    <xf numFmtId="0" fontId="125" fillId="58" borderId="0" xfId="1" applyFont="1" applyFill="1"/>
    <xf numFmtId="0" fontId="124" fillId="58" borderId="0" xfId="1" applyFont="1" applyFill="1" applyBorder="1" applyAlignment="1" applyProtection="1">
      <alignment horizontal="left"/>
    </xf>
    <xf numFmtId="0" fontId="125" fillId="110" borderId="0" xfId="1" applyFont="1" applyFill="1"/>
    <xf numFmtId="0" fontId="124" fillId="110" borderId="0" xfId="1" applyFont="1" applyFill="1" applyBorder="1" applyAlignment="1" applyProtection="1">
      <alignment horizontal="left"/>
    </xf>
    <xf numFmtId="0" fontId="126" fillId="2" borderId="0" xfId="0" applyFont="1" applyFill="1"/>
    <xf numFmtId="0" fontId="125" fillId="2" borderId="0" xfId="1" applyFont="1" applyFill="1"/>
    <xf numFmtId="0" fontId="124" fillId="2" borderId="0" xfId="1" applyFont="1" applyFill="1"/>
    <xf numFmtId="0" fontId="5" fillId="0" borderId="0" xfId="0" applyFont="1" applyAlignment="1">
      <alignment horizontal="center"/>
    </xf>
    <xf numFmtId="169" fontId="0" fillId="64" borderId="0" xfId="0" applyNumberFormat="1" applyFont="1" applyFill="1"/>
    <xf numFmtId="0" fontId="5" fillId="0" borderId="0" xfId="0" applyFont="1" applyFill="1" applyAlignment="1">
      <alignment horizontal="center"/>
    </xf>
    <xf numFmtId="0" fontId="5" fillId="0" borderId="0" xfId="0" applyFont="1" applyFill="1" applyBorder="1" applyAlignment="1">
      <alignment horizontal="center"/>
    </xf>
    <xf numFmtId="0" fontId="14" fillId="2" borderId="38" xfId="0" applyFont="1" applyFill="1" applyBorder="1" applyAlignment="1">
      <alignment horizontal="center"/>
    </xf>
    <xf numFmtId="166" fontId="6" fillId="0" borderId="0" xfId="49" applyNumberFormat="1" applyFont="1" applyFill="1" applyBorder="1" applyAlignment="1" applyProtection="1">
      <alignment horizontal="right"/>
    </xf>
    <xf numFmtId="166" fontId="6" fillId="2" borderId="0" xfId="49" applyNumberFormat="1" applyFont="1" applyFill="1" applyBorder="1" applyAlignment="1" applyProtection="1">
      <alignment horizontal="right"/>
    </xf>
    <xf numFmtId="166" fontId="6" fillId="2" borderId="0" xfId="42" applyNumberFormat="1" applyFont="1" applyFill="1" applyBorder="1" applyAlignment="1" applyProtection="1">
      <alignment horizontal="right"/>
    </xf>
    <xf numFmtId="176" fontId="6" fillId="0" borderId="0" xfId="90" applyNumberFormat="1" applyFont="1"/>
    <xf numFmtId="43" fontId="6" fillId="0" borderId="0" xfId="49" applyNumberFormat="1" applyFont="1" applyFill="1" applyBorder="1" applyAlignment="1" applyProtection="1">
      <alignment horizontal="center"/>
    </xf>
    <xf numFmtId="0" fontId="0" fillId="0" borderId="0" xfId="90" applyNumberFormat="1" applyFont="1" applyBorder="1"/>
    <xf numFmtId="4" fontId="6" fillId="53" borderId="5" xfId="0" applyNumberFormat="1" applyFont="1" applyFill="1" applyBorder="1"/>
    <xf numFmtId="4" fontId="0" fillId="0" borderId="9" xfId="0" applyNumberFormat="1" applyFont="1" applyBorder="1"/>
    <xf numFmtId="4" fontId="0" fillId="17" borderId="22" xfId="0" applyNumberFormat="1" applyFont="1" applyFill="1" applyBorder="1"/>
    <xf numFmtId="4" fontId="0" fillId="17" borderId="9" xfId="0" applyNumberFormat="1" applyFont="1" applyFill="1" applyBorder="1"/>
    <xf numFmtId="4" fontId="0" fillId="17" borderId="35" xfId="0" applyNumberFormat="1" applyFont="1" applyFill="1" applyBorder="1"/>
    <xf numFmtId="4" fontId="0" fillId="0" borderId="2" xfId="0" applyNumberFormat="1" applyFont="1" applyBorder="1"/>
    <xf numFmtId="4" fontId="0" fillId="17" borderId="2" xfId="0" applyNumberFormat="1" applyFont="1" applyFill="1" applyBorder="1"/>
    <xf numFmtId="4" fontId="0" fillId="0" borderId="8" xfId="0" applyNumberFormat="1" applyFont="1" applyBorder="1"/>
    <xf numFmtId="4" fontId="0" fillId="0" borderId="5" xfId="0" applyNumberFormat="1" applyFont="1" applyBorder="1"/>
    <xf numFmtId="0" fontId="7" fillId="54" borderId="40" xfId="0" applyFont="1" applyFill="1" applyBorder="1"/>
    <xf numFmtId="0" fontId="7" fillId="51" borderId="48" xfId="0" applyFont="1" applyFill="1" applyBorder="1"/>
    <xf numFmtId="0" fontId="7" fillId="51" borderId="50" xfId="0" applyFont="1" applyFill="1" applyBorder="1" applyAlignment="1">
      <alignment horizontal="center" vertical="center"/>
    </xf>
    <xf numFmtId="4" fontId="15" fillId="14" borderId="2" xfId="0" applyNumberFormat="1" applyFont="1" applyFill="1" applyBorder="1" applyAlignment="1">
      <alignment horizontal="right" vertical="center" wrapText="1"/>
    </xf>
    <xf numFmtId="4" fontId="15" fillId="0" borderId="2" xfId="0" applyNumberFormat="1" applyFont="1" applyFill="1" applyBorder="1" applyAlignment="1">
      <alignment horizontal="right" vertical="center" wrapText="1"/>
    </xf>
    <xf numFmtId="3" fontId="15" fillId="0" borderId="1" xfId="0" applyNumberFormat="1" applyFont="1" applyFill="1" applyBorder="1" applyAlignment="1">
      <alignment horizontal="right" vertical="center" wrapText="1"/>
    </xf>
    <xf numFmtId="3" fontId="15" fillId="14" borderId="1" xfId="0" applyNumberFormat="1" applyFont="1" applyFill="1" applyBorder="1" applyAlignment="1">
      <alignment horizontal="right" vertical="center" wrapText="1"/>
    </xf>
    <xf numFmtId="0" fontId="7" fillId="0" borderId="0" xfId="0" applyFont="1" applyFill="1" applyBorder="1" applyAlignment="1">
      <alignment horizontal="left" vertical="center"/>
    </xf>
    <xf numFmtId="0" fontId="7" fillId="0" borderId="43" xfId="0" applyFont="1" applyFill="1" applyBorder="1"/>
    <xf numFmtId="166" fontId="0" fillId="0" borderId="43" xfId="42" applyNumberFormat="1" applyFont="1" applyFill="1" applyBorder="1"/>
    <xf numFmtId="2" fontId="0" fillId="64" borderId="0" xfId="0" applyNumberFormat="1" applyFont="1" applyFill="1" applyBorder="1"/>
    <xf numFmtId="2" fontId="0" fillId="64" borderId="2" xfId="0" applyNumberFormat="1" applyFont="1" applyFill="1" applyBorder="1"/>
    <xf numFmtId="0" fontId="6" fillId="30" borderId="84" xfId="0" applyFont="1" applyFill="1" applyBorder="1"/>
    <xf numFmtId="0" fontId="5" fillId="0" borderId="0" xfId="0" applyFont="1" applyAlignment="1"/>
    <xf numFmtId="0" fontId="5" fillId="0" borderId="0" xfId="0" applyFont="1" applyBorder="1" applyAlignment="1"/>
    <xf numFmtId="0" fontId="7" fillId="0" borderId="1" xfId="0" applyFont="1" applyFill="1" applyBorder="1" applyAlignment="1"/>
    <xf numFmtId="0" fontId="5" fillId="0" borderId="1" xfId="0" applyFont="1" applyFill="1" applyBorder="1" applyAlignment="1"/>
    <xf numFmtId="17" fontId="7" fillId="107" borderId="30" xfId="0" applyNumberFormat="1" applyFont="1" applyFill="1" applyBorder="1"/>
    <xf numFmtId="17" fontId="7" fillId="107" borderId="48" xfId="0" applyNumberFormat="1" applyFont="1" applyFill="1" applyBorder="1"/>
    <xf numFmtId="17" fontId="7" fillId="107" borderId="49" xfId="0" applyNumberFormat="1" applyFont="1" applyFill="1" applyBorder="1"/>
    <xf numFmtId="17" fontId="7" fillId="107" borderId="50" xfId="0" applyNumberFormat="1" applyFont="1" applyFill="1" applyBorder="1"/>
    <xf numFmtId="17" fontId="7" fillId="107" borderId="3" xfId="0" applyNumberFormat="1" applyFont="1" applyFill="1" applyBorder="1"/>
    <xf numFmtId="17" fontId="7" fillId="9" borderId="37" xfId="0" applyNumberFormat="1" applyFont="1" applyFill="1" applyBorder="1"/>
    <xf numFmtId="17" fontId="7" fillId="9" borderId="38" xfId="0" applyNumberFormat="1" applyFont="1" applyFill="1" applyBorder="1"/>
    <xf numFmtId="17" fontId="7" fillId="9" borderId="39" xfId="0" applyNumberFormat="1" applyFont="1" applyFill="1" applyBorder="1"/>
    <xf numFmtId="0" fontId="7" fillId="9" borderId="39" xfId="0" applyNumberFormat="1" applyFont="1" applyFill="1" applyBorder="1"/>
    <xf numFmtId="0" fontId="7" fillId="9" borderId="30" xfId="0" applyNumberFormat="1" applyFont="1" applyFill="1" applyBorder="1"/>
    <xf numFmtId="0" fontId="0" fillId="11" borderId="35" xfId="0" applyFont="1" applyFill="1" applyBorder="1"/>
    <xf numFmtId="0" fontId="0" fillId="11" borderId="2" xfId="0" applyFont="1" applyFill="1" applyBorder="1"/>
    <xf numFmtId="17" fontId="7" fillId="18" borderId="30" xfId="0" applyNumberFormat="1" applyFont="1" applyFill="1" applyBorder="1"/>
    <xf numFmtId="2" fontId="0" fillId="20" borderId="22" xfId="0" applyNumberFormat="1" applyFont="1" applyFill="1" applyBorder="1"/>
    <xf numFmtId="2" fontId="0" fillId="20" borderId="35" xfId="0" applyNumberFormat="1" applyFont="1" applyFill="1" applyBorder="1"/>
    <xf numFmtId="2" fontId="0" fillId="20" borderId="2" xfId="0" applyNumberFormat="1" applyFont="1" applyFill="1" applyBorder="1"/>
    <xf numFmtId="169" fontId="0" fillId="109" borderId="35" xfId="0" applyNumberFormat="1" applyFont="1" applyFill="1" applyBorder="1"/>
    <xf numFmtId="169" fontId="0" fillId="109" borderId="2" xfId="0" applyNumberFormat="1" applyFont="1" applyFill="1" applyBorder="1"/>
    <xf numFmtId="0" fontId="7" fillId="107" borderId="1" xfId="0" applyNumberFormat="1" applyFont="1" applyFill="1" applyBorder="1"/>
    <xf numFmtId="0" fontId="7" fillId="113" borderId="1" xfId="0" applyNumberFormat="1" applyFont="1" applyFill="1" applyBorder="1"/>
    <xf numFmtId="0" fontId="7" fillId="113" borderId="3" xfId="0" applyNumberFormat="1" applyFont="1" applyFill="1" applyBorder="1"/>
    <xf numFmtId="0" fontId="7" fillId="22" borderId="39" xfId="0" applyNumberFormat="1" applyFont="1" applyFill="1" applyBorder="1"/>
    <xf numFmtId="0" fontId="7" fillId="23" borderId="44" xfId="0" applyFont="1" applyFill="1" applyBorder="1"/>
    <xf numFmtId="0" fontId="7" fillId="61" borderId="37" xfId="0" applyNumberFormat="1" applyFont="1" applyFill="1" applyBorder="1"/>
    <xf numFmtId="0" fontId="7" fillId="61" borderId="38" xfId="0" applyNumberFormat="1" applyFont="1" applyFill="1" applyBorder="1"/>
    <xf numFmtId="0" fontId="7" fillId="61" borderId="39" xfId="0" applyNumberFormat="1" applyFont="1" applyFill="1" applyBorder="1"/>
    <xf numFmtId="0" fontId="7" fillId="61" borderId="30" xfId="0" applyNumberFormat="1" applyFont="1" applyFill="1" applyBorder="1"/>
    <xf numFmtId="0" fontId="7" fillId="114" borderId="1" xfId="0" applyNumberFormat="1" applyFont="1" applyFill="1" applyBorder="1"/>
    <xf numFmtId="0" fontId="7" fillId="61" borderId="3" xfId="0" applyNumberFormat="1" applyFont="1" applyFill="1" applyBorder="1"/>
    <xf numFmtId="0" fontId="7" fillId="54" borderId="30" xfId="0" applyNumberFormat="1" applyFont="1" applyFill="1" applyBorder="1"/>
    <xf numFmtId="0" fontId="7" fillId="115" borderId="1" xfId="0" applyNumberFormat="1" applyFont="1" applyFill="1" applyBorder="1"/>
    <xf numFmtId="17" fontId="7" fillId="115" borderId="1" xfId="0" applyNumberFormat="1" applyFont="1" applyFill="1" applyBorder="1"/>
    <xf numFmtId="17" fontId="7" fillId="54" borderId="3" xfId="0" applyNumberFormat="1" applyFont="1" applyFill="1" applyBorder="1"/>
    <xf numFmtId="2" fontId="0" fillId="52" borderId="45" xfId="0" applyNumberFormat="1" applyFont="1" applyFill="1" applyBorder="1" applyProtection="1"/>
    <xf numFmtId="2" fontId="0" fillId="0" borderId="7" xfId="0" applyNumberFormat="1" applyFont="1" applyBorder="1" applyProtection="1"/>
    <xf numFmtId="2" fontId="0" fillId="52" borderId="7" xfId="0" applyNumberFormat="1" applyFont="1" applyFill="1" applyBorder="1" applyProtection="1"/>
    <xf numFmtId="2" fontId="0" fillId="0" borderId="6" xfId="0" applyNumberFormat="1" applyFont="1" applyBorder="1" applyProtection="1"/>
    <xf numFmtId="17" fontId="7" fillId="54" borderId="30" xfId="0" applyNumberFormat="1" applyFont="1" applyFill="1" applyBorder="1" applyProtection="1"/>
    <xf numFmtId="17" fontId="7" fillId="54" borderId="3" xfId="0" applyNumberFormat="1" applyFont="1" applyFill="1" applyBorder="1" applyProtection="1"/>
    <xf numFmtId="0" fontId="7" fillId="8" borderId="37" xfId="0" applyNumberFormat="1" applyFont="1" applyFill="1" applyBorder="1"/>
    <xf numFmtId="0" fontId="7" fillId="8" borderId="38" xfId="0" applyNumberFormat="1" applyFont="1" applyFill="1" applyBorder="1"/>
    <xf numFmtId="0" fontId="7" fillId="8" borderId="39" xfId="0" applyNumberFormat="1" applyFont="1" applyFill="1" applyBorder="1"/>
    <xf numFmtId="0" fontId="7" fillId="116" borderId="25" xfId="0" applyFont="1" applyFill="1" applyBorder="1"/>
    <xf numFmtId="17" fontId="7" fillId="117" borderId="1" xfId="0" applyNumberFormat="1" applyFont="1" applyFill="1" applyBorder="1"/>
    <xf numFmtId="17" fontId="7" fillId="118" borderId="1" xfId="0" applyNumberFormat="1" applyFont="1" applyFill="1" applyBorder="1"/>
    <xf numFmtId="17" fontId="7" fillId="118" borderId="3" xfId="0" applyNumberFormat="1" applyFont="1" applyFill="1" applyBorder="1"/>
    <xf numFmtId="0" fontId="7" fillId="118" borderId="30" xfId="0" applyNumberFormat="1" applyFont="1" applyFill="1" applyBorder="1"/>
    <xf numFmtId="0" fontId="7" fillId="117" borderId="1" xfId="0" applyNumberFormat="1" applyFont="1" applyFill="1" applyBorder="1"/>
    <xf numFmtId="0" fontId="7" fillId="118" borderId="1" xfId="0" applyNumberFormat="1" applyFont="1" applyFill="1" applyBorder="1"/>
    <xf numFmtId="0" fontId="7" fillId="118" borderId="3" xfId="0" applyNumberFormat="1" applyFont="1" applyFill="1" applyBorder="1"/>
    <xf numFmtId="0" fontId="7" fillId="4" borderId="86" xfId="0" applyFont="1" applyFill="1" applyBorder="1" applyProtection="1"/>
    <xf numFmtId="0" fontId="7" fillId="4" borderId="87" xfId="0" applyFont="1" applyFill="1" applyBorder="1" applyProtection="1"/>
    <xf numFmtId="0" fontId="7" fillId="4" borderId="88" xfId="0" applyFont="1" applyFill="1" applyBorder="1" applyProtection="1"/>
    <xf numFmtId="17" fontId="7" fillId="8" borderId="86" xfId="0" applyNumberFormat="1" applyFont="1" applyFill="1" applyBorder="1" applyProtection="1"/>
    <xf numFmtId="17" fontId="0" fillId="5" borderId="86" xfId="0" applyNumberFormat="1" applyFont="1" applyFill="1" applyBorder="1" applyProtection="1"/>
    <xf numFmtId="2" fontId="0" fillId="5" borderId="89" xfId="0" applyNumberFormat="1" applyFont="1" applyFill="1" applyBorder="1" applyProtection="1"/>
    <xf numFmtId="2" fontId="0" fillId="5" borderId="88" xfId="0" applyNumberFormat="1" applyFont="1" applyFill="1" applyBorder="1" applyProtection="1"/>
    <xf numFmtId="17" fontId="7" fillId="8" borderId="19" xfId="0" applyNumberFormat="1" applyFont="1" applyFill="1" applyBorder="1" applyProtection="1"/>
    <xf numFmtId="17" fontId="7" fillId="8" borderId="12" xfId="0" applyNumberFormat="1" applyFont="1" applyFill="1" applyBorder="1" applyProtection="1"/>
    <xf numFmtId="17" fontId="7" fillId="61" borderId="37" xfId="0" applyNumberFormat="1" applyFont="1" applyFill="1" applyBorder="1"/>
    <xf numFmtId="17" fontId="7" fillId="61" borderId="38" xfId="0" applyNumberFormat="1" applyFont="1" applyFill="1" applyBorder="1"/>
    <xf numFmtId="17" fontId="7" fillId="61" borderId="39" xfId="0" applyNumberFormat="1" applyFont="1" applyFill="1" applyBorder="1"/>
    <xf numFmtId="17" fontId="7" fillId="22" borderId="37" xfId="0" applyNumberFormat="1" applyFont="1" applyFill="1" applyBorder="1"/>
    <xf numFmtId="17" fontId="7" fillId="22" borderId="38" xfId="0" applyNumberFormat="1" applyFont="1" applyFill="1" applyBorder="1"/>
    <xf numFmtId="17" fontId="7" fillId="22" borderId="39" xfId="0" applyNumberFormat="1" applyFont="1" applyFill="1" applyBorder="1"/>
    <xf numFmtId="0" fontId="7" fillId="119" borderId="30" xfId="0" applyFont="1" applyFill="1" applyBorder="1" applyAlignment="1">
      <alignment horizontal="center"/>
    </xf>
    <xf numFmtId="17" fontId="7" fillId="120" borderId="1" xfId="0" applyNumberFormat="1" applyFont="1" applyFill="1" applyBorder="1"/>
    <xf numFmtId="17" fontId="7" fillId="119" borderId="1" xfId="0" applyNumberFormat="1" applyFont="1" applyFill="1" applyBorder="1"/>
    <xf numFmtId="17" fontId="7" fillId="119" borderId="3" xfId="0" applyNumberFormat="1" applyFont="1" applyFill="1" applyBorder="1"/>
    <xf numFmtId="0" fontId="7" fillId="120" borderId="30" xfId="0" applyNumberFormat="1" applyFont="1" applyFill="1" applyBorder="1"/>
    <xf numFmtId="0" fontId="7" fillId="119" borderId="1" xfId="0" applyNumberFormat="1" applyFont="1" applyFill="1" applyBorder="1"/>
    <xf numFmtId="0" fontId="7" fillId="120" borderId="1" xfId="0" applyNumberFormat="1" applyFont="1" applyFill="1" applyBorder="1"/>
    <xf numFmtId="0" fontId="7" fillId="119" borderId="3" xfId="0" applyNumberFormat="1" applyFont="1" applyFill="1" applyBorder="1"/>
    <xf numFmtId="0" fontId="7" fillId="121" borderId="44" xfId="0" applyFont="1" applyFill="1" applyBorder="1" applyAlignment="1">
      <alignment horizontal="center"/>
    </xf>
    <xf numFmtId="17" fontId="7" fillId="122" borderId="1" xfId="0" applyNumberFormat="1" applyFont="1" applyFill="1" applyBorder="1"/>
    <xf numFmtId="17" fontId="7" fillId="123" borderId="1" xfId="0" applyNumberFormat="1" applyFont="1" applyFill="1" applyBorder="1"/>
    <xf numFmtId="17" fontId="7" fillId="123" borderId="3" xfId="0" applyNumberFormat="1" applyFont="1" applyFill="1" applyBorder="1"/>
    <xf numFmtId="0" fontId="7" fillId="123" borderId="30" xfId="0" applyNumberFormat="1" applyFont="1" applyFill="1" applyBorder="1"/>
    <xf numFmtId="0" fontId="7" fillId="122" borderId="1" xfId="0" applyNumberFormat="1" applyFont="1" applyFill="1" applyBorder="1"/>
    <xf numFmtId="0" fontId="7" fillId="123" borderId="1" xfId="0" applyNumberFormat="1" applyFont="1" applyFill="1" applyBorder="1"/>
    <xf numFmtId="0" fontId="7" fillId="123" borderId="3" xfId="0" applyNumberFormat="1" applyFont="1" applyFill="1" applyBorder="1"/>
    <xf numFmtId="17" fontId="7" fillId="63" borderId="39" xfId="0" applyNumberFormat="1" applyFont="1" applyFill="1" applyBorder="1"/>
    <xf numFmtId="0" fontId="7" fillId="124" borderId="25" xfId="0" applyFont="1" applyFill="1" applyBorder="1"/>
    <xf numFmtId="17" fontId="7" fillId="125" borderId="1" xfId="0" applyNumberFormat="1" applyFont="1" applyFill="1" applyBorder="1"/>
    <xf numFmtId="17" fontId="7" fillId="126" borderId="1" xfId="0" applyNumberFormat="1" applyFont="1" applyFill="1" applyBorder="1"/>
    <xf numFmtId="17" fontId="7" fillId="126" borderId="3" xfId="0" applyNumberFormat="1" applyFont="1" applyFill="1" applyBorder="1"/>
    <xf numFmtId="0" fontId="7" fillId="126" borderId="30" xfId="0" applyNumberFormat="1" applyFont="1" applyFill="1" applyBorder="1"/>
    <xf numFmtId="0" fontId="7" fillId="125" borderId="1" xfId="0" applyNumberFormat="1" applyFont="1" applyFill="1" applyBorder="1"/>
    <xf numFmtId="0" fontId="7" fillId="126" borderId="1" xfId="0" applyNumberFormat="1" applyFont="1" applyFill="1" applyBorder="1"/>
    <xf numFmtId="0" fontId="7" fillId="126" borderId="3" xfId="0" applyNumberFormat="1" applyFont="1" applyFill="1" applyBorder="1"/>
    <xf numFmtId="17" fontId="7" fillId="25" borderId="30" xfId="0" applyNumberFormat="1" applyFont="1" applyFill="1" applyBorder="1"/>
    <xf numFmtId="2" fontId="0" fillId="26" borderId="35" xfId="0" applyNumberFormat="1" applyFont="1" applyFill="1" applyBorder="1"/>
    <xf numFmtId="2" fontId="0" fillId="26" borderId="2" xfId="0" applyNumberFormat="1" applyFont="1" applyFill="1" applyBorder="1"/>
    <xf numFmtId="17" fontId="7" fillId="25" borderId="3" xfId="0" applyNumberFormat="1" applyFont="1" applyFill="1" applyBorder="1"/>
    <xf numFmtId="0" fontId="7" fillId="127" borderId="20" xfId="0" applyFont="1" applyFill="1" applyBorder="1"/>
    <xf numFmtId="17" fontId="7" fillId="128" borderId="34" xfId="0" applyNumberFormat="1" applyFont="1" applyFill="1" applyBorder="1"/>
    <xf numFmtId="17" fontId="7" fillId="129" borderId="19" xfId="0" applyNumberFormat="1" applyFont="1" applyFill="1" applyBorder="1"/>
    <xf numFmtId="17" fontId="7" fillId="128" borderId="19" xfId="0" applyNumberFormat="1" applyFont="1" applyFill="1" applyBorder="1"/>
    <xf numFmtId="17" fontId="7" fillId="129" borderId="12" xfId="0" applyNumberFormat="1" applyFont="1" applyFill="1" applyBorder="1"/>
    <xf numFmtId="17" fontId="7" fillId="128" borderId="1" xfId="0" applyNumberFormat="1" applyFont="1" applyFill="1" applyBorder="1"/>
    <xf numFmtId="17" fontId="7" fillId="129" borderId="1" xfId="0" applyNumberFormat="1" applyFont="1" applyFill="1" applyBorder="1"/>
    <xf numFmtId="17" fontId="7" fillId="129" borderId="3" xfId="0" applyNumberFormat="1" applyFont="1" applyFill="1" applyBorder="1"/>
    <xf numFmtId="0" fontId="7" fillId="129" borderId="1" xfId="0" applyNumberFormat="1" applyFont="1" applyFill="1" applyBorder="1" applyAlignment="1">
      <alignment horizontal="center"/>
    </xf>
    <xf numFmtId="0" fontId="7" fillId="128" borderId="1" xfId="0" applyNumberFormat="1" applyFont="1" applyFill="1" applyBorder="1" applyAlignment="1">
      <alignment horizontal="center"/>
    </xf>
    <xf numFmtId="0" fontId="7" fillId="129" borderId="3" xfId="0" applyNumberFormat="1" applyFont="1" applyFill="1" applyBorder="1" applyAlignment="1">
      <alignment horizontal="center"/>
    </xf>
    <xf numFmtId="0" fontId="7" fillId="128" borderId="34" xfId="0" applyNumberFormat="1" applyFont="1" applyFill="1" applyBorder="1"/>
    <xf numFmtId="0" fontId="7" fillId="129" borderId="19" xfId="0" applyNumberFormat="1" applyFont="1" applyFill="1" applyBorder="1"/>
    <xf numFmtId="0" fontId="7" fillId="128" borderId="19" xfId="0" applyNumberFormat="1" applyFont="1" applyFill="1" applyBorder="1"/>
    <xf numFmtId="0" fontId="7" fillId="129" borderId="12" xfId="0" applyNumberFormat="1" applyFont="1" applyFill="1" applyBorder="1"/>
    <xf numFmtId="0" fontId="7" fillId="130" borderId="25" xfId="0" applyFont="1" applyFill="1" applyBorder="1"/>
    <xf numFmtId="17" fontId="7" fillId="131" borderId="1" xfId="0" applyNumberFormat="1" applyFont="1" applyFill="1" applyBorder="1"/>
    <xf numFmtId="17" fontId="7" fillId="132" borderId="1" xfId="0" applyNumberFormat="1" applyFont="1" applyFill="1" applyBorder="1"/>
    <xf numFmtId="17" fontId="7" fillId="132" borderId="3" xfId="0" applyNumberFormat="1" applyFont="1" applyFill="1" applyBorder="1"/>
    <xf numFmtId="0" fontId="7" fillId="132" borderId="1" xfId="0" applyNumberFormat="1" applyFont="1" applyFill="1" applyBorder="1"/>
    <xf numFmtId="0" fontId="7" fillId="131" borderId="1" xfId="0" applyNumberFormat="1" applyFont="1" applyFill="1" applyBorder="1"/>
    <xf numFmtId="0" fontId="7" fillId="132" borderId="3" xfId="0" applyNumberFormat="1" applyFont="1" applyFill="1" applyBorder="1"/>
    <xf numFmtId="0" fontId="7" fillId="18" borderId="39" xfId="0" applyNumberFormat="1" applyFont="1" applyFill="1" applyBorder="1"/>
    <xf numFmtId="8" fontId="6" fillId="0" borderId="4" xfId="0" applyNumberFormat="1" applyFont="1" applyFill="1" applyBorder="1"/>
    <xf numFmtId="171" fontId="0" fillId="0" borderId="0" xfId="0" applyNumberFormat="1" applyFill="1" applyBorder="1"/>
    <xf numFmtId="3" fontId="6" fillId="0" borderId="9" xfId="0" applyNumberFormat="1" applyFont="1" applyFill="1" applyBorder="1"/>
    <xf numFmtId="166" fontId="6" fillId="0" borderId="9" xfId="0" applyNumberFormat="1" applyFont="1" applyFill="1" applyBorder="1"/>
    <xf numFmtId="6" fontId="6" fillId="0" borderId="0" xfId="0" applyNumberFormat="1" applyFont="1" applyFill="1" applyBorder="1"/>
    <xf numFmtId="8" fontId="6" fillId="0" borderId="9" xfId="0" applyNumberFormat="1" applyFont="1" applyFill="1" applyBorder="1"/>
    <xf numFmtId="174" fontId="1" fillId="0" borderId="9" xfId="0" applyNumberFormat="1" applyFont="1" applyBorder="1"/>
    <xf numFmtId="171" fontId="0" fillId="0" borderId="9" xfId="0" applyNumberFormat="1" applyFill="1" applyBorder="1"/>
    <xf numFmtId="169" fontId="0" fillId="0" borderId="2" xfId="0" applyNumberFormat="1" applyFill="1" applyBorder="1"/>
    <xf numFmtId="3" fontId="6" fillId="2" borderId="8" xfId="0" applyNumberFormat="1" applyFont="1" applyFill="1" applyBorder="1"/>
    <xf numFmtId="166" fontId="6" fillId="2" borderId="4" xfId="0" applyNumberFormat="1" applyFont="1" applyFill="1" applyBorder="1"/>
    <xf numFmtId="166" fontId="6" fillId="2" borderId="8" xfId="0" applyNumberFormat="1" applyFont="1" applyFill="1" applyBorder="1"/>
    <xf numFmtId="6" fontId="6" fillId="2" borderId="4" xfId="0" applyNumberFormat="1" applyFont="1" applyFill="1" applyBorder="1"/>
    <xf numFmtId="8" fontId="6" fillId="2" borderId="8" xfId="0" applyNumberFormat="1" applyFont="1" applyFill="1" applyBorder="1"/>
    <xf numFmtId="174" fontId="1" fillId="2" borderId="4" xfId="0" applyNumberFormat="1" applyFont="1" applyFill="1" applyBorder="1"/>
    <xf numFmtId="171" fontId="0" fillId="2" borderId="8" xfId="0" applyNumberFormat="1" applyFill="1" applyBorder="1"/>
    <xf numFmtId="169" fontId="0" fillId="2" borderId="5" xfId="0" applyNumberFormat="1" applyFill="1" applyBorder="1"/>
    <xf numFmtId="0" fontId="88" fillId="22" borderId="25" xfId="0" applyFont="1" applyFill="1" applyBorder="1" applyAlignment="1">
      <alignment horizontal="center"/>
    </xf>
    <xf numFmtId="0" fontId="88" fillId="22" borderId="33" xfId="0" applyFont="1" applyFill="1" applyBorder="1" applyAlignment="1">
      <alignment horizontal="center"/>
    </xf>
    <xf numFmtId="0" fontId="88" fillId="22" borderId="26" xfId="0" applyFont="1" applyFill="1" applyBorder="1" applyAlignment="1">
      <alignment horizontal="center"/>
    </xf>
    <xf numFmtId="0" fontId="2" fillId="0" borderId="25" xfId="0" applyFont="1" applyFill="1" applyBorder="1" applyAlignment="1">
      <alignment horizontal="center"/>
    </xf>
    <xf numFmtId="0" fontId="2" fillId="0" borderId="33" xfId="0" applyFont="1" applyFill="1" applyBorder="1" applyAlignment="1">
      <alignment horizontal="center"/>
    </xf>
    <xf numFmtId="0" fontId="2" fillId="0" borderId="26" xfId="0" applyFont="1" applyFill="1" applyBorder="1" applyAlignment="1">
      <alignment horizontal="center"/>
    </xf>
    <xf numFmtId="0" fontId="55" fillId="0" borderId="0" xfId="0" applyFont="1" applyBorder="1" applyAlignment="1">
      <alignment horizontal="center" vertical="top"/>
    </xf>
    <xf numFmtId="0" fontId="67" fillId="6" borderId="33" xfId="0" applyFont="1" applyFill="1" applyBorder="1" applyAlignment="1">
      <alignment horizontal="center"/>
    </xf>
    <xf numFmtId="0" fontId="67" fillId="6" borderId="26" xfId="0" applyFont="1" applyFill="1" applyBorder="1" applyAlignment="1">
      <alignment horizontal="center"/>
    </xf>
    <xf numFmtId="0" fontId="89" fillId="103" borderId="1" xfId="0" applyFont="1" applyFill="1" applyBorder="1" applyAlignment="1">
      <alignment horizontal="left"/>
    </xf>
    <xf numFmtId="0" fontId="89" fillId="103" borderId="0" xfId="0" applyFont="1" applyFill="1" applyBorder="1" applyAlignment="1">
      <alignment horizontal="left"/>
    </xf>
    <xf numFmtId="0" fontId="5" fillId="0" borderId="0" xfId="0" applyFont="1" applyAlignment="1">
      <alignment horizontal="center"/>
    </xf>
    <xf numFmtId="0" fontId="67" fillId="2" borderId="47" xfId="0" applyFont="1" applyFill="1" applyBorder="1" applyAlignment="1">
      <alignment horizontal="center"/>
    </xf>
    <xf numFmtId="0" fontId="67" fillId="2" borderId="33" xfId="0" applyFont="1" applyFill="1" applyBorder="1" applyAlignment="1">
      <alignment horizontal="center"/>
    </xf>
    <xf numFmtId="0" fontId="67" fillId="2" borderId="26" xfId="0" applyFont="1" applyFill="1" applyBorder="1" applyAlignment="1">
      <alignment horizontal="center"/>
    </xf>
    <xf numFmtId="0" fontId="2" fillId="0" borderId="0" xfId="0" applyFont="1" applyFill="1" applyBorder="1" applyAlignment="1">
      <alignment horizontal="left" wrapText="1"/>
    </xf>
    <xf numFmtId="37" fontId="3" fillId="30" borderId="25" xfId="0" applyNumberFormat="1" applyFont="1" applyFill="1" applyBorder="1" applyAlignment="1">
      <alignment horizontal="center"/>
    </xf>
    <xf numFmtId="37" fontId="3" fillId="30" borderId="26" xfId="0" applyNumberFormat="1" applyFont="1" applyFill="1" applyBorder="1" applyAlignment="1">
      <alignment horizontal="center"/>
    </xf>
    <xf numFmtId="37" fontId="61" fillId="30" borderId="51" xfId="0" applyNumberFormat="1" applyFont="1" applyFill="1" applyBorder="1" applyAlignment="1" applyProtection="1">
      <alignment horizontal="center"/>
    </xf>
    <xf numFmtId="37" fontId="61" fillId="30" borderId="52" xfId="0" applyNumberFormat="1" applyFont="1" applyFill="1" applyBorder="1" applyAlignment="1" applyProtection="1">
      <alignment horizontal="center"/>
    </xf>
    <xf numFmtId="37" fontId="61" fillId="30" borderId="53" xfId="0" applyNumberFormat="1" applyFont="1" applyFill="1" applyBorder="1" applyAlignment="1" applyProtection="1">
      <alignment horizontal="center"/>
    </xf>
    <xf numFmtId="0" fontId="9" fillId="0" borderId="0" xfId="0" applyFont="1" applyAlignment="1">
      <alignment horizontal="center"/>
    </xf>
    <xf numFmtId="0" fontId="9" fillId="0" borderId="0" xfId="0" applyFont="1" applyFill="1" applyBorder="1" applyAlignment="1">
      <alignment horizontal="center"/>
    </xf>
    <xf numFmtId="1" fontId="9" fillId="0" borderId="0" xfId="0" applyNumberFormat="1" applyFont="1" applyFill="1" applyBorder="1" applyAlignment="1">
      <alignment horizontal="center"/>
    </xf>
    <xf numFmtId="166" fontId="9" fillId="0" borderId="0" xfId="0" applyNumberFormat="1" applyFont="1" applyFill="1" applyBorder="1" applyAlignment="1">
      <alignment horizontal="center"/>
    </xf>
    <xf numFmtId="0" fontId="9" fillId="2" borderId="0" xfId="0" applyFont="1" applyFill="1" applyBorder="1" applyAlignment="1" applyProtection="1">
      <alignment horizontal="center"/>
    </xf>
    <xf numFmtId="3" fontId="9" fillId="0" borderId="0" xfId="0" applyNumberFormat="1" applyFont="1" applyFill="1" applyBorder="1" applyAlignment="1">
      <alignment horizontal="center"/>
    </xf>
    <xf numFmtId="0" fontId="9" fillId="28" borderId="0" xfId="0" applyFont="1" applyFill="1" applyBorder="1" applyAlignment="1" applyProtection="1">
      <alignment horizontal="center"/>
    </xf>
    <xf numFmtId="0" fontId="9" fillId="28" borderId="19" xfId="0" applyFont="1" applyFill="1" applyBorder="1" applyAlignment="1" applyProtection="1">
      <alignment horizontal="center"/>
    </xf>
    <xf numFmtId="0" fontId="9" fillId="28" borderId="7" xfId="0" applyFont="1" applyFill="1" applyBorder="1" applyAlignment="1" applyProtection="1">
      <alignment horizontal="center"/>
    </xf>
    <xf numFmtId="0" fontId="0" fillId="0" borderId="0" xfId="0" applyAlignment="1" applyProtection="1">
      <alignment horizontal="center"/>
    </xf>
    <xf numFmtId="0" fontId="0" fillId="0" borderId="13" xfId="0" applyBorder="1" applyAlignment="1" applyProtection="1">
      <alignment horizontal="center"/>
    </xf>
    <xf numFmtId="0" fontId="5" fillId="0" borderId="25" xfId="0" applyFont="1" applyBorder="1" applyAlignment="1">
      <alignment horizontal="center"/>
    </xf>
    <xf numFmtId="0" fontId="5" fillId="0" borderId="33" xfId="0" applyFont="1" applyBorder="1" applyAlignment="1">
      <alignment horizontal="center"/>
    </xf>
    <xf numFmtId="0" fontId="5" fillId="0" borderId="26" xfId="0" applyFont="1" applyBorder="1" applyAlignment="1">
      <alignment horizontal="center"/>
    </xf>
    <xf numFmtId="0" fontId="7" fillId="8" borderId="51" xfId="0" applyFont="1" applyFill="1" applyBorder="1" applyAlignment="1" applyProtection="1">
      <alignment horizontal="center"/>
    </xf>
    <xf numFmtId="0" fontId="7" fillId="8" borderId="53" xfId="0" applyFont="1" applyFill="1" applyBorder="1" applyAlignment="1" applyProtection="1">
      <alignment horizontal="center"/>
    </xf>
    <xf numFmtId="0" fontId="5" fillId="0" borderId="3" xfId="0" applyFont="1" applyBorder="1" applyAlignment="1">
      <alignment horizontal="center"/>
    </xf>
    <xf numFmtId="0" fontId="5" fillId="0" borderId="5" xfId="0" applyFont="1" applyBorder="1" applyAlignment="1">
      <alignment horizontal="center"/>
    </xf>
    <xf numFmtId="0" fontId="55" fillId="0" borderId="43" xfId="0" applyFont="1" applyBorder="1" applyAlignment="1">
      <alignment horizontal="center"/>
    </xf>
    <xf numFmtId="0" fontId="5" fillId="0" borderId="4" xfId="0" applyFont="1" applyBorder="1" applyAlignment="1">
      <alignment horizontal="center"/>
    </xf>
    <xf numFmtId="0" fontId="7" fillId="4" borderId="25" xfId="0" applyFont="1" applyFill="1" applyBorder="1" applyAlignment="1">
      <alignment horizontal="center"/>
    </xf>
    <xf numFmtId="0" fontId="7" fillId="4" borderId="26" xfId="0" applyFont="1" applyFill="1" applyBorder="1" applyAlignment="1">
      <alignment horizontal="center"/>
    </xf>
    <xf numFmtId="0" fontId="67" fillId="6" borderId="25" xfId="0" applyFont="1" applyFill="1" applyBorder="1" applyAlignment="1">
      <alignment horizontal="center"/>
    </xf>
    <xf numFmtId="0" fontId="91" fillId="0" borderId="0" xfId="0" applyFont="1" applyAlignment="1">
      <alignment horizontal="center" vertical="center" wrapText="1"/>
    </xf>
    <xf numFmtId="0" fontId="0" fillId="0" borderId="0" xfId="0" applyBorder="1" applyAlignment="1">
      <alignment horizontal="center"/>
    </xf>
    <xf numFmtId="0" fontId="0" fillId="0" borderId="0" xfId="0" applyAlignment="1">
      <alignment horizontal="center"/>
    </xf>
    <xf numFmtId="0" fontId="7" fillId="54" borderId="51" xfId="0" applyFont="1" applyFill="1" applyBorder="1" applyAlignment="1" applyProtection="1">
      <alignment horizontal="center"/>
    </xf>
    <xf numFmtId="0" fontId="7" fillId="54" borderId="53" xfId="0" applyFont="1" applyFill="1" applyBorder="1" applyAlignment="1" applyProtection="1">
      <alignment horizontal="center"/>
    </xf>
    <xf numFmtId="0" fontId="7" fillId="54" borderId="51" xfId="0" applyFont="1" applyFill="1" applyBorder="1" applyAlignment="1">
      <alignment horizontal="center"/>
    </xf>
    <xf numFmtId="0" fontId="7" fillId="54" borderId="53" xfId="0" applyFont="1" applyFill="1" applyBorder="1" applyAlignment="1">
      <alignment horizontal="center"/>
    </xf>
    <xf numFmtId="0" fontId="67" fillId="53" borderId="33" xfId="0" applyFont="1" applyFill="1" applyBorder="1" applyAlignment="1">
      <alignment horizontal="center"/>
    </xf>
    <xf numFmtId="0" fontId="67" fillId="53" borderId="26" xfId="0" applyFont="1" applyFill="1" applyBorder="1" applyAlignment="1">
      <alignment horizontal="center"/>
    </xf>
    <xf numFmtId="0" fontId="5" fillId="0" borderId="0" xfId="0" applyFont="1" applyAlignment="1" applyProtection="1">
      <alignment horizontal="center"/>
    </xf>
    <xf numFmtId="0" fontId="5" fillId="0" borderId="4" xfId="0" applyFont="1" applyBorder="1" applyAlignment="1" applyProtection="1">
      <alignment horizontal="center"/>
    </xf>
    <xf numFmtId="0" fontId="9" fillId="0" borderId="0" xfId="0" applyFont="1" applyAlignment="1" applyProtection="1">
      <alignment horizontal="center"/>
    </xf>
    <xf numFmtId="0" fontId="9" fillId="0" borderId="4" xfId="0" applyFont="1" applyBorder="1" applyAlignment="1" applyProtection="1">
      <alignment horizontal="center"/>
    </xf>
    <xf numFmtId="0" fontId="7" fillId="51" borderId="25" xfId="0" applyFont="1" applyFill="1" applyBorder="1" applyAlignment="1">
      <alignment horizontal="center"/>
    </xf>
    <xf numFmtId="0" fontId="7" fillId="51" borderId="33" xfId="0" applyFont="1" applyFill="1" applyBorder="1" applyAlignment="1">
      <alignment horizontal="center"/>
    </xf>
    <xf numFmtId="0" fontId="7" fillId="51" borderId="26" xfId="0" applyFont="1" applyFill="1" applyBorder="1" applyAlignment="1">
      <alignment horizontal="center"/>
    </xf>
    <xf numFmtId="0" fontId="67" fillId="0" borderId="43" xfId="0" applyFont="1" applyBorder="1" applyAlignment="1">
      <alignment horizontal="center"/>
    </xf>
    <xf numFmtId="0" fontId="67" fillId="53" borderId="25" xfId="0" applyFont="1" applyFill="1" applyBorder="1" applyAlignment="1">
      <alignment horizontal="center"/>
    </xf>
    <xf numFmtId="0" fontId="7" fillId="54" borderId="33" xfId="0" applyFont="1" applyFill="1" applyBorder="1" applyAlignment="1">
      <alignment horizontal="center"/>
    </xf>
    <xf numFmtId="0" fontId="7" fillId="54" borderId="40" xfId="0" applyFont="1" applyFill="1" applyBorder="1" applyAlignment="1">
      <alignment horizontal="center"/>
    </xf>
    <xf numFmtId="0" fontId="7" fillId="54" borderId="47" xfId="0" applyFont="1" applyFill="1" applyBorder="1" applyAlignment="1">
      <alignment horizontal="center"/>
    </xf>
    <xf numFmtId="0" fontId="7" fillId="54" borderId="26" xfId="0" applyFont="1" applyFill="1" applyBorder="1" applyAlignment="1">
      <alignment horizontal="center"/>
    </xf>
    <xf numFmtId="0" fontId="9" fillId="0" borderId="4" xfId="0" applyFont="1" applyBorder="1" applyAlignment="1">
      <alignment horizontal="center"/>
    </xf>
    <xf numFmtId="0" fontId="67" fillId="28" borderId="33" xfId="0" applyFont="1" applyFill="1" applyBorder="1" applyAlignment="1">
      <alignment horizontal="center"/>
    </xf>
    <xf numFmtId="0" fontId="67" fillId="28" borderId="26" xfId="0" applyFont="1" applyFill="1" applyBorder="1" applyAlignment="1">
      <alignment horizontal="center"/>
    </xf>
    <xf numFmtId="0" fontId="55" fillId="0" borderId="0" xfId="0" applyFont="1" applyBorder="1" applyAlignment="1">
      <alignment horizontal="center"/>
    </xf>
    <xf numFmtId="0" fontId="7" fillId="62" borderId="30" xfId="0" applyFont="1" applyFill="1" applyBorder="1" applyAlignment="1">
      <alignment horizontal="center"/>
    </xf>
    <xf numFmtId="0" fontId="7" fillId="62" borderId="43" xfId="0" applyFont="1" applyFill="1" applyBorder="1" applyAlignment="1">
      <alignment horizontal="center"/>
    </xf>
    <xf numFmtId="0" fontId="7" fillId="62" borderId="35" xfId="0" applyFont="1" applyFill="1" applyBorder="1" applyAlignment="1">
      <alignment horizontal="center"/>
    </xf>
    <xf numFmtId="0" fontId="67" fillId="16" borderId="25" xfId="0" applyFont="1" applyFill="1" applyBorder="1" applyAlignment="1">
      <alignment horizontal="center"/>
    </xf>
    <xf numFmtId="0" fontId="67" fillId="16" borderId="33" xfId="0" applyFont="1" applyFill="1" applyBorder="1" applyAlignment="1">
      <alignment horizontal="center"/>
    </xf>
    <xf numFmtId="0" fontId="67" fillId="16" borderId="26" xfId="0" applyFont="1" applyFill="1" applyBorder="1" applyAlignment="1">
      <alignment horizontal="center"/>
    </xf>
    <xf numFmtId="0" fontId="67" fillId="14" borderId="33" xfId="0" applyFont="1" applyFill="1" applyBorder="1" applyAlignment="1">
      <alignment horizontal="center"/>
    </xf>
    <xf numFmtId="0" fontId="67" fillId="14" borderId="26" xfId="0" applyFont="1" applyFill="1" applyBorder="1" applyAlignment="1">
      <alignment horizontal="center"/>
    </xf>
    <xf numFmtId="0" fontId="5" fillId="0" borderId="0" xfId="0" applyFont="1" applyBorder="1" applyAlignment="1">
      <alignment horizontal="center"/>
    </xf>
    <xf numFmtId="0" fontId="7" fillId="23" borderId="25" xfId="0" applyFont="1" applyFill="1" applyBorder="1" applyAlignment="1">
      <alignment horizontal="center"/>
    </xf>
    <xf numFmtId="0" fontId="7" fillId="23" borderId="26" xfId="0" applyFont="1" applyFill="1" applyBorder="1" applyAlignment="1">
      <alignment horizontal="center"/>
    </xf>
    <xf numFmtId="0" fontId="67" fillId="14" borderId="25" xfId="0" applyFont="1" applyFill="1" applyBorder="1" applyAlignment="1">
      <alignment horizontal="center"/>
    </xf>
    <xf numFmtId="0" fontId="5" fillId="0" borderId="4" xfId="0" applyFont="1" applyBorder="1" applyAlignment="1">
      <alignment horizontal="center" wrapText="1"/>
    </xf>
    <xf numFmtId="0" fontId="9" fillId="0" borderId="33" xfId="0" applyFont="1" applyFill="1" applyBorder="1" applyAlignment="1">
      <alignment horizontal="center"/>
    </xf>
    <xf numFmtId="0" fontId="9" fillId="0" borderId="26" xfId="0" applyFont="1" applyFill="1" applyBorder="1" applyAlignment="1">
      <alignment horizontal="center"/>
    </xf>
    <xf numFmtId="0" fontId="5" fillId="0" borderId="0" xfId="0" applyFont="1" applyAlignment="1">
      <alignment horizontal="center" wrapText="1"/>
    </xf>
    <xf numFmtId="0" fontId="67" fillId="57" borderId="33" xfId="0" applyFont="1" applyFill="1" applyBorder="1" applyAlignment="1">
      <alignment horizontal="center"/>
    </xf>
    <xf numFmtId="0" fontId="67" fillId="57" borderId="26" xfId="0" applyFont="1" applyFill="1" applyBorder="1" applyAlignment="1">
      <alignment horizontal="center"/>
    </xf>
    <xf numFmtId="0" fontId="67" fillId="0" borderId="0" xfId="0" applyFont="1" applyBorder="1" applyAlignment="1">
      <alignment horizontal="center"/>
    </xf>
    <xf numFmtId="0" fontId="7" fillId="108" borderId="25" xfId="0" applyFont="1" applyFill="1" applyBorder="1" applyAlignment="1">
      <alignment horizontal="center"/>
    </xf>
    <xf numFmtId="0" fontId="7" fillId="108" borderId="33" xfId="0" applyFont="1" applyFill="1" applyBorder="1" applyAlignment="1">
      <alignment horizontal="center"/>
    </xf>
    <xf numFmtId="0" fontId="7" fillId="108" borderId="26" xfId="0" applyFont="1" applyFill="1" applyBorder="1" applyAlignment="1">
      <alignment horizontal="center"/>
    </xf>
    <xf numFmtId="0" fontId="67" fillId="3" borderId="33" xfId="0" applyFont="1" applyFill="1" applyBorder="1" applyAlignment="1">
      <alignment horizontal="center"/>
    </xf>
    <xf numFmtId="0" fontId="67" fillId="3" borderId="26" xfId="0" applyFont="1" applyFill="1" applyBorder="1" applyAlignment="1">
      <alignment horizontal="center"/>
    </xf>
    <xf numFmtId="0" fontId="7" fillId="19" borderId="30" xfId="0" applyFont="1" applyFill="1" applyBorder="1" applyAlignment="1">
      <alignment horizontal="center"/>
    </xf>
    <xf numFmtId="0" fontId="7" fillId="19" borderId="43" xfId="0" applyFont="1" applyFill="1" applyBorder="1" applyAlignment="1">
      <alignment horizontal="center"/>
    </xf>
    <xf numFmtId="0" fontId="7" fillId="19" borderId="35" xfId="0" applyFont="1" applyFill="1" applyBorder="1" applyAlignment="1">
      <alignment horizontal="center"/>
    </xf>
    <xf numFmtId="0" fontId="67" fillId="3" borderId="25" xfId="0" applyFont="1" applyFill="1" applyBorder="1" applyAlignment="1">
      <alignment horizontal="center"/>
    </xf>
    <xf numFmtId="0" fontId="9" fillId="0" borderId="4" xfId="0" applyFont="1" applyBorder="1" applyAlignment="1">
      <alignment horizontal="center" wrapText="1"/>
    </xf>
    <xf numFmtId="0" fontId="0" fillId="0" borderId="13" xfId="0" applyBorder="1" applyAlignment="1">
      <alignment horizontal="center"/>
    </xf>
    <xf numFmtId="0" fontId="9" fillId="0" borderId="25" xfId="0" applyFont="1" applyBorder="1" applyAlignment="1">
      <alignment horizontal="center"/>
    </xf>
    <xf numFmtId="0" fontId="9" fillId="0" borderId="26" xfId="0" applyFont="1" applyBorder="1" applyAlignment="1">
      <alignment horizontal="center"/>
    </xf>
    <xf numFmtId="0" fontId="46" fillId="7" borderId="0" xfId="0" applyFont="1" applyFill="1" applyAlignment="1">
      <alignment horizontal="center" vertical="center"/>
    </xf>
    <xf numFmtId="0" fontId="5" fillId="7" borderId="0" xfId="0" applyFont="1" applyFill="1" applyBorder="1" applyAlignment="1">
      <alignment horizontal="center"/>
    </xf>
    <xf numFmtId="0" fontId="46" fillId="7" borderId="0" xfId="0" applyFont="1" applyFill="1" applyAlignment="1">
      <alignment horizontal="center"/>
    </xf>
    <xf numFmtId="0" fontId="5" fillId="0" borderId="13" xfId="0" applyFont="1" applyBorder="1" applyAlignment="1">
      <alignment horizontal="center"/>
    </xf>
    <xf numFmtId="0" fontId="67" fillId="64" borderId="52" xfId="0" applyFont="1" applyFill="1" applyBorder="1" applyAlignment="1">
      <alignment horizontal="center"/>
    </xf>
    <xf numFmtId="0" fontId="67" fillId="64" borderId="53" xfId="0" applyFont="1" applyFill="1" applyBorder="1" applyAlignment="1">
      <alignment horizontal="center"/>
    </xf>
    <xf numFmtId="0" fontId="67" fillId="64" borderId="21" xfId="0" applyFont="1" applyFill="1" applyBorder="1" applyAlignment="1">
      <alignment horizontal="center"/>
    </xf>
    <xf numFmtId="0" fontId="67" fillId="64" borderId="71" xfId="0" applyFont="1" applyFill="1" applyBorder="1" applyAlignment="1">
      <alignment horizontal="center"/>
    </xf>
    <xf numFmtId="0" fontId="0" fillId="0" borderId="0" xfId="0" applyFont="1" applyAlignment="1">
      <alignment horizontal="center"/>
    </xf>
    <xf numFmtId="0" fontId="0" fillId="0" borderId="13" xfId="0" applyFont="1" applyBorder="1" applyAlignment="1">
      <alignment horizontal="center"/>
    </xf>
    <xf numFmtId="0" fontId="6" fillId="10" borderId="33" xfId="0" applyFont="1" applyFill="1" applyBorder="1" applyAlignment="1">
      <alignment horizontal="center"/>
    </xf>
    <xf numFmtId="0" fontId="6" fillId="10" borderId="26" xfId="0" applyFont="1" applyFill="1" applyBorder="1" applyAlignment="1">
      <alignment horizontal="center"/>
    </xf>
    <xf numFmtId="0" fontId="7" fillId="12" borderId="25" xfId="0" applyFont="1" applyFill="1" applyBorder="1" applyAlignment="1">
      <alignment horizontal="center"/>
    </xf>
    <xf numFmtId="0" fontId="7" fillId="12" borderId="33" xfId="0" applyFont="1" applyFill="1" applyBorder="1" applyAlignment="1">
      <alignment horizontal="center"/>
    </xf>
    <xf numFmtId="0" fontId="7" fillId="12" borderId="26" xfId="0" applyFont="1" applyFill="1" applyBorder="1" applyAlignment="1">
      <alignment horizontal="center"/>
    </xf>
    <xf numFmtId="0" fontId="67" fillId="10" borderId="25" xfId="0" applyFont="1" applyFill="1" applyBorder="1" applyAlignment="1">
      <alignment horizontal="center"/>
    </xf>
    <xf numFmtId="0" fontId="67" fillId="10" borderId="33" xfId="0" applyFont="1" applyFill="1" applyBorder="1" applyAlignment="1">
      <alignment horizontal="center"/>
    </xf>
    <xf numFmtId="0" fontId="67" fillId="10" borderId="26" xfId="0" applyFont="1" applyFill="1" applyBorder="1" applyAlignment="1">
      <alignment horizontal="center"/>
    </xf>
    <xf numFmtId="0" fontId="7" fillId="25" borderId="51" xfId="0" applyFont="1" applyFill="1" applyBorder="1" applyAlignment="1" applyProtection="1">
      <alignment horizontal="center"/>
    </xf>
    <xf numFmtId="0" fontId="7" fillId="25" borderId="53" xfId="0" applyFont="1" applyFill="1" applyBorder="1" applyAlignment="1" applyProtection="1">
      <alignment horizontal="center"/>
    </xf>
    <xf numFmtId="0" fontId="7" fillId="25" borderId="33" xfId="0" applyFont="1" applyFill="1" applyBorder="1" applyAlignment="1">
      <alignment horizontal="center"/>
    </xf>
    <xf numFmtId="0" fontId="7" fillId="25" borderId="25" xfId="0" applyFont="1" applyFill="1" applyBorder="1" applyAlignment="1">
      <alignment horizontal="center"/>
    </xf>
    <xf numFmtId="0" fontId="7" fillId="25" borderId="26" xfId="0" applyFont="1" applyFill="1" applyBorder="1" applyAlignment="1">
      <alignment horizontal="center"/>
    </xf>
    <xf numFmtId="0" fontId="7" fillId="25" borderId="52" xfId="0" applyFont="1" applyFill="1" applyBorder="1" applyAlignment="1" applyProtection="1">
      <alignment horizontal="center"/>
    </xf>
    <xf numFmtId="0" fontId="9" fillId="0" borderId="0" xfId="0" applyFont="1" applyBorder="1" applyAlignment="1">
      <alignment horizontal="center"/>
    </xf>
    <xf numFmtId="0" fontId="7" fillId="27" borderId="25" xfId="0" applyFont="1" applyFill="1" applyBorder="1" applyAlignment="1">
      <alignment horizontal="center"/>
    </xf>
    <xf numFmtId="0" fontId="7" fillId="27" borderId="33" xfId="0" applyFont="1" applyFill="1" applyBorder="1" applyAlignment="1">
      <alignment horizontal="center"/>
    </xf>
    <xf numFmtId="0" fontId="7" fillId="27" borderId="26" xfId="0" applyFont="1" applyFill="1" applyBorder="1" applyAlignment="1">
      <alignment horizontal="center"/>
    </xf>
    <xf numFmtId="0" fontId="7" fillId="25" borderId="22" xfId="0" applyFont="1" applyFill="1" applyBorder="1" applyAlignment="1">
      <alignment horizontal="center" vertical="center" wrapText="1"/>
    </xf>
    <xf numFmtId="0" fontId="7" fillId="25" borderId="8" xfId="0" applyFont="1" applyFill="1" applyBorder="1" applyAlignment="1">
      <alignment horizontal="center" vertical="center" wrapText="1"/>
    </xf>
    <xf numFmtId="0" fontId="7" fillId="25" borderId="28" xfId="0" applyFont="1" applyFill="1" applyBorder="1" applyAlignment="1">
      <alignment horizontal="center" vertical="center" wrapText="1"/>
    </xf>
    <xf numFmtId="0" fontId="7" fillId="25" borderId="32" xfId="0" applyFont="1" applyFill="1" applyBorder="1" applyAlignment="1">
      <alignment horizontal="center" vertical="center" wrapText="1"/>
    </xf>
    <xf numFmtId="0" fontId="67" fillId="2" borderId="25" xfId="0" applyFont="1" applyFill="1" applyBorder="1" applyAlignment="1">
      <alignment horizontal="center"/>
    </xf>
    <xf numFmtId="0" fontId="9" fillId="0" borderId="0" xfId="0" applyFont="1" applyBorder="1" applyAlignment="1">
      <alignment horizontal="left" wrapText="1"/>
    </xf>
    <xf numFmtId="0" fontId="7" fillId="31" borderId="51" xfId="0" applyFont="1" applyFill="1" applyBorder="1" applyAlignment="1">
      <alignment horizontal="center" vertical="center"/>
    </xf>
    <xf numFmtId="0" fontId="7" fillId="31" borderId="52" xfId="0" applyFont="1" applyFill="1" applyBorder="1" applyAlignment="1">
      <alignment horizontal="center" vertical="center"/>
    </xf>
    <xf numFmtId="0" fontId="7" fillId="31" borderId="53" xfId="0" applyFont="1" applyFill="1" applyBorder="1" applyAlignment="1">
      <alignment horizontal="center" vertical="center"/>
    </xf>
    <xf numFmtId="0" fontId="9" fillId="0" borderId="0" xfId="0" applyFont="1" applyFill="1" applyAlignment="1">
      <alignment horizontal="center"/>
    </xf>
    <xf numFmtId="0" fontId="7" fillId="21" borderId="25" xfId="0" applyFont="1" applyFill="1" applyBorder="1" applyAlignment="1">
      <alignment horizontal="center"/>
    </xf>
    <xf numFmtId="0" fontId="7" fillId="21" borderId="26" xfId="0" applyFont="1" applyFill="1" applyBorder="1" applyAlignment="1">
      <alignment horizontal="center"/>
    </xf>
  </cellXfs>
  <cellStyles count="26218">
    <cellStyle name="20 % - Accent1" xfId="269"/>
    <cellStyle name="20 % - Accent2" xfId="235"/>
    <cellStyle name="20 % - Accent3" xfId="195"/>
    <cellStyle name="20 % - Accent4" xfId="199"/>
    <cellStyle name="20 % - Accent5" xfId="185"/>
    <cellStyle name="20 % - Accent6" xfId="243"/>
    <cellStyle name="20% - Accent1" xfId="30"/>
    <cellStyle name="20% - Accent1 10" xfId="6489"/>
    <cellStyle name="20% - Accent1 10 2" xfId="14826"/>
    <cellStyle name="20% - Accent1 10 3" xfId="20747"/>
    <cellStyle name="20% - Accent1 11" xfId="6502"/>
    <cellStyle name="20% - Accent1 11 2" xfId="14839"/>
    <cellStyle name="20% - Accent1 11 3" xfId="20760"/>
    <cellStyle name="20% - Accent1 12" xfId="6522"/>
    <cellStyle name="20% - Accent1 12 2" xfId="20774"/>
    <cellStyle name="20% - Accent1 13" xfId="6559"/>
    <cellStyle name="20% - Accent1 13 2" xfId="20791"/>
    <cellStyle name="20% - Accent1 14" xfId="8912"/>
    <cellStyle name="20% - Accent1 15" xfId="8930"/>
    <cellStyle name="20% - Accent1 16" xfId="14856"/>
    <cellStyle name="20% - Accent1 2" xfId="52"/>
    <cellStyle name="20% - Accent1 2 2" xfId="109"/>
    <cellStyle name="20% - Accent1 2 2 2" xfId="9001"/>
    <cellStyle name="20% - Accent1 2 2 3" xfId="14973"/>
    <cellStyle name="20% - Accent1 2 3" xfId="8947"/>
    <cellStyle name="20% - Accent1 2 4" xfId="14870"/>
    <cellStyle name="20% - Accent1 2_Data - Monthly Commodity Prices" xfId="6364"/>
    <cellStyle name="20% - Accent1 3" xfId="53"/>
    <cellStyle name="20% - Accent1 3 2" xfId="123"/>
    <cellStyle name="20% - Accent1 3 2 2" xfId="9015"/>
    <cellStyle name="20% - Accent1 3 2 3" xfId="14987"/>
    <cellStyle name="20% - Accent1 3 3" xfId="8961"/>
    <cellStyle name="20% - Accent1 3 4" xfId="14884"/>
    <cellStyle name="20% - Accent1 3_Data - Monthly Commodity Prices" xfId="6365"/>
    <cellStyle name="20% - Accent1 4" xfId="54"/>
    <cellStyle name="20% - Accent1 4 2" xfId="143"/>
    <cellStyle name="20% - Accent1 4 2 2" xfId="9030"/>
    <cellStyle name="20% - Accent1 4 2 3" xfId="14999"/>
    <cellStyle name="20% - Accent1 4 2 4" xfId="7812"/>
    <cellStyle name="20% - Accent1 4 3" xfId="8973"/>
    <cellStyle name="20% - Accent1 4 4" xfId="14899"/>
    <cellStyle name="20% - Accent1 4_LNG &amp; LPG rework" xfId="6538"/>
    <cellStyle name="20% - Accent1 5" xfId="157"/>
    <cellStyle name="20% - Accent1 5 2" xfId="9044"/>
    <cellStyle name="20% - Accent1 5 3" xfId="14913"/>
    <cellStyle name="20% - Accent1 6" xfId="94"/>
    <cellStyle name="20% - Accent1 6 2" xfId="8988"/>
    <cellStyle name="20% - Accent1 6 3" xfId="14927"/>
    <cellStyle name="20% - Accent1 7" xfId="6429"/>
    <cellStyle name="20% - Accent1 7 2" xfId="14779"/>
    <cellStyle name="20% - Accent1 7 3" xfId="14941"/>
    <cellStyle name="20% - Accent1 8" xfId="6442"/>
    <cellStyle name="20% - Accent1 8 2" xfId="14792"/>
    <cellStyle name="20% - Accent1 8 3" xfId="14958"/>
    <cellStyle name="20% - Accent1 9" xfId="6456"/>
    <cellStyle name="20% - Accent1 9 2" xfId="14806"/>
    <cellStyle name="20% - Accent1 9 3" xfId="15013"/>
    <cellStyle name="20% - Accent1_LNG &amp; LPG rework" xfId="6427"/>
    <cellStyle name="20% - Accent2" xfId="32"/>
    <cellStyle name="20% - Accent2 10" xfId="6491"/>
    <cellStyle name="20% - Accent2 10 2" xfId="14828"/>
    <cellStyle name="20% - Accent2 10 3" xfId="20749"/>
    <cellStyle name="20% - Accent2 11" xfId="6504"/>
    <cellStyle name="20% - Accent2 11 2" xfId="14841"/>
    <cellStyle name="20% - Accent2 11 3" xfId="20762"/>
    <cellStyle name="20% - Accent2 12" xfId="6524"/>
    <cellStyle name="20% - Accent2 12 2" xfId="20776"/>
    <cellStyle name="20% - Accent2 13" xfId="6561"/>
    <cellStyle name="20% - Accent2 13 2" xfId="20793"/>
    <cellStyle name="20% - Accent2 14" xfId="8914"/>
    <cellStyle name="20% - Accent2 15" xfId="8932"/>
    <cellStyle name="20% - Accent2 16" xfId="14858"/>
    <cellStyle name="20% - Accent2 2" xfId="55"/>
    <cellStyle name="20% - Accent2 2 2" xfId="111"/>
    <cellStyle name="20% - Accent2 2 2 2" xfId="9003"/>
    <cellStyle name="20% - Accent2 2 2 3" xfId="14975"/>
    <cellStyle name="20% - Accent2 2 3" xfId="8949"/>
    <cellStyle name="20% - Accent2 2 4" xfId="14872"/>
    <cellStyle name="20% - Accent2 2_Data - Monthly Commodity Prices" xfId="6366"/>
    <cellStyle name="20% - Accent2 3" xfId="56"/>
    <cellStyle name="20% - Accent2 3 2" xfId="125"/>
    <cellStyle name="20% - Accent2 3 2 2" xfId="9017"/>
    <cellStyle name="20% - Accent2 3 2 3" xfId="14989"/>
    <cellStyle name="20% - Accent2 3 3" xfId="8963"/>
    <cellStyle name="20% - Accent2 3 4" xfId="14886"/>
    <cellStyle name="20% - Accent2 3_Data - Monthly Commodity Prices" xfId="6367"/>
    <cellStyle name="20% - Accent2 4" xfId="57"/>
    <cellStyle name="20% - Accent2 4 2" xfId="145"/>
    <cellStyle name="20% - Accent2 4 2 2" xfId="9032"/>
    <cellStyle name="20% - Accent2 4 2 3" xfId="15000"/>
    <cellStyle name="20% - Accent2 4 2 4" xfId="7813"/>
    <cellStyle name="20% - Accent2 4 3" xfId="8974"/>
    <cellStyle name="20% - Accent2 4 4" xfId="14901"/>
    <cellStyle name="20% - Accent2 4_LNG &amp; LPG rework" xfId="6540"/>
    <cellStyle name="20% - Accent2 5" xfId="159"/>
    <cellStyle name="20% - Accent2 5 2" xfId="9046"/>
    <cellStyle name="20% - Accent2 5 3" xfId="14915"/>
    <cellStyle name="20% - Accent2 6" xfId="96"/>
    <cellStyle name="20% - Accent2 6 2" xfId="8990"/>
    <cellStyle name="20% - Accent2 6 3" xfId="14929"/>
    <cellStyle name="20% - Accent2 7" xfId="6431"/>
    <cellStyle name="20% - Accent2 7 2" xfId="14781"/>
    <cellStyle name="20% - Accent2 7 3" xfId="14943"/>
    <cellStyle name="20% - Accent2 8" xfId="6444"/>
    <cellStyle name="20% - Accent2 8 2" xfId="14794"/>
    <cellStyle name="20% - Accent2 8 3" xfId="14960"/>
    <cellStyle name="20% - Accent2 9" xfId="6458"/>
    <cellStyle name="20% - Accent2 9 2" xfId="14808"/>
    <cellStyle name="20% - Accent2 9 3" xfId="15015"/>
    <cellStyle name="20% - Accent2_LNG &amp; LPG rework" xfId="6426"/>
    <cellStyle name="20% - Accent3" xfId="34"/>
    <cellStyle name="20% - Accent3 10" xfId="6493"/>
    <cellStyle name="20% - Accent3 10 2" xfId="14830"/>
    <cellStyle name="20% - Accent3 10 3" xfId="20751"/>
    <cellStyle name="20% - Accent3 11" xfId="6506"/>
    <cellStyle name="20% - Accent3 11 2" xfId="14843"/>
    <cellStyle name="20% - Accent3 11 3" xfId="20764"/>
    <cellStyle name="20% - Accent3 12" xfId="6526"/>
    <cellStyle name="20% - Accent3 12 2" xfId="20778"/>
    <cellStyle name="20% - Accent3 13" xfId="6563"/>
    <cellStyle name="20% - Accent3 13 2" xfId="20795"/>
    <cellStyle name="20% - Accent3 14" xfId="8916"/>
    <cellStyle name="20% - Accent3 15" xfId="8934"/>
    <cellStyle name="20% - Accent3 16" xfId="14860"/>
    <cellStyle name="20% - Accent3 2" xfId="58"/>
    <cellStyle name="20% - Accent3 2 2" xfId="113"/>
    <cellStyle name="20% - Accent3 2 2 2" xfId="9005"/>
    <cellStyle name="20% - Accent3 2 2 3" xfId="14977"/>
    <cellStyle name="20% - Accent3 2 3" xfId="8951"/>
    <cellStyle name="20% - Accent3 2 4" xfId="14874"/>
    <cellStyle name="20% - Accent3 2_Data - Monthly Commodity Prices" xfId="6368"/>
    <cellStyle name="20% - Accent3 3" xfId="59"/>
    <cellStyle name="20% - Accent3 3 2" xfId="127"/>
    <cellStyle name="20% - Accent3 3 2 2" xfId="9019"/>
    <cellStyle name="20% - Accent3 3 2 3" xfId="14991"/>
    <cellStyle name="20% - Accent3 3 3" xfId="8965"/>
    <cellStyle name="20% - Accent3 3 4" xfId="14888"/>
    <cellStyle name="20% - Accent3 3_Data - Monthly Commodity Prices" xfId="6369"/>
    <cellStyle name="20% - Accent3 4" xfId="60"/>
    <cellStyle name="20% - Accent3 4 2" xfId="147"/>
    <cellStyle name="20% - Accent3 4 2 2" xfId="9034"/>
    <cellStyle name="20% - Accent3 4 2 3" xfId="15001"/>
    <cellStyle name="20% - Accent3 4 2 4" xfId="7814"/>
    <cellStyle name="20% - Accent3 4 3" xfId="8975"/>
    <cellStyle name="20% - Accent3 4 4" xfId="14903"/>
    <cellStyle name="20% - Accent3 4_LNG &amp; LPG rework" xfId="6539"/>
    <cellStyle name="20% - Accent3 5" xfId="161"/>
    <cellStyle name="20% - Accent3 5 2" xfId="9048"/>
    <cellStyle name="20% - Accent3 5 3" xfId="14917"/>
    <cellStyle name="20% - Accent3 6" xfId="98"/>
    <cellStyle name="20% - Accent3 6 2" xfId="8992"/>
    <cellStyle name="20% - Accent3 6 3" xfId="14931"/>
    <cellStyle name="20% - Accent3 7" xfId="6433"/>
    <cellStyle name="20% - Accent3 7 2" xfId="14783"/>
    <cellStyle name="20% - Accent3 7 3" xfId="14945"/>
    <cellStyle name="20% - Accent3 8" xfId="6446"/>
    <cellStyle name="20% - Accent3 8 2" xfId="14796"/>
    <cellStyle name="20% - Accent3 8 3" xfId="14962"/>
    <cellStyle name="20% - Accent3 9" xfId="6460"/>
    <cellStyle name="20% - Accent3 9 2" xfId="14810"/>
    <cellStyle name="20% - Accent3 9 3" xfId="15017"/>
    <cellStyle name="20% - Accent3_LNG &amp; LPG rework" xfId="6423"/>
    <cellStyle name="20% - Accent4" xfId="36"/>
    <cellStyle name="20% - Accent4 10" xfId="6495"/>
    <cellStyle name="20% - Accent4 10 2" xfId="14832"/>
    <cellStyle name="20% - Accent4 10 3" xfId="20753"/>
    <cellStyle name="20% - Accent4 11" xfId="6508"/>
    <cellStyle name="20% - Accent4 11 2" xfId="14845"/>
    <cellStyle name="20% - Accent4 11 3" xfId="20766"/>
    <cellStyle name="20% - Accent4 12" xfId="6528"/>
    <cellStyle name="20% - Accent4 12 2" xfId="20780"/>
    <cellStyle name="20% - Accent4 13" xfId="6565"/>
    <cellStyle name="20% - Accent4 13 2" xfId="20797"/>
    <cellStyle name="20% - Accent4 14" xfId="8918"/>
    <cellStyle name="20% - Accent4 15" xfId="8936"/>
    <cellStyle name="20% - Accent4 16" xfId="14862"/>
    <cellStyle name="20% - Accent4 2" xfId="61"/>
    <cellStyle name="20% - Accent4 2 2" xfId="115"/>
    <cellStyle name="20% - Accent4 2 2 2" xfId="9007"/>
    <cellStyle name="20% - Accent4 2 2 3" xfId="14979"/>
    <cellStyle name="20% - Accent4 2 3" xfId="8953"/>
    <cellStyle name="20% - Accent4 2 4" xfId="14876"/>
    <cellStyle name="20% - Accent4 2_Data - Monthly Commodity Prices" xfId="6370"/>
    <cellStyle name="20% - Accent4 3" xfId="62"/>
    <cellStyle name="20% - Accent4 3 2" xfId="129"/>
    <cellStyle name="20% - Accent4 3 2 2" xfId="9021"/>
    <cellStyle name="20% - Accent4 3 2 3" xfId="14993"/>
    <cellStyle name="20% - Accent4 3 3" xfId="8967"/>
    <cellStyle name="20% - Accent4 3 4" xfId="14890"/>
    <cellStyle name="20% - Accent4 3_Data - Monthly Commodity Prices" xfId="6371"/>
    <cellStyle name="20% - Accent4 4" xfId="63"/>
    <cellStyle name="20% - Accent4 4 2" xfId="149"/>
    <cellStyle name="20% - Accent4 4 2 2" xfId="9036"/>
    <cellStyle name="20% - Accent4 4 2 3" xfId="15002"/>
    <cellStyle name="20% - Accent4 4 2 4" xfId="7815"/>
    <cellStyle name="20% - Accent4 4 3" xfId="8976"/>
    <cellStyle name="20% - Accent4 4 4" xfId="14905"/>
    <cellStyle name="20% - Accent4 4_LNG &amp; LPG rework" xfId="6537"/>
    <cellStyle name="20% - Accent4 5" xfId="163"/>
    <cellStyle name="20% - Accent4 5 2" xfId="9050"/>
    <cellStyle name="20% - Accent4 5 3" xfId="14919"/>
    <cellStyle name="20% - Accent4 6" xfId="100"/>
    <cellStyle name="20% - Accent4 6 2" xfId="8994"/>
    <cellStyle name="20% - Accent4 6 3" xfId="14933"/>
    <cellStyle name="20% - Accent4 7" xfId="6435"/>
    <cellStyle name="20% - Accent4 7 2" xfId="14785"/>
    <cellStyle name="20% - Accent4 7 3" xfId="14947"/>
    <cellStyle name="20% - Accent4 8" xfId="6448"/>
    <cellStyle name="20% - Accent4 8 2" xfId="14798"/>
    <cellStyle name="20% - Accent4 8 3" xfId="14964"/>
    <cellStyle name="20% - Accent4 9" xfId="6462"/>
    <cellStyle name="20% - Accent4 9 2" xfId="14812"/>
    <cellStyle name="20% - Accent4 9 3" xfId="15019"/>
    <cellStyle name="20% - Accent4_LNG &amp; LPG rework" xfId="6473"/>
    <cellStyle name="20% - Accent5" xfId="38"/>
    <cellStyle name="20% - Accent5 10" xfId="6497"/>
    <cellStyle name="20% - Accent5 10 2" xfId="14834"/>
    <cellStyle name="20% - Accent5 10 3" xfId="20755"/>
    <cellStyle name="20% - Accent5 11" xfId="6510"/>
    <cellStyle name="20% - Accent5 11 2" xfId="14847"/>
    <cellStyle name="20% - Accent5 11 3" xfId="20768"/>
    <cellStyle name="20% - Accent5 12" xfId="6530"/>
    <cellStyle name="20% - Accent5 12 2" xfId="20782"/>
    <cellStyle name="20% - Accent5 13" xfId="6567"/>
    <cellStyle name="20% - Accent5 13 2" xfId="20799"/>
    <cellStyle name="20% - Accent5 14" xfId="8920"/>
    <cellStyle name="20% - Accent5 15" xfId="8938"/>
    <cellStyle name="20% - Accent5 16" xfId="14864"/>
    <cellStyle name="20% - Accent5 2" xfId="64"/>
    <cellStyle name="20% - Accent5 2 2" xfId="117"/>
    <cellStyle name="20% - Accent5 2 2 2" xfId="9009"/>
    <cellStyle name="20% - Accent5 2 2 3" xfId="14981"/>
    <cellStyle name="20% - Accent5 2 3" xfId="8955"/>
    <cellStyle name="20% - Accent5 2 4" xfId="14878"/>
    <cellStyle name="20% - Accent5 2_Data - Monthly Commodity Prices" xfId="6372"/>
    <cellStyle name="20% - Accent5 3" xfId="65"/>
    <cellStyle name="20% - Accent5 3 2" xfId="131"/>
    <cellStyle name="20% - Accent5 3 2 2" xfId="9023"/>
    <cellStyle name="20% - Accent5 3 2 3" xfId="14995"/>
    <cellStyle name="20% - Accent5 3 3" xfId="8969"/>
    <cellStyle name="20% - Accent5 3 4" xfId="14892"/>
    <cellStyle name="20% - Accent5 3_LNG &amp; LPG rework" xfId="6543"/>
    <cellStyle name="20% - Accent5 4" xfId="87"/>
    <cellStyle name="20% - Accent5 4 2" xfId="151"/>
    <cellStyle name="20% - Accent5 4 2 2" xfId="9038"/>
    <cellStyle name="20% - Accent5 4 2 3" xfId="7822"/>
    <cellStyle name="20% - Accent5 4 3" xfId="14907"/>
    <cellStyle name="20% - Accent5 4_Data - Monthly Commodity Prices" xfId="6373"/>
    <cellStyle name="20% - Accent5 5" xfId="165"/>
    <cellStyle name="20% - Accent5 5 2" xfId="9052"/>
    <cellStyle name="20% - Accent5 5 3" xfId="14921"/>
    <cellStyle name="20% - Accent5 6" xfId="102"/>
    <cellStyle name="20% - Accent5 6 2" xfId="8996"/>
    <cellStyle name="20% - Accent5 6 3" xfId="14935"/>
    <cellStyle name="20% - Accent5 7" xfId="6437"/>
    <cellStyle name="20% - Accent5 7 2" xfId="14787"/>
    <cellStyle name="20% - Accent5 7 3" xfId="14949"/>
    <cellStyle name="20% - Accent5 8" xfId="6450"/>
    <cellStyle name="20% - Accent5 8 2" xfId="14800"/>
    <cellStyle name="20% - Accent5 8 3" xfId="14966"/>
    <cellStyle name="20% - Accent5 9" xfId="6464"/>
    <cellStyle name="20% - Accent5 9 2" xfId="14814"/>
    <cellStyle name="20% - Accent5 9 3" xfId="15021"/>
    <cellStyle name="20% - Accent5_LNG &amp; LPG rework" xfId="6468"/>
    <cellStyle name="20% - Accent6" xfId="40"/>
    <cellStyle name="20% - Accent6 10" xfId="6499"/>
    <cellStyle name="20% - Accent6 10 2" xfId="14836"/>
    <cellStyle name="20% - Accent6 10 3" xfId="20757"/>
    <cellStyle name="20% - Accent6 11" xfId="6512"/>
    <cellStyle name="20% - Accent6 11 2" xfId="14849"/>
    <cellStyle name="20% - Accent6 11 3" xfId="20770"/>
    <cellStyle name="20% - Accent6 12" xfId="6532"/>
    <cellStyle name="20% - Accent6 12 2" xfId="20784"/>
    <cellStyle name="20% - Accent6 13" xfId="6569"/>
    <cellStyle name="20% - Accent6 13 2" xfId="20801"/>
    <cellStyle name="20% - Accent6 14" xfId="8922"/>
    <cellStyle name="20% - Accent6 15" xfId="8940"/>
    <cellStyle name="20% - Accent6 16" xfId="14866"/>
    <cellStyle name="20% - Accent6 2" xfId="66"/>
    <cellStyle name="20% - Accent6 2 2" xfId="119"/>
    <cellStyle name="20% - Accent6 2 2 2" xfId="9011"/>
    <cellStyle name="20% - Accent6 2 2 3" xfId="14983"/>
    <cellStyle name="20% - Accent6 2 3" xfId="8957"/>
    <cellStyle name="20% - Accent6 2 4" xfId="14880"/>
    <cellStyle name="20% - Accent6 2_Data - Monthly Commodity Prices" xfId="6374"/>
    <cellStyle name="20% - Accent6 3" xfId="67"/>
    <cellStyle name="20% - Accent6 3 2" xfId="133"/>
    <cellStyle name="20% - Accent6 3 2 2" xfId="9025"/>
    <cellStyle name="20% - Accent6 3 2 3" xfId="14997"/>
    <cellStyle name="20% - Accent6 3 3" xfId="8971"/>
    <cellStyle name="20% - Accent6 3 4" xfId="14894"/>
    <cellStyle name="20% - Accent6 3_Data - Monthly Commodity Prices" xfId="6375"/>
    <cellStyle name="20% - Accent6 4" xfId="68"/>
    <cellStyle name="20% - Accent6 4 2" xfId="153"/>
    <cellStyle name="20% - Accent6 4 2 2" xfId="9040"/>
    <cellStyle name="20% - Accent6 4 2 3" xfId="15003"/>
    <cellStyle name="20% - Accent6 4 2 4" xfId="7816"/>
    <cellStyle name="20% - Accent6 4 3" xfId="8977"/>
    <cellStyle name="20% - Accent6 4 4" xfId="14909"/>
    <cellStyle name="20% - Accent6 4_LNG &amp; LPG rework" xfId="6542"/>
    <cellStyle name="20% - Accent6 5" xfId="167"/>
    <cellStyle name="20% - Accent6 5 2" xfId="9054"/>
    <cellStyle name="20% - Accent6 5 3" xfId="14923"/>
    <cellStyle name="20% - Accent6 6" xfId="104"/>
    <cellStyle name="20% - Accent6 6 2" xfId="8998"/>
    <cellStyle name="20% - Accent6 6 3" xfId="14937"/>
    <cellStyle name="20% - Accent6 7" xfId="6439"/>
    <cellStyle name="20% - Accent6 7 2" xfId="14789"/>
    <cellStyle name="20% - Accent6 7 3" xfId="14951"/>
    <cellStyle name="20% - Accent6 8" xfId="6452"/>
    <cellStyle name="20% - Accent6 8 2" xfId="14802"/>
    <cellStyle name="20% - Accent6 8 3" xfId="14968"/>
    <cellStyle name="20% - Accent6 9" xfId="6466"/>
    <cellStyle name="20% - Accent6 9 2" xfId="14816"/>
    <cellStyle name="20% - Accent6 9 3" xfId="15023"/>
    <cellStyle name="20% - Accent6_LNG &amp; LPG rework" xfId="6424"/>
    <cellStyle name="40 % - Accent1" xfId="169"/>
    <cellStyle name="40 % - Accent2" xfId="226"/>
    <cellStyle name="40 % - Accent3" xfId="190"/>
    <cellStyle name="40 % - Accent4" xfId="172"/>
    <cellStyle name="40 % - Accent5" xfId="213"/>
    <cellStyle name="40 % - Accent6" xfId="227"/>
    <cellStyle name="40% - Accent1" xfId="31"/>
    <cellStyle name="40% - Accent1 10" xfId="6490"/>
    <cellStyle name="40% - Accent1 10 2" xfId="14827"/>
    <cellStyle name="40% - Accent1 10 3" xfId="20748"/>
    <cellStyle name="40% - Accent1 11" xfId="6503"/>
    <cellStyle name="40% - Accent1 11 2" xfId="14840"/>
    <cellStyle name="40% - Accent1 11 3" xfId="20761"/>
    <cellStyle name="40% - Accent1 12" xfId="6523"/>
    <cellStyle name="40% - Accent1 12 2" xfId="20775"/>
    <cellStyle name="40% - Accent1 13" xfId="6560"/>
    <cellStyle name="40% - Accent1 13 2" xfId="20792"/>
    <cellStyle name="40% - Accent1 14" xfId="8913"/>
    <cellStyle name="40% - Accent1 15" xfId="8931"/>
    <cellStyle name="40% - Accent1 16" xfId="14857"/>
    <cellStyle name="40% - Accent1 2" xfId="69"/>
    <cellStyle name="40% - Accent1 2 2" xfId="110"/>
    <cellStyle name="40% - Accent1 2 2 2" xfId="9002"/>
    <cellStyle name="40% - Accent1 2 2 3" xfId="14974"/>
    <cellStyle name="40% - Accent1 2 3" xfId="8948"/>
    <cellStyle name="40% - Accent1 2 4" xfId="14871"/>
    <cellStyle name="40% - Accent1 2_Data - Monthly Commodity Prices" xfId="6376"/>
    <cellStyle name="40% - Accent1 3" xfId="70"/>
    <cellStyle name="40% - Accent1 3 2" xfId="124"/>
    <cellStyle name="40% - Accent1 3 2 2" xfId="9016"/>
    <cellStyle name="40% - Accent1 3 2 3" xfId="14988"/>
    <cellStyle name="40% - Accent1 3 3" xfId="8962"/>
    <cellStyle name="40% - Accent1 3 4" xfId="14885"/>
    <cellStyle name="40% - Accent1 3_Data - Monthly Commodity Prices" xfId="6377"/>
    <cellStyle name="40% - Accent1 4" xfId="71"/>
    <cellStyle name="40% - Accent1 4 2" xfId="144"/>
    <cellStyle name="40% - Accent1 4 2 2" xfId="9031"/>
    <cellStyle name="40% - Accent1 4 2 3" xfId="15004"/>
    <cellStyle name="40% - Accent1 4 2 4" xfId="7817"/>
    <cellStyle name="40% - Accent1 4 3" xfId="8978"/>
    <cellStyle name="40% - Accent1 4 4" xfId="14900"/>
    <cellStyle name="40% - Accent1 4_LNG &amp; LPG rework" xfId="6544"/>
    <cellStyle name="40% - Accent1 5" xfId="158"/>
    <cellStyle name="40% - Accent1 5 2" xfId="9045"/>
    <cellStyle name="40% - Accent1 5 3" xfId="14914"/>
    <cellStyle name="40% - Accent1 6" xfId="95"/>
    <cellStyle name="40% - Accent1 6 2" xfId="8989"/>
    <cellStyle name="40% - Accent1 6 3" xfId="14928"/>
    <cellStyle name="40% - Accent1 7" xfId="6430"/>
    <cellStyle name="40% - Accent1 7 2" xfId="14780"/>
    <cellStyle name="40% - Accent1 7 3" xfId="14942"/>
    <cellStyle name="40% - Accent1 8" xfId="6443"/>
    <cellStyle name="40% - Accent1 8 2" xfId="14793"/>
    <cellStyle name="40% - Accent1 8 3" xfId="14959"/>
    <cellStyle name="40% - Accent1 9" xfId="6457"/>
    <cellStyle name="40% - Accent1 9 2" xfId="14807"/>
    <cellStyle name="40% - Accent1 9 3" xfId="15014"/>
    <cellStyle name="40% - Accent1_LNG &amp; LPG rework" xfId="6425"/>
    <cellStyle name="40% - Accent2" xfId="33"/>
    <cellStyle name="40% - Accent2 10" xfId="6492"/>
    <cellStyle name="40% - Accent2 10 2" xfId="14829"/>
    <cellStyle name="40% - Accent2 10 3" xfId="20750"/>
    <cellStyle name="40% - Accent2 11" xfId="6505"/>
    <cellStyle name="40% - Accent2 11 2" xfId="14842"/>
    <cellStyle name="40% - Accent2 11 3" xfId="20763"/>
    <cellStyle name="40% - Accent2 12" xfId="6525"/>
    <cellStyle name="40% - Accent2 12 2" xfId="20777"/>
    <cellStyle name="40% - Accent2 13" xfId="6562"/>
    <cellStyle name="40% - Accent2 13 2" xfId="20794"/>
    <cellStyle name="40% - Accent2 14" xfId="8915"/>
    <cellStyle name="40% - Accent2 15" xfId="8933"/>
    <cellStyle name="40% - Accent2 16" xfId="14859"/>
    <cellStyle name="40% - Accent2 2" xfId="72"/>
    <cellStyle name="40% - Accent2 2 2" xfId="112"/>
    <cellStyle name="40% - Accent2 2 2 2" xfId="9004"/>
    <cellStyle name="40% - Accent2 2 2 3" xfId="14976"/>
    <cellStyle name="40% - Accent2 2 3" xfId="8950"/>
    <cellStyle name="40% - Accent2 2 4" xfId="14873"/>
    <cellStyle name="40% - Accent2 2_Data - Monthly Commodity Prices" xfId="6378"/>
    <cellStyle name="40% - Accent2 3" xfId="73"/>
    <cellStyle name="40% - Accent2 3 2" xfId="126"/>
    <cellStyle name="40% - Accent2 3 2 2" xfId="9018"/>
    <cellStyle name="40% - Accent2 3 2 3" xfId="14990"/>
    <cellStyle name="40% - Accent2 3 3" xfId="8964"/>
    <cellStyle name="40% - Accent2 3 4" xfId="14887"/>
    <cellStyle name="40% - Accent2 3_LNG &amp; LPG rework" xfId="6545"/>
    <cellStyle name="40% - Accent2 4" xfId="88"/>
    <cellStyle name="40% - Accent2 4 2" xfId="146"/>
    <cellStyle name="40% - Accent2 4 2 2" xfId="9033"/>
    <cellStyle name="40% - Accent2 4 2 3" xfId="7823"/>
    <cellStyle name="40% - Accent2 4 3" xfId="14902"/>
    <cellStyle name="40% - Accent2 4_Data - Monthly Commodity Prices" xfId="6379"/>
    <cellStyle name="40% - Accent2 5" xfId="160"/>
    <cellStyle name="40% - Accent2 5 2" xfId="9047"/>
    <cellStyle name="40% - Accent2 5 3" xfId="14916"/>
    <cellStyle name="40% - Accent2 6" xfId="97"/>
    <cellStyle name="40% - Accent2 6 2" xfId="8991"/>
    <cellStyle name="40% - Accent2 6 3" xfId="14930"/>
    <cellStyle name="40% - Accent2 7" xfId="6432"/>
    <cellStyle name="40% - Accent2 7 2" xfId="14782"/>
    <cellStyle name="40% - Accent2 7 3" xfId="14944"/>
    <cellStyle name="40% - Accent2 8" xfId="6445"/>
    <cellStyle name="40% - Accent2 8 2" xfId="14795"/>
    <cellStyle name="40% - Accent2 8 3" xfId="14961"/>
    <cellStyle name="40% - Accent2 9" xfId="6459"/>
    <cellStyle name="40% - Accent2 9 2" xfId="14809"/>
    <cellStyle name="40% - Accent2 9 3" xfId="15016"/>
    <cellStyle name="40% - Accent2_LNG &amp; LPG rework" xfId="6474"/>
    <cellStyle name="40% - Accent3" xfId="35"/>
    <cellStyle name="40% - Accent3 10" xfId="6494"/>
    <cellStyle name="40% - Accent3 10 2" xfId="14831"/>
    <cellStyle name="40% - Accent3 10 3" xfId="20752"/>
    <cellStyle name="40% - Accent3 11" xfId="6507"/>
    <cellStyle name="40% - Accent3 11 2" xfId="14844"/>
    <cellStyle name="40% - Accent3 11 3" xfId="20765"/>
    <cellStyle name="40% - Accent3 12" xfId="6527"/>
    <cellStyle name="40% - Accent3 12 2" xfId="20779"/>
    <cellStyle name="40% - Accent3 13" xfId="6564"/>
    <cellStyle name="40% - Accent3 13 2" xfId="20796"/>
    <cellStyle name="40% - Accent3 14" xfId="8917"/>
    <cellStyle name="40% - Accent3 15" xfId="8935"/>
    <cellStyle name="40% - Accent3 16" xfId="14861"/>
    <cellStyle name="40% - Accent3 2" xfId="74"/>
    <cellStyle name="40% - Accent3 2 2" xfId="114"/>
    <cellStyle name="40% - Accent3 2 2 2" xfId="9006"/>
    <cellStyle name="40% - Accent3 2 2 3" xfId="14978"/>
    <cellStyle name="40% - Accent3 2 3" xfId="8952"/>
    <cellStyle name="40% - Accent3 2 4" xfId="14875"/>
    <cellStyle name="40% - Accent3 2_Data - Monthly Commodity Prices" xfId="6380"/>
    <cellStyle name="40% - Accent3 3" xfId="75"/>
    <cellStyle name="40% - Accent3 3 2" xfId="128"/>
    <cellStyle name="40% - Accent3 3 2 2" xfId="9020"/>
    <cellStyle name="40% - Accent3 3 2 3" xfId="14992"/>
    <cellStyle name="40% - Accent3 3 3" xfId="8966"/>
    <cellStyle name="40% - Accent3 3 4" xfId="14889"/>
    <cellStyle name="40% - Accent3 3_Data - Monthly Commodity Prices" xfId="6381"/>
    <cellStyle name="40% - Accent3 4" xfId="76"/>
    <cellStyle name="40% - Accent3 4 2" xfId="148"/>
    <cellStyle name="40% - Accent3 4 2 2" xfId="9035"/>
    <cellStyle name="40% - Accent3 4 2 3" xfId="15005"/>
    <cellStyle name="40% - Accent3 4 2 4" xfId="7818"/>
    <cellStyle name="40% - Accent3 4 3" xfId="8979"/>
    <cellStyle name="40% - Accent3 4 4" xfId="14904"/>
    <cellStyle name="40% - Accent3 4_LNG &amp; LPG rework" xfId="6541"/>
    <cellStyle name="40% - Accent3 5" xfId="162"/>
    <cellStyle name="40% - Accent3 5 2" xfId="9049"/>
    <cellStyle name="40% - Accent3 5 3" xfId="14918"/>
    <cellStyle name="40% - Accent3 6" xfId="99"/>
    <cellStyle name="40% - Accent3 6 2" xfId="8993"/>
    <cellStyle name="40% - Accent3 6 3" xfId="14932"/>
    <cellStyle name="40% - Accent3 7" xfId="6434"/>
    <cellStyle name="40% - Accent3 7 2" xfId="14784"/>
    <cellStyle name="40% - Accent3 7 3" xfId="14946"/>
    <cellStyle name="40% - Accent3 8" xfId="6447"/>
    <cellStyle name="40% - Accent3 8 2" xfId="14797"/>
    <cellStyle name="40% - Accent3 8 3" xfId="14963"/>
    <cellStyle name="40% - Accent3 9" xfId="6461"/>
    <cellStyle name="40% - Accent3 9 2" xfId="14811"/>
    <cellStyle name="40% - Accent3 9 3" xfId="15018"/>
    <cellStyle name="40% - Accent3_LNG &amp; LPG rework" xfId="6472"/>
    <cellStyle name="40% - Accent4" xfId="37"/>
    <cellStyle name="40% - Accent4 10" xfId="6496"/>
    <cellStyle name="40% - Accent4 10 2" xfId="14833"/>
    <cellStyle name="40% - Accent4 10 3" xfId="20754"/>
    <cellStyle name="40% - Accent4 11" xfId="6509"/>
    <cellStyle name="40% - Accent4 11 2" xfId="14846"/>
    <cellStyle name="40% - Accent4 11 3" xfId="20767"/>
    <cellStyle name="40% - Accent4 12" xfId="6529"/>
    <cellStyle name="40% - Accent4 12 2" xfId="20781"/>
    <cellStyle name="40% - Accent4 13" xfId="6566"/>
    <cellStyle name="40% - Accent4 13 2" xfId="20798"/>
    <cellStyle name="40% - Accent4 14" xfId="8919"/>
    <cellStyle name="40% - Accent4 15" xfId="8937"/>
    <cellStyle name="40% - Accent4 16" xfId="14863"/>
    <cellStyle name="40% - Accent4 2" xfId="77"/>
    <cellStyle name="40% - Accent4 2 2" xfId="116"/>
    <cellStyle name="40% - Accent4 2 2 2" xfId="9008"/>
    <cellStyle name="40% - Accent4 2 2 3" xfId="14980"/>
    <cellStyle name="40% - Accent4 2 3" xfId="8954"/>
    <cellStyle name="40% - Accent4 2 4" xfId="14877"/>
    <cellStyle name="40% - Accent4 2_Data - Monthly Commodity Prices" xfId="6382"/>
    <cellStyle name="40% - Accent4 3" xfId="78"/>
    <cellStyle name="40% - Accent4 3 2" xfId="130"/>
    <cellStyle name="40% - Accent4 3 2 2" xfId="9022"/>
    <cellStyle name="40% - Accent4 3 2 3" xfId="14994"/>
    <cellStyle name="40% - Accent4 3 3" xfId="8968"/>
    <cellStyle name="40% - Accent4 3 4" xfId="14891"/>
    <cellStyle name="40% - Accent4 3_Data - Monthly Commodity Prices" xfId="6383"/>
    <cellStyle name="40% - Accent4 4" xfId="79"/>
    <cellStyle name="40% - Accent4 4 2" xfId="150"/>
    <cellStyle name="40% - Accent4 4 2 2" xfId="9037"/>
    <cellStyle name="40% - Accent4 4 2 3" xfId="15006"/>
    <cellStyle name="40% - Accent4 4 2 4" xfId="7819"/>
    <cellStyle name="40% - Accent4 4 3" xfId="8980"/>
    <cellStyle name="40% - Accent4 4 4" xfId="14906"/>
    <cellStyle name="40% - Accent4 4_LNG &amp; LPG rework" xfId="6546"/>
    <cellStyle name="40% - Accent4 5" xfId="164"/>
    <cellStyle name="40% - Accent4 5 2" xfId="9051"/>
    <cellStyle name="40% - Accent4 5 3" xfId="14920"/>
    <cellStyle name="40% - Accent4 6" xfId="101"/>
    <cellStyle name="40% - Accent4 6 2" xfId="8995"/>
    <cellStyle name="40% - Accent4 6 3" xfId="14934"/>
    <cellStyle name="40% - Accent4 7" xfId="6436"/>
    <cellStyle name="40% - Accent4 7 2" xfId="14786"/>
    <cellStyle name="40% - Accent4 7 3" xfId="14948"/>
    <cellStyle name="40% - Accent4 8" xfId="6449"/>
    <cellStyle name="40% - Accent4 8 2" xfId="14799"/>
    <cellStyle name="40% - Accent4 8 3" xfId="14965"/>
    <cellStyle name="40% - Accent4 9" xfId="6463"/>
    <cellStyle name="40% - Accent4 9 2" xfId="14813"/>
    <cellStyle name="40% - Accent4 9 3" xfId="15020"/>
    <cellStyle name="40% - Accent4_LNG &amp; LPG rework" xfId="6471"/>
    <cellStyle name="40% - Accent5" xfId="39"/>
    <cellStyle name="40% - Accent5 10" xfId="6498"/>
    <cellStyle name="40% - Accent5 10 2" xfId="14835"/>
    <cellStyle name="40% - Accent5 10 3" xfId="20756"/>
    <cellStyle name="40% - Accent5 11" xfId="6511"/>
    <cellStyle name="40% - Accent5 11 2" xfId="14848"/>
    <cellStyle name="40% - Accent5 11 3" xfId="20769"/>
    <cellStyle name="40% - Accent5 12" xfId="6531"/>
    <cellStyle name="40% - Accent5 12 2" xfId="20783"/>
    <cellStyle name="40% - Accent5 13" xfId="6568"/>
    <cellStyle name="40% - Accent5 13 2" xfId="20800"/>
    <cellStyle name="40% - Accent5 14" xfId="8921"/>
    <cellStyle name="40% - Accent5 15" xfId="8939"/>
    <cellStyle name="40% - Accent5 16" xfId="14865"/>
    <cellStyle name="40% - Accent5 2" xfId="80"/>
    <cellStyle name="40% - Accent5 2 2" xfId="118"/>
    <cellStyle name="40% - Accent5 2 2 2" xfId="9010"/>
    <cellStyle name="40% - Accent5 2 2 3" xfId="14982"/>
    <cellStyle name="40% - Accent5 2 3" xfId="8956"/>
    <cellStyle name="40% - Accent5 2 4" xfId="14879"/>
    <cellStyle name="40% - Accent5 2_Data - Monthly Commodity Prices" xfId="6384"/>
    <cellStyle name="40% - Accent5 3" xfId="81"/>
    <cellStyle name="40% - Accent5 3 2" xfId="132"/>
    <cellStyle name="40% - Accent5 3 2 2" xfId="9024"/>
    <cellStyle name="40% - Accent5 3 2 3" xfId="14996"/>
    <cellStyle name="40% - Accent5 3 3" xfId="8970"/>
    <cellStyle name="40% - Accent5 3 4" xfId="14893"/>
    <cellStyle name="40% - Accent5 3_Data - Monthly Commodity Prices" xfId="6385"/>
    <cellStyle name="40% - Accent5 4" xfId="82"/>
    <cellStyle name="40% - Accent5 4 2" xfId="152"/>
    <cellStyle name="40% - Accent5 4 2 2" xfId="9039"/>
    <cellStyle name="40% - Accent5 4 2 3" xfId="15007"/>
    <cellStyle name="40% - Accent5 4 2 4" xfId="7820"/>
    <cellStyle name="40% - Accent5 4 3" xfId="8981"/>
    <cellStyle name="40% - Accent5 4 4" xfId="14908"/>
    <cellStyle name="40% - Accent5 4_LNG &amp; LPG rework" xfId="6547"/>
    <cellStyle name="40% - Accent5 5" xfId="166"/>
    <cellStyle name="40% - Accent5 5 2" xfId="9053"/>
    <cellStyle name="40% - Accent5 5 3" xfId="14922"/>
    <cellStyle name="40% - Accent5 6" xfId="103"/>
    <cellStyle name="40% - Accent5 6 2" xfId="8997"/>
    <cellStyle name="40% - Accent5 6 3" xfId="14936"/>
    <cellStyle name="40% - Accent5 7" xfId="6438"/>
    <cellStyle name="40% - Accent5 7 2" xfId="14788"/>
    <cellStyle name="40% - Accent5 7 3" xfId="14950"/>
    <cellStyle name="40% - Accent5 8" xfId="6451"/>
    <cellStyle name="40% - Accent5 8 2" xfId="14801"/>
    <cellStyle name="40% - Accent5 8 3" xfId="14967"/>
    <cellStyle name="40% - Accent5 9" xfId="6465"/>
    <cellStyle name="40% - Accent5 9 2" xfId="14815"/>
    <cellStyle name="40% - Accent5 9 3" xfId="15022"/>
    <cellStyle name="40% - Accent5_LNG &amp; LPG rework" xfId="6470"/>
    <cellStyle name="40% - Accent6" xfId="41"/>
    <cellStyle name="40% - Accent6 10" xfId="6500"/>
    <cellStyle name="40% - Accent6 10 2" xfId="14837"/>
    <cellStyle name="40% - Accent6 10 3" xfId="20758"/>
    <cellStyle name="40% - Accent6 11" xfId="6513"/>
    <cellStyle name="40% - Accent6 11 2" xfId="14850"/>
    <cellStyle name="40% - Accent6 11 3" xfId="20771"/>
    <cellStyle name="40% - Accent6 12" xfId="6533"/>
    <cellStyle name="40% - Accent6 12 2" xfId="20785"/>
    <cellStyle name="40% - Accent6 13" xfId="6570"/>
    <cellStyle name="40% - Accent6 13 2" xfId="20802"/>
    <cellStyle name="40% - Accent6 14" xfId="8923"/>
    <cellStyle name="40% - Accent6 15" xfId="8941"/>
    <cellStyle name="40% - Accent6 16" xfId="14867"/>
    <cellStyle name="40% - Accent6 2" xfId="83"/>
    <cellStyle name="40% - Accent6 2 2" xfId="120"/>
    <cellStyle name="40% - Accent6 2 2 2" xfId="9012"/>
    <cellStyle name="40% - Accent6 2 2 3" xfId="14984"/>
    <cellStyle name="40% - Accent6 2 3" xfId="8958"/>
    <cellStyle name="40% - Accent6 2 4" xfId="14881"/>
    <cellStyle name="40% - Accent6 2_Data - Monthly Commodity Prices" xfId="6386"/>
    <cellStyle name="40% - Accent6 3" xfId="84"/>
    <cellStyle name="40% - Accent6 3 2" xfId="134"/>
    <cellStyle name="40% - Accent6 3 2 2" xfId="9026"/>
    <cellStyle name="40% - Accent6 3 2 3" xfId="14998"/>
    <cellStyle name="40% - Accent6 3 3" xfId="8972"/>
    <cellStyle name="40% - Accent6 3 4" xfId="14895"/>
    <cellStyle name="40% - Accent6 3_Data - Monthly Commodity Prices" xfId="6387"/>
    <cellStyle name="40% - Accent6 4" xfId="85"/>
    <cellStyle name="40% - Accent6 4 2" xfId="154"/>
    <cellStyle name="40% - Accent6 4 2 2" xfId="9041"/>
    <cellStyle name="40% - Accent6 4 2 3" xfId="15008"/>
    <cellStyle name="40% - Accent6 4 2 4" xfId="7821"/>
    <cellStyle name="40% - Accent6 4 3" xfId="8982"/>
    <cellStyle name="40% - Accent6 4 4" xfId="14910"/>
    <cellStyle name="40% - Accent6 4_LNG &amp; LPG rework" xfId="6548"/>
    <cellStyle name="40% - Accent6 5" xfId="168"/>
    <cellStyle name="40% - Accent6 5 2" xfId="9055"/>
    <cellStyle name="40% - Accent6 5 3" xfId="14924"/>
    <cellStyle name="40% - Accent6 6" xfId="105"/>
    <cellStyle name="40% - Accent6 6 2" xfId="8999"/>
    <cellStyle name="40% - Accent6 6 3" xfId="14938"/>
    <cellStyle name="40% - Accent6 7" xfId="6440"/>
    <cellStyle name="40% - Accent6 7 2" xfId="14790"/>
    <cellStyle name="40% - Accent6 7 3" xfId="14952"/>
    <cellStyle name="40% - Accent6 8" xfId="6453"/>
    <cellStyle name="40% - Accent6 8 2" xfId="14803"/>
    <cellStyle name="40% - Accent6 8 3" xfId="14969"/>
    <cellStyle name="40% - Accent6 9" xfId="6467"/>
    <cellStyle name="40% - Accent6 9 2" xfId="14817"/>
    <cellStyle name="40% - Accent6 9 3" xfId="15024"/>
    <cellStyle name="40% - Accent6_LNG &amp; LPG rework" xfId="6469"/>
    <cellStyle name="60 % - Accent1" xfId="245"/>
    <cellStyle name="60 % - Accent2" xfId="258"/>
    <cellStyle name="60 % - Accent3" xfId="257"/>
    <cellStyle name="60 % - Accent4" xfId="182"/>
    <cellStyle name="60 % - Accent5" xfId="215"/>
    <cellStyle name="60 % - Accent6" xfId="174"/>
    <cellStyle name="60% - Accent1" xfId="19" builtinId="32" customBuiltin="1"/>
    <cellStyle name="60% - Accent2" xfId="21" builtinId="36" customBuiltin="1"/>
    <cellStyle name="60% - Accent3" xfId="23" builtinId="40" customBuiltin="1"/>
    <cellStyle name="60% - Accent4" xfId="25" builtinId="44" customBuiltin="1"/>
    <cellStyle name="60% - Accent5" xfId="27" builtinId="48" customBuiltin="1"/>
    <cellStyle name="60% - Accent6" xfId="29" builtinId="52" customBuiltin="1"/>
    <cellStyle name="Accent1" xfId="18" builtinId="29" customBuiltin="1"/>
    <cellStyle name="Accent1 2" xfId="229"/>
    <cellStyle name="Accent2" xfId="20" builtinId="33" customBuiltin="1"/>
    <cellStyle name="Accent2 2" xfId="247"/>
    <cellStyle name="Accent3" xfId="22" builtinId="37" customBuiltin="1"/>
    <cellStyle name="Accent3 2" xfId="187"/>
    <cellStyle name="Accent4" xfId="24" builtinId="41" customBuiltin="1"/>
    <cellStyle name="Accent4 2" xfId="181"/>
    <cellStyle name="Accent5" xfId="26" builtinId="45" customBuiltin="1"/>
    <cellStyle name="Accent5 2" xfId="212"/>
    <cellStyle name="Accent6" xfId="28" builtinId="49" customBuiltin="1"/>
    <cellStyle name="Accent6 2" xfId="244"/>
    <cellStyle name="Avertissement" xfId="188"/>
    <cellStyle name="Bad" xfId="8" builtinId="27" customBuiltin="1"/>
    <cellStyle name="C01_Main head" xfId="26190"/>
    <cellStyle name="C02_Column heads" xfId="26191"/>
    <cellStyle name="C03_Sub head bold" xfId="26192"/>
    <cellStyle name="C03a_Sub head" xfId="26193"/>
    <cellStyle name="C04_Total text white bold" xfId="26194"/>
    <cellStyle name="C04a_Total text black with rule" xfId="26195"/>
    <cellStyle name="C05_Main text" xfId="26196"/>
    <cellStyle name="C06_Figs" xfId="26197"/>
    <cellStyle name="C07_Figs 1 dec percent" xfId="26198"/>
    <cellStyle name="C08_Figs 1 decimal" xfId="26199"/>
    <cellStyle name="C09_Notes" xfId="26200"/>
    <cellStyle name="Calcul" xfId="204"/>
    <cellStyle name="Calculation" xfId="12" builtinId="22" customBuiltin="1"/>
    <cellStyle name="Cellule liée" xfId="184"/>
    <cellStyle name="Check Cell" xfId="14" builtinId="23" customBuiltin="1"/>
    <cellStyle name="Comma" xfId="42" builtinId="3"/>
    <cellStyle name="Comma 10" xfId="645"/>
    <cellStyle name="Comma 10 10" xfId="7840"/>
    <cellStyle name="Comma 10 11" xfId="20834"/>
    <cellStyle name="Comma 10 12" xfId="21907"/>
    <cellStyle name="Comma 10 13" xfId="23079"/>
    <cellStyle name="Comma 10 2" xfId="646"/>
    <cellStyle name="Comma 10 2 10" xfId="21908"/>
    <cellStyle name="Comma 10 2 11" xfId="23080"/>
    <cellStyle name="Comma 10 2 2" xfId="647"/>
    <cellStyle name="Comma 10 2 2 2" xfId="9421"/>
    <cellStyle name="Comma 10 2 2 2 2" xfId="25221"/>
    <cellStyle name="Comma 10 2 2 3" xfId="15027"/>
    <cellStyle name="Comma 10 2 2 3 2" xfId="24039"/>
    <cellStyle name="Comma 10 2 2 4" xfId="7842"/>
    <cellStyle name="Comma 10 2 2 5" xfId="20836"/>
    <cellStyle name="Comma 10 2 2 6" xfId="21909"/>
    <cellStyle name="Comma 10 2 2 7" xfId="23081"/>
    <cellStyle name="Comma 10 2 3" xfId="648"/>
    <cellStyle name="Comma 10 2 3 2" xfId="9422"/>
    <cellStyle name="Comma 10 2 3 2 2" xfId="25222"/>
    <cellStyle name="Comma 10 2 3 3" xfId="15028"/>
    <cellStyle name="Comma 10 2 3 3 2" xfId="24040"/>
    <cellStyle name="Comma 10 2 3 4" xfId="7843"/>
    <cellStyle name="Comma 10 2 3 5" xfId="20837"/>
    <cellStyle name="Comma 10 2 3 6" xfId="21910"/>
    <cellStyle name="Comma 10 2 3 7" xfId="23082"/>
    <cellStyle name="Comma 10 2 4" xfId="649"/>
    <cellStyle name="Comma 10 2 4 2" xfId="9423"/>
    <cellStyle name="Comma 10 2 4 2 2" xfId="25223"/>
    <cellStyle name="Comma 10 2 4 3" xfId="15029"/>
    <cellStyle name="Comma 10 2 4 3 2" xfId="24041"/>
    <cellStyle name="Comma 10 2 4 4" xfId="7844"/>
    <cellStyle name="Comma 10 2 4 5" xfId="20838"/>
    <cellStyle name="Comma 10 2 4 6" xfId="21911"/>
    <cellStyle name="Comma 10 2 4 7" xfId="23083"/>
    <cellStyle name="Comma 10 2 5" xfId="650"/>
    <cellStyle name="Comma 10 2 5 2" xfId="9424"/>
    <cellStyle name="Comma 10 2 5 2 2" xfId="25224"/>
    <cellStyle name="Comma 10 2 5 3" xfId="15030"/>
    <cellStyle name="Comma 10 2 5 3 2" xfId="24042"/>
    <cellStyle name="Comma 10 2 5 4" xfId="7845"/>
    <cellStyle name="Comma 10 2 5 5" xfId="20839"/>
    <cellStyle name="Comma 10 2 5 6" xfId="21912"/>
    <cellStyle name="Comma 10 2 5 7" xfId="23084"/>
    <cellStyle name="Comma 10 2 6" xfId="9420"/>
    <cellStyle name="Comma 10 2 6 2" xfId="25220"/>
    <cellStyle name="Comma 10 2 7" xfId="15026"/>
    <cellStyle name="Comma 10 2 7 2" xfId="24038"/>
    <cellStyle name="Comma 10 2 8" xfId="7841"/>
    <cellStyle name="Comma 10 2 9" xfId="20835"/>
    <cellStyle name="Comma 10 3" xfId="651"/>
    <cellStyle name="Comma 10 3 10" xfId="21913"/>
    <cellStyle name="Comma 10 3 11" xfId="23085"/>
    <cellStyle name="Comma 10 3 2" xfId="652"/>
    <cellStyle name="Comma 10 3 2 2" xfId="9426"/>
    <cellStyle name="Comma 10 3 2 2 2" xfId="25226"/>
    <cellStyle name="Comma 10 3 2 3" xfId="15032"/>
    <cellStyle name="Comma 10 3 2 3 2" xfId="24044"/>
    <cellStyle name="Comma 10 3 2 4" xfId="7847"/>
    <cellStyle name="Comma 10 3 2 5" xfId="20841"/>
    <cellStyle name="Comma 10 3 2 6" xfId="21914"/>
    <cellStyle name="Comma 10 3 2 7" xfId="23086"/>
    <cellStyle name="Comma 10 3 3" xfId="653"/>
    <cellStyle name="Comma 10 3 3 2" xfId="9427"/>
    <cellStyle name="Comma 10 3 3 2 2" xfId="25227"/>
    <cellStyle name="Comma 10 3 3 3" xfId="15033"/>
    <cellStyle name="Comma 10 3 3 3 2" xfId="24045"/>
    <cellStyle name="Comma 10 3 3 4" xfId="7848"/>
    <cellStyle name="Comma 10 3 3 5" xfId="20842"/>
    <cellStyle name="Comma 10 3 3 6" xfId="21915"/>
    <cellStyle name="Comma 10 3 3 7" xfId="23087"/>
    <cellStyle name="Comma 10 3 4" xfId="654"/>
    <cellStyle name="Comma 10 3 4 2" xfId="9428"/>
    <cellStyle name="Comma 10 3 4 2 2" xfId="25228"/>
    <cellStyle name="Comma 10 3 4 3" xfId="15034"/>
    <cellStyle name="Comma 10 3 4 3 2" xfId="24046"/>
    <cellStyle name="Comma 10 3 4 4" xfId="7849"/>
    <cellStyle name="Comma 10 3 4 5" xfId="20843"/>
    <cellStyle name="Comma 10 3 4 6" xfId="21916"/>
    <cellStyle name="Comma 10 3 4 7" xfId="23088"/>
    <cellStyle name="Comma 10 3 5" xfId="655"/>
    <cellStyle name="Comma 10 3 5 2" xfId="9429"/>
    <cellStyle name="Comma 10 3 5 2 2" xfId="25229"/>
    <cellStyle name="Comma 10 3 5 3" xfId="15035"/>
    <cellStyle name="Comma 10 3 5 3 2" xfId="24047"/>
    <cellStyle name="Comma 10 3 5 4" xfId="7850"/>
    <cellStyle name="Comma 10 3 5 5" xfId="20844"/>
    <cellStyle name="Comma 10 3 5 6" xfId="21917"/>
    <cellStyle name="Comma 10 3 5 7" xfId="23089"/>
    <cellStyle name="Comma 10 3 6" xfId="9425"/>
    <cellStyle name="Comma 10 3 6 2" xfId="25225"/>
    <cellStyle name="Comma 10 3 7" xfId="15031"/>
    <cellStyle name="Comma 10 3 7 2" xfId="24043"/>
    <cellStyle name="Comma 10 3 8" xfId="7846"/>
    <cellStyle name="Comma 10 3 9" xfId="20840"/>
    <cellStyle name="Comma 10 4" xfId="656"/>
    <cellStyle name="Comma 10 4 2" xfId="9430"/>
    <cellStyle name="Comma 10 4 2 2" xfId="25230"/>
    <cellStyle name="Comma 10 4 3" xfId="15036"/>
    <cellStyle name="Comma 10 4 3 2" xfId="24048"/>
    <cellStyle name="Comma 10 4 4" xfId="7851"/>
    <cellStyle name="Comma 10 4 5" xfId="20845"/>
    <cellStyle name="Comma 10 4 6" xfId="21918"/>
    <cellStyle name="Comma 10 4 7" xfId="23090"/>
    <cellStyle name="Comma 10 5" xfId="657"/>
    <cellStyle name="Comma 10 5 2" xfId="9431"/>
    <cellStyle name="Comma 10 5 2 2" xfId="25231"/>
    <cellStyle name="Comma 10 5 3" xfId="15037"/>
    <cellStyle name="Comma 10 5 3 2" xfId="24049"/>
    <cellStyle name="Comma 10 5 4" xfId="7852"/>
    <cellStyle name="Comma 10 5 5" xfId="20846"/>
    <cellStyle name="Comma 10 5 6" xfId="21919"/>
    <cellStyle name="Comma 10 5 7" xfId="23091"/>
    <cellStyle name="Comma 10 6" xfId="658"/>
    <cellStyle name="Comma 10 6 2" xfId="9432"/>
    <cellStyle name="Comma 10 6 2 2" xfId="25232"/>
    <cellStyle name="Comma 10 6 3" xfId="15038"/>
    <cellStyle name="Comma 10 6 3 2" xfId="24050"/>
    <cellStyle name="Comma 10 6 4" xfId="7853"/>
    <cellStyle name="Comma 10 6 5" xfId="20847"/>
    <cellStyle name="Comma 10 6 6" xfId="21920"/>
    <cellStyle name="Comma 10 6 7" xfId="23092"/>
    <cellStyle name="Comma 10 7" xfId="659"/>
    <cellStyle name="Comma 10 7 2" xfId="9433"/>
    <cellStyle name="Comma 10 7 2 2" xfId="25233"/>
    <cellStyle name="Comma 10 7 3" xfId="15039"/>
    <cellStyle name="Comma 10 7 3 2" xfId="24051"/>
    <cellStyle name="Comma 10 7 4" xfId="7854"/>
    <cellStyle name="Comma 10 7 5" xfId="20848"/>
    <cellStyle name="Comma 10 7 6" xfId="21921"/>
    <cellStyle name="Comma 10 7 7" xfId="23093"/>
    <cellStyle name="Comma 10 8" xfId="9419"/>
    <cellStyle name="Comma 10 8 2" xfId="25219"/>
    <cellStyle name="Comma 10 9" xfId="15025"/>
    <cellStyle name="Comma 10 9 2" xfId="24037"/>
    <cellStyle name="Comma 11" xfId="660"/>
    <cellStyle name="Comma 12" xfId="661"/>
    <cellStyle name="Comma 12 10" xfId="21922"/>
    <cellStyle name="Comma 12 11" xfId="23094"/>
    <cellStyle name="Comma 12 2" xfId="662"/>
    <cellStyle name="Comma 12 2 2" xfId="9435"/>
    <cellStyle name="Comma 12 2 2 2" xfId="25235"/>
    <cellStyle name="Comma 12 2 3" xfId="15041"/>
    <cellStyle name="Comma 12 2 3 2" xfId="24053"/>
    <cellStyle name="Comma 12 2 4" xfId="7856"/>
    <cellStyle name="Comma 12 2 5" xfId="20850"/>
    <cellStyle name="Comma 12 2 6" xfId="21923"/>
    <cellStyle name="Comma 12 2 7" xfId="23095"/>
    <cellStyle name="Comma 12 3" xfId="663"/>
    <cellStyle name="Comma 12 3 2" xfId="9436"/>
    <cellStyle name="Comma 12 3 2 2" xfId="25236"/>
    <cellStyle name="Comma 12 3 3" xfId="15042"/>
    <cellStyle name="Comma 12 3 3 2" xfId="24054"/>
    <cellStyle name="Comma 12 3 4" xfId="7857"/>
    <cellStyle name="Comma 12 3 5" xfId="20851"/>
    <cellStyle name="Comma 12 3 6" xfId="21924"/>
    <cellStyle name="Comma 12 3 7" xfId="23096"/>
    <cellStyle name="Comma 12 4" xfId="664"/>
    <cellStyle name="Comma 12 4 2" xfId="9437"/>
    <cellStyle name="Comma 12 4 2 2" xfId="25237"/>
    <cellStyle name="Comma 12 4 3" xfId="15043"/>
    <cellStyle name="Comma 12 4 3 2" xfId="24055"/>
    <cellStyle name="Comma 12 4 4" xfId="7858"/>
    <cellStyle name="Comma 12 4 5" xfId="20852"/>
    <cellStyle name="Comma 12 4 6" xfId="21925"/>
    <cellStyle name="Comma 12 4 7" xfId="23097"/>
    <cellStyle name="Comma 12 5" xfId="665"/>
    <cellStyle name="Comma 12 5 2" xfId="9438"/>
    <cellStyle name="Comma 12 5 2 2" xfId="25238"/>
    <cellStyle name="Comma 12 5 3" xfId="15044"/>
    <cellStyle name="Comma 12 5 3 2" xfId="24056"/>
    <cellStyle name="Comma 12 5 4" xfId="7859"/>
    <cellStyle name="Comma 12 5 5" xfId="20853"/>
    <cellStyle name="Comma 12 5 6" xfId="21926"/>
    <cellStyle name="Comma 12 5 7" xfId="23098"/>
    <cellStyle name="Comma 12 6" xfId="9434"/>
    <cellStyle name="Comma 12 6 2" xfId="25234"/>
    <cellStyle name="Comma 12 7" xfId="15040"/>
    <cellStyle name="Comma 12 7 2" xfId="24052"/>
    <cellStyle name="Comma 12 8" xfId="7855"/>
    <cellStyle name="Comma 12 9" xfId="20849"/>
    <cellStyle name="Comma 13" xfId="666"/>
    <cellStyle name="Comma 13 2" xfId="9439"/>
    <cellStyle name="Comma 13 2 2" xfId="25239"/>
    <cellStyle name="Comma 13 3" xfId="15045"/>
    <cellStyle name="Comma 13 3 2" xfId="24057"/>
    <cellStyle name="Comma 13 4" xfId="7860"/>
    <cellStyle name="Comma 13 5" xfId="20854"/>
    <cellStyle name="Comma 13 6" xfId="21927"/>
    <cellStyle name="Comma 13 7" xfId="23099"/>
    <cellStyle name="Comma 14" xfId="667"/>
    <cellStyle name="Comma 15" xfId="668"/>
    <cellStyle name="Comma 15 2" xfId="9440"/>
    <cellStyle name="Comma 15 2 2" xfId="25240"/>
    <cellStyle name="Comma 15 3" xfId="15046"/>
    <cellStyle name="Comma 15 3 2" xfId="24058"/>
    <cellStyle name="Comma 15 4" xfId="7861"/>
    <cellStyle name="Comma 16" xfId="6477"/>
    <cellStyle name="Comma 16 2" xfId="14820"/>
    <cellStyle name="Comma 16 2 2" xfId="26173"/>
    <cellStyle name="Comma 16 3" xfId="20741"/>
    <cellStyle name="Comma 16 3 2" xfId="25097"/>
    <cellStyle name="Comma 16 4" xfId="8907"/>
    <cellStyle name="Comma 17" xfId="6480"/>
    <cellStyle name="Comma 17 2" xfId="14823"/>
    <cellStyle name="Comma 17 2 2" xfId="26174"/>
    <cellStyle name="Comma 17 3" xfId="20744"/>
    <cellStyle name="Comma 17 3 2" xfId="25098"/>
    <cellStyle name="Comma 17 4" xfId="8908"/>
    <cellStyle name="Comma 18" xfId="6534"/>
    <cellStyle name="Comma 18 2" xfId="20786"/>
    <cellStyle name="Comma 18 3" xfId="7838"/>
    <cellStyle name="Comma 18 4" xfId="21889"/>
    <cellStyle name="Comma 18 5" xfId="22962"/>
    <cellStyle name="Comma 18 6" xfId="25099"/>
    <cellStyle name="Comma 19" xfId="8927"/>
    <cellStyle name="Comma 19 2" xfId="25104"/>
    <cellStyle name="Comma 2" xfId="49"/>
    <cellStyle name="Comma 2 10" xfId="669"/>
    <cellStyle name="Comma 2 11" xfId="670"/>
    <cellStyle name="Comma 2 11 2" xfId="9441"/>
    <cellStyle name="Comma 2 11 2 2" xfId="25241"/>
    <cellStyle name="Comma 2 11 3" xfId="15047"/>
    <cellStyle name="Comma 2 11 3 2" xfId="24059"/>
    <cellStyle name="Comma 2 11 4" xfId="7862"/>
    <cellStyle name="Comma 2 11 5" xfId="20855"/>
    <cellStyle name="Comma 2 11 6" xfId="21928"/>
    <cellStyle name="Comma 2 11 7" xfId="23100"/>
    <cellStyle name="Comma 2 12" xfId="671"/>
    <cellStyle name="Comma 2 12 2" xfId="9442"/>
    <cellStyle name="Comma 2 12 2 2" xfId="25242"/>
    <cellStyle name="Comma 2 12 3" xfId="7863"/>
    <cellStyle name="Comma 2 12 3 2" xfId="24060"/>
    <cellStyle name="Comma 2 13" xfId="672"/>
    <cellStyle name="Comma 2 13 2" xfId="9443"/>
    <cellStyle name="Comma 2 13 2 2" xfId="25243"/>
    <cellStyle name="Comma 2 13 3" xfId="15048"/>
    <cellStyle name="Comma 2 13 3 2" xfId="24061"/>
    <cellStyle name="Comma 2 13 4" xfId="7864"/>
    <cellStyle name="Comma 2 13 5" xfId="20856"/>
    <cellStyle name="Comma 2 13 6" xfId="21929"/>
    <cellStyle name="Comma 2 13 7" xfId="23101"/>
    <cellStyle name="Comma 2 14" xfId="673"/>
    <cellStyle name="Comma 2 14 2" xfId="9444"/>
    <cellStyle name="Comma 2 14 2 2" xfId="25244"/>
    <cellStyle name="Comma 2 14 3" xfId="15049"/>
    <cellStyle name="Comma 2 14 3 2" xfId="24062"/>
    <cellStyle name="Comma 2 14 4" xfId="7865"/>
    <cellStyle name="Comma 2 15" xfId="8943"/>
    <cellStyle name="Comma 2 15 2" xfId="20809"/>
    <cellStyle name="Comma 2 15 3" xfId="21892"/>
    <cellStyle name="Comma 2 15 4" xfId="22966"/>
    <cellStyle name="Comma 2 15 5" xfId="25102"/>
    <cellStyle name="Comma 2 16" xfId="14896"/>
    <cellStyle name="Comma 2 16 2" xfId="25106"/>
    <cellStyle name="Comma 2 17" xfId="7805"/>
    <cellStyle name="Comma 2 17 2" xfId="24031"/>
    <cellStyle name="Comma 2 18" xfId="20828"/>
    <cellStyle name="Comma 2 19" xfId="21901"/>
    <cellStyle name="Comma 2 2" xfId="135"/>
    <cellStyle name="Comma 2 2 10" xfId="7866"/>
    <cellStyle name="Comma 2 2 11" xfId="20857"/>
    <cellStyle name="Comma 2 2 12" xfId="21930"/>
    <cellStyle name="Comma 2 2 13" xfId="22973"/>
    <cellStyle name="Comma 2 2 2" xfId="173"/>
    <cellStyle name="Comma 2 2 2 10" xfId="674"/>
    <cellStyle name="Comma 2 2 2 10 2" xfId="9445"/>
    <cellStyle name="Comma 2 2 2 10 2 2" xfId="25245"/>
    <cellStyle name="Comma 2 2 2 10 3" xfId="15052"/>
    <cellStyle name="Comma 2 2 2 10 3 2" xfId="24065"/>
    <cellStyle name="Comma 2 2 2 10 4" xfId="7868"/>
    <cellStyle name="Comma 2 2 2 10 5" xfId="20859"/>
    <cellStyle name="Comma 2 2 2 10 6" xfId="21932"/>
    <cellStyle name="Comma 2 2 2 10 7" xfId="23102"/>
    <cellStyle name="Comma 2 2 2 11" xfId="675"/>
    <cellStyle name="Comma 2 2 2 11 2" xfId="9446"/>
    <cellStyle name="Comma 2 2 2 11 2 2" xfId="25246"/>
    <cellStyle name="Comma 2 2 2 11 3" xfId="15053"/>
    <cellStyle name="Comma 2 2 2 11 3 2" xfId="24066"/>
    <cellStyle name="Comma 2 2 2 11 4" xfId="7869"/>
    <cellStyle name="Comma 2 2 2 11 5" xfId="20860"/>
    <cellStyle name="Comma 2 2 2 11 6" xfId="21933"/>
    <cellStyle name="Comma 2 2 2 11 7" xfId="23103"/>
    <cellStyle name="Comma 2 2 2 12" xfId="676"/>
    <cellStyle name="Comma 2 2 2 12 2" xfId="9447"/>
    <cellStyle name="Comma 2 2 2 12 2 2" xfId="25247"/>
    <cellStyle name="Comma 2 2 2 12 3" xfId="15054"/>
    <cellStyle name="Comma 2 2 2 12 3 2" xfId="24067"/>
    <cellStyle name="Comma 2 2 2 12 4" xfId="7870"/>
    <cellStyle name="Comma 2 2 2 12 5" xfId="20861"/>
    <cellStyle name="Comma 2 2 2 12 6" xfId="21934"/>
    <cellStyle name="Comma 2 2 2 12 7" xfId="23104"/>
    <cellStyle name="Comma 2 2 2 13" xfId="9057"/>
    <cellStyle name="Comma 2 2 2 13 2" xfId="25113"/>
    <cellStyle name="Comma 2 2 2 14" xfId="15051"/>
    <cellStyle name="Comma 2 2 2 14 2" xfId="24064"/>
    <cellStyle name="Comma 2 2 2 15" xfId="7867"/>
    <cellStyle name="Comma 2 2 2 16" xfId="20858"/>
    <cellStyle name="Comma 2 2 2 17" xfId="21931"/>
    <cellStyle name="Comma 2 2 2 18" xfId="22975"/>
    <cellStyle name="Comma 2 2 2 2" xfId="203"/>
    <cellStyle name="Comma 2 2 2 2 10" xfId="677"/>
    <cellStyle name="Comma 2 2 2 2 10 2" xfId="9448"/>
    <cellStyle name="Comma 2 2 2 2 10 2 2" xfId="25248"/>
    <cellStyle name="Comma 2 2 2 2 10 3" xfId="15056"/>
    <cellStyle name="Comma 2 2 2 2 10 3 2" xfId="24069"/>
    <cellStyle name="Comma 2 2 2 2 10 4" xfId="7872"/>
    <cellStyle name="Comma 2 2 2 2 10 5" xfId="20863"/>
    <cellStyle name="Comma 2 2 2 2 10 6" xfId="21936"/>
    <cellStyle name="Comma 2 2 2 2 10 7" xfId="23105"/>
    <cellStyle name="Comma 2 2 2 2 11" xfId="678"/>
    <cellStyle name="Comma 2 2 2 2 11 2" xfId="9449"/>
    <cellStyle name="Comma 2 2 2 2 11 2 2" xfId="25249"/>
    <cellStyle name="Comma 2 2 2 2 11 3" xfId="15057"/>
    <cellStyle name="Comma 2 2 2 2 11 3 2" xfId="24070"/>
    <cellStyle name="Comma 2 2 2 2 11 4" xfId="7873"/>
    <cellStyle name="Comma 2 2 2 2 11 5" xfId="20864"/>
    <cellStyle name="Comma 2 2 2 2 11 6" xfId="21937"/>
    <cellStyle name="Comma 2 2 2 2 11 7" xfId="23106"/>
    <cellStyle name="Comma 2 2 2 2 12" xfId="9077"/>
    <cellStyle name="Comma 2 2 2 2 12 2" xfId="25132"/>
    <cellStyle name="Comma 2 2 2 2 13" xfId="15055"/>
    <cellStyle name="Comma 2 2 2 2 13 2" xfId="24068"/>
    <cellStyle name="Comma 2 2 2 2 14" xfId="7871"/>
    <cellStyle name="Comma 2 2 2 2 15" xfId="20862"/>
    <cellStyle name="Comma 2 2 2 2 16" xfId="21935"/>
    <cellStyle name="Comma 2 2 2 2 17" xfId="22993"/>
    <cellStyle name="Comma 2 2 2 2 2" xfId="192"/>
    <cellStyle name="Comma 2 2 2 2 2 10" xfId="679"/>
    <cellStyle name="Comma 2 2 2 2 2 10 2" xfId="9450"/>
    <cellStyle name="Comma 2 2 2 2 2 10 2 2" xfId="25250"/>
    <cellStyle name="Comma 2 2 2 2 2 10 3" xfId="15059"/>
    <cellStyle name="Comma 2 2 2 2 2 10 3 2" xfId="24072"/>
    <cellStyle name="Comma 2 2 2 2 2 10 4" xfId="7875"/>
    <cellStyle name="Comma 2 2 2 2 2 10 5" xfId="20866"/>
    <cellStyle name="Comma 2 2 2 2 2 10 6" xfId="21939"/>
    <cellStyle name="Comma 2 2 2 2 2 10 7" xfId="23107"/>
    <cellStyle name="Comma 2 2 2 2 2 11" xfId="9068"/>
    <cellStyle name="Comma 2 2 2 2 2 11 2" xfId="25123"/>
    <cellStyle name="Comma 2 2 2 2 2 12" xfId="15058"/>
    <cellStyle name="Comma 2 2 2 2 2 12 2" xfId="24071"/>
    <cellStyle name="Comma 2 2 2 2 2 13" xfId="7874"/>
    <cellStyle name="Comma 2 2 2 2 2 14" xfId="20865"/>
    <cellStyle name="Comma 2 2 2 2 2 15" xfId="21938"/>
    <cellStyle name="Comma 2 2 2 2 2 16" xfId="22984"/>
    <cellStyle name="Comma 2 2 2 2 2 2" xfId="208"/>
    <cellStyle name="Comma 2 2 2 2 2 2 10" xfId="15060"/>
    <cellStyle name="Comma 2 2 2 2 2 2 10 2" xfId="24073"/>
    <cellStyle name="Comma 2 2 2 2 2 2 11" xfId="7876"/>
    <cellStyle name="Comma 2 2 2 2 2 2 12" xfId="20867"/>
    <cellStyle name="Comma 2 2 2 2 2 2 13" xfId="21940"/>
    <cellStyle name="Comma 2 2 2 2 2 2 14" xfId="22997"/>
    <cellStyle name="Comma 2 2 2 2 2 2 2" xfId="170"/>
    <cellStyle name="Comma 2 2 2 2 2 2 2 10" xfId="20868"/>
    <cellStyle name="Comma 2 2 2 2 2 2 2 11" xfId="21941"/>
    <cellStyle name="Comma 2 2 2 2 2 2 2 12" xfId="22974"/>
    <cellStyle name="Comma 2 2 2 2 2 2 2 2" xfId="680"/>
    <cellStyle name="Comma 2 2 2 2 2 2 2 2 2" xfId="9451"/>
    <cellStyle name="Comma 2 2 2 2 2 2 2 2 2 2" xfId="25251"/>
    <cellStyle name="Comma 2 2 2 2 2 2 2 2 3" xfId="15062"/>
    <cellStyle name="Comma 2 2 2 2 2 2 2 2 3 2" xfId="24075"/>
    <cellStyle name="Comma 2 2 2 2 2 2 2 2 4" xfId="7878"/>
    <cellStyle name="Comma 2 2 2 2 2 2 2 2 5" xfId="20869"/>
    <cellStyle name="Comma 2 2 2 2 2 2 2 2 6" xfId="21942"/>
    <cellStyle name="Comma 2 2 2 2 2 2 2 2 7" xfId="23108"/>
    <cellStyle name="Comma 2 2 2 2 2 2 2 3" xfId="681"/>
    <cellStyle name="Comma 2 2 2 2 2 2 2 3 2" xfId="9452"/>
    <cellStyle name="Comma 2 2 2 2 2 2 2 3 2 2" xfId="25252"/>
    <cellStyle name="Comma 2 2 2 2 2 2 2 3 3" xfId="15063"/>
    <cellStyle name="Comma 2 2 2 2 2 2 2 3 3 2" xfId="24076"/>
    <cellStyle name="Comma 2 2 2 2 2 2 2 3 4" xfId="7879"/>
    <cellStyle name="Comma 2 2 2 2 2 2 2 3 5" xfId="20870"/>
    <cellStyle name="Comma 2 2 2 2 2 2 2 3 6" xfId="21943"/>
    <cellStyle name="Comma 2 2 2 2 2 2 2 3 7" xfId="23109"/>
    <cellStyle name="Comma 2 2 2 2 2 2 2 4" xfId="682"/>
    <cellStyle name="Comma 2 2 2 2 2 2 2 4 2" xfId="9453"/>
    <cellStyle name="Comma 2 2 2 2 2 2 2 4 2 2" xfId="25253"/>
    <cellStyle name="Comma 2 2 2 2 2 2 2 4 3" xfId="15064"/>
    <cellStyle name="Comma 2 2 2 2 2 2 2 4 3 2" xfId="24077"/>
    <cellStyle name="Comma 2 2 2 2 2 2 2 4 4" xfId="7880"/>
    <cellStyle name="Comma 2 2 2 2 2 2 2 4 5" xfId="20871"/>
    <cellStyle name="Comma 2 2 2 2 2 2 2 4 6" xfId="21944"/>
    <cellStyle name="Comma 2 2 2 2 2 2 2 4 7" xfId="23110"/>
    <cellStyle name="Comma 2 2 2 2 2 2 2 5" xfId="683"/>
    <cellStyle name="Comma 2 2 2 2 2 2 2 5 2" xfId="9454"/>
    <cellStyle name="Comma 2 2 2 2 2 2 2 5 2 2" xfId="25254"/>
    <cellStyle name="Comma 2 2 2 2 2 2 2 5 3" xfId="15065"/>
    <cellStyle name="Comma 2 2 2 2 2 2 2 5 3 2" xfId="24078"/>
    <cellStyle name="Comma 2 2 2 2 2 2 2 5 4" xfId="7881"/>
    <cellStyle name="Comma 2 2 2 2 2 2 2 5 5" xfId="20872"/>
    <cellStyle name="Comma 2 2 2 2 2 2 2 5 6" xfId="21945"/>
    <cellStyle name="Comma 2 2 2 2 2 2 2 5 7" xfId="23111"/>
    <cellStyle name="Comma 2 2 2 2 2 2 2 6" xfId="684"/>
    <cellStyle name="Comma 2 2 2 2 2 2 2 6 2" xfId="9455"/>
    <cellStyle name="Comma 2 2 2 2 2 2 2 6 2 2" xfId="25255"/>
    <cellStyle name="Comma 2 2 2 2 2 2 2 6 3" xfId="15066"/>
    <cellStyle name="Comma 2 2 2 2 2 2 2 6 3 2" xfId="24079"/>
    <cellStyle name="Comma 2 2 2 2 2 2 2 6 4" xfId="7882"/>
    <cellStyle name="Comma 2 2 2 2 2 2 2 6 5" xfId="20873"/>
    <cellStyle name="Comma 2 2 2 2 2 2 2 6 6" xfId="21946"/>
    <cellStyle name="Comma 2 2 2 2 2 2 2 6 7" xfId="23112"/>
    <cellStyle name="Comma 2 2 2 2 2 2 2 7" xfId="9056"/>
    <cellStyle name="Comma 2 2 2 2 2 2 2 7 2" xfId="25112"/>
    <cellStyle name="Comma 2 2 2 2 2 2 2 8" xfId="15061"/>
    <cellStyle name="Comma 2 2 2 2 2 2 2 8 2" xfId="24074"/>
    <cellStyle name="Comma 2 2 2 2 2 2 2 9" xfId="7877"/>
    <cellStyle name="Comma 2 2 2 2 2 2 3" xfId="685"/>
    <cellStyle name="Comma 2 2 2 2 2 2 3 10" xfId="21947"/>
    <cellStyle name="Comma 2 2 2 2 2 2 3 11" xfId="23113"/>
    <cellStyle name="Comma 2 2 2 2 2 2 3 2" xfId="686"/>
    <cellStyle name="Comma 2 2 2 2 2 2 3 2 2" xfId="9457"/>
    <cellStyle name="Comma 2 2 2 2 2 2 3 2 2 2" xfId="25257"/>
    <cellStyle name="Comma 2 2 2 2 2 2 3 2 3" xfId="15068"/>
    <cellStyle name="Comma 2 2 2 2 2 2 3 2 3 2" xfId="24081"/>
    <cellStyle name="Comma 2 2 2 2 2 2 3 2 4" xfId="7884"/>
    <cellStyle name="Comma 2 2 2 2 2 2 3 2 5" xfId="20875"/>
    <cellStyle name="Comma 2 2 2 2 2 2 3 2 6" xfId="21948"/>
    <cellStyle name="Comma 2 2 2 2 2 2 3 2 7" xfId="23114"/>
    <cellStyle name="Comma 2 2 2 2 2 2 3 3" xfId="687"/>
    <cellStyle name="Comma 2 2 2 2 2 2 3 3 2" xfId="9458"/>
    <cellStyle name="Comma 2 2 2 2 2 2 3 3 2 2" xfId="25258"/>
    <cellStyle name="Comma 2 2 2 2 2 2 3 3 3" xfId="15069"/>
    <cellStyle name="Comma 2 2 2 2 2 2 3 3 3 2" xfId="24082"/>
    <cellStyle name="Comma 2 2 2 2 2 2 3 3 4" xfId="7885"/>
    <cellStyle name="Comma 2 2 2 2 2 2 3 3 5" xfId="20876"/>
    <cellStyle name="Comma 2 2 2 2 2 2 3 3 6" xfId="21949"/>
    <cellStyle name="Comma 2 2 2 2 2 2 3 3 7" xfId="23115"/>
    <cellStyle name="Comma 2 2 2 2 2 2 3 4" xfId="688"/>
    <cellStyle name="Comma 2 2 2 2 2 2 3 4 2" xfId="9459"/>
    <cellStyle name="Comma 2 2 2 2 2 2 3 4 2 2" xfId="25259"/>
    <cellStyle name="Comma 2 2 2 2 2 2 3 4 3" xfId="15070"/>
    <cellStyle name="Comma 2 2 2 2 2 2 3 4 3 2" xfId="24083"/>
    <cellStyle name="Comma 2 2 2 2 2 2 3 4 4" xfId="7886"/>
    <cellStyle name="Comma 2 2 2 2 2 2 3 4 5" xfId="20877"/>
    <cellStyle name="Comma 2 2 2 2 2 2 3 4 6" xfId="21950"/>
    <cellStyle name="Comma 2 2 2 2 2 2 3 4 7" xfId="23116"/>
    <cellStyle name="Comma 2 2 2 2 2 2 3 5" xfId="689"/>
    <cellStyle name="Comma 2 2 2 2 2 2 3 5 2" xfId="9460"/>
    <cellStyle name="Comma 2 2 2 2 2 2 3 5 2 2" xfId="25260"/>
    <cellStyle name="Comma 2 2 2 2 2 2 3 5 3" xfId="15071"/>
    <cellStyle name="Comma 2 2 2 2 2 2 3 5 3 2" xfId="24084"/>
    <cellStyle name="Comma 2 2 2 2 2 2 3 5 4" xfId="7887"/>
    <cellStyle name="Comma 2 2 2 2 2 2 3 5 5" xfId="20878"/>
    <cellStyle name="Comma 2 2 2 2 2 2 3 5 6" xfId="21951"/>
    <cellStyle name="Comma 2 2 2 2 2 2 3 5 7" xfId="23117"/>
    <cellStyle name="Comma 2 2 2 2 2 2 3 6" xfId="9456"/>
    <cellStyle name="Comma 2 2 2 2 2 2 3 6 2" xfId="25256"/>
    <cellStyle name="Comma 2 2 2 2 2 2 3 7" xfId="15067"/>
    <cellStyle name="Comma 2 2 2 2 2 2 3 7 2" xfId="24080"/>
    <cellStyle name="Comma 2 2 2 2 2 2 3 8" xfId="7883"/>
    <cellStyle name="Comma 2 2 2 2 2 2 3 9" xfId="20874"/>
    <cellStyle name="Comma 2 2 2 2 2 2 4" xfId="690"/>
    <cellStyle name="Comma 2 2 2 2 2 2 4 2" xfId="9461"/>
    <cellStyle name="Comma 2 2 2 2 2 2 4 2 2" xfId="25261"/>
    <cellStyle name="Comma 2 2 2 2 2 2 4 3" xfId="15072"/>
    <cellStyle name="Comma 2 2 2 2 2 2 4 3 2" xfId="24085"/>
    <cellStyle name="Comma 2 2 2 2 2 2 4 4" xfId="7888"/>
    <cellStyle name="Comma 2 2 2 2 2 2 4 5" xfId="20879"/>
    <cellStyle name="Comma 2 2 2 2 2 2 4 6" xfId="21952"/>
    <cellStyle name="Comma 2 2 2 2 2 2 4 7" xfId="23118"/>
    <cellStyle name="Comma 2 2 2 2 2 2 5" xfId="691"/>
    <cellStyle name="Comma 2 2 2 2 2 2 5 2" xfId="9462"/>
    <cellStyle name="Comma 2 2 2 2 2 2 5 2 2" xfId="25262"/>
    <cellStyle name="Comma 2 2 2 2 2 2 5 3" xfId="15073"/>
    <cellStyle name="Comma 2 2 2 2 2 2 5 3 2" xfId="24086"/>
    <cellStyle name="Comma 2 2 2 2 2 2 5 4" xfId="7889"/>
    <cellStyle name="Comma 2 2 2 2 2 2 5 5" xfId="20880"/>
    <cellStyle name="Comma 2 2 2 2 2 2 5 6" xfId="21953"/>
    <cellStyle name="Comma 2 2 2 2 2 2 5 7" xfId="23119"/>
    <cellStyle name="Comma 2 2 2 2 2 2 6" xfId="692"/>
    <cellStyle name="Comma 2 2 2 2 2 2 6 2" xfId="9463"/>
    <cellStyle name="Comma 2 2 2 2 2 2 6 2 2" xfId="25263"/>
    <cellStyle name="Comma 2 2 2 2 2 2 6 3" xfId="15074"/>
    <cellStyle name="Comma 2 2 2 2 2 2 6 3 2" xfId="24087"/>
    <cellStyle name="Comma 2 2 2 2 2 2 6 4" xfId="7890"/>
    <cellStyle name="Comma 2 2 2 2 2 2 6 5" xfId="20881"/>
    <cellStyle name="Comma 2 2 2 2 2 2 6 6" xfId="21954"/>
    <cellStyle name="Comma 2 2 2 2 2 2 6 7" xfId="23120"/>
    <cellStyle name="Comma 2 2 2 2 2 2 7" xfId="693"/>
    <cellStyle name="Comma 2 2 2 2 2 2 7 2" xfId="9464"/>
    <cellStyle name="Comma 2 2 2 2 2 2 7 2 2" xfId="25264"/>
    <cellStyle name="Comma 2 2 2 2 2 2 7 3" xfId="15075"/>
    <cellStyle name="Comma 2 2 2 2 2 2 7 3 2" xfId="24088"/>
    <cellStyle name="Comma 2 2 2 2 2 2 7 4" xfId="7891"/>
    <cellStyle name="Comma 2 2 2 2 2 2 7 5" xfId="20882"/>
    <cellStyle name="Comma 2 2 2 2 2 2 7 6" xfId="21955"/>
    <cellStyle name="Comma 2 2 2 2 2 2 7 7" xfId="23121"/>
    <cellStyle name="Comma 2 2 2 2 2 2 8" xfId="694"/>
    <cellStyle name="Comma 2 2 2 2 2 2 8 2" xfId="9465"/>
    <cellStyle name="Comma 2 2 2 2 2 2 8 2 2" xfId="25265"/>
    <cellStyle name="Comma 2 2 2 2 2 2 8 3" xfId="15076"/>
    <cellStyle name="Comma 2 2 2 2 2 2 8 3 2" xfId="24089"/>
    <cellStyle name="Comma 2 2 2 2 2 2 8 4" xfId="7892"/>
    <cellStyle name="Comma 2 2 2 2 2 2 8 5" xfId="20883"/>
    <cellStyle name="Comma 2 2 2 2 2 2 8 6" xfId="21956"/>
    <cellStyle name="Comma 2 2 2 2 2 2 8 7" xfId="23122"/>
    <cellStyle name="Comma 2 2 2 2 2 2 9" xfId="9081"/>
    <cellStyle name="Comma 2 2 2 2 2 2 9 2" xfId="25136"/>
    <cellStyle name="Comma 2 2 2 2 2 3" xfId="242"/>
    <cellStyle name="Comma 2 2 2 2 2 3 10" xfId="20884"/>
    <cellStyle name="Comma 2 2 2 2 2 3 11" xfId="21957"/>
    <cellStyle name="Comma 2 2 2 2 2 3 12" xfId="23020"/>
    <cellStyle name="Comma 2 2 2 2 2 3 2" xfId="695"/>
    <cellStyle name="Comma 2 2 2 2 2 3 2 2" xfId="9466"/>
    <cellStyle name="Comma 2 2 2 2 2 3 2 2 2" xfId="25266"/>
    <cellStyle name="Comma 2 2 2 2 2 3 2 3" xfId="15078"/>
    <cellStyle name="Comma 2 2 2 2 2 3 2 3 2" xfId="24091"/>
    <cellStyle name="Comma 2 2 2 2 2 3 2 4" xfId="7894"/>
    <cellStyle name="Comma 2 2 2 2 2 3 2 5" xfId="20885"/>
    <cellStyle name="Comma 2 2 2 2 2 3 2 6" xfId="21958"/>
    <cellStyle name="Comma 2 2 2 2 2 3 2 7" xfId="23123"/>
    <cellStyle name="Comma 2 2 2 2 2 3 3" xfId="696"/>
    <cellStyle name="Comma 2 2 2 2 2 3 3 2" xfId="9467"/>
    <cellStyle name="Comma 2 2 2 2 2 3 3 2 2" xfId="25267"/>
    <cellStyle name="Comma 2 2 2 2 2 3 3 3" xfId="15079"/>
    <cellStyle name="Comma 2 2 2 2 2 3 3 3 2" xfId="24092"/>
    <cellStyle name="Comma 2 2 2 2 2 3 3 4" xfId="7895"/>
    <cellStyle name="Comma 2 2 2 2 2 3 3 5" xfId="20886"/>
    <cellStyle name="Comma 2 2 2 2 2 3 3 6" xfId="21959"/>
    <cellStyle name="Comma 2 2 2 2 2 3 3 7" xfId="23124"/>
    <cellStyle name="Comma 2 2 2 2 2 3 4" xfId="697"/>
    <cellStyle name="Comma 2 2 2 2 2 3 4 2" xfId="9468"/>
    <cellStyle name="Comma 2 2 2 2 2 3 4 2 2" xfId="25268"/>
    <cellStyle name="Comma 2 2 2 2 2 3 4 3" xfId="15080"/>
    <cellStyle name="Comma 2 2 2 2 2 3 4 3 2" xfId="24093"/>
    <cellStyle name="Comma 2 2 2 2 2 3 4 4" xfId="7896"/>
    <cellStyle name="Comma 2 2 2 2 2 3 4 5" xfId="20887"/>
    <cellStyle name="Comma 2 2 2 2 2 3 4 6" xfId="21960"/>
    <cellStyle name="Comma 2 2 2 2 2 3 4 7" xfId="23125"/>
    <cellStyle name="Comma 2 2 2 2 2 3 5" xfId="698"/>
    <cellStyle name="Comma 2 2 2 2 2 3 5 2" xfId="9469"/>
    <cellStyle name="Comma 2 2 2 2 2 3 5 2 2" xfId="25269"/>
    <cellStyle name="Comma 2 2 2 2 2 3 5 3" xfId="15081"/>
    <cellStyle name="Comma 2 2 2 2 2 3 5 3 2" xfId="24094"/>
    <cellStyle name="Comma 2 2 2 2 2 3 5 4" xfId="7897"/>
    <cellStyle name="Comma 2 2 2 2 2 3 5 5" xfId="20888"/>
    <cellStyle name="Comma 2 2 2 2 2 3 5 6" xfId="21961"/>
    <cellStyle name="Comma 2 2 2 2 2 3 5 7" xfId="23126"/>
    <cellStyle name="Comma 2 2 2 2 2 3 6" xfId="699"/>
    <cellStyle name="Comma 2 2 2 2 2 3 6 2" xfId="9470"/>
    <cellStyle name="Comma 2 2 2 2 2 3 6 2 2" xfId="25270"/>
    <cellStyle name="Comma 2 2 2 2 2 3 6 3" xfId="15082"/>
    <cellStyle name="Comma 2 2 2 2 2 3 6 3 2" xfId="24095"/>
    <cellStyle name="Comma 2 2 2 2 2 3 6 4" xfId="7898"/>
    <cellStyle name="Comma 2 2 2 2 2 3 6 5" xfId="20889"/>
    <cellStyle name="Comma 2 2 2 2 2 3 6 6" xfId="21962"/>
    <cellStyle name="Comma 2 2 2 2 2 3 6 7" xfId="23127"/>
    <cellStyle name="Comma 2 2 2 2 2 3 7" xfId="9105"/>
    <cellStyle name="Comma 2 2 2 2 2 3 7 2" xfId="25159"/>
    <cellStyle name="Comma 2 2 2 2 2 3 8" xfId="15077"/>
    <cellStyle name="Comma 2 2 2 2 2 3 8 2" xfId="24090"/>
    <cellStyle name="Comma 2 2 2 2 2 3 9" xfId="7893"/>
    <cellStyle name="Comma 2 2 2 2 2 4" xfId="700"/>
    <cellStyle name="Comma 2 2 2 2 2 4 10" xfId="21963"/>
    <cellStyle name="Comma 2 2 2 2 2 4 11" xfId="23128"/>
    <cellStyle name="Comma 2 2 2 2 2 4 2" xfId="701"/>
    <cellStyle name="Comma 2 2 2 2 2 4 2 2" xfId="9472"/>
    <cellStyle name="Comma 2 2 2 2 2 4 2 2 2" xfId="25272"/>
    <cellStyle name="Comma 2 2 2 2 2 4 2 3" xfId="15084"/>
    <cellStyle name="Comma 2 2 2 2 2 4 2 3 2" xfId="24097"/>
    <cellStyle name="Comma 2 2 2 2 2 4 2 4" xfId="7900"/>
    <cellStyle name="Comma 2 2 2 2 2 4 2 5" xfId="20891"/>
    <cellStyle name="Comma 2 2 2 2 2 4 2 6" xfId="21964"/>
    <cellStyle name="Comma 2 2 2 2 2 4 2 7" xfId="23129"/>
    <cellStyle name="Comma 2 2 2 2 2 4 3" xfId="702"/>
    <cellStyle name="Comma 2 2 2 2 2 4 3 2" xfId="9473"/>
    <cellStyle name="Comma 2 2 2 2 2 4 3 2 2" xfId="25273"/>
    <cellStyle name="Comma 2 2 2 2 2 4 3 3" xfId="15085"/>
    <cellStyle name="Comma 2 2 2 2 2 4 3 3 2" xfId="24098"/>
    <cellStyle name="Comma 2 2 2 2 2 4 3 4" xfId="7901"/>
    <cellStyle name="Comma 2 2 2 2 2 4 3 5" xfId="20892"/>
    <cellStyle name="Comma 2 2 2 2 2 4 3 6" xfId="21965"/>
    <cellStyle name="Comma 2 2 2 2 2 4 3 7" xfId="23130"/>
    <cellStyle name="Comma 2 2 2 2 2 4 4" xfId="703"/>
    <cellStyle name="Comma 2 2 2 2 2 4 4 2" xfId="9474"/>
    <cellStyle name="Comma 2 2 2 2 2 4 4 2 2" xfId="25274"/>
    <cellStyle name="Comma 2 2 2 2 2 4 4 3" xfId="15086"/>
    <cellStyle name="Comma 2 2 2 2 2 4 4 3 2" xfId="24099"/>
    <cellStyle name="Comma 2 2 2 2 2 4 4 4" xfId="7902"/>
    <cellStyle name="Comma 2 2 2 2 2 4 4 5" xfId="20893"/>
    <cellStyle name="Comma 2 2 2 2 2 4 4 6" xfId="21966"/>
    <cellStyle name="Comma 2 2 2 2 2 4 4 7" xfId="23131"/>
    <cellStyle name="Comma 2 2 2 2 2 4 5" xfId="704"/>
    <cellStyle name="Comma 2 2 2 2 2 4 5 2" xfId="9475"/>
    <cellStyle name="Comma 2 2 2 2 2 4 5 2 2" xfId="25275"/>
    <cellStyle name="Comma 2 2 2 2 2 4 5 3" xfId="15087"/>
    <cellStyle name="Comma 2 2 2 2 2 4 5 3 2" xfId="24100"/>
    <cellStyle name="Comma 2 2 2 2 2 4 5 4" xfId="7903"/>
    <cellStyle name="Comma 2 2 2 2 2 4 5 5" xfId="20894"/>
    <cellStyle name="Comma 2 2 2 2 2 4 5 6" xfId="21967"/>
    <cellStyle name="Comma 2 2 2 2 2 4 5 7" xfId="23132"/>
    <cellStyle name="Comma 2 2 2 2 2 4 6" xfId="9471"/>
    <cellStyle name="Comma 2 2 2 2 2 4 6 2" xfId="25271"/>
    <cellStyle name="Comma 2 2 2 2 2 4 7" xfId="15083"/>
    <cellStyle name="Comma 2 2 2 2 2 4 7 2" xfId="24096"/>
    <cellStyle name="Comma 2 2 2 2 2 4 8" xfId="7899"/>
    <cellStyle name="Comma 2 2 2 2 2 4 9" xfId="20890"/>
    <cellStyle name="Comma 2 2 2 2 2 5" xfId="705"/>
    <cellStyle name="Comma 2 2 2 2 2 5 10" xfId="21968"/>
    <cellStyle name="Comma 2 2 2 2 2 5 11" xfId="23133"/>
    <cellStyle name="Comma 2 2 2 2 2 5 2" xfId="706"/>
    <cellStyle name="Comma 2 2 2 2 2 5 2 2" xfId="9477"/>
    <cellStyle name="Comma 2 2 2 2 2 5 2 2 2" xfId="25277"/>
    <cellStyle name="Comma 2 2 2 2 2 5 2 3" xfId="15089"/>
    <cellStyle name="Comma 2 2 2 2 2 5 2 3 2" xfId="24102"/>
    <cellStyle name="Comma 2 2 2 2 2 5 2 4" xfId="7905"/>
    <cellStyle name="Comma 2 2 2 2 2 5 2 5" xfId="20896"/>
    <cellStyle name="Comma 2 2 2 2 2 5 2 6" xfId="21969"/>
    <cellStyle name="Comma 2 2 2 2 2 5 2 7" xfId="23134"/>
    <cellStyle name="Comma 2 2 2 2 2 5 3" xfId="707"/>
    <cellStyle name="Comma 2 2 2 2 2 5 3 2" xfId="9478"/>
    <cellStyle name="Comma 2 2 2 2 2 5 3 2 2" xfId="25278"/>
    <cellStyle name="Comma 2 2 2 2 2 5 3 3" xfId="15090"/>
    <cellStyle name="Comma 2 2 2 2 2 5 3 3 2" xfId="24103"/>
    <cellStyle name="Comma 2 2 2 2 2 5 3 4" xfId="7906"/>
    <cellStyle name="Comma 2 2 2 2 2 5 3 5" xfId="20897"/>
    <cellStyle name="Comma 2 2 2 2 2 5 3 6" xfId="21970"/>
    <cellStyle name="Comma 2 2 2 2 2 5 3 7" xfId="23135"/>
    <cellStyle name="Comma 2 2 2 2 2 5 4" xfId="708"/>
    <cellStyle name="Comma 2 2 2 2 2 5 4 2" xfId="9479"/>
    <cellStyle name="Comma 2 2 2 2 2 5 4 2 2" xfId="25279"/>
    <cellStyle name="Comma 2 2 2 2 2 5 4 3" xfId="15091"/>
    <cellStyle name="Comma 2 2 2 2 2 5 4 3 2" xfId="24104"/>
    <cellStyle name="Comma 2 2 2 2 2 5 4 4" xfId="7907"/>
    <cellStyle name="Comma 2 2 2 2 2 5 4 5" xfId="20898"/>
    <cellStyle name="Comma 2 2 2 2 2 5 4 6" xfId="21971"/>
    <cellStyle name="Comma 2 2 2 2 2 5 4 7" xfId="23136"/>
    <cellStyle name="Comma 2 2 2 2 2 5 5" xfId="709"/>
    <cellStyle name="Comma 2 2 2 2 2 5 5 2" xfId="9480"/>
    <cellStyle name="Comma 2 2 2 2 2 5 5 2 2" xfId="25280"/>
    <cellStyle name="Comma 2 2 2 2 2 5 5 3" xfId="15092"/>
    <cellStyle name="Comma 2 2 2 2 2 5 5 3 2" xfId="24105"/>
    <cellStyle name="Comma 2 2 2 2 2 5 5 4" xfId="7908"/>
    <cellStyle name="Comma 2 2 2 2 2 5 5 5" xfId="20899"/>
    <cellStyle name="Comma 2 2 2 2 2 5 5 6" xfId="21972"/>
    <cellStyle name="Comma 2 2 2 2 2 5 5 7" xfId="23137"/>
    <cellStyle name="Comma 2 2 2 2 2 5 6" xfId="9476"/>
    <cellStyle name="Comma 2 2 2 2 2 5 6 2" xfId="25276"/>
    <cellStyle name="Comma 2 2 2 2 2 5 7" xfId="15088"/>
    <cellStyle name="Comma 2 2 2 2 2 5 7 2" xfId="24101"/>
    <cellStyle name="Comma 2 2 2 2 2 5 8" xfId="7904"/>
    <cellStyle name="Comma 2 2 2 2 2 5 9" xfId="20895"/>
    <cellStyle name="Comma 2 2 2 2 2 6" xfId="710"/>
    <cellStyle name="Comma 2 2 2 2 2 6 2" xfId="9481"/>
    <cellStyle name="Comma 2 2 2 2 2 6 2 2" xfId="25281"/>
    <cellStyle name="Comma 2 2 2 2 2 6 3" xfId="15093"/>
    <cellStyle name="Comma 2 2 2 2 2 6 3 2" xfId="24106"/>
    <cellStyle name="Comma 2 2 2 2 2 6 4" xfId="7909"/>
    <cellStyle name="Comma 2 2 2 2 2 6 5" xfId="20900"/>
    <cellStyle name="Comma 2 2 2 2 2 6 6" xfId="21973"/>
    <cellStyle name="Comma 2 2 2 2 2 6 7" xfId="23138"/>
    <cellStyle name="Comma 2 2 2 2 2 7" xfId="711"/>
    <cellStyle name="Comma 2 2 2 2 2 7 2" xfId="9482"/>
    <cellStyle name="Comma 2 2 2 2 2 7 2 2" xfId="25282"/>
    <cellStyle name="Comma 2 2 2 2 2 7 3" xfId="15094"/>
    <cellStyle name="Comma 2 2 2 2 2 7 3 2" xfId="24107"/>
    <cellStyle name="Comma 2 2 2 2 2 7 4" xfId="7910"/>
    <cellStyle name="Comma 2 2 2 2 2 7 5" xfId="20901"/>
    <cellStyle name="Comma 2 2 2 2 2 7 6" xfId="21974"/>
    <cellStyle name="Comma 2 2 2 2 2 7 7" xfId="23139"/>
    <cellStyle name="Comma 2 2 2 2 2 8" xfId="712"/>
    <cellStyle name="Comma 2 2 2 2 2 8 2" xfId="9483"/>
    <cellStyle name="Comma 2 2 2 2 2 8 2 2" xfId="25283"/>
    <cellStyle name="Comma 2 2 2 2 2 8 3" xfId="15095"/>
    <cellStyle name="Comma 2 2 2 2 2 8 3 2" xfId="24108"/>
    <cellStyle name="Comma 2 2 2 2 2 8 4" xfId="7911"/>
    <cellStyle name="Comma 2 2 2 2 2 8 5" xfId="20902"/>
    <cellStyle name="Comma 2 2 2 2 2 8 6" xfId="21975"/>
    <cellStyle name="Comma 2 2 2 2 2 8 7" xfId="23140"/>
    <cellStyle name="Comma 2 2 2 2 2 9" xfId="713"/>
    <cellStyle name="Comma 2 2 2 2 2 9 2" xfId="9484"/>
    <cellStyle name="Comma 2 2 2 2 2 9 2 2" xfId="25284"/>
    <cellStyle name="Comma 2 2 2 2 2 9 3" xfId="15096"/>
    <cellStyle name="Comma 2 2 2 2 2 9 3 2" xfId="24109"/>
    <cellStyle name="Comma 2 2 2 2 2 9 4" xfId="7912"/>
    <cellStyle name="Comma 2 2 2 2 2 9 5" xfId="20903"/>
    <cellStyle name="Comma 2 2 2 2 2 9 6" xfId="21976"/>
    <cellStyle name="Comma 2 2 2 2 2 9 7" xfId="23141"/>
    <cellStyle name="Comma 2 2 2 2 3" xfId="176"/>
    <cellStyle name="Comma 2 2 2 2 3 10" xfId="15097"/>
    <cellStyle name="Comma 2 2 2 2 3 10 2" xfId="24110"/>
    <cellStyle name="Comma 2 2 2 2 3 11" xfId="7913"/>
    <cellStyle name="Comma 2 2 2 2 3 12" xfId="20904"/>
    <cellStyle name="Comma 2 2 2 2 3 13" xfId="21977"/>
    <cellStyle name="Comma 2 2 2 2 3 14" xfId="22977"/>
    <cellStyle name="Comma 2 2 2 2 3 2" xfId="189"/>
    <cellStyle name="Comma 2 2 2 2 3 2 10" xfId="20905"/>
    <cellStyle name="Comma 2 2 2 2 3 2 11" xfId="21978"/>
    <cellStyle name="Comma 2 2 2 2 3 2 12" xfId="22983"/>
    <cellStyle name="Comma 2 2 2 2 3 2 2" xfId="714"/>
    <cellStyle name="Comma 2 2 2 2 3 2 2 2" xfId="9485"/>
    <cellStyle name="Comma 2 2 2 2 3 2 2 2 2" xfId="25285"/>
    <cellStyle name="Comma 2 2 2 2 3 2 2 3" xfId="15099"/>
    <cellStyle name="Comma 2 2 2 2 3 2 2 3 2" xfId="24112"/>
    <cellStyle name="Comma 2 2 2 2 3 2 2 4" xfId="7915"/>
    <cellStyle name="Comma 2 2 2 2 3 2 2 5" xfId="20906"/>
    <cellStyle name="Comma 2 2 2 2 3 2 2 6" xfId="21979"/>
    <cellStyle name="Comma 2 2 2 2 3 2 2 7" xfId="23142"/>
    <cellStyle name="Comma 2 2 2 2 3 2 3" xfId="715"/>
    <cellStyle name="Comma 2 2 2 2 3 2 3 2" xfId="9486"/>
    <cellStyle name="Comma 2 2 2 2 3 2 3 2 2" xfId="25286"/>
    <cellStyle name="Comma 2 2 2 2 3 2 3 3" xfId="15100"/>
    <cellStyle name="Comma 2 2 2 2 3 2 3 3 2" xfId="24113"/>
    <cellStyle name="Comma 2 2 2 2 3 2 3 4" xfId="7916"/>
    <cellStyle name="Comma 2 2 2 2 3 2 3 5" xfId="20907"/>
    <cellStyle name="Comma 2 2 2 2 3 2 3 6" xfId="21980"/>
    <cellStyle name="Comma 2 2 2 2 3 2 3 7" xfId="23143"/>
    <cellStyle name="Comma 2 2 2 2 3 2 4" xfId="716"/>
    <cellStyle name="Comma 2 2 2 2 3 2 4 2" xfId="9487"/>
    <cellStyle name="Comma 2 2 2 2 3 2 4 2 2" xfId="25287"/>
    <cellStyle name="Comma 2 2 2 2 3 2 4 3" xfId="15101"/>
    <cellStyle name="Comma 2 2 2 2 3 2 4 3 2" xfId="24114"/>
    <cellStyle name="Comma 2 2 2 2 3 2 4 4" xfId="7917"/>
    <cellStyle name="Comma 2 2 2 2 3 2 4 5" xfId="20908"/>
    <cellStyle name="Comma 2 2 2 2 3 2 4 6" xfId="21981"/>
    <cellStyle name="Comma 2 2 2 2 3 2 4 7" xfId="23144"/>
    <cellStyle name="Comma 2 2 2 2 3 2 5" xfId="717"/>
    <cellStyle name="Comma 2 2 2 2 3 2 5 2" xfId="9488"/>
    <cellStyle name="Comma 2 2 2 2 3 2 5 2 2" xfId="25288"/>
    <cellStyle name="Comma 2 2 2 2 3 2 5 3" xfId="15102"/>
    <cellStyle name="Comma 2 2 2 2 3 2 5 3 2" xfId="24115"/>
    <cellStyle name="Comma 2 2 2 2 3 2 5 4" xfId="7918"/>
    <cellStyle name="Comma 2 2 2 2 3 2 5 5" xfId="20909"/>
    <cellStyle name="Comma 2 2 2 2 3 2 5 6" xfId="21982"/>
    <cellStyle name="Comma 2 2 2 2 3 2 5 7" xfId="23145"/>
    <cellStyle name="Comma 2 2 2 2 3 2 6" xfId="718"/>
    <cellStyle name="Comma 2 2 2 2 3 2 6 2" xfId="9489"/>
    <cellStyle name="Comma 2 2 2 2 3 2 6 2 2" xfId="25289"/>
    <cellStyle name="Comma 2 2 2 2 3 2 6 3" xfId="15103"/>
    <cellStyle name="Comma 2 2 2 2 3 2 6 3 2" xfId="24116"/>
    <cellStyle name="Comma 2 2 2 2 3 2 6 4" xfId="7919"/>
    <cellStyle name="Comma 2 2 2 2 3 2 6 5" xfId="20910"/>
    <cellStyle name="Comma 2 2 2 2 3 2 6 6" xfId="21983"/>
    <cellStyle name="Comma 2 2 2 2 3 2 6 7" xfId="23146"/>
    <cellStyle name="Comma 2 2 2 2 3 2 7" xfId="9066"/>
    <cellStyle name="Comma 2 2 2 2 3 2 7 2" xfId="25122"/>
    <cellStyle name="Comma 2 2 2 2 3 2 8" xfId="15098"/>
    <cellStyle name="Comma 2 2 2 2 3 2 8 2" xfId="24111"/>
    <cellStyle name="Comma 2 2 2 2 3 2 9" xfId="7914"/>
    <cellStyle name="Comma 2 2 2 2 3 3" xfId="719"/>
    <cellStyle name="Comma 2 2 2 2 3 3 10" xfId="21984"/>
    <cellStyle name="Comma 2 2 2 2 3 3 11" xfId="23147"/>
    <cellStyle name="Comma 2 2 2 2 3 3 2" xfId="720"/>
    <cellStyle name="Comma 2 2 2 2 3 3 2 2" xfId="9491"/>
    <cellStyle name="Comma 2 2 2 2 3 3 2 2 2" xfId="25291"/>
    <cellStyle name="Comma 2 2 2 2 3 3 2 3" xfId="15105"/>
    <cellStyle name="Comma 2 2 2 2 3 3 2 3 2" xfId="24118"/>
    <cellStyle name="Comma 2 2 2 2 3 3 2 4" xfId="7921"/>
    <cellStyle name="Comma 2 2 2 2 3 3 2 5" xfId="20912"/>
    <cellStyle name="Comma 2 2 2 2 3 3 2 6" xfId="21985"/>
    <cellStyle name="Comma 2 2 2 2 3 3 2 7" xfId="23148"/>
    <cellStyle name="Comma 2 2 2 2 3 3 3" xfId="721"/>
    <cellStyle name="Comma 2 2 2 2 3 3 3 2" xfId="9492"/>
    <cellStyle name="Comma 2 2 2 2 3 3 3 2 2" xfId="25292"/>
    <cellStyle name="Comma 2 2 2 2 3 3 3 3" xfId="15106"/>
    <cellStyle name="Comma 2 2 2 2 3 3 3 3 2" xfId="24119"/>
    <cellStyle name="Comma 2 2 2 2 3 3 3 4" xfId="7922"/>
    <cellStyle name="Comma 2 2 2 2 3 3 3 5" xfId="20913"/>
    <cellStyle name="Comma 2 2 2 2 3 3 3 6" xfId="21986"/>
    <cellStyle name="Comma 2 2 2 2 3 3 3 7" xfId="23149"/>
    <cellStyle name="Comma 2 2 2 2 3 3 4" xfId="722"/>
    <cellStyle name="Comma 2 2 2 2 3 3 4 2" xfId="9493"/>
    <cellStyle name="Comma 2 2 2 2 3 3 4 2 2" xfId="25293"/>
    <cellStyle name="Comma 2 2 2 2 3 3 4 3" xfId="15107"/>
    <cellStyle name="Comma 2 2 2 2 3 3 4 3 2" xfId="24120"/>
    <cellStyle name="Comma 2 2 2 2 3 3 4 4" xfId="7923"/>
    <cellStyle name="Comma 2 2 2 2 3 3 4 5" xfId="20914"/>
    <cellStyle name="Comma 2 2 2 2 3 3 4 6" xfId="21987"/>
    <cellStyle name="Comma 2 2 2 2 3 3 4 7" xfId="23150"/>
    <cellStyle name="Comma 2 2 2 2 3 3 5" xfId="723"/>
    <cellStyle name="Comma 2 2 2 2 3 3 5 2" xfId="9494"/>
    <cellStyle name="Comma 2 2 2 2 3 3 5 2 2" xfId="25294"/>
    <cellStyle name="Comma 2 2 2 2 3 3 5 3" xfId="15108"/>
    <cellStyle name="Comma 2 2 2 2 3 3 5 3 2" xfId="24121"/>
    <cellStyle name="Comma 2 2 2 2 3 3 5 4" xfId="7924"/>
    <cellStyle name="Comma 2 2 2 2 3 3 5 5" xfId="20915"/>
    <cellStyle name="Comma 2 2 2 2 3 3 5 6" xfId="21988"/>
    <cellStyle name="Comma 2 2 2 2 3 3 5 7" xfId="23151"/>
    <cellStyle name="Comma 2 2 2 2 3 3 6" xfId="9490"/>
    <cellStyle name="Comma 2 2 2 2 3 3 6 2" xfId="25290"/>
    <cellStyle name="Comma 2 2 2 2 3 3 7" xfId="15104"/>
    <cellStyle name="Comma 2 2 2 2 3 3 7 2" xfId="24117"/>
    <cellStyle name="Comma 2 2 2 2 3 3 8" xfId="7920"/>
    <cellStyle name="Comma 2 2 2 2 3 3 9" xfId="20911"/>
    <cellStyle name="Comma 2 2 2 2 3 4" xfId="724"/>
    <cellStyle name="Comma 2 2 2 2 3 4 2" xfId="9495"/>
    <cellStyle name="Comma 2 2 2 2 3 4 2 2" xfId="25295"/>
    <cellStyle name="Comma 2 2 2 2 3 4 3" xfId="15109"/>
    <cellStyle name="Comma 2 2 2 2 3 4 3 2" xfId="24122"/>
    <cellStyle name="Comma 2 2 2 2 3 4 4" xfId="7925"/>
    <cellStyle name="Comma 2 2 2 2 3 4 5" xfId="20916"/>
    <cellStyle name="Comma 2 2 2 2 3 4 6" xfId="21989"/>
    <cellStyle name="Comma 2 2 2 2 3 4 7" xfId="23152"/>
    <cellStyle name="Comma 2 2 2 2 3 5" xfId="725"/>
    <cellStyle name="Comma 2 2 2 2 3 5 2" xfId="9496"/>
    <cellStyle name="Comma 2 2 2 2 3 5 2 2" xfId="25296"/>
    <cellStyle name="Comma 2 2 2 2 3 5 3" xfId="15110"/>
    <cellStyle name="Comma 2 2 2 2 3 5 3 2" xfId="24123"/>
    <cellStyle name="Comma 2 2 2 2 3 5 4" xfId="7926"/>
    <cellStyle name="Comma 2 2 2 2 3 5 5" xfId="20917"/>
    <cellStyle name="Comma 2 2 2 2 3 5 6" xfId="21990"/>
    <cellStyle name="Comma 2 2 2 2 3 5 7" xfId="23153"/>
    <cellStyle name="Comma 2 2 2 2 3 6" xfId="726"/>
    <cellStyle name="Comma 2 2 2 2 3 6 2" xfId="9497"/>
    <cellStyle name="Comma 2 2 2 2 3 6 2 2" xfId="25297"/>
    <cellStyle name="Comma 2 2 2 2 3 6 3" xfId="15111"/>
    <cellStyle name="Comma 2 2 2 2 3 6 3 2" xfId="24124"/>
    <cellStyle name="Comma 2 2 2 2 3 6 4" xfId="7927"/>
    <cellStyle name="Comma 2 2 2 2 3 6 5" xfId="20918"/>
    <cellStyle name="Comma 2 2 2 2 3 6 6" xfId="21991"/>
    <cellStyle name="Comma 2 2 2 2 3 6 7" xfId="23154"/>
    <cellStyle name="Comma 2 2 2 2 3 7" xfId="727"/>
    <cellStyle name="Comma 2 2 2 2 3 7 2" xfId="9498"/>
    <cellStyle name="Comma 2 2 2 2 3 7 2 2" xfId="25298"/>
    <cellStyle name="Comma 2 2 2 2 3 7 3" xfId="15112"/>
    <cellStyle name="Comma 2 2 2 2 3 7 3 2" xfId="24125"/>
    <cellStyle name="Comma 2 2 2 2 3 7 4" xfId="7928"/>
    <cellStyle name="Comma 2 2 2 2 3 7 5" xfId="20919"/>
    <cellStyle name="Comma 2 2 2 2 3 7 6" xfId="21992"/>
    <cellStyle name="Comma 2 2 2 2 3 7 7" xfId="23155"/>
    <cellStyle name="Comma 2 2 2 2 3 8" xfId="728"/>
    <cellStyle name="Comma 2 2 2 2 3 8 2" xfId="9499"/>
    <cellStyle name="Comma 2 2 2 2 3 8 2 2" xfId="25299"/>
    <cellStyle name="Comma 2 2 2 2 3 8 3" xfId="15113"/>
    <cellStyle name="Comma 2 2 2 2 3 8 3 2" xfId="24126"/>
    <cellStyle name="Comma 2 2 2 2 3 8 4" xfId="7929"/>
    <cellStyle name="Comma 2 2 2 2 3 8 5" xfId="20920"/>
    <cellStyle name="Comma 2 2 2 2 3 8 6" xfId="21993"/>
    <cellStyle name="Comma 2 2 2 2 3 8 7" xfId="23156"/>
    <cellStyle name="Comma 2 2 2 2 3 9" xfId="9059"/>
    <cellStyle name="Comma 2 2 2 2 3 9 2" xfId="25115"/>
    <cellStyle name="Comma 2 2 2 2 4" xfId="263"/>
    <cellStyle name="Comma 2 2 2 2 4 10" xfId="20921"/>
    <cellStyle name="Comma 2 2 2 2 4 11" xfId="21994"/>
    <cellStyle name="Comma 2 2 2 2 4 12" xfId="23035"/>
    <cellStyle name="Comma 2 2 2 2 4 2" xfId="729"/>
    <cellStyle name="Comma 2 2 2 2 4 2 2" xfId="9500"/>
    <cellStyle name="Comma 2 2 2 2 4 2 2 2" xfId="25300"/>
    <cellStyle name="Comma 2 2 2 2 4 2 3" xfId="15115"/>
    <cellStyle name="Comma 2 2 2 2 4 2 3 2" xfId="24128"/>
    <cellStyle name="Comma 2 2 2 2 4 2 4" xfId="7931"/>
    <cellStyle name="Comma 2 2 2 2 4 2 5" xfId="20922"/>
    <cellStyle name="Comma 2 2 2 2 4 2 6" xfId="21995"/>
    <cellStyle name="Comma 2 2 2 2 4 2 7" xfId="23157"/>
    <cellStyle name="Comma 2 2 2 2 4 3" xfId="730"/>
    <cellStyle name="Comma 2 2 2 2 4 3 2" xfId="9501"/>
    <cellStyle name="Comma 2 2 2 2 4 3 2 2" xfId="25301"/>
    <cellStyle name="Comma 2 2 2 2 4 3 3" xfId="15116"/>
    <cellStyle name="Comma 2 2 2 2 4 3 3 2" xfId="24129"/>
    <cellStyle name="Comma 2 2 2 2 4 3 4" xfId="7932"/>
    <cellStyle name="Comma 2 2 2 2 4 3 5" xfId="20923"/>
    <cellStyle name="Comma 2 2 2 2 4 3 6" xfId="21996"/>
    <cellStyle name="Comma 2 2 2 2 4 3 7" xfId="23158"/>
    <cellStyle name="Comma 2 2 2 2 4 4" xfId="731"/>
    <cellStyle name="Comma 2 2 2 2 4 4 2" xfId="9502"/>
    <cellStyle name="Comma 2 2 2 2 4 4 2 2" xfId="25302"/>
    <cellStyle name="Comma 2 2 2 2 4 4 3" xfId="15117"/>
    <cellStyle name="Comma 2 2 2 2 4 4 3 2" xfId="24130"/>
    <cellStyle name="Comma 2 2 2 2 4 4 4" xfId="7933"/>
    <cellStyle name="Comma 2 2 2 2 4 4 5" xfId="20924"/>
    <cellStyle name="Comma 2 2 2 2 4 4 6" xfId="21997"/>
    <cellStyle name="Comma 2 2 2 2 4 4 7" xfId="23159"/>
    <cellStyle name="Comma 2 2 2 2 4 5" xfId="732"/>
    <cellStyle name="Comma 2 2 2 2 4 5 2" xfId="9503"/>
    <cellStyle name="Comma 2 2 2 2 4 5 2 2" xfId="25303"/>
    <cellStyle name="Comma 2 2 2 2 4 5 3" xfId="15118"/>
    <cellStyle name="Comma 2 2 2 2 4 5 3 2" xfId="24131"/>
    <cellStyle name="Comma 2 2 2 2 4 5 4" xfId="7934"/>
    <cellStyle name="Comma 2 2 2 2 4 5 5" xfId="20925"/>
    <cellStyle name="Comma 2 2 2 2 4 5 6" xfId="21998"/>
    <cellStyle name="Comma 2 2 2 2 4 5 7" xfId="23160"/>
    <cellStyle name="Comma 2 2 2 2 4 6" xfId="733"/>
    <cellStyle name="Comma 2 2 2 2 4 6 2" xfId="9504"/>
    <cellStyle name="Comma 2 2 2 2 4 6 2 2" xfId="25304"/>
    <cellStyle name="Comma 2 2 2 2 4 6 3" xfId="15119"/>
    <cellStyle name="Comma 2 2 2 2 4 6 3 2" xfId="24132"/>
    <cellStyle name="Comma 2 2 2 2 4 6 4" xfId="7935"/>
    <cellStyle name="Comma 2 2 2 2 4 6 5" xfId="20926"/>
    <cellStyle name="Comma 2 2 2 2 4 6 6" xfId="21999"/>
    <cellStyle name="Comma 2 2 2 2 4 6 7" xfId="23161"/>
    <cellStyle name="Comma 2 2 2 2 4 7" xfId="9120"/>
    <cellStyle name="Comma 2 2 2 2 4 7 2" xfId="25174"/>
    <cellStyle name="Comma 2 2 2 2 4 8" xfId="15114"/>
    <cellStyle name="Comma 2 2 2 2 4 8 2" xfId="24127"/>
    <cellStyle name="Comma 2 2 2 2 4 9" xfId="7930"/>
    <cellStyle name="Comma 2 2 2 2 5" xfId="734"/>
    <cellStyle name="Comma 2 2 2 2 5 10" xfId="22000"/>
    <cellStyle name="Comma 2 2 2 2 5 11" xfId="23162"/>
    <cellStyle name="Comma 2 2 2 2 5 2" xfId="735"/>
    <cellStyle name="Comma 2 2 2 2 5 2 2" xfId="9506"/>
    <cellStyle name="Comma 2 2 2 2 5 2 2 2" xfId="25306"/>
    <cellStyle name="Comma 2 2 2 2 5 2 3" xfId="15121"/>
    <cellStyle name="Comma 2 2 2 2 5 2 3 2" xfId="24134"/>
    <cellStyle name="Comma 2 2 2 2 5 2 4" xfId="7937"/>
    <cellStyle name="Comma 2 2 2 2 5 2 5" xfId="20928"/>
    <cellStyle name="Comma 2 2 2 2 5 2 6" xfId="22001"/>
    <cellStyle name="Comma 2 2 2 2 5 2 7" xfId="23163"/>
    <cellStyle name="Comma 2 2 2 2 5 3" xfId="736"/>
    <cellStyle name="Comma 2 2 2 2 5 3 2" xfId="9507"/>
    <cellStyle name="Comma 2 2 2 2 5 3 2 2" xfId="25307"/>
    <cellStyle name="Comma 2 2 2 2 5 3 3" xfId="15122"/>
    <cellStyle name="Comma 2 2 2 2 5 3 3 2" xfId="24135"/>
    <cellStyle name="Comma 2 2 2 2 5 3 4" xfId="7938"/>
    <cellStyle name="Comma 2 2 2 2 5 3 5" xfId="20929"/>
    <cellStyle name="Comma 2 2 2 2 5 3 6" xfId="22002"/>
    <cellStyle name="Comma 2 2 2 2 5 3 7" xfId="23164"/>
    <cellStyle name="Comma 2 2 2 2 5 4" xfId="737"/>
    <cellStyle name="Comma 2 2 2 2 5 4 2" xfId="9508"/>
    <cellStyle name="Comma 2 2 2 2 5 4 2 2" xfId="25308"/>
    <cellStyle name="Comma 2 2 2 2 5 4 3" xfId="15123"/>
    <cellStyle name="Comma 2 2 2 2 5 4 3 2" xfId="24136"/>
    <cellStyle name="Comma 2 2 2 2 5 4 4" xfId="7939"/>
    <cellStyle name="Comma 2 2 2 2 5 4 5" xfId="20930"/>
    <cellStyle name="Comma 2 2 2 2 5 4 6" xfId="22003"/>
    <cellStyle name="Comma 2 2 2 2 5 4 7" xfId="23165"/>
    <cellStyle name="Comma 2 2 2 2 5 5" xfId="738"/>
    <cellStyle name="Comma 2 2 2 2 5 5 2" xfId="9509"/>
    <cellStyle name="Comma 2 2 2 2 5 5 2 2" xfId="25309"/>
    <cellStyle name="Comma 2 2 2 2 5 5 3" xfId="15124"/>
    <cellStyle name="Comma 2 2 2 2 5 5 3 2" xfId="24137"/>
    <cellStyle name="Comma 2 2 2 2 5 5 4" xfId="7940"/>
    <cellStyle name="Comma 2 2 2 2 5 5 5" xfId="20931"/>
    <cellStyle name="Comma 2 2 2 2 5 5 6" xfId="22004"/>
    <cellStyle name="Comma 2 2 2 2 5 5 7" xfId="23166"/>
    <cellStyle name="Comma 2 2 2 2 5 6" xfId="9505"/>
    <cellStyle name="Comma 2 2 2 2 5 6 2" xfId="25305"/>
    <cellStyle name="Comma 2 2 2 2 5 7" xfId="15120"/>
    <cellStyle name="Comma 2 2 2 2 5 7 2" xfId="24133"/>
    <cellStyle name="Comma 2 2 2 2 5 8" xfId="7936"/>
    <cellStyle name="Comma 2 2 2 2 5 9" xfId="20927"/>
    <cellStyle name="Comma 2 2 2 2 6" xfId="739"/>
    <cellStyle name="Comma 2 2 2 2 6 10" xfId="22005"/>
    <cellStyle name="Comma 2 2 2 2 6 11" xfId="23167"/>
    <cellStyle name="Comma 2 2 2 2 6 2" xfId="740"/>
    <cellStyle name="Comma 2 2 2 2 6 2 2" xfId="9511"/>
    <cellStyle name="Comma 2 2 2 2 6 2 2 2" xfId="25311"/>
    <cellStyle name="Comma 2 2 2 2 6 2 3" xfId="15126"/>
    <cellStyle name="Comma 2 2 2 2 6 2 3 2" xfId="24139"/>
    <cellStyle name="Comma 2 2 2 2 6 2 4" xfId="7942"/>
    <cellStyle name="Comma 2 2 2 2 6 2 5" xfId="20933"/>
    <cellStyle name="Comma 2 2 2 2 6 2 6" xfId="22006"/>
    <cellStyle name="Comma 2 2 2 2 6 2 7" xfId="23168"/>
    <cellStyle name="Comma 2 2 2 2 6 3" xfId="741"/>
    <cellStyle name="Comma 2 2 2 2 6 3 2" xfId="9512"/>
    <cellStyle name="Comma 2 2 2 2 6 3 2 2" xfId="25312"/>
    <cellStyle name="Comma 2 2 2 2 6 3 3" xfId="15127"/>
    <cellStyle name="Comma 2 2 2 2 6 3 3 2" xfId="24140"/>
    <cellStyle name="Comma 2 2 2 2 6 3 4" xfId="7943"/>
    <cellStyle name="Comma 2 2 2 2 6 3 5" xfId="20934"/>
    <cellStyle name="Comma 2 2 2 2 6 3 6" xfId="22007"/>
    <cellStyle name="Comma 2 2 2 2 6 3 7" xfId="23169"/>
    <cellStyle name="Comma 2 2 2 2 6 4" xfId="742"/>
    <cellStyle name="Comma 2 2 2 2 6 4 2" xfId="9513"/>
    <cellStyle name="Comma 2 2 2 2 6 4 2 2" xfId="25313"/>
    <cellStyle name="Comma 2 2 2 2 6 4 3" xfId="15128"/>
    <cellStyle name="Comma 2 2 2 2 6 4 3 2" xfId="24141"/>
    <cellStyle name="Comma 2 2 2 2 6 4 4" xfId="7944"/>
    <cellStyle name="Comma 2 2 2 2 6 4 5" xfId="20935"/>
    <cellStyle name="Comma 2 2 2 2 6 4 6" xfId="22008"/>
    <cellStyle name="Comma 2 2 2 2 6 4 7" xfId="23170"/>
    <cellStyle name="Comma 2 2 2 2 6 5" xfId="743"/>
    <cellStyle name="Comma 2 2 2 2 6 5 2" xfId="9514"/>
    <cellStyle name="Comma 2 2 2 2 6 5 2 2" xfId="25314"/>
    <cellStyle name="Comma 2 2 2 2 6 5 3" xfId="15129"/>
    <cellStyle name="Comma 2 2 2 2 6 5 3 2" xfId="24142"/>
    <cellStyle name="Comma 2 2 2 2 6 5 4" xfId="7945"/>
    <cellStyle name="Comma 2 2 2 2 6 5 5" xfId="20936"/>
    <cellStyle name="Comma 2 2 2 2 6 5 6" xfId="22009"/>
    <cellStyle name="Comma 2 2 2 2 6 5 7" xfId="23171"/>
    <cellStyle name="Comma 2 2 2 2 6 6" xfId="9510"/>
    <cellStyle name="Comma 2 2 2 2 6 6 2" xfId="25310"/>
    <cellStyle name="Comma 2 2 2 2 6 7" xfId="15125"/>
    <cellStyle name="Comma 2 2 2 2 6 7 2" xfId="24138"/>
    <cellStyle name="Comma 2 2 2 2 6 8" xfId="7941"/>
    <cellStyle name="Comma 2 2 2 2 6 9" xfId="20932"/>
    <cellStyle name="Comma 2 2 2 2 7" xfId="744"/>
    <cellStyle name="Comma 2 2 2 2 7 2" xfId="9515"/>
    <cellStyle name="Comma 2 2 2 2 7 2 2" xfId="25315"/>
    <cellStyle name="Comma 2 2 2 2 7 3" xfId="15130"/>
    <cellStyle name="Comma 2 2 2 2 7 3 2" xfId="24143"/>
    <cellStyle name="Comma 2 2 2 2 7 4" xfId="7946"/>
    <cellStyle name="Comma 2 2 2 2 7 5" xfId="20937"/>
    <cellStyle name="Comma 2 2 2 2 7 6" xfId="22010"/>
    <cellStyle name="Comma 2 2 2 2 7 7" xfId="23172"/>
    <cellStyle name="Comma 2 2 2 2 8" xfId="745"/>
    <cellStyle name="Comma 2 2 2 2 8 2" xfId="9516"/>
    <cellStyle name="Comma 2 2 2 2 8 2 2" xfId="25316"/>
    <cellStyle name="Comma 2 2 2 2 8 3" xfId="15131"/>
    <cellStyle name="Comma 2 2 2 2 8 3 2" xfId="24144"/>
    <cellStyle name="Comma 2 2 2 2 8 4" xfId="7947"/>
    <cellStyle name="Comma 2 2 2 2 8 5" xfId="20938"/>
    <cellStyle name="Comma 2 2 2 2 8 6" xfId="22011"/>
    <cellStyle name="Comma 2 2 2 2 8 7" xfId="23173"/>
    <cellStyle name="Comma 2 2 2 2 9" xfId="746"/>
    <cellStyle name="Comma 2 2 2 2 9 2" xfId="9517"/>
    <cellStyle name="Comma 2 2 2 2 9 2 2" xfId="25317"/>
    <cellStyle name="Comma 2 2 2 2 9 3" xfId="15132"/>
    <cellStyle name="Comma 2 2 2 2 9 3 2" xfId="24145"/>
    <cellStyle name="Comma 2 2 2 2 9 4" xfId="7948"/>
    <cellStyle name="Comma 2 2 2 2 9 5" xfId="20939"/>
    <cellStyle name="Comma 2 2 2 2 9 6" xfId="22012"/>
    <cellStyle name="Comma 2 2 2 2 9 7" xfId="23174"/>
    <cellStyle name="Comma 2 2 2 3" xfId="260"/>
    <cellStyle name="Comma 2 2 2 3 10" xfId="747"/>
    <cellStyle name="Comma 2 2 2 3 10 2" xfId="9518"/>
    <cellStyle name="Comma 2 2 2 3 10 2 2" xfId="25318"/>
    <cellStyle name="Comma 2 2 2 3 10 3" xfId="15134"/>
    <cellStyle name="Comma 2 2 2 3 10 3 2" xfId="24147"/>
    <cellStyle name="Comma 2 2 2 3 10 4" xfId="7950"/>
    <cellStyle name="Comma 2 2 2 3 10 5" xfId="20941"/>
    <cellStyle name="Comma 2 2 2 3 10 6" xfId="22014"/>
    <cellStyle name="Comma 2 2 2 3 10 7" xfId="23175"/>
    <cellStyle name="Comma 2 2 2 3 11" xfId="9117"/>
    <cellStyle name="Comma 2 2 2 3 11 2" xfId="25171"/>
    <cellStyle name="Comma 2 2 2 3 12" xfId="15133"/>
    <cellStyle name="Comma 2 2 2 3 12 2" xfId="24146"/>
    <cellStyle name="Comma 2 2 2 3 13" xfId="7949"/>
    <cellStyle name="Comma 2 2 2 3 14" xfId="20940"/>
    <cellStyle name="Comma 2 2 2 3 15" xfId="22013"/>
    <cellStyle name="Comma 2 2 2 3 16" xfId="23032"/>
    <cellStyle name="Comma 2 2 2 3 2" xfId="253"/>
    <cellStyle name="Comma 2 2 2 3 2 10" xfId="15135"/>
    <cellStyle name="Comma 2 2 2 3 2 10 2" xfId="24148"/>
    <cellStyle name="Comma 2 2 2 3 2 11" xfId="7951"/>
    <cellStyle name="Comma 2 2 2 3 2 12" xfId="20942"/>
    <cellStyle name="Comma 2 2 2 3 2 13" xfId="22015"/>
    <cellStyle name="Comma 2 2 2 3 2 14" xfId="23027"/>
    <cellStyle name="Comma 2 2 2 3 2 2" xfId="207"/>
    <cellStyle name="Comma 2 2 2 3 2 2 10" xfId="20943"/>
    <cellStyle name="Comma 2 2 2 3 2 2 11" xfId="22016"/>
    <cellStyle name="Comma 2 2 2 3 2 2 12" xfId="22996"/>
    <cellStyle name="Comma 2 2 2 3 2 2 2" xfId="748"/>
    <cellStyle name="Comma 2 2 2 3 2 2 2 2" xfId="9519"/>
    <cellStyle name="Comma 2 2 2 3 2 2 2 2 2" xfId="25319"/>
    <cellStyle name="Comma 2 2 2 3 2 2 2 3" xfId="15137"/>
    <cellStyle name="Comma 2 2 2 3 2 2 2 3 2" xfId="24150"/>
    <cellStyle name="Comma 2 2 2 3 2 2 2 4" xfId="7953"/>
    <cellStyle name="Comma 2 2 2 3 2 2 2 5" xfId="20944"/>
    <cellStyle name="Comma 2 2 2 3 2 2 2 6" xfId="22017"/>
    <cellStyle name="Comma 2 2 2 3 2 2 2 7" xfId="23176"/>
    <cellStyle name="Comma 2 2 2 3 2 2 3" xfId="749"/>
    <cellStyle name="Comma 2 2 2 3 2 2 3 2" xfId="9520"/>
    <cellStyle name="Comma 2 2 2 3 2 2 3 2 2" xfId="25320"/>
    <cellStyle name="Comma 2 2 2 3 2 2 3 3" xfId="15138"/>
    <cellStyle name="Comma 2 2 2 3 2 2 3 3 2" xfId="24151"/>
    <cellStyle name="Comma 2 2 2 3 2 2 3 4" xfId="7954"/>
    <cellStyle name="Comma 2 2 2 3 2 2 3 5" xfId="20945"/>
    <cellStyle name="Comma 2 2 2 3 2 2 3 6" xfId="22018"/>
    <cellStyle name="Comma 2 2 2 3 2 2 3 7" xfId="23177"/>
    <cellStyle name="Comma 2 2 2 3 2 2 4" xfId="750"/>
    <cellStyle name="Comma 2 2 2 3 2 2 4 2" xfId="9521"/>
    <cellStyle name="Comma 2 2 2 3 2 2 4 2 2" xfId="25321"/>
    <cellStyle name="Comma 2 2 2 3 2 2 4 3" xfId="15139"/>
    <cellStyle name="Comma 2 2 2 3 2 2 4 3 2" xfId="24152"/>
    <cellStyle name="Comma 2 2 2 3 2 2 4 4" xfId="7955"/>
    <cellStyle name="Comma 2 2 2 3 2 2 4 5" xfId="20946"/>
    <cellStyle name="Comma 2 2 2 3 2 2 4 6" xfId="22019"/>
    <cellStyle name="Comma 2 2 2 3 2 2 4 7" xfId="23178"/>
    <cellStyle name="Comma 2 2 2 3 2 2 5" xfId="751"/>
    <cellStyle name="Comma 2 2 2 3 2 2 5 2" xfId="9522"/>
    <cellStyle name="Comma 2 2 2 3 2 2 5 2 2" xfId="25322"/>
    <cellStyle name="Comma 2 2 2 3 2 2 5 3" xfId="15140"/>
    <cellStyle name="Comma 2 2 2 3 2 2 5 3 2" xfId="24153"/>
    <cellStyle name="Comma 2 2 2 3 2 2 5 4" xfId="7956"/>
    <cellStyle name="Comma 2 2 2 3 2 2 5 5" xfId="20947"/>
    <cellStyle name="Comma 2 2 2 3 2 2 5 6" xfId="22020"/>
    <cellStyle name="Comma 2 2 2 3 2 2 5 7" xfId="23179"/>
    <cellStyle name="Comma 2 2 2 3 2 2 6" xfId="752"/>
    <cellStyle name="Comma 2 2 2 3 2 2 6 2" xfId="9523"/>
    <cellStyle name="Comma 2 2 2 3 2 2 6 2 2" xfId="25323"/>
    <cellStyle name="Comma 2 2 2 3 2 2 6 3" xfId="15141"/>
    <cellStyle name="Comma 2 2 2 3 2 2 6 3 2" xfId="24154"/>
    <cellStyle name="Comma 2 2 2 3 2 2 6 4" xfId="7957"/>
    <cellStyle name="Comma 2 2 2 3 2 2 6 5" xfId="20948"/>
    <cellStyle name="Comma 2 2 2 3 2 2 6 6" xfId="22021"/>
    <cellStyle name="Comma 2 2 2 3 2 2 6 7" xfId="23180"/>
    <cellStyle name="Comma 2 2 2 3 2 2 7" xfId="9080"/>
    <cellStyle name="Comma 2 2 2 3 2 2 7 2" xfId="25135"/>
    <cellStyle name="Comma 2 2 2 3 2 2 8" xfId="15136"/>
    <cellStyle name="Comma 2 2 2 3 2 2 8 2" xfId="24149"/>
    <cellStyle name="Comma 2 2 2 3 2 2 9" xfId="7952"/>
    <cellStyle name="Comma 2 2 2 3 2 3" xfId="753"/>
    <cellStyle name="Comma 2 2 2 3 2 3 10" xfId="22022"/>
    <cellStyle name="Comma 2 2 2 3 2 3 11" xfId="23181"/>
    <cellStyle name="Comma 2 2 2 3 2 3 2" xfId="754"/>
    <cellStyle name="Comma 2 2 2 3 2 3 2 2" xfId="9525"/>
    <cellStyle name="Comma 2 2 2 3 2 3 2 2 2" xfId="25325"/>
    <cellStyle name="Comma 2 2 2 3 2 3 2 3" xfId="15143"/>
    <cellStyle name="Comma 2 2 2 3 2 3 2 3 2" xfId="24156"/>
    <cellStyle name="Comma 2 2 2 3 2 3 2 4" xfId="7959"/>
    <cellStyle name="Comma 2 2 2 3 2 3 2 5" xfId="20950"/>
    <cellStyle name="Comma 2 2 2 3 2 3 2 6" xfId="22023"/>
    <cellStyle name="Comma 2 2 2 3 2 3 2 7" xfId="23182"/>
    <cellStyle name="Comma 2 2 2 3 2 3 3" xfId="755"/>
    <cellStyle name="Comma 2 2 2 3 2 3 3 2" xfId="9526"/>
    <cellStyle name="Comma 2 2 2 3 2 3 3 2 2" xfId="25326"/>
    <cellStyle name="Comma 2 2 2 3 2 3 3 3" xfId="15144"/>
    <cellStyle name="Comma 2 2 2 3 2 3 3 3 2" xfId="24157"/>
    <cellStyle name="Comma 2 2 2 3 2 3 3 4" xfId="7960"/>
    <cellStyle name="Comma 2 2 2 3 2 3 3 5" xfId="20951"/>
    <cellStyle name="Comma 2 2 2 3 2 3 3 6" xfId="22024"/>
    <cellStyle name="Comma 2 2 2 3 2 3 3 7" xfId="23183"/>
    <cellStyle name="Comma 2 2 2 3 2 3 4" xfId="756"/>
    <cellStyle name="Comma 2 2 2 3 2 3 4 2" xfId="9527"/>
    <cellStyle name="Comma 2 2 2 3 2 3 4 2 2" xfId="25327"/>
    <cellStyle name="Comma 2 2 2 3 2 3 4 3" xfId="15145"/>
    <cellStyle name="Comma 2 2 2 3 2 3 4 3 2" xfId="24158"/>
    <cellStyle name="Comma 2 2 2 3 2 3 4 4" xfId="7961"/>
    <cellStyle name="Comma 2 2 2 3 2 3 4 5" xfId="20952"/>
    <cellStyle name="Comma 2 2 2 3 2 3 4 6" xfId="22025"/>
    <cellStyle name="Comma 2 2 2 3 2 3 4 7" xfId="23184"/>
    <cellStyle name="Comma 2 2 2 3 2 3 5" xfId="757"/>
    <cellStyle name="Comma 2 2 2 3 2 3 5 2" xfId="9528"/>
    <cellStyle name="Comma 2 2 2 3 2 3 5 2 2" xfId="25328"/>
    <cellStyle name="Comma 2 2 2 3 2 3 5 3" xfId="15146"/>
    <cellStyle name="Comma 2 2 2 3 2 3 5 3 2" xfId="24159"/>
    <cellStyle name="Comma 2 2 2 3 2 3 5 4" xfId="7962"/>
    <cellStyle name="Comma 2 2 2 3 2 3 5 5" xfId="20953"/>
    <cellStyle name="Comma 2 2 2 3 2 3 5 6" xfId="22026"/>
    <cellStyle name="Comma 2 2 2 3 2 3 5 7" xfId="23185"/>
    <cellStyle name="Comma 2 2 2 3 2 3 6" xfId="9524"/>
    <cellStyle name="Comma 2 2 2 3 2 3 6 2" xfId="25324"/>
    <cellStyle name="Comma 2 2 2 3 2 3 7" xfId="15142"/>
    <cellStyle name="Comma 2 2 2 3 2 3 7 2" xfId="24155"/>
    <cellStyle name="Comma 2 2 2 3 2 3 8" xfId="7958"/>
    <cellStyle name="Comma 2 2 2 3 2 3 9" xfId="20949"/>
    <cellStyle name="Comma 2 2 2 3 2 4" xfId="758"/>
    <cellStyle name="Comma 2 2 2 3 2 4 2" xfId="9529"/>
    <cellStyle name="Comma 2 2 2 3 2 4 2 2" xfId="25329"/>
    <cellStyle name="Comma 2 2 2 3 2 4 3" xfId="15147"/>
    <cellStyle name="Comma 2 2 2 3 2 4 3 2" xfId="24160"/>
    <cellStyle name="Comma 2 2 2 3 2 4 4" xfId="7963"/>
    <cellStyle name="Comma 2 2 2 3 2 4 5" xfId="20954"/>
    <cellStyle name="Comma 2 2 2 3 2 4 6" xfId="22027"/>
    <cellStyle name="Comma 2 2 2 3 2 4 7" xfId="23186"/>
    <cellStyle name="Comma 2 2 2 3 2 5" xfId="759"/>
    <cellStyle name="Comma 2 2 2 3 2 5 2" xfId="9530"/>
    <cellStyle name="Comma 2 2 2 3 2 5 2 2" xfId="25330"/>
    <cellStyle name="Comma 2 2 2 3 2 5 3" xfId="15148"/>
    <cellStyle name="Comma 2 2 2 3 2 5 3 2" xfId="24161"/>
    <cellStyle name="Comma 2 2 2 3 2 5 4" xfId="7964"/>
    <cellStyle name="Comma 2 2 2 3 2 5 5" xfId="20955"/>
    <cellStyle name="Comma 2 2 2 3 2 5 6" xfId="22028"/>
    <cellStyle name="Comma 2 2 2 3 2 5 7" xfId="23187"/>
    <cellStyle name="Comma 2 2 2 3 2 6" xfId="760"/>
    <cellStyle name="Comma 2 2 2 3 2 6 2" xfId="9531"/>
    <cellStyle name="Comma 2 2 2 3 2 6 2 2" xfId="25331"/>
    <cellStyle name="Comma 2 2 2 3 2 6 3" xfId="15149"/>
    <cellStyle name="Comma 2 2 2 3 2 6 3 2" xfId="24162"/>
    <cellStyle name="Comma 2 2 2 3 2 6 4" xfId="7965"/>
    <cellStyle name="Comma 2 2 2 3 2 6 5" xfId="20956"/>
    <cellStyle name="Comma 2 2 2 3 2 6 6" xfId="22029"/>
    <cellStyle name="Comma 2 2 2 3 2 6 7" xfId="23188"/>
    <cellStyle name="Comma 2 2 2 3 2 7" xfId="761"/>
    <cellStyle name="Comma 2 2 2 3 2 7 2" xfId="9532"/>
    <cellStyle name="Comma 2 2 2 3 2 7 2 2" xfId="25332"/>
    <cellStyle name="Comma 2 2 2 3 2 7 3" xfId="15150"/>
    <cellStyle name="Comma 2 2 2 3 2 7 3 2" xfId="24163"/>
    <cellStyle name="Comma 2 2 2 3 2 7 4" xfId="7966"/>
    <cellStyle name="Comma 2 2 2 3 2 7 5" xfId="20957"/>
    <cellStyle name="Comma 2 2 2 3 2 7 6" xfId="22030"/>
    <cellStyle name="Comma 2 2 2 3 2 7 7" xfId="23189"/>
    <cellStyle name="Comma 2 2 2 3 2 8" xfId="762"/>
    <cellStyle name="Comma 2 2 2 3 2 8 2" xfId="9533"/>
    <cellStyle name="Comma 2 2 2 3 2 8 2 2" xfId="25333"/>
    <cellStyle name="Comma 2 2 2 3 2 8 3" xfId="15151"/>
    <cellStyle name="Comma 2 2 2 3 2 8 3 2" xfId="24164"/>
    <cellStyle name="Comma 2 2 2 3 2 8 4" xfId="7967"/>
    <cellStyle name="Comma 2 2 2 3 2 8 5" xfId="20958"/>
    <cellStyle name="Comma 2 2 2 3 2 8 6" xfId="22031"/>
    <cellStyle name="Comma 2 2 2 3 2 8 7" xfId="23190"/>
    <cellStyle name="Comma 2 2 2 3 2 9" xfId="9112"/>
    <cellStyle name="Comma 2 2 2 3 2 9 2" xfId="25166"/>
    <cellStyle name="Comma 2 2 2 3 3" xfId="228"/>
    <cellStyle name="Comma 2 2 2 3 3 10" xfId="20959"/>
    <cellStyle name="Comma 2 2 2 3 3 11" xfId="22032"/>
    <cellStyle name="Comma 2 2 2 3 3 12" xfId="23010"/>
    <cellStyle name="Comma 2 2 2 3 3 2" xfId="763"/>
    <cellStyle name="Comma 2 2 2 3 3 2 2" xfId="9534"/>
    <cellStyle name="Comma 2 2 2 3 3 2 2 2" xfId="25334"/>
    <cellStyle name="Comma 2 2 2 3 3 2 3" xfId="15153"/>
    <cellStyle name="Comma 2 2 2 3 3 2 3 2" xfId="24166"/>
    <cellStyle name="Comma 2 2 2 3 3 2 4" xfId="7969"/>
    <cellStyle name="Comma 2 2 2 3 3 2 5" xfId="20960"/>
    <cellStyle name="Comma 2 2 2 3 3 2 6" xfId="22033"/>
    <cellStyle name="Comma 2 2 2 3 3 2 7" xfId="23191"/>
    <cellStyle name="Comma 2 2 2 3 3 3" xfId="764"/>
    <cellStyle name="Comma 2 2 2 3 3 3 2" xfId="9535"/>
    <cellStyle name="Comma 2 2 2 3 3 3 2 2" xfId="25335"/>
    <cellStyle name="Comma 2 2 2 3 3 3 3" xfId="15154"/>
    <cellStyle name="Comma 2 2 2 3 3 3 3 2" xfId="24167"/>
    <cellStyle name="Comma 2 2 2 3 3 3 4" xfId="7970"/>
    <cellStyle name="Comma 2 2 2 3 3 3 5" xfId="20961"/>
    <cellStyle name="Comma 2 2 2 3 3 3 6" xfId="22034"/>
    <cellStyle name="Comma 2 2 2 3 3 3 7" xfId="23192"/>
    <cellStyle name="Comma 2 2 2 3 3 4" xfId="765"/>
    <cellStyle name="Comma 2 2 2 3 3 4 2" xfId="9536"/>
    <cellStyle name="Comma 2 2 2 3 3 4 2 2" xfId="25336"/>
    <cellStyle name="Comma 2 2 2 3 3 4 3" xfId="15155"/>
    <cellStyle name="Comma 2 2 2 3 3 4 3 2" xfId="24168"/>
    <cellStyle name="Comma 2 2 2 3 3 4 4" xfId="7971"/>
    <cellStyle name="Comma 2 2 2 3 3 4 5" xfId="20962"/>
    <cellStyle name="Comma 2 2 2 3 3 4 6" xfId="22035"/>
    <cellStyle name="Comma 2 2 2 3 3 4 7" xfId="23193"/>
    <cellStyle name="Comma 2 2 2 3 3 5" xfId="766"/>
    <cellStyle name="Comma 2 2 2 3 3 5 2" xfId="9537"/>
    <cellStyle name="Comma 2 2 2 3 3 5 2 2" xfId="25337"/>
    <cellStyle name="Comma 2 2 2 3 3 5 3" xfId="15156"/>
    <cellStyle name="Comma 2 2 2 3 3 5 3 2" xfId="24169"/>
    <cellStyle name="Comma 2 2 2 3 3 5 4" xfId="7972"/>
    <cellStyle name="Comma 2 2 2 3 3 5 5" xfId="20963"/>
    <cellStyle name="Comma 2 2 2 3 3 5 6" xfId="22036"/>
    <cellStyle name="Comma 2 2 2 3 3 5 7" xfId="23194"/>
    <cellStyle name="Comma 2 2 2 3 3 6" xfId="767"/>
    <cellStyle name="Comma 2 2 2 3 3 6 2" xfId="9538"/>
    <cellStyle name="Comma 2 2 2 3 3 6 2 2" xfId="25338"/>
    <cellStyle name="Comma 2 2 2 3 3 6 3" xfId="15157"/>
    <cellStyle name="Comma 2 2 2 3 3 6 3 2" xfId="24170"/>
    <cellStyle name="Comma 2 2 2 3 3 6 4" xfId="7973"/>
    <cellStyle name="Comma 2 2 2 3 3 6 5" xfId="20964"/>
    <cellStyle name="Comma 2 2 2 3 3 6 6" xfId="22037"/>
    <cellStyle name="Comma 2 2 2 3 3 6 7" xfId="23195"/>
    <cellStyle name="Comma 2 2 2 3 3 7" xfId="9094"/>
    <cellStyle name="Comma 2 2 2 3 3 7 2" xfId="25149"/>
    <cellStyle name="Comma 2 2 2 3 3 8" xfId="15152"/>
    <cellStyle name="Comma 2 2 2 3 3 8 2" xfId="24165"/>
    <cellStyle name="Comma 2 2 2 3 3 9" xfId="7968"/>
    <cellStyle name="Comma 2 2 2 3 4" xfId="768"/>
    <cellStyle name="Comma 2 2 2 3 4 10" xfId="22038"/>
    <cellStyle name="Comma 2 2 2 3 4 11" xfId="23196"/>
    <cellStyle name="Comma 2 2 2 3 4 2" xfId="769"/>
    <cellStyle name="Comma 2 2 2 3 4 2 2" xfId="9540"/>
    <cellStyle name="Comma 2 2 2 3 4 2 2 2" xfId="25340"/>
    <cellStyle name="Comma 2 2 2 3 4 2 3" xfId="15159"/>
    <cellStyle name="Comma 2 2 2 3 4 2 3 2" xfId="24172"/>
    <cellStyle name="Comma 2 2 2 3 4 2 4" xfId="7975"/>
    <cellStyle name="Comma 2 2 2 3 4 2 5" xfId="20966"/>
    <cellStyle name="Comma 2 2 2 3 4 2 6" xfId="22039"/>
    <cellStyle name="Comma 2 2 2 3 4 2 7" xfId="23197"/>
    <cellStyle name="Comma 2 2 2 3 4 3" xfId="770"/>
    <cellStyle name="Comma 2 2 2 3 4 3 2" xfId="9541"/>
    <cellStyle name="Comma 2 2 2 3 4 3 2 2" xfId="25341"/>
    <cellStyle name="Comma 2 2 2 3 4 3 3" xfId="15160"/>
    <cellStyle name="Comma 2 2 2 3 4 3 3 2" xfId="24173"/>
    <cellStyle name="Comma 2 2 2 3 4 3 4" xfId="7976"/>
    <cellStyle name="Comma 2 2 2 3 4 3 5" xfId="20967"/>
    <cellStyle name="Comma 2 2 2 3 4 3 6" xfId="22040"/>
    <cellStyle name="Comma 2 2 2 3 4 3 7" xfId="23198"/>
    <cellStyle name="Comma 2 2 2 3 4 4" xfId="771"/>
    <cellStyle name="Comma 2 2 2 3 4 4 2" xfId="9542"/>
    <cellStyle name="Comma 2 2 2 3 4 4 2 2" xfId="25342"/>
    <cellStyle name="Comma 2 2 2 3 4 4 3" xfId="15161"/>
    <cellStyle name="Comma 2 2 2 3 4 4 3 2" xfId="24174"/>
    <cellStyle name="Comma 2 2 2 3 4 4 4" xfId="7977"/>
    <cellStyle name="Comma 2 2 2 3 4 4 5" xfId="20968"/>
    <cellStyle name="Comma 2 2 2 3 4 4 6" xfId="22041"/>
    <cellStyle name="Comma 2 2 2 3 4 4 7" xfId="23199"/>
    <cellStyle name="Comma 2 2 2 3 4 5" xfId="772"/>
    <cellStyle name="Comma 2 2 2 3 4 5 2" xfId="9543"/>
    <cellStyle name="Comma 2 2 2 3 4 5 2 2" xfId="25343"/>
    <cellStyle name="Comma 2 2 2 3 4 5 3" xfId="15162"/>
    <cellStyle name="Comma 2 2 2 3 4 5 3 2" xfId="24175"/>
    <cellStyle name="Comma 2 2 2 3 4 5 4" xfId="7978"/>
    <cellStyle name="Comma 2 2 2 3 4 5 5" xfId="20969"/>
    <cellStyle name="Comma 2 2 2 3 4 5 6" xfId="22042"/>
    <cellStyle name="Comma 2 2 2 3 4 5 7" xfId="23200"/>
    <cellStyle name="Comma 2 2 2 3 4 6" xfId="9539"/>
    <cellStyle name="Comma 2 2 2 3 4 6 2" xfId="25339"/>
    <cellStyle name="Comma 2 2 2 3 4 7" xfId="15158"/>
    <cellStyle name="Comma 2 2 2 3 4 7 2" xfId="24171"/>
    <cellStyle name="Comma 2 2 2 3 4 8" xfId="7974"/>
    <cellStyle name="Comma 2 2 2 3 4 9" xfId="20965"/>
    <cellStyle name="Comma 2 2 2 3 5" xfId="773"/>
    <cellStyle name="Comma 2 2 2 3 5 10" xfId="22043"/>
    <cellStyle name="Comma 2 2 2 3 5 11" xfId="23201"/>
    <cellStyle name="Comma 2 2 2 3 5 2" xfId="774"/>
    <cellStyle name="Comma 2 2 2 3 5 2 2" xfId="9545"/>
    <cellStyle name="Comma 2 2 2 3 5 2 2 2" xfId="25345"/>
    <cellStyle name="Comma 2 2 2 3 5 2 3" xfId="15164"/>
    <cellStyle name="Comma 2 2 2 3 5 2 3 2" xfId="24177"/>
    <cellStyle name="Comma 2 2 2 3 5 2 4" xfId="7980"/>
    <cellStyle name="Comma 2 2 2 3 5 2 5" xfId="20971"/>
    <cellStyle name="Comma 2 2 2 3 5 2 6" xfId="22044"/>
    <cellStyle name="Comma 2 2 2 3 5 2 7" xfId="23202"/>
    <cellStyle name="Comma 2 2 2 3 5 3" xfId="775"/>
    <cellStyle name="Comma 2 2 2 3 5 3 2" xfId="9546"/>
    <cellStyle name="Comma 2 2 2 3 5 3 2 2" xfId="25346"/>
    <cellStyle name="Comma 2 2 2 3 5 3 3" xfId="15165"/>
    <cellStyle name="Comma 2 2 2 3 5 3 3 2" xfId="24178"/>
    <cellStyle name="Comma 2 2 2 3 5 3 4" xfId="7981"/>
    <cellStyle name="Comma 2 2 2 3 5 3 5" xfId="20972"/>
    <cellStyle name="Comma 2 2 2 3 5 3 6" xfId="22045"/>
    <cellStyle name="Comma 2 2 2 3 5 3 7" xfId="23203"/>
    <cellStyle name="Comma 2 2 2 3 5 4" xfId="776"/>
    <cellStyle name="Comma 2 2 2 3 5 4 2" xfId="9547"/>
    <cellStyle name="Comma 2 2 2 3 5 4 2 2" xfId="25347"/>
    <cellStyle name="Comma 2 2 2 3 5 4 3" xfId="15166"/>
    <cellStyle name="Comma 2 2 2 3 5 4 3 2" xfId="24179"/>
    <cellStyle name="Comma 2 2 2 3 5 4 4" xfId="7982"/>
    <cellStyle name="Comma 2 2 2 3 5 4 5" xfId="20973"/>
    <cellStyle name="Comma 2 2 2 3 5 4 6" xfId="22046"/>
    <cellStyle name="Comma 2 2 2 3 5 4 7" xfId="23204"/>
    <cellStyle name="Comma 2 2 2 3 5 5" xfId="777"/>
    <cellStyle name="Comma 2 2 2 3 5 5 2" xfId="9548"/>
    <cellStyle name="Comma 2 2 2 3 5 5 2 2" xfId="25348"/>
    <cellStyle name="Comma 2 2 2 3 5 5 3" xfId="15167"/>
    <cellStyle name="Comma 2 2 2 3 5 5 3 2" xfId="24180"/>
    <cellStyle name="Comma 2 2 2 3 5 5 4" xfId="7983"/>
    <cellStyle name="Comma 2 2 2 3 5 5 5" xfId="20974"/>
    <cellStyle name="Comma 2 2 2 3 5 5 6" xfId="22047"/>
    <cellStyle name="Comma 2 2 2 3 5 5 7" xfId="23205"/>
    <cellStyle name="Comma 2 2 2 3 5 6" xfId="9544"/>
    <cellStyle name="Comma 2 2 2 3 5 6 2" xfId="25344"/>
    <cellStyle name="Comma 2 2 2 3 5 7" xfId="15163"/>
    <cellStyle name="Comma 2 2 2 3 5 7 2" xfId="24176"/>
    <cellStyle name="Comma 2 2 2 3 5 8" xfId="7979"/>
    <cellStyle name="Comma 2 2 2 3 5 9" xfId="20970"/>
    <cellStyle name="Comma 2 2 2 3 6" xfId="778"/>
    <cellStyle name="Comma 2 2 2 3 6 2" xfId="9549"/>
    <cellStyle name="Comma 2 2 2 3 6 2 2" xfId="25349"/>
    <cellStyle name="Comma 2 2 2 3 6 3" xfId="15168"/>
    <cellStyle name="Comma 2 2 2 3 6 3 2" xfId="24181"/>
    <cellStyle name="Comma 2 2 2 3 6 4" xfId="7984"/>
    <cellStyle name="Comma 2 2 2 3 6 5" xfId="20975"/>
    <cellStyle name="Comma 2 2 2 3 6 6" xfId="22048"/>
    <cellStyle name="Comma 2 2 2 3 6 7" xfId="23206"/>
    <cellStyle name="Comma 2 2 2 3 7" xfId="779"/>
    <cellStyle name="Comma 2 2 2 3 7 2" xfId="9550"/>
    <cellStyle name="Comma 2 2 2 3 7 2 2" xfId="25350"/>
    <cellStyle name="Comma 2 2 2 3 7 3" xfId="15169"/>
    <cellStyle name="Comma 2 2 2 3 7 3 2" xfId="24182"/>
    <cellStyle name="Comma 2 2 2 3 7 4" xfId="7985"/>
    <cellStyle name="Comma 2 2 2 3 7 5" xfId="20976"/>
    <cellStyle name="Comma 2 2 2 3 7 6" xfId="22049"/>
    <cellStyle name="Comma 2 2 2 3 7 7" xfId="23207"/>
    <cellStyle name="Comma 2 2 2 3 8" xfId="780"/>
    <cellStyle name="Comma 2 2 2 3 8 2" xfId="9551"/>
    <cellStyle name="Comma 2 2 2 3 8 2 2" xfId="25351"/>
    <cellStyle name="Comma 2 2 2 3 8 3" xfId="15170"/>
    <cellStyle name="Comma 2 2 2 3 8 3 2" xfId="24183"/>
    <cellStyle name="Comma 2 2 2 3 8 4" xfId="7986"/>
    <cellStyle name="Comma 2 2 2 3 8 5" xfId="20977"/>
    <cellStyle name="Comma 2 2 2 3 8 6" xfId="22050"/>
    <cellStyle name="Comma 2 2 2 3 8 7" xfId="23208"/>
    <cellStyle name="Comma 2 2 2 3 9" xfId="781"/>
    <cellStyle name="Comma 2 2 2 3 9 2" xfId="9552"/>
    <cellStyle name="Comma 2 2 2 3 9 2 2" xfId="25352"/>
    <cellStyle name="Comma 2 2 2 3 9 3" xfId="15171"/>
    <cellStyle name="Comma 2 2 2 3 9 3 2" xfId="24184"/>
    <cellStyle name="Comma 2 2 2 3 9 4" xfId="7987"/>
    <cellStyle name="Comma 2 2 2 3 9 5" xfId="20978"/>
    <cellStyle name="Comma 2 2 2 3 9 6" xfId="22051"/>
    <cellStyle name="Comma 2 2 2 3 9 7" xfId="23209"/>
    <cellStyle name="Comma 2 2 2 4" xfId="220"/>
    <cellStyle name="Comma 2 2 2 4 10" xfId="15172"/>
    <cellStyle name="Comma 2 2 2 4 10 2" xfId="24185"/>
    <cellStyle name="Comma 2 2 2 4 11" xfId="7988"/>
    <cellStyle name="Comma 2 2 2 4 12" xfId="20979"/>
    <cellStyle name="Comma 2 2 2 4 13" xfId="22052"/>
    <cellStyle name="Comma 2 2 2 4 14" xfId="23006"/>
    <cellStyle name="Comma 2 2 2 4 2" xfId="217"/>
    <cellStyle name="Comma 2 2 2 4 2 10" xfId="20980"/>
    <cellStyle name="Comma 2 2 2 4 2 11" xfId="22053"/>
    <cellStyle name="Comma 2 2 2 4 2 12" xfId="23003"/>
    <cellStyle name="Comma 2 2 2 4 2 2" xfId="782"/>
    <cellStyle name="Comma 2 2 2 4 2 2 2" xfId="9553"/>
    <cellStyle name="Comma 2 2 2 4 2 2 2 2" xfId="25353"/>
    <cellStyle name="Comma 2 2 2 4 2 2 3" xfId="15174"/>
    <cellStyle name="Comma 2 2 2 4 2 2 3 2" xfId="24187"/>
    <cellStyle name="Comma 2 2 2 4 2 2 4" xfId="7990"/>
    <cellStyle name="Comma 2 2 2 4 2 2 5" xfId="20981"/>
    <cellStyle name="Comma 2 2 2 4 2 2 6" xfId="22054"/>
    <cellStyle name="Comma 2 2 2 4 2 2 7" xfId="23210"/>
    <cellStyle name="Comma 2 2 2 4 2 3" xfId="783"/>
    <cellStyle name="Comma 2 2 2 4 2 3 2" xfId="9554"/>
    <cellStyle name="Comma 2 2 2 4 2 3 2 2" xfId="25354"/>
    <cellStyle name="Comma 2 2 2 4 2 3 3" xfId="15175"/>
    <cellStyle name="Comma 2 2 2 4 2 3 3 2" xfId="24188"/>
    <cellStyle name="Comma 2 2 2 4 2 3 4" xfId="7991"/>
    <cellStyle name="Comma 2 2 2 4 2 3 5" xfId="20982"/>
    <cellStyle name="Comma 2 2 2 4 2 3 6" xfId="22055"/>
    <cellStyle name="Comma 2 2 2 4 2 3 7" xfId="23211"/>
    <cellStyle name="Comma 2 2 2 4 2 4" xfId="784"/>
    <cellStyle name="Comma 2 2 2 4 2 4 2" xfId="9555"/>
    <cellStyle name="Comma 2 2 2 4 2 4 2 2" xfId="25355"/>
    <cellStyle name="Comma 2 2 2 4 2 4 3" xfId="15176"/>
    <cellStyle name="Comma 2 2 2 4 2 4 3 2" xfId="24189"/>
    <cellStyle name="Comma 2 2 2 4 2 4 4" xfId="7992"/>
    <cellStyle name="Comma 2 2 2 4 2 4 5" xfId="20983"/>
    <cellStyle name="Comma 2 2 2 4 2 4 6" xfId="22056"/>
    <cellStyle name="Comma 2 2 2 4 2 4 7" xfId="23212"/>
    <cellStyle name="Comma 2 2 2 4 2 5" xfId="785"/>
    <cellStyle name="Comma 2 2 2 4 2 5 2" xfId="9556"/>
    <cellStyle name="Comma 2 2 2 4 2 5 2 2" xfId="25356"/>
    <cellStyle name="Comma 2 2 2 4 2 5 3" xfId="15177"/>
    <cellStyle name="Comma 2 2 2 4 2 5 3 2" xfId="24190"/>
    <cellStyle name="Comma 2 2 2 4 2 5 4" xfId="7993"/>
    <cellStyle name="Comma 2 2 2 4 2 5 5" xfId="20984"/>
    <cellStyle name="Comma 2 2 2 4 2 5 6" xfId="22057"/>
    <cellStyle name="Comma 2 2 2 4 2 5 7" xfId="23213"/>
    <cellStyle name="Comma 2 2 2 4 2 6" xfId="786"/>
    <cellStyle name="Comma 2 2 2 4 2 6 2" xfId="9557"/>
    <cellStyle name="Comma 2 2 2 4 2 6 2 2" xfId="25357"/>
    <cellStyle name="Comma 2 2 2 4 2 6 3" xfId="15178"/>
    <cellStyle name="Comma 2 2 2 4 2 6 3 2" xfId="24191"/>
    <cellStyle name="Comma 2 2 2 4 2 6 4" xfId="7994"/>
    <cellStyle name="Comma 2 2 2 4 2 6 5" xfId="20985"/>
    <cellStyle name="Comma 2 2 2 4 2 6 6" xfId="22058"/>
    <cellStyle name="Comma 2 2 2 4 2 6 7" xfId="23214"/>
    <cellStyle name="Comma 2 2 2 4 2 7" xfId="9087"/>
    <cellStyle name="Comma 2 2 2 4 2 7 2" xfId="25142"/>
    <cellStyle name="Comma 2 2 2 4 2 8" xfId="15173"/>
    <cellStyle name="Comma 2 2 2 4 2 8 2" xfId="24186"/>
    <cellStyle name="Comma 2 2 2 4 2 9" xfId="7989"/>
    <cellStyle name="Comma 2 2 2 4 3" xfId="787"/>
    <cellStyle name="Comma 2 2 2 4 3 10" xfId="22059"/>
    <cellStyle name="Comma 2 2 2 4 3 11" xfId="23215"/>
    <cellStyle name="Comma 2 2 2 4 3 2" xfId="788"/>
    <cellStyle name="Comma 2 2 2 4 3 2 2" xfId="9559"/>
    <cellStyle name="Comma 2 2 2 4 3 2 2 2" xfId="25359"/>
    <cellStyle name="Comma 2 2 2 4 3 2 3" xfId="15180"/>
    <cellStyle name="Comma 2 2 2 4 3 2 3 2" xfId="24193"/>
    <cellStyle name="Comma 2 2 2 4 3 2 4" xfId="7996"/>
    <cellStyle name="Comma 2 2 2 4 3 2 5" xfId="20987"/>
    <cellStyle name="Comma 2 2 2 4 3 2 6" xfId="22060"/>
    <cellStyle name="Comma 2 2 2 4 3 2 7" xfId="23216"/>
    <cellStyle name="Comma 2 2 2 4 3 3" xfId="789"/>
    <cellStyle name="Comma 2 2 2 4 3 3 2" xfId="9560"/>
    <cellStyle name="Comma 2 2 2 4 3 3 2 2" xfId="25360"/>
    <cellStyle name="Comma 2 2 2 4 3 3 3" xfId="15181"/>
    <cellStyle name="Comma 2 2 2 4 3 3 3 2" xfId="24194"/>
    <cellStyle name="Comma 2 2 2 4 3 3 4" xfId="7997"/>
    <cellStyle name="Comma 2 2 2 4 3 3 5" xfId="20988"/>
    <cellStyle name="Comma 2 2 2 4 3 3 6" xfId="22061"/>
    <cellStyle name="Comma 2 2 2 4 3 3 7" xfId="23217"/>
    <cellStyle name="Comma 2 2 2 4 3 4" xfId="790"/>
    <cellStyle name="Comma 2 2 2 4 3 4 2" xfId="9561"/>
    <cellStyle name="Comma 2 2 2 4 3 4 2 2" xfId="25361"/>
    <cellStyle name="Comma 2 2 2 4 3 4 3" xfId="15182"/>
    <cellStyle name="Comma 2 2 2 4 3 4 3 2" xfId="24195"/>
    <cellStyle name="Comma 2 2 2 4 3 4 4" xfId="7998"/>
    <cellStyle name="Comma 2 2 2 4 3 4 5" xfId="20989"/>
    <cellStyle name="Comma 2 2 2 4 3 4 6" xfId="22062"/>
    <cellStyle name="Comma 2 2 2 4 3 4 7" xfId="23218"/>
    <cellStyle name="Comma 2 2 2 4 3 5" xfId="791"/>
    <cellStyle name="Comma 2 2 2 4 3 5 2" xfId="9562"/>
    <cellStyle name="Comma 2 2 2 4 3 5 2 2" xfId="25362"/>
    <cellStyle name="Comma 2 2 2 4 3 5 3" xfId="15183"/>
    <cellStyle name="Comma 2 2 2 4 3 5 3 2" xfId="24196"/>
    <cellStyle name="Comma 2 2 2 4 3 5 4" xfId="7999"/>
    <cellStyle name="Comma 2 2 2 4 3 5 5" xfId="20990"/>
    <cellStyle name="Comma 2 2 2 4 3 5 6" xfId="22063"/>
    <cellStyle name="Comma 2 2 2 4 3 5 7" xfId="23219"/>
    <cellStyle name="Comma 2 2 2 4 3 6" xfId="9558"/>
    <cellStyle name="Comma 2 2 2 4 3 6 2" xfId="25358"/>
    <cellStyle name="Comma 2 2 2 4 3 7" xfId="15179"/>
    <cellStyle name="Comma 2 2 2 4 3 7 2" xfId="24192"/>
    <cellStyle name="Comma 2 2 2 4 3 8" xfId="7995"/>
    <cellStyle name="Comma 2 2 2 4 3 9" xfId="20986"/>
    <cellStyle name="Comma 2 2 2 4 4" xfId="792"/>
    <cellStyle name="Comma 2 2 2 4 4 2" xfId="9563"/>
    <cellStyle name="Comma 2 2 2 4 4 2 2" xfId="25363"/>
    <cellStyle name="Comma 2 2 2 4 4 3" xfId="15184"/>
    <cellStyle name="Comma 2 2 2 4 4 3 2" xfId="24197"/>
    <cellStyle name="Comma 2 2 2 4 4 4" xfId="8000"/>
    <cellStyle name="Comma 2 2 2 4 4 5" xfId="20991"/>
    <cellStyle name="Comma 2 2 2 4 4 6" xfId="22064"/>
    <cellStyle name="Comma 2 2 2 4 4 7" xfId="23220"/>
    <cellStyle name="Comma 2 2 2 4 5" xfId="793"/>
    <cellStyle name="Comma 2 2 2 4 5 2" xfId="9564"/>
    <cellStyle name="Comma 2 2 2 4 5 2 2" xfId="25364"/>
    <cellStyle name="Comma 2 2 2 4 5 3" xfId="15185"/>
    <cellStyle name="Comma 2 2 2 4 5 3 2" xfId="24198"/>
    <cellStyle name="Comma 2 2 2 4 5 4" xfId="8001"/>
    <cellStyle name="Comma 2 2 2 4 5 5" xfId="20992"/>
    <cellStyle name="Comma 2 2 2 4 5 6" xfId="22065"/>
    <cellStyle name="Comma 2 2 2 4 5 7" xfId="23221"/>
    <cellStyle name="Comma 2 2 2 4 6" xfId="794"/>
    <cellStyle name="Comma 2 2 2 4 6 2" xfId="9565"/>
    <cellStyle name="Comma 2 2 2 4 6 2 2" xfId="25365"/>
    <cellStyle name="Comma 2 2 2 4 6 3" xfId="15186"/>
    <cellStyle name="Comma 2 2 2 4 6 3 2" xfId="24199"/>
    <cellStyle name="Comma 2 2 2 4 6 4" xfId="8002"/>
    <cellStyle name="Comma 2 2 2 4 6 5" xfId="20993"/>
    <cellStyle name="Comma 2 2 2 4 6 6" xfId="22066"/>
    <cellStyle name="Comma 2 2 2 4 6 7" xfId="23222"/>
    <cellStyle name="Comma 2 2 2 4 7" xfId="795"/>
    <cellStyle name="Comma 2 2 2 4 7 2" xfId="9566"/>
    <cellStyle name="Comma 2 2 2 4 7 2 2" xfId="25366"/>
    <cellStyle name="Comma 2 2 2 4 7 3" xfId="15187"/>
    <cellStyle name="Comma 2 2 2 4 7 3 2" xfId="24200"/>
    <cellStyle name="Comma 2 2 2 4 7 4" xfId="8003"/>
    <cellStyle name="Comma 2 2 2 4 7 5" xfId="20994"/>
    <cellStyle name="Comma 2 2 2 4 7 6" xfId="22067"/>
    <cellStyle name="Comma 2 2 2 4 7 7" xfId="23223"/>
    <cellStyle name="Comma 2 2 2 4 8" xfId="796"/>
    <cellStyle name="Comma 2 2 2 4 8 2" xfId="9567"/>
    <cellStyle name="Comma 2 2 2 4 8 2 2" xfId="25367"/>
    <cellStyle name="Comma 2 2 2 4 8 3" xfId="15188"/>
    <cellStyle name="Comma 2 2 2 4 8 3 2" xfId="24201"/>
    <cellStyle name="Comma 2 2 2 4 8 4" xfId="8004"/>
    <cellStyle name="Comma 2 2 2 4 8 5" xfId="20995"/>
    <cellStyle name="Comma 2 2 2 4 8 6" xfId="22068"/>
    <cellStyle name="Comma 2 2 2 4 8 7" xfId="23224"/>
    <cellStyle name="Comma 2 2 2 4 9" xfId="9090"/>
    <cellStyle name="Comma 2 2 2 4 9 2" xfId="25145"/>
    <cellStyle name="Comma 2 2 2 5" xfId="206"/>
    <cellStyle name="Comma 2 2 2 5 10" xfId="20996"/>
    <cellStyle name="Comma 2 2 2 5 11" xfId="22069"/>
    <cellStyle name="Comma 2 2 2 5 12" xfId="22995"/>
    <cellStyle name="Comma 2 2 2 5 2" xfId="797"/>
    <cellStyle name="Comma 2 2 2 5 2 2" xfId="9568"/>
    <cellStyle name="Comma 2 2 2 5 2 2 2" xfId="25368"/>
    <cellStyle name="Comma 2 2 2 5 2 3" xfId="15190"/>
    <cellStyle name="Comma 2 2 2 5 2 3 2" xfId="24203"/>
    <cellStyle name="Comma 2 2 2 5 2 4" xfId="8006"/>
    <cellStyle name="Comma 2 2 2 5 2 5" xfId="20997"/>
    <cellStyle name="Comma 2 2 2 5 2 6" xfId="22070"/>
    <cellStyle name="Comma 2 2 2 5 2 7" xfId="23225"/>
    <cellStyle name="Comma 2 2 2 5 3" xfId="798"/>
    <cellStyle name="Comma 2 2 2 5 3 2" xfId="9569"/>
    <cellStyle name="Comma 2 2 2 5 3 2 2" xfId="25369"/>
    <cellStyle name="Comma 2 2 2 5 3 3" xfId="15191"/>
    <cellStyle name="Comma 2 2 2 5 3 3 2" xfId="24204"/>
    <cellStyle name="Comma 2 2 2 5 3 4" xfId="8007"/>
    <cellStyle name="Comma 2 2 2 5 3 5" xfId="20998"/>
    <cellStyle name="Comma 2 2 2 5 3 6" xfId="22071"/>
    <cellStyle name="Comma 2 2 2 5 3 7" xfId="23226"/>
    <cellStyle name="Comma 2 2 2 5 4" xfId="799"/>
    <cellStyle name="Comma 2 2 2 5 4 2" xfId="9570"/>
    <cellStyle name="Comma 2 2 2 5 4 2 2" xfId="25370"/>
    <cellStyle name="Comma 2 2 2 5 4 3" xfId="15192"/>
    <cellStyle name="Comma 2 2 2 5 4 3 2" xfId="24205"/>
    <cellStyle name="Comma 2 2 2 5 4 4" xfId="8008"/>
    <cellStyle name="Comma 2 2 2 5 4 5" xfId="20999"/>
    <cellStyle name="Comma 2 2 2 5 4 6" xfId="22072"/>
    <cellStyle name="Comma 2 2 2 5 4 7" xfId="23227"/>
    <cellStyle name="Comma 2 2 2 5 5" xfId="800"/>
    <cellStyle name="Comma 2 2 2 5 5 2" xfId="9571"/>
    <cellStyle name="Comma 2 2 2 5 5 2 2" xfId="25371"/>
    <cellStyle name="Comma 2 2 2 5 5 3" xfId="15193"/>
    <cellStyle name="Comma 2 2 2 5 5 3 2" xfId="24206"/>
    <cellStyle name="Comma 2 2 2 5 5 4" xfId="8009"/>
    <cellStyle name="Comma 2 2 2 5 5 5" xfId="21000"/>
    <cellStyle name="Comma 2 2 2 5 5 6" xfId="22073"/>
    <cellStyle name="Comma 2 2 2 5 5 7" xfId="23228"/>
    <cellStyle name="Comma 2 2 2 5 6" xfId="801"/>
    <cellStyle name="Comma 2 2 2 5 6 2" xfId="9572"/>
    <cellStyle name="Comma 2 2 2 5 6 2 2" xfId="25372"/>
    <cellStyle name="Comma 2 2 2 5 6 3" xfId="15194"/>
    <cellStyle name="Comma 2 2 2 5 6 3 2" xfId="24207"/>
    <cellStyle name="Comma 2 2 2 5 6 4" xfId="8010"/>
    <cellStyle name="Comma 2 2 2 5 6 5" xfId="21001"/>
    <cellStyle name="Comma 2 2 2 5 6 6" xfId="22074"/>
    <cellStyle name="Comma 2 2 2 5 6 7" xfId="23229"/>
    <cellStyle name="Comma 2 2 2 5 7" xfId="9079"/>
    <cellStyle name="Comma 2 2 2 5 7 2" xfId="25134"/>
    <cellStyle name="Comma 2 2 2 5 8" xfId="15189"/>
    <cellStyle name="Comma 2 2 2 5 8 2" xfId="24202"/>
    <cellStyle name="Comma 2 2 2 5 9" xfId="8005"/>
    <cellStyle name="Comma 2 2 2 6" xfId="802"/>
    <cellStyle name="Comma 2 2 2 6 10" xfId="22075"/>
    <cellStyle name="Comma 2 2 2 6 11" xfId="23230"/>
    <cellStyle name="Comma 2 2 2 6 2" xfId="803"/>
    <cellStyle name="Comma 2 2 2 6 2 2" xfId="9574"/>
    <cellStyle name="Comma 2 2 2 6 2 2 2" xfId="25374"/>
    <cellStyle name="Comma 2 2 2 6 2 3" xfId="15196"/>
    <cellStyle name="Comma 2 2 2 6 2 3 2" xfId="24209"/>
    <cellStyle name="Comma 2 2 2 6 2 4" xfId="8012"/>
    <cellStyle name="Comma 2 2 2 6 2 5" xfId="21003"/>
    <cellStyle name="Comma 2 2 2 6 2 6" xfId="22076"/>
    <cellStyle name="Comma 2 2 2 6 2 7" xfId="23231"/>
    <cellStyle name="Comma 2 2 2 6 3" xfId="804"/>
    <cellStyle name="Comma 2 2 2 6 3 2" xfId="9575"/>
    <cellStyle name="Comma 2 2 2 6 3 2 2" xfId="25375"/>
    <cellStyle name="Comma 2 2 2 6 3 3" xfId="15197"/>
    <cellStyle name="Comma 2 2 2 6 3 3 2" xfId="24210"/>
    <cellStyle name="Comma 2 2 2 6 3 4" xfId="8013"/>
    <cellStyle name="Comma 2 2 2 6 3 5" xfId="21004"/>
    <cellStyle name="Comma 2 2 2 6 3 6" xfId="22077"/>
    <cellStyle name="Comma 2 2 2 6 3 7" xfId="23232"/>
    <cellStyle name="Comma 2 2 2 6 4" xfId="805"/>
    <cellStyle name="Comma 2 2 2 6 4 2" xfId="9576"/>
    <cellStyle name="Comma 2 2 2 6 4 2 2" xfId="25376"/>
    <cellStyle name="Comma 2 2 2 6 4 3" xfId="15198"/>
    <cellStyle name="Comma 2 2 2 6 4 3 2" xfId="24211"/>
    <cellStyle name="Comma 2 2 2 6 4 4" xfId="8014"/>
    <cellStyle name="Comma 2 2 2 6 4 5" xfId="21005"/>
    <cellStyle name="Comma 2 2 2 6 4 6" xfId="22078"/>
    <cellStyle name="Comma 2 2 2 6 4 7" xfId="23233"/>
    <cellStyle name="Comma 2 2 2 6 5" xfId="806"/>
    <cellStyle name="Comma 2 2 2 6 5 2" xfId="9577"/>
    <cellStyle name="Comma 2 2 2 6 5 2 2" xfId="25377"/>
    <cellStyle name="Comma 2 2 2 6 5 3" xfId="15199"/>
    <cellStyle name="Comma 2 2 2 6 5 3 2" xfId="24212"/>
    <cellStyle name="Comma 2 2 2 6 5 4" xfId="8015"/>
    <cellStyle name="Comma 2 2 2 6 5 5" xfId="21006"/>
    <cellStyle name="Comma 2 2 2 6 5 6" xfId="22079"/>
    <cellStyle name="Comma 2 2 2 6 5 7" xfId="23234"/>
    <cellStyle name="Comma 2 2 2 6 6" xfId="9573"/>
    <cellStyle name="Comma 2 2 2 6 6 2" xfId="25373"/>
    <cellStyle name="Comma 2 2 2 6 7" xfId="15195"/>
    <cellStyle name="Comma 2 2 2 6 7 2" xfId="24208"/>
    <cellStyle name="Comma 2 2 2 6 8" xfId="8011"/>
    <cellStyle name="Comma 2 2 2 6 9" xfId="21002"/>
    <cellStyle name="Comma 2 2 2 7" xfId="807"/>
    <cellStyle name="Comma 2 2 2 7 10" xfId="22080"/>
    <cellStyle name="Comma 2 2 2 7 11" xfId="23235"/>
    <cellStyle name="Comma 2 2 2 7 2" xfId="808"/>
    <cellStyle name="Comma 2 2 2 7 2 2" xfId="9579"/>
    <cellStyle name="Comma 2 2 2 7 2 2 2" xfId="25379"/>
    <cellStyle name="Comma 2 2 2 7 2 3" xfId="15201"/>
    <cellStyle name="Comma 2 2 2 7 2 3 2" xfId="24214"/>
    <cellStyle name="Comma 2 2 2 7 2 4" xfId="8017"/>
    <cellStyle name="Comma 2 2 2 7 2 5" xfId="21008"/>
    <cellStyle name="Comma 2 2 2 7 2 6" xfId="22081"/>
    <cellStyle name="Comma 2 2 2 7 2 7" xfId="23236"/>
    <cellStyle name="Comma 2 2 2 7 3" xfId="809"/>
    <cellStyle name="Comma 2 2 2 7 3 2" xfId="9580"/>
    <cellStyle name="Comma 2 2 2 7 3 2 2" xfId="25380"/>
    <cellStyle name="Comma 2 2 2 7 3 3" xfId="15202"/>
    <cellStyle name="Comma 2 2 2 7 3 3 2" xfId="24215"/>
    <cellStyle name="Comma 2 2 2 7 3 4" xfId="8018"/>
    <cellStyle name="Comma 2 2 2 7 3 5" xfId="21009"/>
    <cellStyle name="Comma 2 2 2 7 3 6" xfId="22082"/>
    <cellStyle name="Comma 2 2 2 7 3 7" xfId="23237"/>
    <cellStyle name="Comma 2 2 2 7 4" xfId="810"/>
    <cellStyle name="Comma 2 2 2 7 4 2" xfId="9581"/>
    <cellStyle name="Comma 2 2 2 7 4 2 2" xfId="25381"/>
    <cellStyle name="Comma 2 2 2 7 4 3" xfId="15203"/>
    <cellStyle name="Comma 2 2 2 7 4 3 2" xfId="24216"/>
    <cellStyle name="Comma 2 2 2 7 4 4" xfId="8019"/>
    <cellStyle name="Comma 2 2 2 7 4 5" xfId="21010"/>
    <cellStyle name="Comma 2 2 2 7 4 6" xfId="22083"/>
    <cellStyle name="Comma 2 2 2 7 4 7" xfId="23238"/>
    <cellStyle name="Comma 2 2 2 7 5" xfId="811"/>
    <cellStyle name="Comma 2 2 2 7 5 2" xfId="9582"/>
    <cellStyle name="Comma 2 2 2 7 5 2 2" xfId="25382"/>
    <cellStyle name="Comma 2 2 2 7 5 3" xfId="15204"/>
    <cellStyle name="Comma 2 2 2 7 5 3 2" xfId="24217"/>
    <cellStyle name="Comma 2 2 2 7 5 4" xfId="8020"/>
    <cellStyle name="Comma 2 2 2 7 5 5" xfId="21011"/>
    <cellStyle name="Comma 2 2 2 7 5 6" xfId="22084"/>
    <cellStyle name="Comma 2 2 2 7 5 7" xfId="23239"/>
    <cellStyle name="Comma 2 2 2 7 6" xfId="9578"/>
    <cellStyle name="Comma 2 2 2 7 6 2" xfId="25378"/>
    <cellStyle name="Comma 2 2 2 7 7" xfId="15200"/>
    <cellStyle name="Comma 2 2 2 7 7 2" xfId="24213"/>
    <cellStyle name="Comma 2 2 2 7 8" xfId="8016"/>
    <cellStyle name="Comma 2 2 2 7 9" xfId="21007"/>
    <cellStyle name="Comma 2 2 2 8" xfId="812"/>
    <cellStyle name="Comma 2 2 2 8 2" xfId="9583"/>
    <cellStyle name="Comma 2 2 2 8 2 2" xfId="25383"/>
    <cellStyle name="Comma 2 2 2 8 3" xfId="15205"/>
    <cellStyle name="Comma 2 2 2 8 3 2" xfId="24218"/>
    <cellStyle name="Comma 2 2 2 8 4" xfId="8021"/>
    <cellStyle name="Comma 2 2 2 8 5" xfId="21012"/>
    <cellStyle name="Comma 2 2 2 8 6" xfId="22085"/>
    <cellStyle name="Comma 2 2 2 8 7" xfId="23240"/>
    <cellStyle name="Comma 2 2 2 9" xfId="813"/>
    <cellStyle name="Comma 2 2 2 9 2" xfId="9584"/>
    <cellStyle name="Comma 2 2 2 9 2 2" xfId="25384"/>
    <cellStyle name="Comma 2 2 2 9 3" xfId="15206"/>
    <cellStyle name="Comma 2 2 2 9 3 2" xfId="24219"/>
    <cellStyle name="Comma 2 2 2 9 4" xfId="8022"/>
    <cellStyle name="Comma 2 2 2 9 5" xfId="21013"/>
    <cellStyle name="Comma 2 2 2 9 6" xfId="22086"/>
    <cellStyle name="Comma 2 2 2 9 7" xfId="23241"/>
    <cellStyle name="Comma 2 2 3" xfId="196"/>
    <cellStyle name="Comma 2 2 3 10" xfId="814"/>
    <cellStyle name="Comma 2 2 3 10 2" xfId="9585"/>
    <cellStyle name="Comma 2 2 3 10 2 2" xfId="25385"/>
    <cellStyle name="Comma 2 2 3 10 3" xfId="15208"/>
    <cellStyle name="Comma 2 2 3 10 3 2" xfId="24221"/>
    <cellStyle name="Comma 2 2 3 10 4" xfId="8024"/>
    <cellStyle name="Comma 2 2 3 10 5" xfId="21015"/>
    <cellStyle name="Comma 2 2 3 10 6" xfId="22088"/>
    <cellStyle name="Comma 2 2 3 10 7" xfId="23242"/>
    <cellStyle name="Comma 2 2 3 11" xfId="815"/>
    <cellStyle name="Comma 2 2 3 11 2" xfId="9586"/>
    <cellStyle name="Comma 2 2 3 11 2 2" xfId="25386"/>
    <cellStyle name="Comma 2 2 3 11 3" xfId="15209"/>
    <cellStyle name="Comma 2 2 3 11 3 2" xfId="24222"/>
    <cellStyle name="Comma 2 2 3 11 4" xfId="8025"/>
    <cellStyle name="Comma 2 2 3 11 5" xfId="21016"/>
    <cellStyle name="Comma 2 2 3 11 6" xfId="22089"/>
    <cellStyle name="Comma 2 2 3 11 7" xfId="23243"/>
    <cellStyle name="Comma 2 2 3 12" xfId="9071"/>
    <cellStyle name="Comma 2 2 3 12 2" xfId="25126"/>
    <cellStyle name="Comma 2 2 3 13" xfId="15207"/>
    <cellStyle name="Comma 2 2 3 13 2" xfId="24220"/>
    <cellStyle name="Comma 2 2 3 14" xfId="8023"/>
    <cellStyle name="Comma 2 2 3 15" xfId="21014"/>
    <cellStyle name="Comma 2 2 3 16" xfId="22087"/>
    <cellStyle name="Comma 2 2 3 17" xfId="22987"/>
    <cellStyle name="Comma 2 2 3 2" xfId="259"/>
    <cellStyle name="Comma 2 2 3 2 10" xfId="816"/>
    <cellStyle name="Comma 2 2 3 2 10 2" xfId="9587"/>
    <cellStyle name="Comma 2 2 3 2 10 2 2" xfId="25387"/>
    <cellStyle name="Comma 2 2 3 2 10 3" xfId="15211"/>
    <cellStyle name="Comma 2 2 3 2 10 3 2" xfId="24224"/>
    <cellStyle name="Comma 2 2 3 2 10 4" xfId="8027"/>
    <cellStyle name="Comma 2 2 3 2 10 5" xfId="21018"/>
    <cellStyle name="Comma 2 2 3 2 10 6" xfId="22091"/>
    <cellStyle name="Comma 2 2 3 2 10 7" xfId="23244"/>
    <cellStyle name="Comma 2 2 3 2 11" xfId="9116"/>
    <cellStyle name="Comma 2 2 3 2 11 2" xfId="25170"/>
    <cellStyle name="Comma 2 2 3 2 12" xfId="15210"/>
    <cellStyle name="Comma 2 2 3 2 12 2" xfId="24223"/>
    <cellStyle name="Comma 2 2 3 2 13" xfId="8026"/>
    <cellStyle name="Comma 2 2 3 2 14" xfId="21017"/>
    <cellStyle name="Comma 2 2 3 2 15" xfId="22090"/>
    <cellStyle name="Comma 2 2 3 2 16" xfId="23031"/>
    <cellStyle name="Comma 2 2 3 2 2" xfId="252"/>
    <cellStyle name="Comma 2 2 3 2 2 10" xfId="15212"/>
    <cellStyle name="Comma 2 2 3 2 2 10 2" xfId="24225"/>
    <cellStyle name="Comma 2 2 3 2 2 11" xfId="8028"/>
    <cellStyle name="Comma 2 2 3 2 2 12" xfId="21019"/>
    <cellStyle name="Comma 2 2 3 2 2 13" xfId="22092"/>
    <cellStyle name="Comma 2 2 3 2 2 14" xfId="23026"/>
    <cellStyle name="Comma 2 2 3 2 2 2" xfId="249"/>
    <cellStyle name="Comma 2 2 3 2 2 2 10" xfId="21020"/>
    <cellStyle name="Comma 2 2 3 2 2 2 11" xfId="22093"/>
    <cellStyle name="Comma 2 2 3 2 2 2 12" xfId="23023"/>
    <cellStyle name="Comma 2 2 3 2 2 2 2" xfId="817"/>
    <cellStyle name="Comma 2 2 3 2 2 2 2 2" xfId="9588"/>
    <cellStyle name="Comma 2 2 3 2 2 2 2 2 2" xfId="25388"/>
    <cellStyle name="Comma 2 2 3 2 2 2 2 3" xfId="15214"/>
    <cellStyle name="Comma 2 2 3 2 2 2 2 3 2" xfId="24227"/>
    <cellStyle name="Comma 2 2 3 2 2 2 2 4" xfId="8030"/>
    <cellStyle name="Comma 2 2 3 2 2 2 2 5" xfId="21021"/>
    <cellStyle name="Comma 2 2 3 2 2 2 2 6" xfId="22094"/>
    <cellStyle name="Comma 2 2 3 2 2 2 2 7" xfId="23245"/>
    <cellStyle name="Comma 2 2 3 2 2 2 3" xfId="818"/>
    <cellStyle name="Comma 2 2 3 2 2 2 3 2" xfId="9589"/>
    <cellStyle name="Comma 2 2 3 2 2 2 3 2 2" xfId="25389"/>
    <cellStyle name="Comma 2 2 3 2 2 2 3 3" xfId="15215"/>
    <cellStyle name="Comma 2 2 3 2 2 2 3 3 2" xfId="24228"/>
    <cellStyle name="Comma 2 2 3 2 2 2 3 4" xfId="8031"/>
    <cellStyle name="Comma 2 2 3 2 2 2 3 5" xfId="21022"/>
    <cellStyle name="Comma 2 2 3 2 2 2 3 6" xfId="22095"/>
    <cellStyle name="Comma 2 2 3 2 2 2 3 7" xfId="23246"/>
    <cellStyle name="Comma 2 2 3 2 2 2 4" xfId="819"/>
    <cellStyle name="Comma 2 2 3 2 2 2 4 2" xfId="9590"/>
    <cellStyle name="Comma 2 2 3 2 2 2 4 2 2" xfId="25390"/>
    <cellStyle name="Comma 2 2 3 2 2 2 4 3" xfId="15216"/>
    <cellStyle name="Comma 2 2 3 2 2 2 4 3 2" xfId="24229"/>
    <cellStyle name="Comma 2 2 3 2 2 2 4 4" xfId="8032"/>
    <cellStyle name="Comma 2 2 3 2 2 2 4 5" xfId="21023"/>
    <cellStyle name="Comma 2 2 3 2 2 2 4 6" xfId="22096"/>
    <cellStyle name="Comma 2 2 3 2 2 2 4 7" xfId="23247"/>
    <cellStyle name="Comma 2 2 3 2 2 2 5" xfId="820"/>
    <cellStyle name="Comma 2 2 3 2 2 2 5 2" xfId="9591"/>
    <cellStyle name="Comma 2 2 3 2 2 2 5 2 2" xfId="25391"/>
    <cellStyle name="Comma 2 2 3 2 2 2 5 3" xfId="15217"/>
    <cellStyle name="Comma 2 2 3 2 2 2 5 3 2" xfId="24230"/>
    <cellStyle name="Comma 2 2 3 2 2 2 5 4" xfId="8033"/>
    <cellStyle name="Comma 2 2 3 2 2 2 5 5" xfId="21024"/>
    <cellStyle name="Comma 2 2 3 2 2 2 5 6" xfId="22097"/>
    <cellStyle name="Comma 2 2 3 2 2 2 5 7" xfId="23248"/>
    <cellStyle name="Comma 2 2 3 2 2 2 6" xfId="821"/>
    <cellStyle name="Comma 2 2 3 2 2 2 6 2" xfId="9592"/>
    <cellStyle name="Comma 2 2 3 2 2 2 6 2 2" xfId="25392"/>
    <cellStyle name="Comma 2 2 3 2 2 2 6 3" xfId="15218"/>
    <cellStyle name="Comma 2 2 3 2 2 2 6 3 2" xfId="24231"/>
    <cellStyle name="Comma 2 2 3 2 2 2 6 4" xfId="8034"/>
    <cellStyle name="Comma 2 2 3 2 2 2 6 5" xfId="21025"/>
    <cellStyle name="Comma 2 2 3 2 2 2 6 6" xfId="22098"/>
    <cellStyle name="Comma 2 2 3 2 2 2 6 7" xfId="23249"/>
    <cellStyle name="Comma 2 2 3 2 2 2 7" xfId="9108"/>
    <cellStyle name="Comma 2 2 3 2 2 2 7 2" xfId="25162"/>
    <cellStyle name="Comma 2 2 3 2 2 2 8" xfId="15213"/>
    <cellStyle name="Comma 2 2 3 2 2 2 8 2" xfId="24226"/>
    <cellStyle name="Comma 2 2 3 2 2 2 9" xfId="8029"/>
    <cellStyle name="Comma 2 2 3 2 2 3" xfId="822"/>
    <cellStyle name="Comma 2 2 3 2 2 3 10" xfId="22099"/>
    <cellStyle name="Comma 2 2 3 2 2 3 11" xfId="23250"/>
    <cellStyle name="Comma 2 2 3 2 2 3 2" xfId="823"/>
    <cellStyle name="Comma 2 2 3 2 2 3 2 2" xfId="9594"/>
    <cellStyle name="Comma 2 2 3 2 2 3 2 2 2" xfId="25394"/>
    <cellStyle name="Comma 2 2 3 2 2 3 2 3" xfId="15220"/>
    <cellStyle name="Comma 2 2 3 2 2 3 2 3 2" xfId="24233"/>
    <cellStyle name="Comma 2 2 3 2 2 3 2 4" xfId="8036"/>
    <cellStyle name="Comma 2 2 3 2 2 3 2 5" xfId="21027"/>
    <cellStyle name="Comma 2 2 3 2 2 3 2 6" xfId="22100"/>
    <cellStyle name="Comma 2 2 3 2 2 3 2 7" xfId="23251"/>
    <cellStyle name="Comma 2 2 3 2 2 3 3" xfId="824"/>
    <cellStyle name="Comma 2 2 3 2 2 3 3 2" xfId="9595"/>
    <cellStyle name="Comma 2 2 3 2 2 3 3 2 2" xfId="25395"/>
    <cellStyle name="Comma 2 2 3 2 2 3 3 3" xfId="15221"/>
    <cellStyle name="Comma 2 2 3 2 2 3 3 3 2" xfId="24234"/>
    <cellStyle name="Comma 2 2 3 2 2 3 3 4" xfId="8037"/>
    <cellStyle name="Comma 2 2 3 2 2 3 3 5" xfId="21028"/>
    <cellStyle name="Comma 2 2 3 2 2 3 3 6" xfId="22101"/>
    <cellStyle name="Comma 2 2 3 2 2 3 3 7" xfId="23252"/>
    <cellStyle name="Comma 2 2 3 2 2 3 4" xfId="825"/>
    <cellStyle name="Comma 2 2 3 2 2 3 4 2" xfId="9596"/>
    <cellStyle name="Comma 2 2 3 2 2 3 4 2 2" xfId="25396"/>
    <cellStyle name="Comma 2 2 3 2 2 3 4 3" xfId="15222"/>
    <cellStyle name="Comma 2 2 3 2 2 3 4 3 2" xfId="24235"/>
    <cellStyle name="Comma 2 2 3 2 2 3 4 4" xfId="8038"/>
    <cellStyle name="Comma 2 2 3 2 2 3 4 5" xfId="21029"/>
    <cellStyle name="Comma 2 2 3 2 2 3 4 6" xfId="22102"/>
    <cellStyle name="Comma 2 2 3 2 2 3 4 7" xfId="23253"/>
    <cellStyle name="Comma 2 2 3 2 2 3 5" xfId="826"/>
    <cellStyle name="Comma 2 2 3 2 2 3 5 2" xfId="9597"/>
    <cellStyle name="Comma 2 2 3 2 2 3 5 2 2" xfId="25397"/>
    <cellStyle name="Comma 2 2 3 2 2 3 5 3" xfId="15223"/>
    <cellStyle name="Comma 2 2 3 2 2 3 5 3 2" xfId="24236"/>
    <cellStyle name="Comma 2 2 3 2 2 3 5 4" xfId="8039"/>
    <cellStyle name="Comma 2 2 3 2 2 3 5 5" xfId="21030"/>
    <cellStyle name="Comma 2 2 3 2 2 3 5 6" xfId="22103"/>
    <cellStyle name="Comma 2 2 3 2 2 3 5 7" xfId="23254"/>
    <cellStyle name="Comma 2 2 3 2 2 3 6" xfId="9593"/>
    <cellStyle name="Comma 2 2 3 2 2 3 6 2" xfId="25393"/>
    <cellStyle name="Comma 2 2 3 2 2 3 7" xfId="15219"/>
    <cellStyle name="Comma 2 2 3 2 2 3 7 2" xfId="24232"/>
    <cellStyle name="Comma 2 2 3 2 2 3 8" xfId="8035"/>
    <cellStyle name="Comma 2 2 3 2 2 3 9" xfId="21026"/>
    <cellStyle name="Comma 2 2 3 2 2 4" xfId="827"/>
    <cellStyle name="Comma 2 2 3 2 2 4 2" xfId="9598"/>
    <cellStyle name="Comma 2 2 3 2 2 4 2 2" xfId="25398"/>
    <cellStyle name="Comma 2 2 3 2 2 4 3" xfId="15224"/>
    <cellStyle name="Comma 2 2 3 2 2 4 3 2" xfId="24237"/>
    <cellStyle name="Comma 2 2 3 2 2 4 4" xfId="8040"/>
    <cellStyle name="Comma 2 2 3 2 2 4 5" xfId="21031"/>
    <cellStyle name="Comma 2 2 3 2 2 4 6" xfId="22104"/>
    <cellStyle name="Comma 2 2 3 2 2 4 7" xfId="23255"/>
    <cellStyle name="Comma 2 2 3 2 2 5" xfId="828"/>
    <cellStyle name="Comma 2 2 3 2 2 5 2" xfId="9599"/>
    <cellStyle name="Comma 2 2 3 2 2 5 2 2" xfId="25399"/>
    <cellStyle name="Comma 2 2 3 2 2 5 3" xfId="15225"/>
    <cellStyle name="Comma 2 2 3 2 2 5 3 2" xfId="24238"/>
    <cellStyle name="Comma 2 2 3 2 2 5 4" xfId="8041"/>
    <cellStyle name="Comma 2 2 3 2 2 5 5" xfId="21032"/>
    <cellStyle name="Comma 2 2 3 2 2 5 6" xfId="22105"/>
    <cellStyle name="Comma 2 2 3 2 2 5 7" xfId="23256"/>
    <cellStyle name="Comma 2 2 3 2 2 6" xfId="829"/>
    <cellStyle name="Comma 2 2 3 2 2 6 2" xfId="9600"/>
    <cellStyle name="Comma 2 2 3 2 2 6 2 2" xfId="25400"/>
    <cellStyle name="Comma 2 2 3 2 2 6 3" xfId="15226"/>
    <cellStyle name="Comma 2 2 3 2 2 6 3 2" xfId="24239"/>
    <cellStyle name="Comma 2 2 3 2 2 6 4" xfId="8042"/>
    <cellStyle name="Comma 2 2 3 2 2 6 5" xfId="21033"/>
    <cellStyle name="Comma 2 2 3 2 2 6 6" xfId="22106"/>
    <cellStyle name="Comma 2 2 3 2 2 6 7" xfId="23257"/>
    <cellStyle name="Comma 2 2 3 2 2 7" xfId="830"/>
    <cellStyle name="Comma 2 2 3 2 2 7 2" xfId="9601"/>
    <cellStyle name="Comma 2 2 3 2 2 7 2 2" xfId="25401"/>
    <cellStyle name="Comma 2 2 3 2 2 7 3" xfId="15227"/>
    <cellStyle name="Comma 2 2 3 2 2 7 3 2" xfId="24240"/>
    <cellStyle name="Comma 2 2 3 2 2 7 4" xfId="8043"/>
    <cellStyle name="Comma 2 2 3 2 2 7 5" xfId="21034"/>
    <cellStyle name="Comma 2 2 3 2 2 7 6" xfId="22107"/>
    <cellStyle name="Comma 2 2 3 2 2 7 7" xfId="23258"/>
    <cellStyle name="Comma 2 2 3 2 2 8" xfId="831"/>
    <cellStyle name="Comma 2 2 3 2 2 8 2" xfId="9602"/>
    <cellStyle name="Comma 2 2 3 2 2 8 2 2" xfId="25402"/>
    <cellStyle name="Comma 2 2 3 2 2 8 3" xfId="15228"/>
    <cellStyle name="Comma 2 2 3 2 2 8 3 2" xfId="24241"/>
    <cellStyle name="Comma 2 2 3 2 2 8 4" xfId="8044"/>
    <cellStyle name="Comma 2 2 3 2 2 8 5" xfId="21035"/>
    <cellStyle name="Comma 2 2 3 2 2 8 6" xfId="22108"/>
    <cellStyle name="Comma 2 2 3 2 2 8 7" xfId="23259"/>
    <cellStyle name="Comma 2 2 3 2 2 9" xfId="9111"/>
    <cellStyle name="Comma 2 2 3 2 2 9 2" xfId="25165"/>
    <cellStyle name="Comma 2 2 3 2 3" xfId="237"/>
    <cellStyle name="Comma 2 2 3 2 3 10" xfId="21036"/>
    <cellStyle name="Comma 2 2 3 2 3 11" xfId="22109"/>
    <cellStyle name="Comma 2 2 3 2 3 12" xfId="23016"/>
    <cellStyle name="Comma 2 2 3 2 3 2" xfId="832"/>
    <cellStyle name="Comma 2 2 3 2 3 2 2" xfId="9603"/>
    <cellStyle name="Comma 2 2 3 2 3 2 2 2" xfId="25403"/>
    <cellStyle name="Comma 2 2 3 2 3 2 3" xfId="15230"/>
    <cellStyle name="Comma 2 2 3 2 3 2 3 2" xfId="24243"/>
    <cellStyle name="Comma 2 2 3 2 3 2 4" xfId="8046"/>
    <cellStyle name="Comma 2 2 3 2 3 2 5" xfId="21037"/>
    <cellStyle name="Comma 2 2 3 2 3 2 6" xfId="22110"/>
    <cellStyle name="Comma 2 2 3 2 3 2 7" xfId="23260"/>
    <cellStyle name="Comma 2 2 3 2 3 3" xfId="833"/>
    <cellStyle name="Comma 2 2 3 2 3 3 2" xfId="9604"/>
    <cellStyle name="Comma 2 2 3 2 3 3 2 2" xfId="25404"/>
    <cellStyle name="Comma 2 2 3 2 3 3 3" xfId="15231"/>
    <cellStyle name="Comma 2 2 3 2 3 3 3 2" xfId="24244"/>
    <cellStyle name="Comma 2 2 3 2 3 3 4" xfId="8047"/>
    <cellStyle name="Comma 2 2 3 2 3 3 5" xfId="21038"/>
    <cellStyle name="Comma 2 2 3 2 3 3 6" xfId="22111"/>
    <cellStyle name="Comma 2 2 3 2 3 3 7" xfId="23261"/>
    <cellStyle name="Comma 2 2 3 2 3 4" xfId="834"/>
    <cellStyle name="Comma 2 2 3 2 3 4 2" xfId="9605"/>
    <cellStyle name="Comma 2 2 3 2 3 4 2 2" xfId="25405"/>
    <cellStyle name="Comma 2 2 3 2 3 4 3" xfId="15232"/>
    <cellStyle name="Comma 2 2 3 2 3 4 3 2" xfId="24245"/>
    <cellStyle name="Comma 2 2 3 2 3 4 4" xfId="8048"/>
    <cellStyle name="Comma 2 2 3 2 3 4 5" xfId="21039"/>
    <cellStyle name="Comma 2 2 3 2 3 4 6" xfId="22112"/>
    <cellStyle name="Comma 2 2 3 2 3 4 7" xfId="23262"/>
    <cellStyle name="Comma 2 2 3 2 3 5" xfId="835"/>
    <cellStyle name="Comma 2 2 3 2 3 5 2" xfId="9606"/>
    <cellStyle name="Comma 2 2 3 2 3 5 2 2" xfId="25406"/>
    <cellStyle name="Comma 2 2 3 2 3 5 3" xfId="15233"/>
    <cellStyle name="Comma 2 2 3 2 3 5 3 2" xfId="24246"/>
    <cellStyle name="Comma 2 2 3 2 3 5 4" xfId="8049"/>
    <cellStyle name="Comma 2 2 3 2 3 5 5" xfId="21040"/>
    <cellStyle name="Comma 2 2 3 2 3 5 6" xfId="22113"/>
    <cellStyle name="Comma 2 2 3 2 3 5 7" xfId="23263"/>
    <cellStyle name="Comma 2 2 3 2 3 6" xfId="836"/>
    <cellStyle name="Comma 2 2 3 2 3 6 2" xfId="9607"/>
    <cellStyle name="Comma 2 2 3 2 3 6 2 2" xfId="25407"/>
    <cellStyle name="Comma 2 2 3 2 3 6 3" xfId="15234"/>
    <cellStyle name="Comma 2 2 3 2 3 6 3 2" xfId="24247"/>
    <cellStyle name="Comma 2 2 3 2 3 6 4" xfId="8050"/>
    <cellStyle name="Comma 2 2 3 2 3 6 5" xfId="21041"/>
    <cellStyle name="Comma 2 2 3 2 3 6 6" xfId="22114"/>
    <cellStyle name="Comma 2 2 3 2 3 6 7" xfId="23264"/>
    <cellStyle name="Comma 2 2 3 2 3 7" xfId="9100"/>
    <cellStyle name="Comma 2 2 3 2 3 7 2" xfId="25155"/>
    <cellStyle name="Comma 2 2 3 2 3 8" xfId="15229"/>
    <cellStyle name="Comma 2 2 3 2 3 8 2" xfId="24242"/>
    <cellStyle name="Comma 2 2 3 2 3 9" xfId="8045"/>
    <cellStyle name="Comma 2 2 3 2 4" xfId="837"/>
    <cellStyle name="Comma 2 2 3 2 4 10" xfId="22115"/>
    <cellStyle name="Comma 2 2 3 2 4 11" xfId="23265"/>
    <cellStyle name="Comma 2 2 3 2 4 2" xfId="838"/>
    <cellStyle name="Comma 2 2 3 2 4 2 2" xfId="9609"/>
    <cellStyle name="Comma 2 2 3 2 4 2 2 2" xfId="25409"/>
    <cellStyle name="Comma 2 2 3 2 4 2 3" xfId="15236"/>
    <cellStyle name="Comma 2 2 3 2 4 2 3 2" xfId="24249"/>
    <cellStyle name="Comma 2 2 3 2 4 2 4" xfId="8052"/>
    <cellStyle name="Comma 2 2 3 2 4 2 5" xfId="21043"/>
    <cellStyle name="Comma 2 2 3 2 4 2 6" xfId="22116"/>
    <cellStyle name="Comma 2 2 3 2 4 2 7" xfId="23266"/>
    <cellStyle name="Comma 2 2 3 2 4 3" xfId="839"/>
    <cellStyle name="Comma 2 2 3 2 4 3 2" xfId="9610"/>
    <cellStyle name="Comma 2 2 3 2 4 3 2 2" xfId="25410"/>
    <cellStyle name="Comma 2 2 3 2 4 3 3" xfId="15237"/>
    <cellStyle name="Comma 2 2 3 2 4 3 3 2" xfId="24250"/>
    <cellStyle name="Comma 2 2 3 2 4 3 4" xfId="8053"/>
    <cellStyle name="Comma 2 2 3 2 4 3 5" xfId="21044"/>
    <cellStyle name="Comma 2 2 3 2 4 3 6" xfId="22117"/>
    <cellStyle name="Comma 2 2 3 2 4 3 7" xfId="23267"/>
    <cellStyle name="Comma 2 2 3 2 4 4" xfId="840"/>
    <cellStyle name="Comma 2 2 3 2 4 4 2" xfId="9611"/>
    <cellStyle name="Comma 2 2 3 2 4 4 2 2" xfId="25411"/>
    <cellStyle name="Comma 2 2 3 2 4 4 3" xfId="15238"/>
    <cellStyle name="Comma 2 2 3 2 4 4 3 2" xfId="24251"/>
    <cellStyle name="Comma 2 2 3 2 4 4 4" xfId="8054"/>
    <cellStyle name="Comma 2 2 3 2 4 4 5" xfId="21045"/>
    <cellStyle name="Comma 2 2 3 2 4 4 6" xfId="22118"/>
    <cellStyle name="Comma 2 2 3 2 4 4 7" xfId="23268"/>
    <cellStyle name="Comma 2 2 3 2 4 5" xfId="841"/>
    <cellStyle name="Comma 2 2 3 2 4 5 2" xfId="9612"/>
    <cellStyle name="Comma 2 2 3 2 4 5 2 2" xfId="25412"/>
    <cellStyle name="Comma 2 2 3 2 4 5 3" xfId="15239"/>
    <cellStyle name="Comma 2 2 3 2 4 5 3 2" xfId="24252"/>
    <cellStyle name="Comma 2 2 3 2 4 5 4" xfId="8055"/>
    <cellStyle name="Comma 2 2 3 2 4 5 5" xfId="21046"/>
    <cellStyle name="Comma 2 2 3 2 4 5 6" xfId="22119"/>
    <cellStyle name="Comma 2 2 3 2 4 5 7" xfId="23269"/>
    <cellStyle name="Comma 2 2 3 2 4 6" xfId="9608"/>
    <cellStyle name="Comma 2 2 3 2 4 6 2" xfId="25408"/>
    <cellStyle name="Comma 2 2 3 2 4 7" xfId="15235"/>
    <cellStyle name="Comma 2 2 3 2 4 7 2" xfId="24248"/>
    <cellStyle name="Comma 2 2 3 2 4 8" xfId="8051"/>
    <cellStyle name="Comma 2 2 3 2 4 9" xfId="21042"/>
    <cellStyle name="Comma 2 2 3 2 5" xfId="842"/>
    <cellStyle name="Comma 2 2 3 2 5 10" xfId="22120"/>
    <cellStyle name="Comma 2 2 3 2 5 11" xfId="23270"/>
    <cellStyle name="Comma 2 2 3 2 5 2" xfId="843"/>
    <cellStyle name="Comma 2 2 3 2 5 2 2" xfId="9614"/>
    <cellStyle name="Comma 2 2 3 2 5 2 2 2" xfId="25414"/>
    <cellStyle name="Comma 2 2 3 2 5 2 3" xfId="15241"/>
    <cellStyle name="Comma 2 2 3 2 5 2 3 2" xfId="24254"/>
    <cellStyle name="Comma 2 2 3 2 5 2 4" xfId="8057"/>
    <cellStyle name="Comma 2 2 3 2 5 2 5" xfId="21048"/>
    <cellStyle name="Comma 2 2 3 2 5 2 6" xfId="22121"/>
    <cellStyle name="Comma 2 2 3 2 5 2 7" xfId="23271"/>
    <cellStyle name="Comma 2 2 3 2 5 3" xfId="844"/>
    <cellStyle name="Comma 2 2 3 2 5 3 2" xfId="9615"/>
    <cellStyle name="Comma 2 2 3 2 5 3 2 2" xfId="25415"/>
    <cellStyle name="Comma 2 2 3 2 5 3 3" xfId="15242"/>
    <cellStyle name="Comma 2 2 3 2 5 3 3 2" xfId="24255"/>
    <cellStyle name="Comma 2 2 3 2 5 3 4" xfId="8058"/>
    <cellStyle name="Comma 2 2 3 2 5 3 5" xfId="21049"/>
    <cellStyle name="Comma 2 2 3 2 5 3 6" xfId="22122"/>
    <cellStyle name="Comma 2 2 3 2 5 3 7" xfId="23272"/>
    <cellStyle name="Comma 2 2 3 2 5 4" xfId="845"/>
    <cellStyle name="Comma 2 2 3 2 5 4 2" xfId="9616"/>
    <cellStyle name="Comma 2 2 3 2 5 4 2 2" xfId="25416"/>
    <cellStyle name="Comma 2 2 3 2 5 4 3" xfId="15243"/>
    <cellStyle name="Comma 2 2 3 2 5 4 3 2" xfId="24256"/>
    <cellStyle name="Comma 2 2 3 2 5 4 4" xfId="8059"/>
    <cellStyle name="Comma 2 2 3 2 5 4 5" xfId="21050"/>
    <cellStyle name="Comma 2 2 3 2 5 4 6" xfId="22123"/>
    <cellStyle name="Comma 2 2 3 2 5 4 7" xfId="23273"/>
    <cellStyle name="Comma 2 2 3 2 5 5" xfId="846"/>
    <cellStyle name="Comma 2 2 3 2 5 5 2" xfId="9617"/>
    <cellStyle name="Comma 2 2 3 2 5 5 2 2" xfId="25417"/>
    <cellStyle name="Comma 2 2 3 2 5 5 3" xfId="15244"/>
    <cellStyle name="Comma 2 2 3 2 5 5 3 2" xfId="24257"/>
    <cellStyle name="Comma 2 2 3 2 5 5 4" xfId="8060"/>
    <cellStyle name="Comma 2 2 3 2 5 5 5" xfId="21051"/>
    <cellStyle name="Comma 2 2 3 2 5 5 6" xfId="22124"/>
    <cellStyle name="Comma 2 2 3 2 5 5 7" xfId="23274"/>
    <cellStyle name="Comma 2 2 3 2 5 6" xfId="9613"/>
    <cellStyle name="Comma 2 2 3 2 5 6 2" xfId="25413"/>
    <cellStyle name="Comma 2 2 3 2 5 7" xfId="15240"/>
    <cellStyle name="Comma 2 2 3 2 5 7 2" xfId="24253"/>
    <cellStyle name="Comma 2 2 3 2 5 8" xfId="8056"/>
    <cellStyle name="Comma 2 2 3 2 5 9" xfId="21047"/>
    <cellStyle name="Comma 2 2 3 2 6" xfId="847"/>
    <cellStyle name="Comma 2 2 3 2 6 2" xfId="9618"/>
    <cellStyle name="Comma 2 2 3 2 6 2 2" xfId="25418"/>
    <cellStyle name="Comma 2 2 3 2 6 3" xfId="15245"/>
    <cellStyle name="Comma 2 2 3 2 6 3 2" xfId="24258"/>
    <cellStyle name="Comma 2 2 3 2 6 4" xfId="8061"/>
    <cellStyle name="Comma 2 2 3 2 6 5" xfId="21052"/>
    <cellStyle name="Comma 2 2 3 2 6 6" xfId="22125"/>
    <cellStyle name="Comma 2 2 3 2 6 7" xfId="23275"/>
    <cellStyle name="Comma 2 2 3 2 7" xfId="848"/>
    <cellStyle name="Comma 2 2 3 2 7 2" xfId="9619"/>
    <cellStyle name="Comma 2 2 3 2 7 2 2" xfId="25419"/>
    <cellStyle name="Comma 2 2 3 2 7 3" xfId="15246"/>
    <cellStyle name="Comma 2 2 3 2 7 3 2" xfId="24259"/>
    <cellStyle name="Comma 2 2 3 2 7 4" xfId="8062"/>
    <cellStyle name="Comma 2 2 3 2 7 5" xfId="21053"/>
    <cellStyle name="Comma 2 2 3 2 7 6" xfId="22126"/>
    <cellStyle name="Comma 2 2 3 2 7 7" xfId="23276"/>
    <cellStyle name="Comma 2 2 3 2 8" xfId="849"/>
    <cellStyle name="Comma 2 2 3 2 8 2" xfId="9620"/>
    <cellStyle name="Comma 2 2 3 2 8 2 2" xfId="25420"/>
    <cellStyle name="Comma 2 2 3 2 8 3" xfId="15247"/>
    <cellStyle name="Comma 2 2 3 2 8 3 2" xfId="24260"/>
    <cellStyle name="Comma 2 2 3 2 8 4" xfId="8063"/>
    <cellStyle name="Comma 2 2 3 2 8 5" xfId="21054"/>
    <cellStyle name="Comma 2 2 3 2 8 6" xfId="22127"/>
    <cellStyle name="Comma 2 2 3 2 8 7" xfId="23277"/>
    <cellStyle name="Comma 2 2 3 2 9" xfId="850"/>
    <cellStyle name="Comma 2 2 3 2 9 2" xfId="9621"/>
    <cellStyle name="Comma 2 2 3 2 9 2 2" xfId="25421"/>
    <cellStyle name="Comma 2 2 3 2 9 3" xfId="15248"/>
    <cellStyle name="Comma 2 2 3 2 9 3 2" xfId="24261"/>
    <cellStyle name="Comma 2 2 3 2 9 4" xfId="8064"/>
    <cellStyle name="Comma 2 2 3 2 9 5" xfId="21055"/>
    <cellStyle name="Comma 2 2 3 2 9 6" xfId="22128"/>
    <cellStyle name="Comma 2 2 3 2 9 7" xfId="23278"/>
    <cellStyle name="Comma 2 2 3 3" xfId="180"/>
    <cellStyle name="Comma 2 2 3 3 10" xfId="15249"/>
    <cellStyle name="Comma 2 2 3 3 10 2" xfId="24262"/>
    <cellStyle name="Comma 2 2 3 3 11" xfId="8065"/>
    <cellStyle name="Comma 2 2 3 3 12" xfId="21056"/>
    <cellStyle name="Comma 2 2 3 3 13" xfId="22129"/>
    <cellStyle name="Comma 2 2 3 3 14" xfId="22981"/>
    <cellStyle name="Comma 2 2 3 3 2" xfId="216"/>
    <cellStyle name="Comma 2 2 3 3 2 10" xfId="21057"/>
    <cellStyle name="Comma 2 2 3 3 2 11" xfId="22130"/>
    <cellStyle name="Comma 2 2 3 3 2 12" xfId="23002"/>
    <cellStyle name="Comma 2 2 3 3 2 2" xfId="851"/>
    <cellStyle name="Comma 2 2 3 3 2 2 2" xfId="9622"/>
    <cellStyle name="Comma 2 2 3 3 2 2 2 2" xfId="25422"/>
    <cellStyle name="Comma 2 2 3 3 2 2 3" xfId="15251"/>
    <cellStyle name="Comma 2 2 3 3 2 2 3 2" xfId="24264"/>
    <cellStyle name="Comma 2 2 3 3 2 2 4" xfId="8067"/>
    <cellStyle name="Comma 2 2 3 3 2 2 5" xfId="21058"/>
    <cellStyle name="Comma 2 2 3 3 2 2 6" xfId="22131"/>
    <cellStyle name="Comma 2 2 3 3 2 2 7" xfId="23279"/>
    <cellStyle name="Comma 2 2 3 3 2 3" xfId="852"/>
    <cellStyle name="Comma 2 2 3 3 2 3 2" xfId="9623"/>
    <cellStyle name="Comma 2 2 3 3 2 3 2 2" xfId="25423"/>
    <cellStyle name="Comma 2 2 3 3 2 3 3" xfId="15252"/>
    <cellStyle name="Comma 2 2 3 3 2 3 3 2" xfId="24265"/>
    <cellStyle name="Comma 2 2 3 3 2 3 4" xfId="8068"/>
    <cellStyle name="Comma 2 2 3 3 2 3 5" xfId="21059"/>
    <cellStyle name="Comma 2 2 3 3 2 3 6" xfId="22132"/>
    <cellStyle name="Comma 2 2 3 3 2 3 7" xfId="23280"/>
    <cellStyle name="Comma 2 2 3 3 2 4" xfId="853"/>
    <cellStyle name="Comma 2 2 3 3 2 4 2" xfId="9624"/>
    <cellStyle name="Comma 2 2 3 3 2 4 2 2" xfId="25424"/>
    <cellStyle name="Comma 2 2 3 3 2 4 3" xfId="15253"/>
    <cellStyle name="Comma 2 2 3 3 2 4 3 2" xfId="24266"/>
    <cellStyle name="Comma 2 2 3 3 2 4 4" xfId="8069"/>
    <cellStyle name="Comma 2 2 3 3 2 4 5" xfId="21060"/>
    <cellStyle name="Comma 2 2 3 3 2 4 6" xfId="22133"/>
    <cellStyle name="Comma 2 2 3 3 2 4 7" xfId="23281"/>
    <cellStyle name="Comma 2 2 3 3 2 5" xfId="854"/>
    <cellStyle name="Comma 2 2 3 3 2 5 2" xfId="9625"/>
    <cellStyle name="Comma 2 2 3 3 2 5 2 2" xfId="25425"/>
    <cellStyle name="Comma 2 2 3 3 2 5 3" xfId="15254"/>
    <cellStyle name="Comma 2 2 3 3 2 5 3 2" xfId="24267"/>
    <cellStyle name="Comma 2 2 3 3 2 5 4" xfId="8070"/>
    <cellStyle name="Comma 2 2 3 3 2 5 5" xfId="21061"/>
    <cellStyle name="Comma 2 2 3 3 2 5 6" xfId="22134"/>
    <cellStyle name="Comma 2 2 3 3 2 5 7" xfId="23282"/>
    <cellStyle name="Comma 2 2 3 3 2 6" xfId="855"/>
    <cellStyle name="Comma 2 2 3 3 2 6 2" xfId="9626"/>
    <cellStyle name="Comma 2 2 3 3 2 6 2 2" xfId="25426"/>
    <cellStyle name="Comma 2 2 3 3 2 6 3" xfId="15255"/>
    <cellStyle name="Comma 2 2 3 3 2 6 3 2" xfId="24268"/>
    <cellStyle name="Comma 2 2 3 3 2 6 4" xfId="8071"/>
    <cellStyle name="Comma 2 2 3 3 2 6 5" xfId="21062"/>
    <cellStyle name="Comma 2 2 3 3 2 6 6" xfId="22135"/>
    <cellStyle name="Comma 2 2 3 3 2 6 7" xfId="23283"/>
    <cellStyle name="Comma 2 2 3 3 2 7" xfId="9086"/>
    <cellStyle name="Comma 2 2 3 3 2 7 2" xfId="25141"/>
    <cellStyle name="Comma 2 2 3 3 2 8" xfId="15250"/>
    <cellStyle name="Comma 2 2 3 3 2 8 2" xfId="24263"/>
    <cellStyle name="Comma 2 2 3 3 2 9" xfId="8066"/>
    <cellStyle name="Comma 2 2 3 3 3" xfId="856"/>
    <cellStyle name="Comma 2 2 3 3 3 10" xfId="22136"/>
    <cellStyle name="Comma 2 2 3 3 3 11" xfId="23284"/>
    <cellStyle name="Comma 2 2 3 3 3 2" xfId="857"/>
    <cellStyle name="Comma 2 2 3 3 3 2 2" xfId="9628"/>
    <cellStyle name="Comma 2 2 3 3 3 2 2 2" xfId="25428"/>
    <cellStyle name="Comma 2 2 3 3 3 2 3" xfId="15257"/>
    <cellStyle name="Comma 2 2 3 3 3 2 3 2" xfId="24270"/>
    <cellStyle name="Comma 2 2 3 3 3 2 4" xfId="8073"/>
    <cellStyle name="Comma 2 2 3 3 3 2 5" xfId="21064"/>
    <cellStyle name="Comma 2 2 3 3 3 2 6" xfId="22137"/>
    <cellStyle name="Comma 2 2 3 3 3 2 7" xfId="23285"/>
    <cellStyle name="Comma 2 2 3 3 3 3" xfId="858"/>
    <cellStyle name="Comma 2 2 3 3 3 3 2" xfId="9629"/>
    <cellStyle name="Comma 2 2 3 3 3 3 2 2" xfId="25429"/>
    <cellStyle name="Comma 2 2 3 3 3 3 3" xfId="15258"/>
    <cellStyle name="Comma 2 2 3 3 3 3 3 2" xfId="24271"/>
    <cellStyle name="Comma 2 2 3 3 3 3 4" xfId="8074"/>
    <cellStyle name="Comma 2 2 3 3 3 3 5" xfId="21065"/>
    <cellStyle name="Comma 2 2 3 3 3 3 6" xfId="22138"/>
    <cellStyle name="Comma 2 2 3 3 3 3 7" xfId="23286"/>
    <cellStyle name="Comma 2 2 3 3 3 4" xfId="859"/>
    <cellStyle name="Comma 2 2 3 3 3 4 2" xfId="9630"/>
    <cellStyle name="Comma 2 2 3 3 3 4 2 2" xfId="25430"/>
    <cellStyle name="Comma 2 2 3 3 3 4 3" xfId="15259"/>
    <cellStyle name="Comma 2 2 3 3 3 4 3 2" xfId="24272"/>
    <cellStyle name="Comma 2 2 3 3 3 4 4" xfId="8075"/>
    <cellStyle name="Comma 2 2 3 3 3 4 5" xfId="21066"/>
    <cellStyle name="Comma 2 2 3 3 3 4 6" xfId="22139"/>
    <cellStyle name="Comma 2 2 3 3 3 4 7" xfId="23287"/>
    <cellStyle name="Comma 2 2 3 3 3 5" xfId="860"/>
    <cellStyle name="Comma 2 2 3 3 3 5 2" xfId="9631"/>
    <cellStyle name="Comma 2 2 3 3 3 5 2 2" xfId="25431"/>
    <cellStyle name="Comma 2 2 3 3 3 5 3" xfId="15260"/>
    <cellStyle name="Comma 2 2 3 3 3 5 3 2" xfId="24273"/>
    <cellStyle name="Comma 2 2 3 3 3 5 4" xfId="8076"/>
    <cellStyle name="Comma 2 2 3 3 3 5 5" xfId="21067"/>
    <cellStyle name="Comma 2 2 3 3 3 5 6" xfId="22140"/>
    <cellStyle name="Comma 2 2 3 3 3 5 7" xfId="23288"/>
    <cellStyle name="Comma 2 2 3 3 3 6" xfId="9627"/>
    <cellStyle name="Comma 2 2 3 3 3 6 2" xfId="25427"/>
    <cellStyle name="Comma 2 2 3 3 3 7" xfId="15256"/>
    <cellStyle name="Comma 2 2 3 3 3 7 2" xfId="24269"/>
    <cellStyle name="Comma 2 2 3 3 3 8" xfId="8072"/>
    <cellStyle name="Comma 2 2 3 3 3 9" xfId="21063"/>
    <cellStyle name="Comma 2 2 3 3 4" xfId="861"/>
    <cellStyle name="Comma 2 2 3 3 4 2" xfId="9632"/>
    <cellStyle name="Comma 2 2 3 3 4 2 2" xfId="25432"/>
    <cellStyle name="Comma 2 2 3 3 4 3" xfId="15261"/>
    <cellStyle name="Comma 2 2 3 3 4 3 2" xfId="24274"/>
    <cellStyle name="Comma 2 2 3 3 4 4" xfId="8077"/>
    <cellStyle name="Comma 2 2 3 3 4 5" xfId="21068"/>
    <cellStyle name="Comma 2 2 3 3 4 6" xfId="22141"/>
    <cellStyle name="Comma 2 2 3 3 4 7" xfId="23289"/>
    <cellStyle name="Comma 2 2 3 3 5" xfId="862"/>
    <cellStyle name="Comma 2 2 3 3 5 2" xfId="9633"/>
    <cellStyle name="Comma 2 2 3 3 5 2 2" xfId="25433"/>
    <cellStyle name="Comma 2 2 3 3 5 3" xfId="15262"/>
    <cellStyle name="Comma 2 2 3 3 5 3 2" xfId="24275"/>
    <cellStyle name="Comma 2 2 3 3 5 4" xfId="8078"/>
    <cellStyle name="Comma 2 2 3 3 5 5" xfId="21069"/>
    <cellStyle name="Comma 2 2 3 3 5 6" xfId="22142"/>
    <cellStyle name="Comma 2 2 3 3 5 7" xfId="23290"/>
    <cellStyle name="Comma 2 2 3 3 6" xfId="863"/>
    <cellStyle name="Comma 2 2 3 3 6 2" xfId="9634"/>
    <cellStyle name="Comma 2 2 3 3 6 2 2" xfId="25434"/>
    <cellStyle name="Comma 2 2 3 3 6 3" xfId="15263"/>
    <cellStyle name="Comma 2 2 3 3 6 3 2" xfId="24276"/>
    <cellStyle name="Comma 2 2 3 3 6 4" xfId="8079"/>
    <cellStyle name="Comma 2 2 3 3 6 5" xfId="21070"/>
    <cellStyle name="Comma 2 2 3 3 6 6" xfId="22143"/>
    <cellStyle name="Comma 2 2 3 3 6 7" xfId="23291"/>
    <cellStyle name="Comma 2 2 3 3 7" xfId="864"/>
    <cellStyle name="Comma 2 2 3 3 7 2" xfId="9635"/>
    <cellStyle name="Comma 2 2 3 3 7 2 2" xfId="25435"/>
    <cellStyle name="Comma 2 2 3 3 7 3" xfId="15264"/>
    <cellStyle name="Comma 2 2 3 3 7 3 2" xfId="24277"/>
    <cellStyle name="Comma 2 2 3 3 7 4" xfId="8080"/>
    <cellStyle name="Comma 2 2 3 3 7 5" xfId="21071"/>
    <cellStyle name="Comma 2 2 3 3 7 6" xfId="22144"/>
    <cellStyle name="Comma 2 2 3 3 7 7" xfId="23292"/>
    <cellStyle name="Comma 2 2 3 3 8" xfId="865"/>
    <cellStyle name="Comma 2 2 3 3 8 2" xfId="9636"/>
    <cellStyle name="Comma 2 2 3 3 8 2 2" xfId="25436"/>
    <cellStyle name="Comma 2 2 3 3 8 3" xfId="15265"/>
    <cellStyle name="Comma 2 2 3 3 8 3 2" xfId="24278"/>
    <cellStyle name="Comma 2 2 3 3 8 4" xfId="8081"/>
    <cellStyle name="Comma 2 2 3 3 8 5" xfId="21072"/>
    <cellStyle name="Comma 2 2 3 3 8 6" xfId="22145"/>
    <cellStyle name="Comma 2 2 3 3 8 7" xfId="23293"/>
    <cellStyle name="Comma 2 2 3 3 9" xfId="9063"/>
    <cellStyle name="Comma 2 2 3 3 9 2" xfId="25119"/>
    <cellStyle name="Comma 2 2 3 4" xfId="205"/>
    <cellStyle name="Comma 2 2 3 4 10" xfId="21073"/>
    <cellStyle name="Comma 2 2 3 4 11" xfId="22146"/>
    <cellStyle name="Comma 2 2 3 4 12" xfId="22994"/>
    <cellStyle name="Comma 2 2 3 4 2" xfId="866"/>
    <cellStyle name="Comma 2 2 3 4 2 2" xfId="9637"/>
    <cellStyle name="Comma 2 2 3 4 2 2 2" xfId="25437"/>
    <cellStyle name="Comma 2 2 3 4 2 3" xfId="15267"/>
    <cellStyle name="Comma 2 2 3 4 2 3 2" xfId="24280"/>
    <cellStyle name="Comma 2 2 3 4 2 4" xfId="8083"/>
    <cellStyle name="Comma 2 2 3 4 2 5" xfId="21074"/>
    <cellStyle name="Comma 2 2 3 4 2 6" xfId="22147"/>
    <cellStyle name="Comma 2 2 3 4 2 7" xfId="23294"/>
    <cellStyle name="Comma 2 2 3 4 3" xfId="867"/>
    <cellStyle name="Comma 2 2 3 4 3 2" xfId="9638"/>
    <cellStyle name="Comma 2 2 3 4 3 2 2" xfId="25438"/>
    <cellStyle name="Comma 2 2 3 4 3 3" xfId="15268"/>
    <cellStyle name="Comma 2 2 3 4 3 3 2" xfId="24281"/>
    <cellStyle name="Comma 2 2 3 4 3 4" xfId="8084"/>
    <cellStyle name="Comma 2 2 3 4 3 5" xfId="21075"/>
    <cellStyle name="Comma 2 2 3 4 3 6" xfId="22148"/>
    <cellStyle name="Comma 2 2 3 4 3 7" xfId="23295"/>
    <cellStyle name="Comma 2 2 3 4 4" xfId="868"/>
    <cellStyle name="Comma 2 2 3 4 4 2" xfId="9639"/>
    <cellStyle name="Comma 2 2 3 4 4 2 2" xfId="25439"/>
    <cellStyle name="Comma 2 2 3 4 4 3" xfId="15269"/>
    <cellStyle name="Comma 2 2 3 4 4 3 2" xfId="24282"/>
    <cellStyle name="Comma 2 2 3 4 4 4" xfId="8085"/>
    <cellStyle name="Comma 2 2 3 4 4 5" xfId="21076"/>
    <cellStyle name="Comma 2 2 3 4 4 6" xfId="22149"/>
    <cellStyle name="Comma 2 2 3 4 4 7" xfId="23296"/>
    <cellStyle name="Comma 2 2 3 4 5" xfId="869"/>
    <cellStyle name="Comma 2 2 3 4 5 2" xfId="9640"/>
    <cellStyle name="Comma 2 2 3 4 5 2 2" xfId="25440"/>
    <cellStyle name="Comma 2 2 3 4 5 3" xfId="15270"/>
    <cellStyle name="Comma 2 2 3 4 5 3 2" xfId="24283"/>
    <cellStyle name="Comma 2 2 3 4 5 4" xfId="8086"/>
    <cellStyle name="Comma 2 2 3 4 5 5" xfId="21077"/>
    <cellStyle name="Comma 2 2 3 4 5 6" xfId="22150"/>
    <cellStyle name="Comma 2 2 3 4 5 7" xfId="23297"/>
    <cellStyle name="Comma 2 2 3 4 6" xfId="870"/>
    <cellStyle name="Comma 2 2 3 4 6 2" xfId="9641"/>
    <cellStyle name="Comma 2 2 3 4 6 2 2" xfId="25441"/>
    <cellStyle name="Comma 2 2 3 4 6 3" xfId="15271"/>
    <cellStyle name="Comma 2 2 3 4 6 3 2" xfId="24284"/>
    <cellStyle name="Comma 2 2 3 4 6 4" xfId="8087"/>
    <cellStyle name="Comma 2 2 3 4 6 5" xfId="21078"/>
    <cellStyle name="Comma 2 2 3 4 6 6" xfId="22151"/>
    <cellStyle name="Comma 2 2 3 4 6 7" xfId="23298"/>
    <cellStyle name="Comma 2 2 3 4 7" xfId="9078"/>
    <cellStyle name="Comma 2 2 3 4 7 2" xfId="25133"/>
    <cellStyle name="Comma 2 2 3 4 8" xfId="15266"/>
    <cellStyle name="Comma 2 2 3 4 8 2" xfId="24279"/>
    <cellStyle name="Comma 2 2 3 4 9" xfId="8082"/>
    <cellStyle name="Comma 2 2 3 5" xfId="871"/>
    <cellStyle name="Comma 2 2 3 5 10" xfId="22152"/>
    <cellStyle name="Comma 2 2 3 5 11" xfId="23299"/>
    <cellStyle name="Comma 2 2 3 5 2" xfId="872"/>
    <cellStyle name="Comma 2 2 3 5 2 2" xfId="9643"/>
    <cellStyle name="Comma 2 2 3 5 2 2 2" xfId="25443"/>
    <cellStyle name="Comma 2 2 3 5 2 3" xfId="15273"/>
    <cellStyle name="Comma 2 2 3 5 2 3 2" xfId="24286"/>
    <cellStyle name="Comma 2 2 3 5 2 4" xfId="8089"/>
    <cellStyle name="Comma 2 2 3 5 2 5" xfId="21080"/>
    <cellStyle name="Comma 2 2 3 5 2 6" xfId="22153"/>
    <cellStyle name="Comma 2 2 3 5 2 7" xfId="23300"/>
    <cellStyle name="Comma 2 2 3 5 3" xfId="873"/>
    <cellStyle name="Comma 2 2 3 5 3 2" xfId="9644"/>
    <cellStyle name="Comma 2 2 3 5 3 2 2" xfId="25444"/>
    <cellStyle name="Comma 2 2 3 5 3 3" xfId="15274"/>
    <cellStyle name="Comma 2 2 3 5 3 3 2" xfId="24287"/>
    <cellStyle name="Comma 2 2 3 5 3 4" xfId="8090"/>
    <cellStyle name="Comma 2 2 3 5 3 5" xfId="21081"/>
    <cellStyle name="Comma 2 2 3 5 3 6" xfId="22154"/>
    <cellStyle name="Comma 2 2 3 5 3 7" xfId="23301"/>
    <cellStyle name="Comma 2 2 3 5 4" xfId="874"/>
    <cellStyle name="Comma 2 2 3 5 4 2" xfId="9645"/>
    <cellStyle name="Comma 2 2 3 5 4 2 2" xfId="25445"/>
    <cellStyle name="Comma 2 2 3 5 4 3" xfId="15275"/>
    <cellStyle name="Comma 2 2 3 5 4 3 2" xfId="24288"/>
    <cellStyle name="Comma 2 2 3 5 4 4" xfId="8091"/>
    <cellStyle name="Comma 2 2 3 5 4 5" xfId="21082"/>
    <cellStyle name="Comma 2 2 3 5 4 6" xfId="22155"/>
    <cellStyle name="Comma 2 2 3 5 4 7" xfId="23302"/>
    <cellStyle name="Comma 2 2 3 5 5" xfId="875"/>
    <cellStyle name="Comma 2 2 3 5 5 2" xfId="9646"/>
    <cellStyle name="Comma 2 2 3 5 5 2 2" xfId="25446"/>
    <cellStyle name="Comma 2 2 3 5 5 3" xfId="15276"/>
    <cellStyle name="Comma 2 2 3 5 5 3 2" xfId="24289"/>
    <cellStyle name="Comma 2 2 3 5 5 4" xfId="8092"/>
    <cellStyle name="Comma 2 2 3 5 5 5" xfId="21083"/>
    <cellStyle name="Comma 2 2 3 5 5 6" xfId="22156"/>
    <cellStyle name="Comma 2 2 3 5 5 7" xfId="23303"/>
    <cellStyle name="Comma 2 2 3 5 6" xfId="9642"/>
    <cellStyle name="Comma 2 2 3 5 6 2" xfId="25442"/>
    <cellStyle name="Comma 2 2 3 5 7" xfId="15272"/>
    <cellStyle name="Comma 2 2 3 5 7 2" xfId="24285"/>
    <cellStyle name="Comma 2 2 3 5 8" xfId="8088"/>
    <cellStyle name="Comma 2 2 3 5 9" xfId="21079"/>
    <cellStyle name="Comma 2 2 3 6" xfId="876"/>
    <cellStyle name="Comma 2 2 3 6 10" xfId="22157"/>
    <cellStyle name="Comma 2 2 3 6 11" xfId="23304"/>
    <cellStyle name="Comma 2 2 3 6 2" xfId="877"/>
    <cellStyle name="Comma 2 2 3 6 2 2" xfId="9648"/>
    <cellStyle name="Comma 2 2 3 6 2 2 2" xfId="25448"/>
    <cellStyle name="Comma 2 2 3 6 2 3" xfId="15278"/>
    <cellStyle name="Comma 2 2 3 6 2 3 2" xfId="24291"/>
    <cellStyle name="Comma 2 2 3 6 2 4" xfId="8094"/>
    <cellStyle name="Comma 2 2 3 6 2 5" xfId="21085"/>
    <cellStyle name="Comma 2 2 3 6 2 6" xfId="22158"/>
    <cellStyle name="Comma 2 2 3 6 2 7" xfId="23305"/>
    <cellStyle name="Comma 2 2 3 6 3" xfId="878"/>
    <cellStyle name="Comma 2 2 3 6 3 2" xfId="9649"/>
    <cellStyle name="Comma 2 2 3 6 3 2 2" xfId="25449"/>
    <cellStyle name="Comma 2 2 3 6 3 3" xfId="15279"/>
    <cellStyle name="Comma 2 2 3 6 3 3 2" xfId="24292"/>
    <cellStyle name="Comma 2 2 3 6 3 4" xfId="8095"/>
    <cellStyle name="Comma 2 2 3 6 3 5" xfId="21086"/>
    <cellStyle name="Comma 2 2 3 6 3 6" xfId="22159"/>
    <cellStyle name="Comma 2 2 3 6 3 7" xfId="23306"/>
    <cellStyle name="Comma 2 2 3 6 4" xfId="879"/>
    <cellStyle name="Comma 2 2 3 6 4 2" xfId="9650"/>
    <cellStyle name="Comma 2 2 3 6 4 2 2" xfId="25450"/>
    <cellStyle name="Comma 2 2 3 6 4 3" xfId="15280"/>
    <cellStyle name="Comma 2 2 3 6 4 3 2" xfId="24293"/>
    <cellStyle name="Comma 2 2 3 6 4 4" xfId="8096"/>
    <cellStyle name="Comma 2 2 3 6 4 5" xfId="21087"/>
    <cellStyle name="Comma 2 2 3 6 4 6" xfId="22160"/>
    <cellStyle name="Comma 2 2 3 6 4 7" xfId="23307"/>
    <cellStyle name="Comma 2 2 3 6 5" xfId="880"/>
    <cellStyle name="Comma 2 2 3 6 5 2" xfId="9651"/>
    <cellStyle name="Comma 2 2 3 6 5 2 2" xfId="25451"/>
    <cellStyle name="Comma 2 2 3 6 5 3" xfId="15281"/>
    <cellStyle name="Comma 2 2 3 6 5 3 2" xfId="24294"/>
    <cellStyle name="Comma 2 2 3 6 5 4" xfId="8097"/>
    <cellStyle name="Comma 2 2 3 6 5 5" xfId="21088"/>
    <cellStyle name="Comma 2 2 3 6 5 6" xfId="22161"/>
    <cellStyle name="Comma 2 2 3 6 5 7" xfId="23308"/>
    <cellStyle name="Comma 2 2 3 6 6" xfId="9647"/>
    <cellStyle name="Comma 2 2 3 6 6 2" xfId="25447"/>
    <cellStyle name="Comma 2 2 3 6 7" xfId="15277"/>
    <cellStyle name="Comma 2 2 3 6 7 2" xfId="24290"/>
    <cellStyle name="Comma 2 2 3 6 8" xfId="8093"/>
    <cellStyle name="Comma 2 2 3 6 9" xfId="21084"/>
    <cellStyle name="Comma 2 2 3 7" xfId="881"/>
    <cellStyle name="Comma 2 2 3 7 2" xfId="9652"/>
    <cellStyle name="Comma 2 2 3 7 2 2" xfId="25452"/>
    <cellStyle name="Comma 2 2 3 7 3" xfId="15282"/>
    <cellStyle name="Comma 2 2 3 7 3 2" xfId="24295"/>
    <cellStyle name="Comma 2 2 3 7 4" xfId="8098"/>
    <cellStyle name="Comma 2 2 3 7 5" xfId="21089"/>
    <cellStyle name="Comma 2 2 3 7 6" xfId="22162"/>
    <cellStyle name="Comma 2 2 3 7 7" xfId="23309"/>
    <cellStyle name="Comma 2 2 3 8" xfId="882"/>
    <cellStyle name="Comma 2 2 3 8 2" xfId="9653"/>
    <cellStyle name="Comma 2 2 3 8 2 2" xfId="25453"/>
    <cellStyle name="Comma 2 2 3 8 3" xfId="15283"/>
    <cellStyle name="Comma 2 2 3 8 3 2" xfId="24296"/>
    <cellStyle name="Comma 2 2 3 8 4" xfId="8099"/>
    <cellStyle name="Comma 2 2 3 8 5" xfId="21090"/>
    <cellStyle name="Comma 2 2 3 8 6" xfId="22163"/>
    <cellStyle name="Comma 2 2 3 8 7" xfId="23310"/>
    <cellStyle name="Comma 2 2 3 9" xfId="883"/>
    <cellStyle name="Comma 2 2 3 9 2" xfId="9654"/>
    <cellStyle name="Comma 2 2 3 9 2 2" xfId="25454"/>
    <cellStyle name="Comma 2 2 3 9 3" xfId="15284"/>
    <cellStyle name="Comma 2 2 3 9 3 2" xfId="24297"/>
    <cellStyle name="Comma 2 2 3 9 4" xfId="8100"/>
    <cellStyle name="Comma 2 2 3 9 5" xfId="21091"/>
    <cellStyle name="Comma 2 2 3 9 6" xfId="22164"/>
    <cellStyle name="Comma 2 2 3 9 7" xfId="23311"/>
    <cellStyle name="Comma 2 2 4" xfId="198"/>
    <cellStyle name="Comma 2 2 4 10" xfId="884"/>
    <cellStyle name="Comma 2 2 4 10 2" xfId="9655"/>
    <cellStyle name="Comma 2 2 4 10 2 2" xfId="25455"/>
    <cellStyle name="Comma 2 2 4 10 3" xfId="15286"/>
    <cellStyle name="Comma 2 2 4 10 3 2" xfId="24299"/>
    <cellStyle name="Comma 2 2 4 10 4" xfId="8102"/>
    <cellStyle name="Comma 2 2 4 10 5" xfId="21093"/>
    <cellStyle name="Comma 2 2 4 10 6" xfId="22166"/>
    <cellStyle name="Comma 2 2 4 10 7" xfId="23312"/>
    <cellStyle name="Comma 2 2 4 11" xfId="9073"/>
    <cellStyle name="Comma 2 2 4 11 2" xfId="25128"/>
    <cellStyle name="Comma 2 2 4 12" xfId="15285"/>
    <cellStyle name="Comma 2 2 4 12 2" xfId="24298"/>
    <cellStyle name="Comma 2 2 4 13" xfId="8101"/>
    <cellStyle name="Comma 2 2 4 14" xfId="21092"/>
    <cellStyle name="Comma 2 2 4 15" xfId="22165"/>
    <cellStyle name="Comma 2 2 4 16" xfId="22989"/>
    <cellStyle name="Comma 2 2 4 2" xfId="268"/>
    <cellStyle name="Comma 2 2 4 2 10" xfId="15287"/>
    <cellStyle name="Comma 2 2 4 2 10 2" xfId="24300"/>
    <cellStyle name="Comma 2 2 4 2 11" xfId="8103"/>
    <cellStyle name="Comma 2 2 4 2 12" xfId="21094"/>
    <cellStyle name="Comma 2 2 4 2 13" xfId="22167"/>
    <cellStyle name="Comma 2 2 4 2 14" xfId="23040"/>
    <cellStyle name="Comma 2 2 4 2 2" xfId="240"/>
    <cellStyle name="Comma 2 2 4 2 2 10" xfId="21095"/>
    <cellStyle name="Comma 2 2 4 2 2 11" xfId="22168"/>
    <cellStyle name="Comma 2 2 4 2 2 12" xfId="23018"/>
    <cellStyle name="Comma 2 2 4 2 2 2" xfId="885"/>
    <cellStyle name="Comma 2 2 4 2 2 2 2" xfId="9656"/>
    <cellStyle name="Comma 2 2 4 2 2 2 2 2" xfId="25456"/>
    <cellStyle name="Comma 2 2 4 2 2 2 3" xfId="15289"/>
    <cellStyle name="Comma 2 2 4 2 2 2 3 2" xfId="24302"/>
    <cellStyle name="Comma 2 2 4 2 2 2 4" xfId="8105"/>
    <cellStyle name="Comma 2 2 4 2 2 2 5" xfId="21096"/>
    <cellStyle name="Comma 2 2 4 2 2 2 6" xfId="22169"/>
    <cellStyle name="Comma 2 2 4 2 2 2 7" xfId="23313"/>
    <cellStyle name="Comma 2 2 4 2 2 3" xfId="886"/>
    <cellStyle name="Comma 2 2 4 2 2 3 2" xfId="9657"/>
    <cellStyle name="Comma 2 2 4 2 2 3 2 2" xfId="25457"/>
    <cellStyle name="Comma 2 2 4 2 2 3 3" xfId="15290"/>
    <cellStyle name="Comma 2 2 4 2 2 3 3 2" xfId="24303"/>
    <cellStyle name="Comma 2 2 4 2 2 3 4" xfId="8106"/>
    <cellStyle name="Comma 2 2 4 2 2 3 5" xfId="21097"/>
    <cellStyle name="Comma 2 2 4 2 2 3 6" xfId="22170"/>
    <cellStyle name="Comma 2 2 4 2 2 3 7" xfId="23314"/>
    <cellStyle name="Comma 2 2 4 2 2 4" xfId="887"/>
    <cellStyle name="Comma 2 2 4 2 2 4 2" xfId="9658"/>
    <cellStyle name="Comma 2 2 4 2 2 4 2 2" xfId="25458"/>
    <cellStyle name="Comma 2 2 4 2 2 4 3" xfId="15291"/>
    <cellStyle name="Comma 2 2 4 2 2 4 3 2" xfId="24304"/>
    <cellStyle name="Comma 2 2 4 2 2 4 4" xfId="8107"/>
    <cellStyle name="Comma 2 2 4 2 2 4 5" xfId="21098"/>
    <cellStyle name="Comma 2 2 4 2 2 4 6" xfId="22171"/>
    <cellStyle name="Comma 2 2 4 2 2 4 7" xfId="23315"/>
    <cellStyle name="Comma 2 2 4 2 2 5" xfId="888"/>
    <cellStyle name="Comma 2 2 4 2 2 5 2" xfId="9659"/>
    <cellStyle name="Comma 2 2 4 2 2 5 2 2" xfId="25459"/>
    <cellStyle name="Comma 2 2 4 2 2 5 3" xfId="15292"/>
    <cellStyle name="Comma 2 2 4 2 2 5 3 2" xfId="24305"/>
    <cellStyle name="Comma 2 2 4 2 2 5 4" xfId="8108"/>
    <cellStyle name="Comma 2 2 4 2 2 5 5" xfId="21099"/>
    <cellStyle name="Comma 2 2 4 2 2 5 6" xfId="22172"/>
    <cellStyle name="Comma 2 2 4 2 2 5 7" xfId="23316"/>
    <cellStyle name="Comma 2 2 4 2 2 6" xfId="889"/>
    <cellStyle name="Comma 2 2 4 2 2 6 2" xfId="9660"/>
    <cellStyle name="Comma 2 2 4 2 2 6 2 2" xfId="25460"/>
    <cellStyle name="Comma 2 2 4 2 2 6 3" xfId="15293"/>
    <cellStyle name="Comma 2 2 4 2 2 6 3 2" xfId="24306"/>
    <cellStyle name="Comma 2 2 4 2 2 6 4" xfId="8109"/>
    <cellStyle name="Comma 2 2 4 2 2 6 5" xfId="21100"/>
    <cellStyle name="Comma 2 2 4 2 2 6 6" xfId="22173"/>
    <cellStyle name="Comma 2 2 4 2 2 6 7" xfId="23317"/>
    <cellStyle name="Comma 2 2 4 2 2 7" xfId="9103"/>
    <cellStyle name="Comma 2 2 4 2 2 7 2" xfId="25157"/>
    <cellStyle name="Comma 2 2 4 2 2 8" xfId="15288"/>
    <cellStyle name="Comma 2 2 4 2 2 8 2" xfId="24301"/>
    <cellStyle name="Comma 2 2 4 2 2 9" xfId="8104"/>
    <cellStyle name="Comma 2 2 4 2 3" xfId="890"/>
    <cellStyle name="Comma 2 2 4 2 3 10" xfId="22174"/>
    <cellStyle name="Comma 2 2 4 2 3 11" xfId="23318"/>
    <cellStyle name="Comma 2 2 4 2 3 2" xfId="891"/>
    <cellStyle name="Comma 2 2 4 2 3 2 2" xfId="9662"/>
    <cellStyle name="Comma 2 2 4 2 3 2 2 2" xfId="25462"/>
    <cellStyle name="Comma 2 2 4 2 3 2 3" xfId="15295"/>
    <cellStyle name="Comma 2 2 4 2 3 2 3 2" xfId="24308"/>
    <cellStyle name="Comma 2 2 4 2 3 2 4" xfId="8111"/>
    <cellStyle name="Comma 2 2 4 2 3 2 5" xfId="21102"/>
    <cellStyle name="Comma 2 2 4 2 3 2 6" xfId="22175"/>
    <cellStyle name="Comma 2 2 4 2 3 2 7" xfId="23319"/>
    <cellStyle name="Comma 2 2 4 2 3 3" xfId="892"/>
    <cellStyle name="Comma 2 2 4 2 3 3 2" xfId="9663"/>
    <cellStyle name="Comma 2 2 4 2 3 3 2 2" xfId="25463"/>
    <cellStyle name="Comma 2 2 4 2 3 3 3" xfId="15296"/>
    <cellStyle name="Comma 2 2 4 2 3 3 3 2" xfId="24309"/>
    <cellStyle name="Comma 2 2 4 2 3 3 4" xfId="8112"/>
    <cellStyle name="Comma 2 2 4 2 3 3 5" xfId="21103"/>
    <cellStyle name="Comma 2 2 4 2 3 3 6" xfId="22176"/>
    <cellStyle name="Comma 2 2 4 2 3 3 7" xfId="23320"/>
    <cellStyle name="Comma 2 2 4 2 3 4" xfId="893"/>
    <cellStyle name="Comma 2 2 4 2 3 4 2" xfId="9664"/>
    <cellStyle name="Comma 2 2 4 2 3 4 2 2" xfId="25464"/>
    <cellStyle name="Comma 2 2 4 2 3 4 3" xfId="15297"/>
    <cellStyle name="Comma 2 2 4 2 3 4 3 2" xfId="24310"/>
    <cellStyle name="Comma 2 2 4 2 3 4 4" xfId="8113"/>
    <cellStyle name="Comma 2 2 4 2 3 4 5" xfId="21104"/>
    <cellStyle name="Comma 2 2 4 2 3 4 6" xfId="22177"/>
    <cellStyle name="Comma 2 2 4 2 3 4 7" xfId="23321"/>
    <cellStyle name="Comma 2 2 4 2 3 5" xfId="894"/>
    <cellStyle name="Comma 2 2 4 2 3 5 2" xfId="9665"/>
    <cellStyle name="Comma 2 2 4 2 3 5 2 2" xfId="25465"/>
    <cellStyle name="Comma 2 2 4 2 3 5 3" xfId="15298"/>
    <cellStyle name="Comma 2 2 4 2 3 5 3 2" xfId="24311"/>
    <cellStyle name="Comma 2 2 4 2 3 5 4" xfId="8114"/>
    <cellStyle name="Comma 2 2 4 2 3 5 5" xfId="21105"/>
    <cellStyle name="Comma 2 2 4 2 3 5 6" xfId="22178"/>
    <cellStyle name="Comma 2 2 4 2 3 5 7" xfId="23322"/>
    <cellStyle name="Comma 2 2 4 2 3 6" xfId="9661"/>
    <cellStyle name="Comma 2 2 4 2 3 6 2" xfId="25461"/>
    <cellStyle name="Comma 2 2 4 2 3 7" xfId="15294"/>
    <cellStyle name="Comma 2 2 4 2 3 7 2" xfId="24307"/>
    <cellStyle name="Comma 2 2 4 2 3 8" xfId="8110"/>
    <cellStyle name="Comma 2 2 4 2 3 9" xfId="21101"/>
    <cellStyle name="Comma 2 2 4 2 4" xfId="895"/>
    <cellStyle name="Comma 2 2 4 2 4 2" xfId="9666"/>
    <cellStyle name="Comma 2 2 4 2 4 2 2" xfId="25466"/>
    <cellStyle name="Comma 2 2 4 2 4 3" xfId="15299"/>
    <cellStyle name="Comma 2 2 4 2 4 3 2" xfId="24312"/>
    <cellStyle name="Comma 2 2 4 2 4 4" xfId="8115"/>
    <cellStyle name="Comma 2 2 4 2 4 5" xfId="21106"/>
    <cellStyle name="Comma 2 2 4 2 4 6" xfId="22179"/>
    <cellStyle name="Comma 2 2 4 2 4 7" xfId="23323"/>
    <cellStyle name="Comma 2 2 4 2 5" xfId="896"/>
    <cellStyle name="Comma 2 2 4 2 5 2" xfId="9667"/>
    <cellStyle name="Comma 2 2 4 2 5 2 2" xfId="25467"/>
    <cellStyle name="Comma 2 2 4 2 5 3" xfId="15300"/>
    <cellStyle name="Comma 2 2 4 2 5 3 2" xfId="24313"/>
    <cellStyle name="Comma 2 2 4 2 5 4" xfId="8116"/>
    <cellStyle name="Comma 2 2 4 2 5 5" xfId="21107"/>
    <cellStyle name="Comma 2 2 4 2 5 6" xfId="22180"/>
    <cellStyle name="Comma 2 2 4 2 5 7" xfId="23324"/>
    <cellStyle name="Comma 2 2 4 2 6" xfId="897"/>
    <cellStyle name="Comma 2 2 4 2 6 2" xfId="9668"/>
    <cellStyle name="Comma 2 2 4 2 6 2 2" xfId="25468"/>
    <cellStyle name="Comma 2 2 4 2 6 3" xfId="15301"/>
    <cellStyle name="Comma 2 2 4 2 6 3 2" xfId="24314"/>
    <cellStyle name="Comma 2 2 4 2 6 4" xfId="8117"/>
    <cellStyle name="Comma 2 2 4 2 6 5" xfId="21108"/>
    <cellStyle name="Comma 2 2 4 2 6 6" xfId="22181"/>
    <cellStyle name="Comma 2 2 4 2 6 7" xfId="23325"/>
    <cellStyle name="Comma 2 2 4 2 7" xfId="898"/>
    <cellStyle name="Comma 2 2 4 2 7 2" xfId="9669"/>
    <cellStyle name="Comma 2 2 4 2 7 2 2" xfId="25469"/>
    <cellStyle name="Comma 2 2 4 2 7 3" xfId="15302"/>
    <cellStyle name="Comma 2 2 4 2 7 3 2" xfId="24315"/>
    <cellStyle name="Comma 2 2 4 2 7 4" xfId="8118"/>
    <cellStyle name="Comma 2 2 4 2 7 5" xfId="21109"/>
    <cellStyle name="Comma 2 2 4 2 7 6" xfId="22182"/>
    <cellStyle name="Comma 2 2 4 2 7 7" xfId="23326"/>
    <cellStyle name="Comma 2 2 4 2 8" xfId="899"/>
    <cellStyle name="Comma 2 2 4 2 8 2" xfId="9670"/>
    <cellStyle name="Comma 2 2 4 2 8 2 2" xfId="25470"/>
    <cellStyle name="Comma 2 2 4 2 8 3" xfId="15303"/>
    <cellStyle name="Comma 2 2 4 2 8 3 2" xfId="24316"/>
    <cellStyle name="Comma 2 2 4 2 8 4" xfId="8119"/>
    <cellStyle name="Comma 2 2 4 2 8 5" xfId="21110"/>
    <cellStyle name="Comma 2 2 4 2 8 6" xfId="22183"/>
    <cellStyle name="Comma 2 2 4 2 8 7" xfId="23327"/>
    <cellStyle name="Comma 2 2 4 2 9" xfId="9125"/>
    <cellStyle name="Comma 2 2 4 2 9 2" xfId="25179"/>
    <cellStyle name="Comma 2 2 4 3" xfId="248"/>
    <cellStyle name="Comma 2 2 4 3 10" xfId="21111"/>
    <cellStyle name="Comma 2 2 4 3 11" xfId="22184"/>
    <cellStyle name="Comma 2 2 4 3 12" xfId="23022"/>
    <cellStyle name="Comma 2 2 4 3 2" xfId="900"/>
    <cellStyle name="Comma 2 2 4 3 2 2" xfId="9671"/>
    <cellStyle name="Comma 2 2 4 3 2 2 2" xfId="25471"/>
    <cellStyle name="Comma 2 2 4 3 2 3" xfId="15305"/>
    <cellStyle name="Comma 2 2 4 3 2 3 2" xfId="24318"/>
    <cellStyle name="Comma 2 2 4 3 2 4" xfId="8121"/>
    <cellStyle name="Comma 2 2 4 3 2 5" xfId="21112"/>
    <cellStyle name="Comma 2 2 4 3 2 6" xfId="22185"/>
    <cellStyle name="Comma 2 2 4 3 2 7" xfId="23328"/>
    <cellStyle name="Comma 2 2 4 3 3" xfId="901"/>
    <cellStyle name="Comma 2 2 4 3 3 2" xfId="9672"/>
    <cellStyle name="Comma 2 2 4 3 3 2 2" xfId="25472"/>
    <cellStyle name="Comma 2 2 4 3 3 3" xfId="15306"/>
    <cellStyle name="Comma 2 2 4 3 3 3 2" xfId="24319"/>
    <cellStyle name="Comma 2 2 4 3 3 4" xfId="8122"/>
    <cellStyle name="Comma 2 2 4 3 3 5" xfId="21113"/>
    <cellStyle name="Comma 2 2 4 3 3 6" xfId="22186"/>
    <cellStyle name="Comma 2 2 4 3 3 7" xfId="23329"/>
    <cellStyle name="Comma 2 2 4 3 4" xfId="902"/>
    <cellStyle name="Comma 2 2 4 3 4 2" xfId="9673"/>
    <cellStyle name="Comma 2 2 4 3 4 2 2" xfId="25473"/>
    <cellStyle name="Comma 2 2 4 3 4 3" xfId="15307"/>
    <cellStyle name="Comma 2 2 4 3 4 3 2" xfId="24320"/>
    <cellStyle name="Comma 2 2 4 3 4 4" xfId="8123"/>
    <cellStyle name="Comma 2 2 4 3 4 5" xfId="21114"/>
    <cellStyle name="Comma 2 2 4 3 4 6" xfId="22187"/>
    <cellStyle name="Comma 2 2 4 3 4 7" xfId="23330"/>
    <cellStyle name="Comma 2 2 4 3 5" xfId="903"/>
    <cellStyle name="Comma 2 2 4 3 5 2" xfId="9674"/>
    <cellStyle name="Comma 2 2 4 3 5 2 2" xfId="25474"/>
    <cellStyle name="Comma 2 2 4 3 5 3" xfId="15308"/>
    <cellStyle name="Comma 2 2 4 3 5 3 2" xfId="24321"/>
    <cellStyle name="Comma 2 2 4 3 5 4" xfId="8124"/>
    <cellStyle name="Comma 2 2 4 3 5 5" xfId="21115"/>
    <cellStyle name="Comma 2 2 4 3 5 6" xfId="22188"/>
    <cellStyle name="Comma 2 2 4 3 5 7" xfId="23331"/>
    <cellStyle name="Comma 2 2 4 3 6" xfId="904"/>
    <cellStyle name="Comma 2 2 4 3 6 2" xfId="9675"/>
    <cellStyle name="Comma 2 2 4 3 6 2 2" xfId="25475"/>
    <cellStyle name="Comma 2 2 4 3 6 3" xfId="15309"/>
    <cellStyle name="Comma 2 2 4 3 6 3 2" xfId="24322"/>
    <cellStyle name="Comma 2 2 4 3 6 4" xfId="8125"/>
    <cellStyle name="Comma 2 2 4 3 6 5" xfId="21116"/>
    <cellStyle name="Comma 2 2 4 3 6 6" xfId="22189"/>
    <cellStyle name="Comma 2 2 4 3 6 7" xfId="23332"/>
    <cellStyle name="Comma 2 2 4 3 7" xfId="9107"/>
    <cellStyle name="Comma 2 2 4 3 7 2" xfId="25161"/>
    <cellStyle name="Comma 2 2 4 3 8" xfId="15304"/>
    <cellStyle name="Comma 2 2 4 3 8 2" xfId="24317"/>
    <cellStyle name="Comma 2 2 4 3 9" xfId="8120"/>
    <cellStyle name="Comma 2 2 4 4" xfId="905"/>
    <cellStyle name="Comma 2 2 4 4 10" xfId="22190"/>
    <cellStyle name="Comma 2 2 4 4 11" xfId="23333"/>
    <cellStyle name="Comma 2 2 4 4 2" xfId="906"/>
    <cellStyle name="Comma 2 2 4 4 2 2" xfId="9677"/>
    <cellStyle name="Comma 2 2 4 4 2 2 2" xfId="25477"/>
    <cellStyle name="Comma 2 2 4 4 2 3" xfId="15311"/>
    <cellStyle name="Comma 2 2 4 4 2 3 2" xfId="24324"/>
    <cellStyle name="Comma 2 2 4 4 2 4" xfId="8127"/>
    <cellStyle name="Comma 2 2 4 4 2 5" xfId="21118"/>
    <cellStyle name="Comma 2 2 4 4 2 6" xfId="22191"/>
    <cellStyle name="Comma 2 2 4 4 2 7" xfId="23334"/>
    <cellStyle name="Comma 2 2 4 4 3" xfId="907"/>
    <cellStyle name="Comma 2 2 4 4 3 2" xfId="9678"/>
    <cellStyle name="Comma 2 2 4 4 3 2 2" xfId="25478"/>
    <cellStyle name="Comma 2 2 4 4 3 3" xfId="15312"/>
    <cellStyle name="Comma 2 2 4 4 3 3 2" xfId="24325"/>
    <cellStyle name="Comma 2 2 4 4 3 4" xfId="8128"/>
    <cellStyle name="Comma 2 2 4 4 3 5" xfId="21119"/>
    <cellStyle name="Comma 2 2 4 4 3 6" xfId="22192"/>
    <cellStyle name="Comma 2 2 4 4 3 7" xfId="23335"/>
    <cellStyle name="Comma 2 2 4 4 4" xfId="908"/>
    <cellStyle name="Comma 2 2 4 4 4 2" xfId="9679"/>
    <cellStyle name="Comma 2 2 4 4 4 2 2" xfId="25479"/>
    <cellStyle name="Comma 2 2 4 4 4 3" xfId="15313"/>
    <cellStyle name="Comma 2 2 4 4 4 3 2" xfId="24326"/>
    <cellStyle name="Comma 2 2 4 4 4 4" xfId="8129"/>
    <cellStyle name="Comma 2 2 4 4 4 5" xfId="21120"/>
    <cellStyle name="Comma 2 2 4 4 4 6" xfId="22193"/>
    <cellStyle name="Comma 2 2 4 4 4 7" xfId="23336"/>
    <cellStyle name="Comma 2 2 4 4 5" xfId="909"/>
    <cellStyle name="Comma 2 2 4 4 5 2" xfId="9680"/>
    <cellStyle name="Comma 2 2 4 4 5 2 2" xfId="25480"/>
    <cellStyle name="Comma 2 2 4 4 5 3" xfId="15314"/>
    <cellStyle name="Comma 2 2 4 4 5 3 2" xfId="24327"/>
    <cellStyle name="Comma 2 2 4 4 5 4" xfId="8130"/>
    <cellStyle name="Comma 2 2 4 4 5 5" xfId="21121"/>
    <cellStyle name="Comma 2 2 4 4 5 6" xfId="22194"/>
    <cellStyle name="Comma 2 2 4 4 5 7" xfId="23337"/>
    <cellStyle name="Comma 2 2 4 4 6" xfId="9676"/>
    <cellStyle name="Comma 2 2 4 4 6 2" xfId="25476"/>
    <cellStyle name="Comma 2 2 4 4 7" xfId="15310"/>
    <cellStyle name="Comma 2 2 4 4 7 2" xfId="24323"/>
    <cellStyle name="Comma 2 2 4 4 8" xfId="8126"/>
    <cellStyle name="Comma 2 2 4 4 9" xfId="21117"/>
    <cellStyle name="Comma 2 2 4 5" xfId="910"/>
    <cellStyle name="Comma 2 2 4 5 10" xfId="22195"/>
    <cellStyle name="Comma 2 2 4 5 11" xfId="23338"/>
    <cellStyle name="Comma 2 2 4 5 2" xfId="911"/>
    <cellStyle name="Comma 2 2 4 5 2 2" xfId="9682"/>
    <cellStyle name="Comma 2 2 4 5 2 2 2" xfId="25482"/>
    <cellStyle name="Comma 2 2 4 5 2 3" xfId="15316"/>
    <cellStyle name="Comma 2 2 4 5 2 3 2" xfId="24329"/>
    <cellStyle name="Comma 2 2 4 5 2 4" xfId="8132"/>
    <cellStyle name="Comma 2 2 4 5 2 5" xfId="21123"/>
    <cellStyle name="Comma 2 2 4 5 2 6" xfId="22196"/>
    <cellStyle name="Comma 2 2 4 5 2 7" xfId="23339"/>
    <cellStyle name="Comma 2 2 4 5 3" xfId="912"/>
    <cellStyle name="Comma 2 2 4 5 3 2" xfId="9683"/>
    <cellStyle name="Comma 2 2 4 5 3 2 2" xfId="25483"/>
    <cellStyle name="Comma 2 2 4 5 3 3" xfId="15317"/>
    <cellStyle name="Comma 2 2 4 5 3 3 2" xfId="24330"/>
    <cellStyle name="Comma 2 2 4 5 3 4" xfId="8133"/>
    <cellStyle name="Comma 2 2 4 5 3 5" xfId="21124"/>
    <cellStyle name="Comma 2 2 4 5 3 6" xfId="22197"/>
    <cellStyle name="Comma 2 2 4 5 3 7" xfId="23340"/>
    <cellStyle name="Comma 2 2 4 5 4" xfId="913"/>
    <cellStyle name="Comma 2 2 4 5 4 2" xfId="9684"/>
    <cellStyle name="Comma 2 2 4 5 4 2 2" xfId="25484"/>
    <cellStyle name="Comma 2 2 4 5 4 3" xfId="15318"/>
    <cellStyle name="Comma 2 2 4 5 4 3 2" xfId="24331"/>
    <cellStyle name="Comma 2 2 4 5 4 4" xfId="8134"/>
    <cellStyle name="Comma 2 2 4 5 4 5" xfId="21125"/>
    <cellStyle name="Comma 2 2 4 5 4 6" xfId="22198"/>
    <cellStyle name="Comma 2 2 4 5 4 7" xfId="23341"/>
    <cellStyle name="Comma 2 2 4 5 5" xfId="914"/>
    <cellStyle name="Comma 2 2 4 5 5 2" xfId="9685"/>
    <cellStyle name="Comma 2 2 4 5 5 2 2" xfId="25485"/>
    <cellStyle name="Comma 2 2 4 5 5 3" xfId="15319"/>
    <cellStyle name="Comma 2 2 4 5 5 3 2" xfId="24332"/>
    <cellStyle name="Comma 2 2 4 5 5 4" xfId="8135"/>
    <cellStyle name="Comma 2 2 4 5 5 5" xfId="21126"/>
    <cellStyle name="Comma 2 2 4 5 5 6" xfId="22199"/>
    <cellStyle name="Comma 2 2 4 5 5 7" xfId="23342"/>
    <cellStyle name="Comma 2 2 4 5 6" xfId="9681"/>
    <cellStyle name="Comma 2 2 4 5 6 2" xfId="25481"/>
    <cellStyle name="Comma 2 2 4 5 7" xfId="15315"/>
    <cellStyle name="Comma 2 2 4 5 7 2" xfId="24328"/>
    <cellStyle name="Comma 2 2 4 5 8" xfId="8131"/>
    <cellStyle name="Comma 2 2 4 5 9" xfId="21122"/>
    <cellStyle name="Comma 2 2 4 6" xfId="915"/>
    <cellStyle name="Comma 2 2 4 6 2" xfId="9686"/>
    <cellStyle name="Comma 2 2 4 6 2 2" xfId="25486"/>
    <cellStyle name="Comma 2 2 4 6 3" xfId="15320"/>
    <cellStyle name="Comma 2 2 4 6 3 2" xfId="24333"/>
    <cellStyle name="Comma 2 2 4 6 4" xfId="8136"/>
    <cellStyle name="Comma 2 2 4 6 5" xfId="21127"/>
    <cellStyle name="Comma 2 2 4 6 6" xfId="22200"/>
    <cellStyle name="Comma 2 2 4 6 7" xfId="23343"/>
    <cellStyle name="Comma 2 2 4 7" xfId="916"/>
    <cellStyle name="Comma 2 2 4 7 2" xfId="9687"/>
    <cellStyle name="Comma 2 2 4 7 2 2" xfId="25487"/>
    <cellStyle name="Comma 2 2 4 7 3" xfId="15321"/>
    <cellStyle name="Comma 2 2 4 7 3 2" xfId="24334"/>
    <cellStyle name="Comma 2 2 4 7 4" xfId="8137"/>
    <cellStyle name="Comma 2 2 4 7 5" xfId="21128"/>
    <cellStyle name="Comma 2 2 4 7 6" xfId="22201"/>
    <cellStyle name="Comma 2 2 4 7 7" xfId="23344"/>
    <cellStyle name="Comma 2 2 4 8" xfId="917"/>
    <cellStyle name="Comma 2 2 4 8 2" xfId="9688"/>
    <cellStyle name="Comma 2 2 4 8 2 2" xfId="25488"/>
    <cellStyle name="Comma 2 2 4 8 3" xfId="15322"/>
    <cellStyle name="Comma 2 2 4 8 3 2" xfId="24335"/>
    <cellStyle name="Comma 2 2 4 8 4" xfId="8138"/>
    <cellStyle name="Comma 2 2 4 8 5" xfId="21129"/>
    <cellStyle name="Comma 2 2 4 8 6" xfId="22202"/>
    <cellStyle name="Comma 2 2 4 8 7" xfId="23345"/>
    <cellStyle name="Comma 2 2 4 9" xfId="918"/>
    <cellStyle name="Comma 2 2 4 9 2" xfId="9689"/>
    <cellStyle name="Comma 2 2 4 9 2 2" xfId="25489"/>
    <cellStyle name="Comma 2 2 4 9 3" xfId="15323"/>
    <cellStyle name="Comma 2 2 4 9 3 2" xfId="24336"/>
    <cellStyle name="Comma 2 2 4 9 4" xfId="8139"/>
    <cellStyle name="Comma 2 2 4 9 5" xfId="21130"/>
    <cellStyle name="Comma 2 2 4 9 6" xfId="22203"/>
    <cellStyle name="Comma 2 2 4 9 7" xfId="23346"/>
    <cellStyle name="Comma 2 2 5" xfId="236"/>
    <cellStyle name="Comma 2 2 5 10" xfId="15324"/>
    <cellStyle name="Comma 2 2 5 10 2" xfId="24337"/>
    <cellStyle name="Comma 2 2 5 11" xfId="8140"/>
    <cellStyle name="Comma 2 2 5 12" xfId="21131"/>
    <cellStyle name="Comma 2 2 5 13" xfId="22204"/>
    <cellStyle name="Comma 2 2 5 14" xfId="23015"/>
    <cellStyle name="Comma 2 2 5 2" xfId="233"/>
    <cellStyle name="Comma 2 2 5 2 10" xfId="21132"/>
    <cellStyle name="Comma 2 2 5 2 11" xfId="22205"/>
    <cellStyle name="Comma 2 2 5 2 12" xfId="23013"/>
    <cellStyle name="Comma 2 2 5 2 2" xfId="919"/>
    <cellStyle name="Comma 2 2 5 2 2 2" xfId="9690"/>
    <cellStyle name="Comma 2 2 5 2 2 2 2" xfId="25490"/>
    <cellStyle name="Comma 2 2 5 2 2 3" xfId="15326"/>
    <cellStyle name="Comma 2 2 5 2 2 3 2" xfId="24339"/>
    <cellStyle name="Comma 2 2 5 2 2 4" xfId="8142"/>
    <cellStyle name="Comma 2 2 5 2 2 5" xfId="21133"/>
    <cellStyle name="Comma 2 2 5 2 2 6" xfId="22206"/>
    <cellStyle name="Comma 2 2 5 2 2 7" xfId="23347"/>
    <cellStyle name="Comma 2 2 5 2 3" xfId="920"/>
    <cellStyle name="Comma 2 2 5 2 3 2" xfId="9691"/>
    <cellStyle name="Comma 2 2 5 2 3 2 2" xfId="25491"/>
    <cellStyle name="Comma 2 2 5 2 3 3" xfId="15327"/>
    <cellStyle name="Comma 2 2 5 2 3 3 2" xfId="24340"/>
    <cellStyle name="Comma 2 2 5 2 3 4" xfId="8143"/>
    <cellStyle name="Comma 2 2 5 2 3 5" xfId="21134"/>
    <cellStyle name="Comma 2 2 5 2 3 6" xfId="22207"/>
    <cellStyle name="Comma 2 2 5 2 3 7" xfId="23348"/>
    <cellStyle name="Comma 2 2 5 2 4" xfId="921"/>
    <cellStyle name="Comma 2 2 5 2 4 2" xfId="9692"/>
    <cellStyle name="Comma 2 2 5 2 4 2 2" xfId="25492"/>
    <cellStyle name="Comma 2 2 5 2 4 3" xfId="15328"/>
    <cellStyle name="Comma 2 2 5 2 4 3 2" xfId="24341"/>
    <cellStyle name="Comma 2 2 5 2 4 4" xfId="8144"/>
    <cellStyle name="Comma 2 2 5 2 4 5" xfId="21135"/>
    <cellStyle name="Comma 2 2 5 2 4 6" xfId="22208"/>
    <cellStyle name="Comma 2 2 5 2 4 7" xfId="23349"/>
    <cellStyle name="Comma 2 2 5 2 5" xfId="922"/>
    <cellStyle name="Comma 2 2 5 2 5 2" xfId="9693"/>
    <cellStyle name="Comma 2 2 5 2 5 2 2" xfId="25493"/>
    <cellStyle name="Comma 2 2 5 2 5 3" xfId="15329"/>
    <cellStyle name="Comma 2 2 5 2 5 3 2" xfId="24342"/>
    <cellStyle name="Comma 2 2 5 2 5 4" xfId="8145"/>
    <cellStyle name="Comma 2 2 5 2 5 5" xfId="21136"/>
    <cellStyle name="Comma 2 2 5 2 5 6" xfId="22209"/>
    <cellStyle name="Comma 2 2 5 2 5 7" xfId="23350"/>
    <cellStyle name="Comma 2 2 5 2 6" xfId="923"/>
    <cellStyle name="Comma 2 2 5 2 6 2" xfId="9694"/>
    <cellStyle name="Comma 2 2 5 2 6 2 2" xfId="25494"/>
    <cellStyle name="Comma 2 2 5 2 6 3" xfId="15330"/>
    <cellStyle name="Comma 2 2 5 2 6 3 2" xfId="24343"/>
    <cellStyle name="Comma 2 2 5 2 6 4" xfId="8146"/>
    <cellStyle name="Comma 2 2 5 2 6 5" xfId="21137"/>
    <cellStyle name="Comma 2 2 5 2 6 6" xfId="22210"/>
    <cellStyle name="Comma 2 2 5 2 6 7" xfId="23351"/>
    <cellStyle name="Comma 2 2 5 2 7" xfId="9097"/>
    <cellStyle name="Comma 2 2 5 2 7 2" xfId="25152"/>
    <cellStyle name="Comma 2 2 5 2 8" xfId="15325"/>
    <cellStyle name="Comma 2 2 5 2 8 2" xfId="24338"/>
    <cellStyle name="Comma 2 2 5 2 9" xfId="8141"/>
    <cellStyle name="Comma 2 2 5 3" xfId="924"/>
    <cellStyle name="Comma 2 2 5 3 10" xfId="22211"/>
    <cellStyle name="Comma 2 2 5 3 11" xfId="23352"/>
    <cellStyle name="Comma 2 2 5 3 2" xfId="925"/>
    <cellStyle name="Comma 2 2 5 3 2 2" xfId="9696"/>
    <cellStyle name="Comma 2 2 5 3 2 2 2" xfId="25496"/>
    <cellStyle name="Comma 2 2 5 3 2 3" xfId="15332"/>
    <cellStyle name="Comma 2 2 5 3 2 3 2" xfId="24345"/>
    <cellStyle name="Comma 2 2 5 3 2 4" xfId="8148"/>
    <cellStyle name="Comma 2 2 5 3 2 5" xfId="21139"/>
    <cellStyle name="Comma 2 2 5 3 2 6" xfId="22212"/>
    <cellStyle name="Comma 2 2 5 3 2 7" xfId="23353"/>
    <cellStyle name="Comma 2 2 5 3 3" xfId="926"/>
    <cellStyle name="Comma 2 2 5 3 3 2" xfId="9697"/>
    <cellStyle name="Comma 2 2 5 3 3 2 2" xfId="25497"/>
    <cellStyle name="Comma 2 2 5 3 3 3" xfId="15333"/>
    <cellStyle name="Comma 2 2 5 3 3 3 2" xfId="24346"/>
    <cellStyle name="Comma 2 2 5 3 3 4" xfId="8149"/>
    <cellStyle name="Comma 2 2 5 3 3 5" xfId="21140"/>
    <cellStyle name="Comma 2 2 5 3 3 6" xfId="22213"/>
    <cellStyle name="Comma 2 2 5 3 3 7" xfId="23354"/>
    <cellStyle name="Comma 2 2 5 3 4" xfId="927"/>
    <cellStyle name="Comma 2 2 5 3 4 2" xfId="9698"/>
    <cellStyle name="Comma 2 2 5 3 4 2 2" xfId="25498"/>
    <cellStyle name="Comma 2 2 5 3 4 3" xfId="15334"/>
    <cellStyle name="Comma 2 2 5 3 4 3 2" xfId="24347"/>
    <cellStyle name="Comma 2 2 5 3 4 4" xfId="8150"/>
    <cellStyle name="Comma 2 2 5 3 4 5" xfId="21141"/>
    <cellStyle name="Comma 2 2 5 3 4 6" xfId="22214"/>
    <cellStyle name="Comma 2 2 5 3 4 7" xfId="23355"/>
    <cellStyle name="Comma 2 2 5 3 5" xfId="928"/>
    <cellStyle name="Comma 2 2 5 3 5 2" xfId="9699"/>
    <cellStyle name="Comma 2 2 5 3 5 2 2" xfId="25499"/>
    <cellStyle name="Comma 2 2 5 3 5 3" xfId="15335"/>
    <cellStyle name="Comma 2 2 5 3 5 3 2" xfId="24348"/>
    <cellStyle name="Comma 2 2 5 3 5 4" xfId="8151"/>
    <cellStyle name="Comma 2 2 5 3 5 5" xfId="21142"/>
    <cellStyle name="Comma 2 2 5 3 5 6" xfId="22215"/>
    <cellStyle name="Comma 2 2 5 3 5 7" xfId="23356"/>
    <cellStyle name="Comma 2 2 5 3 6" xfId="9695"/>
    <cellStyle name="Comma 2 2 5 3 6 2" xfId="25495"/>
    <cellStyle name="Comma 2 2 5 3 7" xfId="15331"/>
    <cellStyle name="Comma 2 2 5 3 7 2" xfId="24344"/>
    <cellStyle name="Comma 2 2 5 3 8" xfId="8147"/>
    <cellStyle name="Comma 2 2 5 3 9" xfId="21138"/>
    <cellStyle name="Comma 2 2 5 4" xfId="929"/>
    <cellStyle name="Comma 2 2 5 4 2" xfId="9700"/>
    <cellStyle name="Comma 2 2 5 4 2 2" xfId="25500"/>
    <cellStyle name="Comma 2 2 5 4 3" xfId="15336"/>
    <cellStyle name="Comma 2 2 5 4 3 2" xfId="24349"/>
    <cellStyle name="Comma 2 2 5 4 4" xfId="8152"/>
    <cellStyle name="Comma 2 2 5 4 5" xfId="21143"/>
    <cellStyle name="Comma 2 2 5 4 6" xfId="22216"/>
    <cellStyle name="Comma 2 2 5 4 7" xfId="23357"/>
    <cellStyle name="Comma 2 2 5 5" xfId="930"/>
    <cellStyle name="Comma 2 2 5 5 2" xfId="9701"/>
    <cellStyle name="Comma 2 2 5 5 2 2" xfId="25501"/>
    <cellStyle name="Comma 2 2 5 5 3" xfId="15337"/>
    <cellStyle name="Comma 2 2 5 5 3 2" xfId="24350"/>
    <cellStyle name="Comma 2 2 5 5 4" xfId="8153"/>
    <cellStyle name="Comma 2 2 5 5 5" xfId="21144"/>
    <cellStyle name="Comma 2 2 5 5 6" xfId="22217"/>
    <cellStyle name="Comma 2 2 5 5 7" xfId="23358"/>
    <cellStyle name="Comma 2 2 5 6" xfId="931"/>
    <cellStyle name="Comma 2 2 5 6 2" xfId="9702"/>
    <cellStyle name="Comma 2 2 5 6 2 2" xfId="25502"/>
    <cellStyle name="Comma 2 2 5 6 3" xfId="15338"/>
    <cellStyle name="Comma 2 2 5 6 3 2" xfId="24351"/>
    <cellStyle name="Comma 2 2 5 6 4" xfId="8154"/>
    <cellStyle name="Comma 2 2 5 6 5" xfId="21145"/>
    <cellStyle name="Comma 2 2 5 6 6" xfId="22218"/>
    <cellStyle name="Comma 2 2 5 6 7" xfId="23359"/>
    <cellStyle name="Comma 2 2 5 7" xfId="932"/>
    <cellStyle name="Comma 2 2 5 7 2" xfId="9703"/>
    <cellStyle name="Comma 2 2 5 7 2 2" xfId="25503"/>
    <cellStyle name="Comma 2 2 5 7 3" xfId="15339"/>
    <cellStyle name="Comma 2 2 5 7 3 2" xfId="24352"/>
    <cellStyle name="Comma 2 2 5 7 4" xfId="8155"/>
    <cellStyle name="Comma 2 2 5 7 5" xfId="21146"/>
    <cellStyle name="Comma 2 2 5 7 6" xfId="22219"/>
    <cellStyle name="Comma 2 2 5 7 7" xfId="23360"/>
    <cellStyle name="Comma 2 2 5 8" xfId="933"/>
    <cellStyle name="Comma 2 2 5 8 2" xfId="9704"/>
    <cellStyle name="Comma 2 2 5 8 2 2" xfId="25504"/>
    <cellStyle name="Comma 2 2 5 8 3" xfId="15340"/>
    <cellStyle name="Comma 2 2 5 8 3 2" xfId="24353"/>
    <cellStyle name="Comma 2 2 5 8 4" xfId="8156"/>
    <cellStyle name="Comma 2 2 5 8 5" xfId="21147"/>
    <cellStyle name="Comma 2 2 5 8 6" xfId="22220"/>
    <cellStyle name="Comma 2 2 5 8 7" xfId="23361"/>
    <cellStyle name="Comma 2 2 5 9" xfId="9099"/>
    <cellStyle name="Comma 2 2 5 9 2" xfId="25154"/>
    <cellStyle name="Comma 2 2 6" xfId="225"/>
    <cellStyle name="Comma 2 2 6 10" xfId="21148"/>
    <cellStyle name="Comma 2 2 6 11" xfId="22221"/>
    <cellStyle name="Comma 2 2 6 12" xfId="23009"/>
    <cellStyle name="Comma 2 2 6 2" xfId="934"/>
    <cellStyle name="Comma 2 2 6 2 2" xfId="9705"/>
    <cellStyle name="Comma 2 2 6 2 2 2" xfId="25505"/>
    <cellStyle name="Comma 2 2 6 2 3" xfId="15342"/>
    <cellStyle name="Comma 2 2 6 2 3 2" xfId="24355"/>
    <cellStyle name="Comma 2 2 6 2 4" xfId="8158"/>
    <cellStyle name="Comma 2 2 6 2 5" xfId="21149"/>
    <cellStyle name="Comma 2 2 6 2 6" xfId="22222"/>
    <cellStyle name="Comma 2 2 6 2 7" xfId="23362"/>
    <cellStyle name="Comma 2 2 6 3" xfId="935"/>
    <cellStyle name="Comma 2 2 6 3 2" xfId="9706"/>
    <cellStyle name="Comma 2 2 6 3 2 2" xfId="25506"/>
    <cellStyle name="Comma 2 2 6 3 3" xfId="15343"/>
    <cellStyle name="Comma 2 2 6 3 3 2" xfId="24356"/>
    <cellStyle name="Comma 2 2 6 3 4" xfId="8159"/>
    <cellStyle name="Comma 2 2 6 3 5" xfId="21150"/>
    <cellStyle name="Comma 2 2 6 3 6" xfId="22223"/>
    <cellStyle name="Comma 2 2 6 3 7" xfId="23363"/>
    <cellStyle name="Comma 2 2 6 4" xfId="936"/>
    <cellStyle name="Comma 2 2 6 4 2" xfId="9707"/>
    <cellStyle name="Comma 2 2 6 4 2 2" xfId="25507"/>
    <cellStyle name="Comma 2 2 6 4 3" xfId="15344"/>
    <cellStyle name="Comma 2 2 6 4 3 2" xfId="24357"/>
    <cellStyle name="Comma 2 2 6 4 4" xfId="8160"/>
    <cellStyle name="Comma 2 2 6 4 5" xfId="21151"/>
    <cellStyle name="Comma 2 2 6 4 6" xfId="22224"/>
    <cellStyle name="Comma 2 2 6 4 7" xfId="23364"/>
    <cellStyle name="Comma 2 2 6 5" xfId="937"/>
    <cellStyle name="Comma 2 2 6 5 2" xfId="9708"/>
    <cellStyle name="Comma 2 2 6 5 2 2" xfId="25508"/>
    <cellStyle name="Comma 2 2 6 5 3" xfId="15345"/>
    <cellStyle name="Comma 2 2 6 5 3 2" xfId="24358"/>
    <cellStyle name="Comma 2 2 6 5 4" xfId="8161"/>
    <cellStyle name="Comma 2 2 6 5 5" xfId="21152"/>
    <cellStyle name="Comma 2 2 6 5 6" xfId="22225"/>
    <cellStyle name="Comma 2 2 6 5 7" xfId="23365"/>
    <cellStyle name="Comma 2 2 6 6" xfId="938"/>
    <cellStyle name="Comma 2 2 6 6 2" xfId="9709"/>
    <cellStyle name="Comma 2 2 6 6 2 2" xfId="25509"/>
    <cellStyle name="Comma 2 2 6 6 3" xfId="15346"/>
    <cellStyle name="Comma 2 2 6 6 3 2" xfId="24359"/>
    <cellStyle name="Comma 2 2 6 6 4" xfId="8162"/>
    <cellStyle name="Comma 2 2 6 6 5" xfId="21153"/>
    <cellStyle name="Comma 2 2 6 6 6" xfId="22226"/>
    <cellStyle name="Comma 2 2 6 6 7" xfId="23366"/>
    <cellStyle name="Comma 2 2 6 7" xfId="9093"/>
    <cellStyle name="Comma 2 2 6 7 2" xfId="25148"/>
    <cellStyle name="Comma 2 2 6 8" xfId="15341"/>
    <cellStyle name="Comma 2 2 6 8 2" xfId="24354"/>
    <cellStyle name="Comma 2 2 6 9" xfId="8157"/>
    <cellStyle name="Comma 2 2 7" xfId="175"/>
    <cellStyle name="Comma 2 2 7 2" xfId="9058"/>
    <cellStyle name="Comma 2 2 7 2 2" xfId="25114"/>
    <cellStyle name="Comma 2 2 7 3" xfId="15347"/>
    <cellStyle name="Comma 2 2 7 3 2" xfId="24360"/>
    <cellStyle name="Comma 2 2 7 4" xfId="8163"/>
    <cellStyle name="Comma 2 2 7 5" xfId="21154"/>
    <cellStyle name="Comma 2 2 7 6" xfId="22227"/>
    <cellStyle name="Comma 2 2 7 7" xfId="22976"/>
    <cellStyle name="Comma 2 2 8" xfId="9027"/>
    <cellStyle name="Comma 2 2 8 2" xfId="25111"/>
    <cellStyle name="Comma 2 2 9" xfId="15050"/>
    <cellStyle name="Comma 2 2 9 2" xfId="24063"/>
    <cellStyle name="Comma 2 20" xfId="22969"/>
    <cellStyle name="Comma 2 21" xfId="26201"/>
    <cellStyle name="Comma 2 3" xfId="186"/>
    <cellStyle name="Comma 2 3 10" xfId="8164"/>
    <cellStyle name="Comma 2 3 10 2" xfId="24361"/>
    <cellStyle name="Comma 2 3 2" xfId="939"/>
    <cellStyle name="Comma 2 3 2 10" xfId="22228"/>
    <cellStyle name="Comma 2 3 2 11" xfId="23367"/>
    <cellStyle name="Comma 2 3 2 2" xfId="940"/>
    <cellStyle name="Comma 2 3 2 2 2" xfId="9711"/>
    <cellStyle name="Comma 2 3 2 2 2 2" xfId="25511"/>
    <cellStyle name="Comma 2 3 2 2 3" xfId="15349"/>
    <cellStyle name="Comma 2 3 2 2 3 2" xfId="24363"/>
    <cellStyle name="Comma 2 3 2 2 4" xfId="8166"/>
    <cellStyle name="Comma 2 3 2 2 5" xfId="21156"/>
    <cellStyle name="Comma 2 3 2 2 6" xfId="22229"/>
    <cellStyle name="Comma 2 3 2 2 7" xfId="23368"/>
    <cellStyle name="Comma 2 3 2 3" xfId="941"/>
    <cellStyle name="Comma 2 3 2 3 2" xfId="9712"/>
    <cellStyle name="Comma 2 3 2 3 2 2" xfId="25512"/>
    <cellStyle name="Comma 2 3 2 3 3" xfId="15350"/>
    <cellStyle name="Comma 2 3 2 3 3 2" xfId="24364"/>
    <cellStyle name="Comma 2 3 2 3 4" xfId="8167"/>
    <cellStyle name="Comma 2 3 2 3 5" xfId="21157"/>
    <cellStyle name="Comma 2 3 2 3 6" xfId="22230"/>
    <cellStyle name="Comma 2 3 2 3 7" xfId="23369"/>
    <cellStyle name="Comma 2 3 2 4" xfId="942"/>
    <cellStyle name="Comma 2 3 2 4 2" xfId="9713"/>
    <cellStyle name="Comma 2 3 2 4 2 2" xfId="25513"/>
    <cellStyle name="Comma 2 3 2 4 3" xfId="15351"/>
    <cellStyle name="Comma 2 3 2 4 3 2" xfId="24365"/>
    <cellStyle name="Comma 2 3 2 4 4" xfId="8168"/>
    <cellStyle name="Comma 2 3 2 4 5" xfId="21158"/>
    <cellStyle name="Comma 2 3 2 4 6" xfId="22231"/>
    <cellStyle name="Comma 2 3 2 4 7" xfId="23370"/>
    <cellStyle name="Comma 2 3 2 5" xfId="943"/>
    <cellStyle name="Comma 2 3 2 5 2" xfId="9714"/>
    <cellStyle name="Comma 2 3 2 5 2 2" xfId="25514"/>
    <cellStyle name="Comma 2 3 2 5 3" xfId="15352"/>
    <cellStyle name="Comma 2 3 2 5 3 2" xfId="24366"/>
    <cellStyle name="Comma 2 3 2 5 4" xfId="8169"/>
    <cellStyle name="Comma 2 3 2 5 5" xfId="21159"/>
    <cellStyle name="Comma 2 3 2 5 6" xfId="22232"/>
    <cellStyle name="Comma 2 3 2 5 7" xfId="23371"/>
    <cellStyle name="Comma 2 3 2 6" xfId="9710"/>
    <cellStyle name="Comma 2 3 2 6 2" xfId="25510"/>
    <cellStyle name="Comma 2 3 2 7" xfId="15348"/>
    <cellStyle name="Comma 2 3 2 7 2" xfId="24362"/>
    <cellStyle name="Comma 2 3 2 8" xfId="8165"/>
    <cellStyle name="Comma 2 3 2 9" xfId="21155"/>
    <cellStyle name="Comma 2 3 3" xfId="944"/>
    <cellStyle name="Comma 2 3 3 10" xfId="22233"/>
    <cellStyle name="Comma 2 3 3 11" xfId="23372"/>
    <cellStyle name="Comma 2 3 3 2" xfId="945"/>
    <cellStyle name="Comma 2 3 3 2 2" xfId="9716"/>
    <cellStyle name="Comma 2 3 3 2 2 2" xfId="25516"/>
    <cellStyle name="Comma 2 3 3 2 3" xfId="15354"/>
    <cellStyle name="Comma 2 3 3 2 3 2" xfId="24368"/>
    <cellStyle name="Comma 2 3 3 2 4" xfId="8171"/>
    <cellStyle name="Comma 2 3 3 2 5" xfId="21161"/>
    <cellStyle name="Comma 2 3 3 2 6" xfId="22234"/>
    <cellStyle name="Comma 2 3 3 2 7" xfId="23373"/>
    <cellStyle name="Comma 2 3 3 3" xfId="946"/>
    <cellStyle name="Comma 2 3 3 3 2" xfId="9717"/>
    <cellStyle name="Comma 2 3 3 3 2 2" xfId="25517"/>
    <cellStyle name="Comma 2 3 3 3 3" xfId="15355"/>
    <cellStyle name="Comma 2 3 3 3 3 2" xfId="24369"/>
    <cellStyle name="Comma 2 3 3 3 4" xfId="8172"/>
    <cellStyle name="Comma 2 3 3 3 5" xfId="21162"/>
    <cellStyle name="Comma 2 3 3 3 6" xfId="22235"/>
    <cellStyle name="Comma 2 3 3 3 7" xfId="23374"/>
    <cellStyle name="Comma 2 3 3 4" xfId="947"/>
    <cellStyle name="Comma 2 3 3 4 2" xfId="9718"/>
    <cellStyle name="Comma 2 3 3 4 2 2" xfId="25518"/>
    <cellStyle name="Comma 2 3 3 4 3" xfId="15356"/>
    <cellStyle name="Comma 2 3 3 4 3 2" xfId="24370"/>
    <cellStyle name="Comma 2 3 3 4 4" xfId="8173"/>
    <cellStyle name="Comma 2 3 3 4 5" xfId="21163"/>
    <cellStyle name="Comma 2 3 3 4 6" xfId="22236"/>
    <cellStyle name="Comma 2 3 3 4 7" xfId="23375"/>
    <cellStyle name="Comma 2 3 3 5" xfId="948"/>
    <cellStyle name="Comma 2 3 3 5 2" xfId="9719"/>
    <cellStyle name="Comma 2 3 3 5 2 2" xfId="25519"/>
    <cellStyle name="Comma 2 3 3 5 3" xfId="15357"/>
    <cellStyle name="Comma 2 3 3 5 3 2" xfId="24371"/>
    <cellStyle name="Comma 2 3 3 5 4" xfId="8174"/>
    <cellStyle name="Comma 2 3 3 5 5" xfId="21164"/>
    <cellStyle name="Comma 2 3 3 5 6" xfId="22237"/>
    <cellStyle name="Comma 2 3 3 5 7" xfId="23376"/>
    <cellStyle name="Comma 2 3 3 6" xfId="9715"/>
    <cellStyle name="Comma 2 3 3 6 2" xfId="25515"/>
    <cellStyle name="Comma 2 3 3 7" xfId="15353"/>
    <cellStyle name="Comma 2 3 3 7 2" xfId="24367"/>
    <cellStyle name="Comma 2 3 3 8" xfId="8170"/>
    <cellStyle name="Comma 2 3 3 9" xfId="21160"/>
    <cellStyle name="Comma 2 3 4" xfId="949"/>
    <cellStyle name="Comma 2 3 4 2" xfId="9720"/>
    <cellStyle name="Comma 2 3 4 2 2" xfId="25520"/>
    <cellStyle name="Comma 2 3 4 3" xfId="8175"/>
    <cellStyle name="Comma 2 3 4 3 2" xfId="24372"/>
    <cellStyle name="Comma 2 3 5" xfId="950"/>
    <cellStyle name="Comma 2 3 5 2" xfId="9721"/>
    <cellStyle name="Comma 2 3 5 2 2" xfId="25521"/>
    <cellStyle name="Comma 2 3 5 3" xfId="15358"/>
    <cellStyle name="Comma 2 3 5 3 2" xfId="24373"/>
    <cellStyle name="Comma 2 3 5 4" xfId="8176"/>
    <cellStyle name="Comma 2 3 5 5" xfId="21165"/>
    <cellStyle name="Comma 2 3 5 6" xfId="22238"/>
    <cellStyle name="Comma 2 3 5 7" xfId="23377"/>
    <cellStyle name="Comma 2 3 6" xfId="951"/>
    <cellStyle name="Comma 2 3 6 2" xfId="9722"/>
    <cellStyle name="Comma 2 3 6 2 2" xfId="25522"/>
    <cellStyle name="Comma 2 3 6 3" xfId="15359"/>
    <cellStyle name="Comma 2 3 6 3 2" xfId="24374"/>
    <cellStyle name="Comma 2 3 6 4" xfId="8177"/>
    <cellStyle name="Comma 2 3 6 5" xfId="21166"/>
    <cellStyle name="Comma 2 3 6 6" xfId="22239"/>
    <cellStyle name="Comma 2 3 6 7" xfId="23378"/>
    <cellStyle name="Comma 2 3 7" xfId="952"/>
    <cellStyle name="Comma 2 3 7 2" xfId="9723"/>
    <cellStyle name="Comma 2 3 7 2 2" xfId="25523"/>
    <cellStyle name="Comma 2 3 7 3" xfId="15360"/>
    <cellStyle name="Comma 2 3 7 3 2" xfId="24375"/>
    <cellStyle name="Comma 2 3 7 4" xfId="8178"/>
    <cellStyle name="Comma 2 3 7 5" xfId="21167"/>
    <cellStyle name="Comma 2 3 7 6" xfId="22240"/>
    <cellStyle name="Comma 2 3 7 7" xfId="23379"/>
    <cellStyle name="Comma 2 3 8" xfId="953"/>
    <cellStyle name="Comma 2 3 8 2" xfId="9724"/>
    <cellStyle name="Comma 2 3 8 2 2" xfId="25524"/>
    <cellStyle name="Comma 2 3 8 3" xfId="15361"/>
    <cellStyle name="Comma 2 3 8 3 2" xfId="24376"/>
    <cellStyle name="Comma 2 3 8 4" xfId="8179"/>
    <cellStyle name="Comma 2 3 8 5" xfId="21168"/>
    <cellStyle name="Comma 2 3 8 6" xfId="22241"/>
    <cellStyle name="Comma 2 3 8 7" xfId="23380"/>
    <cellStyle name="Comma 2 3 9" xfId="9065"/>
    <cellStyle name="Comma 2 3 9 2" xfId="25121"/>
    <cellStyle name="Comma 2 3_Monthly Price Data" xfId="954"/>
    <cellStyle name="Comma 2 4" xfId="197"/>
    <cellStyle name="Comma 2 4 10" xfId="955"/>
    <cellStyle name="Comma 2 4 10 2" xfId="9725"/>
    <cellStyle name="Comma 2 4 10 2 2" xfId="25525"/>
    <cellStyle name="Comma 2 4 10 3" xfId="15363"/>
    <cellStyle name="Comma 2 4 10 3 2" xfId="24378"/>
    <cellStyle name="Comma 2 4 10 4" xfId="8181"/>
    <cellStyle name="Comma 2 4 10 5" xfId="21170"/>
    <cellStyle name="Comma 2 4 10 6" xfId="22243"/>
    <cellStyle name="Comma 2 4 10 7" xfId="23381"/>
    <cellStyle name="Comma 2 4 11" xfId="956"/>
    <cellStyle name="Comma 2 4 11 2" xfId="9726"/>
    <cellStyle name="Comma 2 4 11 2 2" xfId="25526"/>
    <cellStyle name="Comma 2 4 11 3" xfId="15364"/>
    <cellStyle name="Comma 2 4 11 3 2" xfId="24379"/>
    <cellStyle name="Comma 2 4 11 4" xfId="8182"/>
    <cellStyle name="Comma 2 4 11 5" xfId="21171"/>
    <cellStyle name="Comma 2 4 11 6" xfId="22244"/>
    <cellStyle name="Comma 2 4 11 7" xfId="23382"/>
    <cellStyle name="Comma 2 4 12" xfId="957"/>
    <cellStyle name="Comma 2 4 12 2" xfId="9727"/>
    <cellStyle name="Comma 2 4 12 2 2" xfId="25527"/>
    <cellStyle name="Comma 2 4 12 3" xfId="15365"/>
    <cellStyle name="Comma 2 4 12 3 2" xfId="24380"/>
    <cellStyle name="Comma 2 4 12 4" xfId="8183"/>
    <cellStyle name="Comma 2 4 12 5" xfId="21172"/>
    <cellStyle name="Comma 2 4 12 6" xfId="22245"/>
    <cellStyle name="Comma 2 4 12 7" xfId="23383"/>
    <cellStyle name="Comma 2 4 13" xfId="958"/>
    <cellStyle name="Comma 2 4 13 2" xfId="9728"/>
    <cellStyle name="Comma 2 4 13 2 2" xfId="25528"/>
    <cellStyle name="Comma 2 4 13 3" xfId="15366"/>
    <cellStyle name="Comma 2 4 13 3 2" xfId="24381"/>
    <cellStyle name="Comma 2 4 13 4" xfId="8184"/>
    <cellStyle name="Comma 2 4 13 5" xfId="21173"/>
    <cellStyle name="Comma 2 4 13 6" xfId="22246"/>
    <cellStyle name="Comma 2 4 13 7" xfId="23384"/>
    <cellStyle name="Comma 2 4 14" xfId="9072"/>
    <cellStyle name="Comma 2 4 14 2" xfId="25127"/>
    <cellStyle name="Comma 2 4 15" xfId="15362"/>
    <cellStyle name="Comma 2 4 15 2" xfId="24377"/>
    <cellStyle name="Comma 2 4 16" xfId="8180"/>
    <cellStyle name="Comma 2 4 17" xfId="21169"/>
    <cellStyle name="Comma 2 4 18" xfId="22242"/>
    <cellStyle name="Comma 2 4 19" xfId="22988"/>
    <cellStyle name="Comma 2 4 2" xfId="267"/>
    <cellStyle name="Comma 2 4 2 10" xfId="959"/>
    <cellStyle name="Comma 2 4 2 10 2" xfId="9729"/>
    <cellStyle name="Comma 2 4 2 10 2 2" xfId="25529"/>
    <cellStyle name="Comma 2 4 2 10 3" xfId="15368"/>
    <cellStyle name="Comma 2 4 2 10 3 2" xfId="24383"/>
    <cellStyle name="Comma 2 4 2 10 4" xfId="8186"/>
    <cellStyle name="Comma 2 4 2 10 5" xfId="21175"/>
    <cellStyle name="Comma 2 4 2 10 6" xfId="22248"/>
    <cellStyle name="Comma 2 4 2 10 7" xfId="23385"/>
    <cellStyle name="Comma 2 4 2 11" xfId="960"/>
    <cellStyle name="Comma 2 4 2 11 2" xfId="9730"/>
    <cellStyle name="Comma 2 4 2 11 2 2" xfId="25530"/>
    <cellStyle name="Comma 2 4 2 11 3" xfId="15369"/>
    <cellStyle name="Comma 2 4 2 11 3 2" xfId="24384"/>
    <cellStyle name="Comma 2 4 2 11 4" xfId="8187"/>
    <cellStyle name="Comma 2 4 2 11 5" xfId="21176"/>
    <cellStyle name="Comma 2 4 2 11 6" xfId="22249"/>
    <cellStyle name="Comma 2 4 2 11 7" xfId="23386"/>
    <cellStyle name="Comma 2 4 2 12" xfId="961"/>
    <cellStyle name="Comma 2 4 2 12 2" xfId="9731"/>
    <cellStyle name="Comma 2 4 2 12 2 2" xfId="25531"/>
    <cellStyle name="Comma 2 4 2 12 3" xfId="15370"/>
    <cellStyle name="Comma 2 4 2 12 3 2" xfId="24385"/>
    <cellStyle name="Comma 2 4 2 12 4" xfId="8188"/>
    <cellStyle name="Comma 2 4 2 12 5" xfId="21177"/>
    <cellStyle name="Comma 2 4 2 12 6" xfId="22250"/>
    <cellStyle name="Comma 2 4 2 12 7" xfId="23387"/>
    <cellStyle name="Comma 2 4 2 13" xfId="9124"/>
    <cellStyle name="Comma 2 4 2 13 2" xfId="25178"/>
    <cellStyle name="Comma 2 4 2 14" xfId="15367"/>
    <cellStyle name="Comma 2 4 2 14 2" xfId="24382"/>
    <cellStyle name="Comma 2 4 2 15" xfId="8185"/>
    <cellStyle name="Comma 2 4 2 16" xfId="21174"/>
    <cellStyle name="Comma 2 4 2 17" xfId="22247"/>
    <cellStyle name="Comma 2 4 2 18" xfId="23039"/>
    <cellStyle name="Comma 2 4 2 2" xfId="264"/>
    <cellStyle name="Comma 2 4 2 2 10" xfId="962"/>
    <cellStyle name="Comma 2 4 2 2 10 2" xfId="9732"/>
    <cellStyle name="Comma 2 4 2 2 10 2 2" xfId="25532"/>
    <cellStyle name="Comma 2 4 2 2 10 3" xfId="15372"/>
    <cellStyle name="Comma 2 4 2 2 10 3 2" xfId="24387"/>
    <cellStyle name="Comma 2 4 2 2 10 4" xfId="8190"/>
    <cellStyle name="Comma 2 4 2 2 10 5" xfId="21179"/>
    <cellStyle name="Comma 2 4 2 2 10 6" xfId="22252"/>
    <cellStyle name="Comma 2 4 2 2 10 7" xfId="23388"/>
    <cellStyle name="Comma 2 4 2 2 11" xfId="963"/>
    <cellStyle name="Comma 2 4 2 2 11 2" xfId="9733"/>
    <cellStyle name="Comma 2 4 2 2 11 2 2" xfId="25533"/>
    <cellStyle name="Comma 2 4 2 2 11 3" xfId="15373"/>
    <cellStyle name="Comma 2 4 2 2 11 3 2" xfId="24388"/>
    <cellStyle name="Comma 2 4 2 2 11 4" xfId="8191"/>
    <cellStyle name="Comma 2 4 2 2 11 5" xfId="21180"/>
    <cellStyle name="Comma 2 4 2 2 11 6" xfId="22253"/>
    <cellStyle name="Comma 2 4 2 2 11 7" xfId="23389"/>
    <cellStyle name="Comma 2 4 2 2 12" xfId="9121"/>
    <cellStyle name="Comma 2 4 2 2 12 2" xfId="25175"/>
    <cellStyle name="Comma 2 4 2 2 13" xfId="15371"/>
    <cellStyle name="Comma 2 4 2 2 13 2" xfId="24386"/>
    <cellStyle name="Comma 2 4 2 2 14" xfId="8189"/>
    <cellStyle name="Comma 2 4 2 2 15" xfId="21178"/>
    <cellStyle name="Comma 2 4 2 2 16" xfId="22251"/>
    <cellStyle name="Comma 2 4 2 2 17" xfId="23036"/>
    <cellStyle name="Comma 2 4 2 2 2" xfId="256"/>
    <cellStyle name="Comma 2 4 2 2 2 10" xfId="964"/>
    <cellStyle name="Comma 2 4 2 2 2 10 2" xfId="9734"/>
    <cellStyle name="Comma 2 4 2 2 2 10 2 2" xfId="25534"/>
    <cellStyle name="Comma 2 4 2 2 2 10 3" xfId="15375"/>
    <cellStyle name="Comma 2 4 2 2 2 10 3 2" xfId="24390"/>
    <cellStyle name="Comma 2 4 2 2 2 10 4" xfId="8193"/>
    <cellStyle name="Comma 2 4 2 2 2 10 5" xfId="21182"/>
    <cellStyle name="Comma 2 4 2 2 2 10 6" xfId="22255"/>
    <cellStyle name="Comma 2 4 2 2 2 10 7" xfId="23390"/>
    <cellStyle name="Comma 2 4 2 2 2 11" xfId="9115"/>
    <cellStyle name="Comma 2 4 2 2 2 11 2" xfId="25169"/>
    <cellStyle name="Comma 2 4 2 2 2 12" xfId="15374"/>
    <cellStyle name="Comma 2 4 2 2 2 12 2" xfId="24389"/>
    <cellStyle name="Comma 2 4 2 2 2 13" xfId="8192"/>
    <cellStyle name="Comma 2 4 2 2 2 14" xfId="21181"/>
    <cellStyle name="Comma 2 4 2 2 2 15" xfId="22254"/>
    <cellStyle name="Comma 2 4 2 2 2 16" xfId="23030"/>
    <cellStyle name="Comma 2 4 2 2 2 2" xfId="177"/>
    <cellStyle name="Comma 2 4 2 2 2 2 10" xfId="15376"/>
    <cellStyle name="Comma 2 4 2 2 2 2 10 2" xfId="24391"/>
    <cellStyle name="Comma 2 4 2 2 2 2 11" xfId="8194"/>
    <cellStyle name="Comma 2 4 2 2 2 2 12" xfId="21183"/>
    <cellStyle name="Comma 2 4 2 2 2 2 13" xfId="22256"/>
    <cellStyle name="Comma 2 4 2 2 2 2 14" xfId="22978"/>
    <cellStyle name="Comma 2 4 2 2 2 2 2" xfId="214"/>
    <cellStyle name="Comma 2 4 2 2 2 2 2 10" xfId="21184"/>
    <cellStyle name="Comma 2 4 2 2 2 2 2 11" xfId="22257"/>
    <cellStyle name="Comma 2 4 2 2 2 2 2 12" xfId="23001"/>
    <cellStyle name="Comma 2 4 2 2 2 2 2 2" xfId="965"/>
    <cellStyle name="Comma 2 4 2 2 2 2 2 2 2" xfId="9735"/>
    <cellStyle name="Comma 2 4 2 2 2 2 2 2 2 2" xfId="25535"/>
    <cellStyle name="Comma 2 4 2 2 2 2 2 2 3" xfId="15378"/>
    <cellStyle name="Comma 2 4 2 2 2 2 2 2 3 2" xfId="24393"/>
    <cellStyle name="Comma 2 4 2 2 2 2 2 2 4" xfId="8196"/>
    <cellStyle name="Comma 2 4 2 2 2 2 2 2 5" xfId="21185"/>
    <cellStyle name="Comma 2 4 2 2 2 2 2 2 6" xfId="22258"/>
    <cellStyle name="Comma 2 4 2 2 2 2 2 2 7" xfId="23391"/>
    <cellStyle name="Comma 2 4 2 2 2 2 2 3" xfId="966"/>
    <cellStyle name="Comma 2 4 2 2 2 2 2 3 2" xfId="9736"/>
    <cellStyle name="Comma 2 4 2 2 2 2 2 3 2 2" xfId="25536"/>
    <cellStyle name="Comma 2 4 2 2 2 2 2 3 3" xfId="15379"/>
    <cellStyle name="Comma 2 4 2 2 2 2 2 3 3 2" xfId="24394"/>
    <cellStyle name="Comma 2 4 2 2 2 2 2 3 4" xfId="8197"/>
    <cellStyle name="Comma 2 4 2 2 2 2 2 3 5" xfId="21186"/>
    <cellStyle name="Comma 2 4 2 2 2 2 2 3 6" xfId="22259"/>
    <cellStyle name="Comma 2 4 2 2 2 2 2 3 7" xfId="23392"/>
    <cellStyle name="Comma 2 4 2 2 2 2 2 4" xfId="967"/>
    <cellStyle name="Comma 2 4 2 2 2 2 2 4 2" xfId="9737"/>
    <cellStyle name="Comma 2 4 2 2 2 2 2 4 2 2" xfId="25537"/>
    <cellStyle name="Comma 2 4 2 2 2 2 2 4 3" xfId="15380"/>
    <cellStyle name="Comma 2 4 2 2 2 2 2 4 3 2" xfId="24395"/>
    <cellStyle name="Comma 2 4 2 2 2 2 2 4 4" xfId="8198"/>
    <cellStyle name="Comma 2 4 2 2 2 2 2 4 5" xfId="21187"/>
    <cellStyle name="Comma 2 4 2 2 2 2 2 4 6" xfId="22260"/>
    <cellStyle name="Comma 2 4 2 2 2 2 2 4 7" xfId="23393"/>
    <cellStyle name="Comma 2 4 2 2 2 2 2 5" xfId="968"/>
    <cellStyle name="Comma 2 4 2 2 2 2 2 5 2" xfId="9738"/>
    <cellStyle name="Comma 2 4 2 2 2 2 2 5 2 2" xfId="25538"/>
    <cellStyle name="Comma 2 4 2 2 2 2 2 5 3" xfId="15381"/>
    <cellStyle name="Comma 2 4 2 2 2 2 2 5 3 2" xfId="24396"/>
    <cellStyle name="Comma 2 4 2 2 2 2 2 5 4" xfId="8199"/>
    <cellStyle name="Comma 2 4 2 2 2 2 2 5 5" xfId="21188"/>
    <cellStyle name="Comma 2 4 2 2 2 2 2 5 6" xfId="22261"/>
    <cellStyle name="Comma 2 4 2 2 2 2 2 5 7" xfId="23394"/>
    <cellStyle name="Comma 2 4 2 2 2 2 2 6" xfId="969"/>
    <cellStyle name="Comma 2 4 2 2 2 2 2 6 2" xfId="9739"/>
    <cellStyle name="Comma 2 4 2 2 2 2 2 6 2 2" xfId="25539"/>
    <cellStyle name="Comma 2 4 2 2 2 2 2 6 3" xfId="15382"/>
    <cellStyle name="Comma 2 4 2 2 2 2 2 6 3 2" xfId="24397"/>
    <cellStyle name="Comma 2 4 2 2 2 2 2 6 4" xfId="8200"/>
    <cellStyle name="Comma 2 4 2 2 2 2 2 6 5" xfId="21189"/>
    <cellStyle name="Comma 2 4 2 2 2 2 2 6 6" xfId="22262"/>
    <cellStyle name="Comma 2 4 2 2 2 2 2 6 7" xfId="23395"/>
    <cellStyle name="Comma 2 4 2 2 2 2 2 7" xfId="9085"/>
    <cellStyle name="Comma 2 4 2 2 2 2 2 7 2" xfId="25140"/>
    <cellStyle name="Comma 2 4 2 2 2 2 2 8" xfId="15377"/>
    <cellStyle name="Comma 2 4 2 2 2 2 2 8 2" xfId="24392"/>
    <cellStyle name="Comma 2 4 2 2 2 2 2 9" xfId="8195"/>
    <cellStyle name="Comma 2 4 2 2 2 2 3" xfId="970"/>
    <cellStyle name="Comma 2 4 2 2 2 2 3 10" xfId="22263"/>
    <cellStyle name="Comma 2 4 2 2 2 2 3 11" xfId="23396"/>
    <cellStyle name="Comma 2 4 2 2 2 2 3 2" xfId="971"/>
    <cellStyle name="Comma 2 4 2 2 2 2 3 2 2" xfId="9741"/>
    <cellStyle name="Comma 2 4 2 2 2 2 3 2 2 2" xfId="25541"/>
    <cellStyle name="Comma 2 4 2 2 2 2 3 2 3" xfId="15384"/>
    <cellStyle name="Comma 2 4 2 2 2 2 3 2 3 2" xfId="24399"/>
    <cellStyle name="Comma 2 4 2 2 2 2 3 2 4" xfId="8202"/>
    <cellStyle name="Comma 2 4 2 2 2 2 3 2 5" xfId="21191"/>
    <cellStyle name="Comma 2 4 2 2 2 2 3 2 6" xfId="22264"/>
    <cellStyle name="Comma 2 4 2 2 2 2 3 2 7" xfId="23397"/>
    <cellStyle name="Comma 2 4 2 2 2 2 3 3" xfId="972"/>
    <cellStyle name="Comma 2 4 2 2 2 2 3 3 2" xfId="9742"/>
    <cellStyle name="Comma 2 4 2 2 2 2 3 3 2 2" xfId="25542"/>
    <cellStyle name="Comma 2 4 2 2 2 2 3 3 3" xfId="15385"/>
    <cellStyle name="Comma 2 4 2 2 2 2 3 3 3 2" xfId="24400"/>
    <cellStyle name="Comma 2 4 2 2 2 2 3 3 4" xfId="8203"/>
    <cellStyle name="Comma 2 4 2 2 2 2 3 3 5" xfId="21192"/>
    <cellStyle name="Comma 2 4 2 2 2 2 3 3 6" xfId="22265"/>
    <cellStyle name="Comma 2 4 2 2 2 2 3 3 7" xfId="23398"/>
    <cellStyle name="Comma 2 4 2 2 2 2 3 4" xfId="973"/>
    <cellStyle name="Comma 2 4 2 2 2 2 3 4 2" xfId="9743"/>
    <cellStyle name="Comma 2 4 2 2 2 2 3 4 2 2" xfId="25543"/>
    <cellStyle name="Comma 2 4 2 2 2 2 3 4 3" xfId="15386"/>
    <cellStyle name="Comma 2 4 2 2 2 2 3 4 3 2" xfId="24401"/>
    <cellStyle name="Comma 2 4 2 2 2 2 3 4 4" xfId="8204"/>
    <cellStyle name="Comma 2 4 2 2 2 2 3 4 5" xfId="21193"/>
    <cellStyle name="Comma 2 4 2 2 2 2 3 4 6" xfId="22266"/>
    <cellStyle name="Comma 2 4 2 2 2 2 3 4 7" xfId="23399"/>
    <cellStyle name="Comma 2 4 2 2 2 2 3 5" xfId="974"/>
    <cellStyle name="Comma 2 4 2 2 2 2 3 5 2" xfId="9744"/>
    <cellStyle name="Comma 2 4 2 2 2 2 3 5 2 2" xfId="25544"/>
    <cellStyle name="Comma 2 4 2 2 2 2 3 5 3" xfId="15387"/>
    <cellStyle name="Comma 2 4 2 2 2 2 3 5 3 2" xfId="24402"/>
    <cellStyle name="Comma 2 4 2 2 2 2 3 5 4" xfId="8205"/>
    <cellStyle name="Comma 2 4 2 2 2 2 3 5 5" xfId="21194"/>
    <cellStyle name="Comma 2 4 2 2 2 2 3 5 6" xfId="22267"/>
    <cellStyle name="Comma 2 4 2 2 2 2 3 5 7" xfId="23400"/>
    <cellStyle name="Comma 2 4 2 2 2 2 3 6" xfId="9740"/>
    <cellStyle name="Comma 2 4 2 2 2 2 3 6 2" xfId="25540"/>
    <cellStyle name="Comma 2 4 2 2 2 2 3 7" xfId="15383"/>
    <cellStyle name="Comma 2 4 2 2 2 2 3 7 2" xfId="24398"/>
    <cellStyle name="Comma 2 4 2 2 2 2 3 8" xfId="8201"/>
    <cellStyle name="Comma 2 4 2 2 2 2 3 9" xfId="21190"/>
    <cellStyle name="Comma 2 4 2 2 2 2 4" xfId="975"/>
    <cellStyle name="Comma 2 4 2 2 2 2 4 2" xfId="9745"/>
    <cellStyle name="Comma 2 4 2 2 2 2 4 2 2" xfId="25545"/>
    <cellStyle name="Comma 2 4 2 2 2 2 4 3" xfId="15388"/>
    <cellStyle name="Comma 2 4 2 2 2 2 4 3 2" xfId="24403"/>
    <cellStyle name="Comma 2 4 2 2 2 2 4 4" xfId="8206"/>
    <cellStyle name="Comma 2 4 2 2 2 2 4 5" xfId="21195"/>
    <cellStyle name="Comma 2 4 2 2 2 2 4 6" xfId="22268"/>
    <cellStyle name="Comma 2 4 2 2 2 2 4 7" xfId="23401"/>
    <cellStyle name="Comma 2 4 2 2 2 2 5" xfId="976"/>
    <cellStyle name="Comma 2 4 2 2 2 2 5 2" xfId="9746"/>
    <cellStyle name="Comma 2 4 2 2 2 2 5 2 2" xfId="25546"/>
    <cellStyle name="Comma 2 4 2 2 2 2 5 3" xfId="15389"/>
    <cellStyle name="Comma 2 4 2 2 2 2 5 3 2" xfId="24404"/>
    <cellStyle name="Comma 2 4 2 2 2 2 5 4" xfId="8207"/>
    <cellStyle name="Comma 2 4 2 2 2 2 5 5" xfId="21196"/>
    <cellStyle name="Comma 2 4 2 2 2 2 5 6" xfId="22269"/>
    <cellStyle name="Comma 2 4 2 2 2 2 5 7" xfId="23402"/>
    <cellStyle name="Comma 2 4 2 2 2 2 6" xfId="977"/>
    <cellStyle name="Comma 2 4 2 2 2 2 6 2" xfId="9747"/>
    <cellStyle name="Comma 2 4 2 2 2 2 6 2 2" xfId="25547"/>
    <cellStyle name="Comma 2 4 2 2 2 2 6 3" xfId="15390"/>
    <cellStyle name="Comma 2 4 2 2 2 2 6 3 2" xfId="24405"/>
    <cellStyle name="Comma 2 4 2 2 2 2 6 4" xfId="8208"/>
    <cellStyle name="Comma 2 4 2 2 2 2 6 5" xfId="21197"/>
    <cellStyle name="Comma 2 4 2 2 2 2 6 6" xfId="22270"/>
    <cellStyle name="Comma 2 4 2 2 2 2 6 7" xfId="23403"/>
    <cellStyle name="Comma 2 4 2 2 2 2 7" xfId="978"/>
    <cellStyle name="Comma 2 4 2 2 2 2 7 2" xfId="9748"/>
    <cellStyle name="Comma 2 4 2 2 2 2 7 2 2" xfId="25548"/>
    <cellStyle name="Comma 2 4 2 2 2 2 7 3" xfId="15391"/>
    <cellStyle name="Comma 2 4 2 2 2 2 7 3 2" xfId="24406"/>
    <cellStyle name="Comma 2 4 2 2 2 2 7 4" xfId="8209"/>
    <cellStyle name="Comma 2 4 2 2 2 2 7 5" xfId="21198"/>
    <cellStyle name="Comma 2 4 2 2 2 2 7 6" xfId="22271"/>
    <cellStyle name="Comma 2 4 2 2 2 2 7 7" xfId="23404"/>
    <cellStyle name="Comma 2 4 2 2 2 2 8" xfId="979"/>
    <cellStyle name="Comma 2 4 2 2 2 2 8 2" xfId="9749"/>
    <cellStyle name="Comma 2 4 2 2 2 2 8 2 2" xfId="25549"/>
    <cellStyle name="Comma 2 4 2 2 2 2 8 3" xfId="15392"/>
    <cellStyle name="Comma 2 4 2 2 2 2 8 3 2" xfId="24407"/>
    <cellStyle name="Comma 2 4 2 2 2 2 8 4" xfId="8210"/>
    <cellStyle name="Comma 2 4 2 2 2 2 8 5" xfId="21199"/>
    <cellStyle name="Comma 2 4 2 2 2 2 8 6" xfId="22272"/>
    <cellStyle name="Comma 2 4 2 2 2 2 8 7" xfId="23405"/>
    <cellStyle name="Comma 2 4 2 2 2 2 9" xfId="9060"/>
    <cellStyle name="Comma 2 4 2 2 2 2 9 2" xfId="25116"/>
    <cellStyle name="Comma 2 4 2 2 2 3" xfId="201"/>
    <cellStyle name="Comma 2 4 2 2 2 3 10" xfId="21200"/>
    <cellStyle name="Comma 2 4 2 2 2 3 11" xfId="22273"/>
    <cellStyle name="Comma 2 4 2 2 2 3 12" xfId="22991"/>
    <cellStyle name="Comma 2 4 2 2 2 3 2" xfId="980"/>
    <cellStyle name="Comma 2 4 2 2 2 3 2 2" xfId="9750"/>
    <cellStyle name="Comma 2 4 2 2 2 3 2 2 2" xfId="25550"/>
    <cellStyle name="Comma 2 4 2 2 2 3 2 3" xfId="15394"/>
    <cellStyle name="Comma 2 4 2 2 2 3 2 3 2" xfId="24409"/>
    <cellStyle name="Comma 2 4 2 2 2 3 2 4" xfId="8212"/>
    <cellStyle name="Comma 2 4 2 2 2 3 2 5" xfId="21201"/>
    <cellStyle name="Comma 2 4 2 2 2 3 2 6" xfId="22274"/>
    <cellStyle name="Comma 2 4 2 2 2 3 2 7" xfId="23406"/>
    <cellStyle name="Comma 2 4 2 2 2 3 3" xfId="981"/>
    <cellStyle name="Comma 2 4 2 2 2 3 3 2" xfId="9751"/>
    <cellStyle name="Comma 2 4 2 2 2 3 3 2 2" xfId="25551"/>
    <cellStyle name="Comma 2 4 2 2 2 3 3 3" xfId="15395"/>
    <cellStyle name="Comma 2 4 2 2 2 3 3 3 2" xfId="24410"/>
    <cellStyle name="Comma 2 4 2 2 2 3 3 4" xfId="8213"/>
    <cellStyle name="Comma 2 4 2 2 2 3 3 5" xfId="21202"/>
    <cellStyle name="Comma 2 4 2 2 2 3 3 6" xfId="22275"/>
    <cellStyle name="Comma 2 4 2 2 2 3 3 7" xfId="23407"/>
    <cellStyle name="Comma 2 4 2 2 2 3 4" xfId="982"/>
    <cellStyle name="Comma 2 4 2 2 2 3 4 2" xfId="9752"/>
    <cellStyle name="Comma 2 4 2 2 2 3 4 2 2" xfId="25552"/>
    <cellStyle name="Comma 2 4 2 2 2 3 4 3" xfId="15396"/>
    <cellStyle name="Comma 2 4 2 2 2 3 4 3 2" xfId="24411"/>
    <cellStyle name="Comma 2 4 2 2 2 3 4 4" xfId="8214"/>
    <cellStyle name="Comma 2 4 2 2 2 3 4 5" xfId="21203"/>
    <cellStyle name="Comma 2 4 2 2 2 3 4 6" xfId="22276"/>
    <cellStyle name="Comma 2 4 2 2 2 3 4 7" xfId="23408"/>
    <cellStyle name="Comma 2 4 2 2 2 3 5" xfId="983"/>
    <cellStyle name="Comma 2 4 2 2 2 3 5 2" xfId="9753"/>
    <cellStyle name="Comma 2 4 2 2 2 3 5 2 2" xfId="25553"/>
    <cellStyle name="Comma 2 4 2 2 2 3 5 3" xfId="15397"/>
    <cellStyle name="Comma 2 4 2 2 2 3 5 3 2" xfId="24412"/>
    <cellStyle name="Comma 2 4 2 2 2 3 5 4" xfId="8215"/>
    <cellStyle name="Comma 2 4 2 2 2 3 5 5" xfId="21204"/>
    <cellStyle name="Comma 2 4 2 2 2 3 5 6" xfId="22277"/>
    <cellStyle name="Comma 2 4 2 2 2 3 5 7" xfId="23409"/>
    <cellStyle name="Comma 2 4 2 2 2 3 6" xfId="984"/>
    <cellStyle name="Comma 2 4 2 2 2 3 6 2" xfId="9754"/>
    <cellStyle name="Comma 2 4 2 2 2 3 6 2 2" xfId="25554"/>
    <cellStyle name="Comma 2 4 2 2 2 3 6 3" xfId="15398"/>
    <cellStyle name="Comma 2 4 2 2 2 3 6 3 2" xfId="24413"/>
    <cellStyle name="Comma 2 4 2 2 2 3 6 4" xfId="8216"/>
    <cellStyle name="Comma 2 4 2 2 2 3 6 5" xfId="21205"/>
    <cellStyle name="Comma 2 4 2 2 2 3 6 6" xfId="22278"/>
    <cellStyle name="Comma 2 4 2 2 2 3 6 7" xfId="23410"/>
    <cellStyle name="Comma 2 4 2 2 2 3 7" xfId="9075"/>
    <cellStyle name="Comma 2 4 2 2 2 3 7 2" xfId="25130"/>
    <cellStyle name="Comma 2 4 2 2 2 3 8" xfId="15393"/>
    <cellStyle name="Comma 2 4 2 2 2 3 8 2" xfId="24408"/>
    <cellStyle name="Comma 2 4 2 2 2 3 9" xfId="8211"/>
    <cellStyle name="Comma 2 4 2 2 2 4" xfId="985"/>
    <cellStyle name="Comma 2 4 2 2 2 4 10" xfId="22279"/>
    <cellStyle name="Comma 2 4 2 2 2 4 11" xfId="23411"/>
    <cellStyle name="Comma 2 4 2 2 2 4 2" xfId="986"/>
    <cellStyle name="Comma 2 4 2 2 2 4 2 2" xfId="9756"/>
    <cellStyle name="Comma 2 4 2 2 2 4 2 2 2" xfId="25556"/>
    <cellStyle name="Comma 2 4 2 2 2 4 2 3" xfId="15400"/>
    <cellStyle name="Comma 2 4 2 2 2 4 2 3 2" xfId="24415"/>
    <cellStyle name="Comma 2 4 2 2 2 4 2 4" xfId="8218"/>
    <cellStyle name="Comma 2 4 2 2 2 4 2 5" xfId="21207"/>
    <cellStyle name="Comma 2 4 2 2 2 4 2 6" xfId="22280"/>
    <cellStyle name="Comma 2 4 2 2 2 4 2 7" xfId="23412"/>
    <cellStyle name="Comma 2 4 2 2 2 4 3" xfId="987"/>
    <cellStyle name="Comma 2 4 2 2 2 4 3 2" xfId="9757"/>
    <cellStyle name="Comma 2 4 2 2 2 4 3 2 2" xfId="25557"/>
    <cellStyle name="Comma 2 4 2 2 2 4 3 3" xfId="15401"/>
    <cellStyle name="Comma 2 4 2 2 2 4 3 3 2" xfId="24416"/>
    <cellStyle name="Comma 2 4 2 2 2 4 3 4" xfId="8219"/>
    <cellStyle name="Comma 2 4 2 2 2 4 3 5" xfId="21208"/>
    <cellStyle name="Comma 2 4 2 2 2 4 3 6" xfId="22281"/>
    <cellStyle name="Comma 2 4 2 2 2 4 3 7" xfId="23413"/>
    <cellStyle name="Comma 2 4 2 2 2 4 4" xfId="988"/>
    <cellStyle name="Comma 2 4 2 2 2 4 4 2" xfId="9758"/>
    <cellStyle name="Comma 2 4 2 2 2 4 4 2 2" xfId="25558"/>
    <cellStyle name="Comma 2 4 2 2 2 4 4 3" xfId="15402"/>
    <cellStyle name="Comma 2 4 2 2 2 4 4 3 2" xfId="24417"/>
    <cellStyle name="Comma 2 4 2 2 2 4 4 4" xfId="8220"/>
    <cellStyle name="Comma 2 4 2 2 2 4 4 5" xfId="21209"/>
    <cellStyle name="Comma 2 4 2 2 2 4 4 6" xfId="22282"/>
    <cellStyle name="Comma 2 4 2 2 2 4 4 7" xfId="23414"/>
    <cellStyle name="Comma 2 4 2 2 2 4 5" xfId="989"/>
    <cellStyle name="Comma 2 4 2 2 2 4 5 2" xfId="9759"/>
    <cellStyle name="Comma 2 4 2 2 2 4 5 2 2" xfId="25559"/>
    <cellStyle name="Comma 2 4 2 2 2 4 5 3" xfId="15403"/>
    <cellStyle name="Comma 2 4 2 2 2 4 5 3 2" xfId="24418"/>
    <cellStyle name="Comma 2 4 2 2 2 4 5 4" xfId="8221"/>
    <cellStyle name="Comma 2 4 2 2 2 4 5 5" xfId="21210"/>
    <cellStyle name="Comma 2 4 2 2 2 4 5 6" xfId="22283"/>
    <cellStyle name="Comma 2 4 2 2 2 4 5 7" xfId="23415"/>
    <cellStyle name="Comma 2 4 2 2 2 4 6" xfId="9755"/>
    <cellStyle name="Comma 2 4 2 2 2 4 6 2" xfId="25555"/>
    <cellStyle name="Comma 2 4 2 2 2 4 7" xfId="15399"/>
    <cellStyle name="Comma 2 4 2 2 2 4 7 2" xfId="24414"/>
    <cellStyle name="Comma 2 4 2 2 2 4 8" xfId="8217"/>
    <cellStyle name="Comma 2 4 2 2 2 4 9" xfId="21206"/>
    <cellStyle name="Comma 2 4 2 2 2 5" xfId="990"/>
    <cellStyle name="Comma 2 4 2 2 2 5 10" xfId="22284"/>
    <cellStyle name="Comma 2 4 2 2 2 5 11" xfId="23416"/>
    <cellStyle name="Comma 2 4 2 2 2 5 2" xfId="991"/>
    <cellStyle name="Comma 2 4 2 2 2 5 2 2" xfId="9761"/>
    <cellStyle name="Comma 2 4 2 2 2 5 2 2 2" xfId="25561"/>
    <cellStyle name="Comma 2 4 2 2 2 5 2 3" xfId="15405"/>
    <cellStyle name="Comma 2 4 2 2 2 5 2 3 2" xfId="24420"/>
    <cellStyle name="Comma 2 4 2 2 2 5 2 4" xfId="8223"/>
    <cellStyle name="Comma 2 4 2 2 2 5 2 5" xfId="21212"/>
    <cellStyle name="Comma 2 4 2 2 2 5 2 6" xfId="22285"/>
    <cellStyle name="Comma 2 4 2 2 2 5 2 7" xfId="23417"/>
    <cellStyle name="Comma 2 4 2 2 2 5 3" xfId="992"/>
    <cellStyle name="Comma 2 4 2 2 2 5 3 2" xfId="9762"/>
    <cellStyle name="Comma 2 4 2 2 2 5 3 2 2" xfId="25562"/>
    <cellStyle name="Comma 2 4 2 2 2 5 3 3" xfId="15406"/>
    <cellStyle name="Comma 2 4 2 2 2 5 3 3 2" xfId="24421"/>
    <cellStyle name="Comma 2 4 2 2 2 5 3 4" xfId="8224"/>
    <cellStyle name="Comma 2 4 2 2 2 5 3 5" xfId="21213"/>
    <cellStyle name="Comma 2 4 2 2 2 5 3 6" xfId="22286"/>
    <cellStyle name="Comma 2 4 2 2 2 5 3 7" xfId="23418"/>
    <cellStyle name="Comma 2 4 2 2 2 5 4" xfId="993"/>
    <cellStyle name="Comma 2 4 2 2 2 5 4 2" xfId="9763"/>
    <cellStyle name="Comma 2 4 2 2 2 5 4 2 2" xfId="25563"/>
    <cellStyle name="Comma 2 4 2 2 2 5 4 3" xfId="15407"/>
    <cellStyle name="Comma 2 4 2 2 2 5 4 3 2" xfId="24422"/>
    <cellStyle name="Comma 2 4 2 2 2 5 4 4" xfId="8225"/>
    <cellStyle name="Comma 2 4 2 2 2 5 4 5" xfId="21214"/>
    <cellStyle name="Comma 2 4 2 2 2 5 4 6" xfId="22287"/>
    <cellStyle name="Comma 2 4 2 2 2 5 4 7" xfId="23419"/>
    <cellStyle name="Comma 2 4 2 2 2 5 5" xfId="994"/>
    <cellStyle name="Comma 2 4 2 2 2 5 5 2" xfId="9764"/>
    <cellStyle name="Comma 2 4 2 2 2 5 5 2 2" xfId="25564"/>
    <cellStyle name="Comma 2 4 2 2 2 5 5 3" xfId="15408"/>
    <cellStyle name="Comma 2 4 2 2 2 5 5 3 2" xfId="24423"/>
    <cellStyle name="Comma 2 4 2 2 2 5 5 4" xfId="8226"/>
    <cellStyle name="Comma 2 4 2 2 2 5 5 5" xfId="21215"/>
    <cellStyle name="Comma 2 4 2 2 2 5 5 6" xfId="22288"/>
    <cellStyle name="Comma 2 4 2 2 2 5 5 7" xfId="23420"/>
    <cellStyle name="Comma 2 4 2 2 2 5 6" xfId="9760"/>
    <cellStyle name="Comma 2 4 2 2 2 5 6 2" xfId="25560"/>
    <cellStyle name="Comma 2 4 2 2 2 5 7" xfId="15404"/>
    <cellStyle name="Comma 2 4 2 2 2 5 7 2" xfId="24419"/>
    <cellStyle name="Comma 2 4 2 2 2 5 8" xfId="8222"/>
    <cellStyle name="Comma 2 4 2 2 2 5 9" xfId="21211"/>
    <cellStyle name="Comma 2 4 2 2 2 6" xfId="995"/>
    <cellStyle name="Comma 2 4 2 2 2 6 2" xfId="9765"/>
    <cellStyle name="Comma 2 4 2 2 2 6 2 2" xfId="25565"/>
    <cellStyle name="Comma 2 4 2 2 2 6 3" xfId="15409"/>
    <cellStyle name="Comma 2 4 2 2 2 6 3 2" xfId="24424"/>
    <cellStyle name="Comma 2 4 2 2 2 6 4" xfId="8227"/>
    <cellStyle name="Comma 2 4 2 2 2 6 5" xfId="21216"/>
    <cellStyle name="Comma 2 4 2 2 2 6 6" xfId="22289"/>
    <cellStyle name="Comma 2 4 2 2 2 6 7" xfId="23421"/>
    <cellStyle name="Comma 2 4 2 2 2 7" xfId="996"/>
    <cellStyle name="Comma 2 4 2 2 2 7 2" xfId="9766"/>
    <cellStyle name="Comma 2 4 2 2 2 7 2 2" xfId="25566"/>
    <cellStyle name="Comma 2 4 2 2 2 7 3" xfId="15410"/>
    <cellStyle name="Comma 2 4 2 2 2 7 3 2" xfId="24425"/>
    <cellStyle name="Comma 2 4 2 2 2 7 4" xfId="8228"/>
    <cellStyle name="Comma 2 4 2 2 2 7 5" xfId="21217"/>
    <cellStyle name="Comma 2 4 2 2 2 7 6" xfId="22290"/>
    <cellStyle name="Comma 2 4 2 2 2 7 7" xfId="23422"/>
    <cellStyle name="Comma 2 4 2 2 2 8" xfId="997"/>
    <cellStyle name="Comma 2 4 2 2 2 8 2" xfId="9767"/>
    <cellStyle name="Comma 2 4 2 2 2 8 2 2" xfId="25567"/>
    <cellStyle name="Comma 2 4 2 2 2 8 3" xfId="15411"/>
    <cellStyle name="Comma 2 4 2 2 2 8 3 2" xfId="24426"/>
    <cellStyle name="Comma 2 4 2 2 2 8 4" xfId="8229"/>
    <cellStyle name="Comma 2 4 2 2 2 8 5" xfId="21218"/>
    <cellStyle name="Comma 2 4 2 2 2 8 6" xfId="22291"/>
    <cellStyle name="Comma 2 4 2 2 2 8 7" xfId="23423"/>
    <cellStyle name="Comma 2 4 2 2 2 9" xfId="998"/>
    <cellStyle name="Comma 2 4 2 2 2 9 2" xfId="9768"/>
    <cellStyle name="Comma 2 4 2 2 2 9 2 2" xfId="25568"/>
    <cellStyle name="Comma 2 4 2 2 2 9 3" xfId="15412"/>
    <cellStyle name="Comma 2 4 2 2 2 9 3 2" xfId="24427"/>
    <cellStyle name="Comma 2 4 2 2 2 9 4" xfId="8230"/>
    <cellStyle name="Comma 2 4 2 2 2 9 5" xfId="21219"/>
    <cellStyle name="Comma 2 4 2 2 2 9 6" xfId="22292"/>
    <cellStyle name="Comma 2 4 2 2 2 9 7" xfId="23424"/>
    <cellStyle name="Comma 2 4 2 2 3" xfId="194"/>
    <cellStyle name="Comma 2 4 2 2 3 10" xfId="15413"/>
    <cellStyle name="Comma 2 4 2 2 3 10 2" xfId="24428"/>
    <cellStyle name="Comma 2 4 2 2 3 11" xfId="8231"/>
    <cellStyle name="Comma 2 4 2 2 3 12" xfId="21220"/>
    <cellStyle name="Comma 2 4 2 2 3 13" xfId="22293"/>
    <cellStyle name="Comma 2 4 2 2 3 14" xfId="22986"/>
    <cellStyle name="Comma 2 4 2 2 3 2" xfId="266"/>
    <cellStyle name="Comma 2 4 2 2 3 2 10" xfId="21221"/>
    <cellStyle name="Comma 2 4 2 2 3 2 11" xfId="22294"/>
    <cellStyle name="Comma 2 4 2 2 3 2 12" xfId="23038"/>
    <cellStyle name="Comma 2 4 2 2 3 2 2" xfId="999"/>
    <cellStyle name="Comma 2 4 2 2 3 2 2 2" xfId="9769"/>
    <cellStyle name="Comma 2 4 2 2 3 2 2 2 2" xfId="25569"/>
    <cellStyle name="Comma 2 4 2 2 3 2 2 3" xfId="15415"/>
    <cellStyle name="Comma 2 4 2 2 3 2 2 3 2" xfId="24430"/>
    <cellStyle name="Comma 2 4 2 2 3 2 2 4" xfId="8233"/>
    <cellStyle name="Comma 2 4 2 2 3 2 2 5" xfId="21222"/>
    <cellStyle name="Comma 2 4 2 2 3 2 2 6" xfId="22295"/>
    <cellStyle name="Comma 2 4 2 2 3 2 2 7" xfId="23425"/>
    <cellStyle name="Comma 2 4 2 2 3 2 3" xfId="1000"/>
    <cellStyle name="Comma 2 4 2 2 3 2 3 2" xfId="9770"/>
    <cellStyle name="Comma 2 4 2 2 3 2 3 2 2" xfId="25570"/>
    <cellStyle name="Comma 2 4 2 2 3 2 3 3" xfId="15416"/>
    <cellStyle name="Comma 2 4 2 2 3 2 3 3 2" xfId="24431"/>
    <cellStyle name="Comma 2 4 2 2 3 2 3 4" xfId="8234"/>
    <cellStyle name="Comma 2 4 2 2 3 2 3 5" xfId="21223"/>
    <cellStyle name="Comma 2 4 2 2 3 2 3 6" xfId="22296"/>
    <cellStyle name="Comma 2 4 2 2 3 2 3 7" xfId="23426"/>
    <cellStyle name="Comma 2 4 2 2 3 2 4" xfId="1001"/>
    <cellStyle name="Comma 2 4 2 2 3 2 4 2" xfId="9771"/>
    <cellStyle name="Comma 2 4 2 2 3 2 4 2 2" xfId="25571"/>
    <cellStyle name="Comma 2 4 2 2 3 2 4 3" xfId="15417"/>
    <cellStyle name="Comma 2 4 2 2 3 2 4 3 2" xfId="24432"/>
    <cellStyle name="Comma 2 4 2 2 3 2 4 4" xfId="8235"/>
    <cellStyle name="Comma 2 4 2 2 3 2 4 5" xfId="21224"/>
    <cellStyle name="Comma 2 4 2 2 3 2 4 6" xfId="22297"/>
    <cellStyle name="Comma 2 4 2 2 3 2 4 7" xfId="23427"/>
    <cellStyle name="Comma 2 4 2 2 3 2 5" xfId="1002"/>
    <cellStyle name="Comma 2 4 2 2 3 2 5 2" xfId="9772"/>
    <cellStyle name="Comma 2 4 2 2 3 2 5 2 2" xfId="25572"/>
    <cellStyle name="Comma 2 4 2 2 3 2 5 3" xfId="15418"/>
    <cellStyle name="Comma 2 4 2 2 3 2 5 3 2" xfId="24433"/>
    <cellStyle name="Comma 2 4 2 2 3 2 5 4" xfId="8236"/>
    <cellStyle name="Comma 2 4 2 2 3 2 5 5" xfId="21225"/>
    <cellStyle name="Comma 2 4 2 2 3 2 5 6" xfId="22298"/>
    <cellStyle name="Comma 2 4 2 2 3 2 5 7" xfId="23428"/>
    <cellStyle name="Comma 2 4 2 2 3 2 6" xfId="1003"/>
    <cellStyle name="Comma 2 4 2 2 3 2 6 2" xfId="9773"/>
    <cellStyle name="Comma 2 4 2 2 3 2 6 2 2" xfId="25573"/>
    <cellStyle name="Comma 2 4 2 2 3 2 6 3" xfId="15419"/>
    <cellStyle name="Comma 2 4 2 2 3 2 6 3 2" xfId="24434"/>
    <cellStyle name="Comma 2 4 2 2 3 2 6 4" xfId="8237"/>
    <cellStyle name="Comma 2 4 2 2 3 2 6 5" xfId="21226"/>
    <cellStyle name="Comma 2 4 2 2 3 2 6 6" xfId="22299"/>
    <cellStyle name="Comma 2 4 2 2 3 2 6 7" xfId="23429"/>
    <cellStyle name="Comma 2 4 2 2 3 2 7" xfId="9123"/>
    <cellStyle name="Comma 2 4 2 2 3 2 7 2" xfId="25177"/>
    <cellStyle name="Comma 2 4 2 2 3 2 8" xfId="15414"/>
    <cellStyle name="Comma 2 4 2 2 3 2 8 2" xfId="24429"/>
    <cellStyle name="Comma 2 4 2 2 3 2 9" xfId="8232"/>
    <cellStyle name="Comma 2 4 2 2 3 3" xfId="1004"/>
    <cellStyle name="Comma 2 4 2 2 3 3 10" xfId="22300"/>
    <cellStyle name="Comma 2 4 2 2 3 3 11" xfId="23430"/>
    <cellStyle name="Comma 2 4 2 2 3 3 2" xfId="1005"/>
    <cellStyle name="Comma 2 4 2 2 3 3 2 2" xfId="9775"/>
    <cellStyle name="Comma 2 4 2 2 3 3 2 2 2" xfId="25575"/>
    <cellStyle name="Comma 2 4 2 2 3 3 2 3" xfId="15421"/>
    <cellStyle name="Comma 2 4 2 2 3 3 2 3 2" xfId="24436"/>
    <cellStyle name="Comma 2 4 2 2 3 3 2 4" xfId="8239"/>
    <cellStyle name="Comma 2 4 2 2 3 3 2 5" xfId="21228"/>
    <cellStyle name="Comma 2 4 2 2 3 3 2 6" xfId="22301"/>
    <cellStyle name="Comma 2 4 2 2 3 3 2 7" xfId="23431"/>
    <cellStyle name="Comma 2 4 2 2 3 3 3" xfId="1006"/>
    <cellStyle name="Comma 2 4 2 2 3 3 3 2" xfId="9776"/>
    <cellStyle name="Comma 2 4 2 2 3 3 3 2 2" xfId="25576"/>
    <cellStyle name="Comma 2 4 2 2 3 3 3 3" xfId="15422"/>
    <cellStyle name="Comma 2 4 2 2 3 3 3 3 2" xfId="24437"/>
    <cellStyle name="Comma 2 4 2 2 3 3 3 4" xfId="8240"/>
    <cellStyle name="Comma 2 4 2 2 3 3 3 5" xfId="21229"/>
    <cellStyle name="Comma 2 4 2 2 3 3 3 6" xfId="22302"/>
    <cellStyle name="Comma 2 4 2 2 3 3 3 7" xfId="23432"/>
    <cellStyle name="Comma 2 4 2 2 3 3 4" xfId="1007"/>
    <cellStyle name="Comma 2 4 2 2 3 3 4 2" xfId="9777"/>
    <cellStyle name="Comma 2 4 2 2 3 3 4 2 2" xfId="25577"/>
    <cellStyle name="Comma 2 4 2 2 3 3 4 3" xfId="15423"/>
    <cellStyle name="Comma 2 4 2 2 3 3 4 3 2" xfId="24438"/>
    <cellStyle name="Comma 2 4 2 2 3 3 4 4" xfId="8241"/>
    <cellStyle name="Comma 2 4 2 2 3 3 4 5" xfId="21230"/>
    <cellStyle name="Comma 2 4 2 2 3 3 4 6" xfId="22303"/>
    <cellStyle name="Comma 2 4 2 2 3 3 4 7" xfId="23433"/>
    <cellStyle name="Comma 2 4 2 2 3 3 5" xfId="1008"/>
    <cellStyle name="Comma 2 4 2 2 3 3 5 2" xfId="9778"/>
    <cellStyle name="Comma 2 4 2 2 3 3 5 2 2" xfId="25578"/>
    <cellStyle name="Comma 2 4 2 2 3 3 5 3" xfId="15424"/>
    <cellStyle name="Comma 2 4 2 2 3 3 5 3 2" xfId="24439"/>
    <cellStyle name="Comma 2 4 2 2 3 3 5 4" xfId="8242"/>
    <cellStyle name="Comma 2 4 2 2 3 3 5 5" xfId="21231"/>
    <cellStyle name="Comma 2 4 2 2 3 3 5 6" xfId="22304"/>
    <cellStyle name="Comma 2 4 2 2 3 3 5 7" xfId="23434"/>
    <cellStyle name="Comma 2 4 2 2 3 3 6" xfId="9774"/>
    <cellStyle name="Comma 2 4 2 2 3 3 6 2" xfId="25574"/>
    <cellStyle name="Comma 2 4 2 2 3 3 7" xfId="15420"/>
    <cellStyle name="Comma 2 4 2 2 3 3 7 2" xfId="24435"/>
    <cellStyle name="Comma 2 4 2 2 3 3 8" xfId="8238"/>
    <cellStyle name="Comma 2 4 2 2 3 3 9" xfId="21227"/>
    <cellStyle name="Comma 2 4 2 2 3 4" xfId="1009"/>
    <cellStyle name="Comma 2 4 2 2 3 4 2" xfId="9779"/>
    <cellStyle name="Comma 2 4 2 2 3 4 2 2" xfId="25579"/>
    <cellStyle name="Comma 2 4 2 2 3 4 3" xfId="15425"/>
    <cellStyle name="Comma 2 4 2 2 3 4 3 2" xfId="24440"/>
    <cellStyle name="Comma 2 4 2 2 3 4 4" xfId="8243"/>
    <cellStyle name="Comma 2 4 2 2 3 4 5" xfId="21232"/>
    <cellStyle name="Comma 2 4 2 2 3 4 6" xfId="22305"/>
    <cellStyle name="Comma 2 4 2 2 3 4 7" xfId="23435"/>
    <cellStyle name="Comma 2 4 2 2 3 5" xfId="1010"/>
    <cellStyle name="Comma 2 4 2 2 3 5 2" xfId="9780"/>
    <cellStyle name="Comma 2 4 2 2 3 5 2 2" xfId="25580"/>
    <cellStyle name="Comma 2 4 2 2 3 5 3" xfId="15426"/>
    <cellStyle name="Comma 2 4 2 2 3 5 3 2" xfId="24441"/>
    <cellStyle name="Comma 2 4 2 2 3 5 4" xfId="8244"/>
    <cellStyle name="Comma 2 4 2 2 3 5 5" xfId="21233"/>
    <cellStyle name="Comma 2 4 2 2 3 5 6" xfId="22306"/>
    <cellStyle name="Comma 2 4 2 2 3 5 7" xfId="23436"/>
    <cellStyle name="Comma 2 4 2 2 3 6" xfId="1011"/>
    <cellStyle name="Comma 2 4 2 2 3 6 2" xfId="9781"/>
    <cellStyle name="Comma 2 4 2 2 3 6 2 2" xfId="25581"/>
    <cellStyle name="Comma 2 4 2 2 3 6 3" xfId="15427"/>
    <cellStyle name="Comma 2 4 2 2 3 6 3 2" xfId="24442"/>
    <cellStyle name="Comma 2 4 2 2 3 6 4" xfId="8245"/>
    <cellStyle name="Comma 2 4 2 2 3 6 5" xfId="21234"/>
    <cellStyle name="Comma 2 4 2 2 3 6 6" xfId="22307"/>
    <cellStyle name="Comma 2 4 2 2 3 6 7" xfId="23437"/>
    <cellStyle name="Comma 2 4 2 2 3 7" xfId="1012"/>
    <cellStyle name="Comma 2 4 2 2 3 7 2" xfId="9782"/>
    <cellStyle name="Comma 2 4 2 2 3 7 2 2" xfId="25582"/>
    <cellStyle name="Comma 2 4 2 2 3 7 3" xfId="15428"/>
    <cellStyle name="Comma 2 4 2 2 3 7 3 2" xfId="24443"/>
    <cellStyle name="Comma 2 4 2 2 3 7 4" xfId="8246"/>
    <cellStyle name="Comma 2 4 2 2 3 7 5" xfId="21235"/>
    <cellStyle name="Comma 2 4 2 2 3 7 6" xfId="22308"/>
    <cellStyle name="Comma 2 4 2 2 3 7 7" xfId="23438"/>
    <cellStyle name="Comma 2 4 2 2 3 8" xfId="1013"/>
    <cellStyle name="Comma 2 4 2 2 3 8 2" xfId="9783"/>
    <cellStyle name="Comma 2 4 2 2 3 8 2 2" xfId="25583"/>
    <cellStyle name="Comma 2 4 2 2 3 8 3" xfId="15429"/>
    <cellStyle name="Comma 2 4 2 2 3 8 3 2" xfId="24444"/>
    <cellStyle name="Comma 2 4 2 2 3 8 4" xfId="8247"/>
    <cellStyle name="Comma 2 4 2 2 3 8 5" xfId="21236"/>
    <cellStyle name="Comma 2 4 2 2 3 8 6" xfId="22309"/>
    <cellStyle name="Comma 2 4 2 2 3 8 7" xfId="23439"/>
    <cellStyle name="Comma 2 4 2 2 3 9" xfId="9070"/>
    <cellStyle name="Comma 2 4 2 2 3 9 2" xfId="25125"/>
    <cellStyle name="Comma 2 4 2 2 4" xfId="211"/>
    <cellStyle name="Comma 2 4 2 2 4 10" xfId="21237"/>
    <cellStyle name="Comma 2 4 2 2 4 11" xfId="22310"/>
    <cellStyle name="Comma 2 4 2 2 4 12" xfId="23000"/>
    <cellStyle name="Comma 2 4 2 2 4 2" xfId="1014"/>
    <cellStyle name="Comma 2 4 2 2 4 2 2" xfId="9784"/>
    <cellStyle name="Comma 2 4 2 2 4 2 2 2" xfId="25584"/>
    <cellStyle name="Comma 2 4 2 2 4 2 3" xfId="15431"/>
    <cellStyle name="Comma 2 4 2 2 4 2 3 2" xfId="24446"/>
    <cellStyle name="Comma 2 4 2 2 4 2 4" xfId="8249"/>
    <cellStyle name="Comma 2 4 2 2 4 2 5" xfId="21238"/>
    <cellStyle name="Comma 2 4 2 2 4 2 6" xfId="22311"/>
    <cellStyle name="Comma 2 4 2 2 4 2 7" xfId="23440"/>
    <cellStyle name="Comma 2 4 2 2 4 3" xfId="1015"/>
    <cellStyle name="Comma 2 4 2 2 4 3 2" xfId="9785"/>
    <cellStyle name="Comma 2 4 2 2 4 3 2 2" xfId="25585"/>
    <cellStyle name="Comma 2 4 2 2 4 3 3" xfId="15432"/>
    <cellStyle name="Comma 2 4 2 2 4 3 3 2" xfId="24447"/>
    <cellStyle name="Comma 2 4 2 2 4 3 4" xfId="8250"/>
    <cellStyle name="Comma 2 4 2 2 4 3 5" xfId="21239"/>
    <cellStyle name="Comma 2 4 2 2 4 3 6" xfId="22312"/>
    <cellStyle name="Comma 2 4 2 2 4 3 7" xfId="23441"/>
    <cellStyle name="Comma 2 4 2 2 4 4" xfId="1016"/>
    <cellStyle name="Comma 2 4 2 2 4 4 2" xfId="9786"/>
    <cellStyle name="Comma 2 4 2 2 4 4 2 2" xfId="25586"/>
    <cellStyle name="Comma 2 4 2 2 4 4 3" xfId="15433"/>
    <cellStyle name="Comma 2 4 2 2 4 4 3 2" xfId="24448"/>
    <cellStyle name="Comma 2 4 2 2 4 4 4" xfId="8251"/>
    <cellStyle name="Comma 2 4 2 2 4 4 5" xfId="21240"/>
    <cellStyle name="Comma 2 4 2 2 4 4 6" xfId="22313"/>
    <cellStyle name="Comma 2 4 2 2 4 4 7" xfId="23442"/>
    <cellStyle name="Comma 2 4 2 2 4 5" xfId="1017"/>
    <cellStyle name="Comma 2 4 2 2 4 5 2" xfId="9787"/>
    <cellStyle name="Comma 2 4 2 2 4 5 2 2" xfId="25587"/>
    <cellStyle name="Comma 2 4 2 2 4 5 3" xfId="15434"/>
    <cellStyle name="Comma 2 4 2 2 4 5 3 2" xfId="24449"/>
    <cellStyle name="Comma 2 4 2 2 4 5 4" xfId="8252"/>
    <cellStyle name="Comma 2 4 2 2 4 5 5" xfId="21241"/>
    <cellStyle name="Comma 2 4 2 2 4 5 6" xfId="22314"/>
    <cellStyle name="Comma 2 4 2 2 4 5 7" xfId="23443"/>
    <cellStyle name="Comma 2 4 2 2 4 6" xfId="1018"/>
    <cellStyle name="Comma 2 4 2 2 4 6 2" xfId="9788"/>
    <cellStyle name="Comma 2 4 2 2 4 6 2 2" xfId="25588"/>
    <cellStyle name="Comma 2 4 2 2 4 6 3" xfId="15435"/>
    <cellStyle name="Comma 2 4 2 2 4 6 3 2" xfId="24450"/>
    <cellStyle name="Comma 2 4 2 2 4 6 4" xfId="8253"/>
    <cellStyle name="Comma 2 4 2 2 4 6 5" xfId="21242"/>
    <cellStyle name="Comma 2 4 2 2 4 6 6" xfId="22315"/>
    <cellStyle name="Comma 2 4 2 2 4 6 7" xfId="23444"/>
    <cellStyle name="Comma 2 4 2 2 4 7" xfId="9084"/>
    <cellStyle name="Comma 2 4 2 2 4 7 2" xfId="25139"/>
    <cellStyle name="Comma 2 4 2 2 4 8" xfId="15430"/>
    <cellStyle name="Comma 2 4 2 2 4 8 2" xfId="24445"/>
    <cellStyle name="Comma 2 4 2 2 4 9" xfId="8248"/>
    <cellStyle name="Comma 2 4 2 2 5" xfId="1019"/>
    <cellStyle name="Comma 2 4 2 2 5 10" xfId="22316"/>
    <cellStyle name="Comma 2 4 2 2 5 11" xfId="23445"/>
    <cellStyle name="Comma 2 4 2 2 5 2" xfId="1020"/>
    <cellStyle name="Comma 2 4 2 2 5 2 2" xfId="9790"/>
    <cellStyle name="Comma 2 4 2 2 5 2 2 2" xfId="25590"/>
    <cellStyle name="Comma 2 4 2 2 5 2 3" xfId="15437"/>
    <cellStyle name="Comma 2 4 2 2 5 2 3 2" xfId="24452"/>
    <cellStyle name="Comma 2 4 2 2 5 2 4" xfId="8255"/>
    <cellStyle name="Comma 2 4 2 2 5 2 5" xfId="21244"/>
    <cellStyle name="Comma 2 4 2 2 5 2 6" xfId="22317"/>
    <cellStyle name="Comma 2 4 2 2 5 2 7" xfId="23446"/>
    <cellStyle name="Comma 2 4 2 2 5 3" xfId="1021"/>
    <cellStyle name="Comma 2 4 2 2 5 3 2" xfId="9791"/>
    <cellStyle name="Comma 2 4 2 2 5 3 2 2" xfId="25591"/>
    <cellStyle name="Comma 2 4 2 2 5 3 3" xfId="15438"/>
    <cellStyle name="Comma 2 4 2 2 5 3 3 2" xfId="24453"/>
    <cellStyle name="Comma 2 4 2 2 5 3 4" xfId="8256"/>
    <cellStyle name="Comma 2 4 2 2 5 3 5" xfId="21245"/>
    <cellStyle name="Comma 2 4 2 2 5 3 6" xfId="22318"/>
    <cellStyle name="Comma 2 4 2 2 5 3 7" xfId="23447"/>
    <cellStyle name="Comma 2 4 2 2 5 4" xfId="1022"/>
    <cellStyle name="Comma 2 4 2 2 5 4 2" xfId="9792"/>
    <cellStyle name="Comma 2 4 2 2 5 4 2 2" xfId="25592"/>
    <cellStyle name="Comma 2 4 2 2 5 4 3" xfId="15439"/>
    <cellStyle name="Comma 2 4 2 2 5 4 3 2" xfId="24454"/>
    <cellStyle name="Comma 2 4 2 2 5 4 4" xfId="8257"/>
    <cellStyle name="Comma 2 4 2 2 5 4 5" xfId="21246"/>
    <cellStyle name="Comma 2 4 2 2 5 4 6" xfId="22319"/>
    <cellStyle name="Comma 2 4 2 2 5 4 7" xfId="23448"/>
    <cellStyle name="Comma 2 4 2 2 5 5" xfId="1023"/>
    <cellStyle name="Comma 2 4 2 2 5 5 2" xfId="9793"/>
    <cellStyle name="Comma 2 4 2 2 5 5 2 2" xfId="25593"/>
    <cellStyle name="Comma 2 4 2 2 5 5 3" xfId="15440"/>
    <cellStyle name="Comma 2 4 2 2 5 5 3 2" xfId="24455"/>
    <cellStyle name="Comma 2 4 2 2 5 5 4" xfId="8258"/>
    <cellStyle name="Comma 2 4 2 2 5 5 5" xfId="21247"/>
    <cellStyle name="Comma 2 4 2 2 5 5 6" xfId="22320"/>
    <cellStyle name="Comma 2 4 2 2 5 5 7" xfId="23449"/>
    <cellStyle name="Comma 2 4 2 2 5 6" xfId="9789"/>
    <cellStyle name="Comma 2 4 2 2 5 6 2" xfId="25589"/>
    <cellStyle name="Comma 2 4 2 2 5 7" xfId="15436"/>
    <cellStyle name="Comma 2 4 2 2 5 7 2" xfId="24451"/>
    <cellStyle name="Comma 2 4 2 2 5 8" xfId="8254"/>
    <cellStyle name="Comma 2 4 2 2 5 9" xfId="21243"/>
    <cellStyle name="Comma 2 4 2 2 6" xfId="1024"/>
    <cellStyle name="Comma 2 4 2 2 6 10" xfId="22321"/>
    <cellStyle name="Comma 2 4 2 2 6 11" xfId="23450"/>
    <cellStyle name="Comma 2 4 2 2 6 2" xfId="1025"/>
    <cellStyle name="Comma 2 4 2 2 6 2 2" xfId="9795"/>
    <cellStyle name="Comma 2 4 2 2 6 2 2 2" xfId="25595"/>
    <cellStyle name="Comma 2 4 2 2 6 2 3" xfId="15442"/>
    <cellStyle name="Comma 2 4 2 2 6 2 3 2" xfId="24457"/>
    <cellStyle name="Comma 2 4 2 2 6 2 4" xfId="8260"/>
    <cellStyle name="Comma 2 4 2 2 6 2 5" xfId="21249"/>
    <cellStyle name="Comma 2 4 2 2 6 2 6" xfId="22322"/>
    <cellStyle name="Comma 2 4 2 2 6 2 7" xfId="23451"/>
    <cellStyle name="Comma 2 4 2 2 6 3" xfId="1026"/>
    <cellStyle name="Comma 2 4 2 2 6 3 2" xfId="9796"/>
    <cellStyle name="Comma 2 4 2 2 6 3 2 2" xfId="25596"/>
    <cellStyle name="Comma 2 4 2 2 6 3 3" xfId="15443"/>
    <cellStyle name="Comma 2 4 2 2 6 3 3 2" xfId="24458"/>
    <cellStyle name="Comma 2 4 2 2 6 3 4" xfId="8261"/>
    <cellStyle name="Comma 2 4 2 2 6 3 5" xfId="21250"/>
    <cellStyle name="Comma 2 4 2 2 6 3 6" xfId="22323"/>
    <cellStyle name="Comma 2 4 2 2 6 3 7" xfId="23452"/>
    <cellStyle name="Comma 2 4 2 2 6 4" xfId="1027"/>
    <cellStyle name="Comma 2 4 2 2 6 4 2" xfId="9797"/>
    <cellStyle name="Comma 2 4 2 2 6 4 2 2" xfId="25597"/>
    <cellStyle name="Comma 2 4 2 2 6 4 3" xfId="15444"/>
    <cellStyle name="Comma 2 4 2 2 6 4 3 2" xfId="24459"/>
    <cellStyle name="Comma 2 4 2 2 6 4 4" xfId="8262"/>
    <cellStyle name="Comma 2 4 2 2 6 4 5" xfId="21251"/>
    <cellStyle name="Comma 2 4 2 2 6 4 6" xfId="22324"/>
    <cellStyle name="Comma 2 4 2 2 6 4 7" xfId="23453"/>
    <cellStyle name="Comma 2 4 2 2 6 5" xfId="1028"/>
    <cellStyle name="Comma 2 4 2 2 6 5 2" xfId="9798"/>
    <cellStyle name="Comma 2 4 2 2 6 5 2 2" xfId="25598"/>
    <cellStyle name="Comma 2 4 2 2 6 5 3" xfId="15445"/>
    <cellStyle name="Comma 2 4 2 2 6 5 3 2" xfId="24460"/>
    <cellStyle name="Comma 2 4 2 2 6 5 4" xfId="8263"/>
    <cellStyle name="Comma 2 4 2 2 6 5 5" xfId="21252"/>
    <cellStyle name="Comma 2 4 2 2 6 5 6" xfId="22325"/>
    <cellStyle name="Comma 2 4 2 2 6 5 7" xfId="23454"/>
    <cellStyle name="Comma 2 4 2 2 6 6" xfId="9794"/>
    <cellStyle name="Comma 2 4 2 2 6 6 2" xfId="25594"/>
    <cellStyle name="Comma 2 4 2 2 6 7" xfId="15441"/>
    <cellStyle name="Comma 2 4 2 2 6 7 2" xfId="24456"/>
    <cellStyle name="Comma 2 4 2 2 6 8" xfId="8259"/>
    <cellStyle name="Comma 2 4 2 2 6 9" xfId="21248"/>
    <cellStyle name="Comma 2 4 2 2 7" xfId="1029"/>
    <cellStyle name="Comma 2 4 2 2 7 2" xfId="9799"/>
    <cellStyle name="Comma 2 4 2 2 7 2 2" xfId="25599"/>
    <cellStyle name="Comma 2 4 2 2 7 3" xfId="15446"/>
    <cellStyle name="Comma 2 4 2 2 7 3 2" xfId="24461"/>
    <cellStyle name="Comma 2 4 2 2 7 4" xfId="8264"/>
    <cellStyle name="Comma 2 4 2 2 7 5" xfId="21253"/>
    <cellStyle name="Comma 2 4 2 2 7 6" xfId="22326"/>
    <cellStyle name="Comma 2 4 2 2 7 7" xfId="23455"/>
    <cellStyle name="Comma 2 4 2 2 8" xfId="1030"/>
    <cellStyle name="Comma 2 4 2 2 8 2" xfId="9800"/>
    <cellStyle name="Comma 2 4 2 2 8 2 2" xfId="25600"/>
    <cellStyle name="Comma 2 4 2 2 8 3" xfId="15447"/>
    <cellStyle name="Comma 2 4 2 2 8 3 2" xfId="24462"/>
    <cellStyle name="Comma 2 4 2 2 8 4" xfId="8265"/>
    <cellStyle name="Comma 2 4 2 2 8 5" xfId="21254"/>
    <cellStyle name="Comma 2 4 2 2 8 6" xfId="22327"/>
    <cellStyle name="Comma 2 4 2 2 8 7" xfId="23456"/>
    <cellStyle name="Comma 2 4 2 2 9" xfId="1031"/>
    <cellStyle name="Comma 2 4 2 2 9 2" xfId="9801"/>
    <cellStyle name="Comma 2 4 2 2 9 2 2" xfId="25601"/>
    <cellStyle name="Comma 2 4 2 2 9 3" xfId="15448"/>
    <cellStyle name="Comma 2 4 2 2 9 3 2" xfId="24463"/>
    <cellStyle name="Comma 2 4 2 2 9 4" xfId="8266"/>
    <cellStyle name="Comma 2 4 2 2 9 5" xfId="21255"/>
    <cellStyle name="Comma 2 4 2 2 9 6" xfId="22328"/>
    <cellStyle name="Comma 2 4 2 2 9 7" xfId="23457"/>
    <cellStyle name="Comma 2 4 2 3" xfId="246"/>
    <cellStyle name="Comma 2 4 2 3 10" xfId="1032"/>
    <cellStyle name="Comma 2 4 2 3 10 2" xfId="9802"/>
    <cellStyle name="Comma 2 4 2 3 10 2 2" xfId="25602"/>
    <cellStyle name="Comma 2 4 2 3 10 3" xfId="15450"/>
    <cellStyle name="Comma 2 4 2 3 10 3 2" xfId="24465"/>
    <cellStyle name="Comma 2 4 2 3 10 4" xfId="8268"/>
    <cellStyle name="Comma 2 4 2 3 10 5" xfId="21257"/>
    <cellStyle name="Comma 2 4 2 3 10 6" xfId="22330"/>
    <cellStyle name="Comma 2 4 2 3 10 7" xfId="23458"/>
    <cellStyle name="Comma 2 4 2 3 11" xfId="9106"/>
    <cellStyle name="Comma 2 4 2 3 11 2" xfId="25160"/>
    <cellStyle name="Comma 2 4 2 3 12" xfId="15449"/>
    <cellStyle name="Comma 2 4 2 3 12 2" xfId="24464"/>
    <cellStyle name="Comma 2 4 2 3 13" xfId="8267"/>
    <cellStyle name="Comma 2 4 2 3 14" xfId="21256"/>
    <cellStyle name="Comma 2 4 2 3 15" xfId="22329"/>
    <cellStyle name="Comma 2 4 2 3 16" xfId="23021"/>
    <cellStyle name="Comma 2 4 2 3 2" xfId="234"/>
    <cellStyle name="Comma 2 4 2 3 2 10" xfId="15451"/>
    <cellStyle name="Comma 2 4 2 3 2 10 2" xfId="24466"/>
    <cellStyle name="Comma 2 4 2 3 2 11" xfId="8269"/>
    <cellStyle name="Comma 2 4 2 3 2 12" xfId="21258"/>
    <cellStyle name="Comma 2 4 2 3 2 13" xfId="22331"/>
    <cellStyle name="Comma 2 4 2 3 2 14" xfId="23014"/>
    <cellStyle name="Comma 2 4 2 3 2 2" xfId="231"/>
    <cellStyle name="Comma 2 4 2 3 2 2 10" xfId="21259"/>
    <cellStyle name="Comma 2 4 2 3 2 2 11" xfId="22332"/>
    <cellStyle name="Comma 2 4 2 3 2 2 12" xfId="23012"/>
    <cellStyle name="Comma 2 4 2 3 2 2 2" xfId="1033"/>
    <cellStyle name="Comma 2 4 2 3 2 2 2 2" xfId="9803"/>
    <cellStyle name="Comma 2 4 2 3 2 2 2 2 2" xfId="25603"/>
    <cellStyle name="Comma 2 4 2 3 2 2 2 3" xfId="15453"/>
    <cellStyle name="Comma 2 4 2 3 2 2 2 3 2" xfId="24468"/>
    <cellStyle name="Comma 2 4 2 3 2 2 2 4" xfId="8271"/>
    <cellStyle name="Comma 2 4 2 3 2 2 2 5" xfId="21260"/>
    <cellStyle name="Comma 2 4 2 3 2 2 2 6" xfId="22333"/>
    <cellStyle name="Comma 2 4 2 3 2 2 2 7" xfId="23459"/>
    <cellStyle name="Comma 2 4 2 3 2 2 3" xfId="1034"/>
    <cellStyle name="Comma 2 4 2 3 2 2 3 2" xfId="9804"/>
    <cellStyle name="Comma 2 4 2 3 2 2 3 2 2" xfId="25604"/>
    <cellStyle name="Comma 2 4 2 3 2 2 3 3" xfId="15454"/>
    <cellStyle name="Comma 2 4 2 3 2 2 3 3 2" xfId="24469"/>
    <cellStyle name="Comma 2 4 2 3 2 2 3 4" xfId="8272"/>
    <cellStyle name="Comma 2 4 2 3 2 2 3 5" xfId="21261"/>
    <cellStyle name="Comma 2 4 2 3 2 2 3 6" xfId="22334"/>
    <cellStyle name="Comma 2 4 2 3 2 2 3 7" xfId="23460"/>
    <cellStyle name="Comma 2 4 2 3 2 2 4" xfId="1035"/>
    <cellStyle name="Comma 2 4 2 3 2 2 4 2" xfId="9805"/>
    <cellStyle name="Comma 2 4 2 3 2 2 4 2 2" xfId="25605"/>
    <cellStyle name="Comma 2 4 2 3 2 2 4 3" xfId="15455"/>
    <cellStyle name="Comma 2 4 2 3 2 2 4 3 2" xfId="24470"/>
    <cellStyle name="Comma 2 4 2 3 2 2 4 4" xfId="8273"/>
    <cellStyle name="Comma 2 4 2 3 2 2 4 5" xfId="21262"/>
    <cellStyle name="Comma 2 4 2 3 2 2 4 6" xfId="22335"/>
    <cellStyle name="Comma 2 4 2 3 2 2 4 7" xfId="23461"/>
    <cellStyle name="Comma 2 4 2 3 2 2 5" xfId="1036"/>
    <cellStyle name="Comma 2 4 2 3 2 2 5 2" xfId="9806"/>
    <cellStyle name="Comma 2 4 2 3 2 2 5 2 2" xfId="25606"/>
    <cellStyle name="Comma 2 4 2 3 2 2 5 3" xfId="15456"/>
    <cellStyle name="Comma 2 4 2 3 2 2 5 3 2" xfId="24471"/>
    <cellStyle name="Comma 2 4 2 3 2 2 5 4" xfId="8274"/>
    <cellStyle name="Comma 2 4 2 3 2 2 5 5" xfId="21263"/>
    <cellStyle name="Comma 2 4 2 3 2 2 5 6" xfId="22336"/>
    <cellStyle name="Comma 2 4 2 3 2 2 5 7" xfId="23462"/>
    <cellStyle name="Comma 2 4 2 3 2 2 6" xfId="1037"/>
    <cellStyle name="Comma 2 4 2 3 2 2 6 2" xfId="9807"/>
    <cellStyle name="Comma 2 4 2 3 2 2 6 2 2" xfId="25607"/>
    <cellStyle name="Comma 2 4 2 3 2 2 6 3" xfId="15457"/>
    <cellStyle name="Comma 2 4 2 3 2 2 6 3 2" xfId="24472"/>
    <cellStyle name="Comma 2 4 2 3 2 2 6 4" xfId="8275"/>
    <cellStyle name="Comma 2 4 2 3 2 2 6 5" xfId="21264"/>
    <cellStyle name="Comma 2 4 2 3 2 2 6 6" xfId="22337"/>
    <cellStyle name="Comma 2 4 2 3 2 2 6 7" xfId="23463"/>
    <cellStyle name="Comma 2 4 2 3 2 2 7" xfId="9096"/>
    <cellStyle name="Comma 2 4 2 3 2 2 7 2" xfId="25151"/>
    <cellStyle name="Comma 2 4 2 3 2 2 8" xfId="15452"/>
    <cellStyle name="Comma 2 4 2 3 2 2 8 2" xfId="24467"/>
    <cellStyle name="Comma 2 4 2 3 2 2 9" xfId="8270"/>
    <cellStyle name="Comma 2 4 2 3 2 3" xfId="1038"/>
    <cellStyle name="Comma 2 4 2 3 2 3 10" xfId="22338"/>
    <cellStyle name="Comma 2 4 2 3 2 3 11" xfId="23464"/>
    <cellStyle name="Comma 2 4 2 3 2 3 2" xfId="1039"/>
    <cellStyle name="Comma 2 4 2 3 2 3 2 2" xfId="9809"/>
    <cellStyle name="Comma 2 4 2 3 2 3 2 2 2" xfId="25609"/>
    <cellStyle name="Comma 2 4 2 3 2 3 2 3" xfId="15459"/>
    <cellStyle name="Comma 2 4 2 3 2 3 2 3 2" xfId="24474"/>
    <cellStyle name="Comma 2 4 2 3 2 3 2 4" xfId="8277"/>
    <cellStyle name="Comma 2 4 2 3 2 3 2 5" xfId="21266"/>
    <cellStyle name="Comma 2 4 2 3 2 3 2 6" xfId="22339"/>
    <cellStyle name="Comma 2 4 2 3 2 3 2 7" xfId="23465"/>
    <cellStyle name="Comma 2 4 2 3 2 3 3" xfId="1040"/>
    <cellStyle name="Comma 2 4 2 3 2 3 3 2" xfId="9810"/>
    <cellStyle name="Comma 2 4 2 3 2 3 3 2 2" xfId="25610"/>
    <cellStyle name="Comma 2 4 2 3 2 3 3 3" xfId="15460"/>
    <cellStyle name="Comma 2 4 2 3 2 3 3 3 2" xfId="24475"/>
    <cellStyle name="Comma 2 4 2 3 2 3 3 4" xfId="8278"/>
    <cellStyle name="Comma 2 4 2 3 2 3 3 5" xfId="21267"/>
    <cellStyle name="Comma 2 4 2 3 2 3 3 6" xfId="22340"/>
    <cellStyle name="Comma 2 4 2 3 2 3 3 7" xfId="23466"/>
    <cellStyle name="Comma 2 4 2 3 2 3 4" xfId="1041"/>
    <cellStyle name="Comma 2 4 2 3 2 3 4 2" xfId="9811"/>
    <cellStyle name="Comma 2 4 2 3 2 3 4 2 2" xfId="25611"/>
    <cellStyle name="Comma 2 4 2 3 2 3 4 3" xfId="15461"/>
    <cellStyle name="Comma 2 4 2 3 2 3 4 3 2" xfId="24476"/>
    <cellStyle name="Comma 2 4 2 3 2 3 4 4" xfId="8279"/>
    <cellStyle name="Comma 2 4 2 3 2 3 4 5" xfId="21268"/>
    <cellStyle name="Comma 2 4 2 3 2 3 4 6" xfId="22341"/>
    <cellStyle name="Comma 2 4 2 3 2 3 4 7" xfId="23467"/>
    <cellStyle name="Comma 2 4 2 3 2 3 5" xfId="1042"/>
    <cellStyle name="Comma 2 4 2 3 2 3 5 2" xfId="9812"/>
    <cellStyle name="Comma 2 4 2 3 2 3 5 2 2" xfId="25612"/>
    <cellStyle name="Comma 2 4 2 3 2 3 5 3" xfId="15462"/>
    <cellStyle name="Comma 2 4 2 3 2 3 5 3 2" xfId="24477"/>
    <cellStyle name="Comma 2 4 2 3 2 3 5 4" xfId="8280"/>
    <cellStyle name="Comma 2 4 2 3 2 3 5 5" xfId="21269"/>
    <cellStyle name="Comma 2 4 2 3 2 3 5 6" xfId="22342"/>
    <cellStyle name="Comma 2 4 2 3 2 3 5 7" xfId="23468"/>
    <cellStyle name="Comma 2 4 2 3 2 3 6" xfId="9808"/>
    <cellStyle name="Comma 2 4 2 3 2 3 6 2" xfId="25608"/>
    <cellStyle name="Comma 2 4 2 3 2 3 7" xfId="15458"/>
    <cellStyle name="Comma 2 4 2 3 2 3 7 2" xfId="24473"/>
    <cellStyle name="Comma 2 4 2 3 2 3 8" xfId="8276"/>
    <cellStyle name="Comma 2 4 2 3 2 3 9" xfId="21265"/>
    <cellStyle name="Comma 2 4 2 3 2 4" xfId="1043"/>
    <cellStyle name="Comma 2 4 2 3 2 4 2" xfId="9813"/>
    <cellStyle name="Comma 2 4 2 3 2 4 2 2" xfId="25613"/>
    <cellStyle name="Comma 2 4 2 3 2 4 3" xfId="15463"/>
    <cellStyle name="Comma 2 4 2 3 2 4 3 2" xfId="24478"/>
    <cellStyle name="Comma 2 4 2 3 2 4 4" xfId="8281"/>
    <cellStyle name="Comma 2 4 2 3 2 4 5" xfId="21270"/>
    <cellStyle name="Comma 2 4 2 3 2 4 6" xfId="22343"/>
    <cellStyle name="Comma 2 4 2 3 2 4 7" xfId="23469"/>
    <cellStyle name="Comma 2 4 2 3 2 5" xfId="1044"/>
    <cellStyle name="Comma 2 4 2 3 2 5 2" xfId="9814"/>
    <cellStyle name="Comma 2 4 2 3 2 5 2 2" xfId="25614"/>
    <cellStyle name="Comma 2 4 2 3 2 5 3" xfId="15464"/>
    <cellStyle name="Comma 2 4 2 3 2 5 3 2" xfId="24479"/>
    <cellStyle name="Comma 2 4 2 3 2 5 4" xfId="8282"/>
    <cellStyle name="Comma 2 4 2 3 2 5 5" xfId="21271"/>
    <cellStyle name="Comma 2 4 2 3 2 5 6" xfId="22344"/>
    <cellStyle name="Comma 2 4 2 3 2 5 7" xfId="23470"/>
    <cellStyle name="Comma 2 4 2 3 2 6" xfId="1045"/>
    <cellStyle name="Comma 2 4 2 3 2 6 2" xfId="9815"/>
    <cellStyle name="Comma 2 4 2 3 2 6 2 2" xfId="25615"/>
    <cellStyle name="Comma 2 4 2 3 2 6 3" xfId="15465"/>
    <cellStyle name="Comma 2 4 2 3 2 6 3 2" xfId="24480"/>
    <cellStyle name="Comma 2 4 2 3 2 6 4" xfId="8283"/>
    <cellStyle name="Comma 2 4 2 3 2 6 5" xfId="21272"/>
    <cellStyle name="Comma 2 4 2 3 2 6 6" xfId="22345"/>
    <cellStyle name="Comma 2 4 2 3 2 6 7" xfId="23471"/>
    <cellStyle name="Comma 2 4 2 3 2 7" xfId="1046"/>
    <cellStyle name="Comma 2 4 2 3 2 7 2" xfId="9816"/>
    <cellStyle name="Comma 2 4 2 3 2 7 2 2" xfId="25616"/>
    <cellStyle name="Comma 2 4 2 3 2 7 3" xfId="15466"/>
    <cellStyle name="Comma 2 4 2 3 2 7 3 2" xfId="24481"/>
    <cellStyle name="Comma 2 4 2 3 2 7 4" xfId="8284"/>
    <cellStyle name="Comma 2 4 2 3 2 7 5" xfId="21273"/>
    <cellStyle name="Comma 2 4 2 3 2 7 6" xfId="22346"/>
    <cellStyle name="Comma 2 4 2 3 2 7 7" xfId="23472"/>
    <cellStyle name="Comma 2 4 2 3 2 8" xfId="1047"/>
    <cellStyle name="Comma 2 4 2 3 2 8 2" xfId="9817"/>
    <cellStyle name="Comma 2 4 2 3 2 8 2 2" xfId="25617"/>
    <cellStyle name="Comma 2 4 2 3 2 8 3" xfId="15467"/>
    <cellStyle name="Comma 2 4 2 3 2 8 3 2" xfId="24482"/>
    <cellStyle name="Comma 2 4 2 3 2 8 4" xfId="8285"/>
    <cellStyle name="Comma 2 4 2 3 2 8 5" xfId="21274"/>
    <cellStyle name="Comma 2 4 2 3 2 8 6" xfId="22347"/>
    <cellStyle name="Comma 2 4 2 3 2 8 7" xfId="23473"/>
    <cellStyle name="Comma 2 4 2 3 2 9" xfId="9098"/>
    <cellStyle name="Comma 2 4 2 3 2 9 2" xfId="25153"/>
    <cellStyle name="Comma 2 4 2 3 3" xfId="223"/>
    <cellStyle name="Comma 2 4 2 3 3 10" xfId="21275"/>
    <cellStyle name="Comma 2 4 2 3 3 11" xfId="22348"/>
    <cellStyle name="Comma 2 4 2 3 3 12" xfId="23008"/>
    <cellStyle name="Comma 2 4 2 3 3 2" xfId="1048"/>
    <cellStyle name="Comma 2 4 2 3 3 2 2" xfId="9818"/>
    <cellStyle name="Comma 2 4 2 3 3 2 2 2" xfId="25618"/>
    <cellStyle name="Comma 2 4 2 3 3 2 3" xfId="15469"/>
    <cellStyle name="Comma 2 4 2 3 3 2 3 2" xfId="24484"/>
    <cellStyle name="Comma 2 4 2 3 3 2 4" xfId="8287"/>
    <cellStyle name="Comma 2 4 2 3 3 2 5" xfId="21276"/>
    <cellStyle name="Comma 2 4 2 3 3 2 6" xfId="22349"/>
    <cellStyle name="Comma 2 4 2 3 3 2 7" xfId="23474"/>
    <cellStyle name="Comma 2 4 2 3 3 3" xfId="1049"/>
    <cellStyle name="Comma 2 4 2 3 3 3 2" xfId="9819"/>
    <cellStyle name="Comma 2 4 2 3 3 3 2 2" xfId="25619"/>
    <cellStyle name="Comma 2 4 2 3 3 3 3" xfId="15470"/>
    <cellStyle name="Comma 2 4 2 3 3 3 3 2" xfId="24485"/>
    <cellStyle name="Comma 2 4 2 3 3 3 4" xfId="8288"/>
    <cellStyle name="Comma 2 4 2 3 3 3 5" xfId="21277"/>
    <cellStyle name="Comma 2 4 2 3 3 3 6" xfId="22350"/>
    <cellStyle name="Comma 2 4 2 3 3 3 7" xfId="23475"/>
    <cellStyle name="Comma 2 4 2 3 3 4" xfId="1050"/>
    <cellStyle name="Comma 2 4 2 3 3 4 2" xfId="9820"/>
    <cellStyle name="Comma 2 4 2 3 3 4 2 2" xfId="25620"/>
    <cellStyle name="Comma 2 4 2 3 3 4 3" xfId="15471"/>
    <cellStyle name="Comma 2 4 2 3 3 4 3 2" xfId="24486"/>
    <cellStyle name="Comma 2 4 2 3 3 4 4" xfId="8289"/>
    <cellStyle name="Comma 2 4 2 3 3 4 5" xfId="21278"/>
    <cellStyle name="Comma 2 4 2 3 3 4 6" xfId="22351"/>
    <cellStyle name="Comma 2 4 2 3 3 4 7" xfId="23476"/>
    <cellStyle name="Comma 2 4 2 3 3 5" xfId="1051"/>
    <cellStyle name="Comma 2 4 2 3 3 5 2" xfId="9821"/>
    <cellStyle name="Comma 2 4 2 3 3 5 2 2" xfId="25621"/>
    <cellStyle name="Comma 2 4 2 3 3 5 3" xfId="15472"/>
    <cellStyle name="Comma 2 4 2 3 3 5 3 2" xfId="24487"/>
    <cellStyle name="Comma 2 4 2 3 3 5 4" xfId="8290"/>
    <cellStyle name="Comma 2 4 2 3 3 5 5" xfId="21279"/>
    <cellStyle name="Comma 2 4 2 3 3 5 6" xfId="22352"/>
    <cellStyle name="Comma 2 4 2 3 3 5 7" xfId="23477"/>
    <cellStyle name="Comma 2 4 2 3 3 6" xfId="1052"/>
    <cellStyle name="Comma 2 4 2 3 3 6 2" xfId="9822"/>
    <cellStyle name="Comma 2 4 2 3 3 6 2 2" xfId="25622"/>
    <cellStyle name="Comma 2 4 2 3 3 6 3" xfId="15473"/>
    <cellStyle name="Comma 2 4 2 3 3 6 3 2" xfId="24488"/>
    <cellStyle name="Comma 2 4 2 3 3 6 4" xfId="8291"/>
    <cellStyle name="Comma 2 4 2 3 3 6 5" xfId="21280"/>
    <cellStyle name="Comma 2 4 2 3 3 6 6" xfId="22353"/>
    <cellStyle name="Comma 2 4 2 3 3 6 7" xfId="23478"/>
    <cellStyle name="Comma 2 4 2 3 3 7" xfId="9092"/>
    <cellStyle name="Comma 2 4 2 3 3 7 2" xfId="25147"/>
    <cellStyle name="Comma 2 4 2 3 3 8" xfId="15468"/>
    <cellStyle name="Comma 2 4 2 3 3 8 2" xfId="24483"/>
    <cellStyle name="Comma 2 4 2 3 3 9" xfId="8286"/>
    <cellStyle name="Comma 2 4 2 3 4" xfId="1053"/>
    <cellStyle name="Comma 2 4 2 3 4 10" xfId="22354"/>
    <cellStyle name="Comma 2 4 2 3 4 11" xfId="23479"/>
    <cellStyle name="Comma 2 4 2 3 4 2" xfId="1054"/>
    <cellStyle name="Comma 2 4 2 3 4 2 2" xfId="9824"/>
    <cellStyle name="Comma 2 4 2 3 4 2 2 2" xfId="25624"/>
    <cellStyle name="Comma 2 4 2 3 4 2 3" xfId="15475"/>
    <cellStyle name="Comma 2 4 2 3 4 2 3 2" xfId="24490"/>
    <cellStyle name="Comma 2 4 2 3 4 2 4" xfId="8293"/>
    <cellStyle name="Comma 2 4 2 3 4 2 5" xfId="21282"/>
    <cellStyle name="Comma 2 4 2 3 4 2 6" xfId="22355"/>
    <cellStyle name="Comma 2 4 2 3 4 2 7" xfId="23480"/>
    <cellStyle name="Comma 2 4 2 3 4 3" xfId="1055"/>
    <cellStyle name="Comma 2 4 2 3 4 3 2" xfId="9825"/>
    <cellStyle name="Comma 2 4 2 3 4 3 2 2" xfId="25625"/>
    <cellStyle name="Comma 2 4 2 3 4 3 3" xfId="15476"/>
    <cellStyle name="Comma 2 4 2 3 4 3 3 2" xfId="24491"/>
    <cellStyle name="Comma 2 4 2 3 4 3 4" xfId="8294"/>
    <cellStyle name="Comma 2 4 2 3 4 3 5" xfId="21283"/>
    <cellStyle name="Comma 2 4 2 3 4 3 6" xfId="22356"/>
    <cellStyle name="Comma 2 4 2 3 4 3 7" xfId="23481"/>
    <cellStyle name="Comma 2 4 2 3 4 4" xfId="1056"/>
    <cellStyle name="Comma 2 4 2 3 4 4 2" xfId="9826"/>
    <cellStyle name="Comma 2 4 2 3 4 4 2 2" xfId="25626"/>
    <cellStyle name="Comma 2 4 2 3 4 4 3" xfId="15477"/>
    <cellStyle name="Comma 2 4 2 3 4 4 3 2" xfId="24492"/>
    <cellStyle name="Comma 2 4 2 3 4 4 4" xfId="8295"/>
    <cellStyle name="Comma 2 4 2 3 4 4 5" xfId="21284"/>
    <cellStyle name="Comma 2 4 2 3 4 4 6" xfId="22357"/>
    <cellStyle name="Comma 2 4 2 3 4 4 7" xfId="23482"/>
    <cellStyle name="Comma 2 4 2 3 4 5" xfId="1057"/>
    <cellStyle name="Comma 2 4 2 3 4 5 2" xfId="9827"/>
    <cellStyle name="Comma 2 4 2 3 4 5 2 2" xfId="25627"/>
    <cellStyle name="Comma 2 4 2 3 4 5 3" xfId="15478"/>
    <cellStyle name="Comma 2 4 2 3 4 5 3 2" xfId="24493"/>
    <cellStyle name="Comma 2 4 2 3 4 5 4" xfId="8296"/>
    <cellStyle name="Comma 2 4 2 3 4 5 5" xfId="21285"/>
    <cellStyle name="Comma 2 4 2 3 4 5 6" xfId="22358"/>
    <cellStyle name="Comma 2 4 2 3 4 5 7" xfId="23483"/>
    <cellStyle name="Comma 2 4 2 3 4 6" xfId="9823"/>
    <cellStyle name="Comma 2 4 2 3 4 6 2" xfId="25623"/>
    <cellStyle name="Comma 2 4 2 3 4 7" xfId="15474"/>
    <cellStyle name="Comma 2 4 2 3 4 7 2" xfId="24489"/>
    <cellStyle name="Comma 2 4 2 3 4 8" xfId="8292"/>
    <cellStyle name="Comma 2 4 2 3 4 9" xfId="21281"/>
    <cellStyle name="Comma 2 4 2 3 5" xfId="1058"/>
    <cellStyle name="Comma 2 4 2 3 5 10" xfId="22359"/>
    <cellStyle name="Comma 2 4 2 3 5 11" xfId="23484"/>
    <cellStyle name="Comma 2 4 2 3 5 2" xfId="1059"/>
    <cellStyle name="Comma 2 4 2 3 5 2 2" xfId="9829"/>
    <cellStyle name="Comma 2 4 2 3 5 2 2 2" xfId="25629"/>
    <cellStyle name="Comma 2 4 2 3 5 2 3" xfId="15480"/>
    <cellStyle name="Comma 2 4 2 3 5 2 3 2" xfId="24495"/>
    <cellStyle name="Comma 2 4 2 3 5 2 4" xfId="8298"/>
    <cellStyle name="Comma 2 4 2 3 5 2 5" xfId="21287"/>
    <cellStyle name="Comma 2 4 2 3 5 2 6" xfId="22360"/>
    <cellStyle name="Comma 2 4 2 3 5 2 7" xfId="23485"/>
    <cellStyle name="Comma 2 4 2 3 5 3" xfId="1060"/>
    <cellStyle name="Comma 2 4 2 3 5 3 2" xfId="9830"/>
    <cellStyle name="Comma 2 4 2 3 5 3 2 2" xfId="25630"/>
    <cellStyle name="Comma 2 4 2 3 5 3 3" xfId="15481"/>
    <cellStyle name="Comma 2 4 2 3 5 3 3 2" xfId="24496"/>
    <cellStyle name="Comma 2 4 2 3 5 3 4" xfId="8299"/>
    <cellStyle name="Comma 2 4 2 3 5 3 5" xfId="21288"/>
    <cellStyle name="Comma 2 4 2 3 5 3 6" xfId="22361"/>
    <cellStyle name="Comma 2 4 2 3 5 3 7" xfId="23486"/>
    <cellStyle name="Comma 2 4 2 3 5 4" xfId="1061"/>
    <cellStyle name="Comma 2 4 2 3 5 4 2" xfId="9831"/>
    <cellStyle name="Comma 2 4 2 3 5 4 2 2" xfId="25631"/>
    <cellStyle name="Comma 2 4 2 3 5 4 3" xfId="15482"/>
    <cellStyle name="Comma 2 4 2 3 5 4 3 2" xfId="24497"/>
    <cellStyle name="Comma 2 4 2 3 5 4 4" xfId="8300"/>
    <cellStyle name="Comma 2 4 2 3 5 4 5" xfId="21289"/>
    <cellStyle name="Comma 2 4 2 3 5 4 6" xfId="22362"/>
    <cellStyle name="Comma 2 4 2 3 5 4 7" xfId="23487"/>
    <cellStyle name="Comma 2 4 2 3 5 5" xfId="1062"/>
    <cellStyle name="Comma 2 4 2 3 5 5 2" xfId="9832"/>
    <cellStyle name="Comma 2 4 2 3 5 5 2 2" xfId="25632"/>
    <cellStyle name="Comma 2 4 2 3 5 5 3" xfId="15483"/>
    <cellStyle name="Comma 2 4 2 3 5 5 3 2" xfId="24498"/>
    <cellStyle name="Comma 2 4 2 3 5 5 4" xfId="8301"/>
    <cellStyle name="Comma 2 4 2 3 5 5 5" xfId="21290"/>
    <cellStyle name="Comma 2 4 2 3 5 5 6" xfId="22363"/>
    <cellStyle name="Comma 2 4 2 3 5 5 7" xfId="23488"/>
    <cellStyle name="Comma 2 4 2 3 5 6" xfId="9828"/>
    <cellStyle name="Comma 2 4 2 3 5 6 2" xfId="25628"/>
    <cellStyle name="Comma 2 4 2 3 5 7" xfId="15479"/>
    <cellStyle name="Comma 2 4 2 3 5 7 2" xfId="24494"/>
    <cellStyle name="Comma 2 4 2 3 5 8" xfId="8297"/>
    <cellStyle name="Comma 2 4 2 3 5 9" xfId="21286"/>
    <cellStyle name="Comma 2 4 2 3 6" xfId="1063"/>
    <cellStyle name="Comma 2 4 2 3 6 2" xfId="9833"/>
    <cellStyle name="Comma 2 4 2 3 6 2 2" xfId="25633"/>
    <cellStyle name="Comma 2 4 2 3 6 3" xfId="15484"/>
    <cellStyle name="Comma 2 4 2 3 6 3 2" xfId="24499"/>
    <cellStyle name="Comma 2 4 2 3 6 4" xfId="8302"/>
    <cellStyle name="Comma 2 4 2 3 6 5" xfId="21291"/>
    <cellStyle name="Comma 2 4 2 3 6 6" xfId="22364"/>
    <cellStyle name="Comma 2 4 2 3 6 7" xfId="23489"/>
    <cellStyle name="Comma 2 4 2 3 7" xfId="1064"/>
    <cellStyle name="Comma 2 4 2 3 7 2" xfId="9834"/>
    <cellStyle name="Comma 2 4 2 3 7 2 2" xfId="25634"/>
    <cellStyle name="Comma 2 4 2 3 7 3" xfId="15485"/>
    <cellStyle name="Comma 2 4 2 3 7 3 2" xfId="24500"/>
    <cellStyle name="Comma 2 4 2 3 7 4" xfId="8303"/>
    <cellStyle name="Comma 2 4 2 3 7 5" xfId="21292"/>
    <cellStyle name="Comma 2 4 2 3 7 6" xfId="22365"/>
    <cellStyle name="Comma 2 4 2 3 7 7" xfId="23490"/>
    <cellStyle name="Comma 2 4 2 3 8" xfId="1065"/>
    <cellStyle name="Comma 2 4 2 3 8 2" xfId="9835"/>
    <cellStyle name="Comma 2 4 2 3 8 2 2" xfId="25635"/>
    <cellStyle name="Comma 2 4 2 3 8 3" xfId="15486"/>
    <cellStyle name="Comma 2 4 2 3 8 3 2" xfId="24501"/>
    <cellStyle name="Comma 2 4 2 3 8 4" xfId="8304"/>
    <cellStyle name="Comma 2 4 2 3 8 5" xfId="21293"/>
    <cellStyle name="Comma 2 4 2 3 8 6" xfId="22366"/>
    <cellStyle name="Comma 2 4 2 3 8 7" xfId="23491"/>
    <cellStyle name="Comma 2 4 2 3 9" xfId="1066"/>
    <cellStyle name="Comma 2 4 2 3 9 2" xfId="9836"/>
    <cellStyle name="Comma 2 4 2 3 9 2 2" xfId="25636"/>
    <cellStyle name="Comma 2 4 2 3 9 3" xfId="15487"/>
    <cellStyle name="Comma 2 4 2 3 9 3 2" xfId="24502"/>
    <cellStyle name="Comma 2 4 2 3 9 4" xfId="8305"/>
    <cellStyle name="Comma 2 4 2 3 9 5" xfId="21294"/>
    <cellStyle name="Comma 2 4 2 3 9 6" xfId="22367"/>
    <cellStyle name="Comma 2 4 2 3 9 7" xfId="23492"/>
    <cellStyle name="Comma 2 4 2 4" xfId="200"/>
    <cellStyle name="Comma 2 4 2 4 10" xfId="15488"/>
    <cellStyle name="Comma 2 4 2 4 10 2" xfId="24503"/>
    <cellStyle name="Comma 2 4 2 4 11" xfId="8306"/>
    <cellStyle name="Comma 2 4 2 4 12" xfId="21295"/>
    <cellStyle name="Comma 2 4 2 4 13" xfId="22368"/>
    <cellStyle name="Comma 2 4 2 4 14" xfId="22990"/>
    <cellStyle name="Comma 2 4 2 4 2" xfId="193"/>
    <cellStyle name="Comma 2 4 2 4 2 10" xfId="21296"/>
    <cellStyle name="Comma 2 4 2 4 2 11" xfId="22369"/>
    <cellStyle name="Comma 2 4 2 4 2 12" xfId="22985"/>
    <cellStyle name="Comma 2 4 2 4 2 2" xfId="1067"/>
    <cellStyle name="Comma 2 4 2 4 2 2 2" xfId="9837"/>
    <cellStyle name="Comma 2 4 2 4 2 2 2 2" xfId="25637"/>
    <cellStyle name="Comma 2 4 2 4 2 2 3" xfId="15490"/>
    <cellStyle name="Comma 2 4 2 4 2 2 3 2" xfId="24505"/>
    <cellStyle name="Comma 2 4 2 4 2 2 4" xfId="8308"/>
    <cellStyle name="Comma 2 4 2 4 2 2 5" xfId="21297"/>
    <cellStyle name="Comma 2 4 2 4 2 2 6" xfId="22370"/>
    <cellStyle name="Comma 2 4 2 4 2 2 7" xfId="23493"/>
    <cellStyle name="Comma 2 4 2 4 2 3" xfId="1068"/>
    <cellStyle name="Comma 2 4 2 4 2 3 2" xfId="9838"/>
    <cellStyle name="Comma 2 4 2 4 2 3 2 2" xfId="25638"/>
    <cellStyle name="Comma 2 4 2 4 2 3 3" xfId="15491"/>
    <cellStyle name="Comma 2 4 2 4 2 3 3 2" xfId="24506"/>
    <cellStyle name="Comma 2 4 2 4 2 3 4" xfId="8309"/>
    <cellStyle name="Comma 2 4 2 4 2 3 5" xfId="21298"/>
    <cellStyle name="Comma 2 4 2 4 2 3 6" xfId="22371"/>
    <cellStyle name="Comma 2 4 2 4 2 3 7" xfId="23494"/>
    <cellStyle name="Comma 2 4 2 4 2 4" xfId="1069"/>
    <cellStyle name="Comma 2 4 2 4 2 4 2" xfId="9839"/>
    <cellStyle name="Comma 2 4 2 4 2 4 2 2" xfId="25639"/>
    <cellStyle name="Comma 2 4 2 4 2 4 3" xfId="15492"/>
    <cellStyle name="Comma 2 4 2 4 2 4 3 2" xfId="24507"/>
    <cellStyle name="Comma 2 4 2 4 2 4 4" xfId="8310"/>
    <cellStyle name="Comma 2 4 2 4 2 4 5" xfId="21299"/>
    <cellStyle name="Comma 2 4 2 4 2 4 6" xfId="22372"/>
    <cellStyle name="Comma 2 4 2 4 2 4 7" xfId="23495"/>
    <cellStyle name="Comma 2 4 2 4 2 5" xfId="1070"/>
    <cellStyle name="Comma 2 4 2 4 2 5 2" xfId="9840"/>
    <cellStyle name="Comma 2 4 2 4 2 5 2 2" xfId="25640"/>
    <cellStyle name="Comma 2 4 2 4 2 5 3" xfId="15493"/>
    <cellStyle name="Comma 2 4 2 4 2 5 3 2" xfId="24508"/>
    <cellStyle name="Comma 2 4 2 4 2 5 4" xfId="8311"/>
    <cellStyle name="Comma 2 4 2 4 2 5 5" xfId="21300"/>
    <cellStyle name="Comma 2 4 2 4 2 5 6" xfId="22373"/>
    <cellStyle name="Comma 2 4 2 4 2 5 7" xfId="23496"/>
    <cellStyle name="Comma 2 4 2 4 2 6" xfId="1071"/>
    <cellStyle name="Comma 2 4 2 4 2 6 2" xfId="9841"/>
    <cellStyle name="Comma 2 4 2 4 2 6 2 2" xfId="25641"/>
    <cellStyle name="Comma 2 4 2 4 2 6 3" xfId="15494"/>
    <cellStyle name="Comma 2 4 2 4 2 6 3 2" xfId="24509"/>
    <cellStyle name="Comma 2 4 2 4 2 6 4" xfId="8312"/>
    <cellStyle name="Comma 2 4 2 4 2 6 5" xfId="21301"/>
    <cellStyle name="Comma 2 4 2 4 2 6 6" xfId="22374"/>
    <cellStyle name="Comma 2 4 2 4 2 6 7" xfId="23497"/>
    <cellStyle name="Comma 2 4 2 4 2 7" xfId="9069"/>
    <cellStyle name="Comma 2 4 2 4 2 7 2" xfId="25124"/>
    <cellStyle name="Comma 2 4 2 4 2 8" xfId="15489"/>
    <cellStyle name="Comma 2 4 2 4 2 8 2" xfId="24504"/>
    <cellStyle name="Comma 2 4 2 4 2 9" xfId="8307"/>
    <cellStyle name="Comma 2 4 2 4 3" xfId="1072"/>
    <cellStyle name="Comma 2 4 2 4 3 10" xfId="22375"/>
    <cellStyle name="Comma 2 4 2 4 3 11" xfId="23498"/>
    <cellStyle name="Comma 2 4 2 4 3 2" xfId="1073"/>
    <cellStyle name="Comma 2 4 2 4 3 2 2" xfId="9843"/>
    <cellStyle name="Comma 2 4 2 4 3 2 2 2" xfId="25643"/>
    <cellStyle name="Comma 2 4 2 4 3 2 3" xfId="15496"/>
    <cellStyle name="Comma 2 4 2 4 3 2 3 2" xfId="24511"/>
    <cellStyle name="Comma 2 4 2 4 3 2 4" xfId="8314"/>
    <cellStyle name="Comma 2 4 2 4 3 2 5" xfId="21303"/>
    <cellStyle name="Comma 2 4 2 4 3 2 6" xfId="22376"/>
    <cellStyle name="Comma 2 4 2 4 3 2 7" xfId="23499"/>
    <cellStyle name="Comma 2 4 2 4 3 3" xfId="1074"/>
    <cellStyle name="Comma 2 4 2 4 3 3 2" xfId="9844"/>
    <cellStyle name="Comma 2 4 2 4 3 3 2 2" xfId="25644"/>
    <cellStyle name="Comma 2 4 2 4 3 3 3" xfId="15497"/>
    <cellStyle name="Comma 2 4 2 4 3 3 3 2" xfId="24512"/>
    <cellStyle name="Comma 2 4 2 4 3 3 4" xfId="8315"/>
    <cellStyle name="Comma 2 4 2 4 3 3 5" xfId="21304"/>
    <cellStyle name="Comma 2 4 2 4 3 3 6" xfId="22377"/>
    <cellStyle name="Comma 2 4 2 4 3 3 7" xfId="23500"/>
    <cellStyle name="Comma 2 4 2 4 3 4" xfId="1075"/>
    <cellStyle name="Comma 2 4 2 4 3 4 2" xfId="9845"/>
    <cellStyle name="Comma 2 4 2 4 3 4 2 2" xfId="25645"/>
    <cellStyle name="Comma 2 4 2 4 3 4 3" xfId="15498"/>
    <cellStyle name="Comma 2 4 2 4 3 4 3 2" xfId="24513"/>
    <cellStyle name="Comma 2 4 2 4 3 4 4" xfId="8316"/>
    <cellStyle name="Comma 2 4 2 4 3 4 5" xfId="21305"/>
    <cellStyle name="Comma 2 4 2 4 3 4 6" xfId="22378"/>
    <cellStyle name="Comma 2 4 2 4 3 4 7" xfId="23501"/>
    <cellStyle name="Comma 2 4 2 4 3 5" xfId="1076"/>
    <cellStyle name="Comma 2 4 2 4 3 5 2" xfId="9846"/>
    <cellStyle name="Comma 2 4 2 4 3 5 2 2" xfId="25646"/>
    <cellStyle name="Comma 2 4 2 4 3 5 3" xfId="15499"/>
    <cellStyle name="Comma 2 4 2 4 3 5 3 2" xfId="24514"/>
    <cellStyle name="Comma 2 4 2 4 3 5 4" xfId="8317"/>
    <cellStyle name="Comma 2 4 2 4 3 5 5" xfId="21306"/>
    <cellStyle name="Comma 2 4 2 4 3 5 6" xfId="22379"/>
    <cellStyle name="Comma 2 4 2 4 3 5 7" xfId="23502"/>
    <cellStyle name="Comma 2 4 2 4 3 6" xfId="9842"/>
    <cellStyle name="Comma 2 4 2 4 3 6 2" xfId="25642"/>
    <cellStyle name="Comma 2 4 2 4 3 7" xfId="15495"/>
    <cellStyle name="Comma 2 4 2 4 3 7 2" xfId="24510"/>
    <cellStyle name="Comma 2 4 2 4 3 8" xfId="8313"/>
    <cellStyle name="Comma 2 4 2 4 3 9" xfId="21302"/>
    <cellStyle name="Comma 2 4 2 4 4" xfId="1077"/>
    <cellStyle name="Comma 2 4 2 4 4 2" xfId="9847"/>
    <cellStyle name="Comma 2 4 2 4 4 2 2" xfId="25647"/>
    <cellStyle name="Comma 2 4 2 4 4 3" xfId="15500"/>
    <cellStyle name="Comma 2 4 2 4 4 3 2" xfId="24515"/>
    <cellStyle name="Comma 2 4 2 4 4 4" xfId="8318"/>
    <cellStyle name="Comma 2 4 2 4 4 5" xfId="21307"/>
    <cellStyle name="Comma 2 4 2 4 4 6" xfId="22380"/>
    <cellStyle name="Comma 2 4 2 4 4 7" xfId="23503"/>
    <cellStyle name="Comma 2 4 2 4 5" xfId="1078"/>
    <cellStyle name="Comma 2 4 2 4 5 2" xfId="9848"/>
    <cellStyle name="Comma 2 4 2 4 5 2 2" xfId="25648"/>
    <cellStyle name="Comma 2 4 2 4 5 3" xfId="15501"/>
    <cellStyle name="Comma 2 4 2 4 5 3 2" xfId="24516"/>
    <cellStyle name="Comma 2 4 2 4 5 4" xfId="8319"/>
    <cellStyle name="Comma 2 4 2 4 5 5" xfId="21308"/>
    <cellStyle name="Comma 2 4 2 4 5 6" xfId="22381"/>
    <cellStyle name="Comma 2 4 2 4 5 7" xfId="23504"/>
    <cellStyle name="Comma 2 4 2 4 6" xfId="1079"/>
    <cellStyle name="Comma 2 4 2 4 6 2" xfId="9849"/>
    <cellStyle name="Comma 2 4 2 4 6 2 2" xfId="25649"/>
    <cellStyle name="Comma 2 4 2 4 6 3" xfId="15502"/>
    <cellStyle name="Comma 2 4 2 4 6 3 2" xfId="24517"/>
    <cellStyle name="Comma 2 4 2 4 6 4" xfId="8320"/>
    <cellStyle name="Comma 2 4 2 4 6 5" xfId="21309"/>
    <cellStyle name="Comma 2 4 2 4 6 6" xfId="22382"/>
    <cellStyle name="Comma 2 4 2 4 6 7" xfId="23505"/>
    <cellStyle name="Comma 2 4 2 4 7" xfId="1080"/>
    <cellStyle name="Comma 2 4 2 4 7 2" xfId="9850"/>
    <cellStyle name="Comma 2 4 2 4 7 2 2" xfId="25650"/>
    <cellStyle name="Comma 2 4 2 4 7 3" xfId="15503"/>
    <cellStyle name="Comma 2 4 2 4 7 3 2" xfId="24518"/>
    <cellStyle name="Comma 2 4 2 4 7 4" xfId="8321"/>
    <cellStyle name="Comma 2 4 2 4 7 5" xfId="21310"/>
    <cellStyle name="Comma 2 4 2 4 7 6" xfId="22383"/>
    <cellStyle name="Comma 2 4 2 4 7 7" xfId="23506"/>
    <cellStyle name="Comma 2 4 2 4 8" xfId="1081"/>
    <cellStyle name="Comma 2 4 2 4 8 2" xfId="9851"/>
    <cellStyle name="Comma 2 4 2 4 8 2 2" xfId="25651"/>
    <cellStyle name="Comma 2 4 2 4 8 3" xfId="15504"/>
    <cellStyle name="Comma 2 4 2 4 8 3 2" xfId="24519"/>
    <cellStyle name="Comma 2 4 2 4 8 4" xfId="8322"/>
    <cellStyle name="Comma 2 4 2 4 8 5" xfId="21311"/>
    <cellStyle name="Comma 2 4 2 4 8 6" xfId="22384"/>
    <cellStyle name="Comma 2 4 2 4 8 7" xfId="23507"/>
    <cellStyle name="Comma 2 4 2 4 9" xfId="9074"/>
    <cellStyle name="Comma 2 4 2 4 9 2" xfId="25129"/>
    <cellStyle name="Comma 2 4 2 5" xfId="265"/>
    <cellStyle name="Comma 2 4 2 5 10" xfId="21312"/>
    <cellStyle name="Comma 2 4 2 5 11" xfId="22385"/>
    <cellStyle name="Comma 2 4 2 5 12" xfId="23037"/>
    <cellStyle name="Comma 2 4 2 5 2" xfId="1082"/>
    <cellStyle name="Comma 2 4 2 5 2 2" xfId="9852"/>
    <cellStyle name="Comma 2 4 2 5 2 2 2" xfId="25652"/>
    <cellStyle name="Comma 2 4 2 5 2 3" xfId="15506"/>
    <cellStyle name="Comma 2 4 2 5 2 3 2" xfId="24521"/>
    <cellStyle name="Comma 2 4 2 5 2 4" xfId="8324"/>
    <cellStyle name="Comma 2 4 2 5 2 5" xfId="21313"/>
    <cellStyle name="Comma 2 4 2 5 2 6" xfId="22386"/>
    <cellStyle name="Comma 2 4 2 5 2 7" xfId="23508"/>
    <cellStyle name="Comma 2 4 2 5 3" xfId="1083"/>
    <cellStyle name="Comma 2 4 2 5 3 2" xfId="9853"/>
    <cellStyle name="Comma 2 4 2 5 3 2 2" xfId="25653"/>
    <cellStyle name="Comma 2 4 2 5 3 3" xfId="15507"/>
    <cellStyle name="Comma 2 4 2 5 3 3 2" xfId="24522"/>
    <cellStyle name="Comma 2 4 2 5 3 4" xfId="8325"/>
    <cellStyle name="Comma 2 4 2 5 3 5" xfId="21314"/>
    <cellStyle name="Comma 2 4 2 5 3 6" xfId="22387"/>
    <cellStyle name="Comma 2 4 2 5 3 7" xfId="23509"/>
    <cellStyle name="Comma 2 4 2 5 4" xfId="1084"/>
    <cellStyle name="Comma 2 4 2 5 4 2" xfId="9854"/>
    <cellStyle name="Comma 2 4 2 5 4 2 2" xfId="25654"/>
    <cellStyle name="Comma 2 4 2 5 4 3" xfId="15508"/>
    <cellStyle name="Comma 2 4 2 5 4 3 2" xfId="24523"/>
    <cellStyle name="Comma 2 4 2 5 4 4" xfId="8326"/>
    <cellStyle name="Comma 2 4 2 5 4 5" xfId="21315"/>
    <cellStyle name="Comma 2 4 2 5 4 6" xfId="22388"/>
    <cellStyle name="Comma 2 4 2 5 4 7" xfId="23510"/>
    <cellStyle name="Comma 2 4 2 5 5" xfId="1085"/>
    <cellStyle name="Comma 2 4 2 5 5 2" xfId="9855"/>
    <cellStyle name="Comma 2 4 2 5 5 2 2" xfId="25655"/>
    <cellStyle name="Comma 2 4 2 5 5 3" xfId="15509"/>
    <cellStyle name="Comma 2 4 2 5 5 3 2" xfId="24524"/>
    <cellStyle name="Comma 2 4 2 5 5 4" xfId="8327"/>
    <cellStyle name="Comma 2 4 2 5 5 5" xfId="21316"/>
    <cellStyle name="Comma 2 4 2 5 5 6" xfId="22389"/>
    <cellStyle name="Comma 2 4 2 5 5 7" xfId="23511"/>
    <cellStyle name="Comma 2 4 2 5 6" xfId="1086"/>
    <cellStyle name="Comma 2 4 2 5 6 2" xfId="9856"/>
    <cellStyle name="Comma 2 4 2 5 6 2 2" xfId="25656"/>
    <cellStyle name="Comma 2 4 2 5 6 3" xfId="15510"/>
    <cellStyle name="Comma 2 4 2 5 6 3 2" xfId="24525"/>
    <cellStyle name="Comma 2 4 2 5 6 4" xfId="8328"/>
    <cellStyle name="Comma 2 4 2 5 6 5" xfId="21317"/>
    <cellStyle name="Comma 2 4 2 5 6 6" xfId="22390"/>
    <cellStyle name="Comma 2 4 2 5 6 7" xfId="23512"/>
    <cellStyle name="Comma 2 4 2 5 7" xfId="9122"/>
    <cellStyle name="Comma 2 4 2 5 7 2" xfId="25176"/>
    <cellStyle name="Comma 2 4 2 5 8" xfId="15505"/>
    <cellStyle name="Comma 2 4 2 5 8 2" xfId="24520"/>
    <cellStyle name="Comma 2 4 2 5 9" xfId="8323"/>
    <cellStyle name="Comma 2 4 2 6" xfId="1087"/>
    <cellStyle name="Comma 2 4 2 6 10" xfId="22391"/>
    <cellStyle name="Comma 2 4 2 6 11" xfId="23513"/>
    <cellStyle name="Comma 2 4 2 6 2" xfId="1088"/>
    <cellStyle name="Comma 2 4 2 6 2 2" xfId="9858"/>
    <cellStyle name="Comma 2 4 2 6 2 2 2" xfId="25658"/>
    <cellStyle name="Comma 2 4 2 6 2 3" xfId="15512"/>
    <cellStyle name="Comma 2 4 2 6 2 3 2" xfId="24527"/>
    <cellStyle name="Comma 2 4 2 6 2 4" xfId="8330"/>
    <cellStyle name="Comma 2 4 2 6 2 5" xfId="21319"/>
    <cellStyle name="Comma 2 4 2 6 2 6" xfId="22392"/>
    <cellStyle name="Comma 2 4 2 6 2 7" xfId="23514"/>
    <cellStyle name="Comma 2 4 2 6 3" xfId="1089"/>
    <cellStyle name="Comma 2 4 2 6 3 2" xfId="9859"/>
    <cellStyle name="Comma 2 4 2 6 3 2 2" xfId="25659"/>
    <cellStyle name="Comma 2 4 2 6 3 3" xfId="15513"/>
    <cellStyle name="Comma 2 4 2 6 3 3 2" xfId="24528"/>
    <cellStyle name="Comma 2 4 2 6 3 4" xfId="8331"/>
    <cellStyle name="Comma 2 4 2 6 3 5" xfId="21320"/>
    <cellStyle name="Comma 2 4 2 6 3 6" xfId="22393"/>
    <cellStyle name="Comma 2 4 2 6 3 7" xfId="23515"/>
    <cellStyle name="Comma 2 4 2 6 4" xfId="1090"/>
    <cellStyle name="Comma 2 4 2 6 4 2" xfId="9860"/>
    <cellStyle name="Comma 2 4 2 6 4 2 2" xfId="25660"/>
    <cellStyle name="Comma 2 4 2 6 4 3" xfId="15514"/>
    <cellStyle name="Comma 2 4 2 6 4 3 2" xfId="24529"/>
    <cellStyle name="Comma 2 4 2 6 4 4" xfId="8332"/>
    <cellStyle name="Comma 2 4 2 6 4 5" xfId="21321"/>
    <cellStyle name="Comma 2 4 2 6 4 6" xfId="22394"/>
    <cellStyle name="Comma 2 4 2 6 4 7" xfId="23516"/>
    <cellStyle name="Comma 2 4 2 6 5" xfId="1091"/>
    <cellStyle name="Comma 2 4 2 6 5 2" xfId="9861"/>
    <cellStyle name="Comma 2 4 2 6 5 2 2" xfId="25661"/>
    <cellStyle name="Comma 2 4 2 6 5 3" xfId="15515"/>
    <cellStyle name="Comma 2 4 2 6 5 3 2" xfId="24530"/>
    <cellStyle name="Comma 2 4 2 6 5 4" xfId="8333"/>
    <cellStyle name="Comma 2 4 2 6 5 5" xfId="21322"/>
    <cellStyle name="Comma 2 4 2 6 5 6" xfId="22395"/>
    <cellStyle name="Comma 2 4 2 6 5 7" xfId="23517"/>
    <cellStyle name="Comma 2 4 2 6 6" xfId="9857"/>
    <cellStyle name="Comma 2 4 2 6 6 2" xfId="25657"/>
    <cellStyle name="Comma 2 4 2 6 7" xfId="15511"/>
    <cellStyle name="Comma 2 4 2 6 7 2" xfId="24526"/>
    <cellStyle name="Comma 2 4 2 6 8" xfId="8329"/>
    <cellStyle name="Comma 2 4 2 6 9" xfId="21318"/>
    <cellStyle name="Comma 2 4 2 7" xfId="1092"/>
    <cellStyle name="Comma 2 4 2 7 10" xfId="22396"/>
    <cellStyle name="Comma 2 4 2 7 11" xfId="23518"/>
    <cellStyle name="Comma 2 4 2 7 2" xfId="1093"/>
    <cellStyle name="Comma 2 4 2 7 2 2" xfId="9863"/>
    <cellStyle name="Comma 2 4 2 7 2 2 2" xfId="25663"/>
    <cellStyle name="Comma 2 4 2 7 2 3" xfId="15517"/>
    <cellStyle name="Comma 2 4 2 7 2 3 2" xfId="24532"/>
    <cellStyle name="Comma 2 4 2 7 2 4" xfId="8335"/>
    <cellStyle name="Comma 2 4 2 7 2 5" xfId="21324"/>
    <cellStyle name="Comma 2 4 2 7 2 6" xfId="22397"/>
    <cellStyle name="Comma 2 4 2 7 2 7" xfId="23519"/>
    <cellStyle name="Comma 2 4 2 7 3" xfId="1094"/>
    <cellStyle name="Comma 2 4 2 7 3 2" xfId="9864"/>
    <cellStyle name="Comma 2 4 2 7 3 2 2" xfId="25664"/>
    <cellStyle name="Comma 2 4 2 7 3 3" xfId="15518"/>
    <cellStyle name="Comma 2 4 2 7 3 3 2" xfId="24533"/>
    <cellStyle name="Comma 2 4 2 7 3 4" xfId="8336"/>
    <cellStyle name="Comma 2 4 2 7 3 5" xfId="21325"/>
    <cellStyle name="Comma 2 4 2 7 3 6" xfId="22398"/>
    <cellStyle name="Comma 2 4 2 7 3 7" xfId="23520"/>
    <cellStyle name="Comma 2 4 2 7 4" xfId="1095"/>
    <cellStyle name="Comma 2 4 2 7 4 2" xfId="9865"/>
    <cellStyle name="Comma 2 4 2 7 4 2 2" xfId="25665"/>
    <cellStyle name="Comma 2 4 2 7 4 3" xfId="15519"/>
    <cellStyle name="Comma 2 4 2 7 4 3 2" xfId="24534"/>
    <cellStyle name="Comma 2 4 2 7 4 4" xfId="8337"/>
    <cellStyle name="Comma 2 4 2 7 4 5" xfId="21326"/>
    <cellStyle name="Comma 2 4 2 7 4 6" xfId="22399"/>
    <cellStyle name="Comma 2 4 2 7 4 7" xfId="23521"/>
    <cellStyle name="Comma 2 4 2 7 5" xfId="1096"/>
    <cellStyle name="Comma 2 4 2 7 5 2" xfId="9866"/>
    <cellStyle name="Comma 2 4 2 7 5 2 2" xfId="25666"/>
    <cellStyle name="Comma 2 4 2 7 5 3" xfId="15520"/>
    <cellStyle name="Comma 2 4 2 7 5 3 2" xfId="24535"/>
    <cellStyle name="Comma 2 4 2 7 5 4" xfId="8338"/>
    <cellStyle name="Comma 2 4 2 7 5 5" xfId="21327"/>
    <cellStyle name="Comma 2 4 2 7 5 6" xfId="22400"/>
    <cellStyle name="Comma 2 4 2 7 5 7" xfId="23522"/>
    <cellStyle name="Comma 2 4 2 7 6" xfId="9862"/>
    <cellStyle name="Comma 2 4 2 7 6 2" xfId="25662"/>
    <cellStyle name="Comma 2 4 2 7 7" xfId="15516"/>
    <cellStyle name="Comma 2 4 2 7 7 2" xfId="24531"/>
    <cellStyle name="Comma 2 4 2 7 8" xfId="8334"/>
    <cellStyle name="Comma 2 4 2 7 9" xfId="21323"/>
    <cellStyle name="Comma 2 4 2 8" xfId="1097"/>
    <cellStyle name="Comma 2 4 2 8 2" xfId="9867"/>
    <cellStyle name="Comma 2 4 2 8 2 2" xfId="25667"/>
    <cellStyle name="Comma 2 4 2 8 3" xfId="15521"/>
    <cellStyle name="Comma 2 4 2 8 3 2" xfId="24536"/>
    <cellStyle name="Comma 2 4 2 8 4" xfId="8339"/>
    <cellStyle name="Comma 2 4 2 8 5" xfId="21328"/>
    <cellStyle name="Comma 2 4 2 8 6" xfId="22401"/>
    <cellStyle name="Comma 2 4 2 8 7" xfId="23523"/>
    <cellStyle name="Comma 2 4 2 9" xfId="1098"/>
    <cellStyle name="Comma 2 4 2 9 2" xfId="9868"/>
    <cellStyle name="Comma 2 4 2 9 2 2" xfId="25668"/>
    <cellStyle name="Comma 2 4 2 9 3" xfId="15522"/>
    <cellStyle name="Comma 2 4 2 9 3 2" xfId="24537"/>
    <cellStyle name="Comma 2 4 2 9 4" xfId="8340"/>
    <cellStyle name="Comma 2 4 2 9 5" xfId="21329"/>
    <cellStyle name="Comma 2 4 2 9 6" xfId="22402"/>
    <cellStyle name="Comma 2 4 2 9 7" xfId="23524"/>
    <cellStyle name="Comma 2 4 3" xfId="262"/>
    <cellStyle name="Comma 2 4 3 10" xfId="1099"/>
    <cellStyle name="Comma 2 4 3 10 2" xfId="9869"/>
    <cellStyle name="Comma 2 4 3 10 2 2" xfId="25669"/>
    <cellStyle name="Comma 2 4 3 10 3" xfId="15524"/>
    <cellStyle name="Comma 2 4 3 10 3 2" xfId="24539"/>
    <cellStyle name="Comma 2 4 3 10 4" xfId="8342"/>
    <cellStyle name="Comma 2 4 3 10 5" xfId="21331"/>
    <cellStyle name="Comma 2 4 3 10 6" xfId="22404"/>
    <cellStyle name="Comma 2 4 3 10 7" xfId="23525"/>
    <cellStyle name="Comma 2 4 3 11" xfId="1100"/>
    <cellStyle name="Comma 2 4 3 11 2" xfId="9870"/>
    <cellStyle name="Comma 2 4 3 11 2 2" xfId="25670"/>
    <cellStyle name="Comma 2 4 3 11 3" xfId="15525"/>
    <cellStyle name="Comma 2 4 3 11 3 2" xfId="24540"/>
    <cellStyle name="Comma 2 4 3 11 4" xfId="8343"/>
    <cellStyle name="Comma 2 4 3 11 5" xfId="21332"/>
    <cellStyle name="Comma 2 4 3 11 6" xfId="22405"/>
    <cellStyle name="Comma 2 4 3 11 7" xfId="23526"/>
    <cellStyle name="Comma 2 4 3 12" xfId="9119"/>
    <cellStyle name="Comma 2 4 3 12 2" xfId="25173"/>
    <cellStyle name="Comma 2 4 3 13" xfId="15523"/>
    <cellStyle name="Comma 2 4 3 13 2" xfId="24538"/>
    <cellStyle name="Comma 2 4 3 14" xfId="8341"/>
    <cellStyle name="Comma 2 4 3 15" xfId="21330"/>
    <cellStyle name="Comma 2 4 3 16" xfId="22403"/>
    <cellStyle name="Comma 2 4 3 17" xfId="23034"/>
    <cellStyle name="Comma 2 4 3 2" xfId="255"/>
    <cellStyle name="Comma 2 4 3 2 10" xfId="1101"/>
    <cellStyle name="Comma 2 4 3 2 10 2" xfId="9871"/>
    <cellStyle name="Comma 2 4 3 2 10 2 2" xfId="25671"/>
    <cellStyle name="Comma 2 4 3 2 10 3" xfId="15527"/>
    <cellStyle name="Comma 2 4 3 2 10 3 2" xfId="24542"/>
    <cellStyle name="Comma 2 4 3 2 10 4" xfId="8345"/>
    <cellStyle name="Comma 2 4 3 2 10 5" xfId="21334"/>
    <cellStyle name="Comma 2 4 3 2 10 6" xfId="22407"/>
    <cellStyle name="Comma 2 4 3 2 10 7" xfId="23527"/>
    <cellStyle name="Comma 2 4 3 2 11" xfId="9114"/>
    <cellStyle name="Comma 2 4 3 2 11 2" xfId="25168"/>
    <cellStyle name="Comma 2 4 3 2 12" xfId="15526"/>
    <cellStyle name="Comma 2 4 3 2 12 2" xfId="24541"/>
    <cellStyle name="Comma 2 4 3 2 13" xfId="8344"/>
    <cellStyle name="Comma 2 4 3 2 14" xfId="21333"/>
    <cellStyle name="Comma 2 4 3 2 15" xfId="22406"/>
    <cellStyle name="Comma 2 4 3 2 16" xfId="23029"/>
    <cellStyle name="Comma 2 4 3 2 2" xfId="183"/>
    <cellStyle name="Comma 2 4 3 2 2 10" xfId="15528"/>
    <cellStyle name="Comma 2 4 3 2 2 10 2" xfId="24543"/>
    <cellStyle name="Comma 2 4 3 2 2 11" xfId="8346"/>
    <cellStyle name="Comma 2 4 3 2 2 12" xfId="21335"/>
    <cellStyle name="Comma 2 4 3 2 2 13" xfId="22408"/>
    <cellStyle name="Comma 2 4 3 2 2 14" xfId="22982"/>
    <cellStyle name="Comma 2 4 3 2 2 2" xfId="230"/>
    <cellStyle name="Comma 2 4 3 2 2 2 10" xfId="21336"/>
    <cellStyle name="Comma 2 4 3 2 2 2 11" xfId="22409"/>
    <cellStyle name="Comma 2 4 3 2 2 2 12" xfId="23011"/>
    <cellStyle name="Comma 2 4 3 2 2 2 2" xfId="1102"/>
    <cellStyle name="Comma 2 4 3 2 2 2 2 2" xfId="9872"/>
    <cellStyle name="Comma 2 4 3 2 2 2 2 2 2" xfId="25672"/>
    <cellStyle name="Comma 2 4 3 2 2 2 2 3" xfId="15530"/>
    <cellStyle name="Comma 2 4 3 2 2 2 2 3 2" xfId="24545"/>
    <cellStyle name="Comma 2 4 3 2 2 2 2 4" xfId="8348"/>
    <cellStyle name="Comma 2 4 3 2 2 2 2 5" xfId="21337"/>
    <cellStyle name="Comma 2 4 3 2 2 2 2 6" xfId="22410"/>
    <cellStyle name="Comma 2 4 3 2 2 2 2 7" xfId="23528"/>
    <cellStyle name="Comma 2 4 3 2 2 2 3" xfId="1103"/>
    <cellStyle name="Comma 2 4 3 2 2 2 3 2" xfId="9873"/>
    <cellStyle name="Comma 2 4 3 2 2 2 3 2 2" xfId="25673"/>
    <cellStyle name="Comma 2 4 3 2 2 2 3 3" xfId="15531"/>
    <cellStyle name="Comma 2 4 3 2 2 2 3 3 2" xfId="24546"/>
    <cellStyle name="Comma 2 4 3 2 2 2 3 4" xfId="8349"/>
    <cellStyle name="Comma 2 4 3 2 2 2 3 5" xfId="21338"/>
    <cellStyle name="Comma 2 4 3 2 2 2 3 6" xfId="22411"/>
    <cellStyle name="Comma 2 4 3 2 2 2 3 7" xfId="23529"/>
    <cellStyle name="Comma 2 4 3 2 2 2 4" xfId="1104"/>
    <cellStyle name="Comma 2 4 3 2 2 2 4 2" xfId="9874"/>
    <cellStyle name="Comma 2 4 3 2 2 2 4 2 2" xfId="25674"/>
    <cellStyle name="Comma 2 4 3 2 2 2 4 3" xfId="15532"/>
    <cellStyle name="Comma 2 4 3 2 2 2 4 3 2" xfId="24547"/>
    <cellStyle name="Comma 2 4 3 2 2 2 4 4" xfId="8350"/>
    <cellStyle name="Comma 2 4 3 2 2 2 4 5" xfId="21339"/>
    <cellStyle name="Comma 2 4 3 2 2 2 4 6" xfId="22412"/>
    <cellStyle name="Comma 2 4 3 2 2 2 4 7" xfId="23530"/>
    <cellStyle name="Comma 2 4 3 2 2 2 5" xfId="1105"/>
    <cellStyle name="Comma 2 4 3 2 2 2 5 2" xfId="9875"/>
    <cellStyle name="Comma 2 4 3 2 2 2 5 2 2" xfId="25675"/>
    <cellStyle name="Comma 2 4 3 2 2 2 5 3" xfId="15533"/>
    <cellStyle name="Comma 2 4 3 2 2 2 5 3 2" xfId="24548"/>
    <cellStyle name="Comma 2 4 3 2 2 2 5 4" xfId="8351"/>
    <cellStyle name="Comma 2 4 3 2 2 2 5 5" xfId="21340"/>
    <cellStyle name="Comma 2 4 3 2 2 2 5 6" xfId="22413"/>
    <cellStyle name="Comma 2 4 3 2 2 2 5 7" xfId="23531"/>
    <cellStyle name="Comma 2 4 3 2 2 2 6" xfId="1106"/>
    <cellStyle name="Comma 2 4 3 2 2 2 6 2" xfId="9876"/>
    <cellStyle name="Comma 2 4 3 2 2 2 6 2 2" xfId="25676"/>
    <cellStyle name="Comma 2 4 3 2 2 2 6 3" xfId="15534"/>
    <cellStyle name="Comma 2 4 3 2 2 2 6 3 2" xfId="24549"/>
    <cellStyle name="Comma 2 4 3 2 2 2 6 4" xfId="8352"/>
    <cellStyle name="Comma 2 4 3 2 2 2 6 5" xfId="21341"/>
    <cellStyle name="Comma 2 4 3 2 2 2 6 6" xfId="22414"/>
    <cellStyle name="Comma 2 4 3 2 2 2 6 7" xfId="23532"/>
    <cellStyle name="Comma 2 4 3 2 2 2 7" xfId="9095"/>
    <cellStyle name="Comma 2 4 3 2 2 2 7 2" xfId="25150"/>
    <cellStyle name="Comma 2 4 3 2 2 2 8" xfId="15529"/>
    <cellStyle name="Comma 2 4 3 2 2 2 8 2" xfId="24544"/>
    <cellStyle name="Comma 2 4 3 2 2 2 9" xfId="8347"/>
    <cellStyle name="Comma 2 4 3 2 2 3" xfId="1107"/>
    <cellStyle name="Comma 2 4 3 2 2 3 10" xfId="22415"/>
    <cellStyle name="Comma 2 4 3 2 2 3 11" xfId="23533"/>
    <cellStyle name="Comma 2 4 3 2 2 3 2" xfId="1108"/>
    <cellStyle name="Comma 2 4 3 2 2 3 2 2" xfId="9878"/>
    <cellStyle name="Comma 2 4 3 2 2 3 2 2 2" xfId="25678"/>
    <cellStyle name="Comma 2 4 3 2 2 3 2 3" xfId="15536"/>
    <cellStyle name="Comma 2 4 3 2 2 3 2 3 2" xfId="24551"/>
    <cellStyle name="Comma 2 4 3 2 2 3 2 4" xfId="8354"/>
    <cellStyle name="Comma 2 4 3 2 2 3 2 5" xfId="21343"/>
    <cellStyle name="Comma 2 4 3 2 2 3 2 6" xfId="22416"/>
    <cellStyle name="Comma 2 4 3 2 2 3 2 7" xfId="23534"/>
    <cellStyle name="Comma 2 4 3 2 2 3 3" xfId="1109"/>
    <cellStyle name="Comma 2 4 3 2 2 3 3 2" xfId="9879"/>
    <cellStyle name="Comma 2 4 3 2 2 3 3 2 2" xfId="25679"/>
    <cellStyle name="Comma 2 4 3 2 2 3 3 3" xfId="15537"/>
    <cellStyle name="Comma 2 4 3 2 2 3 3 3 2" xfId="24552"/>
    <cellStyle name="Comma 2 4 3 2 2 3 3 4" xfId="8355"/>
    <cellStyle name="Comma 2 4 3 2 2 3 3 5" xfId="21344"/>
    <cellStyle name="Comma 2 4 3 2 2 3 3 6" xfId="22417"/>
    <cellStyle name="Comma 2 4 3 2 2 3 3 7" xfId="23535"/>
    <cellStyle name="Comma 2 4 3 2 2 3 4" xfId="1110"/>
    <cellStyle name="Comma 2 4 3 2 2 3 4 2" xfId="9880"/>
    <cellStyle name="Comma 2 4 3 2 2 3 4 2 2" xfId="25680"/>
    <cellStyle name="Comma 2 4 3 2 2 3 4 3" xfId="15538"/>
    <cellStyle name="Comma 2 4 3 2 2 3 4 3 2" xfId="24553"/>
    <cellStyle name="Comma 2 4 3 2 2 3 4 4" xfId="8356"/>
    <cellStyle name="Comma 2 4 3 2 2 3 4 5" xfId="21345"/>
    <cellStyle name="Comma 2 4 3 2 2 3 4 6" xfId="22418"/>
    <cellStyle name="Comma 2 4 3 2 2 3 4 7" xfId="23536"/>
    <cellStyle name="Comma 2 4 3 2 2 3 5" xfId="1111"/>
    <cellStyle name="Comma 2 4 3 2 2 3 5 2" xfId="9881"/>
    <cellStyle name="Comma 2 4 3 2 2 3 5 2 2" xfId="25681"/>
    <cellStyle name="Comma 2 4 3 2 2 3 5 3" xfId="15539"/>
    <cellStyle name="Comma 2 4 3 2 2 3 5 3 2" xfId="24554"/>
    <cellStyle name="Comma 2 4 3 2 2 3 5 4" xfId="8357"/>
    <cellStyle name="Comma 2 4 3 2 2 3 5 5" xfId="21346"/>
    <cellStyle name="Comma 2 4 3 2 2 3 5 6" xfId="22419"/>
    <cellStyle name="Comma 2 4 3 2 2 3 5 7" xfId="23537"/>
    <cellStyle name="Comma 2 4 3 2 2 3 6" xfId="9877"/>
    <cellStyle name="Comma 2 4 3 2 2 3 6 2" xfId="25677"/>
    <cellStyle name="Comma 2 4 3 2 2 3 7" xfId="15535"/>
    <cellStyle name="Comma 2 4 3 2 2 3 7 2" xfId="24550"/>
    <cellStyle name="Comma 2 4 3 2 2 3 8" xfId="8353"/>
    <cellStyle name="Comma 2 4 3 2 2 3 9" xfId="21342"/>
    <cellStyle name="Comma 2 4 3 2 2 4" xfId="1112"/>
    <cellStyle name="Comma 2 4 3 2 2 4 2" xfId="9882"/>
    <cellStyle name="Comma 2 4 3 2 2 4 2 2" xfId="25682"/>
    <cellStyle name="Comma 2 4 3 2 2 4 3" xfId="15540"/>
    <cellStyle name="Comma 2 4 3 2 2 4 3 2" xfId="24555"/>
    <cellStyle name="Comma 2 4 3 2 2 4 4" xfId="8358"/>
    <cellStyle name="Comma 2 4 3 2 2 4 5" xfId="21347"/>
    <cellStyle name="Comma 2 4 3 2 2 4 6" xfId="22420"/>
    <cellStyle name="Comma 2 4 3 2 2 4 7" xfId="23538"/>
    <cellStyle name="Comma 2 4 3 2 2 5" xfId="1113"/>
    <cellStyle name="Comma 2 4 3 2 2 5 2" xfId="9883"/>
    <cellStyle name="Comma 2 4 3 2 2 5 2 2" xfId="25683"/>
    <cellStyle name="Comma 2 4 3 2 2 5 3" xfId="15541"/>
    <cellStyle name="Comma 2 4 3 2 2 5 3 2" xfId="24556"/>
    <cellStyle name="Comma 2 4 3 2 2 5 4" xfId="8359"/>
    <cellStyle name="Comma 2 4 3 2 2 5 5" xfId="21348"/>
    <cellStyle name="Comma 2 4 3 2 2 5 6" xfId="22421"/>
    <cellStyle name="Comma 2 4 3 2 2 5 7" xfId="23539"/>
    <cellStyle name="Comma 2 4 3 2 2 6" xfId="1114"/>
    <cellStyle name="Comma 2 4 3 2 2 6 2" xfId="9884"/>
    <cellStyle name="Comma 2 4 3 2 2 6 2 2" xfId="25684"/>
    <cellStyle name="Comma 2 4 3 2 2 6 3" xfId="15542"/>
    <cellStyle name="Comma 2 4 3 2 2 6 3 2" xfId="24557"/>
    <cellStyle name="Comma 2 4 3 2 2 6 4" xfId="8360"/>
    <cellStyle name="Comma 2 4 3 2 2 6 5" xfId="21349"/>
    <cellStyle name="Comma 2 4 3 2 2 6 6" xfId="22422"/>
    <cellStyle name="Comma 2 4 3 2 2 6 7" xfId="23540"/>
    <cellStyle name="Comma 2 4 3 2 2 7" xfId="1115"/>
    <cellStyle name="Comma 2 4 3 2 2 7 2" xfId="9885"/>
    <cellStyle name="Comma 2 4 3 2 2 7 2 2" xfId="25685"/>
    <cellStyle name="Comma 2 4 3 2 2 7 3" xfId="15543"/>
    <cellStyle name="Comma 2 4 3 2 2 7 3 2" xfId="24558"/>
    <cellStyle name="Comma 2 4 3 2 2 7 4" xfId="8361"/>
    <cellStyle name="Comma 2 4 3 2 2 7 5" xfId="21350"/>
    <cellStyle name="Comma 2 4 3 2 2 7 6" xfId="22423"/>
    <cellStyle name="Comma 2 4 3 2 2 7 7" xfId="23541"/>
    <cellStyle name="Comma 2 4 3 2 2 8" xfId="1116"/>
    <cellStyle name="Comma 2 4 3 2 2 8 2" xfId="9886"/>
    <cellStyle name="Comma 2 4 3 2 2 8 2 2" xfId="25686"/>
    <cellStyle name="Comma 2 4 3 2 2 8 3" xfId="15544"/>
    <cellStyle name="Comma 2 4 3 2 2 8 3 2" xfId="24559"/>
    <cellStyle name="Comma 2 4 3 2 2 8 4" xfId="8362"/>
    <cellStyle name="Comma 2 4 3 2 2 8 5" xfId="21351"/>
    <cellStyle name="Comma 2 4 3 2 2 8 6" xfId="22424"/>
    <cellStyle name="Comma 2 4 3 2 2 8 7" xfId="23542"/>
    <cellStyle name="Comma 2 4 3 2 2 9" xfId="9064"/>
    <cellStyle name="Comma 2 4 3 2 2 9 2" xfId="25120"/>
    <cellStyle name="Comma 2 4 3 2 3" xfId="222"/>
    <cellStyle name="Comma 2 4 3 2 3 10" xfId="21352"/>
    <cellStyle name="Comma 2 4 3 2 3 11" xfId="22425"/>
    <cellStyle name="Comma 2 4 3 2 3 12" xfId="23007"/>
    <cellStyle name="Comma 2 4 3 2 3 2" xfId="1117"/>
    <cellStyle name="Comma 2 4 3 2 3 2 2" xfId="9887"/>
    <cellStyle name="Comma 2 4 3 2 3 2 2 2" xfId="25687"/>
    <cellStyle name="Comma 2 4 3 2 3 2 3" xfId="15546"/>
    <cellStyle name="Comma 2 4 3 2 3 2 3 2" xfId="24561"/>
    <cellStyle name="Comma 2 4 3 2 3 2 4" xfId="8364"/>
    <cellStyle name="Comma 2 4 3 2 3 2 5" xfId="21353"/>
    <cellStyle name="Comma 2 4 3 2 3 2 6" xfId="22426"/>
    <cellStyle name="Comma 2 4 3 2 3 2 7" xfId="23543"/>
    <cellStyle name="Comma 2 4 3 2 3 3" xfId="1118"/>
    <cellStyle name="Comma 2 4 3 2 3 3 2" xfId="9888"/>
    <cellStyle name="Comma 2 4 3 2 3 3 2 2" xfId="25688"/>
    <cellStyle name="Comma 2 4 3 2 3 3 3" xfId="15547"/>
    <cellStyle name="Comma 2 4 3 2 3 3 3 2" xfId="24562"/>
    <cellStyle name="Comma 2 4 3 2 3 3 4" xfId="8365"/>
    <cellStyle name="Comma 2 4 3 2 3 3 5" xfId="21354"/>
    <cellStyle name="Comma 2 4 3 2 3 3 6" xfId="22427"/>
    <cellStyle name="Comma 2 4 3 2 3 3 7" xfId="23544"/>
    <cellStyle name="Comma 2 4 3 2 3 4" xfId="1119"/>
    <cellStyle name="Comma 2 4 3 2 3 4 2" xfId="9889"/>
    <cellStyle name="Comma 2 4 3 2 3 4 2 2" xfId="25689"/>
    <cellStyle name="Comma 2 4 3 2 3 4 3" xfId="15548"/>
    <cellStyle name="Comma 2 4 3 2 3 4 3 2" xfId="24563"/>
    <cellStyle name="Comma 2 4 3 2 3 4 4" xfId="8366"/>
    <cellStyle name="Comma 2 4 3 2 3 4 5" xfId="21355"/>
    <cellStyle name="Comma 2 4 3 2 3 4 6" xfId="22428"/>
    <cellStyle name="Comma 2 4 3 2 3 4 7" xfId="23545"/>
    <cellStyle name="Comma 2 4 3 2 3 5" xfId="1120"/>
    <cellStyle name="Comma 2 4 3 2 3 5 2" xfId="9890"/>
    <cellStyle name="Comma 2 4 3 2 3 5 2 2" xfId="25690"/>
    <cellStyle name="Comma 2 4 3 2 3 5 3" xfId="15549"/>
    <cellStyle name="Comma 2 4 3 2 3 5 3 2" xfId="24564"/>
    <cellStyle name="Comma 2 4 3 2 3 5 4" xfId="8367"/>
    <cellStyle name="Comma 2 4 3 2 3 5 5" xfId="21356"/>
    <cellStyle name="Comma 2 4 3 2 3 5 6" xfId="22429"/>
    <cellStyle name="Comma 2 4 3 2 3 5 7" xfId="23546"/>
    <cellStyle name="Comma 2 4 3 2 3 6" xfId="1121"/>
    <cellStyle name="Comma 2 4 3 2 3 6 2" xfId="9891"/>
    <cellStyle name="Comma 2 4 3 2 3 6 2 2" xfId="25691"/>
    <cellStyle name="Comma 2 4 3 2 3 6 3" xfId="15550"/>
    <cellStyle name="Comma 2 4 3 2 3 6 3 2" xfId="24565"/>
    <cellStyle name="Comma 2 4 3 2 3 6 4" xfId="8368"/>
    <cellStyle name="Comma 2 4 3 2 3 6 5" xfId="21357"/>
    <cellStyle name="Comma 2 4 3 2 3 6 6" xfId="22430"/>
    <cellStyle name="Comma 2 4 3 2 3 6 7" xfId="23547"/>
    <cellStyle name="Comma 2 4 3 2 3 7" xfId="9091"/>
    <cellStyle name="Comma 2 4 3 2 3 7 2" xfId="25146"/>
    <cellStyle name="Comma 2 4 3 2 3 8" xfId="15545"/>
    <cellStyle name="Comma 2 4 3 2 3 8 2" xfId="24560"/>
    <cellStyle name="Comma 2 4 3 2 3 9" xfId="8363"/>
    <cellStyle name="Comma 2 4 3 2 4" xfId="1122"/>
    <cellStyle name="Comma 2 4 3 2 4 10" xfId="22431"/>
    <cellStyle name="Comma 2 4 3 2 4 11" xfId="23548"/>
    <cellStyle name="Comma 2 4 3 2 4 2" xfId="1123"/>
    <cellStyle name="Comma 2 4 3 2 4 2 2" xfId="9893"/>
    <cellStyle name="Comma 2 4 3 2 4 2 2 2" xfId="25693"/>
    <cellStyle name="Comma 2 4 3 2 4 2 3" xfId="15552"/>
    <cellStyle name="Comma 2 4 3 2 4 2 3 2" xfId="24567"/>
    <cellStyle name="Comma 2 4 3 2 4 2 4" xfId="8370"/>
    <cellStyle name="Comma 2 4 3 2 4 2 5" xfId="21359"/>
    <cellStyle name="Comma 2 4 3 2 4 2 6" xfId="22432"/>
    <cellStyle name="Comma 2 4 3 2 4 2 7" xfId="23549"/>
    <cellStyle name="Comma 2 4 3 2 4 3" xfId="1124"/>
    <cellStyle name="Comma 2 4 3 2 4 3 2" xfId="9894"/>
    <cellStyle name="Comma 2 4 3 2 4 3 2 2" xfId="25694"/>
    <cellStyle name="Comma 2 4 3 2 4 3 3" xfId="15553"/>
    <cellStyle name="Comma 2 4 3 2 4 3 3 2" xfId="24568"/>
    <cellStyle name="Comma 2 4 3 2 4 3 4" xfId="8371"/>
    <cellStyle name="Comma 2 4 3 2 4 3 5" xfId="21360"/>
    <cellStyle name="Comma 2 4 3 2 4 3 6" xfId="22433"/>
    <cellStyle name="Comma 2 4 3 2 4 3 7" xfId="23550"/>
    <cellStyle name="Comma 2 4 3 2 4 4" xfId="1125"/>
    <cellStyle name="Comma 2 4 3 2 4 4 2" xfId="9895"/>
    <cellStyle name="Comma 2 4 3 2 4 4 2 2" xfId="25695"/>
    <cellStyle name="Comma 2 4 3 2 4 4 3" xfId="15554"/>
    <cellStyle name="Comma 2 4 3 2 4 4 3 2" xfId="24569"/>
    <cellStyle name="Comma 2 4 3 2 4 4 4" xfId="8372"/>
    <cellStyle name="Comma 2 4 3 2 4 4 5" xfId="21361"/>
    <cellStyle name="Comma 2 4 3 2 4 4 6" xfId="22434"/>
    <cellStyle name="Comma 2 4 3 2 4 4 7" xfId="23551"/>
    <cellStyle name="Comma 2 4 3 2 4 5" xfId="1126"/>
    <cellStyle name="Comma 2 4 3 2 4 5 2" xfId="9896"/>
    <cellStyle name="Comma 2 4 3 2 4 5 2 2" xfId="25696"/>
    <cellStyle name="Comma 2 4 3 2 4 5 3" xfId="15555"/>
    <cellStyle name="Comma 2 4 3 2 4 5 3 2" xfId="24570"/>
    <cellStyle name="Comma 2 4 3 2 4 5 4" xfId="8373"/>
    <cellStyle name="Comma 2 4 3 2 4 5 5" xfId="21362"/>
    <cellStyle name="Comma 2 4 3 2 4 5 6" xfId="22435"/>
    <cellStyle name="Comma 2 4 3 2 4 5 7" xfId="23552"/>
    <cellStyle name="Comma 2 4 3 2 4 6" xfId="9892"/>
    <cellStyle name="Comma 2 4 3 2 4 6 2" xfId="25692"/>
    <cellStyle name="Comma 2 4 3 2 4 7" xfId="15551"/>
    <cellStyle name="Comma 2 4 3 2 4 7 2" xfId="24566"/>
    <cellStyle name="Comma 2 4 3 2 4 8" xfId="8369"/>
    <cellStyle name="Comma 2 4 3 2 4 9" xfId="21358"/>
    <cellStyle name="Comma 2 4 3 2 5" xfId="1127"/>
    <cellStyle name="Comma 2 4 3 2 5 10" xfId="22436"/>
    <cellStyle name="Comma 2 4 3 2 5 11" xfId="23553"/>
    <cellStyle name="Comma 2 4 3 2 5 2" xfId="1128"/>
    <cellStyle name="Comma 2 4 3 2 5 2 2" xfId="9898"/>
    <cellStyle name="Comma 2 4 3 2 5 2 2 2" xfId="25698"/>
    <cellStyle name="Comma 2 4 3 2 5 2 3" xfId="15557"/>
    <cellStyle name="Comma 2 4 3 2 5 2 3 2" xfId="24572"/>
    <cellStyle name="Comma 2 4 3 2 5 2 4" xfId="8375"/>
    <cellStyle name="Comma 2 4 3 2 5 2 5" xfId="21364"/>
    <cellStyle name="Comma 2 4 3 2 5 2 6" xfId="22437"/>
    <cellStyle name="Comma 2 4 3 2 5 2 7" xfId="23554"/>
    <cellStyle name="Comma 2 4 3 2 5 3" xfId="1129"/>
    <cellStyle name="Comma 2 4 3 2 5 3 2" xfId="9899"/>
    <cellStyle name="Comma 2 4 3 2 5 3 2 2" xfId="25699"/>
    <cellStyle name="Comma 2 4 3 2 5 3 3" xfId="15558"/>
    <cellStyle name="Comma 2 4 3 2 5 3 3 2" xfId="24573"/>
    <cellStyle name="Comma 2 4 3 2 5 3 4" xfId="8376"/>
    <cellStyle name="Comma 2 4 3 2 5 3 5" xfId="21365"/>
    <cellStyle name="Comma 2 4 3 2 5 3 6" xfId="22438"/>
    <cellStyle name="Comma 2 4 3 2 5 3 7" xfId="23555"/>
    <cellStyle name="Comma 2 4 3 2 5 4" xfId="1130"/>
    <cellStyle name="Comma 2 4 3 2 5 4 2" xfId="9900"/>
    <cellStyle name="Comma 2 4 3 2 5 4 2 2" xfId="25700"/>
    <cellStyle name="Comma 2 4 3 2 5 4 3" xfId="15559"/>
    <cellStyle name="Comma 2 4 3 2 5 4 3 2" xfId="24574"/>
    <cellStyle name="Comma 2 4 3 2 5 4 4" xfId="8377"/>
    <cellStyle name="Comma 2 4 3 2 5 4 5" xfId="21366"/>
    <cellStyle name="Comma 2 4 3 2 5 4 6" xfId="22439"/>
    <cellStyle name="Comma 2 4 3 2 5 4 7" xfId="23556"/>
    <cellStyle name="Comma 2 4 3 2 5 5" xfId="1131"/>
    <cellStyle name="Comma 2 4 3 2 5 5 2" xfId="9901"/>
    <cellStyle name="Comma 2 4 3 2 5 5 2 2" xfId="25701"/>
    <cellStyle name="Comma 2 4 3 2 5 5 3" xfId="15560"/>
    <cellStyle name="Comma 2 4 3 2 5 5 3 2" xfId="24575"/>
    <cellStyle name="Comma 2 4 3 2 5 5 4" xfId="8378"/>
    <cellStyle name="Comma 2 4 3 2 5 5 5" xfId="21367"/>
    <cellStyle name="Comma 2 4 3 2 5 5 6" xfId="22440"/>
    <cellStyle name="Comma 2 4 3 2 5 5 7" xfId="23557"/>
    <cellStyle name="Comma 2 4 3 2 5 6" xfId="9897"/>
    <cellStyle name="Comma 2 4 3 2 5 6 2" xfId="25697"/>
    <cellStyle name="Comma 2 4 3 2 5 7" xfId="15556"/>
    <cellStyle name="Comma 2 4 3 2 5 7 2" xfId="24571"/>
    <cellStyle name="Comma 2 4 3 2 5 8" xfId="8374"/>
    <cellStyle name="Comma 2 4 3 2 5 9" xfId="21363"/>
    <cellStyle name="Comma 2 4 3 2 6" xfId="1132"/>
    <cellStyle name="Comma 2 4 3 2 6 2" xfId="9902"/>
    <cellStyle name="Comma 2 4 3 2 6 2 2" xfId="25702"/>
    <cellStyle name="Comma 2 4 3 2 6 3" xfId="15561"/>
    <cellStyle name="Comma 2 4 3 2 6 3 2" xfId="24576"/>
    <cellStyle name="Comma 2 4 3 2 6 4" xfId="8379"/>
    <cellStyle name="Comma 2 4 3 2 6 5" xfId="21368"/>
    <cellStyle name="Comma 2 4 3 2 6 6" xfId="22441"/>
    <cellStyle name="Comma 2 4 3 2 6 7" xfId="23558"/>
    <cellStyle name="Comma 2 4 3 2 7" xfId="1133"/>
    <cellStyle name="Comma 2 4 3 2 7 2" xfId="9903"/>
    <cellStyle name="Comma 2 4 3 2 7 2 2" xfId="25703"/>
    <cellStyle name="Comma 2 4 3 2 7 3" xfId="15562"/>
    <cellStyle name="Comma 2 4 3 2 7 3 2" xfId="24577"/>
    <cellStyle name="Comma 2 4 3 2 7 4" xfId="8380"/>
    <cellStyle name="Comma 2 4 3 2 7 5" xfId="21369"/>
    <cellStyle name="Comma 2 4 3 2 7 6" xfId="22442"/>
    <cellStyle name="Comma 2 4 3 2 7 7" xfId="23559"/>
    <cellStyle name="Comma 2 4 3 2 8" xfId="1134"/>
    <cellStyle name="Comma 2 4 3 2 8 2" xfId="9904"/>
    <cellStyle name="Comma 2 4 3 2 8 2 2" xfId="25704"/>
    <cellStyle name="Comma 2 4 3 2 8 3" xfId="15563"/>
    <cellStyle name="Comma 2 4 3 2 8 3 2" xfId="24578"/>
    <cellStyle name="Comma 2 4 3 2 8 4" xfId="8381"/>
    <cellStyle name="Comma 2 4 3 2 8 5" xfId="21370"/>
    <cellStyle name="Comma 2 4 3 2 8 6" xfId="22443"/>
    <cellStyle name="Comma 2 4 3 2 8 7" xfId="23560"/>
    <cellStyle name="Comma 2 4 3 2 9" xfId="1135"/>
    <cellStyle name="Comma 2 4 3 2 9 2" xfId="9905"/>
    <cellStyle name="Comma 2 4 3 2 9 2 2" xfId="25705"/>
    <cellStyle name="Comma 2 4 3 2 9 3" xfId="15564"/>
    <cellStyle name="Comma 2 4 3 2 9 3 2" xfId="24579"/>
    <cellStyle name="Comma 2 4 3 2 9 4" xfId="8382"/>
    <cellStyle name="Comma 2 4 3 2 9 5" xfId="21371"/>
    <cellStyle name="Comma 2 4 3 2 9 6" xfId="22444"/>
    <cellStyle name="Comma 2 4 3 2 9 7" xfId="23561"/>
    <cellStyle name="Comma 2 4 3 3" xfId="219"/>
    <cellStyle name="Comma 2 4 3 3 10" xfId="15565"/>
    <cellStyle name="Comma 2 4 3 3 10 2" xfId="24580"/>
    <cellStyle name="Comma 2 4 3 3 11" xfId="8383"/>
    <cellStyle name="Comma 2 4 3 3 12" xfId="21372"/>
    <cellStyle name="Comma 2 4 3 3 13" xfId="22445"/>
    <cellStyle name="Comma 2 4 3 3 14" xfId="23005"/>
    <cellStyle name="Comma 2 4 3 3 2" xfId="210"/>
    <cellStyle name="Comma 2 4 3 3 2 10" xfId="21373"/>
    <cellStyle name="Comma 2 4 3 3 2 11" xfId="22446"/>
    <cellStyle name="Comma 2 4 3 3 2 12" xfId="22999"/>
    <cellStyle name="Comma 2 4 3 3 2 2" xfId="1136"/>
    <cellStyle name="Comma 2 4 3 3 2 2 2" xfId="9906"/>
    <cellStyle name="Comma 2 4 3 3 2 2 2 2" xfId="25706"/>
    <cellStyle name="Comma 2 4 3 3 2 2 3" xfId="15567"/>
    <cellStyle name="Comma 2 4 3 3 2 2 3 2" xfId="24582"/>
    <cellStyle name="Comma 2 4 3 3 2 2 4" xfId="8385"/>
    <cellStyle name="Comma 2 4 3 3 2 2 5" xfId="21374"/>
    <cellStyle name="Comma 2 4 3 3 2 2 6" xfId="22447"/>
    <cellStyle name="Comma 2 4 3 3 2 2 7" xfId="23562"/>
    <cellStyle name="Comma 2 4 3 3 2 3" xfId="1137"/>
    <cellStyle name="Comma 2 4 3 3 2 3 2" xfId="9907"/>
    <cellStyle name="Comma 2 4 3 3 2 3 2 2" xfId="25707"/>
    <cellStyle name="Comma 2 4 3 3 2 3 3" xfId="15568"/>
    <cellStyle name="Comma 2 4 3 3 2 3 3 2" xfId="24583"/>
    <cellStyle name="Comma 2 4 3 3 2 3 4" xfId="8386"/>
    <cellStyle name="Comma 2 4 3 3 2 3 5" xfId="21375"/>
    <cellStyle name="Comma 2 4 3 3 2 3 6" xfId="22448"/>
    <cellStyle name="Comma 2 4 3 3 2 3 7" xfId="23563"/>
    <cellStyle name="Comma 2 4 3 3 2 4" xfId="1138"/>
    <cellStyle name="Comma 2 4 3 3 2 4 2" xfId="9908"/>
    <cellStyle name="Comma 2 4 3 3 2 4 2 2" xfId="25708"/>
    <cellStyle name="Comma 2 4 3 3 2 4 3" xfId="15569"/>
    <cellStyle name="Comma 2 4 3 3 2 4 3 2" xfId="24584"/>
    <cellStyle name="Comma 2 4 3 3 2 4 4" xfId="8387"/>
    <cellStyle name="Comma 2 4 3 3 2 4 5" xfId="21376"/>
    <cellStyle name="Comma 2 4 3 3 2 4 6" xfId="22449"/>
    <cellStyle name="Comma 2 4 3 3 2 4 7" xfId="23564"/>
    <cellStyle name="Comma 2 4 3 3 2 5" xfId="1139"/>
    <cellStyle name="Comma 2 4 3 3 2 5 2" xfId="9909"/>
    <cellStyle name="Comma 2 4 3 3 2 5 2 2" xfId="25709"/>
    <cellStyle name="Comma 2 4 3 3 2 5 3" xfId="15570"/>
    <cellStyle name="Comma 2 4 3 3 2 5 3 2" xfId="24585"/>
    <cellStyle name="Comma 2 4 3 3 2 5 4" xfId="8388"/>
    <cellStyle name="Comma 2 4 3 3 2 5 5" xfId="21377"/>
    <cellStyle name="Comma 2 4 3 3 2 5 6" xfId="22450"/>
    <cellStyle name="Comma 2 4 3 3 2 5 7" xfId="23565"/>
    <cellStyle name="Comma 2 4 3 3 2 6" xfId="1140"/>
    <cellStyle name="Comma 2 4 3 3 2 6 2" xfId="9910"/>
    <cellStyle name="Comma 2 4 3 3 2 6 2 2" xfId="25710"/>
    <cellStyle name="Comma 2 4 3 3 2 6 3" xfId="15571"/>
    <cellStyle name="Comma 2 4 3 3 2 6 3 2" xfId="24586"/>
    <cellStyle name="Comma 2 4 3 3 2 6 4" xfId="8389"/>
    <cellStyle name="Comma 2 4 3 3 2 6 5" xfId="21378"/>
    <cellStyle name="Comma 2 4 3 3 2 6 6" xfId="22451"/>
    <cellStyle name="Comma 2 4 3 3 2 6 7" xfId="23566"/>
    <cellStyle name="Comma 2 4 3 3 2 7" xfId="9083"/>
    <cellStyle name="Comma 2 4 3 3 2 7 2" xfId="25138"/>
    <cellStyle name="Comma 2 4 3 3 2 8" xfId="15566"/>
    <cellStyle name="Comma 2 4 3 3 2 8 2" xfId="24581"/>
    <cellStyle name="Comma 2 4 3 3 2 9" xfId="8384"/>
    <cellStyle name="Comma 2 4 3 3 3" xfId="1141"/>
    <cellStyle name="Comma 2 4 3 3 3 10" xfId="22452"/>
    <cellStyle name="Comma 2 4 3 3 3 11" xfId="23567"/>
    <cellStyle name="Comma 2 4 3 3 3 2" xfId="1142"/>
    <cellStyle name="Comma 2 4 3 3 3 2 2" xfId="9912"/>
    <cellStyle name="Comma 2 4 3 3 3 2 2 2" xfId="25712"/>
    <cellStyle name="Comma 2 4 3 3 3 2 3" xfId="15573"/>
    <cellStyle name="Comma 2 4 3 3 3 2 3 2" xfId="24588"/>
    <cellStyle name="Comma 2 4 3 3 3 2 4" xfId="8391"/>
    <cellStyle name="Comma 2 4 3 3 3 2 5" xfId="21380"/>
    <cellStyle name="Comma 2 4 3 3 3 2 6" xfId="22453"/>
    <cellStyle name="Comma 2 4 3 3 3 2 7" xfId="23568"/>
    <cellStyle name="Comma 2 4 3 3 3 3" xfId="1143"/>
    <cellStyle name="Comma 2 4 3 3 3 3 2" xfId="9913"/>
    <cellStyle name="Comma 2 4 3 3 3 3 2 2" xfId="25713"/>
    <cellStyle name="Comma 2 4 3 3 3 3 3" xfId="15574"/>
    <cellStyle name="Comma 2 4 3 3 3 3 3 2" xfId="24589"/>
    <cellStyle name="Comma 2 4 3 3 3 3 4" xfId="8392"/>
    <cellStyle name="Comma 2 4 3 3 3 3 5" xfId="21381"/>
    <cellStyle name="Comma 2 4 3 3 3 3 6" xfId="22454"/>
    <cellStyle name="Comma 2 4 3 3 3 3 7" xfId="23569"/>
    <cellStyle name="Comma 2 4 3 3 3 4" xfId="1144"/>
    <cellStyle name="Comma 2 4 3 3 3 4 2" xfId="9914"/>
    <cellStyle name="Comma 2 4 3 3 3 4 2 2" xfId="25714"/>
    <cellStyle name="Comma 2 4 3 3 3 4 3" xfId="15575"/>
    <cellStyle name="Comma 2 4 3 3 3 4 3 2" xfId="24590"/>
    <cellStyle name="Comma 2 4 3 3 3 4 4" xfId="8393"/>
    <cellStyle name="Comma 2 4 3 3 3 4 5" xfId="21382"/>
    <cellStyle name="Comma 2 4 3 3 3 4 6" xfId="22455"/>
    <cellStyle name="Comma 2 4 3 3 3 4 7" xfId="23570"/>
    <cellStyle name="Comma 2 4 3 3 3 5" xfId="1145"/>
    <cellStyle name="Comma 2 4 3 3 3 5 2" xfId="9915"/>
    <cellStyle name="Comma 2 4 3 3 3 5 2 2" xfId="25715"/>
    <cellStyle name="Comma 2 4 3 3 3 5 3" xfId="15576"/>
    <cellStyle name="Comma 2 4 3 3 3 5 3 2" xfId="24591"/>
    <cellStyle name="Comma 2 4 3 3 3 5 4" xfId="8394"/>
    <cellStyle name="Comma 2 4 3 3 3 5 5" xfId="21383"/>
    <cellStyle name="Comma 2 4 3 3 3 5 6" xfId="22456"/>
    <cellStyle name="Comma 2 4 3 3 3 5 7" xfId="23571"/>
    <cellStyle name="Comma 2 4 3 3 3 6" xfId="9911"/>
    <cellStyle name="Comma 2 4 3 3 3 6 2" xfId="25711"/>
    <cellStyle name="Comma 2 4 3 3 3 7" xfId="15572"/>
    <cellStyle name="Comma 2 4 3 3 3 7 2" xfId="24587"/>
    <cellStyle name="Comma 2 4 3 3 3 8" xfId="8390"/>
    <cellStyle name="Comma 2 4 3 3 3 9" xfId="21379"/>
    <cellStyle name="Comma 2 4 3 3 4" xfId="1146"/>
    <cellStyle name="Comma 2 4 3 3 4 2" xfId="9916"/>
    <cellStyle name="Comma 2 4 3 3 4 2 2" xfId="25716"/>
    <cellStyle name="Comma 2 4 3 3 4 3" xfId="15577"/>
    <cellStyle name="Comma 2 4 3 3 4 3 2" xfId="24592"/>
    <cellStyle name="Comma 2 4 3 3 4 4" xfId="8395"/>
    <cellStyle name="Comma 2 4 3 3 4 5" xfId="21384"/>
    <cellStyle name="Comma 2 4 3 3 4 6" xfId="22457"/>
    <cellStyle name="Comma 2 4 3 3 4 7" xfId="23572"/>
    <cellStyle name="Comma 2 4 3 3 5" xfId="1147"/>
    <cellStyle name="Comma 2 4 3 3 5 2" xfId="9917"/>
    <cellStyle name="Comma 2 4 3 3 5 2 2" xfId="25717"/>
    <cellStyle name="Comma 2 4 3 3 5 3" xfId="15578"/>
    <cellStyle name="Comma 2 4 3 3 5 3 2" xfId="24593"/>
    <cellStyle name="Comma 2 4 3 3 5 4" xfId="8396"/>
    <cellStyle name="Comma 2 4 3 3 5 5" xfId="21385"/>
    <cellStyle name="Comma 2 4 3 3 5 6" xfId="22458"/>
    <cellStyle name="Comma 2 4 3 3 5 7" xfId="23573"/>
    <cellStyle name="Comma 2 4 3 3 6" xfId="1148"/>
    <cellStyle name="Comma 2 4 3 3 6 2" xfId="9918"/>
    <cellStyle name="Comma 2 4 3 3 6 2 2" xfId="25718"/>
    <cellStyle name="Comma 2 4 3 3 6 3" xfId="15579"/>
    <cellStyle name="Comma 2 4 3 3 6 3 2" xfId="24594"/>
    <cellStyle name="Comma 2 4 3 3 6 4" xfId="8397"/>
    <cellStyle name="Comma 2 4 3 3 6 5" xfId="21386"/>
    <cellStyle name="Comma 2 4 3 3 6 6" xfId="22459"/>
    <cellStyle name="Comma 2 4 3 3 6 7" xfId="23574"/>
    <cellStyle name="Comma 2 4 3 3 7" xfId="1149"/>
    <cellStyle name="Comma 2 4 3 3 7 2" xfId="9919"/>
    <cellStyle name="Comma 2 4 3 3 7 2 2" xfId="25719"/>
    <cellStyle name="Comma 2 4 3 3 7 3" xfId="15580"/>
    <cellStyle name="Comma 2 4 3 3 7 3 2" xfId="24595"/>
    <cellStyle name="Comma 2 4 3 3 7 4" xfId="8398"/>
    <cellStyle name="Comma 2 4 3 3 7 5" xfId="21387"/>
    <cellStyle name="Comma 2 4 3 3 7 6" xfId="22460"/>
    <cellStyle name="Comma 2 4 3 3 7 7" xfId="23575"/>
    <cellStyle name="Comma 2 4 3 3 8" xfId="1150"/>
    <cellStyle name="Comma 2 4 3 3 8 2" xfId="9920"/>
    <cellStyle name="Comma 2 4 3 3 8 2 2" xfId="25720"/>
    <cellStyle name="Comma 2 4 3 3 8 3" xfId="15581"/>
    <cellStyle name="Comma 2 4 3 3 8 3 2" xfId="24596"/>
    <cellStyle name="Comma 2 4 3 3 8 4" xfId="8399"/>
    <cellStyle name="Comma 2 4 3 3 8 5" xfId="21388"/>
    <cellStyle name="Comma 2 4 3 3 8 6" xfId="22461"/>
    <cellStyle name="Comma 2 4 3 3 8 7" xfId="23576"/>
    <cellStyle name="Comma 2 4 3 3 9" xfId="9089"/>
    <cellStyle name="Comma 2 4 3 3 9 2" xfId="25144"/>
    <cellStyle name="Comma 2 4 3 4" xfId="241"/>
    <cellStyle name="Comma 2 4 3 4 10" xfId="21389"/>
    <cellStyle name="Comma 2 4 3 4 11" xfId="22462"/>
    <cellStyle name="Comma 2 4 3 4 12" xfId="23019"/>
    <cellStyle name="Comma 2 4 3 4 2" xfId="1151"/>
    <cellStyle name="Comma 2 4 3 4 2 2" xfId="9921"/>
    <cellStyle name="Comma 2 4 3 4 2 2 2" xfId="25721"/>
    <cellStyle name="Comma 2 4 3 4 2 3" xfId="15583"/>
    <cellStyle name="Comma 2 4 3 4 2 3 2" xfId="24598"/>
    <cellStyle name="Comma 2 4 3 4 2 4" xfId="8401"/>
    <cellStyle name="Comma 2 4 3 4 2 5" xfId="21390"/>
    <cellStyle name="Comma 2 4 3 4 2 6" xfId="22463"/>
    <cellStyle name="Comma 2 4 3 4 2 7" xfId="23577"/>
    <cellStyle name="Comma 2 4 3 4 3" xfId="1152"/>
    <cellStyle name="Comma 2 4 3 4 3 2" xfId="9922"/>
    <cellStyle name="Comma 2 4 3 4 3 2 2" xfId="25722"/>
    <cellStyle name="Comma 2 4 3 4 3 3" xfId="15584"/>
    <cellStyle name="Comma 2 4 3 4 3 3 2" xfId="24599"/>
    <cellStyle name="Comma 2 4 3 4 3 4" xfId="8402"/>
    <cellStyle name="Comma 2 4 3 4 3 5" xfId="21391"/>
    <cellStyle name="Comma 2 4 3 4 3 6" xfId="22464"/>
    <cellStyle name="Comma 2 4 3 4 3 7" xfId="23578"/>
    <cellStyle name="Comma 2 4 3 4 4" xfId="1153"/>
    <cellStyle name="Comma 2 4 3 4 4 2" xfId="9923"/>
    <cellStyle name="Comma 2 4 3 4 4 2 2" xfId="25723"/>
    <cellStyle name="Comma 2 4 3 4 4 3" xfId="15585"/>
    <cellStyle name="Comma 2 4 3 4 4 3 2" xfId="24600"/>
    <cellStyle name="Comma 2 4 3 4 4 4" xfId="8403"/>
    <cellStyle name="Comma 2 4 3 4 4 5" xfId="21392"/>
    <cellStyle name="Comma 2 4 3 4 4 6" xfId="22465"/>
    <cellStyle name="Comma 2 4 3 4 4 7" xfId="23579"/>
    <cellStyle name="Comma 2 4 3 4 5" xfId="1154"/>
    <cellStyle name="Comma 2 4 3 4 5 2" xfId="9924"/>
    <cellStyle name="Comma 2 4 3 4 5 2 2" xfId="25724"/>
    <cellStyle name="Comma 2 4 3 4 5 3" xfId="15586"/>
    <cellStyle name="Comma 2 4 3 4 5 3 2" xfId="24601"/>
    <cellStyle name="Comma 2 4 3 4 5 4" xfId="8404"/>
    <cellStyle name="Comma 2 4 3 4 5 5" xfId="21393"/>
    <cellStyle name="Comma 2 4 3 4 5 6" xfId="22466"/>
    <cellStyle name="Comma 2 4 3 4 5 7" xfId="23580"/>
    <cellStyle name="Comma 2 4 3 4 6" xfId="1155"/>
    <cellStyle name="Comma 2 4 3 4 6 2" xfId="9925"/>
    <cellStyle name="Comma 2 4 3 4 6 2 2" xfId="25725"/>
    <cellStyle name="Comma 2 4 3 4 6 3" xfId="15587"/>
    <cellStyle name="Comma 2 4 3 4 6 3 2" xfId="24602"/>
    <cellStyle name="Comma 2 4 3 4 6 4" xfId="8405"/>
    <cellStyle name="Comma 2 4 3 4 6 5" xfId="21394"/>
    <cellStyle name="Comma 2 4 3 4 6 6" xfId="22467"/>
    <cellStyle name="Comma 2 4 3 4 6 7" xfId="23581"/>
    <cellStyle name="Comma 2 4 3 4 7" xfId="9104"/>
    <cellStyle name="Comma 2 4 3 4 7 2" xfId="25158"/>
    <cellStyle name="Comma 2 4 3 4 8" xfId="15582"/>
    <cellStyle name="Comma 2 4 3 4 8 2" xfId="24597"/>
    <cellStyle name="Comma 2 4 3 4 9" xfId="8400"/>
    <cellStyle name="Comma 2 4 3 5" xfId="1156"/>
    <cellStyle name="Comma 2 4 3 5 10" xfId="22468"/>
    <cellStyle name="Comma 2 4 3 5 11" xfId="23582"/>
    <cellStyle name="Comma 2 4 3 5 2" xfId="1157"/>
    <cellStyle name="Comma 2 4 3 5 2 2" xfId="9927"/>
    <cellStyle name="Comma 2 4 3 5 2 2 2" xfId="25727"/>
    <cellStyle name="Comma 2 4 3 5 2 3" xfId="15589"/>
    <cellStyle name="Comma 2 4 3 5 2 3 2" xfId="24604"/>
    <cellStyle name="Comma 2 4 3 5 2 4" xfId="8407"/>
    <cellStyle name="Comma 2 4 3 5 2 5" xfId="21396"/>
    <cellStyle name="Comma 2 4 3 5 2 6" xfId="22469"/>
    <cellStyle name="Comma 2 4 3 5 2 7" xfId="23583"/>
    <cellStyle name="Comma 2 4 3 5 3" xfId="1158"/>
    <cellStyle name="Comma 2 4 3 5 3 2" xfId="9928"/>
    <cellStyle name="Comma 2 4 3 5 3 2 2" xfId="25728"/>
    <cellStyle name="Comma 2 4 3 5 3 3" xfId="15590"/>
    <cellStyle name="Comma 2 4 3 5 3 3 2" xfId="24605"/>
    <cellStyle name="Comma 2 4 3 5 3 4" xfId="8408"/>
    <cellStyle name="Comma 2 4 3 5 3 5" xfId="21397"/>
    <cellStyle name="Comma 2 4 3 5 3 6" xfId="22470"/>
    <cellStyle name="Comma 2 4 3 5 3 7" xfId="23584"/>
    <cellStyle name="Comma 2 4 3 5 4" xfId="1159"/>
    <cellStyle name="Comma 2 4 3 5 4 2" xfId="9929"/>
    <cellStyle name="Comma 2 4 3 5 4 2 2" xfId="25729"/>
    <cellStyle name="Comma 2 4 3 5 4 3" xfId="15591"/>
    <cellStyle name="Comma 2 4 3 5 4 3 2" xfId="24606"/>
    <cellStyle name="Comma 2 4 3 5 4 4" xfId="8409"/>
    <cellStyle name="Comma 2 4 3 5 4 5" xfId="21398"/>
    <cellStyle name="Comma 2 4 3 5 4 6" xfId="22471"/>
    <cellStyle name="Comma 2 4 3 5 4 7" xfId="23585"/>
    <cellStyle name="Comma 2 4 3 5 5" xfId="1160"/>
    <cellStyle name="Comma 2 4 3 5 5 2" xfId="9930"/>
    <cellStyle name="Comma 2 4 3 5 5 2 2" xfId="25730"/>
    <cellStyle name="Comma 2 4 3 5 5 3" xfId="15592"/>
    <cellStyle name="Comma 2 4 3 5 5 3 2" xfId="24607"/>
    <cellStyle name="Comma 2 4 3 5 5 4" xfId="8410"/>
    <cellStyle name="Comma 2 4 3 5 5 5" xfId="21399"/>
    <cellStyle name="Comma 2 4 3 5 5 6" xfId="22472"/>
    <cellStyle name="Comma 2 4 3 5 5 7" xfId="23586"/>
    <cellStyle name="Comma 2 4 3 5 6" xfId="9926"/>
    <cellStyle name="Comma 2 4 3 5 6 2" xfId="25726"/>
    <cellStyle name="Comma 2 4 3 5 7" xfId="15588"/>
    <cellStyle name="Comma 2 4 3 5 7 2" xfId="24603"/>
    <cellStyle name="Comma 2 4 3 5 8" xfId="8406"/>
    <cellStyle name="Comma 2 4 3 5 9" xfId="21395"/>
    <cellStyle name="Comma 2 4 3 6" xfId="1161"/>
    <cellStyle name="Comma 2 4 3 6 10" xfId="22473"/>
    <cellStyle name="Comma 2 4 3 6 11" xfId="23587"/>
    <cellStyle name="Comma 2 4 3 6 2" xfId="1162"/>
    <cellStyle name="Comma 2 4 3 6 2 2" xfId="9932"/>
    <cellStyle name="Comma 2 4 3 6 2 2 2" xfId="25732"/>
    <cellStyle name="Comma 2 4 3 6 2 3" xfId="15594"/>
    <cellStyle name="Comma 2 4 3 6 2 3 2" xfId="24609"/>
    <cellStyle name="Comma 2 4 3 6 2 4" xfId="8412"/>
    <cellStyle name="Comma 2 4 3 6 2 5" xfId="21401"/>
    <cellStyle name="Comma 2 4 3 6 2 6" xfId="22474"/>
    <cellStyle name="Comma 2 4 3 6 2 7" xfId="23588"/>
    <cellStyle name="Comma 2 4 3 6 3" xfId="1163"/>
    <cellStyle name="Comma 2 4 3 6 3 2" xfId="9933"/>
    <cellStyle name="Comma 2 4 3 6 3 2 2" xfId="25733"/>
    <cellStyle name="Comma 2 4 3 6 3 3" xfId="15595"/>
    <cellStyle name="Comma 2 4 3 6 3 3 2" xfId="24610"/>
    <cellStyle name="Comma 2 4 3 6 3 4" xfId="8413"/>
    <cellStyle name="Comma 2 4 3 6 3 5" xfId="21402"/>
    <cellStyle name="Comma 2 4 3 6 3 6" xfId="22475"/>
    <cellStyle name="Comma 2 4 3 6 3 7" xfId="23589"/>
    <cellStyle name="Comma 2 4 3 6 4" xfId="1164"/>
    <cellStyle name="Comma 2 4 3 6 4 2" xfId="9934"/>
    <cellStyle name="Comma 2 4 3 6 4 2 2" xfId="25734"/>
    <cellStyle name="Comma 2 4 3 6 4 3" xfId="15596"/>
    <cellStyle name="Comma 2 4 3 6 4 3 2" xfId="24611"/>
    <cellStyle name="Comma 2 4 3 6 4 4" xfId="8414"/>
    <cellStyle name="Comma 2 4 3 6 4 5" xfId="21403"/>
    <cellStyle name="Comma 2 4 3 6 4 6" xfId="22476"/>
    <cellStyle name="Comma 2 4 3 6 4 7" xfId="23590"/>
    <cellStyle name="Comma 2 4 3 6 5" xfId="1165"/>
    <cellStyle name="Comma 2 4 3 6 5 2" xfId="9935"/>
    <cellStyle name="Comma 2 4 3 6 5 2 2" xfId="25735"/>
    <cellStyle name="Comma 2 4 3 6 5 3" xfId="15597"/>
    <cellStyle name="Comma 2 4 3 6 5 3 2" xfId="24612"/>
    <cellStyle name="Comma 2 4 3 6 5 4" xfId="8415"/>
    <cellStyle name="Comma 2 4 3 6 5 5" xfId="21404"/>
    <cellStyle name="Comma 2 4 3 6 5 6" xfId="22477"/>
    <cellStyle name="Comma 2 4 3 6 5 7" xfId="23591"/>
    <cellStyle name="Comma 2 4 3 6 6" xfId="9931"/>
    <cellStyle name="Comma 2 4 3 6 6 2" xfId="25731"/>
    <cellStyle name="Comma 2 4 3 6 7" xfId="15593"/>
    <cellStyle name="Comma 2 4 3 6 7 2" xfId="24608"/>
    <cellStyle name="Comma 2 4 3 6 8" xfId="8411"/>
    <cellStyle name="Comma 2 4 3 6 9" xfId="21400"/>
    <cellStyle name="Comma 2 4 3 7" xfId="1166"/>
    <cellStyle name="Comma 2 4 3 7 2" xfId="9936"/>
    <cellStyle name="Comma 2 4 3 7 2 2" xfId="25736"/>
    <cellStyle name="Comma 2 4 3 7 3" xfId="15598"/>
    <cellStyle name="Comma 2 4 3 7 3 2" xfId="24613"/>
    <cellStyle name="Comma 2 4 3 7 4" xfId="8416"/>
    <cellStyle name="Comma 2 4 3 7 5" xfId="21405"/>
    <cellStyle name="Comma 2 4 3 7 6" xfId="22478"/>
    <cellStyle name="Comma 2 4 3 7 7" xfId="23592"/>
    <cellStyle name="Comma 2 4 3 8" xfId="1167"/>
    <cellStyle name="Comma 2 4 3 8 2" xfId="9937"/>
    <cellStyle name="Comma 2 4 3 8 2 2" xfId="25737"/>
    <cellStyle name="Comma 2 4 3 8 3" xfId="15599"/>
    <cellStyle name="Comma 2 4 3 8 3 2" xfId="24614"/>
    <cellStyle name="Comma 2 4 3 8 4" xfId="8417"/>
    <cellStyle name="Comma 2 4 3 8 5" xfId="21406"/>
    <cellStyle name="Comma 2 4 3 8 6" xfId="22479"/>
    <cellStyle name="Comma 2 4 3 8 7" xfId="23593"/>
    <cellStyle name="Comma 2 4 3 9" xfId="1168"/>
    <cellStyle name="Comma 2 4 3 9 2" xfId="9938"/>
    <cellStyle name="Comma 2 4 3 9 2 2" xfId="25738"/>
    <cellStyle name="Comma 2 4 3 9 3" xfId="15600"/>
    <cellStyle name="Comma 2 4 3 9 3 2" xfId="24615"/>
    <cellStyle name="Comma 2 4 3 9 4" xfId="8418"/>
    <cellStyle name="Comma 2 4 3 9 5" xfId="21407"/>
    <cellStyle name="Comma 2 4 3 9 6" xfId="22480"/>
    <cellStyle name="Comma 2 4 3 9 7" xfId="23594"/>
    <cellStyle name="Comma 2 4 4" xfId="261"/>
    <cellStyle name="Comma 2 4 4 10" xfId="1169"/>
    <cellStyle name="Comma 2 4 4 10 2" xfId="9939"/>
    <cellStyle name="Comma 2 4 4 10 2 2" xfId="25739"/>
    <cellStyle name="Comma 2 4 4 10 3" xfId="15602"/>
    <cellStyle name="Comma 2 4 4 10 3 2" xfId="24617"/>
    <cellStyle name="Comma 2 4 4 10 4" xfId="8420"/>
    <cellStyle name="Comma 2 4 4 10 5" xfId="21409"/>
    <cellStyle name="Comma 2 4 4 10 6" xfId="22482"/>
    <cellStyle name="Comma 2 4 4 10 7" xfId="23595"/>
    <cellStyle name="Comma 2 4 4 11" xfId="9118"/>
    <cellStyle name="Comma 2 4 4 11 2" xfId="25172"/>
    <cellStyle name="Comma 2 4 4 12" xfId="15601"/>
    <cellStyle name="Comma 2 4 4 12 2" xfId="24616"/>
    <cellStyle name="Comma 2 4 4 13" xfId="8419"/>
    <cellStyle name="Comma 2 4 4 14" xfId="21408"/>
    <cellStyle name="Comma 2 4 4 15" xfId="22481"/>
    <cellStyle name="Comma 2 4 4 16" xfId="23033"/>
    <cellStyle name="Comma 2 4 4 2" xfId="254"/>
    <cellStyle name="Comma 2 4 4 2 10" xfId="15603"/>
    <cellStyle name="Comma 2 4 4 2 10 2" xfId="24618"/>
    <cellStyle name="Comma 2 4 4 2 11" xfId="8421"/>
    <cellStyle name="Comma 2 4 4 2 12" xfId="21410"/>
    <cellStyle name="Comma 2 4 4 2 13" xfId="22483"/>
    <cellStyle name="Comma 2 4 4 2 14" xfId="23028"/>
    <cellStyle name="Comma 2 4 4 2 2" xfId="251"/>
    <cellStyle name="Comma 2 4 4 2 2 10" xfId="21411"/>
    <cellStyle name="Comma 2 4 4 2 2 11" xfId="22484"/>
    <cellStyle name="Comma 2 4 4 2 2 12" xfId="23025"/>
    <cellStyle name="Comma 2 4 4 2 2 2" xfId="1170"/>
    <cellStyle name="Comma 2 4 4 2 2 2 2" xfId="9940"/>
    <cellStyle name="Comma 2 4 4 2 2 2 2 2" xfId="25740"/>
    <cellStyle name="Comma 2 4 4 2 2 2 3" xfId="15605"/>
    <cellStyle name="Comma 2 4 4 2 2 2 3 2" xfId="24620"/>
    <cellStyle name="Comma 2 4 4 2 2 2 4" xfId="8423"/>
    <cellStyle name="Comma 2 4 4 2 2 2 5" xfId="21412"/>
    <cellStyle name="Comma 2 4 4 2 2 2 6" xfId="22485"/>
    <cellStyle name="Comma 2 4 4 2 2 2 7" xfId="23596"/>
    <cellStyle name="Comma 2 4 4 2 2 3" xfId="1171"/>
    <cellStyle name="Comma 2 4 4 2 2 3 2" xfId="9941"/>
    <cellStyle name="Comma 2 4 4 2 2 3 2 2" xfId="25741"/>
    <cellStyle name="Comma 2 4 4 2 2 3 3" xfId="15606"/>
    <cellStyle name="Comma 2 4 4 2 2 3 3 2" xfId="24621"/>
    <cellStyle name="Comma 2 4 4 2 2 3 4" xfId="8424"/>
    <cellStyle name="Comma 2 4 4 2 2 3 5" xfId="21413"/>
    <cellStyle name="Comma 2 4 4 2 2 3 6" xfId="22486"/>
    <cellStyle name="Comma 2 4 4 2 2 3 7" xfId="23597"/>
    <cellStyle name="Comma 2 4 4 2 2 4" xfId="1172"/>
    <cellStyle name="Comma 2 4 4 2 2 4 2" xfId="9942"/>
    <cellStyle name="Comma 2 4 4 2 2 4 2 2" xfId="25742"/>
    <cellStyle name="Comma 2 4 4 2 2 4 3" xfId="15607"/>
    <cellStyle name="Comma 2 4 4 2 2 4 3 2" xfId="24622"/>
    <cellStyle name="Comma 2 4 4 2 2 4 4" xfId="8425"/>
    <cellStyle name="Comma 2 4 4 2 2 4 5" xfId="21414"/>
    <cellStyle name="Comma 2 4 4 2 2 4 6" xfId="22487"/>
    <cellStyle name="Comma 2 4 4 2 2 4 7" xfId="23598"/>
    <cellStyle name="Comma 2 4 4 2 2 5" xfId="1173"/>
    <cellStyle name="Comma 2 4 4 2 2 5 2" xfId="9943"/>
    <cellStyle name="Comma 2 4 4 2 2 5 2 2" xfId="25743"/>
    <cellStyle name="Comma 2 4 4 2 2 5 3" xfId="15608"/>
    <cellStyle name="Comma 2 4 4 2 2 5 3 2" xfId="24623"/>
    <cellStyle name="Comma 2 4 4 2 2 5 4" xfId="8426"/>
    <cellStyle name="Comma 2 4 4 2 2 5 5" xfId="21415"/>
    <cellStyle name="Comma 2 4 4 2 2 5 6" xfId="22488"/>
    <cellStyle name="Comma 2 4 4 2 2 5 7" xfId="23599"/>
    <cellStyle name="Comma 2 4 4 2 2 6" xfId="1174"/>
    <cellStyle name="Comma 2 4 4 2 2 6 2" xfId="9944"/>
    <cellStyle name="Comma 2 4 4 2 2 6 2 2" xfId="25744"/>
    <cellStyle name="Comma 2 4 4 2 2 6 3" xfId="15609"/>
    <cellStyle name="Comma 2 4 4 2 2 6 3 2" xfId="24624"/>
    <cellStyle name="Comma 2 4 4 2 2 6 4" xfId="8427"/>
    <cellStyle name="Comma 2 4 4 2 2 6 5" xfId="21416"/>
    <cellStyle name="Comma 2 4 4 2 2 6 6" xfId="22489"/>
    <cellStyle name="Comma 2 4 4 2 2 6 7" xfId="23600"/>
    <cellStyle name="Comma 2 4 4 2 2 7" xfId="9110"/>
    <cellStyle name="Comma 2 4 4 2 2 7 2" xfId="25164"/>
    <cellStyle name="Comma 2 4 4 2 2 8" xfId="15604"/>
    <cellStyle name="Comma 2 4 4 2 2 8 2" xfId="24619"/>
    <cellStyle name="Comma 2 4 4 2 2 9" xfId="8422"/>
    <cellStyle name="Comma 2 4 4 2 3" xfId="1175"/>
    <cellStyle name="Comma 2 4 4 2 3 10" xfId="22490"/>
    <cellStyle name="Comma 2 4 4 2 3 11" xfId="23601"/>
    <cellStyle name="Comma 2 4 4 2 3 2" xfId="1176"/>
    <cellStyle name="Comma 2 4 4 2 3 2 2" xfId="9946"/>
    <cellStyle name="Comma 2 4 4 2 3 2 2 2" xfId="25746"/>
    <cellStyle name="Comma 2 4 4 2 3 2 3" xfId="15611"/>
    <cellStyle name="Comma 2 4 4 2 3 2 3 2" xfId="24626"/>
    <cellStyle name="Comma 2 4 4 2 3 2 4" xfId="8429"/>
    <cellStyle name="Comma 2 4 4 2 3 2 5" xfId="21418"/>
    <cellStyle name="Comma 2 4 4 2 3 2 6" xfId="22491"/>
    <cellStyle name="Comma 2 4 4 2 3 2 7" xfId="23602"/>
    <cellStyle name="Comma 2 4 4 2 3 3" xfId="1177"/>
    <cellStyle name="Comma 2 4 4 2 3 3 2" xfId="9947"/>
    <cellStyle name="Comma 2 4 4 2 3 3 2 2" xfId="25747"/>
    <cellStyle name="Comma 2 4 4 2 3 3 3" xfId="15612"/>
    <cellStyle name="Comma 2 4 4 2 3 3 3 2" xfId="24627"/>
    <cellStyle name="Comma 2 4 4 2 3 3 4" xfId="8430"/>
    <cellStyle name="Comma 2 4 4 2 3 3 5" xfId="21419"/>
    <cellStyle name="Comma 2 4 4 2 3 3 6" xfId="22492"/>
    <cellStyle name="Comma 2 4 4 2 3 3 7" xfId="23603"/>
    <cellStyle name="Comma 2 4 4 2 3 4" xfId="1178"/>
    <cellStyle name="Comma 2 4 4 2 3 4 2" xfId="9948"/>
    <cellStyle name="Comma 2 4 4 2 3 4 2 2" xfId="25748"/>
    <cellStyle name="Comma 2 4 4 2 3 4 3" xfId="15613"/>
    <cellStyle name="Comma 2 4 4 2 3 4 3 2" xfId="24628"/>
    <cellStyle name="Comma 2 4 4 2 3 4 4" xfId="8431"/>
    <cellStyle name="Comma 2 4 4 2 3 4 5" xfId="21420"/>
    <cellStyle name="Comma 2 4 4 2 3 4 6" xfId="22493"/>
    <cellStyle name="Comma 2 4 4 2 3 4 7" xfId="23604"/>
    <cellStyle name="Comma 2 4 4 2 3 5" xfId="1179"/>
    <cellStyle name="Comma 2 4 4 2 3 5 2" xfId="9949"/>
    <cellStyle name="Comma 2 4 4 2 3 5 2 2" xfId="25749"/>
    <cellStyle name="Comma 2 4 4 2 3 5 3" xfId="15614"/>
    <cellStyle name="Comma 2 4 4 2 3 5 3 2" xfId="24629"/>
    <cellStyle name="Comma 2 4 4 2 3 5 4" xfId="8432"/>
    <cellStyle name="Comma 2 4 4 2 3 5 5" xfId="21421"/>
    <cellStyle name="Comma 2 4 4 2 3 5 6" xfId="22494"/>
    <cellStyle name="Comma 2 4 4 2 3 5 7" xfId="23605"/>
    <cellStyle name="Comma 2 4 4 2 3 6" xfId="9945"/>
    <cellStyle name="Comma 2 4 4 2 3 6 2" xfId="25745"/>
    <cellStyle name="Comma 2 4 4 2 3 7" xfId="15610"/>
    <cellStyle name="Comma 2 4 4 2 3 7 2" xfId="24625"/>
    <cellStyle name="Comma 2 4 4 2 3 8" xfId="8428"/>
    <cellStyle name="Comma 2 4 4 2 3 9" xfId="21417"/>
    <cellStyle name="Comma 2 4 4 2 4" xfId="1180"/>
    <cellStyle name="Comma 2 4 4 2 4 2" xfId="9950"/>
    <cellStyle name="Comma 2 4 4 2 4 2 2" xfId="25750"/>
    <cellStyle name="Comma 2 4 4 2 4 3" xfId="15615"/>
    <cellStyle name="Comma 2 4 4 2 4 3 2" xfId="24630"/>
    <cellStyle name="Comma 2 4 4 2 4 4" xfId="8433"/>
    <cellStyle name="Comma 2 4 4 2 4 5" xfId="21422"/>
    <cellStyle name="Comma 2 4 4 2 4 6" xfId="22495"/>
    <cellStyle name="Comma 2 4 4 2 4 7" xfId="23606"/>
    <cellStyle name="Comma 2 4 4 2 5" xfId="1181"/>
    <cellStyle name="Comma 2 4 4 2 5 2" xfId="9951"/>
    <cellStyle name="Comma 2 4 4 2 5 2 2" xfId="25751"/>
    <cellStyle name="Comma 2 4 4 2 5 3" xfId="15616"/>
    <cellStyle name="Comma 2 4 4 2 5 3 2" xfId="24631"/>
    <cellStyle name="Comma 2 4 4 2 5 4" xfId="8434"/>
    <cellStyle name="Comma 2 4 4 2 5 5" xfId="21423"/>
    <cellStyle name="Comma 2 4 4 2 5 6" xfId="22496"/>
    <cellStyle name="Comma 2 4 4 2 5 7" xfId="23607"/>
    <cellStyle name="Comma 2 4 4 2 6" xfId="1182"/>
    <cellStyle name="Comma 2 4 4 2 6 2" xfId="9952"/>
    <cellStyle name="Comma 2 4 4 2 6 2 2" xfId="25752"/>
    <cellStyle name="Comma 2 4 4 2 6 3" xfId="15617"/>
    <cellStyle name="Comma 2 4 4 2 6 3 2" xfId="24632"/>
    <cellStyle name="Comma 2 4 4 2 6 4" xfId="8435"/>
    <cellStyle name="Comma 2 4 4 2 6 5" xfId="21424"/>
    <cellStyle name="Comma 2 4 4 2 6 6" xfId="22497"/>
    <cellStyle name="Comma 2 4 4 2 6 7" xfId="23608"/>
    <cellStyle name="Comma 2 4 4 2 7" xfId="1183"/>
    <cellStyle name="Comma 2 4 4 2 7 2" xfId="9953"/>
    <cellStyle name="Comma 2 4 4 2 7 2 2" xfId="25753"/>
    <cellStyle name="Comma 2 4 4 2 7 3" xfId="15618"/>
    <cellStyle name="Comma 2 4 4 2 7 3 2" xfId="24633"/>
    <cellStyle name="Comma 2 4 4 2 7 4" xfId="8436"/>
    <cellStyle name="Comma 2 4 4 2 7 5" xfId="21425"/>
    <cellStyle name="Comma 2 4 4 2 7 6" xfId="22498"/>
    <cellStyle name="Comma 2 4 4 2 7 7" xfId="23609"/>
    <cellStyle name="Comma 2 4 4 2 8" xfId="1184"/>
    <cellStyle name="Comma 2 4 4 2 8 2" xfId="9954"/>
    <cellStyle name="Comma 2 4 4 2 8 2 2" xfId="25754"/>
    <cellStyle name="Comma 2 4 4 2 8 3" xfId="15619"/>
    <cellStyle name="Comma 2 4 4 2 8 3 2" xfId="24634"/>
    <cellStyle name="Comma 2 4 4 2 8 4" xfId="8437"/>
    <cellStyle name="Comma 2 4 4 2 8 5" xfId="21426"/>
    <cellStyle name="Comma 2 4 4 2 8 6" xfId="22499"/>
    <cellStyle name="Comma 2 4 4 2 8 7" xfId="23610"/>
    <cellStyle name="Comma 2 4 4 2 9" xfId="9113"/>
    <cellStyle name="Comma 2 4 4 2 9 2" xfId="25167"/>
    <cellStyle name="Comma 2 4 4 3" xfId="239"/>
    <cellStyle name="Comma 2 4 4 3 10" xfId="21427"/>
    <cellStyle name="Comma 2 4 4 3 11" xfId="22500"/>
    <cellStyle name="Comma 2 4 4 3 12" xfId="23017"/>
    <cellStyle name="Comma 2 4 4 3 2" xfId="1185"/>
    <cellStyle name="Comma 2 4 4 3 2 2" xfId="9955"/>
    <cellStyle name="Comma 2 4 4 3 2 2 2" xfId="25755"/>
    <cellStyle name="Comma 2 4 4 3 2 3" xfId="15621"/>
    <cellStyle name="Comma 2 4 4 3 2 3 2" xfId="24636"/>
    <cellStyle name="Comma 2 4 4 3 2 4" xfId="8439"/>
    <cellStyle name="Comma 2 4 4 3 2 5" xfId="21428"/>
    <cellStyle name="Comma 2 4 4 3 2 6" xfId="22501"/>
    <cellStyle name="Comma 2 4 4 3 2 7" xfId="23611"/>
    <cellStyle name="Comma 2 4 4 3 3" xfId="1186"/>
    <cellStyle name="Comma 2 4 4 3 3 2" xfId="9956"/>
    <cellStyle name="Comma 2 4 4 3 3 2 2" xfId="25756"/>
    <cellStyle name="Comma 2 4 4 3 3 3" xfId="15622"/>
    <cellStyle name="Comma 2 4 4 3 3 3 2" xfId="24637"/>
    <cellStyle name="Comma 2 4 4 3 3 4" xfId="8440"/>
    <cellStyle name="Comma 2 4 4 3 3 5" xfId="21429"/>
    <cellStyle name="Comma 2 4 4 3 3 6" xfId="22502"/>
    <cellStyle name="Comma 2 4 4 3 3 7" xfId="23612"/>
    <cellStyle name="Comma 2 4 4 3 4" xfId="1187"/>
    <cellStyle name="Comma 2 4 4 3 4 2" xfId="9957"/>
    <cellStyle name="Comma 2 4 4 3 4 2 2" xfId="25757"/>
    <cellStyle name="Comma 2 4 4 3 4 3" xfId="15623"/>
    <cellStyle name="Comma 2 4 4 3 4 3 2" xfId="24638"/>
    <cellStyle name="Comma 2 4 4 3 4 4" xfId="8441"/>
    <cellStyle name="Comma 2 4 4 3 4 5" xfId="21430"/>
    <cellStyle name="Comma 2 4 4 3 4 6" xfId="22503"/>
    <cellStyle name="Comma 2 4 4 3 4 7" xfId="23613"/>
    <cellStyle name="Comma 2 4 4 3 5" xfId="1188"/>
    <cellStyle name="Comma 2 4 4 3 5 2" xfId="9958"/>
    <cellStyle name="Comma 2 4 4 3 5 2 2" xfId="25758"/>
    <cellStyle name="Comma 2 4 4 3 5 3" xfId="15624"/>
    <cellStyle name="Comma 2 4 4 3 5 3 2" xfId="24639"/>
    <cellStyle name="Comma 2 4 4 3 5 4" xfId="8442"/>
    <cellStyle name="Comma 2 4 4 3 5 5" xfId="21431"/>
    <cellStyle name="Comma 2 4 4 3 5 6" xfId="22504"/>
    <cellStyle name="Comma 2 4 4 3 5 7" xfId="23614"/>
    <cellStyle name="Comma 2 4 4 3 6" xfId="1189"/>
    <cellStyle name="Comma 2 4 4 3 6 2" xfId="9959"/>
    <cellStyle name="Comma 2 4 4 3 6 2 2" xfId="25759"/>
    <cellStyle name="Comma 2 4 4 3 6 3" xfId="15625"/>
    <cellStyle name="Comma 2 4 4 3 6 3 2" xfId="24640"/>
    <cellStyle name="Comma 2 4 4 3 6 4" xfId="8443"/>
    <cellStyle name="Comma 2 4 4 3 6 5" xfId="21432"/>
    <cellStyle name="Comma 2 4 4 3 6 6" xfId="22505"/>
    <cellStyle name="Comma 2 4 4 3 6 7" xfId="23615"/>
    <cellStyle name="Comma 2 4 4 3 7" xfId="9102"/>
    <cellStyle name="Comma 2 4 4 3 7 2" xfId="25156"/>
    <cellStyle name="Comma 2 4 4 3 8" xfId="15620"/>
    <cellStyle name="Comma 2 4 4 3 8 2" xfId="24635"/>
    <cellStyle name="Comma 2 4 4 3 9" xfId="8438"/>
    <cellStyle name="Comma 2 4 4 4" xfId="1190"/>
    <cellStyle name="Comma 2 4 4 4 10" xfId="22506"/>
    <cellStyle name="Comma 2 4 4 4 11" xfId="23616"/>
    <cellStyle name="Comma 2 4 4 4 2" xfId="1191"/>
    <cellStyle name="Comma 2 4 4 4 2 2" xfId="9961"/>
    <cellStyle name="Comma 2 4 4 4 2 2 2" xfId="25761"/>
    <cellStyle name="Comma 2 4 4 4 2 3" xfId="15627"/>
    <cellStyle name="Comma 2 4 4 4 2 3 2" xfId="24642"/>
    <cellStyle name="Comma 2 4 4 4 2 4" xfId="8445"/>
    <cellStyle name="Comma 2 4 4 4 2 5" xfId="21434"/>
    <cellStyle name="Comma 2 4 4 4 2 6" xfId="22507"/>
    <cellStyle name="Comma 2 4 4 4 2 7" xfId="23617"/>
    <cellStyle name="Comma 2 4 4 4 3" xfId="1192"/>
    <cellStyle name="Comma 2 4 4 4 3 2" xfId="9962"/>
    <cellStyle name="Comma 2 4 4 4 3 2 2" xfId="25762"/>
    <cellStyle name="Comma 2 4 4 4 3 3" xfId="15628"/>
    <cellStyle name="Comma 2 4 4 4 3 3 2" xfId="24643"/>
    <cellStyle name="Comma 2 4 4 4 3 4" xfId="8446"/>
    <cellStyle name="Comma 2 4 4 4 3 5" xfId="21435"/>
    <cellStyle name="Comma 2 4 4 4 3 6" xfId="22508"/>
    <cellStyle name="Comma 2 4 4 4 3 7" xfId="23618"/>
    <cellStyle name="Comma 2 4 4 4 4" xfId="1193"/>
    <cellStyle name="Comma 2 4 4 4 4 2" xfId="9963"/>
    <cellStyle name="Comma 2 4 4 4 4 2 2" xfId="25763"/>
    <cellStyle name="Comma 2 4 4 4 4 3" xfId="15629"/>
    <cellStyle name="Comma 2 4 4 4 4 3 2" xfId="24644"/>
    <cellStyle name="Comma 2 4 4 4 4 4" xfId="8447"/>
    <cellStyle name="Comma 2 4 4 4 4 5" xfId="21436"/>
    <cellStyle name="Comma 2 4 4 4 4 6" xfId="22509"/>
    <cellStyle name="Comma 2 4 4 4 4 7" xfId="23619"/>
    <cellStyle name="Comma 2 4 4 4 5" xfId="1194"/>
    <cellStyle name="Comma 2 4 4 4 5 2" xfId="9964"/>
    <cellStyle name="Comma 2 4 4 4 5 2 2" xfId="25764"/>
    <cellStyle name="Comma 2 4 4 4 5 3" xfId="15630"/>
    <cellStyle name="Comma 2 4 4 4 5 3 2" xfId="24645"/>
    <cellStyle name="Comma 2 4 4 4 5 4" xfId="8448"/>
    <cellStyle name="Comma 2 4 4 4 5 5" xfId="21437"/>
    <cellStyle name="Comma 2 4 4 4 5 6" xfId="22510"/>
    <cellStyle name="Comma 2 4 4 4 5 7" xfId="23620"/>
    <cellStyle name="Comma 2 4 4 4 6" xfId="9960"/>
    <cellStyle name="Comma 2 4 4 4 6 2" xfId="25760"/>
    <cellStyle name="Comma 2 4 4 4 7" xfId="15626"/>
    <cellStyle name="Comma 2 4 4 4 7 2" xfId="24641"/>
    <cellStyle name="Comma 2 4 4 4 8" xfId="8444"/>
    <cellStyle name="Comma 2 4 4 4 9" xfId="21433"/>
    <cellStyle name="Comma 2 4 4 5" xfId="1195"/>
    <cellStyle name="Comma 2 4 4 5 10" xfId="22511"/>
    <cellStyle name="Comma 2 4 4 5 11" xfId="23621"/>
    <cellStyle name="Comma 2 4 4 5 2" xfId="1196"/>
    <cellStyle name="Comma 2 4 4 5 2 2" xfId="9966"/>
    <cellStyle name="Comma 2 4 4 5 2 2 2" xfId="25766"/>
    <cellStyle name="Comma 2 4 4 5 2 3" xfId="15632"/>
    <cellStyle name="Comma 2 4 4 5 2 3 2" xfId="24647"/>
    <cellStyle name="Comma 2 4 4 5 2 4" xfId="8450"/>
    <cellStyle name="Comma 2 4 4 5 2 5" xfId="21439"/>
    <cellStyle name="Comma 2 4 4 5 2 6" xfId="22512"/>
    <cellStyle name="Comma 2 4 4 5 2 7" xfId="23622"/>
    <cellStyle name="Comma 2 4 4 5 3" xfId="1197"/>
    <cellStyle name="Comma 2 4 4 5 3 2" xfId="9967"/>
    <cellStyle name="Comma 2 4 4 5 3 2 2" xfId="25767"/>
    <cellStyle name="Comma 2 4 4 5 3 3" xfId="15633"/>
    <cellStyle name="Comma 2 4 4 5 3 3 2" xfId="24648"/>
    <cellStyle name="Comma 2 4 4 5 3 4" xfId="8451"/>
    <cellStyle name="Comma 2 4 4 5 3 5" xfId="21440"/>
    <cellStyle name="Comma 2 4 4 5 3 6" xfId="22513"/>
    <cellStyle name="Comma 2 4 4 5 3 7" xfId="23623"/>
    <cellStyle name="Comma 2 4 4 5 4" xfId="1198"/>
    <cellStyle name="Comma 2 4 4 5 4 2" xfId="9968"/>
    <cellStyle name="Comma 2 4 4 5 4 2 2" xfId="25768"/>
    <cellStyle name="Comma 2 4 4 5 4 3" xfId="15634"/>
    <cellStyle name="Comma 2 4 4 5 4 3 2" xfId="24649"/>
    <cellStyle name="Comma 2 4 4 5 4 4" xfId="8452"/>
    <cellStyle name="Comma 2 4 4 5 4 5" xfId="21441"/>
    <cellStyle name="Comma 2 4 4 5 4 6" xfId="22514"/>
    <cellStyle name="Comma 2 4 4 5 4 7" xfId="23624"/>
    <cellStyle name="Comma 2 4 4 5 5" xfId="1199"/>
    <cellStyle name="Comma 2 4 4 5 5 2" xfId="9969"/>
    <cellStyle name="Comma 2 4 4 5 5 2 2" xfId="25769"/>
    <cellStyle name="Comma 2 4 4 5 5 3" xfId="15635"/>
    <cellStyle name="Comma 2 4 4 5 5 3 2" xfId="24650"/>
    <cellStyle name="Comma 2 4 4 5 5 4" xfId="8453"/>
    <cellStyle name="Comma 2 4 4 5 5 5" xfId="21442"/>
    <cellStyle name="Comma 2 4 4 5 5 6" xfId="22515"/>
    <cellStyle name="Comma 2 4 4 5 5 7" xfId="23625"/>
    <cellStyle name="Comma 2 4 4 5 6" xfId="9965"/>
    <cellStyle name="Comma 2 4 4 5 6 2" xfId="25765"/>
    <cellStyle name="Comma 2 4 4 5 7" xfId="15631"/>
    <cellStyle name="Comma 2 4 4 5 7 2" xfId="24646"/>
    <cellStyle name="Comma 2 4 4 5 8" xfId="8449"/>
    <cellStyle name="Comma 2 4 4 5 9" xfId="21438"/>
    <cellStyle name="Comma 2 4 4 6" xfId="1200"/>
    <cellStyle name="Comma 2 4 4 6 2" xfId="9970"/>
    <cellStyle name="Comma 2 4 4 6 2 2" xfId="25770"/>
    <cellStyle name="Comma 2 4 4 6 3" xfId="15636"/>
    <cellStyle name="Comma 2 4 4 6 3 2" xfId="24651"/>
    <cellStyle name="Comma 2 4 4 6 4" xfId="8454"/>
    <cellStyle name="Comma 2 4 4 6 5" xfId="21443"/>
    <cellStyle name="Comma 2 4 4 6 6" xfId="22516"/>
    <cellStyle name="Comma 2 4 4 6 7" xfId="23626"/>
    <cellStyle name="Comma 2 4 4 7" xfId="1201"/>
    <cellStyle name="Comma 2 4 4 7 2" xfId="9971"/>
    <cellStyle name="Comma 2 4 4 7 2 2" xfId="25771"/>
    <cellStyle name="Comma 2 4 4 7 3" xfId="15637"/>
    <cellStyle name="Comma 2 4 4 7 3 2" xfId="24652"/>
    <cellStyle name="Comma 2 4 4 7 4" xfId="8455"/>
    <cellStyle name="Comma 2 4 4 7 5" xfId="21444"/>
    <cellStyle name="Comma 2 4 4 7 6" xfId="22517"/>
    <cellStyle name="Comma 2 4 4 7 7" xfId="23627"/>
    <cellStyle name="Comma 2 4 4 8" xfId="1202"/>
    <cellStyle name="Comma 2 4 4 8 2" xfId="9972"/>
    <cellStyle name="Comma 2 4 4 8 2 2" xfId="25772"/>
    <cellStyle name="Comma 2 4 4 8 3" xfId="15638"/>
    <cellStyle name="Comma 2 4 4 8 3 2" xfId="24653"/>
    <cellStyle name="Comma 2 4 4 8 4" xfId="8456"/>
    <cellStyle name="Comma 2 4 4 8 5" xfId="21445"/>
    <cellStyle name="Comma 2 4 4 8 6" xfId="22518"/>
    <cellStyle name="Comma 2 4 4 8 7" xfId="23628"/>
    <cellStyle name="Comma 2 4 4 9" xfId="1203"/>
    <cellStyle name="Comma 2 4 4 9 2" xfId="9973"/>
    <cellStyle name="Comma 2 4 4 9 2 2" xfId="25773"/>
    <cellStyle name="Comma 2 4 4 9 3" xfId="15639"/>
    <cellStyle name="Comma 2 4 4 9 3 2" xfId="24654"/>
    <cellStyle name="Comma 2 4 4 9 4" xfId="8457"/>
    <cellStyle name="Comma 2 4 4 9 5" xfId="21446"/>
    <cellStyle name="Comma 2 4 4 9 6" xfId="22519"/>
    <cellStyle name="Comma 2 4 4 9 7" xfId="23629"/>
    <cellStyle name="Comma 2 4 5" xfId="179"/>
    <cellStyle name="Comma 2 4 5 10" xfId="15640"/>
    <cellStyle name="Comma 2 4 5 10 2" xfId="24655"/>
    <cellStyle name="Comma 2 4 5 11" xfId="8458"/>
    <cellStyle name="Comma 2 4 5 12" xfId="21447"/>
    <cellStyle name="Comma 2 4 5 13" xfId="22520"/>
    <cellStyle name="Comma 2 4 5 14" xfId="22980"/>
    <cellStyle name="Comma 2 4 5 2" xfId="218"/>
    <cellStyle name="Comma 2 4 5 2 10" xfId="21448"/>
    <cellStyle name="Comma 2 4 5 2 11" xfId="22521"/>
    <cellStyle name="Comma 2 4 5 2 12" xfId="23004"/>
    <cellStyle name="Comma 2 4 5 2 2" xfId="1204"/>
    <cellStyle name="Comma 2 4 5 2 2 2" xfId="9974"/>
    <cellStyle name="Comma 2 4 5 2 2 2 2" xfId="25774"/>
    <cellStyle name="Comma 2 4 5 2 2 3" xfId="15642"/>
    <cellStyle name="Comma 2 4 5 2 2 3 2" xfId="24657"/>
    <cellStyle name="Comma 2 4 5 2 2 4" xfId="8460"/>
    <cellStyle name="Comma 2 4 5 2 2 5" xfId="21449"/>
    <cellStyle name="Comma 2 4 5 2 2 6" xfId="22522"/>
    <cellStyle name="Comma 2 4 5 2 2 7" xfId="23630"/>
    <cellStyle name="Comma 2 4 5 2 3" xfId="1205"/>
    <cellStyle name="Comma 2 4 5 2 3 2" xfId="9975"/>
    <cellStyle name="Comma 2 4 5 2 3 2 2" xfId="25775"/>
    <cellStyle name="Comma 2 4 5 2 3 3" xfId="15643"/>
    <cellStyle name="Comma 2 4 5 2 3 3 2" xfId="24658"/>
    <cellStyle name="Comma 2 4 5 2 3 4" xfId="8461"/>
    <cellStyle name="Comma 2 4 5 2 3 5" xfId="21450"/>
    <cellStyle name="Comma 2 4 5 2 3 6" xfId="22523"/>
    <cellStyle name="Comma 2 4 5 2 3 7" xfId="23631"/>
    <cellStyle name="Comma 2 4 5 2 4" xfId="1206"/>
    <cellStyle name="Comma 2 4 5 2 4 2" xfId="9976"/>
    <cellStyle name="Comma 2 4 5 2 4 2 2" xfId="25776"/>
    <cellStyle name="Comma 2 4 5 2 4 3" xfId="15644"/>
    <cellStyle name="Comma 2 4 5 2 4 3 2" xfId="24659"/>
    <cellStyle name="Comma 2 4 5 2 4 4" xfId="8462"/>
    <cellStyle name="Comma 2 4 5 2 4 5" xfId="21451"/>
    <cellStyle name="Comma 2 4 5 2 4 6" xfId="22524"/>
    <cellStyle name="Comma 2 4 5 2 4 7" xfId="23632"/>
    <cellStyle name="Comma 2 4 5 2 5" xfId="1207"/>
    <cellStyle name="Comma 2 4 5 2 5 2" xfId="9977"/>
    <cellStyle name="Comma 2 4 5 2 5 2 2" xfId="25777"/>
    <cellStyle name="Comma 2 4 5 2 5 3" xfId="15645"/>
    <cellStyle name="Comma 2 4 5 2 5 3 2" xfId="24660"/>
    <cellStyle name="Comma 2 4 5 2 5 4" xfId="8463"/>
    <cellStyle name="Comma 2 4 5 2 5 5" xfId="21452"/>
    <cellStyle name="Comma 2 4 5 2 5 6" xfId="22525"/>
    <cellStyle name="Comma 2 4 5 2 5 7" xfId="23633"/>
    <cellStyle name="Comma 2 4 5 2 6" xfId="1208"/>
    <cellStyle name="Comma 2 4 5 2 6 2" xfId="9978"/>
    <cellStyle name="Comma 2 4 5 2 6 2 2" xfId="25778"/>
    <cellStyle name="Comma 2 4 5 2 6 3" xfId="15646"/>
    <cellStyle name="Comma 2 4 5 2 6 3 2" xfId="24661"/>
    <cellStyle name="Comma 2 4 5 2 6 4" xfId="8464"/>
    <cellStyle name="Comma 2 4 5 2 6 5" xfId="21453"/>
    <cellStyle name="Comma 2 4 5 2 6 6" xfId="22526"/>
    <cellStyle name="Comma 2 4 5 2 6 7" xfId="23634"/>
    <cellStyle name="Comma 2 4 5 2 7" xfId="9088"/>
    <cellStyle name="Comma 2 4 5 2 7 2" xfId="25143"/>
    <cellStyle name="Comma 2 4 5 2 8" xfId="15641"/>
    <cellStyle name="Comma 2 4 5 2 8 2" xfId="24656"/>
    <cellStyle name="Comma 2 4 5 2 9" xfId="8459"/>
    <cellStyle name="Comma 2 4 5 3" xfId="1209"/>
    <cellStyle name="Comma 2 4 5 3 10" xfId="22527"/>
    <cellStyle name="Comma 2 4 5 3 11" xfId="23635"/>
    <cellStyle name="Comma 2 4 5 3 2" xfId="1210"/>
    <cellStyle name="Comma 2 4 5 3 2 2" xfId="9980"/>
    <cellStyle name="Comma 2 4 5 3 2 2 2" xfId="25780"/>
    <cellStyle name="Comma 2 4 5 3 2 3" xfId="15648"/>
    <cellStyle name="Comma 2 4 5 3 2 3 2" xfId="24663"/>
    <cellStyle name="Comma 2 4 5 3 2 4" xfId="8466"/>
    <cellStyle name="Comma 2 4 5 3 2 5" xfId="21455"/>
    <cellStyle name="Comma 2 4 5 3 2 6" xfId="22528"/>
    <cellStyle name="Comma 2 4 5 3 2 7" xfId="23636"/>
    <cellStyle name="Comma 2 4 5 3 3" xfId="1211"/>
    <cellStyle name="Comma 2 4 5 3 3 2" xfId="9981"/>
    <cellStyle name="Comma 2 4 5 3 3 2 2" xfId="25781"/>
    <cellStyle name="Comma 2 4 5 3 3 3" xfId="15649"/>
    <cellStyle name="Comma 2 4 5 3 3 3 2" xfId="24664"/>
    <cellStyle name="Comma 2 4 5 3 3 4" xfId="8467"/>
    <cellStyle name="Comma 2 4 5 3 3 5" xfId="21456"/>
    <cellStyle name="Comma 2 4 5 3 3 6" xfId="22529"/>
    <cellStyle name="Comma 2 4 5 3 3 7" xfId="23637"/>
    <cellStyle name="Comma 2 4 5 3 4" xfId="1212"/>
    <cellStyle name="Comma 2 4 5 3 4 2" xfId="9982"/>
    <cellStyle name="Comma 2 4 5 3 4 2 2" xfId="25782"/>
    <cellStyle name="Comma 2 4 5 3 4 3" xfId="15650"/>
    <cellStyle name="Comma 2 4 5 3 4 3 2" xfId="24665"/>
    <cellStyle name="Comma 2 4 5 3 4 4" xfId="8468"/>
    <cellStyle name="Comma 2 4 5 3 4 5" xfId="21457"/>
    <cellStyle name="Comma 2 4 5 3 4 6" xfId="22530"/>
    <cellStyle name="Comma 2 4 5 3 4 7" xfId="23638"/>
    <cellStyle name="Comma 2 4 5 3 5" xfId="1213"/>
    <cellStyle name="Comma 2 4 5 3 5 2" xfId="9983"/>
    <cellStyle name="Comma 2 4 5 3 5 2 2" xfId="25783"/>
    <cellStyle name="Comma 2 4 5 3 5 3" xfId="15651"/>
    <cellStyle name="Comma 2 4 5 3 5 3 2" xfId="24666"/>
    <cellStyle name="Comma 2 4 5 3 5 4" xfId="8469"/>
    <cellStyle name="Comma 2 4 5 3 5 5" xfId="21458"/>
    <cellStyle name="Comma 2 4 5 3 5 6" xfId="22531"/>
    <cellStyle name="Comma 2 4 5 3 5 7" xfId="23639"/>
    <cellStyle name="Comma 2 4 5 3 6" xfId="9979"/>
    <cellStyle name="Comma 2 4 5 3 6 2" xfId="25779"/>
    <cellStyle name="Comma 2 4 5 3 7" xfId="15647"/>
    <cellStyle name="Comma 2 4 5 3 7 2" xfId="24662"/>
    <cellStyle name="Comma 2 4 5 3 8" xfId="8465"/>
    <cellStyle name="Comma 2 4 5 3 9" xfId="21454"/>
    <cellStyle name="Comma 2 4 5 4" xfId="1214"/>
    <cellStyle name="Comma 2 4 5 4 2" xfId="9984"/>
    <cellStyle name="Comma 2 4 5 4 2 2" xfId="25784"/>
    <cellStyle name="Comma 2 4 5 4 3" xfId="15652"/>
    <cellStyle name="Comma 2 4 5 4 3 2" xfId="24667"/>
    <cellStyle name="Comma 2 4 5 4 4" xfId="8470"/>
    <cellStyle name="Comma 2 4 5 4 5" xfId="21459"/>
    <cellStyle name="Comma 2 4 5 4 6" xfId="22532"/>
    <cellStyle name="Comma 2 4 5 4 7" xfId="23640"/>
    <cellStyle name="Comma 2 4 5 5" xfId="1215"/>
    <cellStyle name="Comma 2 4 5 5 2" xfId="9985"/>
    <cellStyle name="Comma 2 4 5 5 2 2" xfId="25785"/>
    <cellStyle name="Comma 2 4 5 5 3" xfId="15653"/>
    <cellStyle name="Comma 2 4 5 5 3 2" xfId="24668"/>
    <cellStyle name="Comma 2 4 5 5 4" xfId="8471"/>
    <cellStyle name="Comma 2 4 5 5 5" xfId="21460"/>
    <cellStyle name="Comma 2 4 5 5 6" xfId="22533"/>
    <cellStyle name="Comma 2 4 5 5 7" xfId="23641"/>
    <cellStyle name="Comma 2 4 5 6" xfId="1216"/>
    <cellStyle name="Comma 2 4 5 6 2" xfId="9986"/>
    <cellStyle name="Comma 2 4 5 6 2 2" xfId="25786"/>
    <cellStyle name="Comma 2 4 5 6 3" xfId="15654"/>
    <cellStyle name="Comma 2 4 5 6 3 2" xfId="24669"/>
    <cellStyle name="Comma 2 4 5 6 4" xfId="8472"/>
    <cellStyle name="Comma 2 4 5 6 5" xfId="21461"/>
    <cellStyle name="Comma 2 4 5 6 6" xfId="22534"/>
    <cellStyle name="Comma 2 4 5 6 7" xfId="23642"/>
    <cellStyle name="Comma 2 4 5 7" xfId="1217"/>
    <cellStyle name="Comma 2 4 5 7 2" xfId="9987"/>
    <cellStyle name="Comma 2 4 5 7 2 2" xfId="25787"/>
    <cellStyle name="Comma 2 4 5 7 3" xfId="15655"/>
    <cellStyle name="Comma 2 4 5 7 3 2" xfId="24670"/>
    <cellStyle name="Comma 2 4 5 7 4" xfId="8473"/>
    <cellStyle name="Comma 2 4 5 7 5" xfId="21462"/>
    <cellStyle name="Comma 2 4 5 7 6" xfId="22535"/>
    <cellStyle name="Comma 2 4 5 7 7" xfId="23643"/>
    <cellStyle name="Comma 2 4 5 8" xfId="1218"/>
    <cellStyle name="Comma 2 4 5 8 2" xfId="9988"/>
    <cellStyle name="Comma 2 4 5 8 2 2" xfId="25788"/>
    <cellStyle name="Comma 2 4 5 8 3" xfId="15656"/>
    <cellStyle name="Comma 2 4 5 8 3 2" xfId="24671"/>
    <cellStyle name="Comma 2 4 5 8 4" xfId="8474"/>
    <cellStyle name="Comma 2 4 5 8 5" xfId="21463"/>
    <cellStyle name="Comma 2 4 5 8 6" xfId="22536"/>
    <cellStyle name="Comma 2 4 5 8 7" xfId="23644"/>
    <cellStyle name="Comma 2 4 5 9" xfId="9062"/>
    <cellStyle name="Comma 2 4 5 9 2" xfId="25118"/>
    <cellStyle name="Comma 2 4 6" xfId="209"/>
    <cellStyle name="Comma 2 4 6 10" xfId="21464"/>
    <cellStyle name="Comma 2 4 6 11" xfId="22537"/>
    <cellStyle name="Comma 2 4 6 12" xfId="22998"/>
    <cellStyle name="Comma 2 4 6 2" xfId="1219"/>
    <cellStyle name="Comma 2 4 6 2 2" xfId="9989"/>
    <cellStyle name="Comma 2 4 6 2 2 2" xfId="25789"/>
    <cellStyle name="Comma 2 4 6 2 3" xfId="15658"/>
    <cellStyle name="Comma 2 4 6 2 3 2" xfId="24673"/>
    <cellStyle name="Comma 2 4 6 2 4" xfId="8476"/>
    <cellStyle name="Comma 2 4 6 2 5" xfId="21465"/>
    <cellStyle name="Comma 2 4 6 2 6" xfId="22538"/>
    <cellStyle name="Comma 2 4 6 2 7" xfId="23645"/>
    <cellStyle name="Comma 2 4 6 3" xfId="1220"/>
    <cellStyle name="Comma 2 4 6 3 2" xfId="9990"/>
    <cellStyle name="Comma 2 4 6 3 2 2" xfId="25790"/>
    <cellStyle name="Comma 2 4 6 3 3" xfId="15659"/>
    <cellStyle name="Comma 2 4 6 3 3 2" xfId="24674"/>
    <cellStyle name="Comma 2 4 6 3 4" xfId="8477"/>
    <cellStyle name="Comma 2 4 6 3 5" xfId="21466"/>
    <cellStyle name="Comma 2 4 6 3 6" xfId="22539"/>
    <cellStyle name="Comma 2 4 6 3 7" xfId="23646"/>
    <cellStyle name="Comma 2 4 6 4" xfId="1221"/>
    <cellStyle name="Comma 2 4 6 4 2" xfId="9991"/>
    <cellStyle name="Comma 2 4 6 4 2 2" xfId="25791"/>
    <cellStyle name="Comma 2 4 6 4 3" xfId="15660"/>
    <cellStyle name="Comma 2 4 6 4 3 2" xfId="24675"/>
    <cellStyle name="Comma 2 4 6 4 4" xfId="8478"/>
    <cellStyle name="Comma 2 4 6 4 5" xfId="21467"/>
    <cellStyle name="Comma 2 4 6 4 6" xfId="22540"/>
    <cellStyle name="Comma 2 4 6 4 7" xfId="23647"/>
    <cellStyle name="Comma 2 4 6 5" xfId="1222"/>
    <cellStyle name="Comma 2 4 6 5 2" xfId="9992"/>
    <cellStyle name="Comma 2 4 6 5 2 2" xfId="25792"/>
    <cellStyle name="Comma 2 4 6 5 3" xfId="15661"/>
    <cellStyle name="Comma 2 4 6 5 3 2" xfId="24676"/>
    <cellStyle name="Comma 2 4 6 5 4" xfId="8479"/>
    <cellStyle name="Comma 2 4 6 5 5" xfId="21468"/>
    <cellStyle name="Comma 2 4 6 5 6" xfId="22541"/>
    <cellStyle name="Comma 2 4 6 5 7" xfId="23648"/>
    <cellStyle name="Comma 2 4 6 6" xfId="1223"/>
    <cellStyle name="Comma 2 4 6 6 2" xfId="9993"/>
    <cellStyle name="Comma 2 4 6 6 2 2" xfId="25793"/>
    <cellStyle name="Comma 2 4 6 6 3" xfId="15662"/>
    <cellStyle name="Comma 2 4 6 6 3 2" xfId="24677"/>
    <cellStyle name="Comma 2 4 6 6 4" xfId="8480"/>
    <cellStyle name="Comma 2 4 6 6 5" xfId="21469"/>
    <cellStyle name="Comma 2 4 6 6 6" xfId="22542"/>
    <cellStyle name="Comma 2 4 6 6 7" xfId="23649"/>
    <cellStyle name="Comma 2 4 6 7" xfId="9082"/>
    <cellStyle name="Comma 2 4 6 7 2" xfId="25137"/>
    <cellStyle name="Comma 2 4 6 8" xfId="15657"/>
    <cellStyle name="Comma 2 4 6 8 2" xfId="24672"/>
    <cellStyle name="Comma 2 4 6 9" xfId="8475"/>
    <cellStyle name="Comma 2 4 7" xfId="1224"/>
    <cellStyle name="Comma 2 4 7 10" xfId="22543"/>
    <cellStyle name="Comma 2 4 7 11" xfId="23650"/>
    <cellStyle name="Comma 2 4 7 2" xfId="1225"/>
    <cellStyle name="Comma 2 4 7 2 2" xfId="9995"/>
    <cellStyle name="Comma 2 4 7 2 2 2" xfId="25795"/>
    <cellStyle name="Comma 2 4 7 2 3" xfId="15664"/>
    <cellStyle name="Comma 2 4 7 2 3 2" xfId="24679"/>
    <cellStyle name="Comma 2 4 7 2 4" xfId="8482"/>
    <cellStyle name="Comma 2 4 7 2 5" xfId="21471"/>
    <cellStyle name="Comma 2 4 7 2 6" xfId="22544"/>
    <cellStyle name="Comma 2 4 7 2 7" xfId="23651"/>
    <cellStyle name="Comma 2 4 7 3" xfId="1226"/>
    <cellStyle name="Comma 2 4 7 3 2" xfId="9996"/>
    <cellStyle name="Comma 2 4 7 3 2 2" xfId="25796"/>
    <cellStyle name="Comma 2 4 7 3 3" xfId="15665"/>
    <cellStyle name="Comma 2 4 7 3 3 2" xfId="24680"/>
    <cellStyle name="Comma 2 4 7 3 4" xfId="8483"/>
    <cellStyle name="Comma 2 4 7 3 5" xfId="21472"/>
    <cellStyle name="Comma 2 4 7 3 6" xfId="22545"/>
    <cellStyle name="Comma 2 4 7 3 7" xfId="23652"/>
    <cellStyle name="Comma 2 4 7 4" xfId="1227"/>
    <cellStyle name="Comma 2 4 7 4 2" xfId="9997"/>
    <cellStyle name="Comma 2 4 7 4 2 2" xfId="25797"/>
    <cellStyle name="Comma 2 4 7 4 3" xfId="15666"/>
    <cellStyle name="Comma 2 4 7 4 3 2" xfId="24681"/>
    <cellStyle name="Comma 2 4 7 4 4" xfId="8484"/>
    <cellStyle name="Comma 2 4 7 4 5" xfId="21473"/>
    <cellStyle name="Comma 2 4 7 4 6" xfId="22546"/>
    <cellStyle name="Comma 2 4 7 4 7" xfId="23653"/>
    <cellStyle name="Comma 2 4 7 5" xfId="1228"/>
    <cellStyle name="Comma 2 4 7 5 2" xfId="9998"/>
    <cellStyle name="Comma 2 4 7 5 2 2" xfId="25798"/>
    <cellStyle name="Comma 2 4 7 5 3" xfId="15667"/>
    <cellStyle name="Comma 2 4 7 5 3 2" xfId="24682"/>
    <cellStyle name="Comma 2 4 7 5 4" xfId="8485"/>
    <cellStyle name="Comma 2 4 7 5 5" xfId="21474"/>
    <cellStyle name="Comma 2 4 7 5 6" xfId="22547"/>
    <cellStyle name="Comma 2 4 7 5 7" xfId="23654"/>
    <cellStyle name="Comma 2 4 7 6" xfId="9994"/>
    <cellStyle name="Comma 2 4 7 6 2" xfId="25794"/>
    <cellStyle name="Comma 2 4 7 7" xfId="15663"/>
    <cellStyle name="Comma 2 4 7 7 2" xfId="24678"/>
    <cellStyle name="Comma 2 4 7 8" xfId="8481"/>
    <cellStyle name="Comma 2 4 7 9" xfId="21470"/>
    <cellStyle name="Comma 2 4 8" xfId="1229"/>
    <cellStyle name="Comma 2 4 8 10" xfId="22548"/>
    <cellStyle name="Comma 2 4 8 11" xfId="23655"/>
    <cellStyle name="Comma 2 4 8 2" xfId="1230"/>
    <cellStyle name="Comma 2 4 8 2 2" xfId="10000"/>
    <cellStyle name="Comma 2 4 8 2 2 2" xfId="25800"/>
    <cellStyle name="Comma 2 4 8 2 3" xfId="15669"/>
    <cellStyle name="Comma 2 4 8 2 3 2" xfId="24684"/>
    <cellStyle name="Comma 2 4 8 2 4" xfId="8487"/>
    <cellStyle name="Comma 2 4 8 2 5" xfId="21476"/>
    <cellStyle name="Comma 2 4 8 2 6" xfId="22549"/>
    <cellStyle name="Comma 2 4 8 2 7" xfId="23656"/>
    <cellStyle name="Comma 2 4 8 3" xfId="1231"/>
    <cellStyle name="Comma 2 4 8 3 2" xfId="10001"/>
    <cellStyle name="Comma 2 4 8 3 2 2" xfId="25801"/>
    <cellStyle name="Comma 2 4 8 3 3" xfId="15670"/>
    <cellStyle name="Comma 2 4 8 3 3 2" xfId="24685"/>
    <cellStyle name="Comma 2 4 8 3 4" xfId="8488"/>
    <cellStyle name="Comma 2 4 8 3 5" xfId="21477"/>
    <cellStyle name="Comma 2 4 8 3 6" xfId="22550"/>
    <cellStyle name="Comma 2 4 8 3 7" xfId="23657"/>
    <cellStyle name="Comma 2 4 8 4" xfId="1232"/>
    <cellStyle name="Comma 2 4 8 4 2" xfId="10002"/>
    <cellStyle name="Comma 2 4 8 4 2 2" xfId="25802"/>
    <cellStyle name="Comma 2 4 8 4 3" xfId="15671"/>
    <cellStyle name="Comma 2 4 8 4 3 2" xfId="24686"/>
    <cellStyle name="Comma 2 4 8 4 4" xfId="8489"/>
    <cellStyle name="Comma 2 4 8 4 5" xfId="21478"/>
    <cellStyle name="Comma 2 4 8 4 6" xfId="22551"/>
    <cellStyle name="Comma 2 4 8 4 7" xfId="23658"/>
    <cellStyle name="Comma 2 4 8 5" xfId="1233"/>
    <cellStyle name="Comma 2 4 8 5 2" xfId="10003"/>
    <cellStyle name="Comma 2 4 8 5 2 2" xfId="25803"/>
    <cellStyle name="Comma 2 4 8 5 3" xfId="15672"/>
    <cellStyle name="Comma 2 4 8 5 3 2" xfId="24687"/>
    <cellStyle name="Comma 2 4 8 5 4" xfId="8490"/>
    <cellStyle name="Comma 2 4 8 5 5" xfId="21479"/>
    <cellStyle name="Comma 2 4 8 5 6" xfId="22552"/>
    <cellStyle name="Comma 2 4 8 5 7" xfId="23659"/>
    <cellStyle name="Comma 2 4 8 6" xfId="9999"/>
    <cellStyle name="Comma 2 4 8 6 2" xfId="25799"/>
    <cellStyle name="Comma 2 4 8 7" xfId="15668"/>
    <cellStyle name="Comma 2 4 8 7 2" xfId="24683"/>
    <cellStyle name="Comma 2 4 8 8" xfId="8486"/>
    <cellStyle name="Comma 2 4 8 9" xfId="21475"/>
    <cellStyle name="Comma 2 4 9" xfId="1234"/>
    <cellStyle name="Comma 2 4 9 2" xfId="10004"/>
    <cellStyle name="Comma 2 4 9 2 2" xfId="25804"/>
    <cellStyle name="Comma 2 4 9 3" xfId="15673"/>
    <cellStyle name="Comma 2 4 9 3 2" xfId="24688"/>
    <cellStyle name="Comma 2 4 9 4" xfId="8491"/>
    <cellStyle name="Comma 2 4 9 5" xfId="21480"/>
    <cellStyle name="Comma 2 4 9 6" xfId="22553"/>
    <cellStyle name="Comma 2 4 9 7" xfId="23660"/>
    <cellStyle name="Comma 2 5" xfId="202"/>
    <cellStyle name="Comma 2 5 10" xfId="1235"/>
    <cellStyle name="Comma 2 5 10 2" xfId="10005"/>
    <cellStyle name="Comma 2 5 10 2 2" xfId="25805"/>
    <cellStyle name="Comma 2 5 10 3" xfId="15675"/>
    <cellStyle name="Comma 2 5 10 3 2" xfId="24690"/>
    <cellStyle name="Comma 2 5 10 4" xfId="8493"/>
    <cellStyle name="Comma 2 5 10 5" xfId="21482"/>
    <cellStyle name="Comma 2 5 10 6" xfId="22555"/>
    <cellStyle name="Comma 2 5 10 7" xfId="23661"/>
    <cellStyle name="Comma 2 5 11" xfId="1236"/>
    <cellStyle name="Comma 2 5 11 2" xfId="10006"/>
    <cellStyle name="Comma 2 5 11 2 2" xfId="25806"/>
    <cellStyle name="Comma 2 5 11 3" xfId="15676"/>
    <cellStyle name="Comma 2 5 11 3 2" xfId="24691"/>
    <cellStyle name="Comma 2 5 11 4" xfId="8494"/>
    <cellStyle name="Comma 2 5 11 5" xfId="21483"/>
    <cellStyle name="Comma 2 5 11 6" xfId="22556"/>
    <cellStyle name="Comma 2 5 11 7" xfId="23662"/>
    <cellStyle name="Comma 2 5 12" xfId="1237"/>
    <cellStyle name="Comma 2 5 12 2" xfId="10007"/>
    <cellStyle name="Comma 2 5 12 2 2" xfId="25807"/>
    <cellStyle name="Comma 2 5 12 3" xfId="15677"/>
    <cellStyle name="Comma 2 5 12 3 2" xfId="24692"/>
    <cellStyle name="Comma 2 5 12 4" xfId="8495"/>
    <cellStyle name="Comma 2 5 12 5" xfId="21484"/>
    <cellStyle name="Comma 2 5 12 6" xfId="22557"/>
    <cellStyle name="Comma 2 5 12 7" xfId="23663"/>
    <cellStyle name="Comma 2 5 13" xfId="1238"/>
    <cellStyle name="Comma 2 5 13 2" xfId="10008"/>
    <cellStyle name="Comma 2 5 13 2 2" xfId="25808"/>
    <cellStyle name="Comma 2 5 13 3" xfId="15678"/>
    <cellStyle name="Comma 2 5 13 3 2" xfId="24693"/>
    <cellStyle name="Comma 2 5 13 4" xfId="8496"/>
    <cellStyle name="Comma 2 5 13 5" xfId="21485"/>
    <cellStyle name="Comma 2 5 13 6" xfId="22558"/>
    <cellStyle name="Comma 2 5 13 7" xfId="23664"/>
    <cellStyle name="Comma 2 5 14" xfId="9076"/>
    <cellStyle name="Comma 2 5 14 2" xfId="25131"/>
    <cellStyle name="Comma 2 5 15" xfId="15674"/>
    <cellStyle name="Comma 2 5 15 2" xfId="24689"/>
    <cellStyle name="Comma 2 5 16" xfId="8492"/>
    <cellStyle name="Comma 2 5 17" xfId="21481"/>
    <cellStyle name="Comma 2 5 18" xfId="22554"/>
    <cellStyle name="Comma 2 5 19" xfId="22992"/>
    <cellStyle name="Comma 2 5 2" xfId="270"/>
    <cellStyle name="Comma 2 5 2 10" xfId="1239"/>
    <cellStyle name="Comma 2 5 2 10 2" xfId="10009"/>
    <cellStyle name="Comma 2 5 2 10 2 2" xfId="25809"/>
    <cellStyle name="Comma 2 5 2 10 3" xfId="15680"/>
    <cellStyle name="Comma 2 5 2 10 3 2" xfId="24695"/>
    <cellStyle name="Comma 2 5 2 10 4" xfId="8498"/>
    <cellStyle name="Comma 2 5 2 10 5" xfId="21487"/>
    <cellStyle name="Comma 2 5 2 10 6" xfId="22560"/>
    <cellStyle name="Comma 2 5 2 10 7" xfId="23665"/>
    <cellStyle name="Comma 2 5 2 11" xfId="1240"/>
    <cellStyle name="Comma 2 5 2 11 2" xfId="10010"/>
    <cellStyle name="Comma 2 5 2 11 2 2" xfId="25810"/>
    <cellStyle name="Comma 2 5 2 11 3" xfId="15681"/>
    <cellStyle name="Comma 2 5 2 11 3 2" xfId="24696"/>
    <cellStyle name="Comma 2 5 2 11 4" xfId="8499"/>
    <cellStyle name="Comma 2 5 2 11 5" xfId="21488"/>
    <cellStyle name="Comma 2 5 2 11 6" xfId="22561"/>
    <cellStyle name="Comma 2 5 2 11 7" xfId="23666"/>
    <cellStyle name="Comma 2 5 2 12" xfId="1241"/>
    <cellStyle name="Comma 2 5 2 12 2" xfId="10011"/>
    <cellStyle name="Comma 2 5 2 12 2 2" xfId="25811"/>
    <cellStyle name="Comma 2 5 2 12 3" xfId="15682"/>
    <cellStyle name="Comma 2 5 2 12 3 2" xfId="24697"/>
    <cellStyle name="Comma 2 5 2 12 4" xfId="8500"/>
    <cellStyle name="Comma 2 5 2 12 5" xfId="21489"/>
    <cellStyle name="Comma 2 5 2 12 6" xfId="22562"/>
    <cellStyle name="Comma 2 5 2 12 7" xfId="23667"/>
    <cellStyle name="Comma 2 5 2 13" xfId="9126"/>
    <cellStyle name="Comma 2 5 2 13 2" xfId="25180"/>
    <cellStyle name="Comma 2 5 2 14" xfId="15679"/>
    <cellStyle name="Comma 2 5 2 14 2" xfId="24694"/>
    <cellStyle name="Comma 2 5 2 15" xfId="8497"/>
    <cellStyle name="Comma 2 5 2 16" xfId="21486"/>
    <cellStyle name="Comma 2 5 2 17" xfId="22559"/>
    <cellStyle name="Comma 2 5 2 18" xfId="23041"/>
    <cellStyle name="Comma 2 5 2 2" xfId="178"/>
    <cellStyle name="Comma 2 5 2 2 10" xfId="1242"/>
    <cellStyle name="Comma 2 5 2 2 10 2" xfId="10012"/>
    <cellStyle name="Comma 2 5 2 2 10 2 2" xfId="25812"/>
    <cellStyle name="Comma 2 5 2 2 10 3" xfId="15684"/>
    <cellStyle name="Comma 2 5 2 2 10 3 2" xfId="24699"/>
    <cellStyle name="Comma 2 5 2 2 10 4" xfId="8502"/>
    <cellStyle name="Comma 2 5 2 2 10 5" xfId="21491"/>
    <cellStyle name="Comma 2 5 2 2 10 6" xfId="22564"/>
    <cellStyle name="Comma 2 5 2 2 10 7" xfId="23668"/>
    <cellStyle name="Comma 2 5 2 2 11" xfId="1243"/>
    <cellStyle name="Comma 2 5 2 2 11 2" xfId="10013"/>
    <cellStyle name="Comma 2 5 2 2 11 2 2" xfId="25813"/>
    <cellStyle name="Comma 2 5 2 2 11 3" xfId="15685"/>
    <cellStyle name="Comma 2 5 2 2 11 3 2" xfId="24700"/>
    <cellStyle name="Comma 2 5 2 2 11 4" xfId="8503"/>
    <cellStyle name="Comma 2 5 2 2 11 5" xfId="21492"/>
    <cellStyle name="Comma 2 5 2 2 11 6" xfId="22565"/>
    <cellStyle name="Comma 2 5 2 2 11 7" xfId="23669"/>
    <cellStyle name="Comma 2 5 2 2 12" xfId="9061"/>
    <cellStyle name="Comma 2 5 2 2 12 2" xfId="25117"/>
    <cellStyle name="Comma 2 5 2 2 13" xfId="15683"/>
    <cellStyle name="Comma 2 5 2 2 13 2" xfId="24698"/>
    <cellStyle name="Comma 2 5 2 2 14" xfId="8501"/>
    <cellStyle name="Comma 2 5 2 2 15" xfId="21490"/>
    <cellStyle name="Comma 2 5 2 2 16" xfId="22563"/>
    <cellStyle name="Comma 2 5 2 2 17" xfId="22979"/>
    <cellStyle name="Comma 2 5 2 2 2" xfId="271"/>
    <cellStyle name="Comma 2 5 2 2 2 10" xfId="1244"/>
    <cellStyle name="Comma 2 5 2 2 2 10 2" xfId="10014"/>
    <cellStyle name="Comma 2 5 2 2 2 10 2 2" xfId="25814"/>
    <cellStyle name="Comma 2 5 2 2 2 10 3" xfId="15687"/>
    <cellStyle name="Comma 2 5 2 2 2 10 3 2" xfId="24702"/>
    <cellStyle name="Comma 2 5 2 2 2 10 4" xfId="8505"/>
    <cellStyle name="Comma 2 5 2 2 2 10 5" xfId="21494"/>
    <cellStyle name="Comma 2 5 2 2 2 10 6" xfId="22567"/>
    <cellStyle name="Comma 2 5 2 2 2 10 7" xfId="23670"/>
    <cellStyle name="Comma 2 5 2 2 2 11" xfId="9127"/>
    <cellStyle name="Comma 2 5 2 2 2 11 2" xfId="25181"/>
    <cellStyle name="Comma 2 5 2 2 2 12" xfId="15686"/>
    <cellStyle name="Comma 2 5 2 2 2 12 2" xfId="24701"/>
    <cellStyle name="Comma 2 5 2 2 2 13" xfId="8504"/>
    <cellStyle name="Comma 2 5 2 2 2 14" xfId="21493"/>
    <cellStyle name="Comma 2 5 2 2 2 15" xfId="22566"/>
    <cellStyle name="Comma 2 5 2 2 2 16" xfId="23042"/>
    <cellStyle name="Comma 2 5 2 2 2 2" xfId="272"/>
    <cellStyle name="Comma 2 5 2 2 2 2 10" xfId="15688"/>
    <cellStyle name="Comma 2 5 2 2 2 2 10 2" xfId="24703"/>
    <cellStyle name="Comma 2 5 2 2 2 2 11" xfId="8506"/>
    <cellStyle name="Comma 2 5 2 2 2 2 12" xfId="21495"/>
    <cellStyle name="Comma 2 5 2 2 2 2 13" xfId="22568"/>
    <cellStyle name="Comma 2 5 2 2 2 2 14" xfId="23043"/>
    <cellStyle name="Comma 2 5 2 2 2 2 2" xfId="273"/>
    <cellStyle name="Comma 2 5 2 2 2 2 2 10" xfId="21496"/>
    <cellStyle name="Comma 2 5 2 2 2 2 2 11" xfId="22569"/>
    <cellStyle name="Comma 2 5 2 2 2 2 2 12" xfId="23044"/>
    <cellStyle name="Comma 2 5 2 2 2 2 2 2" xfId="1245"/>
    <cellStyle name="Comma 2 5 2 2 2 2 2 2 2" xfId="10015"/>
    <cellStyle name="Comma 2 5 2 2 2 2 2 2 2 2" xfId="25815"/>
    <cellStyle name="Comma 2 5 2 2 2 2 2 2 3" xfId="15690"/>
    <cellStyle name="Comma 2 5 2 2 2 2 2 2 3 2" xfId="24705"/>
    <cellStyle name="Comma 2 5 2 2 2 2 2 2 4" xfId="8508"/>
    <cellStyle name="Comma 2 5 2 2 2 2 2 2 5" xfId="21497"/>
    <cellStyle name="Comma 2 5 2 2 2 2 2 2 6" xfId="22570"/>
    <cellStyle name="Comma 2 5 2 2 2 2 2 2 7" xfId="23671"/>
    <cellStyle name="Comma 2 5 2 2 2 2 2 3" xfId="1246"/>
    <cellStyle name="Comma 2 5 2 2 2 2 2 3 2" xfId="10016"/>
    <cellStyle name="Comma 2 5 2 2 2 2 2 3 2 2" xfId="25816"/>
    <cellStyle name="Comma 2 5 2 2 2 2 2 3 3" xfId="15691"/>
    <cellStyle name="Comma 2 5 2 2 2 2 2 3 3 2" xfId="24706"/>
    <cellStyle name="Comma 2 5 2 2 2 2 2 3 4" xfId="8509"/>
    <cellStyle name="Comma 2 5 2 2 2 2 2 3 5" xfId="21498"/>
    <cellStyle name="Comma 2 5 2 2 2 2 2 3 6" xfId="22571"/>
    <cellStyle name="Comma 2 5 2 2 2 2 2 3 7" xfId="23672"/>
    <cellStyle name="Comma 2 5 2 2 2 2 2 4" xfId="1247"/>
    <cellStyle name="Comma 2 5 2 2 2 2 2 4 2" xfId="10017"/>
    <cellStyle name="Comma 2 5 2 2 2 2 2 4 2 2" xfId="25817"/>
    <cellStyle name="Comma 2 5 2 2 2 2 2 4 3" xfId="15692"/>
    <cellStyle name="Comma 2 5 2 2 2 2 2 4 3 2" xfId="24707"/>
    <cellStyle name="Comma 2 5 2 2 2 2 2 4 4" xfId="8510"/>
    <cellStyle name="Comma 2 5 2 2 2 2 2 4 5" xfId="21499"/>
    <cellStyle name="Comma 2 5 2 2 2 2 2 4 6" xfId="22572"/>
    <cellStyle name="Comma 2 5 2 2 2 2 2 4 7" xfId="23673"/>
    <cellStyle name="Comma 2 5 2 2 2 2 2 5" xfId="1248"/>
    <cellStyle name="Comma 2 5 2 2 2 2 2 5 2" xfId="10018"/>
    <cellStyle name="Comma 2 5 2 2 2 2 2 5 2 2" xfId="25818"/>
    <cellStyle name="Comma 2 5 2 2 2 2 2 5 3" xfId="15693"/>
    <cellStyle name="Comma 2 5 2 2 2 2 2 5 3 2" xfId="24708"/>
    <cellStyle name="Comma 2 5 2 2 2 2 2 5 4" xfId="8511"/>
    <cellStyle name="Comma 2 5 2 2 2 2 2 5 5" xfId="21500"/>
    <cellStyle name="Comma 2 5 2 2 2 2 2 5 6" xfId="22573"/>
    <cellStyle name="Comma 2 5 2 2 2 2 2 5 7" xfId="23674"/>
    <cellStyle name="Comma 2 5 2 2 2 2 2 6" xfId="1249"/>
    <cellStyle name="Comma 2 5 2 2 2 2 2 6 2" xfId="10019"/>
    <cellStyle name="Comma 2 5 2 2 2 2 2 6 2 2" xfId="25819"/>
    <cellStyle name="Comma 2 5 2 2 2 2 2 6 3" xfId="15694"/>
    <cellStyle name="Comma 2 5 2 2 2 2 2 6 3 2" xfId="24709"/>
    <cellStyle name="Comma 2 5 2 2 2 2 2 6 4" xfId="8512"/>
    <cellStyle name="Comma 2 5 2 2 2 2 2 6 5" xfId="21501"/>
    <cellStyle name="Comma 2 5 2 2 2 2 2 6 6" xfId="22574"/>
    <cellStyle name="Comma 2 5 2 2 2 2 2 6 7" xfId="23675"/>
    <cellStyle name="Comma 2 5 2 2 2 2 2 7" xfId="9129"/>
    <cellStyle name="Comma 2 5 2 2 2 2 2 7 2" xfId="25183"/>
    <cellStyle name="Comma 2 5 2 2 2 2 2 8" xfId="15689"/>
    <cellStyle name="Comma 2 5 2 2 2 2 2 8 2" xfId="24704"/>
    <cellStyle name="Comma 2 5 2 2 2 2 2 9" xfId="8507"/>
    <cellStyle name="Comma 2 5 2 2 2 2 3" xfId="1250"/>
    <cellStyle name="Comma 2 5 2 2 2 2 3 10" xfId="22575"/>
    <cellStyle name="Comma 2 5 2 2 2 2 3 11" xfId="23676"/>
    <cellStyle name="Comma 2 5 2 2 2 2 3 2" xfId="1251"/>
    <cellStyle name="Comma 2 5 2 2 2 2 3 2 2" xfId="10021"/>
    <cellStyle name="Comma 2 5 2 2 2 2 3 2 2 2" xfId="25821"/>
    <cellStyle name="Comma 2 5 2 2 2 2 3 2 3" xfId="15696"/>
    <cellStyle name="Comma 2 5 2 2 2 2 3 2 3 2" xfId="24711"/>
    <cellStyle name="Comma 2 5 2 2 2 2 3 2 4" xfId="8514"/>
    <cellStyle name="Comma 2 5 2 2 2 2 3 2 5" xfId="21503"/>
    <cellStyle name="Comma 2 5 2 2 2 2 3 2 6" xfId="22576"/>
    <cellStyle name="Comma 2 5 2 2 2 2 3 2 7" xfId="23677"/>
    <cellStyle name="Comma 2 5 2 2 2 2 3 3" xfId="1252"/>
    <cellStyle name="Comma 2 5 2 2 2 2 3 3 2" xfId="10022"/>
    <cellStyle name="Comma 2 5 2 2 2 2 3 3 2 2" xfId="25822"/>
    <cellStyle name="Comma 2 5 2 2 2 2 3 3 3" xfId="15697"/>
    <cellStyle name="Comma 2 5 2 2 2 2 3 3 3 2" xfId="24712"/>
    <cellStyle name="Comma 2 5 2 2 2 2 3 3 4" xfId="8515"/>
    <cellStyle name="Comma 2 5 2 2 2 2 3 3 5" xfId="21504"/>
    <cellStyle name="Comma 2 5 2 2 2 2 3 3 6" xfId="22577"/>
    <cellStyle name="Comma 2 5 2 2 2 2 3 3 7" xfId="23678"/>
    <cellStyle name="Comma 2 5 2 2 2 2 3 4" xfId="1253"/>
    <cellStyle name="Comma 2 5 2 2 2 2 3 4 2" xfId="10023"/>
    <cellStyle name="Comma 2 5 2 2 2 2 3 4 2 2" xfId="25823"/>
    <cellStyle name="Comma 2 5 2 2 2 2 3 4 3" xfId="15698"/>
    <cellStyle name="Comma 2 5 2 2 2 2 3 4 3 2" xfId="24713"/>
    <cellStyle name="Comma 2 5 2 2 2 2 3 4 4" xfId="8516"/>
    <cellStyle name="Comma 2 5 2 2 2 2 3 4 5" xfId="21505"/>
    <cellStyle name="Comma 2 5 2 2 2 2 3 4 6" xfId="22578"/>
    <cellStyle name="Comma 2 5 2 2 2 2 3 4 7" xfId="23679"/>
    <cellStyle name="Comma 2 5 2 2 2 2 3 5" xfId="1254"/>
    <cellStyle name="Comma 2 5 2 2 2 2 3 5 2" xfId="10024"/>
    <cellStyle name="Comma 2 5 2 2 2 2 3 5 2 2" xfId="25824"/>
    <cellStyle name="Comma 2 5 2 2 2 2 3 5 3" xfId="15699"/>
    <cellStyle name="Comma 2 5 2 2 2 2 3 5 3 2" xfId="24714"/>
    <cellStyle name="Comma 2 5 2 2 2 2 3 5 4" xfId="8517"/>
    <cellStyle name="Comma 2 5 2 2 2 2 3 5 5" xfId="21506"/>
    <cellStyle name="Comma 2 5 2 2 2 2 3 5 6" xfId="22579"/>
    <cellStyle name="Comma 2 5 2 2 2 2 3 5 7" xfId="23680"/>
    <cellStyle name="Comma 2 5 2 2 2 2 3 6" xfId="10020"/>
    <cellStyle name="Comma 2 5 2 2 2 2 3 6 2" xfId="25820"/>
    <cellStyle name="Comma 2 5 2 2 2 2 3 7" xfId="15695"/>
    <cellStyle name="Comma 2 5 2 2 2 2 3 7 2" xfId="24710"/>
    <cellStyle name="Comma 2 5 2 2 2 2 3 8" xfId="8513"/>
    <cellStyle name="Comma 2 5 2 2 2 2 3 9" xfId="21502"/>
    <cellStyle name="Comma 2 5 2 2 2 2 4" xfId="1255"/>
    <cellStyle name="Comma 2 5 2 2 2 2 4 2" xfId="10025"/>
    <cellStyle name="Comma 2 5 2 2 2 2 4 2 2" xfId="25825"/>
    <cellStyle name="Comma 2 5 2 2 2 2 4 3" xfId="15700"/>
    <cellStyle name="Comma 2 5 2 2 2 2 4 3 2" xfId="24715"/>
    <cellStyle name="Comma 2 5 2 2 2 2 4 4" xfId="8518"/>
    <cellStyle name="Comma 2 5 2 2 2 2 4 5" xfId="21507"/>
    <cellStyle name="Comma 2 5 2 2 2 2 4 6" xfId="22580"/>
    <cellStyle name="Comma 2 5 2 2 2 2 4 7" xfId="23681"/>
    <cellStyle name="Comma 2 5 2 2 2 2 5" xfId="1256"/>
    <cellStyle name="Comma 2 5 2 2 2 2 5 2" xfId="10026"/>
    <cellStyle name="Comma 2 5 2 2 2 2 5 2 2" xfId="25826"/>
    <cellStyle name="Comma 2 5 2 2 2 2 5 3" xfId="15701"/>
    <cellStyle name="Comma 2 5 2 2 2 2 5 3 2" xfId="24716"/>
    <cellStyle name="Comma 2 5 2 2 2 2 5 4" xfId="8519"/>
    <cellStyle name="Comma 2 5 2 2 2 2 5 5" xfId="21508"/>
    <cellStyle name="Comma 2 5 2 2 2 2 5 6" xfId="22581"/>
    <cellStyle name="Comma 2 5 2 2 2 2 5 7" xfId="23682"/>
    <cellStyle name="Comma 2 5 2 2 2 2 6" xfId="1257"/>
    <cellStyle name="Comma 2 5 2 2 2 2 6 2" xfId="10027"/>
    <cellStyle name="Comma 2 5 2 2 2 2 6 2 2" xfId="25827"/>
    <cellStyle name="Comma 2 5 2 2 2 2 6 3" xfId="15702"/>
    <cellStyle name="Comma 2 5 2 2 2 2 6 3 2" xfId="24717"/>
    <cellStyle name="Comma 2 5 2 2 2 2 6 4" xfId="8520"/>
    <cellStyle name="Comma 2 5 2 2 2 2 6 5" xfId="21509"/>
    <cellStyle name="Comma 2 5 2 2 2 2 6 6" xfId="22582"/>
    <cellStyle name="Comma 2 5 2 2 2 2 6 7" xfId="23683"/>
    <cellStyle name="Comma 2 5 2 2 2 2 7" xfId="1258"/>
    <cellStyle name="Comma 2 5 2 2 2 2 7 2" xfId="10028"/>
    <cellStyle name="Comma 2 5 2 2 2 2 7 2 2" xfId="25828"/>
    <cellStyle name="Comma 2 5 2 2 2 2 7 3" xfId="15703"/>
    <cellStyle name="Comma 2 5 2 2 2 2 7 3 2" xfId="24718"/>
    <cellStyle name="Comma 2 5 2 2 2 2 7 4" xfId="8521"/>
    <cellStyle name="Comma 2 5 2 2 2 2 7 5" xfId="21510"/>
    <cellStyle name="Comma 2 5 2 2 2 2 7 6" xfId="22583"/>
    <cellStyle name="Comma 2 5 2 2 2 2 7 7" xfId="23684"/>
    <cellStyle name="Comma 2 5 2 2 2 2 8" xfId="1259"/>
    <cellStyle name="Comma 2 5 2 2 2 2 8 2" xfId="10029"/>
    <cellStyle name="Comma 2 5 2 2 2 2 8 2 2" xfId="25829"/>
    <cellStyle name="Comma 2 5 2 2 2 2 8 3" xfId="15704"/>
    <cellStyle name="Comma 2 5 2 2 2 2 8 3 2" xfId="24719"/>
    <cellStyle name="Comma 2 5 2 2 2 2 8 4" xfId="8522"/>
    <cellStyle name="Comma 2 5 2 2 2 2 8 5" xfId="21511"/>
    <cellStyle name="Comma 2 5 2 2 2 2 8 6" xfId="22584"/>
    <cellStyle name="Comma 2 5 2 2 2 2 8 7" xfId="23685"/>
    <cellStyle name="Comma 2 5 2 2 2 2 9" xfId="9128"/>
    <cellStyle name="Comma 2 5 2 2 2 2 9 2" xfId="25182"/>
    <cellStyle name="Comma 2 5 2 2 2 3" xfId="274"/>
    <cellStyle name="Comma 2 5 2 2 2 3 10" xfId="21512"/>
    <cellStyle name="Comma 2 5 2 2 2 3 11" xfId="22585"/>
    <cellStyle name="Comma 2 5 2 2 2 3 12" xfId="23045"/>
    <cellStyle name="Comma 2 5 2 2 2 3 2" xfId="1260"/>
    <cellStyle name="Comma 2 5 2 2 2 3 2 2" xfId="10030"/>
    <cellStyle name="Comma 2 5 2 2 2 3 2 2 2" xfId="25830"/>
    <cellStyle name="Comma 2 5 2 2 2 3 2 3" xfId="15706"/>
    <cellStyle name="Comma 2 5 2 2 2 3 2 3 2" xfId="24721"/>
    <cellStyle name="Comma 2 5 2 2 2 3 2 4" xfId="8524"/>
    <cellStyle name="Comma 2 5 2 2 2 3 2 5" xfId="21513"/>
    <cellStyle name="Comma 2 5 2 2 2 3 2 6" xfId="22586"/>
    <cellStyle name="Comma 2 5 2 2 2 3 2 7" xfId="23686"/>
    <cellStyle name="Comma 2 5 2 2 2 3 3" xfId="1261"/>
    <cellStyle name="Comma 2 5 2 2 2 3 3 2" xfId="10031"/>
    <cellStyle name="Comma 2 5 2 2 2 3 3 2 2" xfId="25831"/>
    <cellStyle name="Comma 2 5 2 2 2 3 3 3" xfId="15707"/>
    <cellStyle name="Comma 2 5 2 2 2 3 3 3 2" xfId="24722"/>
    <cellStyle name="Comma 2 5 2 2 2 3 3 4" xfId="8525"/>
    <cellStyle name="Comma 2 5 2 2 2 3 3 5" xfId="21514"/>
    <cellStyle name="Comma 2 5 2 2 2 3 3 6" xfId="22587"/>
    <cellStyle name="Comma 2 5 2 2 2 3 3 7" xfId="23687"/>
    <cellStyle name="Comma 2 5 2 2 2 3 4" xfId="1262"/>
    <cellStyle name="Comma 2 5 2 2 2 3 4 2" xfId="10032"/>
    <cellStyle name="Comma 2 5 2 2 2 3 4 2 2" xfId="25832"/>
    <cellStyle name="Comma 2 5 2 2 2 3 4 3" xfId="15708"/>
    <cellStyle name="Comma 2 5 2 2 2 3 4 3 2" xfId="24723"/>
    <cellStyle name="Comma 2 5 2 2 2 3 4 4" xfId="8526"/>
    <cellStyle name="Comma 2 5 2 2 2 3 4 5" xfId="21515"/>
    <cellStyle name="Comma 2 5 2 2 2 3 4 6" xfId="22588"/>
    <cellStyle name="Comma 2 5 2 2 2 3 4 7" xfId="23688"/>
    <cellStyle name="Comma 2 5 2 2 2 3 5" xfId="1263"/>
    <cellStyle name="Comma 2 5 2 2 2 3 5 2" xfId="10033"/>
    <cellStyle name="Comma 2 5 2 2 2 3 5 2 2" xfId="25833"/>
    <cellStyle name="Comma 2 5 2 2 2 3 5 3" xfId="15709"/>
    <cellStyle name="Comma 2 5 2 2 2 3 5 3 2" xfId="24724"/>
    <cellStyle name="Comma 2 5 2 2 2 3 5 4" xfId="8527"/>
    <cellStyle name="Comma 2 5 2 2 2 3 5 5" xfId="21516"/>
    <cellStyle name="Comma 2 5 2 2 2 3 5 6" xfId="22589"/>
    <cellStyle name="Comma 2 5 2 2 2 3 5 7" xfId="23689"/>
    <cellStyle name="Comma 2 5 2 2 2 3 6" xfId="1264"/>
    <cellStyle name="Comma 2 5 2 2 2 3 6 2" xfId="10034"/>
    <cellStyle name="Comma 2 5 2 2 2 3 6 2 2" xfId="25834"/>
    <cellStyle name="Comma 2 5 2 2 2 3 6 3" xfId="15710"/>
    <cellStyle name="Comma 2 5 2 2 2 3 6 3 2" xfId="24725"/>
    <cellStyle name="Comma 2 5 2 2 2 3 6 4" xfId="8528"/>
    <cellStyle name="Comma 2 5 2 2 2 3 6 5" xfId="21517"/>
    <cellStyle name="Comma 2 5 2 2 2 3 6 6" xfId="22590"/>
    <cellStyle name="Comma 2 5 2 2 2 3 6 7" xfId="23690"/>
    <cellStyle name="Comma 2 5 2 2 2 3 7" xfId="9130"/>
    <cellStyle name="Comma 2 5 2 2 2 3 7 2" xfId="25184"/>
    <cellStyle name="Comma 2 5 2 2 2 3 8" xfId="15705"/>
    <cellStyle name="Comma 2 5 2 2 2 3 8 2" xfId="24720"/>
    <cellStyle name="Comma 2 5 2 2 2 3 9" xfId="8523"/>
    <cellStyle name="Comma 2 5 2 2 2 4" xfId="1265"/>
    <cellStyle name="Comma 2 5 2 2 2 4 10" xfId="22591"/>
    <cellStyle name="Comma 2 5 2 2 2 4 11" xfId="23691"/>
    <cellStyle name="Comma 2 5 2 2 2 4 2" xfId="1266"/>
    <cellStyle name="Comma 2 5 2 2 2 4 2 2" xfId="10036"/>
    <cellStyle name="Comma 2 5 2 2 2 4 2 2 2" xfId="25836"/>
    <cellStyle name="Comma 2 5 2 2 2 4 2 3" xfId="15712"/>
    <cellStyle name="Comma 2 5 2 2 2 4 2 3 2" xfId="24727"/>
    <cellStyle name="Comma 2 5 2 2 2 4 2 4" xfId="8530"/>
    <cellStyle name="Comma 2 5 2 2 2 4 2 5" xfId="21519"/>
    <cellStyle name="Comma 2 5 2 2 2 4 2 6" xfId="22592"/>
    <cellStyle name="Comma 2 5 2 2 2 4 2 7" xfId="23692"/>
    <cellStyle name="Comma 2 5 2 2 2 4 3" xfId="1267"/>
    <cellStyle name="Comma 2 5 2 2 2 4 3 2" xfId="10037"/>
    <cellStyle name="Comma 2 5 2 2 2 4 3 2 2" xfId="25837"/>
    <cellStyle name="Comma 2 5 2 2 2 4 3 3" xfId="15713"/>
    <cellStyle name="Comma 2 5 2 2 2 4 3 3 2" xfId="24728"/>
    <cellStyle name="Comma 2 5 2 2 2 4 3 4" xfId="8531"/>
    <cellStyle name="Comma 2 5 2 2 2 4 3 5" xfId="21520"/>
    <cellStyle name="Comma 2 5 2 2 2 4 3 6" xfId="22593"/>
    <cellStyle name="Comma 2 5 2 2 2 4 3 7" xfId="23693"/>
    <cellStyle name="Comma 2 5 2 2 2 4 4" xfId="1268"/>
    <cellStyle name="Comma 2 5 2 2 2 4 4 2" xfId="10038"/>
    <cellStyle name="Comma 2 5 2 2 2 4 4 2 2" xfId="25838"/>
    <cellStyle name="Comma 2 5 2 2 2 4 4 3" xfId="15714"/>
    <cellStyle name="Comma 2 5 2 2 2 4 4 3 2" xfId="24729"/>
    <cellStyle name="Comma 2 5 2 2 2 4 4 4" xfId="8532"/>
    <cellStyle name="Comma 2 5 2 2 2 4 4 5" xfId="21521"/>
    <cellStyle name="Comma 2 5 2 2 2 4 4 6" xfId="22594"/>
    <cellStyle name="Comma 2 5 2 2 2 4 4 7" xfId="23694"/>
    <cellStyle name="Comma 2 5 2 2 2 4 5" xfId="1269"/>
    <cellStyle name="Comma 2 5 2 2 2 4 5 2" xfId="10039"/>
    <cellStyle name="Comma 2 5 2 2 2 4 5 2 2" xfId="25839"/>
    <cellStyle name="Comma 2 5 2 2 2 4 5 3" xfId="15715"/>
    <cellStyle name="Comma 2 5 2 2 2 4 5 3 2" xfId="24730"/>
    <cellStyle name="Comma 2 5 2 2 2 4 5 4" xfId="8533"/>
    <cellStyle name="Comma 2 5 2 2 2 4 5 5" xfId="21522"/>
    <cellStyle name="Comma 2 5 2 2 2 4 5 6" xfId="22595"/>
    <cellStyle name="Comma 2 5 2 2 2 4 5 7" xfId="23695"/>
    <cellStyle name="Comma 2 5 2 2 2 4 6" xfId="10035"/>
    <cellStyle name="Comma 2 5 2 2 2 4 6 2" xfId="25835"/>
    <cellStyle name="Comma 2 5 2 2 2 4 7" xfId="15711"/>
    <cellStyle name="Comma 2 5 2 2 2 4 7 2" xfId="24726"/>
    <cellStyle name="Comma 2 5 2 2 2 4 8" xfId="8529"/>
    <cellStyle name="Comma 2 5 2 2 2 4 9" xfId="21518"/>
    <cellStyle name="Comma 2 5 2 2 2 5" xfId="1270"/>
    <cellStyle name="Comma 2 5 2 2 2 5 10" xfId="22596"/>
    <cellStyle name="Comma 2 5 2 2 2 5 11" xfId="23696"/>
    <cellStyle name="Comma 2 5 2 2 2 5 2" xfId="1271"/>
    <cellStyle name="Comma 2 5 2 2 2 5 2 2" xfId="10041"/>
    <cellStyle name="Comma 2 5 2 2 2 5 2 2 2" xfId="25841"/>
    <cellStyle name="Comma 2 5 2 2 2 5 2 3" xfId="15717"/>
    <cellStyle name="Comma 2 5 2 2 2 5 2 3 2" xfId="24732"/>
    <cellStyle name="Comma 2 5 2 2 2 5 2 4" xfId="8535"/>
    <cellStyle name="Comma 2 5 2 2 2 5 2 5" xfId="21524"/>
    <cellStyle name="Comma 2 5 2 2 2 5 2 6" xfId="22597"/>
    <cellStyle name="Comma 2 5 2 2 2 5 2 7" xfId="23697"/>
    <cellStyle name="Comma 2 5 2 2 2 5 3" xfId="1272"/>
    <cellStyle name="Comma 2 5 2 2 2 5 3 2" xfId="10042"/>
    <cellStyle name="Comma 2 5 2 2 2 5 3 2 2" xfId="25842"/>
    <cellStyle name="Comma 2 5 2 2 2 5 3 3" xfId="15718"/>
    <cellStyle name="Comma 2 5 2 2 2 5 3 3 2" xfId="24733"/>
    <cellStyle name="Comma 2 5 2 2 2 5 3 4" xfId="8536"/>
    <cellStyle name="Comma 2 5 2 2 2 5 3 5" xfId="21525"/>
    <cellStyle name="Comma 2 5 2 2 2 5 3 6" xfId="22598"/>
    <cellStyle name="Comma 2 5 2 2 2 5 3 7" xfId="23698"/>
    <cellStyle name="Comma 2 5 2 2 2 5 4" xfId="1273"/>
    <cellStyle name="Comma 2 5 2 2 2 5 4 2" xfId="10043"/>
    <cellStyle name="Comma 2 5 2 2 2 5 4 2 2" xfId="25843"/>
    <cellStyle name="Comma 2 5 2 2 2 5 4 3" xfId="15719"/>
    <cellStyle name="Comma 2 5 2 2 2 5 4 3 2" xfId="24734"/>
    <cellStyle name="Comma 2 5 2 2 2 5 4 4" xfId="8537"/>
    <cellStyle name="Comma 2 5 2 2 2 5 4 5" xfId="21526"/>
    <cellStyle name="Comma 2 5 2 2 2 5 4 6" xfId="22599"/>
    <cellStyle name="Comma 2 5 2 2 2 5 4 7" xfId="23699"/>
    <cellStyle name="Comma 2 5 2 2 2 5 5" xfId="1274"/>
    <cellStyle name="Comma 2 5 2 2 2 5 5 2" xfId="10044"/>
    <cellStyle name="Comma 2 5 2 2 2 5 5 2 2" xfId="25844"/>
    <cellStyle name="Comma 2 5 2 2 2 5 5 3" xfId="15720"/>
    <cellStyle name="Comma 2 5 2 2 2 5 5 3 2" xfId="24735"/>
    <cellStyle name="Comma 2 5 2 2 2 5 5 4" xfId="8538"/>
    <cellStyle name="Comma 2 5 2 2 2 5 5 5" xfId="21527"/>
    <cellStyle name="Comma 2 5 2 2 2 5 5 6" xfId="22600"/>
    <cellStyle name="Comma 2 5 2 2 2 5 5 7" xfId="23700"/>
    <cellStyle name="Comma 2 5 2 2 2 5 6" xfId="10040"/>
    <cellStyle name="Comma 2 5 2 2 2 5 6 2" xfId="25840"/>
    <cellStyle name="Comma 2 5 2 2 2 5 7" xfId="15716"/>
    <cellStyle name="Comma 2 5 2 2 2 5 7 2" xfId="24731"/>
    <cellStyle name="Comma 2 5 2 2 2 5 8" xfId="8534"/>
    <cellStyle name="Comma 2 5 2 2 2 5 9" xfId="21523"/>
    <cellStyle name="Comma 2 5 2 2 2 6" xfId="1275"/>
    <cellStyle name="Comma 2 5 2 2 2 6 2" xfId="10045"/>
    <cellStyle name="Comma 2 5 2 2 2 6 2 2" xfId="25845"/>
    <cellStyle name="Comma 2 5 2 2 2 6 3" xfId="15721"/>
    <cellStyle name="Comma 2 5 2 2 2 6 3 2" xfId="24736"/>
    <cellStyle name="Comma 2 5 2 2 2 6 4" xfId="8539"/>
    <cellStyle name="Comma 2 5 2 2 2 6 5" xfId="21528"/>
    <cellStyle name="Comma 2 5 2 2 2 6 6" xfId="22601"/>
    <cellStyle name="Comma 2 5 2 2 2 6 7" xfId="23701"/>
    <cellStyle name="Comma 2 5 2 2 2 7" xfId="1276"/>
    <cellStyle name="Comma 2 5 2 2 2 7 2" xfId="10046"/>
    <cellStyle name="Comma 2 5 2 2 2 7 2 2" xfId="25846"/>
    <cellStyle name="Comma 2 5 2 2 2 7 3" xfId="15722"/>
    <cellStyle name="Comma 2 5 2 2 2 7 3 2" xfId="24737"/>
    <cellStyle name="Comma 2 5 2 2 2 7 4" xfId="8540"/>
    <cellStyle name="Comma 2 5 2 2 2 7 5" xfId="21529"/>
    <cellStyle name="Comma 2 5 2 2 2 7 6" xfId="22602"/>
    <cellStyle name="Comma 2 5 2 2 2 7 7" xfId="23702"/>
    <cellStyle name="Comma 2 5 2 2 2 8" xfId="1277"/>
    <cellStyle name="Comma 2 5 2 2 2 8 2" xfId="10047"/>
    <cellStyle name="Comma 2 5 2 2 2 8 2 2" xfId="25847"/>
    <cellStyle name="Comma 2 5 2 2 2 8 3" xfId="15723"/>
    <cellStyle name="Comma 2 5 2 2 2 8 3 2" xfId="24738"/>
    <cellStyle name="Comma 2 5 2 2 2 8 4" xfId="8541"/>
    <cellStyle name="Comma 2 5 2 2 2 8 5" xfId="21530"/>
    <cellStyle name="Comma 2 5 2 2 2 8 6" xfId="22603"/>
    <cellStyle name="Comma 2 5 2 2 2 8 7" xfId="23703"/>
    <cellStyle name="Comma 2 5 2 2 2 9" xfId="1278"/>
    <cellStyle name="Comma 2 5 2 2 2 9 2" xfId="10048"/>
    <cellStyle name="Comma 2 5 2 2 2 9 2 2" xfId="25848"/>
    <cellStyle name="Comma 2 5 2 2 2 9 3" xfId="15724"/>
    <cellStyle name="Comma 2 5 2 2 2 9 3 2" xfId="24739"/>
    <cellStyle name="Comma 2 5 2 2 2 9 4" xfId="8542"/>
    <cellStyle name="Comma 2 5 2 2 2 9 5" xfId="21531"/>
    <cellStyle name="Comma 2 5 2 2 2 9 6" xfId="22604"/>
    <cellStyle name="Comma 2 5 2 2 2 9 7" xfId="23704"/>
    <cellStyle name="Comma 2 5 2 2 3" xfId="275"/>
    <cellStyle name="Comma 2 5 2 2 3 10" xfId="15725"/>
    <cellStyle name="Comma 2 5 2 2 3 10 2" xfId="24740"/>
    <cellStyle name="Comma 2 5 2 2 3 11" xfId="8543"/>
    <cellStyle name="Comma 2 5 2 2 3 12" xfId="21532"/>
    <cellStyle name="Comma 2 5 2 2 3 13" xfId="22605"/>
    <cellStyle name="Comma 2 5 2 2 3 14" xfId="23046"/>
    <cellStyle name="Comma 2 5 2 2 3 2" xfId="276"/>
    <cellStyle name="Comma 2 5 2 2 3 2 10" xfId="21533"/>
    <cellStyle name="Comma 2 5 2 2 3 2 11" xfId="22606"/>
    <cellStyle name="Comma 2 5 2 2 3 2 12" xfId="23047"/>
    <cellStyle name="Comma 2 5 2 2 3 2 2" xfId="1279"/>
    <cellStyle name="Comma 2 5 2 2 3 2 2 2" xfId="10049"/>
    <cellStyle name="Comma 2 5 2 2 3 2 2 2 2" xfId="25849"/>
    <cellStyle name="Comma 2 5 2 2 3 2 2 3" xfId="15727"/>
    <cellStyle name="Comma 2 5 2 2 3 2 2 3 2" xfId="24742"/>
    <cellStyle name="Comma 2 5 2 2 3 2 2 4" xfId="8545"/>
    <cellStyle name="Comma 2 5 2 2 3 2 2 5" xfId="21534"/>
    <cellStyle name="Comma 2 5 2 2 3 2 2 6" xfId="22607"/>
    <cellStyle name="Comma 2 5 2 2 3 2 2 7" xfId="23705"/>
    <cellStyle name="Comma 2 5 2 2 3 2 3" xfId="1280"/>
    <cellStyle name="Comma 2 5 2 2 3 2 3 2" xfId="10050"/>
    <cellStyle name="Comma 2 5 2 2 3 2 3 2 2" xfId="25850"/>
    <cellStyle name="Comma 2 5 2 2 3 2 3 3" xfId="15728"/>
    <cellStyle name="Comma 2 5 2 2 3 2 3 3 2" xfId="24743"/>
    <cellStyle name="Comma 2 5 2 2 3 2 3 4" xfId="8546"/>
    <cellStyle name="Comma 2 5 2 2 3 2 3 5" xfId="21535"/>
    <cellStyle name="Comma 2 5 2 2 3 2 3 6" xfId="22608"/>
    <cellStyle name="Comma 2 5 2 2 3 2 3 7" xfId="23706"/>
    <cellStyle name="Comma 2 5 2 2 3 2 4" xfId="1281"/>
    <cellStyle name="Comma 2 5 2 2 3 2 4 2" xfId="10051"/>
    <cellStyle name="Comma 2 5 2 2 3 2 4 2 2" xfId="25851"/>
    <cellStyle name="Comma 2 5 2 2 3 2 4 3" xfId="15729"/>
    <cellStyle name="Comma 2 5 2 2 3 2 4 3 2" xfId="24744"/>
    <cellStyle name="Comma 2 5 2 2 3 2 4 4" xfId="8547"/>
    <cellStyle name="Comma 2 5 2 2 3 2 4 5" xfId="21536"/>
    <cellStyle name="Comma 2 5 2 2 3 2 4 6" xfId="22609"/>
    <cellStyle name="Comma 2 5 2 2 3 2 4 7" xfId="23707"/>
    <cellStyle name="Comma 2 5 2 2 3 2 5" xfId="1282"/>
    <cellStyle name="Comma 2 5 2 2 3 2 5 2" xfId="10052"/>
    <cellStyle name="Comma 2 5 2 2 3 2 5 2 2" xfId="25852"/>
    <cellStyle name="Comma 2 5 2 2 3 2 5 3" xfId="15730"/>
    <cellStyle name="Comma 2 5 2 2 3 2 5 3 2" xfId="24745"/>
    <cellStyle name="Comma 2 5 2 2 3 2 5 4" xfId="8548"/>
    <cellStyle name="Comma 2 5 2 2 3 2 5 5" xfId="21537"/>
    <cellStyle name="Comma 2 5 2 2 3 2 5 6" xfId="22610"/>
    <cellStyle name="Comma 2 5 2 2 3 2 5 7" xfId="23708"/>
    <cellStyle name="Comma 2 5 2 2 3 2 6" xfId="1283"/>
    <cellStyle name="Comma 2 5 2 2 3 2 6 2" xfId="10053"/>
    <cellStyle name="Comma 2 5 2 2 3 2 6 2 2" xfId="25853"/>
    <cellStyle name="Comma 2 5 2 2 3 2 6 3" xfId="15731"/>
    <cellStyle name="Comma 2 5 2 2 3 2 6 3 2" xfId="24746"/>
    <cellStyle name="Comma 2 5 2 2 3 2 6 4" xfId="8549"/>
    <cellStyle name="Comma 2 5 2 2 3 2 6 5" xfId="21538"/>
    <cellStyle name="Comma 2 5 2 2 3 2 6 6" xfId="22611"/>
    <cellStyle name="Comma 2 5 2 2 3 2 6 7" xfId="23709"/>
    <cellStyle name="Comma 2 5 2 2 3 2 7" xfId="9132"/>
    <cellStyle name="Comma 2 5 2 2 3 2 7 2" xfId="25186"/>
    <cellStyle name="Comma 2 5 2 2 3 2 8" xfId="15726"/>
    <cellStyle name="Comma 2 5 2 2 3 2 8 2" xfId="24741"/>
    <cellStyle name="Comma 2 5 2 2 3 2 9" xfId="8544"/>
    <cellStyle name="Comma 2 5 2 2 3 3" xfId="1284"/>
    <cellStyle name="Comma 2 5 2 2 3 3 10" xfId="22612"/>
    <cellStyle name="Comma 2 5 2 2 3 3 11" xfId="23710"/>
    <cellStyle name="Comma 2 5 2 2 3 3 2" xfId="1285"/>
    <cellStyle name="Comma 2 5 2 2 3 3 2 2" xfId="10055"/>
    <cellStyle name="Comma 2 5 2 2 3 3 2 2 2" xfId="25855"/>
    <cellStyle name="Comma 2 5 2 2 3 3 2 3" xfId="15733"/>
    <cellStyle name="Comma 2 5 2 2 3 3 2 3 2" xfId="24748"/>
    <cellStyle name="Comma 2 5 2 2 3 3 2 4" xfId="8551"/>
    <cellStyle name="Comma 2 5 2 2 3 3 2 5" xfId="21540"/>
    <cellStyle name="Comma 2 5 2 2 3 3 2 6" xfId="22613"/>
    <cellStyle name="Comma 2 5 2 2 3 3 2 7" xfId="23711"/>
    <cellStyle name="Comma 2 5 2 2 3 3 3" xfId="1286"/>
    <cellStyle name="Comma 2 5 2 2 3 3 3 2" xfId="10056"/>
    <cellStyle name="Comma 2 5 2 2 3 3 3 2 2" xfId="25856"/>
    <cellStyle name="Comma 2 5 2 2 3 3 3 3" xfId="15734"/>
    <cellStyle name="Comma 2 5 2 2 3 3 3 3 2" xfId="24749"/>
    <cellStyle name="Comma 2 5 2 2 3 3 3 4" xfId="8552"/>
    <cellStyle name="Comma 2 5 2 2 3 3 3 5" xfId="21541"/>
    <cellStyle name="Comma 2 5 2 2 3 3 3 6" xfId="22614"/>
    <cellStyle name="Comma 2 5 2 2 3 3 3 7" xfId="23712"/>
    <cellStyle name="Comma 2 5 2 2 3 3 4" xfId="1287"/>
    <cellStyle name="Comma 2 5 2 2 3 3 4 2" xfId="10057"/>
    <cellStyle name="Comma 2 5 2 2 3 3 4 2 2" xfId="25857"/>
    <cellStyle name="Comma 2 5 2 2 3 3 4 3" xfId="15735"/>
    <cellStyle name="Comma 2 5 2 2 3 3 4 3 2" xfId="24750"/>
    <cellStyle name="Comma 2 5 2 2 3 3 4 4" xfId="8553"/>
    <cellStyle name="Comma 2 5 2 2 3 3 4 5" xfId="21542"/>
    <cellStyle name="Comma 2 5 2 2 3 3 4 6" xfId="22615"/>
    <cellStyle name="Comma 2 5 2 2 3 3 4 7" xfId="23713"/>
    <cellStyle name="Comma 2 5 2 2 3 3 5" xfId="1288"/>
    <cellStyle name="Comma 2 5 2 2 3 3 5 2" xfId="10058"/>
    <cellStyle name="Comma 2 5 2 2 3 3 5 2 2" xfId="25858"/>
    <cellStyle name="Comma 2 5 2 2 3 3 5 3" xfId="15736"/>
    <cellStyle name="Comma 2 5 2 2 3 3 5 3 2" xfId="24751"/>
    <cellStyle name="Comma 2 5 2 2 3 3 5 4" xfId="8554"/>
    <cellStyle name="Comma 2 5 2 2 3 3 5 5" xfId="21543"/>
    <cellStyle name="Comma 2 5 2 2 3 3 5 6" xfId="22616"/>
    <cellStyle name="Comma 2 5 2 2 3 3 5 7" xfId="23714"/>
    <cellStyle name="Comma 2 5 2 2 3 3 6" xfId="10054"/>
    <cellStyle name="Comma 2 5 2 2 3 3 6 2" xfId="25854"/>
    <cellStyle name="Comma 2 5 2 2 3 3 7" xfId="15732"/>
    <cellStyle name="Comma 2 5 2 2 3 3 7 2" xfId="24747"/>
    <cellStyle name="Comma 2 5 2 2 3 3 8" xfId="8550"/>
    <cellStyle name="Comma 2 5 2 2 3 3 9" xfId="21539"/>
    <cellStyle name="Comma 2 5 2 2 3 4" xfId="1289"/>
    <cellStyle name="Comma 2 5 2 2 3 4 2" xfId="10059"/>
    <cellStyle name="Comma 2 5 2 2 3 4 2 2" xfId="25859"/>
    <cellStyle name="Comma 2 5 2 2 3 4 3" xfId="15737"/>
    <cellStyle name="Comma 2 5 2 2 3 4 3 2" xfId="24752"/>
    <cellStyle name="Comma 2 5 2 2 3 4 4" xfId="8555"/>
    <cellStyle name="Comma 2 5 2 2 3 4 5" xfId="21544"/>
    <cellStyle name="Comma 2 5 2 2 3 4 6" xfId="22617"/>
    <cellStyle name="Comma 2 5 2 2 3 4 7" xfId="23715"/>
    <cellStyle name="Comma 2 5 2 2 3 5" xfId="1290"/>
    <cellStyle name="Comma 2 5 2 2 3 5 2" xfId="10060"/>
    <cellStyle name="Comma 2 5 2 2 3 5 2 2" xfId="25860"/>
    <cellStyle name="Comma 2 5 2 2 3 5 3" xfId="15738"/>
    <cellStyle name="Comma 2 5 2 2 3 5 3 2" xfId="24753"/>
    <cellStyle name="Comma 2 5 2 2 3 5 4" xfId="8556"/>
    <cellStyle name="Comma 2 5 2 2 3 5 5" xfId="21545"/>
    <cellStyle name="Comma 2 5 2 2 3 5 6" xfId="22618"/>
    <cellStyle name="Comma 2 5 2 2 3 5 7" xfId="23716"/>
    <cellStyle name="Comma 2 5 2 2 3 6" xfId="1291"/>
    <cellStyle name="Comma 2 5 2 2 3 6 2" xfId="10061"/>
    <cellStyle name="Comma 2 5 2 2 3 6 2 2" xfId="25861"/>
    <cellStyle name="Comma 2 5 2 2 3 6 3" xfId="15739"/>
    <cellStyle name="Comma 2 5 2 2 3 6 3 2" xfId="24754"/>
    <cellStyle name="Comma 2 5 2 2 3 6 4" xfId="8557"/>
    <cellStyle name="Comma 2 5 2 2 3 6 5" xfId="21546"/>
    <cellStyle name="Comma 2 5 2 2 3 6 6" xfId="22619"/>
    <cellStyle name="Comma 2 5 2 2 3 6 7" xfId="23717"/>
    <cellStyle name="Comma 2 5 2 2 3 7" xfId="1292"/>
    <cellStyle name="Comma 2 5 2 2 3 7 2" xfId="10062"/>
    <cellStyle name="Comma 2 5 2 2 3 7 2 2" xfId="25862"/>
    <cellStyle name="Comma 2 5 2 2 3 7 3" xfId="15740"/>
    <cellStyle name="Comma 2 5 2 2 3 7 3 2" xfId="24755"/>
    <cellStyle name="Comma 2 5 2 2 3 7 4" xfId="8558"/>
    <cellStyle name="Comma 2 5 2 2 3 7 5" xfId="21547"/>
    <cellStyle name="Comma 2 5 2 2 3 7 6" xfId="22620"/>
    <cellStyle name="Comma 2 5 2 2 3 7 7" xfId="23718"/>
    <cellStyle name="Comma 2 5 2 2 3 8" xfId="1293"/>
    <cellStyle name="Comma 2 5 2 2 3 8 2" xfId="10063"/>
    <cellStyle name="Comma 2 5 2 2 3 8 2 2" xfId="25863"/>
    <cellStyle name="Comma 2 5 2 2 3 8 3" xfId="15741"/>
    <cellStyle name="Comma 2 5 2 2 3 8 3 2" xfId="24756"/>
    <cellStyle name="Comma 2 5 2 2 3 8 4" xfId="8559"/>
    <cellStyle name="Comma 2 5 2 2 3 8 5" xfId="21548"/>
    <cellStyle name="Comma 2 5 2 2 3 8 6" xfId="22621"/>
    <cellStyle name="Comma 2 5 2 2 3 8 7" xfId="23719"/>
    <cellStyle name="Comma 2 5 2 2 3 9" xfId="9131"/>
    <cellStyle name="Comma 2 5 2 2 3 9 2" xfId="25185"/>
    <cellStyle name="Comma 2 5 2 2 4" xfId="277"/>
    <cellStyle name="Comma 2 5 2 2 4 10" xfId="21549"/>
    <cellStyle name="Comma 2 5 2 2 4 11" xfId="22622"/>
    <cellStyle name="Comma 2 5 2 2 4 12" xfId="23048"/>
    <cellStyle name="Comma 2 5 2 2 4 2" xfId="1294"/>
    <cellStyle name="Comma 2 5 2 2 4 2 2" xfId="10064"/>
    <cellStyle name="Comma 2 5 2 2 4 2 2 2" xfId="25864"/>
    <cellStyle name="Comma 2 5 2 2 4 2 3" xfId="15743"/>
    <cellStyle name="Comma 2 5 2 2 4 2 3 2" xfId="24758"/>
    <cellStyle name="Comma 2 5 2 2 4 2 4" xfId="8561"/>
    <cellStyle name="Comma 2 5 2 2 4 2 5" xfId="21550"/>
    <cellStyle name="Comma 2 5 2 2 4 2 6" xfId="22623"/>
    <cellStyle name="Comma 2 5 2 2 4 2 7" xfId="23720"/>
    <cellStyle name="Comma 2 5 2 2 4 3" xfId="1295"/>
    <cellStyle name="Comma 2 5 2 2 4 3 2" xfId="10065"/>
    <cellStyle name="Comma 2 5 2 2 4 3 2 2" xfId="25865"/>
    <cellStyle name="Comma 2 5 2 2 4 3 3" xfId="15744"/>
    <cellStyle name="Comma 2 5 2 2 4 3 3 2" xfId="24759"/>
    <cellStyle name="Comma 2 5 2 2 4 3 4" xfId="8562"/>
    <cellStyle name="Comma 2 5 2 2 4 3 5" xfId="21551"/>
    <cellStyle name="Comma 2 5 2 2 4 3 6" xfId="22624"/>
    <cellStyle name="Comma 2 5 2 2 4 3 7" xfId="23721"/>
    <cellStyle name="Comma 2 5 2 2 4 4" xfId="1296"/>
    <cellStyle name="Comma 2 5 2 2 4 4 2" xfId="10066"/>
    <cellStyle name="Comma 2 5 2 2 4 4 2 2" xfId="25866"/>
    <cellStyle name="Comma 2 5 2 2 4 4 3" xfId="15745"/>
    <cellStyle name="Comma 2 5 2 2 4 4 3 2" xfId="24760"/>
    <cellStyle name="Comma 2 5 2 2 4 4 4" xfId="8563"/>
    <cellStyle name="Comma 2 5 2 2 4 4 5" xfId="21552"/>
    <cellStyle name="Comma 2 5 2 2 4 4 6" xfId="22625"/>
    <cellStyle name="Comma 2 5 2 2 4 4 7" xfId="23722"/>
    <cellStyle name="Comma 2 5 2 2 4 5" xfId="1297"/>
    <cellStyle name="Comma 2 5 2 2 4 5 2" xfId="10067"/>
    <cellStyle name="Comma 2 5 2 2 4 5 2 2" xfId="25867"/>
    <cellStyle name="Comma 2 5 2 2 4 5 3" xfId="15746"/>
    <cellStyle name="Comma 2 5 2 2 4 5 3 2" xfId="24761"/>
    <cellStyle name="Comma 2 5 2 2 4 5 4" xfId="8564"/>
    <cellStyle name="Comma 2 5 2 2 4 5 5" xfId="21553"/>
    <cellStyle name="Comma 2 5 2 2 4 5 6" xfId="22626"/>
    <cellStyle name="Comma 2 5 2 2 4 5 7" xfId="23723"/>
    <cellStyle name="Comma 2 5 2 2 4 6" xfId="1298"/>
    <cellStyle name="Comma 2 5 2 2 4 6 2" xfId="10068"/>
    <cellStyle name="Comma 2 5 2 2 4 6 2 2" xfId="25868"/>
    <cellStyle name="Comma 2 5 2 2 4 6 3" xfId="15747"/>
    <cellStyle name="Comma 2 5 2 2 4 6 3 2" xfId="24762"/>
    <cellStyle name="Comma 2 5 2 2 4 6 4" xfId="8565"/>
    <cellStyle name="Comma 2 5 2 2 4 6 5" xfId="21554"/>
    <cellStyle name="Comma 2 5 2 2 4 6 6" xfId="22627"/>
    <cellStyle name="Comma 2 5 2 2 4 6 7" xfId="23724"/>
    <cellStyle name="Comma 2 5 2 2 4 7" xfId="9133"/>
    <cellStyle name="Comma 2 5 2 2 4 7 2" xfId="25187"/>
    <cellStyle name="Comma 2 5 2 2 4 8" xfId="15742"/>
    <cellStyle name="Comma 2 5 2 2 4 8 2" xfId="24757"/>
    <cellStyle name="Comma 2 5 2 2 4 9" xfId="8560"/>
    <cellStyle name="Comma 2 5 2 2 5" xfId="1299"/>
    <cellStyle name="Comma 2 5 2 2 5 10" xfId="22628"/>
    <cellStyle name="Comma 2 5 2 2 5 11" xfId="23725"/>
    <cellStyle name="Comma 2 5 2 2 5 2" xfId="1300"/>
    <cellStyle name="Comma 2 5 2 2 5 2 2" xfId="10070"/>
    <cellStyle name="Comma 2 5 2 2 5 2 2 2" xfId="25870"/>
    <cellStyle name="Comma 2 5 2 2 5 2 3" xfId="15749"/>
    <cellStyle name="Comma 2 5 2 2 5 2 3 2" xfId="24764"/>
    <cellStyle name="Comma 2 5 2 2 5 2 4" xfId="8567"/>
    <cellStyle name="Comma 2 5 2 2 5 2 5" xfId="21556"/>
    <cellStyle name="Comma 2 5 2 2 5 2 6" xfId="22629"/>
    <cellStyle name="Comma 2 5 2 2 5 2 7" xfId="23726"/>
    <cellStyle name="Comma 2 5 2 2 5 3" xfId="1301"/>
    <cellStyle name="Comma 2 5 2 2 5 3 2" xfId="10071"/>
    <cellStyle name="Comma 2 5 2 2 5 3 2 2" xfId="25871"/>
    <cellStyle name="Comma 2 5 2 2 5 3 3" xfId="15750"/>
    <cellStyle name="Comma 2 5 2 2 5 3 3 2" xfId="24765"/>
    <cellStyle name="Comma 2 5 2 2 5 3 4" xfId="8568"/>
    <cellStyle name="Comma 2 5 2 2 5 3 5" xfId="21557"/>
    <cellStyle name="Comma 2 5 2 2 5 3 6" xfId="22630"/>
    <cellStyle name="Comma 2 5 2 2 5 3 7" xfId="23727"/>
    <cellStyle name="Comma 2 5 2 2 5 4" xfId="1302"/>
    <cellStyle name="Comma 2 5 2 2 5 4 2" xfId="10072"/>
    <cellStyle name="Comma 2 5 2 2 5 4 2 2" xfId="25872"/>
    <cellStyle name="Comma 2 5 2 2 5 4 3" xfId="15751"/>
    <cellStyle name="Comma 2 5 2 2 5 4 3 2" xfId="24766"/>
    <cellStyle name="Comma 2 5 2 2 5 4 4" xfId="8569"/>
    <cellStyle name="Comma 2 5 2 2 5 4 5" xfId="21558"/>
    <cellStyle name="Comma 2 5 2 2 5 4 6" xfId="22631"/>
    <cellStyle name="Comma 2 5 2 2 5 4 7" xfId="23728"/>
    <cellStyle name="Comma 2 5 2 2 5 5" xfId="1303"/>
    <cellStyle name="Comma 2 5 2 2 5 5 2" xfId="10073"/>
    <cellStyle name="Comma 2 5 2 2 5 5 2 2" xfId="25873"/>
    <cellStyle name="Comma 2 5 2 2 5 5 3" xfId="15752"/>
    <cellStyle name="Comma 2 5 2 2 5 5 3 2" xfId="24767"/>
    <cellStyle name="Comma 2 5 2 2 5 5 4" xfId="8570"/>
    <cellStyle name="Comma 2 5 2 2 5 5 5" xfId="21559"/>
    <cellStyle name="Comma 2 5 2 2 5 5 6" xfId="22632"/>
    <cellStyle name="Comma 2 5 2 2 5 5 7" xfId="23729"/>
    <cellStyle name="Comma 2 5 2 2 5 6" xfId="10069"/>
    <cellStyle name="Comma 2 5 2 2 5 6 2" xfId="25869"/>
    <cellStyle name="Comma 2 5 2 2 5 7" xfId="15748"/>
    <cellStyle name="Comma 2 5 2 2 5 7 2" xfId="24763"/>
    <cellStyle name="Comma 2 5 2 2 5 8" xfId="8566"/>
    <cellStyle name="Comma 2 5 2 2 5 9" xfId="21555"/>
    <cellStyle name="Comma 2 5 2 2 6" xfId="1304"/>
    <cellStyle name="Comma 2 5 2 2 6 10" xfId="22633"/>
    <cellStyle name="Comma 2 5 2 2 6 11" xfId="23730"/>
    <cellStyle name="Comma 2 5 2 2 6 2" xfId="1305"/>
    <cellStyle name="Comma 2 5 2 2 6 2 2" xfId="10075"/>
    <cellStyle name="Comma 2 5 2 2 6 2 2 2" xfId="25875"/>
    <cellStyle name="Comma 2 5 2 2 6 2 3" xfId="15754"/>
    <cellStyle name="Comma 2 5 2 2 6 2 3 2" xfId="24769"/>
    <cellStyle name="Comma 2 5 2 2 6 2 4" xfId="8572"/>
    <cellStyle name="Comma 2 5 2 2 6 2 5" xfId="21561"/>
    <cellStyle name="Comma 2 5 2 2 6 2 6" xfId="22634"/>
    <cellStyle name="Comma 2 5 2 2 6 2 7" xfId="23731"/>
    <cellStyle name="Comma 2 5 2 2 6 3" xfId="1306"/>
    <cellStyle name="Comma 2 5 2 2 6 3 2" xfId="10076"/>
    <cellStyle name="Comma 2 5 2 2 6 3 2 2" xfId="25876"/>
    <cellStyle name="Comma 2 5 2 2 6 3 3" xfId="15755"/>
    <cellStyle name="Comma 2 5 2 2 6 3 3 2" xfId="24770"/>
    <cellStyle name="Comma 2 5 2 2 6 3 4" xfId="8573"/>
    <cellStyle name="Comma 2 5 2 2 6 3 5" xfId="21562"/>
    <cellStyle name="Comma 2 5 2 2 6 3 6" xfId="22635"/>
    <cellStyle name="Comma 2 5 2 2 6 3 7" xfId="23732"/>
    <cellStyle name="Comma 2 5 2 2 6 4" xfId="1307"/>
    <cellStyle name="Comma 2 5 2 2 6 4 2" xfId="10077"/>
    <cellStyle name="Comma 2 5 2 2 6 4 2 2" xfId="25877"/>
    <cellStyle name="Comma 2 5 2 2 6 4 3" xfId="15756"/>
    <cellStyle name="Comma 2 5 2 2 6 4 3 2" xfId="24771"/>
    <cellStyle name="Comma 2 5 2 2 6 4 4" xfId="8574"/>
    <cellStyle name="Comma 2 5 2 2 6 4 5" xfId="21563"/>
    <cellStyle name="Comma 2 5 2 2 6 4 6" xfId="22636"/>
    <cellStyle name="Comma 2 5 2 2 6 4 7" xfId="23733"/>
    <cellStyle name="Comma 2 5 2 2 6 5" xfId="1308"/>
    <cellStyle name="Comma 2 5 2 2 6 5 2" xfId="10078"/>
    <cellStyle name="Comma 2 5 2 2 6 5 2 2" xfId="25878"/>
    <cellStyle name="Comma 2 5 2 2 6 5 3" xfId="15757"/>
    <cellStyle name="Comma 2 5 2 2 6 5 3 2" xfId="24772"/>
    <cellStyle name="Comma 2 5 2 2 6 5 4" xfId="8575"/>
    <cellStyle name="Comma 2 5 2 2 6 5 5" xfId="21564"/>
    <cellStyle name="Comma 2 5 2 2 6 5 6" xfId="22637"/>
    <cellStyle name="Comma 2 5 2 2 6 5 7" xfId="23734"/>
    <cellStyle name="Comma 2 5 2 2 6 6" xfId="10074"/>
    <cellStyle name="Comma 2 5 2 2 6 6 2" xfId="25874"/>
    <cellStyle name="Comma 2 5 2 2 6 7" xfId="15753"/>
    <cellStyle name="Comma 2 5 2 2 6 7 2" xfId="24768"/>
    <cellStyle name="Comma 2 5 2 2 6 8" xfId="8571"/>
    <cellStyle name="Comma 2 5 2 2 6 9" xfId="21560"/>
    <cellStyle name="Comma 2 5 2 2 7" xfId="1309"/>
    <cellStyle name="Comma 2 5 2 2 7 2" xfId="10079"/>
    <cellStyle name="Comma 2 5 2 2 7 2 2" xfId="25879"/>
    <cellStyle name="Comma 2 5 2 2 7 3" xfId="15758"/>
    <cellStyle name="Comma 2 5 2 2 7 3 2" xfId="24773"/>
    <cellStyle name="Comma 2 5 2 2 7 4" xfId="8576"/>
    <cellStyle name="Comma 2 5 2 2 7 5" xfId="21565"/>
    <cellStyle name="Comma 2 5 2 2 7 6" xfId="22638"/>
    <cellStyle name="Comma 2 5 2 2 7 7" xfId="23735"/>
    <cellStyle name="Comma 2 5 2 2 8" xfId="1310"/>
    <cellStyle name="Comma 2 5 2 2 8 2" xfId="10080"/>
    <cellStyle name="Comma 2 5 2 2 8 2 2" xfId="25880"/>
    <cellStyle name="Comma 2 5 2 2 8 3" xfId="15759"/>
    <cellStyle name="Comma 2 5 2 2 8 3 2" xfId="24774"/>
    <cellStyle name="Comma 2 5 2 2 8 4" xfId="8577"/>
    <cellStyle name="Comma 2 5 2 2 8 5" xfId="21566"/>
    <cellStyle name="Comma 2 5 2 2 8 6" xfId="22639"/>
    <cellStyle name="Comma 2 5 2 2 8 7" xfId="23736"/>
    <cellStyle name="Comma 2 5 2 2 9" xfId="1311"/>
    <cellStyle name="Comma 2 5 2 2 9 2" xfId="10081"/>
    <cellStyle name="Comma 2 5 2 2 9 2 2" xfId="25881"/>
    <cellStyle name="Comma 2 5 2 2 9 3" xfId="15760"/>
    <cellStyle name="Comma 2 5 2 2 9 3 2" xfId="24775"/>
    <cellStyle name="Comma 2 5 2 2 9 4" xfId="8578"/>
    <cellStyle name="Comma 2 5 2 2 9 5" xfId="21567"/>
    <cellStyle name="Comma 2 5 2 2 9 6" xfId="22640"/>
    <cellStyle name="Comma 2 5 2 2 9 7" xfId="23737"/>
    <cellStyle name="Comma 2 5 2 3" xfId="278"/>
    <cellStyle name="Comma 2 5 2 3 10" xfId="1312"/>
    <cellStyle name="Comma 2 5 2 3 10 2" xfId="10082"/>
    <cellStyle name="Comma 2 5 2 3 10 2 2" xfId="25882"/>
    <cellStyle name="Comma 2 5 2 3 10 3" xfId="15762"/>
    <cellStyle name="Comma 2 5 2 3 10 3 2" xfId="24777"/>
    <cellStyle name="Comma 2 5 2 3 10 4" xfId="8580"/>
    <cellStyle name="Comma 2 5 2 3 10 5" xfId="21569"/>
    <cellStyle name="Comma 2 5 2 3 10 6" xfId="22642"/>
    <cellStyle name="Comma 2 5 2 3 10 7" xfId="23738"/>
    <cellStyle name="Comma 2 5 2 3 11" xfId="9134"/>
    <cellStyle name="Comma 2 5 2 3 11 2" xfId="25188"/>
    <cellStyle name="Comma 2 5 2 3 12" xfId="15761"/>
    <cellStyle name="Comma 2 5 2 3 12 2" xfId="24776"/>
    <cellStyle name="Comma 2 5 2 3 13" xfId="8579"/>
    <cellStyle name="Comma 2 5 2 3 14" xfId="21568"/>
    <cellStyle name="Comma 2 5 2 3 15" xfId="22641"/>
    <cellStyle name="Comma 2 5 2 3 16" xfId="23049"/>
    <cellStyle name="Comma 2 5 2 3 2" xfId="279"/>
    <cellStyle name="Comma 2 5 2 3 2 10" xfId="15763"/>
    <cellStyle name="Comma 2 5 2 3 2 10 2" xfId="24778"/>
    <cellStyle name="Comma 2 5 2 3 2 11" xfId="8581"/>
    <cellStyle name="Comma 2 5 2 3 2 12" xfId="21570"/>
    <cellStyle name="Comma 2 5 2 3 2 13" xfId="22643"/>
    <cellStyle name="Comma 2 5 2 3 2 14" xfId="23050"/>
    <cellStyle name="Comma 2 5 2 3 2 2" xfId="280"/>
    <cellStyle name="Comma 2 5 2 3 2 2 10" xfId="21571"/>
    <cellStyle name="Comma 2 5 2 3 2 2 11" xfId="22644"/>
    <cellStyle name="Comma 2 5 2 3 2 2 12" xfId="23051"/>
    <cellStyle name="Comma 2 5 2 3 2 2 2" xfId="1313"/>
    <cellStyle name="Comma 2 5 2 3 2 2 2 2" xfId="10083"/>
    <cellStyle name="Comma 2 5 2 3 2 2 2 2 2" xfId="25883"/>
    <cellStyle name="Comma 2 5 2 3 2 2 2 3" xfId="15765"/>
    <cellStyle name="Comma 2 5 2 3 2 2 2 3 2" xfId="24780"/>
    <cellStyle name="Comma 2 5 2 3 2 2 2 4" xfId="8583"/>
    <cellStyle name="Comma 2 5 2 3 2 2 2 5" xfId="21572"/>
    <cellStyle name="Comma 2 5 2 3 2 2 2 6" xfId="22645"/>
    <cellStyle name="Comma 2 5 2 3 2 2 2 7" xfId="23739"/>
    <cellStyle name="Comma 2 5 2 3 2 2 3" xfId="1314"/>
    <cellStyle name="Comma 2 5 2 3 2 2 3 2" xfId="10084"/>
    <cellStyle name="Comma 2 5 2 3 2 2 3 2 2" xfId="25884"/>
    <cellStyle name="Comma 2 5 2 3 2 2 3 3" xfId="15766"/>
    <cellStyle name="Comma 2 5 2 3 2 2 3 3 2" xfId="24781"/>
    <cellStyle name="Comma 2 5 2 3 2 2 3 4" xfId="8584"/>
    <cellStyle name="Comma 2 5 2 3 2 2 3 5" xfId="21573"/>
    <cellStyle name="Comma 2 5 2 3 2 2 3 6" xfId="22646"/>
    <cellStyle name="Comma 2 5 2 3 2 2 3 7" xfId="23740"/>
    <cellStyle name="Comma 2 5 2 3 2 2 4" xfId="1315"/>
    <cellStyle name="Comma 2 5 2 3 2 2 4 2" xfId="10085"/>
    <cellStyle name="Comma 2 5 2 3 2 2 4 2 2" xfId="25885"/>
    <cellStyle name="Comma 2 5 2 3 2 2 4 3" xfId="15767"/>
    <cellStyle name="Comma 2 5 2 3 2 2 4 3 2" xfId="24782"/>
    <cellStyle name="Comma 2 5 2 3 2 2 4 4" xfId="8585"/>
    <cellStyle name="Comma 2 5 2 3 2 2 4 5" xfId="21574"/>
    <cellStyle name="Comma 2 5 2 3 2 2 4 6" xfId="22647"/>
    <cellStyle name="Comma 2 5 2 3 2 2 4 7" xfId="23741"/>
    <cellStyle name="Comma 2 5 2 3 2 2 5" xfId="1316"/>
    <cellStyle name="Comma 2 5 2 3 2 2 5 2" xfId="10086"/>
    <cellStyle name="Comma 2 5 2 3 2 2 5 2 2" xfId="25886"/>
    <cellStyle name="Comma 2 5 2 3 2 2 5 3" xfId="15768"/>
    <cellStyle name="Comma 2 5 2 3 2 2 5 3 2" xfId="24783"/>
    <cellStyle name="Comma 2 5 2 3 2 2 5 4" xfId="8586"/>
    <cellStyle name="Comma 2 5 2 3 2 2 5 5" xfId="21575"/>
    <cellStyle name="Comma 2 5 2 3 2 2 5 6" xfId="22648"/>
    <cellStyle name="Comma 2 5 2 3 2 2 5 7" xfId="23742"/>
    <cellStyle name="Comma 2 5 2 3 2 2 6" xfId="1317"/>
    <cellStyle name="Comma 2 5 2 3 2 2 6 2" xfId="10087"/>
    <cellStyle name="Comma 2 5 2 3 2 2 6 2 2" xfId="25887"/>
    <cellStyle name="Comma 2 5 2 3 2 2 6 3" xfId="15769"/>
    <cellStyle name="Comma 2 5 2 3 2 2 6 3 2" xfId="24784"/>
    <cellStyle name="Comma 2 5 2 3 2 2 6 4" xfId="8587"/>
    <cellStyle name="Comma 2 5 2 3 2 2 6 5" xfId="21576"/>
    <cellStyle name="Comma 2 5 2 3 2 2 6 6" xfId="22649"/>
    <cellStyle name="Comma 2 5 2 3 2 2 6 7" xfId="23743"/>
    <cellStyle name="Comma 2 5 2 3 2 2 7" xfId="9136"/>
    <cellStyle name="Comma 2 5 2 3 2 2 7 2" xfId="25190"/>
    <cellStyle name="Comma 2 5 2 3 2 2 8" xfId="15764"/>
    <cellStyle name="Comma 2 5 2 3 2 2 8 2" xfId="24779"/>
    <cellStyle name="Comma 2 5 2 3 2 2 9" xfId="8582"/>
    <cellStyle name="Comma 2 5 2 3 2 3" xfId="1318"/>
    <cellStyle name="Comma 2 5 2 3 2 3 10" xfId="22650"/>
    <cellStyle name="Comma 2 5 2 3 2 3 11" xfId="23744"/>
    <cellStyle name="Comma 2 5 2 3 2 3 2" xfId="1319"/>
    <cellStyle name="Comma 2 5 2 3 2 3 2 2" xfId="10089"/>
    <cellStyle name="Comma 2 5 2 3 2 3 2 2 2" xfId="25889"/>
    <cellStyle name="Comma 2 5 2 3 2 3 2 3" xfId="15771"/>
    <cellStyle name="Comma 2 5 2 3 2 3 2 3 2" xfId="24786"/>
    <cellStyle name="Comma 2 5 2 3 2 3 2 4" xfId="8589"/>
    <cellStyle name="Comma 2 5 2 3 2 3 2 5" xfId="21578"/>
    <cellStyle name="Comma 2 5 2 3 2 3 2 6" xfId="22651"/>
    <cellStyle name="Comma 2 5 2 3 2 3 2 7" xfId="23745"/>
    <cellStyle name="Comma 2 5 2 3 2 3 3" xfId="1320"/>
    <cellStyle name="Comma 2 5 2 3 2 3 3 2" xfId="10090"/>
    <cellStyle name="Comma 2 5 2 3 2 3 3 2 2" xfId="25890"/>
    <cellStyle name="Comma 2 5 2 3 2 3 3 3" xfId="15772"/>
    <cellStyle name="Comma 2 5 2 3 2 3 3 3 2" xfId="24787"/>
    <cellStyle name="Comma 2 5 2 3 2 3 3 4" xfId="8590"/>
    <cellStyle name="Comma 2 5 2 3 2 3 3 5" xfId="21579"/>
    <cellStyle name="Comma 2 5 2 3 2 3 3 6" xfId="22652"/>
    <cellStyle name="Comma 2 5 2 3 2 3 3 7" xfId="23746"/>
    <cellStyle name="Comma 2 5 2 3 2 3 4" xfId="1321"/>
    <cellStyle name="Comma 2 5 2 3 2 3 4 2" xfId="10091"/>
    <cellStyle name="Comma 2 5 2 3 2 3 4 2 2" xfId="25891"/>
    <cellStyle name="Comma 2 5 2 3 2 3 4 3" xfId="15773"/>
    <cellStyle name="Comma 2 5 2 3 2 3 4 3 2" xfId="24788"/>
    <cellStyle name="Comma 2 5 2 3 2 3 4 4" xfId="8591"/>
    <cellStyle name="Comma 2 5 2 3 2 3 4 5" xfId="21580"/>
    <cellStyle name="Comma 2 5 2 3 2 3 4 6" xfId="22653"/>
    <cellStyle name="Comma 2 5 2 3 2 3 4 7" xfId="23747"/>
    <cellStyle name="Comma 2 5 2 3 2 3 5" xfId="1322"/>
    <cellStyle name="Comma 2 5 2 3 2 3 5 2" xfId="10092"/>
    <cellStyle name="Comma 2 5 2 3 2 3 5 2 2" xfId="25892"/>
    <cellStyle name="Comma 2 5 2 3 2 3 5 3" xfId="15774"/>
    <cellStyle name="Comma 2 5 2 3 2 3 5 3 2" xfId="24789"/>
    <cellStyle name="Comma 2 5 2 3 2 3 5 4" xfId="8592"/>
    <cellStyle name="Comma 2 5 2 3 2 3 5 5" xfId="21581"/>
    <cellStyle name="Comma 2 5 2 3 2 3 5 6" xfId="22654"/>
    <cellStyle name="Comma 2 5 2 3 2 3 5 7" xfId="23748"/>
    <cellStyle name="Comma 2 5 2 3 2 3 6" xfId="10088"/>
    <cellStyle name="Comma 2 5 2 3 2 3 6 2" xfId="25888"/>
    <cellStyle name="Comma 2 5 2 3 2 3 7" xfId="15770"/>
    <cellStyle name="Comma 2 5 2 3 2 3 7 2" xfId="24785"/>
    <cellStyle name="Comma 2 5 2 3 2 3 8" xfId="8588"/>
    <cellStyle name="Comma 2 5 2 3 2 3 9" xfId="21577"/>
    <cellStyle name="Comma 2 5 2 3 2 4" xfId="1323"/>
    <cellStyle name="Comma 2 5 2 3 2 4 2" xfId="10093"/>
    <cellStyle name="Comma 2 5 2 3 2 4 2 2" xfId="25893"/>
    <cellStyle name="Comma 2 5 2 3 2 4 3" xfId="15775"/>
    <cellStyle name="Comma 2 5 2 3 2 4 3 2" xfId="24790"/>
    <cellStyle name="Comma 2 5 2 3 2 4 4" xfId="8593"/>
    <cellStyle name="Comma 2 5 2 3 2 4 5" xfId="21582"/>
    <cellStyle name="Comma 2 5 2 3 2 4 6" xfId="22655"/>
    <cellStyle name="Comma 2 5 2 3 2 4 7" xfId="23749"/>
    <cellStyle name="Comma 2 5 2 3 2 5" xfId="1324"/>
    <cellStyle name="Comma 2 5 2 3 2 5 2" xfId="10094"/>
    <cellStyle name="Comma 2 5 2 3 2 5 2 2" xfId="25894"/>
    <cellStyle name="Comma 2 5 2 3 2 5 3" xfId="15776"/>
    <cellStyle name="Comma 2 5 2 3 2 5 3 2" xfId="24791"/>
    <cellStyle name="Comma 2 5 2 3 2 5 4" xfId="8594"/>
    <cellStyle name="Comma 2 5 2 3 2 5 5" xfId="21583"/>
    <cellStyle name="Comma 2 5 2 3 2 5 6" xfId="22656"/>
    <cellStyle name="Comma 2 5 2 3 2 5 7" xfId="23750"/>
    <cellStyle name="Comma 2 5 2 3 2 6" xfId="1325"/>
    <cellStyle name="Comma 2 5 2 3 2 6 2" xfId="10095"/>
    <cellStyle name="Comma 2 5 2 3 2 6 2 2" xfId="25895"/>
    <cellStyle name="Comma 2 5 2 3 2 6 3" xfId="15777"/>
    <cellStyle name="Comma 2 5 2 3 2 6 3 2" xfId="24792"/>
    <cellStyle name="Comma 2 5 2 3 2 6 4" xfId="8595"/>
    <cellStyle name="Comma 2 5 2 3 2 6 5" xfId="21584"/>
    <cellStyle name="Comma 2 5 2 3 2 6 6" xfId="22657"/>
    <cellStyle name="Comma 2 5 2 3 2 6 7" xfId="23751"/>
    <cellStyle name="Comma 2 5 2 3 2 7" xfId="1326"/>
    <cellStyle name="Comma 2 5 2 3 2 7 2" xfId="10096"/>
    <cellStyle name="Comma 2 5 2 3 2 7 2 2" xfId="25896"/>
    <cellStyle name="Comma 2 5 2 3 2 7 3" xfId="15778"/>
    <cellStyle name="Comma 2 5 2 3 2 7 3 2" xfId="24793"/>
    <cellStyle name="Comma 2 5 2 3 2 7 4" xfId="8596"/>
    <cellStyle name="Comma 2 5 2 3 2 7 5" xfId="21585"/>
    <cellStyle name="Comma 2 5 2 3 2 7 6" xfId="22658"/>
    <cellStyle name="Comma 2 5 2 3 2 7 7" xfId="23752"/>
    <cellStyle name="Comma 2 5 2 3 2 8" xfId="1327"/>
    <cellStyle name="Comma 2 5 2 3 2 8 2" xfId="10097"/>
    <cellStyle name="Comma 2 5 2 3 2 8 2 2" xfId="25897"/>
    <cellStyle name="Comma 2 5 2 3 2 8 3" xfId="15779"/>
    <cellStyle name="Comma 2 5 2 3 2 8 3 2" xfId="24794"/>
    <cellStyle name="Comma 2 5 2 3 2 8 4" xfId="8597"/>
    <cellStyle name="Comma 2 5 2 3 2 8 5" xfId="21586"/>
    <cellStyle name="Comma 2 5 2 3 2 8 6" xfId="22659"/>
    <cellStyle name="Comma 2 5 2 3 2 8 7" xfId="23753"/>
    <cellStyle name="Comma 2 5 2 3 2 9" xfId="9135"/>
    <cellStyle name="Comma 2 5 2 3 2 9 2" xfId="25189"/>
    <cellStyle name="Comma 2 5 2 3 3" xfId="281"/>
    <cellStyle name="Comma 2 5 2 3 3 10" xfId="21587"/>
    <cellStyle name="Comma 2 5 2 3 3 11" xfId="22660"/>
    <cellStyle name="Comma 2 5 2 3 3 12" xfId="23052"/>
    <cellStyle name="Comma 2 5 2 3 3 2" xfId="1328"/>
    <cellStyle name="Comma 2 5 2 3 3 2 2" xfId="10098"/>
    <cellStyle name="Comma 2 5 2 3 3 2 2 2" xfId="25898"/>
    <cellStyle name="Comma 2 5 2 3 3 2 3" xfId="15781"/>
    <cellStyle name="Comma 2 5 2 3 3 2 3 2" xfId="24796"/>
    <cellStyle name="Comma 2 5 2 3 3 2 4" xfId="8599"/>
    <cellStyle name="Comma 2 5 2 3 3 2 5" xfId="21588"/>
    <cellStyle name="Comma 2 5 2 3 3 2 6" xfId="22661"/>
    <cellStyle name="Comma 2 5 2 3 3 2 7" xfId="23754"/>
    <cellStyle name="Comma 2 5 2 3 3 3" xfId="1329"/>
    <cellStyle name="Comma 2 5 2 3 3 3 2" xfId="10099"/>
    <cellStyle name="Comma 2 5 2 3 3 3 2 2" xfId="25899"/>
    <cellStyle name="Comma 2 5 2 3 3 3 3" xfId="15782"/>
    <cellStyle name="Comma 2 5 2 3 3 3 3 2" xfId="24797"/>
    <cellStyle name="Comma 2 5 2 3 3 3 4" xfId="8600"/>
    <cellStyle name="Comma 2 5 2 3 3 3 5" xfId="21589"/>
    <cellStyle name="Comma 2 5 2 3 3 3 6" xfId="22662"/>
    <cellStyle name="Comma 2 5 2 3 3 3 7" xfId="23755"/>
    <cellStyle name="Comma 2 5 2 3 3 4" xfId="1330"/>
    <cellStyle name="Comma 2 5 2 3 3 4 2" xfId="10100"/>
    <cellStyle name="Comma 2 5 2 3 3 4 2 2" xfId="25900"/>
    <cellStyle name="Comma 2 5 2 3 3 4 3" xfId="15783"/>
    <cellStyle name="Comma 2 5 2 3 3 4 3 2" xfId="24798"/>
    <cellStyle name="Comma 2 5 2 3 3 4 4" xfId="8601"/>
    <cellStyle name="Comma 2 5 2 3 3 4 5" xfId="21590"/>
    <cellStyle name="Comma 2 5 2 3 3 4 6" xfId="22663"/>
    <cellStyle name="Comma 2 5 2 3 3 4 7" xfId="23756"/>
    <cellStyle name="Comma 2 5 2 3 3 5" xfId="1331"/>
    <cellStyle name="Comma 2 5 2 3 3 5 2" xfId="10101"/>
    <cellStyle name="Comma 2 5 2 3 3 5 2 2" xfId="25901"/>
    <cellStyle name="Comma 2 5 2 3 3 5 3" xfId="15784"/>
    <cellStyle name="Comma 2 5 2 3 3 5 3 2" xfId="24799"/>
    <cellStyle name="Comma 2 5 2 3 3 5 4" xfId="8602"/>
    <cellStyle name="Comma 2 5 2 3 3 5 5" xfId="21591"/>
    <cellStyle name="Comma 2 5 2 3 3 5 6" xfId="22664"/>
    <cellStyle name="Comma 2 5 2 3 3 5 7" xfId="23757"/>
    <cellStyle name="Comma 2 5 2 3 3 6" xfId="1332"/>
    <cellStyle name="Comma 2 5 2 3 3 6 2" xfId="10102"/>
    <cellStyle name="Comma 2 5 2 3 3 6 2 2" xfId="25902"/>
    <cellStyle name="Comma 2 5 2 3 3 6 3" xfId="15785"/>
    <cellStyle name="Comma 2 5 2 3 3 6 3 2" xfId="24800"/>
    <cellStyle name="Comma 2 5 2 3 3 6 4" xfId="8603"/>
    <cellStyle name="Comma 2 5 2 3 3 6 5" xfId="21592"/>
    <cellStyle name="Comma 2 5 2 3 3 6 6" xfId="22665"/>
    <cellStyle name="Comma 2 5 2 3 3 6 7" xfId="23758"/>
    <cellStyle name="Comma 2 5 2 3 3 7" xfId="9137"/>
    <cellStyle name="Comma 2 5 2 3 3 7 2" xfId="25191"/>
    <cellStyle name="Comma 2 5 2 3 3 8" xfId="15780"/>
    <cellStyle name="Comma 2 5 2 3 3 8 2" xfId="24795"/>
    <cellStyle name="Comma 2 5 2 3 3 9" xfId="8598"/>
    <cellStyle name="Comma 2 5 2 3 4" xfId="1333"/>
    <cellStyle name="Comma 2 5 2 3 4 10" xfId="22666"/>
    <cellStyle name="Comma 2 5 2 3 4 11" xfId="23759"/>
    <cellStyle name="Comma 2 5 2 3 4 2" xfId="1334"/>
    <cellStyle name="Comma 2 5 2 3 4 2 2" xfId="10104"/>
    <cellStyle name="Comma 2 5 2 3 4 2 2 2" xfId="25904"/>
    <cellStyle name="Comma 2 5 2 3 4 2 3" xfId="15787"/>
    <cellStyle name="Comma 2 5 2 3 4 2 3 2" xfId="24802"/>
    <cellStyle name="Comma 2 5 2 3 4 2 4" xfId="8605"/>
    <cellStyle name="Comma 2 5 2 3 4 2 5" xfId="21594"/>
    <cellStyle name="Comma 2 5 2 3 4 2 6" xfId="22667"/>
    <cellStyle name="Comma 2 5 2 3 4 2 7" xfId="23760"/>
    <cellStyle name="Comma 2 5 2 3 4 3" xfId="1335"/>
    <cellStyle name="Comma 2 5 2 3 4 3 2" xfId="10105"/>
    <cellStyle name="Comma 2 5 2 3 4 3 2 2" xfId="25905"/>
    <cellStyle name="Comma 2 5 2 3 4 3 3" xfId="15788"/>
    <cellStyle name="Comma 2 5 2 3 4 3 3 2" xfId="24803"/>
    <cellStyle name="Comma 2 5 2 3 4 3 4" xfId="8606"/>
    <cellStyle name="Comma 2 5 2 3 4 3 5" xfId="21595"/>
    <cellStyle name="Comma 2 5 2 3 4 3 6" xfId="22668"/>
    <cellStyle name="Comma 2 5 2 3 4 3 7" xfId="23761"/>
    <cellStyle name="Comma 2 5 2 3 4 4" xfId="1336"/>
    <cellStyle name="Comma 2 5 2 3 4 4 2" xfId="10106"/>
    <cellStyle name="Comma 2 5 2 3 4 4 2 2" xfId="25906"/>
    <cellStyle name="Comma 2 5 2 3 4 4 3" xfId="15789"/>
    <cellStyle name="Comma 2 5 2 3 4 4 3 2" xfId="24804"/>
    <cellStyle name="Comma 2 5 2 3 4 4 4" xfId="8607"/>
    <cellStyle name="Comma 2 5 2 3 4 4 5" xfId="21596"/>
    <cellStyle name="Comma 2 5 2 3 4 4 6" xfId="22669"/>
    <cellStyle name="Comma 2 5 2 3 4 4 7" xfId="23762"/>
    <cellStyle name="Comma 2 5 2 3 4 5" xfId="1337"/>
    <cellStyle name="Comma 2 5 2 3 4 5 2" xfId="10107"/>
    <cellStyle name="Comma 2 5 2 3 4 5 2 2" xfId="25907"/>
    <cellStyle name="Comma 2 5 2 3 4 5 3" xfId="15790"/>
    <cellStyle name="Comma 2 5 2 3 4 5 3 2" xfId="24805"/>
    <cellStyle name="Comma 2 5 2 3 4 5 4" xfId="8608"/>
    <cellStyle name="Comma 2 5 2 3 4 5 5" xfId="21597"/>
    <cellStyle name="Comma 2 5 2 3 4 5 6" xfId="22670"/>
    <cellStyle name="Comma 2 5 2 3 4 5 7" xfId="23763"/>
    <cellStyle name="Comma 2 5 2 3 4 6" xfId="10103"/>
    <cellStyle name="Comma 2 5 2 3 4 6 2" xfId="25903"/>
    <cellStyle name="Comma 2 5 2 3 4 7" xfId="15786"/>
    <cellStyle name="Comma 2 5 2 3 4 7 2" xfId="24801"/>
    <cellStyle name="Comma 2 5 2 3 4 8" xfId="8604"/>
    <cellStyle name="Comma 2 5 2 3 4 9" xfId="21593"/>
    <cellStyle name="Comma 2 5 2 3 5" xfId="1338"/>
    <cellStyle name="Comma 2 5 2 3 5 10" xfId="22671"/>
    <cellStyle name="Comma 2 5 2 3 5 11" xfId="23764"/>
    <cellStyle name="Comma 2 5 2 3 5 2" xfId="1339"/>
    <cellStyle name="Comma 2 5 2 3 5 2 2" xfId="10109"/>
    <cellStyle name="Comma 2 5 2 3 5 2 2 2" xfId="25909"/>
    <cellStyle name="Comma 2 5 2 3 5 2 3" xfId="15792"/>
    <cellStyle name="Comma 2 5 2 3 5 2 3 2" xfId="24807"/>
    <cellStyle name="Comma 2 5 2 3 5 2 4" xfId="8610"/>
    <cellStyle name="Comma 2 5 2 3 5 2 5" xfId="21599"/>
    <cellStyle name="Comma 2 5 2 3 5 2 6" xfId="22672"/>
    <cellStyle name="Comma 2 5 2 3 5 2 7" xfId="23765"/>
    <cellStyle name="Comma 2 5 2 3 5 3" xfId="1340"/>
    <cellStyle name="Comma 2 5 2 3 5 3 2" xfId="10110"/>
    <cellStyle name="Comma 2 5 2 3 5 3 2 2" xfId="25910"/>
    <cellStyle name="Comma 2 5 2 3 5 3 3" xfId="15793"/>
    <cellStyle name="Comma 2 5 2 3 5 3 3 2" xfId="24808"/>
    <cellStyle name="Comma 2 5 2 3 5 3 4" xfId="8611"/>
    <cellStyle name="Comma 2 5 2 3 5 3 5" xfId="21600"/>
    <cellStyle name="Comma 2 5 2 3 5 3 6" xfId="22673"/>
    <cellStyle name="Comma 2 5 2 3 5 3 7" xfId="23766"/>
    <cellStyle name="Comma 2 5 2 3 5 4" xfId="1341"/>
    <cellStyle name="Comma 2 5 2 3 5 4 2" xfId="10111"/>
    <cellStyle name="Comma 2 5 2 3 5 4 2 2" xfId="25911"/>
    <cellStyle name="Comma 2 5 2 3 5 4 3" xfId="15794"/>
    <cellStyle name="Comma 2 5 2 3 5 4 3 2" xfId="24809"/>
    <cellStyle name="Comma 2 5 2 3 5 4 4" xfId="8612"/>
    <cellStyle name="Comma 2 5 2 3 5 4 5" xfId="21601"/>
    <cellStyle name="Comma 2 5 2 3 5 4 6" xfId="22674"/>
    <cellStyle name="Comma 2 5 2 3 5 4 7" xfId="23767"/>
    <cellStyle name="Comma 2 5 2 3 5 5" xfId="1342"/>
    <cellStyle name="Comma 2 5 2 3 5 5 2" xfId="10112"/>
    <cellStyle name="Comma 2 5 2 3 5 5 2 2" xfId="25912"/>
    <cellStyle name="Comma 2 5 2 3 5 5 3" xfId="15795"/>
    <cellStyle name="Comma 2 5 2 3 5 5 3 2" xfId="24810"/>
    <cellStyle name="Comma 2 5 2 3 5 5 4" xfId="8613"/>
    <cellStyle name="Comma 2 5 2 3 5 5 5" xfId="21602"/>
    <cellStyle name="Comma 2 5 2 3 5 5 6" xfId="22675"/>
    <cellStyle name="Comma 2 5 2 3 5 5 7" xfId="23768"/>
    <cellStyle name="Comma 2 5 2 3 5 6" xfId="10108"/>
    <cellStyle name="Comma 2 5 2 3 5 6 2" xfId="25908"/>
    <cellStyle name="Comma 2 5 2 3 5 7" xfId="15791"/>
    <cellStyle name="Comma 2 5 2 3 5 7 2" xfId="24806"/>
    <cellStyle name="Comma 2 5 2 3 5 8" xfId="8609"/>
    <cellStyle name="Comma 2 5 2 3 5 9" xfId="21598"/>
    <cellStyle name="Comma 2 5 2 3 6" xfId="1343"/>
    <cellStyle name="Comma 2 5 2 3 6 2" xfId="10113"/>
    <cellStyle name="Comma 2 5 2 3 6 2 2" xfId="25913"/>
    <cellStyle name="Comma 2 5 2 3 6 3" xfId="15796"/>
    <cellStyle name="Comma 2 5 2 3 6 3 2" xfId="24811"/>
    <cellStyle name="Comma 2 5 2 3 6 4" xfId="8614"/>
    <cellStyle name="Comma 2 5 2 3 6 5" xfId="21603"/>
    <cellStyle name="Comma 2 5 2 3 6 6" xfId="22676"/>
    <cellStyle name="Comma 2 5 2 3 6 7" xfId="23769"/>
    <cellStyle name="Comma 2 5 2 3 7" xfId="1344"/>
    <cellStyle name="Comma 2 5 2 3 7 2" xfId="10114"/>
    <cellStyle name="Comma 2 5 2 3 7 2 2" xfId="25914"/>
    <cellStyle name="Comma 2 5 2 3 7 3" xfId="15797"/>
    <cellStyle name="Comma 2 5 2 3 7 3 2" xfId="24812"/>
    <cellStyle name="Comma 2 5 2 3 7 4" xfId="8615"/>
    <cellStyle name="Comma 2 5 2 3 7 5" xfId="21604"/>
    <cellStyle name="Comma 2 5 2 3 7 6" xfId="22677"/>
    <cellStyle name="Comma 2 5 2 3 7 7" xfId="23770"/>
    <cellStyle name="Comma 2 5 2 3 8" xfId="1345"/>
    <cellStyle name="Comma 2 5 2 3 8 2" xfId="10115"/>
    <cellStyle name="Comma 2 5 2 3 8 2 2" xfId="25915"/>
    <cellStyle name="Comma 2 5 2 3 8 3" xfId="15798"/>
    <cellStyle name="Comma 2 5 2 3 8 3 2" xfId="24813"/>
    <cellStyle name="Comma 2 5 2 3 8 4" xfId="8616"/>
    <cellStyle name="Comma 2 5 2 3 8 5" xfId="21605"/>
    <cellStyle name="Comma 2 5 2 3 8 6" xfId="22678"/>
    <cellStyle name="Comma 2 5 2 3 8 7" xfId="23771"/>
    <cellStyle name="Comma 2 5 2 3 9" xfId="1346"/>
    <cellStyle name="Comma 2 5 2 3 9 2" xfId="10116"/>
    <cellStyle name="Comma 2 5 2 3 9 2 2" xfId="25916"/>
    <cellStyle name="Comma 2 5 2 3 9 3" xfId="15799"/>
    <cellStyle name="Comma 2 5 2 3 9 3 2" xfId="24814"/>
    <cellStyle name="Comma 2 5 2 3 9 4" xfId="8617"/>
    <cellStyle name="Comma 2 5 2 3 9 5" xfId="21606"/>
    <cellStyle name="Comma 2 5 2 3 9 6" xfId="22679"/>
    <cellStyle name="Comma 2 5 2 3 9 7" xfId="23772"/>
    <cellStyle name="Comma 2 5 2 4" xfId="282"/>
    <cellStyle name="Comma 2 5 2 4 10" xfId="15800"/>
    <cellStyle name="Comma 2 5 2 4 10 2" xfId="24815"/>
    <cellStyle name="Comma 2 5 2 4 11" xfId="8618"/>
    <cellStyle name="Comma 2 5 2 4 12" xfId="21607"/>
    <cellStyle name="Comma 2 5 2 4 13" xfId="22680"/>
    <cellStyle name="Comma 2 5 2 4 14" xfId="23053"/>
    <cellStyle name="Comma 2 5 2 4 2" xfId="283"/>
    <cellStyle name="Comma 2 5 2 4 2 10" xfId="21608"/>
    <cellStyle name="Comma 2 5 2 4 2 11" xfId="22681"/>
    <cellStyle name="Comma 2 5 2 4 2 12" xfId="23054"/>
    <cellStyle name="Comma 2 5 2 4 2 2" xfId="1347"/>
    <cellStyle name="Comma 2 5 2 4 2 2 2" xfId="10117"/>
    <cellStyle name="Comma 2 5 2 4 2 2 2 2" xfId="25917"/>
    <cellStyle name="Comma 2 5 2 4 2 2 3" xfId="15802"/>
    <cellStyle name="Comma 2 5 2 4 2 2 3 2" xfId="24817"/>
    <cellStyle name="Comma 2 5 2 4 2 2 4" xfId="8620"/>
    <cellStyle name="Comma 2 5 2 4 2 2 5" xfId="21609"/>
    <cellStyle name="Comma 2 5 2 4 2 2 6" xfId="22682"/>
    <cellStyle name="Comma 2 5 2 4 2 2 7" xfId="23773"/>
    <cellStyle name="Comma 2 5 2 4 2 3" xfId="1348"/>
    <cellStyle name="Comma 2 5 2 4 2 3 2" xfId="10118"/>
    <cellStyle name="Comma 2 5 2 4 2 3 2 2" xfId="25918"/>
    <cellStyle name="Comma 2 5 2 4 2 3 3" xfId="15803"/>
    <cellStyle name="Comma 2 5 2 4 2 3 3 2" xfId="24818"/>
    <cellStyle name="Comma 2 5 2 4 2 3 4" xfId="8621"/>
    <cellStyle name="Comma 2 5 2 4 2 3 5" xfId="21610"/>
    <cellStyle name="Comma 2 5 2 4 2 3 6" xfId="22683"/>
    <cellStyle name="Comma 2 5 2 4 2 3 7" xfId="23774"/>
    <cellStyle name="Comma 2 5 2 4 2 4" xfId="1349"/>
    <cellStyle name="Comma 2 5 2 4 2 4 2" xfId="10119"/>
    <cellStyle name="Comma 2 5 2 4 2 4 2 2" xfId="25919"/>
    <cellStyle name="Comma 2 5 2 4 2 4 3" xfId="15804"/>
    <cellStyle name="Comma 2 5 2 4 2 4 3 2" xfId="24819"/>
    <cellStyle name="Comma 2 5 2 4 2 4 4" xfId="8622"/>
    <cellStyle name="Comma 2 5 2 4 2 4 5" xfId="21611"/>
    <cellStyle name="Comma 2 5 2 4 2 4 6" xfId="22684"/>
    <cellStyle name="Comma 2 5 2 4 2 4 7" xfId="23775"/>
    <cellStyle name="Comma 2 5 2 4 2 5" xfId="1350"/>
    <cellStyle name="Comma 2 5 2 4 2 5 2" xfId="10120"/>
    <cellStyle name="Comma 2 5 2 4 2 5 2 2" xfId="25920"/>
    <cellStyle name="Comma 2 5 2 4 2 5 3" xfId="15805"/>
    <cellStyle name="Comma 2 5 2 4 2 5 3 2" xfId="24820"/>
    <cellStyle name="Comma 2 5 2 4 2 5 4" xfId="8623"/>
    <cellStyle name="Comma 2 5 2 4 2 5 5" xfId="21612"/>
    <cellStyle name="Comma 2 5 2 4 2 5 6" xfId="22685"/>
    <cellStyle name="Comma 2 5 2 4 2 5 7" xfId="23776"/>
    <cellStyle name="Comma 2 5 2 4 2 6" xfId="1351"/>
    <cellStyle name="Comma 2 5 2 4 2 6 2" xfId="10121"/>
    <cellStyle name="Comma 2 5 2 4 2 6 2 2" xfId="25921"/>
    <cellStyle name="Comma 2 5 2 4 2 6 3" xfId="15806"/>
    <cellStyle name="Comma 2 5 2 4 2 6 3 2" xfId="24821"/>
    <cellStyle name="Comma 2 5 2 4 2 6 4" xfId="8624"/>
    <cellStyle name="Comma 2 5 2 4 2 6 5" xfId="21613"/>
    <cellStyle name="Comma 2 5 2 4 2 6 6" xfId="22686"/>
    <cellStyle name="Comma 2 5 2 4 2 6 7" xfId="23777"/>
    <cellStyle name="Comma 2 5 2 4 2 7" xfId="9139"/>
    <cellStyle name="Comma 2 5 2 4 2 7 2" xfId="25193"/>
    <cellStyle name="Comma 2 5 2 4 2 8" xfId="15801"/>
    <cellStyle name="Comma 2 5 2 4 2 8 2" xfId="24816"/>
    <cellStyle name="Comma 2 5 2 4 2 9" xfId="8619"/>
    <cellStyle name="Comma 2 5 2 4 3" xfId="1352"/>
    <cellStyle name="Comma 2 5 2 4 3 10" xfId="22687"/>
    <cellStyle name="Comma 2 5 2 4 3 11" xfId="23778"/>
    <cellStyle name="Comma 2 5 2 4 3 2" xfId="1353"/>
    <cellStyle name="Comma 2 5 2 4 3 2 2" xfId="10123"/>
    <cellStyle name="Comma 2 5 2 4 3 2 2 2" xfId="25923"/>
    <cellStyle name="Comma 2 5 2 4 3 2 3" xfId="15808"/>
    <cellStyle name="Comma 2 5 2 4 3 2 3 2" xfId="24823"/>
    <cellStyle name="Comma 2 5 2 4 3 2 4" xfId="8626"/>
    <cellStyle name="Comma 2 5 2 4 3 2 5" xfId="21615"/>
    <cellStyle name="Comma 2 5 2 4 3 2 6" xfId="22688"/>
    <cellStyle name="Comma 2 5 2 4 3 2 7" xfId="23779"/>
    <cellStyle name="Comma 2 5 2 4 3 3" xfId="1354"/>
    <cellStyle name="Comma 2 5 2 4 3 3 2" xfId="10124"/>
    <cellStyle name="Comma 2 5 2 4 3 3 2 2" xfId="25924"/>
    <cellStyle name="Comma 2 5 2 4 3 3 3" xfId="15809"/>
    <cellStyle name="Comma 2 5 2 4 3 3 3 2" xfId="24824"/>
    <cellStyle name="Comma 2 5 2 4 3 3 4" xfId="8627"/>
    <cellStyle name="Comma 2 5 2 4 3 3 5" xfId="21616"/>
    <cellStyle name="Comma 2 5 2 4 3 3 6" xfId="22689"/>
    <cellStyle name="Comma 2 5 2 4 3 3 7" xfId="23780"/>
    <cellStyle name="Comma 2 5 2 4 3 4" xfId="1355"/>
    <cellStyle name="Comma 2 5 2 4 3 4 2" xfId="10125"/>
    <cellStyle name="Comma 2 5 2 4 3 4 2 2" xfId="25925"/>
    <cellStyle name="Comma 2 5 2 4 3 4 3" xfId="15810"/>
    <cellStyle name="Comma 2 5 2 4 3 4 3 2" xfId="24825"/>
    <cellStyle name="Comma 2 5 2 4 3 4 4" xfId="8628"/>
    <cellStyle name="Comma 2 5 2 4 3 4 5" xfId="21617"/>
    <cellStyle name="Comma 2 5 2 4 3 4 6" xfId="22690"/>
    <cellStyle name="Comma 2 5 2 4 3 4 7" xfId="23781"/>
    <cellStyle name="Comma 2 5 2 4 3 5" xfId="1356"/>
    <cellStyle name="Comma 2 5 2 4 3 5 2" xfId="10126"/>
    <cellStyle name="Comma 2 5 2 4 3 5 2 2" xfId="25926"/>
    <cellStyle name="Comma 2 5 2 4 3 5 3" xfId="15811"/>
    <cellStyle name="Comma 2 5 2 4 3 5 3 2" xfId="24826"/>
    <cellStyle name="Comma 2 5 2 4 3 5 4" xfId="8629"/>
    <cellStyle name="Comma 2 5 2 4 3 5 5" xfId="21618"/>
    <cellStyle name="Comma 2 5 2 4 3 5 6" xfId="22691"/>
    <cellStyle name="Comma 2 5 2 4 3 5 7" xfId="23782"/>
    <cellStyle name="Comma 2 5 2 4 3 6" xfId="10122"/>
    <cellStyle name="Comma 2 5 2 4 3 6 2" xfId="25922"/>
    <cellStyle name="Comma 2 5 2 4 3 7" xfId="15807"/>
    <cellStyle name="Comma 2 5 2 4 3 7 2" xfId="24822"/>
    <cellStyle name="Comma 2 5 2 4 3 8" xfId="8625"/>
    <cellStyle name="Comma 2 5 2 4 3 9" xfId="21614"/>
    <cellStyle name="Comma 2 5 2 4 4" xfId="1357"/>
    <cellStyle name="Comma 2 5 2 4 4 2" xfId="10127"/>
    <cellStyle name="Comma 2 5 2 4 4 2 2" xfId="25927"/>
    <cellStyle name="Comma 2 5 2 4 4 3" xfId="15812"/>
    <cellStyle name="Comma 2 5 2 4 4 3 2" xfId="24827"/>
    <cellStyle name="Comma 2 5 2 4 4 4" xfId="8630"/>
    <cellStyle name="Comma 2 5 2 4 4 5" xfId="21619"/>
    <cellStyle name="Comma 2 5 2 4 4 6" xfId="22692"/>
    <cellStyle name="Comma 2 5 2 4 4 7" xfId="23783"/>
    <cellStyle name="Comma 2 5 2 4 5" xfId="1358"/>
    <cellStyle name="Comma 2 5 2 4 5 2" xfId="10128"/>
    <cellStyle name="Comma 2 5 2 4 5 2 2" xfId="25928"/>
    <cellStyle name="Comma 2 5 2 4 5 3" xfId="15813"/>
    <cellStyle name="Comma 2 5 2 4 5 3 2" xfId="24828"/>
    <cellStyle name="Comma 2 5 2 4 5 4" xfId="8631"/>
    <cellStyle name="Comma 2 5 2 4 5 5" xfId="21620"/>
    <cellStyle name="Comma 2 5 2 4 5 6" xfId="22693"/>
    <cellStyle name="Comma 2 5 2 4 5 7" xfId="23784"/>
    <cellStyle name="Comma 2 5 2 4 6" xfId="1359"/>
    <cellStyle name="Comma 2 5 2 4 6 2" xfId="10129"/>
    <cellStyle name="Comma 2 5 2 4 6 2 2" xfId="25929"/>
    <cellStyle name="Comma 2 5 2 4 6 3" xfId="15814"/>
    <cellStyle name="Comma 2 5 2 4 6 3 2" xfId="24829"/>
    <cellStyle name="Comma 2 5 2 4 6 4" xfId="8632"/>
    <cellStyle name="Comma 2 5 2 4 6 5" xfId="21621"/>
    <cellStyle name="Comma 2 5 2 4 6 6" xfId="22694"/>
    <cellStyle name="Comma 2 5 2 4 6 7" xfId="23785"/>
    <cellStyle name="Comma 2 5 2 4 7" xfId="1360"/>
    <cellStyle name="Comma 2 5 2 4 7 2" xfId="10130"/>
    <cellStyle name="Comma 2 5 2 4 7 2 2" xfId="25930"/>
    <cellStyle name="Comma 2 5 2 4 7 3" xfId="15815"/>
    <cellStyle name="Comma 2 5 2 4 7 3 2" xfId="24830"/>
    <cellStyle name="Comma 2 5 2 4 7 4" xfId="8633"/>
    <cellStyle name="Comma 2 5 2 4 7 5" xfId="21622"/>
    <cellStyle name="Comma 2 5 2 4 7 6" xfId="22695"/>
    <cellStyle name="Comma 2 5 2 4 7 7" xfId="23786"/>
    <cellStyle name="Comma 2 5 2 4 8" xfId="1361"/>
    <cellStyle name="Comma 2 5 2 4 8 2" xfId="10131"/>
    <cellStyle name="Comma 2 5 2 4 8 2 2" xfId="25931"/>
    <cellStyle name="Comma 2 5 2 4 8 3" xfId="15816"/>
    <cellStyle name="Comma 2 5 2 4 8 3 2" xfId="24831"/>
    <cellStyle name="Comma 2 5 2 4 8 4" xfId="8634"/>
    <cellStyle name="Comma 2 5 2 4 8 5" xfId="21623"/>
    <cellStyle name="Comma 2 5 2 4 8 6" xfId="22696"/>
    <cellStyle name="Comma 2 5 2 4 8 7" xfId="23787"/>
    <cellStyle name="Comma 2 5 2 4 9" xfId="9138"/>
    <cellStyle name="Comma 2 5 2 4 9 2" xfId="25192"/>
    <cellStyle name="Comma 2 5 2 5" xfId="284"/>
    <cellStyle name="Comma 2 5 2 5 10" xfId="21624"/>
    <cellStyle name="Comma 2 5 2 5 11" xfId="22697"/>
    <cellStyle name="Comma 2 5 2 5 12" xfId="23055"/>
    <cellStyle name="Comma 2 5 2 5 2" xfId="1362"/>
    <cellStyle name="Comma 2 5 2 5 2 2" xfId="10132"/>
    <cellStyle name="Comma 2 5 2 5 2 2 2" xfId="25932"/>
    <cellStyle name="Comma 2 5 2 5 2 3" xfId="15818"/>
    <cellStyle name="Comma 2 5 2 5 2 3 2" xfId="24833"/>
    <cellStyle name="Comma 2 5 2 5 2 4" xfId="8636"/>
    <cellStyle name="Comma 2 5 2 5 2 5" xfId="21625"/>
    <cellStyle name="Comma 2 5 2 5 2 6" xfId="22698"/>
    <cellStyle name="Comma 2 5 2 5 2 7" xfId="23788"/>
    <cellStyle name="Comma 2 5 2 5 3" xfId="1363"/>
    <cellStyle name="Comma 2 5 2 5 3 2" xfId="10133"/>
    <cellStyle name="Comma 2 5 2 5 3 2 2" xfId="25933"/>
    <cellStyle name="Comma 2 5 2 5 3 3" xfId="15819"/>
    <cellStyle name="Comma 2 5 2 5 3 3 2" xfId="24834"/>
    <cellStyle name="Comma 2 5 2 5 3 4" xfId="8637"/>
    <cellStyle name="Comma 2 5 2 5 3 5" xfId="21626"/>
    <cellStyle name="Comma 2 5 2 5 3 6" xfId="22699"/>
    <cellStyle name="Comma 2 5 2 5 3 7" xfId="23789"/>
    <cellStyle name="Comma 2 5 2 5 4" xfId="1364"/>
    <cellStyle name="Comma 2 5 2 5 4 2" xfId="10134"/>
    <cellStyle name="Comma 2 5 2 5 4 2 2" xfId="25934"/>
    <cellStyle name="Comma 2 5 2 5 4 3" xfId="15820"/>
    <cellStyle name="Comma 2 5 2 5 4 3 2" xfId="24835"/>
    <cellStyle name="Comma 2 5 2 5 4 4" xfId="8638"/>
    <cellStyle name="Comma 2 5 2 5 4 5" xfId="21627"/>
    <cellStyle name="Comma 2 5 2 5 4 6" xfId="22700"/>
    <cellStyle name="Comma 2 5 2 5 4 7" xfId="23790"/>
    <cellStyle name="Comma 2 5 2 5 5" xfId="1365"/>
    <cellStyle name="Comma 2 5 2 5 5 2" xfId="10135"/>
    <cellStyle name="Comma 2 5 2 5 5 2 2" xfId="25935"/>
    <cellStyle name="Comma 2 5 2 5 5 3" xfId="15821"/>
    <cellStyle name="Comma 2 5 2 5 5 3 2" xfId="24836"/>
    <cellStyle name="Comma 2 5 2 5 5 4" xfId="8639"/>
    <cellStyle name="Comma 2 5 2 5 5 5" xfId="21628"/>
    <cellStyle name="Comma 2 5 2 5 5 6" xfId="22701"/>
    <cellStyle name="Comma 2 5 2 5 5 7" xfId="23791"/>
    <cellStyle name="Comma 2 5 2 5 6" xfId="1366"/>
    <cellStyle name="Comma 2 5 2 5 6 2" xfId="10136"/>
    <cellStyle name="Comma 2 5 2 5 6 2 2" xfId="25936"/>
    <cellStyle name="Comma 2 5 2 5 6 3" xfId="15822"/>
    <cellStyle name="Comma 2 5 2 5 6 3 2" xfId="24837"/>
    <cellStyle name="Comma 2 5 2 5 6 4" xfId="8640"/>
    <cellStyle name="Comma 2 5 2 5 6 5" xfId="21629"/>
    <cellStyle name="Comma 2 5 2 5 6 6" xfId="22702"/>
    <cellStyle name="Comma 2 5 2 5 6 7" xfId="23792"/>
    <cellStyle name="Comma 2 5 2 5 7" xfId="9140"/>
    <cellStyle name="Comma 2 5 2 5 7 2" xfId="25194"/>
    <cellStyle name="Comma 2 5 2 5 8" xfId="15817"/>
    <cellStyle name="Comma 2 5 2 5 8 2" xfId="24832"/>
    <cellStyle name="Comma 2 5 2 5 9" xfId="8635"/>
    <cellStyle name="Comma 2 5 2 6" xfId="1367"/>
    <cellStyle name="Comma 2 5 2 6 10" xfId="22703"/>
    <cellStyle name="Comma 2 5 2 6 11" xfId="23793"/>
    <cellStyle name="Comma 2 5 2 6 2" xfId="1368"/>
    <cellStyle name="Comma 2 5 2 6 2 2" xfId="10138"/>
    <cellStyle name="Comma 2 5 2 6 2 2 2" xfId="25938"/>
    <cellStyle name="Comma 2 5 2 6 2 3" xfId="15824"/>
    <cellStyle name="Comma 2 5 2 6 2 3 2" xfId="24839"/>
    <cellStyle name="Comma 2 5 2 6 2 4" xfId="8642"/>
    <cellStyle name="Comma 2 5 2 6 2 5" xfId="21631"/>
    <cellStyle name="Comma 2 5 2 6 2 6" xfId="22704"/>
    <cellStyle name="Comma 2 5 2 6 2 7" xfId="23794"/>
    <cellStyle name="Comma 2 5 2 6 3" xfId="1369"/>
    <cellStyle name="Comma 2 5 2 6 3 2" xfId="10139"/>
    <cellStyle name="Comma 2 5 2 6 3 2 2" xfId="25939"/>
    <cellStyle name="Comma 2 5 2 6 3 3" xfId="15825"/>
    <cellStyle name="Comma 2 5 2 6 3 3 2" xfId="24840"/>
    <cellStyle name="Comma 2 5 2 6 3 4" xfId="8643"/>
    <cellStyle name="Comma 2 5 2 6 3 5" xfId="21632"/>
    <cellStyle name="Comma 2 5 2 6 3 6" xfId="22705"/>
    <cellStyle name="Comma 2 5 2 6 3 7" xfId="23795"/>
    <cellStyle name="Comma 2 5 2 6 4" xfId="1370"/>
    <cellStyle name="Comma 2 5 2 6 4 2" xfId="10140"/>
    <cellStyle name="Comma 2 5 2 6 4 2 2" xfId="25940"/>
    <cellStyle name="Comma 2 5 2 6 4 3" xfId="15826"/>
    <cellStyle name="Comma 2 5 2 6 4 3 2" xfId="24841"/>
    <cellStyle name="Comma 2 5 2 6 4 4" xfId="8644"/>
    <cellStyle name="Comma 2 5 2 6 4 5" xfId="21633"/>
    <cellStyle name="Comma 2 5 2 6 4 6" xfId="22706"/>
    <cellStyle name="Comma 2 5 2 6 4 7" xfId="23796"/>
    <cellStyle name="Comma 2 5 2 6 5" xfId="1371"/>
    <cellStyle name="Comma 2 5 2 6 5 2" xfId="10141"/>
    <cellStyle name="Comma 2 5 2 6 5 2 2" xfId="25941"/>
    <cellStyle name="Comma 2 5 2 6 5 3" xfId="15827"/>
    <cellStyle name="Comma 2 5 2 6 5 3 2" xfId="24842"/>
    <cellStyle name="Comma 2 5 2 6 5 4" xfId="8645"/>
    <cellStyle name="Comma 2 5 2 6 5 5" xfId="21634"/>
    <cellStyle name="Comma 2 5 2 6 5 6" xfId="22707"/>
    <cellStyle name="Comma 2 5 2 6 5 7" xfId="23797"/>
    <cellStyle name="Comma 2 5 2 6 6" xfId="10137"/>
    <cellStyle name="Comma 2 5 2 6 6 2" xfId="25937"/>
    <cellStyle name="Comma 2 5 2 6 7" xfId="15823"/>
    <cellStyle name="Comma 2 5 2 6 7 2" xfId="24838"/>
    <cellStyle name="Comma 2 5 2 6 8" xfId="8641"/>
    <cellStyle name="Comma 2 5 2 6 9" xfId="21630"/>
    <cellStyle name="Comma 2 5 2 7" xfId="1372"/>
    <cellStyle name="Comma 2 5 2 7 10" xfId="22708"/>
    <cellStyle name="Comma 2 5 2 7 11" xfId="23798"/>
    <cellStyle name="Comma 2 5 2 7 2" xfId="1373"/>
    <cellStyle name="Comma 2 5 2 7 2 2" xfId="10143"/>
    <cellStyle name="Comma 2 5 2 7 2 2 2" xfId="25943"/>
    <cellStyle name="Comma 2 5 2 7 2 3" xfId="15829"/>
    <cellStyle name="Comma 2 5 2 7 2 3 2" xfId="24844"/>
    <cellStyle name="Comma 2 5 2 7 2 4" xfId="8647"/>
    <cellStyle name="Comma 2 5 2 7 2 5" xfId="21636"/>
    <cellStyle name="Comma 2 5 2 7 2 6" xfId="22709"/>
    <cellStyle name="Comma 2 5 2 7 2 7" xfId="23799"/>
    <cellStyle name="Comma 2 5 2 7 3" xfId="1374"/>
    <cellStyle name="Comma 2 5 2 7 3 2" xfId="10144"/>
    <cellStyle name="Comma 2 5 2 7 3 2 2" xfId="25944"/>
    <cellStyle name="Comma 2 5 2 7 3 3" xfId="15830"/>
    <cellStyle name="Comma 2 5 2 7 3 3 2" xfId="24845"/>
    <cellStyle name="Comma 2 5 2 7 3 4" xfId="8648"/>
    <cellStyle name="Comma 2 5 2 7 3 5" xfId="21637"/>
    <cellStyle name="Comma 2 5 2 7 3 6" xfId="22710"/>
    <cellStyle name="Comma 2 5 2 7 3 7" xfId="23800"/>
    <cellStyle name="Comma 2 5 2 7 4" xfId="1375"/>
    <cellStyle name="Comma 2 5 2 7 4 2" xfId="10145"/>
    <cellStyle name="Comma 2 5 2 7 4 2 2" xfId="25945"/>
    <cellStyle name="Comma 2 5 2 7 4 3" xfId="15831"/>
    <cellStyle name="Comma 2 5 2 7 4 3 2" xfId="24846"/>
    <cellStyle name="Comma 2 5 2 7 4 4" xfId="8649"/>
    <cellStyle name="Comma 2 5 2 7 4 5" xfId="21638"/>
    <cellStyle name="Comma 2 5 2 7 4 6" xfId="22711"/>
    <cellStyle name="Comma 2 5 2 7 4 7" xfId="23801"/>
    <cellStyle name="Comma 2 5 2 7 5" xfId="1376"/>
    <cellStyle name="Comma 2 5 2 7 5 2" xfId="10146"/>
    <cellStyle name="Comma 2 5 2 7 5 2 2" xfId="25946"/>
    <cellStyle name="Comma 2 5 2 7 5 3" xfId="15832"/>
    <cellStyle name="Comma 2 5 2 7 5 3 2" xfId="24847"/>
    <cellStyle name="Comma 2 5 2 7 5 4" xfId="8650"/>
    <cellStyle name="Comma 2 5 2 7 5 5" xfId="21639"/>
    <cellStyle name="Comma 2 5 2 7 5 6" xfId="22712"/>
    <cellStyle name="Comma 2 5 2 7 5 7" xfId="23802"/>
    <cellStyle name="Comma 2 5 2 7 6" xfId="10142"/>
    <cellStyle name="Comma 2 5 2 7 6 2" xfId="25942"/>
    <cellStyle name="Comma 2 5 2 7 7" xfId="15828"/>
    <cellStyle name="Comma 2 5 2 7 7 2" xfId="24843"/>
    <cellStyle name="Comma 2 5 2 7 8" xfId="8646"/>
    <cellStyle name="Comma 2 5 2 7 9" xfId="21635"/>
    <cellStyle name="Comma 2 5 2 8" xfId="1377"/>
    <cellStyle name="Comma 2 5 2 8 2" xfId="10147"/>
    <cellStyle name="Comma 2 5 2 8 2 2" xfId="25947"/>
    <cellStyle name="Comma 2 5 2 8 3" xfId="15833"/>
    <cellStyle name="Comma 2 5 2 8 3 2" xfId="24848"/>
    <cellStyle name="Comma 2 5 2 8 4" xfId="8651"/>
    <cellStyle name="Comma 2 5 2 8 5" xfId="21640"/>
    <cellStyle name="Comma 2 5 2 8 6" xfId="22713"/>
    <cellStyle name="Comma 2 5 2 8 7" xfId="23803"/>
    <cellStyle name="Comma 2 5 2 9" xfId="1378"/>
    <cellStyle name="Comma 2 5 2 9 2" xfId="10148"/>
    <cellStyle name="Comma 2 5 2 9 2 2" xfId="25948"/>
    <cellStyle name="Comma 2 5 2 9 3" xfId="15834"/>
    <cellStyle name="Comma 2 5 2 9 3 2" xfId="24849"/>
    <cellStyle name="Comma 2 5 2 9 4" xfId="8652"/>
    <cellStyle name="Comma 2 5 2 9 5" xfId="21641"/>
    <cellStyle name="Comma 2 5 2 9 6" xfId="22714"/>
    <cellStyle name="Comma 2 5 2 9 7" xfId="23804"/>
    <cellStyle name="Comma 2 5 3" xfId="285"/>
    <cellStyle name="Comma 2 5 3 10" xfId="1379"/>
    <cellStyle name="Comma 2 5 3 10 2" xfId="10149"/>
    <cellStyle name="Comma 2 5 3 10 2 2" xfId="25949"/>
    <cellStyle name="Comma 2 5 3 10 3" xfId="15836"/>
    <cellStyle name="Comma 2 5 3 10 3 2" xfId="24851"/>
    <cellStyle name="Comma 2 5 3 10 4" xfId="8654"/>
    <cellStyle name="Comma 2 5 3 10 5" xfId="21643"/>
    <cellStyle name="Comma 2 5 3 10 6" xfId="22716"/>
    <cellStyle name="Comma 2 5 3 10 7" xfId="23805"/>
    <cellStyle name="Comma 2 5 3 11" xfId="1380"/>
    <cellStyle name="Comma 2 5 3 11 2" xfId="10150"/>
    <cellStyle name="Comma 2 5 3 11 2 2" xfId="25950"/>
    <cellStyle name="Comma 2 5 3 11 3" xfId="15837"/>
    <cellStyle name="Comma 2 5 3 11 3 2" xfId="24852"/>
    <cellStyle name="Comma 2 5 3 11 4" xfId="8655"/>
    <cellStyle name="Comma 2 5 3 11 5" xfId="21644"/>
    <cellStyle name="Comma 2 5 3 11 6" xfId="22717"/>
    <cellStyle name="Comma 2 5 3 11 7" xfId="23806"/>
    <cellStyle name="Comma 2 5 3 12" xfId="9141"/>
    <cellStyle name="Comma 2 5 3 12 2" xfId="25195"/>
    <cellStyle name="Comma 2 5 3 13" xfId="15835"/>
    <cellStyle name="Comma 2 5 3 13 2" xfId="24850"/>
    <cellStyle name="Comma 2 5 3 14" xfId="8653"/>
    <cellStyle name="Comma 2 5 3 15" xfId="21642"/>
    <cellStyle name="Comma 2 5 3 16" xfId="22715"/>
    <cellStyle name="Comma 2 5 3 17" xfId="23056"/>
    <cellStyle name="Comma 2 5 3 2" xfId="286"/>
    <cellStyle name="Comma 2 5 3 2 10" xfId="1381"/>
    <cellStyle name="Comma 2 5 3 2 10 2" xfId="10151"/>
    <cellStyle name="Comma 2 5 3 2 10 2 2" xfId="25951"/>
    <cellStyle name="Comma 2 5 3 2 10 3" xfId="15839"/>
    <cellStyle name="Comma 2 5 3 2 10 3 2" xfId="24854"/>
    <cellStyle name="Comma 2 5 3 2 10 4" xfId="8657"/>
    <cellStyle name="Comma 2 5 3 2 10 5" xfId="21646"/>
    <cellStyle name="Comma 2 5 3 2 10 6" xfId="22719"/>
    <cellStyle name="Comma 2 5 3 2 10 7" xfId="23807"/>
    <cellStyle name="Comma 2 5 3 2 11" xfId="9142"/>
    <cellStyle name="Comma 2 5 3 2 11 2" xfId="25196"/>
    <cellStyle name="Comma 2 5 3 2 12" xfId="15838"/>
    <cellStyle name="Comma 2 5 3 2 12 2" xfId="24853"/>
    <cellStyle name="Comma 2 5 3 2 13" xfId="8656"/>
    <cellStyle name="Comma 2 5 3 2 14" xfId="21645"/>
    <cellStyle name="Comma 2 5 3 2 15" xfId="22718"/>
    <cellStyle name="Comma 2 5 3 2 16" xfId="23057"/>
    <cellStyle name="Comma 2 5 3 2 2" xfId="287"/>
    <cellStyle name="Comma 2 5 3 2 2 10" xfId="15840"/>
    <cellStyle name="Comma 2 5 3 2 2 10 2" xfId="24855"/>
    <cellStyle name="Comma 2 5 3 2 2 11" xfId="8658"/>
    <cellStyle name="Comma 2 5 3 2 2 12" xfId="21647"/>
    <cellStyle name="Comma 2 5 3 2 2 13" xfId="22720"/>
    <cellStyle name="Comma 2 5 3 2 2 14" xfId="23058"/>
    <cellStyle name="Comma 2 5 3 2 2 2" xfId="288"/>
    <cellStyle name="Comma 2 5 3 2 2 2 10" xfId="21648"/>
    <cellStyle name="Comma 2 5 3 2 2 2 11" xfId="22721"/>
    <cellStyle name="Comma 2 5 3 2 2 2 12" xfId="23059"/>
    <cellStyle name="Comma 2 5 3 2 2 2 2" xfId="1382"/>
    <cellStyle name="Comma 2 5 3 2 2 2 2 2" xfId="10152"/>
    <cellStyle name="Comma 2 5 3 2 2 2 2 2 2" xfId="25952"/>
    <cellStyle name="Comma 2 5 3 2 2 2 2 3" xfId="15842"/>
    <cellStyle name="Comma 2 5 3 2 2 2 2 3 2" xfId="24857"/>
    <cellStyle name="Comma 2 5 3 2 2 2 2 4" xfId="8660"/>
    <cellStyle name="Comma 2 5 3 2 2 2 2 5" xfId="21649"/>
    <cellStyle name="Comma 2 5 3 2 2 2 2 6" xfId="22722"/>
    <cellStyle name="Comma 2 5 3 2 2 2 2 7" xfId="23808"/>
    <cellStyle name="Comma 2 5 3 2 2 2 3" xfId="1383"/>
    <cellStyle name="Comma 2 5 3 2 2 2 3 2" xfId="10153"/>
    <cellStyle name="Comma 2 5 3 2 2 2 3 2 2" xfId="25953"/>
    <cellStyle name="Comma 2 5 3 2 2 2 3 3" xfId="15843"/>
    <cellStyle name="Comma 2 5 3 2 2 2 3 3 2" xfId="24858"/>
    <cellStyle name="Comma 2 5 3 2 2 2 3 4" xfId="8661"/>
    <cellStyle name="Comma 2 5 3 2 2 2 3 5" xfId="21650"/>
    <cellStyle name="Comma 2 5 3 2 2 2 3 6" xfId="22723"/>
    <cellStyle name="Comma 2 5 3 2 2 2 3 7" xfId="23809"/>
    <cellStyle name="Comma 2 5 3 2 2 2 4" xfId="1384"/>
    <cellStyle name="Comma 2 5 3 2 2 2 4 2" xfId="10154"/>
    <cellStyle name="Comma 2 5 3 2 2 2 4 2 2" xfId="25954"/>
    <cellStyle name="Comma 2 5 3 2 2 2 4 3" xfId="15844"/>
    <cellStyle name="Comma 2 5 3 2 2 2 4 3 2" xfId="24859"/>
    <cellStyle name="Comma 2 5 3 2 2 2 4 4" xfId="8662"/>
    <cellStyle name="Comma 2 5 3 2 2 2 4 5" xfId="21651"/>
    <cellStyle name="Comma 2 5 3 2 2 2 4 6" xfId="22724"/>
    <cellStyle name="Comma 2 5 3 2 2 2 4 7" xfId="23810"/>
    <cellStyle name="Comma 2 5 3 2 2 2 5" xfId="1385"/>
    <cellStyle name="Comma 2 5 3 2 2 2 5 2" xfId="10155"/>
    <cellStyle name="Comma 2 5 3 2 2 2 5 2 2" xfId="25955"/>
    <cellStyle name="Comma 2 5 3 2 2 2 5 3" xfId="15845"/>
    <cellStyle name="Comma 2 5 3 2 2 2 5 3 2" xfId="24860"/>
    <cellStyle name="Comma 2 5 3 2 2 2 5 4" xfId="8663"/>
    <cellStyle name="Comma 2 5 3 2 2 2 5 5" xfId="21652"/>
    <cellStyle name="Comma 2 5 3 2 2 2 5 6" xfId="22725"/>
    <cellStyle name="Comma 2 5 3 2 2 2 5 7" xfId="23811"/>
    <cellStyle name="Comma 2 5 3 2 2 2 6" xfId="1386"/>
    <cellStyle name="Comma 2 5 3 2 2 2 6 2" xfId="10156"/>
    <cellStyle name="Comma 2 5 3 2 2 2 6 2 2" xfId="25956"/>
    <cellStyle name="Comma 2 5 3 2 2 2 6 3" xfId="15846"/>
    <cellStyle name="Comma 2 5 3 2 2 2 6 3 2" xfId="24861"/>
    <cellStyle name="Comma 2 5 3 2 2 2 6 4" xfId="8664"/>
    <cellStyle name="Comma 2 5 3 2 2 2 6 5" xfId="21653"/>
    <cellStyle name="Comma 2 5 3 2 2 2 6 6" xfId="22726"/>
    <cellStyle name="Comma 2 5 3 2 2 2 6 7" xfId="23812"/>
    <cellStyle name="Comma 2 5 3 2 2 2 7" xfId="9144"/>
    <cellStyle name="Comma 2 5 3 2 2 2 7 2" xfId="25198"/>
    <cellStyle name="Comma 2 5 3 2 2 2 8" xfId="15841"/>
    <cellStyle name="Comma 2 5 3 2 2 2 8 2" xfId="24856"/>
    <cellStyle name="Comma 2 5 3 2 2 2 9" xfId="8659"/>
    <cellStyle name="Comma 2 5 3 2 2 3" xfId="1387"/>
    <cellStyle name="Comma 2 5 3 2 2 3 10" xfId="22727"/>
    <cellStyle name="Comma 2 5 3 2 2 3 11" xfId="23813"/>
    <cellStyle name="Comma 2 5 3 2 2 3 2" xfId="1388"/>
    <cellStyle name="Comma 2 5 3 2 2 3 2 2" xfId="10158"/>
    <cellStyle name="Comma 2 5 3 2 2 3 2 2 2" xfId="25958"/>
    <cellStyle name="Comma 2 5 3 2 2 3 2 3" xfId="15848"/>
    <cellStyle name="Comma 2 5 3 2 2 3 2 3 2" xfId="24863"/>
    <cellStyle name="Comma 2 5 3 2 2 3 2 4" xfId="8666"/>
    <cellStyle name="Comma 2 5 3 2 2 3 2 5" xfId="21655"/>
    <cellStyle name="Comma 2 5 3 2 2 3 2 6" xfId="22728"/>
    <cellStyle name="Comma 2 5 3 2 2 3 2 7" xfId="23814"/>
    <cellStyle name="Comma 2 5 3 2 2 3 3" xfId="1389"/>
    <cellStyle name="Comma 2 5 3 2 2 3 3 2" xfId="10159"/>
    <cellStyle name="Comma 2 5 3 2 2 3 3 2 2" xfId="25959"/>
    <cellStyle name="Comma 2 5 3 2 2 3 3 3" xfId="15849"/>
    <cellStyle name="Comma 2 5 3 2 2 3 3 3 2" xfId="24864"/>
    <cellStyle name="Comma 2 5 3 2 2 3 3 4" xfId="8667"/>
    <cellStyle name="Comma 2 5 3 2 2 3 3 5" xfId="21656"/>
    <cellStyle name="Comma 2 5 3 2 2 3 3 6" xfId="22729"/>
    <cellStyle name="Comma 2 5 3 2 2 3 3 7" xfId="23815"/>
    <cellStyle name="Comma 2 5 3 2 2 3 4" xfId="1390"/>
    <cellStyle name="Comma 2 5 3 2 2 3 4 2" xfId="10160"/>
    <cellStyle name="Comma 2 5 3 2 2 3 4 2 2" xfId="25960"/>
    <cellStyle name="Comma 2 5 3 2 2 3 4 3" xfId="15850"/>
    <cellStyle name="Comma 2 5 3 2 2 3 4 3 2" xfId="24865"/>
    <cellStyle name="Comma 2 5 3 2 2 3 4 4" xfId="8668"/>
    <cellStyle name="Comma 2 5 3 2 2 3 4 5" xfId="21657"/>
    <cellStyle name="Comma 2 5 3 2 2 3 4 6" xfId="22730"/>
    <cellStyle name="Comma 2 5 3 2 2 3 4 7" xfId="23816"/>
    <cellStyle name="Comma 2 5 3 2 2 3 5" xfId="1391"/>
    <cellStyle name="Comma 2 5 3 2 2 3 5 2" xfId="10161"/>
    <cellStyle name="Comma 2 5 3 2 2 3 5 2 2" xfId="25961"/>
    <cellStyle name="Comma 2 5 3 2 2 3 5 3" xfId="15851"/>
    <cellStyle name="Comma 2 5 3 2 2 3 5 3 2" xfId="24866"/>
    <cellStyle name="Comma 2 5 3 2 2 3 5 4" xfId="8669"/>
    <cellStyle name="Comma 2 5 3 2 2 3 5 5" xfId="21658"/>
    <cellStyle name="Comma 2 5 3 2 2 3 5 6" xfId="22731"/>
    <cellStyle name="Comma 2 5 3 2 2 3 5 7" xfId="23817"/>
    <cellStyle name="Comma 2 5 3 2 2 3 6" xfId="10157"/>
    <cellStyle name="Comma 2 5 3 2 2 3 6 2" xfId="25957"/>
    <cellStyle name="Comma 2 5 3 2 2 3 7" xfId="15847"/>
    <cellStyle name="Comma 2 5 3 2 2 3 7 2" xfId="24862"/>
    <cellStyle name="Comma 2 5 3 2 2 3 8" xfId="8665"/>
    <cellStyle name="Comma 2 5 3 2 2 3 9" xfId="21654"/>
    <cellStyle name="Comma 2 5 3 2 2 4" xfId="1392"/>
    <cellStyle name="Comma 2 5 3 2 2 4 2" xfId="10162"/>
    <cellStyle name="Comma 2 5 3 2 2 4 2 2" xfId="25962"/>
    <cellStyle name="Comma 2 5 3 2 2 4 3" xfId="15852"/>
    <cellStyle name="Comma 2 5 3 2 2 4 3 2" xfId="24867"/>
    <cellStyle name="Comma 2 5 3 2 2 4 4" xfId="8670"/>
    <cellStyle name="Comma 2 5 3 2 2 4 5" xfId="21659"/>
    <cellStyle name="Comma 2 5 3 2 2 4 6" xfId="22732"/>
    <cellStyle name="Comma 2 5 3 2 2 4 7" xfId="23818"/>
    <cellStyle name="Comma 2 5 3 2 2 5" xfId="1393"/>
    <cellStyle name="Comma 2 5 3 2 2 5 2" xfId="10163"/>
    <cellStyle name="Comma 2 5 3 2 2 5 2 2" xfId="25963"/>
    <cellStyle name="Comma 2 5 3 2 2 5 3" xfId="15853"/>
    <cellStyle name="Comma 2 5 3 2 2 5 3 2" xfId="24868"/>
    <cellStyle name="Comma 2 5 3 2 2 5 4" xfId="8671"/>
    <cellStyle name="Comma 2 5 3 2 2 5 5" xfId="21660"/>
    <cellStyle name="Comma 2 5 3 2 2 5 6" xfId="22733"/>
    <cellStyle name="Comma 2 5 3 2 2 5 7" xfId="23819"/>
    <cellStyle name="Comma 2 5 3 2 2 6" xfId="1394"/>
    <cellStyle name="Comma 2 5 3 2 2 6 2" xfId="10164"/>
    <cellStyle name="Comma 2 5 3 2 2 6 2 2" xfId="25964"/>
    <cellStyle name="Comma 2 5 3 2 2 6 3" xfId="15854"/>
    <cellStyle name="Comma 2 5 3 2 2 6 3 2" xfId="24869"/>
    <cellStyle name="Comma 2 5 3 2 2 6 4" xfId="8672"/>
    <cellStyle name="Comma 2 5 3 2 2 6 5" xfId="21661"/>
    <cellStyle name="Comma 2 5 3 2 2 6 6" xfId="22734"/>
    <cellStyle name="Comma 2 5 3 2 2 6 7" xfId="23820"/>
    <cellStyle name="Comma 2 5 3 2 2 7" xfId="1395"/>
    <cellStyle name="Comma 2 5 3 2 2 7 2" xfId="10165"/>
    <cellStyle name="Comma 2 5 3 2 2 7 2 2" xfId="25965"/>
    <cellStyle name="Comma 2 5 3 2 2 7 3" xfId="15855"/>
    <cellStyle name="Comma 2 5 3 2 2 7 3 2" xfId="24870"/>
    <cellStyle name="Comma 2 5 3 2 2 7 4" xfId="8673"/>
    <cellStyle name="Comma 2 5 3 2 2 7 5" xfId="21662"/>
    <cellStyle name="Comma 2 5 3 2 2 7 6" xfId="22735"/>
    <cellStyle name="Comma 2 5 3 2 2 7 7" xfId="23821"/>
    <cellStyle name="Comma 2 5 3 2 2 8" xfId="1396"/>
    <cellStyle name="Comma 2 5 3 2 2 8 2" xfId="10166"/>
    <cellStyle name="Comma 2 5 3 2 2 8 2 2" xfId="25966"/>
    <cellStyle name="Comma 2 5 3 2 2 8 3" xfId="15856"/>
    <cellStyle name="Comma 2 5 3 2 2 8 3 2" xfId="24871"/>
    <cellStyle name="Comma 2 5 3 2 2 8 4" xfId="8674"/>
    <cellStyle name="Comma 2 5 3 2 2 8 5" xfId="21663"/>
    <cellStyle name="Comma 2 5 3 2 2 8 6" xfId="22736"/>
    <cellStyle name="Comma 2 5 3 2 2 8 7" xfId="23822"/>
    <cellStyle name="Comma 2 5 3 2 2 9" xfId="9143"/>
    <cellStyle name="Comma 2 5 3 2 2 9 2" xfId="25197"/>
    <cellStyle name="Comma 2 5 3 2 3" xfId="289"/>
    <cellStyle name="Comma 2 5 3 2 3 10" xfId="21664"/>
    <cellStyle name="Comma 2 5 3 2 3 11" xfId="22737"/>
    <cellStyle name="Comma 2 5 3 2 3 12" xfId="23060"/>
    <cellStyle name="Comma 2 5 3 2 3 2" xfId="1397"/>
    <cellStyle name="Comma 2 5 3 2 3 2 2" xfId="10167"/>
    <cellStyle name="Comma 2 5 3 2 3 2 2 2" xfId="25967"/>
    <cellStyle name="Comma 2 5 3 2 3 2 3" xfId="15858"/>
    <cellStyle name="Comma 2 5 3 2 3 2 3 2" xfId="24873"/>
    <cellStyle name="Comma 2 5 3 2 3 2 4" xfId="8676"/>
    <cellStyle name="Comma 2 5 3 2 3 2 5" xfId="21665"/>
    <cellStyle name="Comma 2 5 3 2 3 2 6" xfId="22738"/>
    <cellStyle name="Comma 2 5 3 2 3 2 7" xfId="23823"/>
    <cellStyle name="Comma 2 5 3 2 3 3" xfId="1398"/>
    <cellStyle name="Comma 2 5 3 2 3 3 2" xfId="10168"/>
    <cellStyle name="Comma 2 5 3 2 3 3 2 2" xfId="25968"/>
    <cellStyle name="Comma 2 5 3 2 3 3 3" xfId="15859"/>
    <cellStyle name="Comma 2 5 3 2 3 3 3 2" xfId="24874"/>
    <cellStyle name="Comma 2 5 3 2 3 3 4" xfId="8677"/>
    <cellStyle name="Comma 2 5 3 2 3 3 5" xfId="21666"/>
    <cellStyle name="Comma 2 5 3 2 3 3 6" xfId="22739"/>
    <cellStyle name="Comma 2 5 3 2 3 3 7" xfId="23824"/>
    <cellStyle name="Comma 2 5 3 2 3 4" xfId="1399"/>
    <cellStyle name="Comma 2 5 3 2 3 4 2" xfId="10169"/>
    <cellStyle name="Comma 2 5 3 2 3 4 2 2" xfId="25969"/>
    <cellStyle name="Comma 2 5 3 2 3 4 3" xfId="15860"/>
    <cellStyle name="Comma 2 5 3 2 3 4 3 2" xfId="24875"/>
    <cellStyle name="Comma 2 5 3 2 3 4 4" xfId="8678"/>
    <cellStyle name="Comma 2 5 3 2 3 4 5" xfId="21667"/>
    <cellStyle name="Comma 2 5 3 2 3 4 6" xfId="22740"/>
    <cellStyle name="Comma 2 5 3 2 3 4 7" xfId="23825"/>
    <cellStyle name="Comma 2 5 3 2 3 5" xfId="1400"/>
    <cellStyle name="Comma 2 5 3 2 3 5 2" xfId="10170"/>
    <cellStyle name="Comma 2 5 3 2 3 5 2 2" xfId="25970"/>
    <cellStyle name="Comma 2 5 3 2 3 5 3" xfId="15861"/>
    <cellStyle name="Comma 2 5 3 2 3 5 3 2" xfId="24876"/>
    <cellStyle name="Comma 2 5 3 2 3 5 4" xfId="8679"/>
    <cellStyle name="Comma 2 5 3 2 3 5 5" xfId="21668"/>
    <cellStyle name="Comma 2 5 3 2 3 5 6" xfId="22741"/>
    <cellStyle name="Comma 2 5 3 2 3 5 7" xfId="23826"/>
    <cellStyle name="Comma 2 5 3 2 3 6" xfId="1401"/>
    <cellStyle name="Comma 2 5 3 2 3 6 2" xfId="10171"/>
    <cellStyle name="Comma 2 5 3 2 3 6 2 2" xfId="25971"/>
    <cellStyle name="Comma 2 5 3 2 3 6 3" xfId="15862"/>
    <cellStyle name="Comma 2 5 3 2 3 6 3 2" xfId="24877"/>
    <cellStyle name="Comma 2 5 3 2 3 6 4" xfId="8680"/>
    <cellStyle name="Comma 2 5 3 2 3 6 5" xfId="21669"/>
    <cellStyle name="Comma 2 5 3 2 3 6 6" xfId="22742"/>
    <cellStyle name="Comma 2 5 3 2 3 6 7" xfId="23827"/>
    <cellStyle name="Comma 2 5 3 2 3 7" xfId="9145"/>
    <cellStyle name="Comma 2 5 3 2 3 7 2" xfId="25199"/>
    <cellStyle name="Comma 2 5 3 2 3 8" xfId="15857"/>
    <cellStyle name="Comma 2 5 3 2 3 8 2" xfId="24872"/>
    <cellStyle name="Comma 2 5 3 2 3 9" xfId="8675"/>
    <cellStyle name="Comma 2 5 3 2 4" xfId="1402"/>
    <cellStyle name="Comma 2 5 3 2 4 10" xfId="22743"/>
    <cellStyle name="Comma 2 5 3 2 4 11" xfId="23828"/>
    <cellStyle name="Comma 2 5 3 2 4 2" xfId="1403"/>
    <cellStyle name="Comma 2 5 3 2 4 2 2" xfId="10173"/>
    <cellStyle name="Comma 2 5 3 2 4 2 2 2" xfId="25973"/>
    <cellStyle name="Comma 2 5 3 2 4 2 3" xfId="15864"/>
    <cellStyle name="Comma 2 5 3 2 4 2 3 2" xfId="24879"/>
    <cellStyle name="Comma 2 5 3 2 4 2 4" xfId="8682"/>
    <cellStyle name="Comma 2 5 3 2 4 2 5" xfId="21671"/>
    <cellStyle name="Comma 2 5 3 2 4 2 6" xfId="22744"/>
    <cellStyle name="Comma 2 5 3 2 4 2 7" xfId="23829"/>
    <cellStyle name="Comma 2 5 3 2 4 3" xfId="1404"/>
    <cellStyle name="Comma 2 5 3 2 4 3 2" xfId="10174"/>
    <cellStyle name="Comma 2 5 3 2 4 3 2 2" xfId="25974"/>
    <cellStyle name="Comma 2 5 3 2 4 3 3" xfId="15865"/>
    <cellStyle name="Comma 2 5 3 2 4 3 3 2" xfId="24880"/>
    <cellStyle name="Comma 2 5 3 2 4 3 4" xfId="8683"/>
    <cellStyle name="Comma 2 5 3 2 4 3 5" xfId="21672"/>
    <cellStyle name="Comma 2 5 3 2 4 3 6" xfId="22745"/>
    <cellStyle name="Comma 2 5 3 2 4 3 7" xfId="23830"/>
    <cellStyle name="Comma 2 5 3 2 4 4" xfId="1405"/>
    <cellStyle name="Comma 2 5 3 2 4 4 2" xfId="10175"/>
    <cellStyle name="Comma 2 5 3 2 4 4 2 2" xfId="25975"/>
    <cellStyle name="Comma 2 5 3 2 4 4 3" xfId="15866"/>
    <cellStyle name="Comma 2 5 3 2 4 4 3 2" xfId="24881"/>
    <cellStyle name="Comma 2 5 3 2 4 4 4" xfId="8684"/>
    <cellStyle name="Comma 2 5 3 2 4 4 5" xfId="21673"/>
    <cellStyle name="Comma 2 5 3 2 4 4 6" xfId="22746"/>
    <cellStyle name="Comma 2 5 3 2 4 4 7" xfId="23831"/>
    <cellStyle name="Comma 2 5 3 2 4 5" xfId="1406"/>
    <cellStyle name="Comma 2 5 3 2 4 5 2" xfId="10176"/>
    <cellStyle name="Comma 2 5 3 2 4 5 2 2" xfId="25976"/>
    <cellStyle name="Comma 2 5 3 2 4 5 3" xfId="15867"/>
    <cellStyle name="Comma 2 5 3 2 4 5 3 2" xfId="24882"/>
    <cellStyle name="Comma 2 5 3 2 4 5 4" xfId="8685"/>
    <cellStyle name="Comma 2 5 3 2 4 5 5" xfId="21674"/>
    <cellStyle name="Comma 2 5 3 2 4 5 6" xfId="22747"/>
    <cellStyle name="Comma 2 5 3 2 4 5 7" xfId="23832"/>
    <cellStyle name="Comma 2 5 3 2 4 6" xfId="10172"/>
    <cellStyle name="Comma 2 5 3 2 4 6 2" xfId="25972"/>
    <cellStyle name="Comma 2 5 3 2 4 7" xfId="15863"/>
    <cellStyle name="Comma 2 5 3 2 4 7 2" xfId="24878"/>
    <cellStyle name="Comma 2 5 3 2 4 8" xfId="8681"/>
    <cellStyle name="Comma 2 5 3 2 4 9" xfId="21670"/>
    <cellStyle name="Comma 2 5 3 2 5" xfId="1407"/>
    <cellStyle name="Comma 2 5 3 2 5 10" xfId="22748"/>
    <cellStyle name="Comma 2 5 3 2 5 11" xfId="23833"/>
    <cellStyle name="Comma 2 5 3 2 5 2" xfId="1408"/>
    <cellStyle name="Comma 2 5 3 2 5 2 2" xfId="10178"/>
    <cellStyle name="Comma 2 5 3 2 5 2 2 2" xfId="25978"/>
    <cellStyle name="Comma 2 5 3 2 5 2 3" xfId="15869"/>
    <cellStyle name="Comma 2 5 3 2 5 2 3 2" xfId="24884"/>
    <cellStyle name="Comma 2 5 3 2 5 2 4" xfId="8687"/>
    <cellStyle name="Comma 2 5 3 2 5 2 5" xfId="21676"/>
    <cellStyle name="Comma 2 5 3 2 5 2 6" xfId="22749"/>
    <cellStyle name="Comma 2 5 3 2 5 2 7" xfId="23834"/>
    <cellStyle name="Comma 2 5 3 2 5 3" xfId="1409"/>
    <cellStyle name="Comma 2 5 3 2 5 3 2" xfId="10179"/>
    <cellStyle name="Comma 2 5 3 2 5 3 2 2" xfId="25979"/>
    <cellStyle name="Comma 2 5 3 2 5 3 3" xfId="15870"/>
    <cellStyle name="Comma 2 5 3 2 5 3 3 2" xfId="24885"/>
    <cellStyle name="Comma 2 5 3 2 5 3 4" xfId="8688"/>
    <cellStyle name="Comma 2 5 3 2 5 3 5" xfId="21677"/>
    <cellStyle name="Comma 2 5 3 2 5 3 6" xfId="22750"/>
    <cellStyle name="Comma 2 5 3 2 5 3 7" xfId="23835"/>
    <cellStyle name="Comma 2 5 3 2 5 4" xfId="1410"/>
    <cellStyle name="Comma 2 5 3 2 5 4 2" xfId="10180"/>
    <cellStyle name="Comma 2 5 3 2 5 4 2 2" xfId="25980"/>
    <cellStyle name="Comma 2 5 3 2 5 4 3" xfId="15871"/>
    <cellStyle name="Comma 2 5 3 2 5 4 3 2" xfId="24886"/>
    <cellStyle name="Comma 2 5 3 2 5 4 4" xfId="8689"/>
    <cellStyle name="Comma 2 5 3 2 5 4 5" xfId="21678"/>
    <cellStyle name="Comma 2 5 3 2 5 4 6" xfId="22751"/>
    <cellStyle name="Comma 2 5 3 2 5 4 7" xfId="23836"/>
    <cellStyle name="Comma 2 5 3 2 5 5" xfId="1411"/>
    <cellStyle name="Comma 2 5 3 2 5 5 2" xfId="10181"/>
    <cellStyle name="Comma 2 5 3 2 5 5 2 2" xfId="25981"/>
    <cellStyle name="Comma 2 5 3 2 5 5 3" xfId="15872"/>
    <cellStyle name="Comma 2 5 3 2 5 5 3 2" xfId="24887"/>
    <cellStyle name="Comma 2 5 3 2 5 5 4" xfId="8690"/>
    <cellStyle name="Comma 2 5 3 2 5 5 5" xfId="21679"/>
    <cellStyle name="Comma 2 5 3 2 5 5 6" xfId="22752"/>
    <cellStyle name="Comma 2 5 3 2 5 5 7" xfId="23837"/>
    <cellStyle name="Comma 2 5 3 2 5 6" xfId="10177"/>
    <cellStyle name="Comma 2 5 3 2 5 6 2" xfId="25977"/>
    <cellStyle name="Comma 2 5 3 2 5 7" xfId="15868"/>
    <cellStyle name="Comma 2 5 3 2 5 7 2" xfId="24883"/>
    <cellStyle name="Comma 2 5 3 2 5 8" xfId="8686"/>
    <cellStyle name="Comma 2 5 3 2 5 9" xfId="21675"/>
    <cellStyle name="Comma 2 5 3 2 6" xfId="1412"/>
    <cellStyle name="Comma 2 5 3 2 6 2" xfId="10182"/>
    <cellStyle name="Comma 2 5 3 2 6 2 2" xfId="25982"/>
    <cellStyle name="Comma 2 5 3 2 6 3" xfId="15873"/>
    <cellStyle name="Comma 2 5 3 2 6 3 2" xfId="24888"/>
    <cellStyle name="Comma 2 5 3 2 6 4" xfId="8691"/>
    <cellStyle name="Comma 2 5 3 2 6 5" xfId="21680"/>
    <cellStyle name="Comma 2 5 3 2 6 6" xfId="22753"/>
    <cellStyle name="Comma 2 5 3 2 6 7" xfId="23838"/>
    <cellStyle name="Comma 2 5 3 2 7" xfId="1413"/>
    <cellStyle name="Comma 2 5 3 2 7 2" xfId="10183"/>
    <cellStyle name="Comma 2 5 3 2 7 2 2" xfId="25983"/>
    <cellStyle name="Comma 2 5 3 2 7 3" xfId="15874"/>
    <cellStyle name="Comma 2 5 3 2 7 3 2" xfId="24889"/>
    <cellStyle name="Comma 2 5 3 2 7 4" xfId="8692"/>
    <cellStyle name="Comma 2 5 3 2 7 5" xfId="21681"/>
    <cellStyle name="Comma 2 5 3 2 7 6" xfId="22754"/>
    <cellStyle name="Comma 2 5 3 2 7 7" xfId="23839"/>
    <cellStyle name="Comma 2 5 3 2 8" xfId="1414"/>
    <cellStyle name="Comma 2 5 3 2 8 2" xfId="10184"/>
    <cellStyle name="Comma 2 5 3 2 8 2 2" xfId="25984"/>
    <cellStyle name="Comma 2 5 3 2 8 3" xfId="15875"/>
    <cellStyle name="Comma 2 5 3 2 8 3 2" xfId="24890"/>
    <cellStyle name="Comma 2 5 3 2 8 4" xfId="8693"/>
    <cellStyle name="Comma 2 5 3 2 8 5" xfId="21682"/>
    <cellStyle name="Comma 2 5 3 2 8 6" xfId="22755"/>
    <cellStyle name="Comma 2 5 3 2 8 7" xfId="23840"/>
    <cellStyle name="Comma 2 5 3 2 9" xfId="1415"/>
    <cellStyle name="Comma 2 5 3 2 9 2" xfId="10185"/>
    <cellStyle name="Comma 2 5 3 2 9 2 2" xfId="25985"/>
    <cellStyle name="Comma 2 5 3 2 9 3" xfId="15876"/>
    <cellStyle name="Comma 2 5 3 2 9 3 2" xfId="24891"/>
    <cellStyle name="Comma 2 5 3 2 9 4" xfId="8694"/>
    <cellStyle name="Comma 2 5 3 2 9 5" xfId="21683"/>
    <cellStyle name="Comma 2 5 3 2 9 6" xfId="22756"/>
    <cellStyle name="Comma 2 5 3 2 9 7" xfId="23841"/>
    <cellStyle name="Comma 2 5 3 3" xfId="290"/>
    <cellStyle name="Comma 2 5 3 3 10" xfId="15877"/>
    <cellStyle name="Comma 2 5 3 3 10 2" xfId="24892"/>
    <cellStyle name="Comma 2 5 3 3 11" xfId="8695"/>
    <cellStyle name="Comma 2 5 3 3 12" xfId="21684"/>
    <cellStyle name="Comma 2 5 3 3 13" xfId="22757"/>
    <cellStyle name="Comma 2 5 3 3 14" xfId="23061"/>
    <cellStyle name="Comma 2 5 3 3 2" xfId="291"/>
    <cellStyle name="Comma 2 5 3 3 2 10" xfId="21685"/>
    <cellStyle name="Comma 2 5 3 3 2 11" xfId="22758"/>
    <cellStyle name="Comma 2 5 3 3 2 12" xfId="23062"/>
    <cellStyle name="Comma 2 5 3 3 2 2" xfId="1416"/>
    <cellStyle name="Comma 2 5 3 3 2 2 2" xfId="10186"/>
    <cellStyle name="Comma 2 5 3 3 2 2 2 2" xfId="25986"/>
    <cellStyle name="Comma 2 5 3 3 2 2 3" xfId="15879"/>
    <cellStyle name="Comma 2 5 3 3 2 2 3 2" xfId="24894"/>
    <cellStyle name="Comma 2 5 3 3 2 2 4" xfId="8697"/>
    <cellStyle name="Comma 2 5 3 3 2 2 5" xfId="21686"/>
    <cellStyle name="Comma 2 5 3 3 2 2 6" xfId="22759"/>
    <cellStyle name="Comma 2 5 3 3 2 2 7" xfId="23842"/>
    <cellStyle name="Comma 2 5 3 3 2 3" xfId="1417"/>
    <cellStyle name="Comma 2 5 3 3 2 3 2" xfId="10187"/>
    <cellStyle name="Comma 2 5 3 3 2 3 2 2" xfId="25987"/>
    <cellStyle name="Comma 2 5 3 3 2 3 3" xfId="15880"/>
    <cellStyle name="Comma 2 5 3 3 2 3 3 2" xfId="24895"/>
    <cellStyle name="Comma 2 5 3 3 2 3 4" xfId="8698"/>
    <cellStyle name="Comma 2 5 3 3 2 3 5" xfId="21687"/>
    <cellStyle name="Comma 2 5 3 3 2 3 6" xfId="22760"/>
    <cellStyle name="Comma 2 5 3 3 2 3 7" xfId="23843"/>
    <cellStyle name="Comma 2 5 3 3 2 4" xfId="1418"/>
    <cellStyle name="Comma 2 5 3 3 2 4 2" xfId="10188"/>
    <cellStyle name="Comma 2 5 3 3 2 4 2 2" xfId="25988"/>
    <cellStyle name="Comma 2 5 3 3 2 4 3" xfId="15881"/>
    <cellStyle name="Comma 2 5 3 3 2 4 3 2" xfId="24896"/>
    <cellStyle name="Comma 2 5 3 3 2 4 4" xfId="8699"/>
    <cellStyle name="Comma 2 5 3 3 2 4 5" xfId="21688"/>
    <cellStyle name="Comma 2 5 3 3 2 4 6" xfId="22761"/>
    <cellStyle name="Comma 2 5 3 3 2 4 7" xfId="23844"/>
    <cellStyle name="Comma 2 5 3 3 2 5" xfId="1419"/>
    <cellStyle name="Comma 2 5 3 3 2 5 2" xfId="10189"/>
    <cellStyle name="Comma 2 5 3 3 2 5 2 2" xfId="25989"/>
    <cellStyle name="Comma 2 5 3 3 2 5 3" xfId="15882"/>
    <cellStyle name="Comma 2 5 3 3 2 5 3 2" xfId="24897"/>
    <cellStyle name="Comma 2 5 3 3 2 5 4" xfId="8700"/>
    <cellStyle name="Comma 2 5 3 3 2 5 5" xfId="21689"/>
    <cellStyle name="Comma 2 5 3 3 2 5 6" xfId="22762"/>
    <cellStyle name="Comma 2 5 3 3 2 5 7" xfId="23845"/>
    <cellStyle name="Comma 2 5 3 3 2 6" xfId="1420"/>
    <cellStyle name="Comma 2 5 3 3 2 6 2" xfId="10190"/>
    <cellStyle name="Comma 2 5 3 3 2 6 2 2" xfId="25990"/>
    <cellStyle name="Comma 2 5 3 3 2 6 3" xfId="15883"/>
    <cellStyle name="Comma 2 5 3 3 2 6 3 2" xfId="24898"/>
    <cellStyle name="Comma 2 5 3 3 2 6 4" xfId="8701"/>
    <cellStyle name="Comma 2 5 3 3 2 6 5" xfId="21690"/>
    <cellStyle name="Comma 2 5 3 3 2 6 6" xfId="22763"/>
    <cellStyle name="Comma 2 5 3 3 2 6 7" xfId="23846"/>
    <cellStyle name="Comma 2 5 3 3 2 7" xfId="9147"/>
    <cellStyle name="Comma 2 5 3 3 2 7 2" xfId="25201"/>
    <cellStyle name="Comma 2 5 3 3 2 8" xfId="15878"/>
    <cellStyle name="Comma 2 5 3 3 2 8 2" xfId="24893"/>
    <cellStyle name="Comma 2 5 3 3 2 9" xfId="8696"/>
    <cellStyle name="Comma 2 5 3 3 3" xfId="1421"/>
    <cellStyle name="Comma 2 5 3 3 3 10" xfId="22764"/>
    <cellStyle name="Comma 2 5 3 3 3 11" xfId="23847"/>
    <cellStyle name="Comma 2 5 3 3 3 2" xfId="1422"/>
    <cellStyle name="Comma 2 5 3 3 3 2 2" xfId="10192"/>
    <cellStyle name="Comma 2 5 3 3 3 2 2 2" xfId="25992"/>
    <cellStyle name="Comma 2 5 3 3 3 2 3" xfId="15885"/>
    <cellStyle name="Comma 2 5 3 3 3 2 3 2" xfId="24900"/>
    <cellStyle name="Comma 2 5 3 3 3 2 4" xfId="8703"/>
    <cellStyle name="Comma 2 5 3 3 3 2 5" xfId="21692"/>
    <cellStyle name="Comma 2 5 3 3 3 2 6" xfId="22765"/>
    <cellStyle name="Comma 2 5 3 3 3 2 7" xfId="23848"/>
    <cellStyle name="Comma 2 5 3 3 3 3" xfId="1423"/>
    <cellStyle name="Comma 2 5 3 3 3 3 2" xfId="10193"/>
    <cellStyle name="Comma 2 5 3 3 3 3 2 2" xfId="25993"/>
    <cellStyle name="Comma 2 5 3 3 3 3 3" xfId="15886"/>
    <cellStyle name="Comma 2 5 3 3 3 3 3 2" xfId="24901"/>
    <cellStyle name="Comma 2 5 3 3 3 3 4" xfId="8704"/>
    <cellStyle name="Comma 2 5 3 3 3 3 5" xfId="21693"/>
    <cellStyle name="Comma 2 5 3 3 3 3 6" xfId="22766"/>
    <cellStyle name="Comma 2 5 3 3 3 3 7" xfId="23849"/>
    <cellStyle name="Comma 2 5 3 3 3 4" xfId="1424"/>
    <cellStyle name="Comma 2 5 3 3 3 4 2" xfId="10194"/>
    <cellStyle name="Comma 2 5 3 3 3 4 2 2" xfId="25994"/>
    <cellStyle name="Comma 2 5 3 3 3 4 3" xfId="15887"/>
    <cellStyle name="Comma 2 5 3 3 3 4 3 2" xfId="24902"/>
    <cellStyle name="Comma 2 5 3 3 3 4 4" xfId="8705"/>
    <cellStyle name="Comma 2 5 3 3 3 4 5" xfId="21694"/>
    <cellStyle name="Comma 2 5 3 3 3 4 6" xfId="22767"/>
    <cellStyle name="Comma 2 5 3 3 3 4 7" xfId="23850"/>
    <cellStyle name="Comma 2 5 3 3 3 5" xfId="1425"/>
    <cellStyle name="Comma 2 5 3 3 3 5 2" xfId="10195"/>
    <cellStyle name="Comma 2 5 3 3 3 5 2 2" xfId="25995"/>
    <cellStyle name="Comma 2 5 3 3 3 5 3" xfId="15888"/>
    <cellStyle name="Comma 2 5 3 3 3 5 3 2" xfId="24903"/>
    <cellStyle name="Comma 2 5 3 3 3 5 4" xfId="8706"/>
    <cellStyle name="Comma 2 5 3 3 3 5 5" xfId="21695"/>
    <cellStyle name="Comma 2 5 3 3 3 5 6" xfId="22768"/>
    <cellStyle name="Comma 2 5 3 3 3 5 7" xfId="23851"/>
    <cellStyle name="Comma 2 5 3 3 3 6" xfId="10191"/>
    <cellStyle name="Comma 2 5 3 3 3 6 2" xfId="25991"/>
    <cellStyle name="Comma 2 5 3 3 3 7" xfId="15884"/>
    <cellStyle name="Comma 2 5 3 3 3 7 2" xfId="24899"/>
    <cellStyle name="Comma 2 5 3 3 3 8" xfId="8702"/>
    <cellStyle name="Comma 2 5 3 3 3 9" xfId="21691"/>
    <cellStyle name="Comma 2 5 3 3 4" xfId="1426"/>
    <cellStyle name="Comma 2 5 3 3 4 2" xfId="10196"/>
    <cellStyle name="Comma 2 5 3 3 4 2 2" xfId="25996"/>
    <cellStyle name="Comma 2 5 3 3 4 3" xfId="15889"/>
    <cellStyle name="Comma 2 5 3 3 4 3 2" xfId="24904"/>
    <cellStyle name="Comma 2 5 3 3 4 4" xfId="8707"/>
    <cellStyle name="Comma 2 5 3 3 4 5" xfId="21696"/>
    <cellStyle name="Comma 2 5 3 3 4 6" xfId="22769"/>
    <cellStyle name="Comma 2 5 3 3 4 7" xfId="23852"/>
    <cellStyle name="Comma 2 5 3 3 5" xfId="1427"/>
    <cellStyle name="Comma 2 5 3 3 5 2" xfId="10197"/>
    <cellStyle name="Comma 2 5 3 3 5 2 2" xfId="25997"/>
    <cellStyle name="Comma 2 5 3 3 5 3" xfId="15890"/>
    <cellStyle name="Comma 2 5 3 3 5 3 2" xfId="24905"/>
    <cellStyle name="Comma 2 5 3 3 5 4" xfId="8708"/>
    <cellStyle name="Comma 2 5 3 3 5 5" xfId="21697"/>
    <cellStyle name="Comma 2 5 3 3 5 6" xfId="22770"/>
    <cellStyle name="Comma 2 5 3 3 5 7" xfId="23853"/>
    <cellStyle name="Comma 2 5 3 3 6" xfId="1428"/>
    <cellStyle name="Comma 2 5 3 3 6 2" xfId="10198"/>
    <cellStyle name="Comma 2 5 3 3 6 2 2" xfId="25998"/>
    <cellStyle name="Comma 2 5 3 3 6 3" xfId="15891"/>
    <cellStyle name="Comma 2 5 3 3 6 3 2" xfId="24906"/>
    <cellStyle name="Comma 2 5 3 3 6 4" xfId="8709"/>
    <cellStyle name="Comma 2 5 3 3 6 5" xfId="21698"/>
    <cellStyle name="Comma 2 5 3 3 6 6" xfId="22771"/>
    <cellStyle name="Comma 2 5 3 3 6 7" xfId="23854"/>
    <cellStyle name="Comma 2 5 3 3 7" xfId="1429"/>
    <cellStyle name="Comma 2 5 3 3 7 2" xfId="10199"/>
    <cellStyle name="Comma 2 5 3 3 7 2 2" xfId="25999"/>
    <cellStyle name="Comma 2 5 3 3 7 3" xfId="15892"/>
    <cellStyle name="Comma 2 5 3 3 7 3 2" xfId="24907"/>
    <cellStyle name="Comma 2 5 3 3 7 4" xfId="8710"/>
    <cellStyle name="Comma 2 5 3 3 7 5" xfId="21699"/>
    <cellStyle name="Comma 2 5 3 3 7 6" xfId="22772"/>
    <cellStyle name="Comma 2 5 3 3 7 7" xfId="23855"/>
    <cellStyle name="Comma 2 5 3 3 8" xfId="1430"/>
    <cellStyle name="Comma 2 5 3 3 8 2" xfId="10200"/>
    <cellStyle name="Comma 2 5 3 3 8 2 2" xfId="26000"/>
    <cellStyle name="Comma 2 5 3 3 8 3" xfId="15893"/>
    <cellStyle name="Comma 2 5 3 3 8 3 2" xfId="24908"/>
    <cellStyle name="Comma 2 5 3 3 8 4" xfId="8711"/>
    <cellStyle name="Comma 2 5 3 3 8 5" xfId="21700"/>
    <cellStyle name="Comma 2 5 3 3 8 6" xfId="22773"/>
    <cellStyle name="Comma 2 5 3 3 8 7" xfId="23856"/>
    <cellStyle name="Comma 2 5 3 3 9" xfId="9146"/>
    <cellStyle name="Comma 2 5 3 3 9 2" xfId="25200"/>
    <cellStyle name="Comma 2 5 3 4" xfId="292"/>
    <cellStyle name="Comma 2 5 3 4 10" xfId="21701"/>
    <cellStyle name="Comma 2 5 3 4 11" xfId="22774"/>
    <cellStyle name="Comma 2 5 3 4 12" xfId="23063"/>
    <cellStyle name="Comma 2 5 3 4 2" xfId="1431"/>
    <cellStyle name="Comma 2 5 3 4 2 2" xfId="10201"/>
    <cellStyle name="Comma 2 5 3 4 2 2 2" xfId="26001"/>
    <cellStyle name="Comma 2 5 3 4 2 3" xfId="15895"/>
    <cellStyle name="Comma 2 5 3 4 2 3 2" xfId="24910"/>
    <cellStyle name="Comma 2 5 3 4 2 4" xfId="8713"/>
    <cellStyle name="Comma 2 5 3 4 2 5" xfId="21702"/>
    <cellStyle name="Comma 2 5 3 4 2 6" xfId="22775"/>
    <cellStyle name="Comma 2 5 3 4 2 7" xfId="23857"/>
    <cellStyle name="Comma 2 5 3 4 3" xfId="1432"/>
    <cellStyle name="Comma 2 5 3 4 3 2" xfId="10202"/>
    <cellStyle name="Comma 2 5 3 4 3 2 2" xfId="26002"/>
    <cellStyle name="Comma 2 5 3 4 3 3" xfId="15896"/>
    <cellStyle name="Comma 2 5 3 4 3 3 2" xfId="24911"/>
    <cellStyle name="Comma 2 5 3 4 3 4" xfId="8714"/>
    <cellStyle name="Comma 2 5 3 4 3 5" xfId="21703"/>
    <cellStyle name="Comma 2 5 3 4 3 6" xfId="22776"/>
    <cellStyle name="Comma 2 5 3 4 3 7" xfId="23858"/>
    <cellStyle name="Comma 2 5 3 4 4" xfId="1433"/>
    <cellStyle name="Comma 2 5 3 4 4 2" xfId="10203"/>
    <cellStyle name="Comma 2 5 3 4 4 2 2" xfId="26003"/>
    <cellStyle name="Comma 2 5 3 4 4 3" xfId="15897"/>
    <cellStyle name="Comma 2 5 3 4 4 3 2" xfId="24912"/>
    <cellStyle name="Comma 2 5 3 4 4 4" xfId="8715"/>
    <cellStyle name="Comma 2 5 3 4 4 5" xfId="21704"/>
    <cellStyle name="Comma 2 5 3 4 4 6" xfId="22777"/>
    <cellStyle name="Comma 2 5 3 4 4 7" xfId="23859"/>
    <cellStyle name="Comma 2 5 3 4 5" xfId="1434"/>
    <cellStyle name="Comma 2 5 3 4 5 2" xfId="10204"/>
    <cellStyle name="Comma 2 5 3 4 5 2 2" xfId="26004"/>
    <cellStyle name="Comma 2 5 3 4 5 3" xfId="15898"/>
    <cellStyle name="Comma 2 5 3 4 5 3 2" xfId="24913"/>
    <cellStyle name="Comma 2 5 3 4 5 4" xfId="8716"/>
    <cellStyle name="Comma 2 5 3 4 5 5" xfId="21705"/>
    <cellStyle name="Comma 2 5 3 4 5 6" xfId="22778"/>
    <cellStyle name="Comma 2 5 3 4 5 7" xfId="23860"/>
    <cellStyle name="Comma 2 5 3 4 6" xfId="1435"/>
    <cellStyle name="Comma 2 5 3 4 6 2" xfId="10205"/>
    <cellStyle name="Comma 2 5 3 4 6 2 2" xfId="26005"/>
    <cellStyle name="Comma 2 5 3 4 6 3" xfId="15899"/>
    <cellStyle name="Comma 2 5 3 4 6 3 2" xfId="24914"/>
    <cellStyle name="Comma 2 5 3 4 6 4" xfId="8717"/>
    <cellStyle name="Comma 2 5 3 4 6 5" xfId="21706"/>
    <cellStyle name="Comma 2 5 3 4 6 6" xfId="22779"/>
    <cellStyle name="Comma 2 5 3 4 6 7" xfId="23861"/>
    <cellStyle name="Comma 2 5 3 4 7" xfId="9148"/>
    <cellStyle name="Comma 2 5 3 4 7 2" xfId="25202"/>
    <cellStyle name="Comma 2 5 3 4 8" xfId="15894"/>
    <cellStyle name="Comma 2 5 3 4 8 2" xfId="24909"/>
    <cellStyle name="Comma 2 5 3 4 9" xfId="8712"/>
    <cellStyle name="Comma 2 5 3 5" xfId="1436"/>
    <cellStyle name="Comma 2 5 3 5 10" xfId="22780"/>
    <cellStyle name="Comma 2 5 3 5 11" xfId="23862"/>
    <cellStyle name="Comma 2 5 3 5 2" xfId="1437"/>
    <cellStyle name="Comma 2 5 3 5 2 2" xfId="10207"/>
    <cellStyle name="Comma 2 5 3 5 2 2 2" xfId="26007"/>
    <cellStyle name="Comma 2 5 3 5 2 3" xfId="15901"/>
    <cellStyle name="Comma 2 5 3 5 2 3 2" xfId="24916"/>
    <cellStyle name="Comma 2 5 3 5 2 4" xfId="8719"/>
    <cellStyle name="Comma 2 5 3 5 2 5" xfId="21708"/>
    <cellStyle name="Comma 2 5 3 5 2 6" xfId="22781"/>
    <cellStyle name="Comma 2 5 3 5 2 7" xfId="23863"/>
    <cellStyle name="Comma 2 5 3 5 3" xfId="1438"/>
    <cellStyle name="Comma 2 5 3 5 3 2" xfId="10208"/>
    <cellStyle name="Comma 2 5 3 5 3 2 2" xfId="26008"/>
    <cellStyle name="Comma 2 5 3 5 3 3" xfId="15902"/>
    <cellStyle name="Comma 2 5 3 5 3 3 2" xfId="24917"/>
    <cellStyle name="Comma 2 5 3 5 3 4" xfId="8720"/>
    <cellStyle name="Comma 2 5 3 5 3 5" xfId="21709"/>
    <cellStyle name="Comma 2 5 3 5 3 6" xfId="22782"/>
    <cellStyle name="Comma 2 5 3 5 3 7" xfId="23864"/>
    <cellStyle name="Comma 2 5 3 5 4" xfId="1439"/>
    <cellStyle name="Comma 2 5 3 5 4 2" xfId="10209"/>
    <cellStyle name="Comma 2 5 3 5 4 2 2" xfId="26009"/>
    <cellStyle name="Comma 2 5 3 5 4 3" xfId="15903"/>
    <cellStyle name="Comma 2 5 3 5 4 3 2" xfId="24918"/>
    <cellStyle name="Comma 2 5 3 5 4 4" xfId="8721"/>
    <cellStyle name="Comma 2 5 3 5 4 5" xfId="21710"/>
    <cellStyle name="Comma 2 5 3 5 4 6" xfId="22783"/>
    <cellStyle name="Comma 2 5 3 5 4 7" xfId="23865"/>
    <cellStyle name="Comma 2 5 3 5 5" xfId="1440"/>
    <cellStyle name="Comma 2 5 3 5 5 2" xfId="10210"/>
    <cellStyle name="Comma 2 5 3 5 5 2 2" xfId="26010"/>
    <cellStyle name="Comma 2 5 3 5 5 3" xfId="15904"/>
    <cellStyle name="Comma 2 5 3 5 5 3 2" xfId="24919"/>
    <cellStyle name="Comma 2 5 3 5 5 4" xfId="8722"/>
    <cellStyle name="Comma 2 5 3 5 5 5" xfId="21711"/>
    <cellStyle name="Comma 2 5 3 5 5 6" xfId="22784"/>
    <cellStyle name="Comma 2 5 3 5 5 7" xfId="23866"/>
    <cellStyle name="Comma 2 5 3 5 6" xfId="10206"/>
    <cellStyle name="Comma 2 5 3 5 6 2" xfId="26006"/>
    <cellStyle name="Comma 2 5 3 5 7" xfId="15900"/>
    <cellStyle name="Comma 2 5 3 5 7 2" xfId="24915"/>
    <cellStyle name="Comma 2 5 3 5 8" xfId="8718"/>
    <cellStyle name="Comma 2 5 3 5 9" xfId="21707"/>
    <cellStyle name="Comma 2 5 3 6" xfId="1441"/>
    <cellStyle name="Comma 2 5 3 6 10" xfId="22785"/>
    <cellStyle name="Comma 2 5 3 6 11" xfId="23867"/>
    <cellStyle name="Comma 2 5 3 6 2" xfId="1442"/>
    <cellStyle name="Comma 2 5 3 6 2 2" xfId="10212"/>
    <cellStyle name="Comma 2 5 3 6 2 2 2" xfId="26012"/>
    <cellStyle name="Comma 2 5 3 6 2 3" xfId="15906"/>
    <cellStyle name="Comma 2 5 3 6 2 3 2" xfId="24921"/>
    <cellStyle name="Comma 2 5 3 6 2 4" xfId="8724"/>
    <cellStyle name="Comma 2 5 3 6 2 5" xfId="21713"/>
    <cellStyle name="Comma 2 5 3 6 2 6" xfId="22786"/>
    <cellStyle name="Comma 2 5 3 6 2 7" xfId="23868"/>
    <cellStyle name="Comma 2 5 3 6 3" xfId="1443"/>
    <cellStyle name="Comma 2 5 3 6 3 2" xfId="10213"/>
    <cellStyle name="Comma 2 5 3 6 3 2 2" xfId="26013"/>
    <cellStyle name="Comma 2 5 3 6 3 3" xfId="15907"/>
    <cellStyle name="Comma 2 5 3 6 3 3 2" xfId="24922"/>
    <cellStyle name="Comma 2 5 3 6 3 4" xfId="8725"/>
    <cellStyle name="Comma 2 5 3 6 3 5" xfId="21714"/>
    <cellStyle name="Comma 2 5 3 6 3 6" xfId="22787"/>
    <cellStyle name="Comma 2 5 3 6 3 7" xfId="23869"/>
    <cellStyle name="Comma 2 5 3 6 4" xfId="1444"/>
    <cellStyle name="Comma 2 5 3 6 4 2" xfId="10214"/>
    <cellStyle name="Comma 2 5 3 6 4 2 2" xfId="26014"/>
    <cellStyle name="Comma 2 5 3 6 4 3" xfId="15908"/>
    <cellStyle name="Comma 2 5 3 6 4 3 2" xfId="24923"/>
    <cellStyle name="Comma 2 5 3 6 4 4" xfId="8726"/>
    <cellStyle name="Comma 2 5 3 6 4 5" xfId="21715"/>
    <cellStyle name="Comma 2 5 3 6 4 6" xfId="22788"/>
    <cellStyle name="Comma 2 5 3 6 4 7" xfId="23870"/>
    <cellStyle name="Comma 2 5 3 6 5" xfId="1445"/>
    <cellStyle name="Comma 2 5 3 6 5 2" xfId="10215"/>
    <cellStyle name="Comma 2 5 3 6 5 2 2" xfId="26015"/>
    <cellStyle name="Comma 2 5 3 6 5 3" xfId="15909"/>
    <cellStyle name="Comma 2 5 3 6 5 3 2" xfId="24924"/>
    <cellStyle name="Comma 2 5 3 6 5 4" xfId="8727"/>
    <cellStyle name="Comma 2 5 3 6 5 5" xfId="21716"/>
    <cellStyle name="Comma 2 5 3 6 5 6" xfId="22789"/>
    <cellStyle name="Comma 2 5 3 6 5 7" xfId="23871"/>
    <cellStyle name="Comma 2 5 3 6 6" xfId="10211"/>
    <cellStyle name="Comma 2 5 3 6 6 2" xfId="26011"/>
    <cellStyle name="Comma 2 5 3 6 7" xfId="15905"/>
    <cellStyle name="Comma 2 5 3 6 7 2" xfId="24920"/>
    <cellStyle name="Comma 2 5 3 6 8" xfId="8723"/>
    <cellStyle name="Comma 2 5 3 6 9" xfId="21712"/>
    <cellStyle name="Comma 2 5 3 7" xfId="1446"/>
    <cellStyle name="Comma 2 5 3 7 2" xfId="10216"/>
    <cellStyle name="Comma 2 5 3 7 2 2" xfId="26016"/>
    <cellStyle name="Comma 2 5 3 7 3" xfId="15910"/>
    <cellStyle name="Comma 2 5 3 7 3 2" xfId="24925"/>
    <cellStyle name="Comma 2 5 3 7 4" xfId="8728"/>
    <cellStyle name="Comma 2 5 3 7 5" xfId="21717"/>
    <cellStyle name="Comma 2 5 3 7 6" xfId="22790"/>
    <cellStyle name="Comma 2 5 3 7 7" xfId="23872"/>
    <cellStyle name="Comma 2 5 3 8" xfId="1447"/>
    <cellStyle name="Comma 2 5 3 8 2" xfId="10217"/>
    <cellStyle name="Comma 2 5 3 8 2 2" xfId="26017"/>
    <cellStyle name="Comma 2 5 3 8 3" xfId="15911"/>
    <cellStyle name="Comma 2 5 3 8 3 2" xfId="24926"/>
    <cellStyle name="Comma 2 5 3 8 4" xfId="8729"/>
    <cellStyle name="Comma 2 5 3 8 5" xfId="21718"/>
    <cellStyle name="Comma 2 5 3 8 6" xfId="22791"/>
    <cellStyle name="Comma 2 5 3 8 7" xfId="23873"/>
    <cellStyle name="Comma 2 5 3 9" xfId="1448"/>
    <cellStyle name="Comma 2 5 3 9 2" xfId="10218"/>
    <cellStyle name="Comma 2 5 3 9 2 2" xfId="26018"/>
    <cellStyle name="Comma 2 5 3 9 3" xfId="15912"/>
    <cellStyle name="Comma 2 5 3 9 3 2" xfId="24927"/>
    <cellStyle name="Comma 2 5 3 9 4" xfId="8730"/>
    <cellStyle name="Comma 2 5 3 9 5" xfId="21719"/>
    <cellStyle name="Comma 2 5 3 9 6" xfId="22792"/>
    <cellStyle name="Comma 2 5 3 9 7" xfId="23874"/>
    <cellStyle name="Comma 2 5 4" xfId="293"/>
    <cellStyle name="Comma 2 5 4 10" xfId="1449"/>
    <cellStyle name="Comma 2 5 4 10 2" xfId="10219"/>
    <cellStyle name="Comma 2 5 4 10 2 2" xfId="26019"/>
    <cellStyle name="Comma 2 5 4 10 3" xfId="15914"/>
    <cellStyle name="Comma 2 5 4 10 3 2" xfId="24929"/>
    <cellStyle name="Comma 2 5 4 10 4" xfId="8732"/>
    <cellStyle name="Comma 2 5 4 10 5" xfId="21721"/>
    <cellStyle name="Comma 2 5 4 10 6" xfId="22794"/>
    <cellStyle name="Comma 2 5 4 10 7" xfId="23875"/>
    <cellStyle name="Comma 2 5 4 11" xfId="9149"/>
    <cellStyle name="Comma 2 5 4 11 2" xfId="25203"/>
    <cellStyle name="Comma 2 5 4 12" xfId="15913"/>
    <cellStyle name="Comma 2 5 4 12 2" xfId="24928"/>
    <cellStyle name="Comma 2 5 4 13" xfId="8731"/>
    <cellStyle name="Comma 2 5 4 14" xfId="21720"/>
    <cellStyle name="Comma 2 5 4 15" xfId="22793"/>
    <cellStyle name="Comma 2 5 4 16" xfId="23064"/>
    <cellStyle name="Comma 2 5 4 2" xfId="294"/>
    <cellStyle name="Comma 2 5 4 2 10" xfId="15915"/>
    <cellStyle name="Comma 2 5 4 2 10 2" xfId="24930"/>
    <cellStyle name="Comma 2 5 4 2 11" xfId="8733"/>
    <cellStyle name="Comma 2 5 4 2 12" xfId="21722"/>
    <cellStyle name="Comma 2 5 4 2 13" xfId="22795"/>
    <cellStyle name="Comma 2 5 4 2 14" xfId="23065"/>
    <cellStyle name="Comma 2 5 4 2 2" xfId="295"/>
    <cellStyle name="Comma 2 5 4 2 2 10" xfId="21723"/>
    <cellStyle name="Comma 2 5 4 2 2 11" xfId="22796"/>
    <cellStyle name="Comma 2 5 4 2 2 12" xfId="23066"/>
    <cellStyle name="Comma 2 5 4 2 2 2" xfId="1450"/>
    <cellStyle name="Comma 2 5 4 2 2 2 2" xfId="10220"/>
    <cellStyle name="Comma 2 5 4 2 2 2 2 2" xfId="26020"/>
    <cellStyle name="Comma 2 5 4 2 2 2 3" xfId="15917"/>
    <cellStyle name="Comma 2 5 4 2 2 2 3 2" xfId="24932"/>
    <cellStyle name="Comma 2 5 4 2 2 2 4" xfId="8735"/>
    <cellStyle name="Comma 2 5 4 2 2 2 5" xfId="21724"/>
    <cellStyle name="Comma 2 5 4 2 2 2 6" xfId="22797"/>
    <cellStyle name="Comma 2 5 4 2 2 2 7" xfId="23876"/>
    <cellStyle name="Comma 2 5 4 2 2 3" xfId="1451"/>
    <cellStyle name="Comma 2 5 4 2 2 3 2" xfId="10221"/>
    <cellStyle name="Comma 2 5 4 2 2 3 2 2" xfId="26021"/>
    <cellStyle name="Comma 2 5 4 2 2 3 3" xfId="15918"/>
    <cellStyle name="Comma 2 5 4 2 2 3 3 2" xfId="24933"/>
    <cellStyle name="Comma 2 5 4 2 2 3 4" xfId="8736"/>
    <cellStyle name="Comma 2 5 4 2 2 3 5" xfId="21725"/>
    <cellStyle name="Comma 2 5 4 2 2 3 6" xfId="22798"/>
    <cellStyle name="Comma 2 5 4 2 2 3 7" xfId="23877"/>
    <cellStyle name="Comma 2 5 4 2 2 4" xfId="1452"/>
    <cellStyle name="Comma 2 5 4 2 2 4 2" xfId="10222"/>
    <cellStyle name="Comma 2 5 4 2 2 4 2 2" xfId="26022"/>
    <cellStyle name="Comma 2 5 4 2 2 4 3" xfId="15919"/>
    <cellStyle name="Comma 2 5 4 2 2 4 3 2" xfId="24934"/>
    <cellStyle name="Comma 2 5 4 2 2 4 4" xfId="8737"/>
    <cellStyle name="Comma 2 5 4 2 2 4 5" xfId="21726"/>
    <cellStyle name="Comma 2 5 4 2 2 4 6" xfId="22799"/>
    <cellStyle name="Comma 2 5 4 2 2 4 7" xfId="23878"/>
    <cellStyle name="Comma 2 5 4 2 2 5" xfId="1453"/>
    <cellStyle name="Comma 2 5 4 2 2 5 2" xfId="10223"/>
    <cellStyle name="Comma 2 5 4 2 2 5 2 2" xfId="26023"/>
    <cellStyle name="Comma 2 5 4 2 2 5 3" xfId="15920"/>
    <cellStyle name="Comma 2 5 4 2 2 5 3 2" xfId="24935"/>
    <cellStyle name="Comma 2 5 4 2 2 5 4" xfId="8738"/>
    <cellStyle name="Comma 2 5 4 2 2 5 5" xfId="21727"/>
    <cellStyle name="Comma 2 5 4 2 2 5 6" xfId="22800"/>
    <cellStyle name="Comma 2 5 4 2 2 5 7" xfId="23879"/>
    <cellStyle name="Comma 2 5 4 2 2 6" xfId="1454"/>
    <cellStyle name="Comma 2 5 4 2 2 6 2" xfId="10224"/>
    <cellStyle name="Comma 2 5 4 2 2 6 2 2" xfId="26024"/>
    <cellStyle name="Comma 2 5 4 2 2 6 3" xfId="15921"/>
    <cellStyle name="Comma 2 5 4 2 2 6 3 2" xfId="24936"/>
    <cellStyle name="Comma 2 5 4 2 2 6 4" xfId="8739"/>
    <cellStyle name="Comma 2 5 4 2 2 6 5" xfId="21728"/>
    <cellStyle name="Comma 2 5 4 2 2 6 6" xfId="22801"/>
    <cellStyle name="Comma 2 5 4 2 2 6 7" xfId="23880"/>
    <cellStyle name="Comma 2 5 4 2 2 7" xfId="9151"/>
    <cellStyle name="Comma 2 5 4 2 2 7 2" xfId="25205"/>
    <cellStyle name="Comma 2 5 4 2 2 8" xfId="15916"/>
    <cellStyle name="Comma 2 5 4 2 2 8 2" xfId="24931"/>
    <cellStyle name="Comma 2 5 4 2 2 9" xfId="8734"/>
    <cellStyle name="Comma 2 5 4 2 3" xfId="1455"/>
    <cellStyle name="Comma 2 5 4 2 3 10" xfId="22802"/>
    <cellStyle name="Comma 2 5 4 2 3 11" xfId="23881"/>
    <cellStyle name="Comma 2 5 4 2 3 2" xfId="1456"/>
    <cellStyle name="Comma 2 5 4 2 3 2 2" xfId="10226"/>
    <cellStyle name="Comma 2 5 4 2 3 2 2 2" xfId="26026"/>
    <cellStyle name="Comma 2 5 4 2 3 2 3" xfId="15923"/>
    <cellStyle name="Comma 2 5 4 2 3 2 3 2" xfId="24938"/>
    <cellStyle name="Comma 2 5 4 2 3 2 4" xfId="8741"/>
    <cellStyle name="Comma 2 5 4 2 3 2 5" xfId="21730"/>
    <cellStyle name="Comma 2 5 4 2 3 2 6" xfId="22803"/>
    <cellStyle name="Comma 2 5 4 2 3 2 7" xfId="23882"/>
    <cellStyle name="Comma 2 5 4 2 3 3" xfId="1457"/>
    <cellStyle name="Comma 2 5 4 2 3 3 2" xfId="10227"/>
    <cellStyle name="Comma 2 5 4 2 3 3 2 2" xfId="26027"/>
    <cellStyle name="Comma 2 5 4 2 3 3 3" xfId="15924"/>
    <cellStyle name="Comma 2 5 4 2 3 3 3 2" xfId="24939"/>
    <cellStyle name="Comma 2 5 4 2 3 3 4" xfId="8742"/>
    <cellStyle name="Comma 2 5 4 2 3 3 5" xfId="21731"/>
    <cellStyle name="Comma 2 5 4 2 3 3 6" xfId="22804"/>
    <cellStyle name="Comma 2 5 4 2 3 3 7" xfId="23883"/>
    <cellStyle name="Comma 2 5 4 2 3 4" xfId="1458"/>
    <cellStyle name="Comma 2 5 4 2 3 4 2" xfId="10228"/>
    <cellStyle name="Comma 2 5 4 2 3 4 2 2" xfId="26028"/>
    <cellStyle name="Comma 2 5 4 2 3 4 3" xfId="15925"/>
    <cellStyle name="Comma 2 5 4 2 3 4 3 2" xfId="24940"/>
    <cellStyle name="Comma 2 5 4 2 3 4 4" xfId="8743"/>
    <cellStyle name="Comma 2 5 4 2 3 4 5" xfId="21732"/>
    <cellStyle name="Comma 2 5 4 2 3 4 6" xfId="22805"/>
    <cellStyle name="Comma 2 5 4 2 3 4 7" xfId="23884"/>
    <cellStyle name="Comma 2 5 4 2 3 5" xfId="1459"/>
    <cellStyle name="Comma 2 5 4 2 3 5 2" xfId="10229"/>
    <cellStyle name="Comma 2 5 4 2 3 5 2 2" xfId="26029"/>
    <cellStyle name="Comma 2 5 4 2 3 5 3" xfId="15926"/>
    <cellStyle name="Comma 2 5 4 2 3 5 3 2" xfId="24941"/>
    <cellStyle name="Comma 2 5 4 2 3 5 4" xfId="8744"/>
    <cellStyle name="Comma 2 5 4 2 3 5 5" xfId="21733"/>
    <cellStyle name="Comma 2 5 4 2 3 5 6" xfId="22806"/>
    <cellStyle name="Comma 2 5 4 2 3 5 7" xfId="23885"/>
    <cellStyle name="Comma 2 5 4 2 3 6" xfId="10225"/>
    <cellStyle name="Comma 2 5 4 2 3 6 2" xfId="26025"/>
    <cellStyle name="Comma 2 5 4 2 3 7" xfId="15922"/>
    <cellStyle name="Comma 2 5 4 2 3 7 2" xfId="24937"/>
    <cellStyle name="Comma 2 5 4 2 3 8" xfId="8740"/>
    <cellStyle name="Comma 2 5 4 2 3 9" xfId="21729"/>
    <cellStyle name="Comma 2 5 4 2 4" xfId="1460"/>
    <cellStyle name="Comma 2 5 4 2 4 2" xfId="10230"/>
    <cellStyle name="Comma 2 5 4 2 4 2 2" xfId="26030"/>
    <cellStyle name="Comma 2 5 4 2 4 3" xfId="15927"/>
    <cellStyle name="Comma 2 5 4 2 4 3 2" xfId="24942"/>
    <cellStyle name="Comma 2 5 4 2 4 4" xfId="8745"/>
    <cellStyle name="Comma 2 5 4 2 4 5" xfId="21734"/>
    <cellStyle name="Comma 2 5 4 2 4 6" xfId="22807"/>
    <cellStyle name="Comma 2 5 4 2 4 7" xfId="23886"/>
    <cellStyle name="Comma 2 5 4 2 5" xfId="1461"/>
    <cellStyle name="Comma 2 5 4 2 5 2" xfId="10231"/>
    <cellStyle name="Comma 2 5 4 2 5 2 2" xfId="26031"/>
    <cellStyle name="Comma 2 5 4 2 5 3" xfId="15928"/>
    <cellStyle name="Comma 2 5 4 2 5 3 2" xfId="24943"/>
    <cellStyle name="Comma 2 5 4 2 5 4" xfId="8746"/>
    <cellStyle name="Comma 2 5 4 2 5 5" xfId="21735"/>
    <cellStyle name="Comma 2 5 4 2 5 6" xfId="22808"/>
    <cellStyle name="Comma 2 5 4 2 5 7" xfId="23887"/>
    <cellStyle name="Comma 2 5 4 2 6" xfId="1462"/>
    <cellStyle name="Comma 2 5 4 2 6 2" xfId="10232"/>
    <cellStyle name="Comma 2 5 4 2 6 2 2" xfId="26032"/>
    <cellStyle name="Comma 2 5 4 2 6 3" xfId="15929"/>
    <cellStyle name="Comma 2 5 4 2 6 3 2" xfId="24944"/>
    <cellStyle name="Comma 2 5 4 2 6 4" xfId="8747"/>
    <cellStyle name="Comma 2 5 4 2 6 5" xfId="21736"/>
    <cellStyle name="Comma 2 5 4 2 6 6" xfId="22809"/>
    <cellStyle name="Comma 2 5 4 2 6 7" xfId="23888"/>
    <cellStyle name="Comma 2 5 4 2 7" xfId="1463"/>
    <cellStyle name="Comma 2 5 4 2 7 2" xfId="10233"/>
    <cellStyle name="Comma 2 5 4 2 7 2 2" xfId="26033"/>
    <cellStyle name="Comma 2 5 4 2 7 3" xfId="15930"/>
    <cellStyle name="Comma 2 5 4 2 7 3 2" xfId="24945"/>
    <cellStyle name="Comma 2 5 4 2 7 4" xfId="8748"/>
    <cellStyle name="Comma 2 5 4 2 7 5" xfId="21737"/>
    <cellStyle name="Comma 2 5 4 2 7 6" xfId="22810"/>
    <cellStyle name="Comma 2 5 4 2 7 7" xfId="23889"/>
    <cellStyle name="Comma 2 5 4 2 8" xfId="1464"/>
    <cellStyle name="Comma 2 5 4 2 8 2" xfId="10234"/>
    <cellStyle name="Comma 2 5 4 2 8 2 2" xfId="26034"/>
    <cellStyle name="Comma 2 5 4 2 8 3" xfId="15931"/>
    <cellStyle name="Comma 2 5 4 2 8 3 2" xfId="24946"/>
    <cellStyle name="Comma 2 5 4 2 8 4" xfId="8749"/>
    <cellStyle name="Comma 2 5 4 2 8 5" xfId="21738"/>
    <cellStyle name="Comma 2 5 4 2 8 6" xfId="22811"/>
    <cellStyle name="Comma 2 5 4 2 8 7" xfId="23890"/>
    <cellStyle name="Comma 2 5 4 2 9" xfId="9150"/>
    <cellStyle name="Comma 2 5 4 2 9 2" xfId="25204"/>
    <cellStyle name="Comma 2 5 4 3" xfId="296"/>
    <cellStyle name="Comma 2 5 4 3 10" xfId="21739"/>
    <cellStyle name="Comma 2 5 4 3 11" xfId="22812"/>
    <cellStyle name="Comma 2 5 4 3 12" xfId="23067"/>
    <cellStyle name="Comma 2 5 4 3 2" xfId="1465"/>
    <cellStyle name="Comma 2 5 4 3 2 2" xfId="10235"/>
    <cellStyle name="Comma 2 5 4 3 2 2 2" xfId="26035"/>
    <cellStyle name="Comma 2 5 4 3 2 3" xfId="15933"/>
    <cellStyle name="Comma 2 5 4 3 2 3 2" xfId="24948"/>
    <cellStyle name="Comma 2 5 4 3 2 4" xfId="8751"/>
    <cellStyle name="Comma 2 5 4 3 2 5" xfId="21740"/>
    <cellStyle name="Comma 2 5 4 3 2 6" xfId="22813"/>
    <cellStyle name="Comma 2 5 4 3 2 7" xfId="23891"/>
    <cellStyle name="Comma 2 5 4 3 3" xfId="1466"/>
    <cellStyle name="Comma 2 5 4 3 3 2" xfId="10236"/>
    <cellStyle name="Comma 2 5 4 3 3 2 2" xfId="26036"/>
    <cellStyle name="Comma 2 5 4 3 3 3" xfId="15934"/>
    <cellStyle name="Comma 2 5 4 3 3 3 2" xfId="24949"/>
    <cellStyle name="Comma 2 5 4 3 3 4" xfId="8752"/>
    <cellStyle name="Comma 2 5 4 3 3 5" xfId="21741"/>
    <cellStyle name="Comma 2 5 4 3 3 6" xfId="22814"/>
    <cellStyle name="Comma 2 5 4 3 3 7" xfId="23892"/>
    <cellStyle name="Comma 2 5 4 3 4" xfId="1467"/>
    <cellStyle name="Comma 2 5 4 3 4 2" xfId="10237"/>
    <cellStyle name="Comma 2 5 4 3 4 2 2" xfId="26037"/>
    <cellStyle name="Comma 2 5 4 3 4 3" xfId="15935"/>
    <cellStyle name="Comma 2 5 4 3 4 3 2" xfId="24950"/>
    <cellStyle name="Comma 2 5 4 3 4 4" xfId="8753"/>
    <cellStyle name="Comma 2 5 4 3 4 5" xfId="21742"/>
    <cellStyle name="Comma 2 5 4 3 4 6" xfId="22815"/>
    <cellStyle name="Comma 2 5 4 3 4 7" xfId="23893"/>
    <cellStyle name="Comma 2 5 4 3 5" xfId="1468"/>
    <cellStyle name="Comma 2 5 4 3 5 2" xfId="10238"/>
    <cellStyle name="Comma 2 5 4 3 5 2 2" xfId="26038"/>
    <cellStyle name="Comma 2 5 4 3 5 3" xfId="15936"/>
    <cellStyle name="Comma 2 5 4 3 5 3 2" xfId="24951"/>
    <cellStyle name="Comma 2 5 4 3 5 4" xfId="8754"/>
    <cellStyle name="Comma 2 5 4 3 5 5" xfId="21743"/>
    <cellStyle name="Comma 2 5 4 3 5 6" xfId="22816"/>
    <cellStyle name="Comma 2 5 4 3 5 7" xfId="23894"/>
    <cellStyle name="Comma 2 5 4 3 6" xfId="1469"/>
    <cellStyle name="Comma 2 5 4 3 6 2" xfId="10239"/>
    <cellStyle name="Comma 2 5 4 3 6 2 2" xfId="26039"/>
    <cellStyle name="Comma 2 5 4 3 6 3" xfId="15937"/>
    <cellStyle name="Comma 2 5 4 3 6 3 2" xfId="24952"/>
    <cellStyle name="Comma 2 5 4 3 6 4" xfId="8755"/>
    <cellStyle name="Comma 2 5 4 3 6 5" xfId="21744"/>
    <cellStyle name="Comma 2 5 4 3 6 6" xfId="22817"/>
    <cellStyle name="Comma 2 5 4 3 6 7" xfId="23895"/>
    <cellStyle name="Comma 2 5 4 3 7" xfId="9152"/>
    <cellStyle name="Comma 2 5 4 3 7 2" xfId="25206"/>
    <cellStyle name="Comma 2 5 4 3 8" xfId="15932"/>
    <cellStyle name="Comma 2 5 4 3 8 2" xfId="24947"/>
    <cellStyle name="Comma 2 5 4 3 9" xfId="8750"/>
    <cellStyle name="Comma 2 5 4 4" xfId="1470"/>
    <cellStyle name="Comma 2 5 4 4 10" xfId="22818"/>
    <cellStyle name="Comma 2 5 4 4 11" xfId="23896"/>
    <cellStyle name="Comma 2 5 4 4 2" xfId="1471"/>
    <cellStyle name="Comma 2 5 4 4 2 2" xfId="10241"/>
    <cellStyle name="Comma 2 5 4 4 2 2 2" xfId="26041"/>
    <cellStyle name="Comma 2 5 4 4 2 3" xfId="15939"/>
    <cellStyle name="Comma 2 5 4 4 2 3 2" xfId="24954"/>
    <cellStyle name="Comma 2 5 4 4 2 4" xfId="8757"/>
    <cellStyle name="Comma 2 5 4 4 2 5" xfId="21746"/>
    <cellStyle name="Comma 2 5 4 4 2 6" xfId="22819"/>
    <cellStyle name="Comma 2 5 4 4 2 7" xfId="23897"/>
    <cellStyle name="Comma 2 5 4 4 3" xfId="1472"/>
    <cellStyle name="Comma 2 5 4 4 3 2" xfId="10242"/>
    <cellStyle name="Comma 2 5 4 4 3 2 2" xfId="26042"/>
    <cellStyle name="Comma 2 5 4 4 3 3" xfId="15940"/>
    <cellStyle name="Comma 2 5 4 4 3 3 2" xfId="24955"/>
    <cellStyle name="Comma 2 5 4 4 3 4" xfId="8758"/>
    <cellStyle name="Comma 2 5 4 4 3 5" xfId="21747"/>
    <cellStyle name="Comma 2 5 4 4 3 6" xfId="22820"/>
    <cellStyle name="Comma 2 5 4 4 3 7" xfId="23898"/>
    <cellStyle name="Comma 2 5 4 4 4" xfId="1473"/>
    <cellStyle name="Comma 2 5 4 4 4 2" xfId="10243"/>
    <cellStyle name="Comma 2 5 4 4 4 2 2" xfId="26043"/>
    <cellStyle name="Comma 2 5 4 4 4 3" xfId="15941"/>
    <cellStyle name="Comma 2 5 4 4 4 3 2" xfId="24956"/>
    <cellStyle name="Comma 2 5 4 4 4 4" xfId="8759"/>
    <cellStyle name="Comma 2 5 4 4 4 5" xfId="21748"/>
    <cellStyle name="Comma 2 5 4 4 4 6" xfId="22821"/>
    <cellStyle name="Comma 2 5 4 4 4 7" xfId="23899"/>
    <cellStyle name="Comma 2 5 4 4 5" xfId="1474"/>
    <cellStyle name="Comma 2 5 4 4 5 2" xfId="10244"/>
    <cellStyle name="Comma 2 5 4 4 5 2 2" xfId="26044"/>
    <cellStyle name="Comma 2 5 4 4 5 3" xfId="15942"/>
    <cellStyle name="Comma 2 5 4 4 5 3 2" xfId="24957"/>
    <cellStyle name="Comma 2 5 4 4 5 4" xfId="8760"/>
    <cellStyle name="Comma 2 5 4 4 5 5" xfId="21749"/>
    <cellStyle name="Comma 2 5 4 4 5 6" xfId="22822"/>
    <cellStyle name="Comma 2 5 4 4 5 7" xfId="23900"/>
    <cellStyle name="Comma 2 5 4 4 6" xfId="10240"/>
    <cellStyle name="Comma 2 5 4 4 6 2" xfId="26040"/>
    <cellStyle name="Comma 2 5 4 4 7" xfId="15938"/>
    <cellStyle name="Comma 2 5 4 4 7 2" xfId="24953"/>
    <cellStyle name="Comma 2 5 4 4 8" xfId="8756"/>
    <cellStyle name="Comma 2 5 4 4 9" xfId="21745"/>
    <cellStyle name="Comma 2 5 4 5" xfId="1475"/>
    <cellStyle name="Comma 2 5 4 5 10" xfId="22823"/>
    <cellStyle name="Comma 2 5 4 5 11" xfId="23901"/>
    <cellStyle name="Comma 2 5 4 5 2" xfId="1476"/>
    <cellStyle name="Comma 2 5 4 5 2 2" xfId="10246"/>
    <cellStyle name="Comma 2 5 4 5 2 2 2" xfId="26046"/>
    <cellStyle name="Comma 2 5 4 5 2 3" xfId="15944"/>
    <cellStyle name="Comma 2 5 4 5 2 3 2" xfId="24959"/>
    <cellStyle name="Comma 2 5 4 5 2 4" xfId="8762"/>
    <cellStyle name="Comma 2 5 4 5 2 5" xfId="21751"/>
    <cellStyle name="Comma 2 5 4 5 2 6" xfId="22824"/>
    <cellStyle name="Comma 2 5 4 5 2 7" xfId="23902"/>
    <cellStyle name="Comma 2 5 4 5 3" xfId="1477"/>
    <cellStyle name="Comma 2 5 4 5 3 2" xfId="10247"/>
    <cellStyle name="Comma 2 5 4 5 3 2 2" xfId="26047"/>
    <cellStyle name="Comma 2 5 4 5 3 3" xfId="15945"/>
    <cellStyle name="Comma 2 5 4 5 3 3 2" xfId="24960"/>
    <cellStyle name="Comma 2 5 4 5 3 4" xfId="8763"/>
    <cellStyle name="Comma 2 5 4 5 3 5" xfId="21752"/>
    <cellStyle name="Comma 2 5 4 5 3 6" xfId="22825"/>
    <cellStyle name="Comma 2 5 4 5 3 7" xfId="23903"/>
    <cellStyle name="Comma 2 5 4 5 4" xfId="1478"/>
    <cellStyle name="Comma 2 5 4 5 4 2" xfId="10248"/>
    <cellStyle name="Comma 2 5 4 5 4 2 2" xfId="26048"/>
    <cellStyle name="Comma 2 5 4 5 4 3" xfId="15946"/>
    <cellStyle name="Comma 2 5 4 5 4 3 2" xfId="24961"/>
    <cellStyle name="Comma 2 5 4 5 4 4" xfId="8764"/>
    <cellStyle name="Comma 2 5 4 5 4 5" xfId="21753"/>
    <cellStyle name="Comma 2 5 4 5 4 6" xfId="22826"/>
    <cellStyle name="Comma 2 5 4 5 4 7" xfId="23904"/>
    <cellStyle name="Comma 2 5 4 5 5" xfId="1479"/>
    <cellStyle name="Comma 2 5 4 5 5 2" xfId="10249"/>
    <cellStyle name="Comma 2 5 4 5 5 2 2" xfId="26049"/>
    <cellStyle name="Comma 2 5 4 5 5 3" xfId="15947"/>
    <cellStyle name="Comma 2 5 4 5 5 3 2" xfId="24962"/>
    <cellStyle name="Comma 2 5 4 5 5 4" xfId="8765"/>
    <cellStyle name="Comma 2 5 4 5 5 5" xfId="21754"/>
    <cellStyle name="Comma 2 5 4 5 5 6" xfId="22827"/>
    <cellStyle name="Comma 2 5 4 5 5 7" xfId="23905"/>
    <cellStyle name="Comma 2 5 4 5 6" xfId="10245"/>
    <cellStyle name="Comma 2 5 4 5 6 2" xfId="26045"/>
    <cellStyle name="Comma 2 5 4 5 7" xfId="15943"/>
    <cellStyle name="Comma 2 5 4 5 7 2" xfId="24958"/>
    <cellStyle name="Comma 2 5 4 5 8" xfId="8761"/>
    <cellStyle name="Comma 2 5 4 5 9" xfId="21750"/>
    <cellStyle name="Comma 2 5 4 6" xfId="1480"/>
    <cellStyle name="Comma 2 5 4 6 2" xfId="10250"/>
    <cellStyle name="Comma 2 5 4 6 2 2" xfId="26050"/>
    <cellStyle name="Comma 2 5 4 6 3" xfId="15948"/>
    <cellStyle name="Comma 2 5 4 6 3 2" xfId="24963"/>
    <cellStyle name="Comma 2 5 4 6 4" xfId="8766"/>
    <cellStyle name="Comma 2 5 4 6 5" xfId="21755"/>
    <cellStyle name="Comma 2 5 4 6 6" xfId="22828"/>
    <cellStyle name="Comma 2 5 4 6 7" xfId="23906"/>
    <cellStyle name="Comma 2 5 4 7" xfId="1481"/>
    <cellStyle name="Comma 2 5 4 7 2" xfId="10251"/>
    <cellStyle name="Comma 2 5 4 7 2 2" xfId="26051"/>
    <cellStyle name="Comma 2 5 4 7 3" xfId="15949"/>
    <cellStyle name="Comma 2 5 4 7 3 2" xfId="24964"/>
    <cellStyle name="Comma 2 5 4 7 4" xfId="8767"/>
    <cellStyle name="Comma 2 5 4 7 5" xfId="21756"/>
    <cellStyle name="Comma 2 5 4 7 6" xfId="22829"/>
    <cellStyle name="Comma 2 5 4 7 7" xfId="23907"/>
    <cellStyle name="Comma 2 5 4 8" xfId="1482"/>
    <cellStyle name="Comma 2 5 4 8 2" xfId="10252"/>
    <cellStyle name="Comma 2 5 4 8 2 2" xfId="26052"/>
    <cellStyle name="Comma 2 5 4 8 3" xfId="15950"/>
    <cellStyle name="Comma 2 5 4 8 3 2" xfId="24965"/>
    <cellStyle name="Comma 2 5 4 8 4" xfId="8768"/>
    <cellStyle name="Comma 2 5 4 8 5" xfId="21757"/>
    <cellStyle name="Comma 2 5 4 8 6" xfId="22830"/>
    <cellStyle name="Comma 2 5 4 8 7" xfId="23908"/>
    <cellStyle name="Comma 2 5 4 9" xfId="1483"/>
    <cellStyle name="Comma 2 5 4 9 2" xfId="10253"/>
    <cellStyle name="Comma 2 5 4 9 2 2" xfId="26053"/>
    <cellStyle name="Comma 2 5 4 9 3" xfId="15951"/>
    <cellStyle name="Comma 2 5 4 9 3 2" xfId="24966"/>
    <cellStyle name="Comma 2 5 4 9 4" xfId="8769"/>
    <cellStyle name="Comma 2 5 4 9 5" xfId="21758"/>
    <cellStyle name="Comma 2 5 4 9 6" xfId="22831"/>
    <cellStyle name="Comma 2 5 4 9 7" xfId="23909"/>
    <cellStyle name="Comma 2 5 5" xfId="297"/>
    <cellStyle name="Comma 2 5 5 10" xfId="15952"/>
    <cellStyle name="Comma 2 5 5 10 2" xfId="24967"/>
    <cellStyle name="Comma 2 5 5 11" xfId="8770"/>
    <cellStyle name="Comma 2 5 5 12" xfId="21759"/>
    <cellStyle name="Comma 2 5 5 13" xfId="22832"/>
    <cellStyle name="Comma 2 5 5 14" xfId="23068"/>
    <cellStyle name="Comma 2 5 5 2" xfId="298"/>
    <cellStyle name="Comma 2 5 5 2 10" xfId="21760"/>
    <cellStyle name="Comma 2 5 5 2 11" xfId="22833"/>
    <cellStyle name="Comma 2 5 5 2 12" xfId="23069"/>
    <cellStyle name="Comma 2 5 5 2 2" xfId="1484"/>
    <cellStyle name="Comma 2 5 5 2 2 2" xfId="10254"/>
    <cellStyle name="Comma 2 5 5 2 2 2 2" xfId="26054"/>
    <cellStyle name="Comma 2 5 5 2 2 3" xfId="15954"/>
    <cellStyle name="Comma 2 5 5 2 2 3 2" xfId="24969"/>
    <cellStyle name="Comma 2 5 5 2 2 4" xfId="8772"/>
    <cellStyle name="Comma 2 5 5 2 2 5" xfId="21761"/>
    <cellStyle name="Comma 2 5 5 2 2 6" xfId="22834"/>
    <cellStyle name="Comma 2 5 5 2 2 7" xfId="23910"/>
    <cellStyle name="Comma 2 5 5 2 3" xfId="1485"/>
    <cellStyle name="Comma 2 5 5 2 3 2" xfId="10255"/>
    <cellStyle name="Comma 2 5 5 2 3 2 2" xfId="26055"/>
    <cellStyle name="Comma 2 5 5 2 3 3" xfId="15955"/>
    <cellStyle name="Comma 2 5 5 2 3 3 2" xfId="24970"/>
    <cellStyle name="Comma 2 5 5 2 3 4" xfId="8773"/>
    <cellStyle name="Comma 2 5 5 2 3 5" xfId="21762"/>
    <cellStyle name="Comma 2 5 5 2 3 6" xfId="22835"/>
    <cellStyle name="Comma 2 5 5 2 3 7" xfId="23911"/>
    <cellStyle name="Comma 2 5 5 2 4" xfId="1486"/>
    <cellStyle name="Comma 2 5 5 2 4 2" xfId="10256"/>
    <cellStyle name="Comma 2 5 5 2 4 2 2" xfId="26056"/>
    <cellStyle name="Comma 2 5 5 2 4 3" xfId="15956"/>
    <cellStyle name="Comma 2 5 5 2 4 3 2" xfId="24971"/>
    <cellStyle name="Comma 2 5 5 2 4 4" xfId="8774"/>
    <cellStyle name="Comma 2 5 5 2 4 5" xfId="21763"/>
    <cellStyle name="Comma 2 5 5 2 4 6" xfId="22836"/>
    <cellStyle name="Comma 2 5 5 2 4 7" xfId="23912"/>
    <cellStyle name="Comma 2 5 5 2 5" xfId="1487"/>
    <cellStyle name="Comma 2 5 5 2 5 2" xfId="10257"/>
    <cellStyle name="Comma 2 5 5 2 5 2 2" xfId="26057"/>
    <cellStyle name="Comma 2 5 5 2 5 3" xfId="15957"/>
    <cellStyle name="Comma 2 5 5 2 5 3 2" xfId="24972"/>
    <cellStyle name="Comma 2 5 5 2 5 4" xfId="8775"/>
    <cellStyle name="Comma 2 5 5 2 5 5" xfId="21764"/>
    <cellStyle name="Comma 2 5 5 2 5 6" xfId="22837"/>
    <cellStyle name="Comma 2 5 5 2 5 7" xfId="23913"/>
    <cellStyle name="Comma 2 5 5 2 6" xfId="1488"/>
    <cellStyle name="Comma 2 5 5 2 6 2" xfId="10258"/>
    <cellStyle name="Comma 2 5 5 2 6 2 2" xfId="26058"/>
    <cellStyle name="Comma 2 5 5 2 6 3" xfId="15958"/>
    <cellStyle name="Comma 2 5 5 2 6 3 2" xfId="24973"/>
    <cellStyle name="Comma 2 5 5 2 6 4" xfId="8776"/>
    <cellStyle name="Comma 2 5 5 2 6 5" xfId="21765"/>
    <cellStyle name="Comma 2 5 5 2 6 6" xfId="22838"/>
    <cellStyle name="Comma 2 5 5 2 6 7" xfId="23914"/>
    <cellStyle name="Comma 2 5 5 2 7" xfId="9154"/>
    <cellStyle name="Comma 2 5 5 2 7 2" xfId="25208"/>
    <cellStyle name="Comma 2 5 5 2 8" xfId="15953"/>
    <cellStyle name="Comma 2 5 5 2 8 2" xfId="24968"/>
    <cellStyle name="Comma 2 5 5 2 9" xfId="8771"/>
    <cellStyle name="Comma 2 5 5 3" xfId="1489"/>
    <cellStyle name="Comma 2 5 5 3 10" xfId="22839"/>
    <cellStyle name="Comma 2 5 5 3 11" xfId="23915"/>
    <cellStyle name="Comma 2 5 5 3 2" xfId="1490"/>
    <cellStyle name="Comma 2 5 5 3 2 2" xfId="10260"/>
    <cellStyle name="Comma 2 5 5 3 2 2 2" xfId="26060"/>
    <cellStyle name="Comma 2 5 5 3 2 3" xfId="15960"/>
    <cellStyle name="Comma 2 5 5 3 2 3 2" xfId="24975"/>
    <cellStyle name="Comma 2 5 5 3 2 4" xfId="8778"/>
    <cellStyle name="Comma 2 5 5 3 2 5" xfId="21767"/>
    <cellStyle name="Comma 2 5 5 3 2 6" xfId="22840"/>
    <cellStyle name="Comma 2 5 5 3 2 7" xfId="23916"/>
    <cellStyle name="Comma 2 5 5 3 3" xfId="1491"/>
    <cellStyle name="Comma 2 5 5 3 3 2" xfId="10261"/>
    <cellStyle name="Comma 2 5 5 3 3 2 2" xfId="26061"/>
    <cellStyle name="Comma 2 5 5 3 3 3" xfId="15961"/>
    <cellStyle name="Comma 2 5 5 3 3 3 2" xfId="24976"/>
    <cellStyle name="Comma 2 5 5 3 3 4" xfId="8779"/>
    <cellStyle name="Comma 2 5 5 3 3 5" xfId="21768"/>
    <cellStyle name="Comma 2 5 5 3 3 6" xfId="22841"/>
    <cellStyle name="Comma 2 5 5 3 3 7" xfId="23917"/>
    <cellStyle name="Comma 2 5 5 3 4" xfId="1492"/>
    <cellStyle name="Comma 2 5 5 3 4 2" xfId="10262"/>
    <cellStyle name="Comma 2 5 5 3 4 2 2" xfId="26062"/>
    <cellStyle name="Comma 2 5 5 3 4 3" xfId="15962"/>
    <cellStyle name="Comma 2 5 5 3 4 3 2" xfId="24977"/>
    <cellStyle name="Comma 2 5 5 3 4 4" xfId="8780"/>
    <cellStyle name="Comma 2 5 5 3 4 5" xfId="21769"/>
    <cellStyle name="Comma 2 5 5 3 4 6" xfId="22842"/>
    <cellStyle name="Comma 2 5 5 3 4 7" xfId="23918"/>
    <cellStyle name="Comma 2 5 5 3 5" xfId="1493"/>
    <cellStyle name="Comma 2 5 5 3 5 2" xfId="10263"/>
    <cellStyle name="Comma 2 5 5 3 5 2 2" xfId="26063"/>
    <cellStyle name="Comma 2 5 5 3 5 3" xfId="15963"/>
    <cellStyle name="Comma 2 5 5 3 5 3 2" xfId="24978"/>
    <cellStyle name="Comma 2 5 5 3 5 4" xfId="8781"/>
    <cellStyle name="Comma 2 5 5 3 5 5" xfId="21770"/>
    <cellStyle name="Comma 2 5 5 3 5 6" xfId="22843"/>
    <cellStyle name="Comma 2 5 5 3 5 7" xfId="23919"/>
    <cellStyle name="Comma 2 5 5 3 6" xfId="10259"/>
    <cellStyle name="Comma 2 5 5 3 6 2" xfId="26059"/>
    <cellStyle name="Comma 2 5 5 3 7" xfId="15959"/>
    <cellStyle name="Comma 2 5 5 3 7 2" xfId="24974"/>
    <cellStyle name="Comma 2 5 5 3 8" xfId="8777"/>
    <cellStyle name="Comma 2 5 5 3 9" xfId="21766"/>
    <cellStyle name="Comma 2 5 5 4" xfId="1494"/>
    <cellStyle name="Comma 2 5 5 4 2" xfId="10264"/>
    <cellStyle name="Comma 2 5 5 4 2 2" xfId="26064"/>
    <cellStyle name="Comma 2 5 5 4 3" xfId="15964"/>
    <cellStyle name="Comma 2 5 5 4 3 2" xfId="24979"/>
    <cellStyle name="Comma 2 5 5 4 4" xfId="8782"/>
    <cellStyle name="Comma 2 5 5 4 5" xfId="21771"/>
    <cellStyle name="Comma 2 5 5 4 6" xfId="22844"/>
    <cellStyle name="Comma 2 5 5 4 7" xfId="23920"/>
    <cellStyle name="Comma 2 5 5 5" xfId="1495"/>
    <cellStyle name="Comma 2 5 5 5 2" xfId="10265"/>
    <cellStyle name="Comma 2 5 5 5 2 2" xfId="26065"/>
    <cellStyle name="Comma 2 5 5 5 3" xfId="15965"/>
    <cellStyle name="Comma 2 5 5 5 3 2" xfId="24980"/>
    <cellStyle name="Comma 2 5 5 5 4" xfId="8783"/>
    <cellStyle name="Comma 2 5 5 5 5" xfId="21772"/>
    <cellStyle name="Comma 2 5 5 5 6" xfId="22845"/>
    <cellStyle name="Comma 2 5 5 5 7" xfId="23921"/>
    <cellStyle name="Comma 2 5 5 6" xfId="1496"/>
    <cellStyle name="Comma 2 5 5 6 2" xfId="10266"/>
    <cellStyle name="Comma 2 5 5 6 2 2" xfId="26066"/>
    <cellStyle name="Comma 2 5 5 6 3" xfId="15966"/>
    <cellStyle name="Comma 2 5 5 6 3 2" xfId="24981"/>
    <cellStyle name="Comma 2 5 5 6 4" xfId="8784"/>
    <cellStyle name="Comma 2 5 5 6 5" xfId="21773"/>
    <cellStyle name="Comma 2 5 5 6 6" xfId="22846"/>
    <cellStyle name="Comma 2 5 5 6 7" xfId="23922"/>
    <cellStyle name="Comma 2 5 5 7" xfId="1497"/>
    <cellStyle name="Comma 2 5 5 7 2" xfId="10267"/>
    <cellStyle name="Comma 2 5 5 7 2 2" xfId="26067"/>
    <cellStyle name="Comma 2 5 5 7 3" xfId="15967"/>
    <cellStyle name="Comma 2 5 5 7 3 2" xfId="24982"/>
    <cellStyle name="Comma 2 5 5 7 4" xfId="8785"/>
    <cellStyle name="Comma 2 5 5 7 5" xfId="21774"/>
    <cellStyle name="Comma 2 5 5 7 6" xfId="22847"/>
    <cellStyle name="Comma 2 5 5 7 7" xfId="23923"/>
    <cellStyle name="Comma 2 5 5 8" xfId="1498"/>
    <cellStyle name="Comma 2 5 5 8 2" xfId="10268"/>
    <cellStyle name="Comma 2 5 5 8 2 2" xfId="26068"/>
    <cellStyle name="Comma 2 5 5 8 3" xfId="15968"/>
    <cellStyle name="Comma 2 5 5 8 3 2" xfId="24983"/>
    <cellStyle name="Comma 2 5 5 8 4" xfId="8786"/>
    <cellStyle name="Comma 2 5 5 8 5" xfId="21775"/>
    <cellStyle name="Comma 2 5 5 8 6" xfId="22848"/>
    <cellStyle name="Comma 2 5 5 8 7" xfId="23924"/>
    <cellStyle name="Comma 2 5 5 9" xfId="9153"/>
    <cellStyle name="Comma 2 5 5 9 2" xfId="25207"/>
    <cellStyle name="Comma 2 5 6" xfId="299"/>
    <cellStyle name="Comma 2 5 6 10" xfId="21776"/>
    <cellStyle name="Comma 2 5 6 11" xfId="22849"/>
    <cellStyle name="Comma 2 5 6 12" xfId="23070"/>
    <cellStyle name="Comma 2 5 6 2" xfId="1499"/>
    <cellStyle name="Comma 2 5 6 2 2" xfId="10269"/>
    <cellStyle name="Comma 2 5 6 2 2 2" xfId="26069"/>
    <cellStyle name="Comma 2 5 6 2 3" xfId="15970"/>
    <cellStyle name="Comma 2 5 6 2 3 2" xfId="24985"/>
    <cellStyle name="Comma 2 5 6 2 4" xfId="8788"/>
    <cellStyle name="Comma 2 5 6 2 5" xfId="21777"/>
    <cellStyle name="Comma 2 5 6 2 6" xfId="22850"/>
    <cellStyle name="Comma 2 5 6 2 7" xfId="23925"/>
    <cellStyle name="Comma 2 5 6 3" xfId="1500"/>
    <cellStyle name="Comma 2 5 6 3 2" xfId="10270"/>
    <cellStyle name="Comma 2 5 6 3 2 2" xfId="26070"/>
    <cellStyle name="Comma 2 5 6 3 3" xfId="15971"/>
    <cellStyle name="Comma 2 5 6 3 3 2" xfId="24986"/>
    <cellStyle name="Comma 2 5 6 3 4" xfId="8789"/>
    <cellStyle name="Comma 2 5 6 3 5" xfId="21778"/>
    <cellStyle name="Comma 2 5 6 3 6" xfId="22851"/>
    <cellStyle name="Comma 2 5 6 3 7" xfId="23926"/>
    <cellStyle name="Comma 2 5 6 4" xfId="1501"/>
    <cellStyle name="Comma 2 5 6 4 2" xfId="10271"/>
    <cellStyle name="Comma 2 5 6 4 2 2" xfId="26071"/>
    <cellStyle name="Comma 2 5 6 4 3" xfId="15972"/>
    <cellStyle name="Comma 2 5 6 4 3 2" xfId="24987"/>
    <cellStyle name="Comma 2 5 6 4 4" xfId="8790"/>
    <cellStyle name="Comma 2 5 6 4 5" xfId="21779"/>
    <cellStyle name="Comma 2 5 6 4 6" xfId="22852"/>
    <cellStyle name="Comma 2 5 6 4 7" xfId="23927"/>
    <cellStyle name="Comma 2 5 6 5" xfId="1502"/>
    <cellStyle name="Comma 2 5 6 5 2" xfId="10272"/>
    <cellStyle name="Comma 2 5 6 5 2 2" xfId="26072"/>
    <cellStyle name="Comma 2 5 6 5 3" xfId="15973"/>
    <cellStyle name="Comma 2 5 6 5 3 2" xfId="24988"/>
    <cellStyle name="Comma 2 5 6 5 4" xfId="8791"/>
    <cellStyle name="Comma 2 5 6 5 5" xfId="21780"/>
    <cellStyle name="Comma 2 5 6 5 6" xfId="22853"/>
    <cellStyle name="Comma 2 5 6 5 7" xfId="23928"/>
    <cellStyle name="Comma 2 5 6 6" xfId="1503"/>
    <cellStyle name="Comma 2 5 6 6 2" xfId="10273"/>
    <cellStyle name="Comma 2 5 6 6 2 2" xfId="26073"/>
    <cellStyle name="Comma 2 5 6 6 3" xfId="15974"/>
    <cellStyle name="Comma 2 5 6 6 3 2" xfId="24989"/>
    <cellStyle name="Comma 2 5 6 6 4" xfId="8792"/>
    <cellStyle name="Comma 2 5 6 6 5" xfId="21781"/>
    <cellStyle name="Comma 2 5 6 6 6" xfId="22854"/>
    <cellStyle name="Comma 2 5 6 6 7" xfId="23929"/>
    <cellStyle name="Comma 2 5 6 7" xfId="9155"/>
    <cellStyle name="Comma 2 5 6 7 2" xfId="25209"/>
    <cellStyle name="Comma 2 5 6 8" xfId="15969"/>
    <cellStyle name="Comma 2 5 6 8 2" xfId="24984"/>
    <cellStyle name="Comma 2 5 6 9" xfId="8787"/>
    <cellStyle name="Comma 2 5 7" xfId="1504"/>
    <cellStyle name="Comma 2 5 7 10" xfId="22855"/>
    <cellStyle name="Comma 2 5 7 11" xfId="23930"/>
    <cellStyle name="Comma 2 5 7 2" xfId="1505"/>
    <cellStyle name="Comma 2 5 7 2 2" xfId="10275"/>
    <cellStyle name="Comma 2 5 7 2 2 2" xfId="26075"/>
    <cellStyle name="Comma 2 5 7 2 3" xfId="15976"/>
    <cellStyle name="Comma 2 5 7 2 3 2" xfId="24991"/>
    <cellStyle name="Comma 2 5 7 2 4" xfId="8794"/>
    <cellStyle name="Comma 2 5 7 2 5" xfId="21783"/>
    <cellStyle name="Comma 2 5 7 2 6" xfId="22856"/>
    <cellStyle name="Comma 2 5 7 2 7" xfId="23931"/>
    <cellStyle name="Comma 2 5 7 3" xfId="1506"/>
    <cellStyle name="Comma 2 5 7 3 2" xfId="10276"/>
    <cellStyle name="Comma 2 5 7 3 2 2" xfId="26076"/>
    <cellStyle name="Comma 2 5 7 3 3" xfId="15977"/>
    <cellStyle name="Comma 2 5 7 3 3 2" xfId="24992"/>
    <cellStyle name="Comma 2 5 7 3 4" xfId="8795"/>
    <cellStyle name="Comma 2 5 7 3 5" xfId="21784"/>
    <cellStyle name="Comma 2 5 7 3 6" xfId="22857"/>
    <cellStyle name="Comma 2 5 7 3 7" xfId="23932"/>
    <cellStyle name="Comma 2 5 7 4" xfId="1507"/>
    <cellStyle name="Comma 2 5 7 4 2" xfId="10277"/>
    <cellStyle name="Comma 2 5 7 4 2 2" xfId="26077"/>
    <cellStyle name="Comma 2 5 7 4 3" xfId="15978"/>
    <cellStyle name="Comma 2 5 7 4 3 2" xfId="24993"/>
    <cellStyle name="Comma 2 5 7 4 4" xfId="8796"/>
    <cellStyle name="Comma 2 5 7 4 5" xfId="21785"/>
    <cellStyle name="Comma 2 5 7 4 6" xfId="22858"/>
    <cellStyle name="Comma 2 5 7 4 7" xfId="23933"/>
    <cellStyle name="Comma 2 5 7 5" xfId="1508"/>
    <cellStyle name="Comma 2 5 7 5 2" xfId="10278"/>
    <cellStyle name="Comma 2 5 7 5 2 2" xfId="26078"/>
    <cellStyle name="Comma 2 5 7 5 3" xfId="15979"/>
    <cellStyle name="Comma 2 5 7 5 3 2" xfId="24994"/>
    <cellStyle name="Comma 2 5 7 5 4" xfId="8797"/>
    <cellStyle name="Comma 2 5 7 5 5" xfId="21786"/>
    <cellStyle name="Comma 2 5 7 5 6" xfId="22859"/>
    <cellStyle name="Comma 2 5 7 5 7" xfId="23934"/>
    <cellStyle name="Comma 2 5 7 6" xfId="10274"/>
    <cellStyle name="Comma 2 5 7 6 2" xfId="26074"/>
    <cellStyle name="Comma 2 5 7 7" xfId="15975"/>
    <cellStyle name="Comma 2 5 7 7 2" xfId="24990"/>
    <cellStyle name="Comma 2 5 7 8" xfId="8793"/>
    <cellStyle name="Comma 2 5 7 9" xfId="21782"/>
    <cellStyle name="Comma 2 5 8" xfId="1509"/>
    <cellStyle name="Comma 2 5 8 10" xfId="22860"/>
    <cellStyle name="Comma 2 5 8 11" xfId="23935"/>
    <cellStyle name="Comma 2 5 8 2" xfId="1510"/>
    <cellStyle name="Comma 2 5 8 2 2" xfId="10280"/>
    <cellStyle name="Comma 2 5 8 2 2 2" xfId="26080"/>
    <cellStyle name="Comma 2 5 8 2 3" xfId="15981"/>
    <cellStyle name="Comma 2 5 8 2 3 2" xfId="24996"/>
    <cellStyle name="Comma 2 5 8 2 4" xfId="8799"/>
    <cellStyle name="Comma 2 5 8 2 5" xfId="21788"/>
    <cellStyle name="Comma 2 5 8 2 6" xfId="22861"/>
    <cellStyle name="Comma 2 5 8 2 7" xfId="23936"/>
    <cellStyle name="Comma 2 5 8 3" xfId="1511"/>
    <cellStyle name="Comma 2 5 8 3 2" xfId="10281"/>
    <cellStyle name="Comma 2 5 8 3 2 2" xfId="26081"/>
    <cellStyle name="Comma 2 5 8 3 3" xfId="15982"/>
    <cellStyle name="Comma 2 5 8 3 3 2" xfId="24997"/>
    <cellStyle name="Comma 2 5 8 3 4" xfId="8800"/>
    <cellStyle name="Comma 2 5 8 3 5" xfId="21789"/>
    <cellStyle name="Comma 2 5 8 3 6" xfId="22862"/>
    <cellStyle name="Comma 2 5 8 3 7" xfId="23937"/>
    <cellStyle name="Comma 2 5 8 4" xfId="1512"/>
    <cellStyle name="Comma 2 5 8 4 2" xfId="10282"/>
    <cellStyle name="Comma 2 5 8 4 2 2" xfId="26082"/>
    <cellStyle name="Comma 2 5 8 4 3" xfId="15983"/>
    <cellStyle name="Comma 2 5 8 4 3 2" xfId="24998"/>
    <cellStyle name="Comma 2 5 8 4 4" xfId="8801"/>
    <cellStyle name="Comma 2 5 8 4 5" xfId="21790"/>
    <cellStyle name="Comma 2 5 8 4 6" xfId="22863"/>
    <cellStyle name="Comma 2 5 8 4 7" xfId="23938"/>
    <cellStyle name="Comma 2 5 8 5" xfId="1513"/>
    <cellStyle name="Comma 2 5 8 5 2" xfId="10283"/>
    <cellStyle name="Comma 2 5 8 5 2 2" xfId="26083"/>
    <cellStyle name="Comma 2 5 8 5 3" xfId="15984"/>
    <cellStyle name="Comma 2 5 8 5 3 2" xfId="24999"/>
    <cellStyle name="Comma 2 5 8 5 4" xfId="8802"/>
    <cellStyle name="Comma 2 5 8 5 5" xfId="21791"/>
    <cellStyle name="Comma 2 5 8 5 6" xfId="22864"/>
    <cellStyle name="Comma 2 5 8 5 7" xfId="23939"/>
    <cellStyle name="Comma 2 5 8 6" xfId="10279"/>
    <cellStyle name="Comma 2 5 8 6 2" xfId="26079"/>
    <cellStyle name="Comma 2 5 8 7" xfId="15980"/>
    <cellStyle name="Comma 2 5 8 7 2" xfId="24995"/>
    <cellStyle name="Comma 2 5 8 8" xfId="8798"/>
    <cellStyle name="Comma 2 5 8 9" xfId="21787"/>
    <cellStyle name="Comma 2 5 9" xfId="1514"/>
    <cellStyle name="Comma 2 5 9 2" xfId="10284"/>
    <cellStyle name="Comma 2 5 9 2 2" xfId="26084"/>
    <cellStyle name="Comma 2 5 9 3" xfId="15985"/>
    <cellStyle name="Comma 2 5 9 3 2" xfId="25000"/>
    <cellStyle name="Comma 2 5 9 4" xfId="8803"/>
    <cellStyle name="Comma 2 5 9 5" xfId="21792"/>
    <cellStyle name="Comma 2 5 9 6" xfId="22865"/>
    <cellStyle name="Comma 2 5 9 7" xfId="23940"/>
    <cellStyle name="Comma 2 6" xfId="250"/>
    <cellStyle name="Comma 2 6 2" xfId="9109"/>
    <cellStyle name="Comma 2 6 2 2" xfId="25163"/>
    <cellStyle name="Comma 2 6 3" xfId="15986"/>
    <cellStyle name="Comma 2 6 3 2" xfId="25001"/>
    <cellStyle name="Comma 2 6 4" xfId="8804"/>
    <cellStyle name="Comma 2 6 5" xfId="21793"/>
    <cellStyle name="Comma 2 6 6" xfId="22866"/>
    <cellStyle name="Comma 2 6 7" xfId="23024"/>
    <cellStyle name="Comma 2 7" xfId="1515"/>
    <cellStyle name="Comma 2 7 10" xfId="22867"/>
    <cellStyle name="Comma 2 7 11" xfId="23941"/>
    <cellStyle name="Comma 2 7 2" xfId="1516"/>
    <cellStyle name="Comma 2 7 2 2" xfId="10286"/>
    <cellStyle name="Comma 2 7 2 2 2" xfId="26086"/>
    <cellStyle name="Comma 2 7 2 3" xfId="15988"/>
    <cellStyle name="Comma 2 7 2 3 2" xfId="25003"/>
    <cellStyle name="Comma 2 7 2 4" xfId="8806"/>
    <cellStyle name="Comma 2 7 2 5" xfId="21795"/>
    <cellStyle name="Comma 2 7 2 6" xfId="22868"/>
    <cellStyle name="Comma 2 7 2 7" xfId="23942"/>
    <cellStyle name="Comma 2 7 3" xfId="1517"/>
    <cellStyle name="Comma 2 7 3 2" xfId="10287"/>
    <cellStyle name="Comma 2 7 3 2 2" xfId="26087"/>
    <cellStyle name="Comma 2 7 3 3" xfId="15989"/>
    <cellStyle name="Comma 2 7 3 3 2" xfId="25004"/>
    <cellStyle name="Comma 2 7 3 4" xfId="8807"/>
    <cellStyle name="Comma 2 7 3 5" xfId="21796"/>
    <cellStyle name="Comma 2 7 3 6" xfId="22869"/>
    <cellStyle name="Comma 2 7 3 7" xfId="23943"/>
    <cellStyle name="Comma 2 7 4" xfId="1518"/>
    <cellStyle name="Comma 2 7 4 2" xfId="10288"/>
    <cellStyle name="Comma 2 7 4 2 2" xfId="26088"/>
    <cellStyle name="Comma 2 7 4 3" xfId="15990"/>
    <cellStyle name="Comma 2 7 4 3 2" xfId="25005"/>
    <cellStyle name="Comma 2 7 4 4" xfId="8808"/>
    <cellStyle name="Comma 2 7 4 5" xfId="21797"/>
    <cellStyle name="Comma 2 7 4 6" xfId="22870"/>
    <cellStyle name="Comma 2 7 4 7" xfId="23944"/>
    <cellStyle name="Comma 2 7 5" xfId="1519"/>
    <cellStyle name="Comma 2 7 5 2" xfId="10289"/>
    <cellStyle name="Comma 2 7 5 2 2" xfId="26089"/>
    <cellStyle name="Comma 2 7 5 3" xfId="15991"/>
    <cellStyle name="Comma 2 7 5 3 2" xfId="25006"/>
    <cellStyle name="Comma 2 7 5 4" xfId="8809"/>
    <cellStyle name="Comma 2 7 5 5" xfId="21798"/>
    <cellStyle name="Comma 2 7 5 6" xfId="22871"/>
    <cellStyle name="Comma 2 7 5 7" xfId="23945"/>
    <cellStyle name="Comma 2 7 6" xfId="10285"/>
    <cellStyle name="Comma 2 7 6 2" xfId="26085"/>
    <cellStyle name="Comma 2 7 7" xfId="15987"/>
    <cellStyle name="Comma 2 7 7 2" xfId="25002"/>
    <cellStyle name="Comma 2 7 8" xfId="8805"/>
    <cellStyle name="Comma 2 7 9" xfId="21794"/>
    <cellStyle name="Comma 2 8" xfId="1520"/>
    <cellStyle name="Comma 2 8 10" xfId="22872"/>
    <cellStyle name="Comma 2 8 11" xfId="23946"/>
    <cellStyle name="Comma 2 8 2" xfId="1521"/>
    <cellStyle name="Comma 2 8 2 2" xfId="10291"/>
    <cellStyle name="Comma 2 8 2 2 2" xfId="26091"/>
    <cellStyle name="Comma 2 8 2 3" xfId="15993"/>
    <cellStyle name="Comma 2 8 2 3 2" xfId="25008"/>
    <cellStyle name="Comma 2 8 2 4" xfId="8811"/>
    <cellStyle name="Comma 2 8 2 5" xfId="21800"/>
    <cellStyle name="Comma 2 8 2 6" xfId="22873"/>
    <cellStyle name="Comma 2 8 2 7" xfId="23947"/>
    <cellStyle name="Comma 2 8 3" xfId="1522"/>
    <cellStyle name="Comma 2 8 3 2" xfId="10292"/>
    <cellStyle name="Comma 2 8 3 2 2" xfId="26092"/>
    <cellStyle name="Comma 2 8 3 3" xfId="15994"/>
    <cellStyle name="Comma 2 8 3 3 2" xfId="25009"/>
    <cellStyle name="Comma 2 8 3 4" xfId="8812"/>
    <cellStyle name="Comma 2 8 3 5" xfId="21801"/>
    <cellStyle name="Comma 2 8 3 6" xfId="22874"/>
    <cellStyle name="Comma 2 8 3 7" xfId="23948"/>
    <cellStyle name="Comma 2 8 4" xfId="1523"/>
    <cellStyle name="Comma 2 8 4 2" xfId="10293"/>
    <cellStyle name="Comma 2 8 4 2 2" xfId="26093"/>
    <cellStyle name="Comma 2 8 4 3" xfId="15995"/>
    <cellStyle name="Comma 2 8 4 3 2" xfId="25010"/>
    <cellStyle name="Comma 2 8 4 4" xfId="8813"/>
    <cellStyle name="Comma 2 8 4 5" xfId="21802"/>
    <cellStyle name="Comma 2 8 4 6" xfId="22875"/>
    <cellStyle name="Comma 2 8 4 7" xfId="23949"/>
    <cellStyle name="Comma 2 8 5" xfId="1524"/>
    <cellStyle name="Comma 2 8 5 2" xfId="10294"/>
    <cellStyle name="Comma 2 8 5 2 2" xfId="26094"/>
    <cellStyle name="Comma 2 8 5 3" xfId="15996"/>
    <cellStyle name="Comma 2 8 5 3 2" xfId="25011"/>
    <cellStyle name="Comma 2 8 5 4" xfId="8814"/>
    <cellStyle name="Comma 2 8 5 5" xfId="21803"/>
    <cellStyle name="Comma 2 8 5 6" xfId="22876"/>
    <cellStyle name="Comma 2 8 5 7" xfId="23950"/>
    <cellStyle name="Comma 2 8 6" xfId="10290"/>
    <cellStyle name="Comma 2 8 6 2" xfId="26090"/>
    <cellStyle name="Comma 2 8 7" xfId="15992"/>
    <cellStyle name="Comma 2 8 7 2" xfId="25007"/>
    <cellStyle name="Comma 2 8 8" xfId="8810"/>
    <cellStyle name="Comma 2 8 9" xfId="21799"/>
    <cellStyle name="Comma 2 9" xfId="1525"/>
    <cellStyle name="Comma 2 9 10" xfId="22877"/>
    <cellStyle name="Comma 2 9 11" xfId="23951"/>
    <cellStyle name="Comma 2 9 2" xfId="1526"/>
    <cellStyle name="Comma 2 9 2 2" xfId="10296"/>
    <cellStyle name="Comma 2 9 2 2 2" xfId="26096"/>
    <cellStyle name="Comma 2 9 2 3" xfId="15998"/>
    <cellStyle name="Comma 2 9 2 3 2" xfId="25013"/>
    <cellStyle name="Comma 2 9 2 4" xfId="8816"/>
    <cellStyle name="Comma 2 9 2 5" xfId="21805"/>
    <cellStyle name="Comma 2 9 2 6" xfId="22878"/>
    <cellStyle name="Comma 2 9 2 7" xfId="23952"/>
    <cellStyle name="Comma 2 9 3" xfId="1527"/>
    <cellStyle name="Comma 2 9 3 2" xfId="10297"/>
    <cellStyle name="Comma 2 9 3 2 2" xfId="26097"/>
    <cellStyle name="Comma 2 9 3 3" xfId="15999"/>
    <cellStyle name="Comma 2 9 3 3 2" xfId="25014"/>
    <cellStyle name="Comma 2 9 3 4" xfId="8817"/>
    <cellStyle name="Comma 2 9 3 5" xfId="21806"/>
    <cellStyle name="Comma 2 9 3 6" xfId="22879"/>
    <cellStyle name="Comma 2 9 3 7" xfId="23953"/>
    <cellStyle name="Comma 2 9 4" xfId="1528"/>
    <cellStyle name="Comma 2 9 4 2" xfId="10298"/>
    <cellStyle name="Comma 2 9 4 2 2" xfId="26098"/>
    <cellStyle name="Comma 2 9 4 3" xfId="16000"/>
    <cellStyle name="Comma 2 9 4 3 2" xfId="25015"/>
    <cellStyle name="Comma 2 9 4 4" xfId="8818"/>
    <cellStyle name="Comma 2 9 4 5" xfId="21807"/>
    <cellStyle name="Comma 2 9 4 6" xfId="22880"/>
    <cellStyle name="Comma 2 9 4 7" xfId="23954"/>
    <cellStyle name="Comma 2 9 5" xfId="1529"/>
    <cellStyle name="Comma 2 9 5 2" xfId="10299"/>
    <cellStyle name="Comma 2 9 5 2 2" xfId="26099"/>
    <cellStyle name="Comma 2 9 5 3" xfId="16001"/>
    <cellStyle name="Comma 2 9 5 3 2" xfId="25016"/>
    <cellStyle name="Comma 2 9 5 4" xfId="8819"/>
    <cellStyle name="Comma 2 9 5 5" xfId="21808"/>
    <cellStyle name="Comma 2 9 5 6" xfId="22881"/>
    <cellStyle name="Comma 2 9 5 7" xfId="23955"/>
    <cellStyle name="Comma 2 9 6" xfId="10295"/>
    <cellStyle name="Comma 2 9 6 2" xfId="26095"/>
    <cellStyle name="Comma 2 9 7" xfId="15997"/>
    <cellStyle name="Comma 2 9 7 2" xfId="25012"/>
    <cellStyle name="Comma 2 9 8" xfId="8815"/>
    <cellStyle name="Comma 2 9 9" xfId="21804"/>
    <cellStyle name="Comma 2_Gigajoule Data" xfId="171"/>
    <cellStyle name="Comma 20" xfId="14853"/>
    <cellStyle name="Comma 20 2" xfId="24029"/>
    <cellStyle name="Comma 21" xfId="20825"/>
    <cellStyle name="Comma 22" xfId="21898"/>
    <cellStyle name="Comma 23" xfId="22967"/>
    <cellStyle name="Comma 24" xfId="26178"/>
    <cellStyle name="Comma 25" xfId="26177"/>
    <cellStyle name="Comma 26" xfId="26179"/>
    <cellStyle name="Comma 27" xfId="26180"/>
    <cellStyle name="Comma 28" xfId="26181"/>
    <cellStyle name="Comma 29" xfId="26183"/>
    <cellStyle name="Comma 3" xfId="50"/>
    <cellStyle name="Comma 3 2" xfId="136"/>
    <cellStyle name="Comma 3 2 2" xfId="26204"/>
    <cellStyle name="Comma 3 3" xfId="300"/>
    <cellStyle name="Comma 3 3 2" xfId="9156"/>
    <cellStyle name="Comma 3 3 2 2" xfId="25210"/>
    <cellStyle name="Comma 3 3 3" xfId="16002"/>
    <cellStyle name="Comma 3 3 3 2" xfId="25017"/>
    <cellStyle name="Comma 3 3 4" xfId="8820"/>
    <cellStyle name="Comma 3 3 5" xfId="21809"/>
    <cellStyle name="Comma 3 3 6" xfId="22883"/>
    <cellStyle name="Comma 3 3 7" xfId="23071"/>
    <cellStyle name="Comma 3 4" xfId="1530"/>
    <cellStyle name="Comma 3 4 2" xfId="10300"/>
    <cellStyle name="Comma 3 4 2 2" xfId="26100"/>
    <cellStyle name="Comma 3 4 3" xfId="16003"/>
    <cellStyle name="Comma 3 4 3 2" xfId="25018"/>
    <cellStyle name="Comma 3 4 4" xfId="8821"/>
    <cellStyle name="Comma 3 4 5" xfId="21810"/>
    <cellStyle name="Comma 3 4 6" xfId="22884"/>
    <cellStyle name="Comma 3 4 7" xfId="23956"/>
    <cellStyle name="Comma 3 5" xfId="1531"/>
    <cellStyle name="Comma 3 6" xfId="1532"/>
    <cellStyle name="Comma 3 6 2" xfId="10301"/>
    <cellStyle name="Comma 3 6 2 2" xfId="26101"/>
    <cellStyle name="Comma 3 6 3" xfId="16004"/>
    <cellStyle name="Comma 3 6 3 2" xfId="25019"/>
    <cellStyle name="Comma 3 6 4" xfId="8822"/>
    <cellStyle name="Comma 3 6 5" xfId="21811"/>
    <cellStyle name="Comma 3 6 6" xfId="22885"/>
    <cellStyle name="Comma 3 6 7" xfId="23957"/>
    <cellStyle name="Comma 3_Data - Monthly Commodity Prices" xfId="6388"/>
    <cellStyle name="Comma 30" xfId="26182"/>
    <cellStyle name="Comma 31" xfId="26185"/>
    <cellStyle name="Comma 32" xfId="26184"/>
    <cellStyle name="Comma 33" xfId="26186"/>
    <cellStyle name="Comma 34" xfId="26187"/>
    <cellStyle name="Comma 35" xfId="26188"/>
    <cellStyle name="Comma 4" xfId="91"/>
    <cellStyle name="Comma 4 10" xfId="20832"/>
    <cellStyle name="Comma 4 11" xfId="21905"/>
    <cellStyle name="Comma 4 12" xfId="22971"/>
    <cellStyle name="Comma 4 2" xfId="302"/>
    <cellStyle name="Comma 4 2 2" xfId="1533"/>
    <cellStyle name="Comma 4 2 2 2" xfId="10302"/>
    <cellStyle name="Comma 4 2 2 2 2" xfId="26102"/>
    <cellStyle name="Comma 4 2 2 3" xfId="16006"/>
    <cellStyle name="Comma 4 2 2 3 2" xfId="25021"/>
    <cellStyle name="Comma 4 2 2 4" xfId="8824"/>
    <cellStyle name="Comma 4 2 2 5" xfId="21813"/>
    <cellStyle name="Comma 4 2 2 6" xfId="22887"/>
    <cellStyle name="Comma 4 2 2 7" xfId="23958"/>
    <cellStyle name="Comma 4 2 3" xfId="1534"/>
    <cellStyle name="Comma 4 2 3 10" xfId="21814"/>
    <cellStyle name="Comma 4 2 3 11" xfId="22888"/>
    <cellStyle name="Comma 4 2 3 12" xfId="23959"/>
    <cellStyle name="Comma 4 2 3 2" xfId="1535"/>
    <cellStyle name="Comma 4 2 3 2 10" xfId="22889"/>
    <cellStyle name="Comma 4 2 3 2 11" xfId="23960"/>
    <cellStyle name="Comma 4 2 3 2 2" xfId="1536"/>
    <cellStyle name="Comma 4 2 3 2 2 2" xfId="10305"/>
    <cellStyle name="Comma 4 2 3 2 2 2 2" xfId="26105"/>
    <cellStyle name="Comma 4 2 3 2 2 3" xfId="16009"/>
    <cellStyle name="Comma 4 2 3 2 2 3 2" xfId="25024"/>
    <cellStyle name="Comma 4 2 3 2 2 4" xfId="8827"/>
    <cellStyle name="Comma 4 2 3 2 2 5" xfId="21816"/>
    <cellStyle name="Comma 4 2 3 2 2 6" xfId="22890"/>
    <cellStyle name="Comma 4 2 3 2 2 7" xfId="23961"/>
    <cellStyle name="Comma 4 2 3 2 3" xfId="1537"/>
    <cellStyle name="Comma 4 2 3 2 3 2" xfId="10306"/>
    <cellStyle name="Comma 4 2 3 2 3 2 2" xfId="26106"/>
    <cellStyle name="Comma 4 2 3 2 3 3" xfId="16010"/>
    <cellStyle name="Comma 4 2 3 2 3 3 2" xfId="25025"/>
    <cellStyle name="Comma 4 2 3 2 3 4" xfId="8828"/>
    <cellStyle name="Comma 4 2 3 2 3 5" xfId="21817"/>
    <cellStyle name="Comma 4 2 3 2 3 6" xfId="22891"/>
    <cellStyle name="Comma 4 2 3 2 3 7" xfId="23962"/>
    <cellStyle name="Comma 4 2 3 2 4" xfId="1538"/>
    <cellStyle name="Comma 4 2 3 2 4 2" xfId="10307"/>
    <cellStyle name="Comma 4 2 3 2 4 2 2" xfId="26107"/>
    <cellStyle name="Comma 4 2 3 2 4 3" xfId="16011"/>
    <cellStyle name="Comma 4 2 3 2 4 3 2" xfId="25026"/>
    <cellStyle name="Comma 4 2 3 2 4 4" xfId="8829"/>
    <cellStyle name="Comma 4 2 3 2 4 5" xfId="21818"/>
    <cellStyle name="Comma 4 2 3 2 4 6" xfId="22892"/>
    <cellStyle name="Comma 4 2 3 2 4 7" xfId="23963"/>
    <cellStyle name="Comma 4 2 3 2 5" xfId="1539"/>
    <cellStyle name="Comma 4 2 3 2 5 2" xfId="10308"/>
    <cellStyle name="Comma 4 2 3 2 5 2 2" xfId="26108"/>
    <cellStyle name="Comma 4 2 3 2 5 3" xfId="16012"/>
    <cellStyle name="Comma 4 2 3 2 5 3 2" xfId="25027"/>
    <cellStyle name="Comma 4 2 3 2 5 4" xfId="8830"/>
    <cellStyle name="Comma 4 2 3 2 5 5" xfId="21819"/>
    <cellStyle name="Comma 4 2 3 2 5 6" xfId="22893"/>
    <cellStyle name="Comma 4 2 3 2 5 7" xfId="23964"/>
    <cellStyle name="Comma 4 2 3 2 6" xfId="10304"/>
    <cellStyle name="Comma 4 2 3 2 6 2" xfId="26104"/>
    <cellStyle name="Comma 4 2 3 2 7" xfId="16008"/>
    <cellStyle name="Comma 4 2 3 2 7 2" xfId="25023"/>
    <cellStyle name="Comma 4 2 3 2 8" xfId="8826"/>
    <cellStyle name="Comma 4 2 3 2 9" xfId="21815"/>
    <cellStyle name="Comma 4 2 3 3" xfId="1540"/>
    <cellStyle name="Comma 4 2 3 3 2" xfId="10309"/>
    <cellStyle name="Comma 4 2 3 3 2 2" xfId="26109"/>
    <cellStyle name="Comma 4 2 3 3 3" xfId="16013"/>
    <cellStyle name="Comma 4 2 3 3 3 2" xfId="25028"/>
    <cellStyle name="Comma 4 2 3 3 4" xfId="8831"/>
    <cellStyle name="Comma 4 2 3 3 5" xfId="21820"/>
    <cellStyle name="Comma 4 2 3 3 6" xfId="22894"/>
    <cellStyle name="Comma 4 2 3 3 7" xfId="23965"/>
    <cellStyle name="Comma 4 2 3 4" xfId="1541"/>
    <cellStyle name="Comma 4 2 3 4 2" xfId="10310"/>
    <cellStyle name="Comma 4 2 3 4 2 2" xfId="26110"/>
    <cellStyle name="Comma 4 2 3 4 3" xfId="16014"/>
    <cellStyle name="Comma 4 2 3 4 3 2" xfId="25029"/>
    <cellStyle name="Comma 4 2 3 4 4" xfId="8832"/>
    <cellStyle name="Comma 4 2 3 4 5" xfId="21821"/>
    <cellStyle name="Comma 4 2 3 4 6" xfId="22895"/>
    <cellStyle name="Comma 4 2 3 4 7" xfId="23966"/>
    <cellStyle name="Comma 4 2 3 5" xfId="1542"/>
    <cellStyle name="Comma 4 2 3 5 2" xfId="10311"/>
    <cellStyle name="Comma 4 2 3 5 2 2" xfId="26111"/>
    <cellStyle name="Comma 4 2 3 5 3" xfId="16015"/>
    <cellStyle name="Comma 4 2 3 5 3 2" xfId="25030"/>
    <cellStyle name="Comma 4 2 3 5 4" xfId="8833"/>
    <cellStyle name="Comma 4 2 3 5 5" xfId="21822"/>
    <cellStyle name="Comma 4 2 3 5 6" xfId="22896"/>
    <cellStyle name="Comma 4 2 3 5 7" xfId="23967"/>
    <cellStyle name="Comma 4 2 3 6" xfId="1543"/>
    <cellStyle name="Comma 4 2 3 6 2" xfId="10312"/>
    <cellStyle name="Comma 4 2 3 6 2 2" xfId="26112"/>
    <cellStyle name="Comma 4 2 3 6 3" xfId="16016"/>
    <cellStyle name="Comma 4 2 3 6 3 2" xfId="25031"/>
    <cellStyle name="Comma 4 2 3 6 4" xfId="8834"/>
    <cellStyle name="Comma 4 2 3 6 5" xfId="21823"/>
    <cellStyle name="Comma 4 2 3 6 6" xfId="22897"/>
    <cellStyle name="Comma 4 2 3 6 7" xfId="23968"/>
    <cellStyle name="Comma 4 2 3 7" xfId="10303"/>
    <cellStyle name="Comma 4 2 3 7 2" xfId="26103"/>
    <cellStyle name="Comma 4 2 3 8" xfId="16007"/>
    <cellStyle name="Comma 4 2 3 8 2" xfId="25022"/>
    <cellStyle name="Comma 4 2 3 9" xfId="8825"/>
    <cellStyle name="Comma 4 2 4" xfId="9158"/>
    <cellStyle name="Comma 4 2 4 2" xfId="25212"/>
    <cellStyle name="Comma 4 2 5" xfId="16005"/>
    <cellStyle name="Comma 4 2 5 2" xfId="25020"/>
    <cellStyle name="Comma 4 2 6" xfId="8823"/>
    <cellStyle name="Comma 4 2 7" xfId="21812"/>
    <cellStyle name="Comma 4 2 8" xfId="22886"/>
    <cellStyle name="Comma 4 2 9" xfId="23073"/>
    <cellStyle name="Comma 4 3" xfId="301"/>
    <cellStyle name="Comma 4 3 10" xfId="8835"/>
    <cellStyle name="Comma 4 3 11" xfId="21824"/>
    <cellStyle name="Comma 4 3 12" xfId="22898"/>
    <cellStyle name="Comma 4 3 13" xfId="23072"/>
    <cellStyle name="Comma 4 3 2" xfId="1544"/>
    <cellStyle name="Comma 4 3 2 10" xfId="22899"/>
    <cellStyle name="Comma 4 3 2 11" xfId="23969"/>
    <cellStyle name="Comma 4 3 2 2" xfId="1545"/>
    <cellStyle name="Comma 4 3 2 2 2" xfId="10314"/>
    <cellStyle name="Comma 4 3 2 2 2 2" xfId="26114"/>
    <cellStyle name="Comma 4 3 2 2 3" xfId="16019"/>
    <cellStyle name="Comma 4 3 2 2 3 2" xfId="25034"/>
    <cellStyle name="Comma 4 3 2 2 4" xfId="8837"/>
    <cellStyle name="Comma 4 3 2 2 5" xfId="21826"/>
    <cellStyle name="Comma 4 3 2 2 6" xfId="22900"/>
    <cellStyle name="Comma 4 3 2 2 7" xfId="23970"/>
    <cellStyle name="Comma 4 3 2 3" xfId="1546"/>
    <cellStyle name="Comma 4 3 2 3 2" xfId="10315"/>
    <cellStyle name="Comma 4 3 2 3 2 2" xfId="26115"/>
    <cellStyle name="Comma 4 3 2 3 3" xfId="16020"/>
    <cellStyle name="Comma 4 3 2 3 3 2" xfId="25035"/>
    <cellStyle name="Comma 4 3 2 3 4" xfId="8838"/>
    <cellStyle name="Comma 4 3 2 3 5" xfId="21827"/>
    <cellStyle name="Comma 4 3 2 3 6" xfId="22901"/>
    <cellStyle name="Comma 4 3 2 3 7" xfId="23971"/>
    <cellStyle name="Comma 4 3 2 4" xfId="1547"/>
    <cellStyle name="Comma 4 3 2 4 2" xfId="10316"/>
    <cellStyle name="Comma 4 3 2 4 2 2" xfId="26116"/>
    <cellStyle name="Comma 4 3 2 4 3" xfId="16021"/>
    <cellStyle name="Comma 4 3 2 4 3 2" xfId="25036"/>
    <cellStyle name="Comma 4 3 2 4 4" xfId="8839"/>
    <cellStyle name="Comma 4 3 2 4 5" xfId="21828"/>
    <cellStyle name="Comma 4 3 2 4 6" xfId="22902"/>
    <cellStyle name="Comma 4 3 2 4 7" xfId="23972"/>
    <cellStyle name="Comma 4 3 2 5" xfId="1548"/>
    <cellStyle name="Comma 4 3 2 5 2" xfId="10317"/>
    <cellStyle name="Comma 4 3 2 5 2 2" xfId="26117"/>
    <cellStyle name="Comma 4 3 2 5 3" xfId="16022"/>
    <cellStyle name="Comma 4 3 2 5 3 2" xfId="25037"/>
    <cellStyle name="Comma 4 3 2 5 4" xfId="8840"/>
    <cellStyle name="Comma 4 3 2 5 5" xfId="21829"/>
    <cellStyle name="Comma 4 3 2 5 6" xfId="22903"/>
    <cellStyle name="Comma 4 3 2 5 7" xfId="23973"/>
    <cellStyle name="Comma 4 3 2 6" xfId="10313"/>
    <cellStyle name="Comma 4 3 2 6 2" xfId="26113"/>
    <cellStyle name="Comma 4 3 2 7" xfId="16018"/>
    <cellStyle name="Comma 4 3 2 7 2" xfId="25033"/>
    <cellStyle name="Comma 4 3 2 8" xfId="8836"/>
    <cellStyle name="Comma 4 3 2 9" xfId="21825"/>
    <cellStyle name="Comma 4 3 3" xfId="1549"/>
    <cellStyle name="Comma 4 3 3 10" xfId="22904"/>
    <cellStyle name="Comma 4 3 3 11" xfId="23974"/>
    <cellStyle name="Comma 4 3 3 2" xfId="1550"/>
    <cellStyle name="Comma 4 3 3 2 2" xfId="10319"/>
    <cellStyle name="Comma 4 3 3 2 2 2" xfId="26119"/>
    <cellStyle name="Comma 4 3 3 2 3" xfId="16024"/>
    <cellStyle name="Comma 4 3 3 2 3 2" xfId="25039"/>
    <cellStyle name="Comma 4 3 3 2 4" xfId="8842"/>
    <cellStyle name="Comma 4 3 3 2 5" xfId="21831"/>
    <cellStyle name="Comma 4 3 3 2 6" xfId="22905"/>
    <cellStyle name="Comma 4 3 3 2 7" xfId="23975"/>
    <cellStyle name="Comma 4 3 3 3" xfId="1551"/>
    <cellStyle name="Comma 4 3 3 3 2" xfId="10320"/>
    <cellStyle name="Comma 4 3 3 3 2 2" xfId="26120"/>
    <cellStyle name="Comma 4 3 3 3 3" xfId="16025"/>
    <cellStyle name="Comma 4 3 3 3 3 2" xfId="25040"/>
    <cellStyle name="Comma 4 3 3 3 4" xfId="8843"/>
    <cellStyle name="Comma 4 3 3 3 5" xfId="21832"/>
    <cellStyle name="Comma 4 3 3 3 6" xfId="22906"/>
    <cellStyle name="Comma 4 3 3 3 7" xfId="23976"/>
    <cellStyle name="Comma 4 3 3 4" xfId="1552"/>
    <cellStyle name="Comma 4 3 3 4 2" xfId="10321"/>
    <cellStyle name="Comma 4 3 3 4 2 2" xfId="26121"/>
    <cellStyle name="Comma 4 3 3 4 3" xfId="16026"/>
    <cellStyle name="Comma 4 3 3 4 3 2" xfId="25041"/>
    <cellStyle name="Comma 4 3 3 4 4" xfId="8844"/>
    <cellStyle name="Comma 4 3 3 4 5" xfId="21833"/>
    <cellStyle name="Comma 4 3 3 4 6" xfId="22907"/>
    <cellStyle name="Comma 4 3 3 4 7" xfId="23977"/>
    <cellStyle name="Comma 4 3 3 5" xfId="1553"/>
    <cellStyle name="Comma 4 3 3 5 2" xfId="10322"/>
    <cellStyle name="Comma 4 3 3 5 2 2" xfId="26122"/>
    <cellStyle name="Comma 4 3 3 5 3" xfId="16027"/>
    <cellStyle name="Comma 4 3 3 5 3 2" xfId="25042"/>
    <cellStyle name="Comma 4 3 3 5 4" xfId="8845"/>
    <cellStyle name="Comma 4 3 3 5 5" xfId="21834"/>
    <cellStyle name="Comma 4 3 3 5 6" xfId="22908"/>
    <cellStyle name="Comma 4 3 3 5 7" xfId="23978"/>
    <cellStyle name="Comma 4 3 3 6" xfId="10318"/>
    <cellStyle name="Comma 4 3 3 6 2" xfId="26118"/>
    <cellStyle name="Comma 4 3 3 7" xfId="16023"/>
    <cellStyle name="Comma 4 3 3 7 2" xfId="25038"/>
    <cellStyle name="Comma 4 3 3 8" xfId="8841"/>
    <cellStyle name="Comma 4 3 3 9" xfId="21830"/>
    <cellStyle name="Comma 4 3 4" xfId="1554"/>
    <cellStyle name="Comma 4 3 4 2" xfId="10323"/>
    <cellStyle name="Comma 4 3 4 2 2" xfId="26123"/>
    <cellStyle name="Comma 4 3 4 3" xfId="16028"/>
    <cellStyle name="Comma 4 3 4 3 2" xfId="25043"/>
    <cellStyle name="Comma 4 3 4 4" xfId="8846"/>
    <cellStyle name="Comma 4 3 4 5" xfId="21835"/>
    <cellStyle name="Comma 4 3 4 6" xfId="22909"/>
    <cellStyle name="Comma 4 3 4 7" xfId="23979"/>
    <cellStyle name="Comma 4 3 5" xfId="1555"/>
    <cellStyle name="Comma 4 3 5 2" xfId="10324"/>
    <cellStyle name="Comma 4 3 5 2 2" xfId="26124"/>
    <cellStyle name="Comma 4 3 5 3" xfId="16029"/>
    <cellStyle name="Comma 4 3 5 3 2" xfId="25044"/>
    <cellStyle name="Comma 4 3 5 4" xfId="8847"/>
    <cellStyle name="Comma 4 3 5 5" xfId="21836"/>
    <cellStyle name="Comma 4 3 5 6" xfId="22910"/>
    <cellStyle name="Comma 4 3 5 7" xfId="23980"/>
    <cellStyle name="Comma 4 3 6" xfId="1556"/>
    <cellStyle name="Comma 4 3 6 2" xfId="10325"/>
    <cellStyle name="Comma 4 3 6 2 2" xfId="26125"/>
    <cellStyle name="Comma 4 3 6 3" xfId="16030"/>
    <cellStyle name="Comma 4 3 6 3 2" xfId="25045"/>
    <cellStyle name="Comma 4 3 6 4" xfId="8848"/>
    <cellStyle name="Comma 4 3 6 5" xfId="21837"/>
    <cellStyle name="Comma 4 3 6 6" xfId="22911"/>
    <cellStyle name="Comma 4 3 6 7" xfId="23981"/>
    <cellStyle name="Comma 4 3 7" xfId="1557"/>
    <cellStyle name="Comma 4 3 7 2" xfId="10326"/>
    <cellStyle name="Comma 4 3 7 2 2" xfId="26126"/>
    <cellStyle name="Comma 4 3 7 3" xfId="16031"/>
    <cellStyle name="Comma 4 3 7 3 2" xfId="25046"/>
    <cellStyle name="Comma 4 3 7 4" xfId="8849"/>
    <cellStyle name="Comma 4 3 7 5" xfId="21838"/>
    <cellStyle name="Comma 4 3 7 6" xfId="22912"/>
    <cellStyle name="Comma 4 3 7 7" xfId="23982"/>
    <cellStyle name="Comma 4 3 8" xfId="9157"/>
    <cellStyle name="Comma 4 3 8 2" xfId="25211"/>
    <cellStyle name="Comma 4 3 9" xfId="16017"/>
    <cellStyle name="Comma 4 3 9 2" xfId="25032"/>
    <cellStyle name="Comma 4 4" xfId="1558"/>
    <cellStyle name="Comma 4 4 2" xfId="10327"/>
    <cellStyle name="Comma 4 4 2 2" xfId="26127"/>
    <cellStyle name="Comma 4 4 3" xfId="16032"/>
    <cellStyle name="Comma 4 4 3 2" xfId="25047"/>
    <cellStyle name="Comma 4 4 4" xfId="8850"/>
    <cellStyle name="Comma 4 4 5" xfId="21839"/>
    <cellStyle name="Comma 4 4 6" xfId="22913"/>
    <cellStyle name="Comma 4 4 7" xfId="23983"/>
    <cellStyle name="Comma 4 5" xfId="1559"/>
    <cellStyle name="Comma 4 5 10" xfId="22914"/>
    <cellStyle name="Comma 4 5 11" xfId="23984"/>
    <cellStyle name="Comma 4 5 2" xfId="1560"/>
    <cellStyle name="Comma 4 5 2 2" xfId="10329"/>
    <cellStyle name="Comma 4 5 2 2 2" xfId="26129"/>
    <cellStyle name="Comma 4 5 2 3" xfId="16034"/>
    <cellStyle name="Comma 4 5 2 3 2" xfId="25049"/>
    <cellStyle name="Comma 4 5 2 4" xfId="8852"/>
    <cellStyle name="Comma 4 5 2 5" xfId="21841"/>
    <cellStyle name="Comma 4 5 2 6" xfId="22915"/>
    <cellStyle name="Comma 4 5 2 7" xfId="23985"/>
    <cellStyle name="Comma 4 5 3" xfId="1561"/>
    <cellStyle name="Comma 4 5 3 2" xfId="10330"/>
    <cellStyle name="Comma 4 5 3 2 2" xfId="26130"/>
    <cellStyle name="Comma 4 5 3 3" xfId="16035"/>
    <cellStyle name="Comma 4 5 3 3 2" xfId="25050"/>
    <cellStyle name="Comma 4 5 3 4" xfId="8853"/>
    <cellStyle name="Comma 4 5 3 5" xfId="21842"/>
    <cellStyle name="Comma 4 5 3 6" xfId="22916"/>
    <cellStyle name="Comma 4 5 3 7" xfId="23986"/>
    <cellStyle name="Comma 4 5 4" xfId="1562"/>
    <cellStyle name="Comma 4 5 4 2" xfId="10331"/>
    <cellStyle name="Comma 4 5 4 2 2" xfId="26131"/>
    <cellStyle name="Comma 4 5 4 3" xfId="16036"/>
    <cellStyle name="Comma 4 5 4 3 2" xfId="25051"/>
    <cellStyle name="Comma 4 5 4 4" xfId="8854"/>
    <cellStyle name="Comma 4 5 4 5" xfId="21843"/>
    <cellStyle name="Comma 4 5 4 6" xfId="22917"/>
    <cellStyle name="Comma 4 5 4 7" xfId="23987"/>
    <cellStyle name="Comma 4 5 5" xfId="1563"/>
    <cellStyle name="Comma 4 5 5 2" xfId="10332"/>
    <cellStyle name="Comma 4 5 5 2 2" xfId="26132"/>
    <cellStyle name="Comma 4 5 5 3" xfId="16037"/>
    <cellStyle name="Comma 4 5 5 3 2" xfId="25052"/>
    <cellStyle name="Comma 4 5 5 4" xfId="8855"/>
    <cellStyle name="Comma 4 5 5 5" xfId="21844"/>
    <cellStyle name="Comma 4 5 5 6" xfId="22918"/>
    <cellStyle name="Comma 4 5 5 7" xfId="23988"/>
    <cellStyle name="Comma 4 5 6" xfId="10328"/>
    <cellStyle name="Comma 4 5 6 2" xfId="26128"/>
    <cellStyle name="Comma 4 5 7" xfId="16033"/>
    <cellStyle name="Comma 4 5 7 2" xfId="25048"/>
    <cellStyle name="Comma 4 5 8" xfId="8851"/>
    <cellStyle name="Comma 4 5 9" xfId="21840"/>
    <cellStyle name="Comma 4 6" xfId="1564"/>
    <cellStyle name="Comma 4 6 10" xfId="22919"/>
    <cellStyle name="Comma 4 6 11" xfId="23989"/>
    <cellStyle name="Comma 4 6 2" xfId="1565"/>
    <cellStyle name="Comma 4 6 2 2" xfId="10334"/>
    <cellStyle name="Comma 4 6 2 2 2" xfId="26134"/>
    <cellStyle name="Comma 4 6 2 3" xfId="16039"/>
    <cellStyle name="Comma 4 6 2 3 2" xfId="25054"/>
    <cellStyle name="Comma 4 6 2 4" xfId="8857"/>
    <cellStyle name="Comma 4 6 2 5" xfId="21846"/>
    <cellStyle name="Comma 4 6 2 6" xfId="22920"/>
    <cellStyle name="Comma 4 6 2 7" xfId="23990"/>
    <cellStyle name="Comma 4 6 3" xfId="1566"/>
    <cellStyle name="Comma 4 6 3 2" xfId="10335"/>
    <cellStyle name="Comma 4 6 3 2 2" xfId="26135"/>
    <cellStyle name="Comma 4 6 3 3" xfId="16040"/>
    <cellStyle name="Comma 4 6 3 3 2" xfId="25055"/>
    <cellStyle name="Comma 4 6 3 4" xfId="8858"/>
    <cellStyle name="Comma 4 6 3 5" xfId="21847"/>
    <cellStyle name="Comma 4 6 3 6" xfId="22921"/>
    <cellStyle name="Comma 4 6 3 7" xfId="23991"/>
    <cellStyle name="Comma 4 6 4" xfId="1567"/>
    <cellStyle name="Comma 4 6 4 2" xfId="10336"/>
    <cellStyle name="Comma 4 6 4 2 2" xfId="26136"/>
    <cellStyle name="Comma 4 6 4 3" xfId="16041"/>
    <cellStyle name="Comma 4 6 4 3 2" xfId="25056"/>
    <cellStyle name="Comma 4 6 4 4" xfId="8859"/>
    <cellStyle name="Comma 4 6 4 5" xfId="21848"/>
    <cellStyle name="Comma 4 6 4 6" xfId="22922"/>
    <cellStyle name="Comma 4 6 4 7" xfId="23992"/>
    <cellStyle name="Comma 4 6 5" xfId="1568"/>
    <cellStyle name="Comma 4 6 5 2" xfId="10337"/>
    <cellStyle name="Comma 4 6 5 2 2" xfId="26137"/>
    <cellStyle name="Comma 4 6 5 3" xfId="16042"/>
    <cellStyle name="Comma 4 6 5 3 2" xfId="25057"/>
    <cellStyle name="Comma 4 6 5 4" xfId="8860"/>
    <cellStyle name="Comma 4 6 5 5" xfId="21849"/>
    <cellStyle name="Comma 4 6 5 6" xfId="22923"/>
    <cellStyle name="Comma 4 6 5 7" xfId="23993"/>
    <cellStyle name="Comma 4 6 6" xfId="10333"/>
    <cellStyle name="Comma 4 6 6 2" xfId="26133"/>
    <cellStyle name="Comma 4 6 7" xfId="16038"/>
    <cellStyle name="Comma 4 6 7 2" xfId="25053"/>
    <cellStyle name="Comma 4 6 8" xfId="8856"/>
    <cellStyle name="Comma 4 6 9" xfId="21845"/>
    <cellStyle name="Comma 4 7" xfId="8983"/>
    <cellStyle name="Comma 4 7 2" xfId="25108"/>
    <cellStyle name="Comma 4 8" xfId="15009"/>
    <cellStyle name="Comma 4 8 2" xfId="24035"/>
    <cellStyle name="Comma 4 9" xfId="7829"/>
    <cellStyle name="Comma 4_Data - Monthly Commodity Prices" xfId="6484"/>
    <cellStyle name="Comma 5" xfId="303"/>
    <cellStyle name="Comma 5 10" xfId="26217"/>
    <cellStyle name="Comma 5 2" xfId="1569"/>
    <cellStyle name="Comma 5 2 10" xfId="8861"/>
    <cellStyle name="Comma 5 2 11" xfId="21850"/>
    <cellStyle name="Comma 5 2 12" xfId="22924"/>
    <cellStyle name="Comma 5 2 13" xfId="23994"/>
    <cellStyle name="Comma 5 2 2" xfId="1570"/>
    <cellStyle name="Comma 5 2 2 10" xfId="22925"/>
    <cellStyle name="Comma 5 2 2 11" xfId="23995"/>
    <cellStyle name="Comma 5 2 2 2" xfId="1571"/>
    <cellStyle name="Comma 5 2 2 2 2" xfId="10340"/>
    <cellStyle name="Comma 5 2 2 2 2 2" xfId="26140"/>
    <cellStyle name="Comma 5 2 2 2 3" xfId="16045"/>
    <cellStyle name="Comma 5 2 2 2 3 2" xfId="25060"/>
    <cellStyle name="Comma 5 2 2 2 4" xfId="8863"/>
    <cellStyle name="Comma 5 2 2 2 5" xfId="21852"/>
    <cellStyle name="Comma 5 2 2 2 6" xfId="22926"/>
    <cellStyle name="Comma 5 2 2 2 7" xfId="23996"/>
    <cellStyle name="Comma 5 2 2 3" xfId="1572"/>
    <cellStyle name="Comma 5 2 2 3 2" xfId="10341"/>
    <cellStyle name="Comma 5 2 2 3 2 2" xfId="26141"/>
    <cellStyle name="Comma 5 2 2 3 3" xfId="16046"/>
    <cellStyle name="Comma 5 2 2 3 3 2" xfId="25061"/>
    <cellStyle name="Comma 5 2 2 3 4" xfId="8864"/>
    <cellStyle name="Comma 5 2 2 3 5" xfId="21853"/>
    <cellStyle name="Comma 5 2 2 3 6" xfId="22927"/>
    <cellStyle name="Comma 5 2 2 3 7" xfId="23997"/>
    <cellStyle name="Comma 5 2 2 4" xfId="1573"/>
    <cellStyle name="Comma 5 2 2 4 2" xfId="10342"/>
    <cellStyle name="Comma 5 2 2 4 2 2" xfId="26142"/>
    <cellStyle name="Comma 5 2 2 4 3" xfId="16047"/>
    <cellStyle name="Comma 5 2 2 4 3 2" xfId="25062"/>
    <cellStyle name="Comma 5 2 2 4 4" xfId="8865"/>
    <cellStyle name="Comma 5 2 2 4 5" xfId="21854"/>
    <cellStyle name="Comma 5 2 2 4 6" xfId="22928"/>
    <cellStyle name="Comma 5 2 2 4 7" xfId="23998"/>
    <cellStyle name="Comma 5 2 2 5" xfId="1574"/>
    <cellStyle name="Comma 5 2 2 5 2" xfId="10343"/>
    <cellStyle name="Comma 5 2 2 5 2 2" xfId="26143"/>
    <cellStyle name="Comma 5 2 2 5 3" xfId="16048"/>
    <cellStyle name="Comma 5 2 2 5 3 2" xfId="25063"/>
    <cellStyle name="Comma 5 2 2 5 4" xfId="8866"/>
    <cellStyle name="Comma 5 2 2 5 5" xfId="21855"/>
    <cellStyle name="Comma 5 2 2 5 6" xfId="22929"/>
    <cellStyle name="Comma 5 2 2 5 7" xfId="23999"/>
    <cellStyle name="Comma 5 2 2 6" xfId="10339"/>
    <cellStyle name="Comma 5 2 2 6 2" xfId="26139"/>
    <cellStyle name="Comma 5 2 2 7" xfId="16044"/>
    <cellStyle name="Comma 5 2 2 7 2" xfId="25059"/>
    <cellStyle name="Comma 5 2 2 8" xfId="8862"/>
    <cellStyle name="Comma 5 2 2 9" xfId="21851"/>
    <cellStyle name="Comma 5 2 3" xfId="1575"/>
    <cellStyle name="Comma 5 2 3 10" xfId="22930"/>
    <cellStyle name="Comma 5 2 3 11" xfId="24000"/>
    <cellStyle name="Comma 5 2 3 2" xfId="1576"/>
    <cellStyle name="Comma 5 2 3 2 2" xfId="10345"/>
    <cellStyle name="Comma 5 2 3 2 2 2" xfId="26145"/>
    <cellStyle name="Comma 5 2 3 2 3" xfId="16050"/>
    <cellStyle name="Comma 5 2 3 2 3 2" xfId="25065"/>
    <cellStyle name="Comma 5 2 3 2 4" xfId="8868"/>
    <cellStyle name="Comma 5 2 3 2 5" xfId="21857"/>
    <cellStyle name="Comma 5 2 3 2 6" xfId="22931"/>
    <cellStyle name="Comma 5 2 3 2 7" xfId="24001"/>
    <cellStyle name="Comma 5 2 3 3" xfId="1577"/>
    <cellStyle name="Comma 5 2 3 3 2" xfId="10346"/>
    <cellStyle name="Comma 5 2 3 3 2 2" xfId="26146"/>
    <cellStyle name="Comma 5 2 3 3 3" xfId="16051"/>
    <cellStyle name="Comma 5 2 3 3 3 2" xfId="25066"/>
    <cellStyle name="Comma 5 2 3 3 4" xfId="8869"/>
    <cellStyle name="Comma 5 2 3 3 5" xfId="21858"/>
    <cellStyle name="Comma 5 2 3 3 6" xfId="22932"/>
    <cellStyle name="Comma 5 2 3 3 7" xfId="24002"/>
    <cellStyle name="Comma 5 2 3 4" xfId="1578"/>
    <cellStyle name="Comma 5 2 3 4 2" xfId="10347"/>
    <cellStyle name="Comma 5 2 3 4 2 2" xfId="26147"/>
    <cellStyle name="Comma 5 2 3 4 3" xfId="16052"/>
    <cellStyle name="Comma 5 2 3 4 3 2" xfId="25067"/>
    <cellStyle name="Comma 5 2 3 4 4" xfId="8870"/>
    <cellStyle name="Comma 5 2 3 4 5" xfId="21859"/>
    <cellStyle name="Comma 5 2 3 4 6" xfId="22933"/>
    <cellStyle name="Comma 5 2 3 4 7" xfId="24003"/>
    <cellStyle name="Comma 5 2 3 5" xfId="1579"/>
    <cellStyle name="Comma 5 2 3 5 2" xfId="10348"/>
    <cellStyle name="Comma 5 2 3 5 2 2" xfId="26148"/>
    <cellStyle name="Comma 5 2 3 5 3" xfId="16053"/>
    <cellStyle name="Comma 5 2 3 5 3 2" xfId="25068"/>
    <cellStyle name="Comma 5 2 3 5 4" xfId="8871"/>
    <cellStyle name="Comma 5 2 3 5 5" xfId="21860"/>
    <cellStyle name="Comma 5 2 3 5 6" xfId="22934"/>
    <cellStyle name="Comma 5 2 3 5 7" xfId="24004"/>
    <cellStyle name="Comma 5 2 3 6" xfId="10344"/>
    <cellStyle name="Comma 5 2 3 6 2" xfId="26144"/>
    <cellStyle name="Comma 5 2 3 7" xfId="16049"/>
    <cellStyle name="Comma 5 2 3 7 2" xfId="25064"/>
    <cellStyle name="Comma 5 2 3 8" xfId="8867"/>
    <cellStyle name="Comma 5 2 3 9" xfId="21856"/>
    <cellStyle name="Comma 5 2 4" xfId="1580"/>
    <cellStyle name="Comma 5 2 4 2" xfId="10349"/>
    <cellStyle name="Comma 5 2 4 2 2" xfId="26149"/>
    <cellStyle name="Comma 5 2 4 3" xfId="16054"/>
    <cellStyle name="Comma 5 2 4 3 2" xfId="25069"/>
    <cellStyle name="Comma 5 2 4 4" xfId="8872"/>
    <cellStyle name="Comma 5 2 4 5" xfId="21861"/>
    <cellStyle name="Comma 5 2 4 6" xfId="22935"/>
    <cellStyle name="Comma 5 2 4 7" xfId="24005"/>
    <cellStyle name="Comma 5 2 5" xfId="1581"/>
    <cellStyle name="Comma 5 2 5 2" xfId="10350"/>
    <cellStyle name="Comma 5 2 5 2 2" xfId="26150"/>
    <cellStyle name="Comma 5 2 5 3" xfId="16055"/>
    <cellStyle name="Comma 5 2 5 3 2" xfId="25070"/>
    <cellStyle name="Comma 5 2 5 4" xfId="8873"/>
    <cellStyle name="Comma 5 2 5 5" xfId="21862"/>
    <cellStyle name="Comma 5 2 5 6" xfId="22936"/>
    <cellStyle name="Comma 5 2 5 7" xfId="24006"/>
    <cellStyle name="Comma 5 2 6" xfId="1582"/>
    <cellStyle name="Comma 5 2 6 2" xfId="10351"/>
    <cellStyle name="Comma 5 2 6 2 2" xfId="26151"/>
    <cellStyle name="Comma 5 2 6 3" xfId="16056"/>
    <cellStyle name="Comma 5 2 6 3 2" xfId="25071"/>
    <cellStyle name="Comma 5 2 6 4" xfId="8874"/>
    <cellStyle name="Comma 5 2 6 5" xfId="21863"/>
    <cellStyle name="Comma 5 2 6 6" xfId="22937"/>
    <cellStyle name="Comma 5 2 6 7" xfId="24007"/>
    <cellStyle name="Comma 5 2 7" xfId="1583"/>
    <cellStyle name="Comma 5 2 7 2" xfId="10352"/>
    <cellStyle name="Comma 5 2 7 2 2" xfId="26152"/>
    <cellStyle name="Comma 5 2 7 3" xfId="16057"/>
    <cellStyle name="Comma 5 2 7 3 2" xfId="25072"/>
    <cellStyle name="Comma 5 2 7 4" xfId="8875"/>
    <cellStyle name="Comma 5 2 7 5" xfId="21864"/>
    <cellStyle name="Comma 5 2 7 6" xfId="22938"/>
    <cellStyle name="Comma 5 2 7 7" xfId="24008"/>
    <cellStyle name="Comma 5 2 8" xfId="10338"/>
    <cellStyle name="Comma 5 2 8 2" xfId="26138"/>
    <cellStyle name="Comma 5 2 9" xfId="16043"/>
    <cellStyle name="Comma 5 2 9 2" xfId="25058"/>
    <cellStyle name="Comma 5 3" xfId="8984"/>
    <cellStyle name="Comma 5 3 2" xfId="25109"/>
    <cellStyle name="Comma 5 4" xfId="15010"/>
    <cellStyle name="Comma 5 4 2" xfId="24036"/>
    <cellStyle name="Comma 5 5" xfId="7830"/>
    <cellStyle name="Comma 5 6" xfId="20833"/>
    <cellStyle name="Comma 5 7" xfId="21906"/>
    <cellStyle name="Comma 5 8" xfId="22972"/>
    <cellStyle name="Comma 5 9" xfId="26203"/>
    <cellStyle name="Comma 6" xfId="304"/>
    <cellStyle name="Comma 6 2" xfId="1584"/>
    <cellStyle name="Comma 6 2 2" xfId="10353"/>
    <cellStyle name="Comma 6 2 2 2" xfId="26153"/>
    <cellStyle name="Comma 6 2 3" xfId="16058"/>
    <cellStyle name="Comma 6 2 3 2" xfId="25073"/>
    <cellStyle name="Comma 6 2 4" xfId="8876"/>
    <cellStyle name="Comma 6 2 5" xfId="21865"/>
    <cellStyle name="Comma 6 2 6" xfId="22939"/>
    <cellStyle name="Comma 6 2 7" xfId="24009"/>
    <cellStyle name="Comma 6 3" xfId="9159"/>
    <cellStyle name="Comma 6 3 2" xfId="25213"/>
    <cellStyle name="Comma 6 4" xfId="14955"/>
    <cellStyle name="Comma 6 4 2" xfId="24033"/>
    <cellStyle name="Comma 6 5" xfId="7808"/>
    <cellStyle name="Comma 6 6" xfId="20829"/>
    <cellStyle name="Comma 6 7" xfId="21902"/>
    <cellStyle name="Comma 6 8" xfId="23074"/>
    <cellStyle name="Comma 7" xfId="305"/>
    <cellStyle name="Comma 7 2" xfId="306"/>
    <cellStyle name="Comma 7 2 2" xfId="1585"/>
    <cellStyle name="Comma 7 2 2 2" xfId="10354"/>
    <cellStyle name="Comma 7 2 2 2 2" xfId="26154"/>
    <cellStyle name="Comma 7 2 2 3" xfId="16061"/>
    <cellStyle name="Comma 7 2 2 3 2" xfId="25076"/>
    <cellStyle name="Comma 7 2 2 4" xfId="8879"/>
    <cellStyle name="Comma 7 2 2 5" xfId="21868"/>
    <cellStyle name="Comma 7 2 2 6" xfId="22942"/>
    <cellStyle name="Comma 7 2 2 7" xfId="24010"/>
    <cellStyle name="Comma 7 2 3" xfId="9161"/>
    <cellStyle name="Comma 7 2 3 2" xfId="25215"/>
    <cellStyle name="Comma 7 2 4" xfId="16060"/>
    <cellStyle name="Comma 7 2 4 2" xfId="25075"/>
    <cellStyle name="Comma 7 2 5" xfId="8878"/>
    <cellStyle name="Comma 7 2 6" xfId="21867"/>
    <cellStyle name="Comma 7 2 7" xfId="22941"/>
    <cellStyle name="Comma 7 2 8" xfId="23076"/>
    <cellStyle name="Comma 7 3" xfId="1586"/>
    <cellStyle name="Comma 7 3 2" xfId="10355"/>
    <cellStyle name="Comma 7 3 2 2" xfId="26155"/>
    <cellStyle name="Comma 7 3 3" xfId="16062"/>
    <cellStyle name="Comma 7 3 3 2" xfId="25077"/>
    <cellStyle name="Comma 7 3 4" xfId="8880"/>
    <cellStyle name="Comma 7 3 5" xfId="21869"/>
    <cellStyle name="Comma 7 3 6" xfId="22943"/>
    <cellStyle name="Comma 7 3 7" xfId="24011"/>
    <cellStyle name="Comma 7 4" xfId="9160"/>
    <cellStyle name="Comma 7 4 2" xfId="25214"/>
    <cellStyle name="Comma 7 5" xfId="16059"/>
    <cellStyle name="Comma 7 5 2" xfId="25074"/>
    <cellStyle name="Comma 7 6" xfId="8877"/>
    <cellStyle name="Comma 7 7" xfId="21866"/>
    <cellStyle name="Comma 7 8" xfId="22940"/>
    <cellStyle name="Comma 7 9" xfId="23075"/>
    <cellStyle name="Comma 8" xfId="307"/>
    <cellStyle name="Comma 8 10" xfId="16063"/>
    <cellStyle name="Comma 8 10 2" xfId="25078"/>
    <cellStyle name="Comma 8 11" xfId="8881"/>
    <cellStyle name="Comma 8 12" xfId="21870"/>
    <cellStyle name="Comma 8 13" xfId="22944"/>
    <cellStyle name="Comma 8 14" xfId="23077"/>
    <cellStyle name="Comma 8 2" xfId="1587"/>
    <cellStyle name="Comma 8 2 10" xfId="22945"/>
    <cellStyle name="Comma 8 2 11" xfId="24012"/>
    <cellStyle name="Comma 8 2 2" xfId="1588"/>
    <cellStyle name="Comma 8 2 2 2" xfId="10357"/>
    <cellStyle name="Comma 8 2 2 2 2" xfId="26157"/>
    <cellStyle name="Comma 8 2 2 3" xfId="16065"/>
    <cellStyle name="Comma 8 2 2 3 2" xfId="25080"/>
    <cellStyle name="Comma 8 2 2 4" xfId="8883"/>
    <cellStyle name="Comma 8 2 2 5" xfId="21872"/>
    <cellStyle name="Comma 8 2 2 6" xfId="22946"/>
    <cellStyle name="Comma 8 2 2 7" xfId="24013"/>
    <cellStyle name="Comma 8 2 3" xfId="1589"/>
    <cellStyle name="Comma 8 2 3 2" xfId="10358"/>
    <cellStyle name="Comma 8 2 3 2 2" xfId="26158"/>
    <cellStyle name="Comma 8 2 3 3" xfId="16066"/>
    <cellStyle name="Comma 8 2 3 3 2" xfId="25081"/>
    <cellStyle name="Comma 8 2 3 4" xfId="8884"/>
    <cellStyle name="Comma 8 2 3 5" xfId="21873"/>
    <cellStyle name="Comma 8 2 3 6" xfId="22947"/>
    <cellStyle name="Comma 8 2 3 7" xfId="24014"/>
    <cellStyle name="Comma 8 2 4" xfId="1590"/>
    <cellStyle name="Comma 8 2 4 2" xfId="10359"/>
    <cellStyle name="Comma 8 2 4 2 2" xfId="26159"/>
    <cellStyle name="Comma 8 2 4 3" xfId="16067"/>
    <cellStyle name="Comma 8 2 4 3 2" xfId="25082"/>
    <cellStyle name="Comma 8 2 4 4" xfId="8885"/>
    <cellStyle name="Comma 8 2 4 5" xfId="21874"/>
    <cellStyle name="Comma 8 2 4 6" xfId="22948"/>
    <cellStyle name="Comma 8 2 4 7" xfId="24015"/>
    <cellStyle name="Comma 8 2 5" xfId="1591"/>
    <cellStyle name="Comma 8 2 5 2" xfId="10360"/>
    <cellStyle name="Comma 8 2 5 2 2" xfId="26160"/>
    <cellStyle name="Comma 8 2 5 3" xfId="16068"/>
    <cellStyle name="Comma 8 2 5 3 2" xfId="25083"/>
    <cellStyle name="Comma 8 2 5 4" xfId="8886"/>
    <cellStyle name="Comma 8 2 5 5" xfId="21875"/>
    <cellStyle name="Comma 8 2 5 6" xfId="22949"/>
    <cellStyle name="Comma 8 2 5 7" xfId="24016"/>
    <cellStyle name="Comma 8 2 6" xfId="10356"/>
    <cellStyle name="Comma 8 2 6 2" xfId="26156"/>
    <cellStyle name="Comma 8 2 7" xfId="16064"/>
    <cellStyle name="Comma 8 2 7 2" xfId="25079"/>
    <cellStyle name="Comma 8 2 8" xfId="8882"/>
    <cellStyle name="Comma 8 2 9" xfId="21871"/>
    <cellStyle name="Comma 8 3" xfId="1592"/>
    <cellStyle name="Comma 8 3 10" xfId="22950"/>
    <cellStyle name="Comma 8 3 11" xfId="24017"/>
    <cellStyle name="Comma 8 3 2" xfId="1593"/>
    <cellStyle name="Comma 8 3 2 2" xfId="10362"/>
    <cellStyle name="Comma 8 3 2 2 2" xfId="26162"/>
    <cellStyle name="Comma 8 3 2 3" xfId="16070"/>
    <cellStyle name="Comma 8 3 2 3 2" xfId="25085"/>
    <cellStyle name="Comma 8 3 2 4" xfId="8888"/>
    <cellStyle name="Comma 8 3 2 5" xfId="21877"/>
    <cellStyle name="Comma 8 3 2 6" xfId="22951"/>
    <cellStyle name="Comma 8 3 2 7" xfId="24018"/>
    <cellStyle name="Comma 8 3 3" xfId="1594"/>
    <cellStyle name="Comma 8 3 3 2" xfId="10363"/>
    <cellStyle name="Comma 8 3 3 2 2" xfId="26163"/>
    <cellStyle name="Comma 8 3 3 3" xfId="16071"/>
    <cellStyle name="Comma 8 3 3 3 2" xfId="25086"/>
    <cellStyle name="Comma 8 3 3 4" xfId="8889"/>
    <cellStyle name="Comma 8 3 3 5" xfId="21878"/>
    <cellStyle name="Comma 8 3 3 6" xfId="22952"/>
    <cellStyle name="Comma 8 3 3 7" xfId="24019"/>
    <cellStyle name="Comma 8 3 4" xfId="1595"/>
    <cellStyle name="Comma 8 3 4 2" xfId="10364"/>
    <cellStyle name="Comma 8 3 4 2 2" xfId="26164"/>
    <cellStyle name="Comma 8 3 4 3" xfId="16072"/>
    <cellStyle name="Comma 8 3 4 3 2" xfId="25087"/>
    <cellStyle name="Comma 8 3 4 4" xfId="8890"/>
    <cellStyle name="Comma 8 3 4 5" xfId="21879"/>
    <cellStyle name="Comma 8 3 4 6" xfId="22953"/>
    <cellStyle name="Comma 8 3 4 7" xfId="24020"/>
    <cellStyle name="Comma 8 3 5" xfId="1596"/>
    <cellStyle name="Comma 8 3 5 2" xfId="10365"/>
    <cellStyle name="Comma 8 3 5 2 2" xfId="26165"/>
    <cellStyle name="Comma 8 3 5 3" xfId="16073"/>
    <cellStyle name="Comma 8 3 5 3 2" xfId="25088"/>
    <cellStyle name="Comma 8 3 5 4" xfId="8891"/>
    <cellStyle name="Comma 8 3 5 5" xfId="21880"/>
    <cellStyle name="Comma 8 3 5 6" xfId="22954"/>
    <cellStyle name="Comma 8 3 5 7" xfId="24021"/>
    <cellStyle name="Comma 8 3 6" xfId="10361"/>
    <cellStyle name="Comma 8 3 6 2" xfId="26161"/>
    <cellStyle name="Comma 8 3 7" xfId="16069"/>
    <cellStyle name="Comma 8 3 7 2" xfId="25084"/>
    <cellStyle name="Comma 8 3 8" xfId="8887"/>
    <cellStyle name="Comma 8 3 9" xfId="21876"/>
    <cellStyle name="Comma 8 4" xfId="1597"/>
    <cellStyle name="Comma 8 4 2" xfId="10366"/>
    <cellStyle name="Comma 8 4 2 2" xfId="26166"/>
    <cellStyle name="Comma 8 4 3" xfId="16074"/>
    <cellStyle name="Comma 8 4 3 2" xfId="25089"/>
    <cellStyle name="Comma 8 4 4" xfId="8892"/>
    <cellStyle name="Comma 8 4 5" xfId="21881"/>
    <cellStyle name="Comma 8 4 6" xfId="22955"/>
    <cellStyle name="Comma 8 4 7" xfId="24022"/>
    <cellStyle name="Comma 8 5" xfId="1598"/>
    <cellStyle name="Comma 8 5 2" xfId="10367"/>
    <cellStyle name="Comma 8 5 2 2" xfId="26167"/>
    <cellStyle name="Comma 8 5 3" xfId="16075"/>
    <cellStyle name="Comma 8 5 3 2" xfId="25090"/>
    <cellStyle name="Comma 8 5 4" xfId="8893"/>
    <cellStyle name="Comma 8 5 5" xfId="21882"/>
    <cellStyle name="Comma 8 5 6" xfId="22956"/>
    <cellStyle name="Comma 8 5 7" xfId="24023"/>
    <cellStyle name="Comma 8 6" xfId="1599"/>
    <cellStyle name="Comma 8 6 2" xfId="10368"/>
    <cellStyle name="Comma 8 6 2 2" xfId="26168"/>
    <cellStyle name="Comma 8 6 3" xfId="16076"/>
    <cellStyle name="Comma 8 6 3 2" xfId="25091"/>
    <cellStyle name="Comma 8 6 4" xfId="8894"/>
    <cellStyle name="Comma 8 6 5" xfId="21883"/>
    <cellStyle name="Comma 8 6 6" xfId="22957"/>
    <cellStyle name="Comma 8 6 7" xfId="24024"/>
    <cellStyle name="Comma 8 7" xfId="1600"/>
    <cellStyle name="Comma 8 7 2" xfId="10369"/>
    <cellStyle name="Comma 8 7 2 2" xfId="26169"/>
    <cellStyle name="Comma 8 7 3" xfId="16077"/>
    <cellStyle name="Comma 8 7 3 2" xfId="25092"/>
    <cellStyle name="Comma 8 7 4" xfId="8895"/>
    <cellStyle name="Comma 8 7 5" xfId="21884"/>
    <cellStyle name="Comma 8 7 6" xfId="22958"/>
    <cellStyle name="Comma 8 7 7" xfId="24025"/>
    <cellStyle name="Comma 8 8" xfId="1601"/>
    <cellStyle name="Comma 8 8 2" xfId="10370"/>
    <cellStyle name="Comma 8 8 2 2" xfId="26170"/>
    <cellStyle name="Comma 8 8 3" xfId="16078"/>
    <cellStyle name="Comma 8 8 3 2" xfId="25093"/>
    <cellStyle name="Comma 8 8 4" xfId="8896"/>
    <cellStyle name="Comma 8 8 5" xfId="21885"/>
    <cellStyle name="Comma 8 8 6" xfId="22959"/>
    <cellStyle name="Comma 8 8 7" xfId="24026"/>
    <cellStyle name="Comma 8 9" xfId="9162"/>
    <cellStyle name="Comma 8 9 2" xfId="25216"/>
    <cellStyle name="Comma 9" xfId="477"/>
    <cellStyle name="Commentaire" xfId="308"/>
    <cellStyle name="Currency" xfId="89"/>
    <cellStyle name="Currency 10" xfId="21899"/>
    <cellStyle name="Currency 11" xfId="22968"/>
    <cellStyle name="Currency 2" xfId="137"/>
    <cellStyle name="Currency 2 2" xfId="6475"/>
    <cellStyle name="Currency 2 2 2" xfId="14818"/>
    <cellStyle name="Currency 2 2 2 2" xfId="26172"/>
    <cellStyle name="Currency 2 2 3" xfId="16079"/>
    <cellStyle name="Currency 2 2 3 2" xfId="25094"/>
    <cellStyle name="Currency 2 2 4" xfId="8897"/>
    <cellStyle name="Currency 2 2 5" xfId="21886"/>
    <cellStyle name="Currency 2 2 6" xfId="22960"/>
    <cellStyle name="Currency 2 2 7" xfId="24027"/>
    <cellStyle name="Currency 2 3" xfId="8944"/>
    <cellStyle name="Currency 2 3 2" xfId="25107"/>
    <cellStyle name="Currency 2 4" xfId="7806"/>
    <cellStyle name="Currency 2 4 2" xfId="24032"/>
    <cellStyle name="Currency 3" xfId="92"/>
    <cellStyle name="Currency 3 2" xfId="309"/>
    <cellStyle name="Currency 3 2 2" xfId="9163"/>
    <cellStyle name="Currency 3 2 2 2" xfId="25217"/>
    <cellStyle name="Currency 3 2 3" xfId="16080"/>
    <cellStyle name="Currency 3 2 3 2" xfId="25095"/>
    <cellStyle name="Currency 3 2 4" xfId="8898"/>
    <cellStyle name="Currency 3 2 5" xfId="21887"/>
    <cellStyle name="Currency 3 2 6" xfId="22961"/>
    <cellStyle name="Currency 3 2 7" xfId="23078"/>
    <cellStyle name="Currency 3 3" xfId="8986"/>
    <cellStyle name="Currency 3 3 2" xfId="25110"/>
    <cellStyle name="Currency 3 4" xfId="14956"/>
    <cellStyle name="Currency 3 4 2" xfId="24034"/>
    <cellStyle name="Currency 3 5" xfId="7809"/>
    <cellStyle name="Currency 3 6" xfId="20830"/>
    <cellStyle name="Currency 3 7" xfId="21903"/>
    <cellStyle name="Currency 3_Data - Monthly Commodity Prices" xfId="6516"/>
    <cellStyle name="Currency 4" xfId="1602"/>
    <cellStyle name="Currency 4 2" xfId="10371"/>
    <cellStyle name="Currency 4 2 2" xfId="26171"/>
    <cellStyle name="Currency 4 3" xfId="8899"/>
    <cellStyle name="Currency 4 3 2" xfId="25096"/>
    <cellStyle name="Currency 5" xfId="6536"/>
    <cellStyle name="Currency 5 2" xfId="14851"/>
    <cellStyle name="Currency 5 2 2" xfId="26175"/>
    <cellStyle name="Currency 5 3" xfId="20787"/>
    <cellStyle name="Currency 5 3 2" xfId="25101"/>
    <cellStyle name="Currency 5 4" xfId="7839"/>
    <cellStyle name="Currency 5 5" xfId="21890"/>
    <cellStyle name="Currency 5 6" xfId="22963"/>
    <cellStyle name="Currency 5 7" xfId="24028"/>
    <cellStyle name="Currency 6" xfId="8928"/>
    <cellStyle name="Currency 6 2" xfId="25105"/>
    <cellStyle name="Currency 7" xfId="14855"/>
    <cellStyle name="Currency 7 2" xfId="25218"/>
    <cellStyle name="Currency 8" xfId="7803"/>
    <cellStyle name="Currency 8 2" xfId="26176"/>
    <cellStyle name="Currency 9" xfId="20826"/>
    <cellStyle name="Currency 9 2" xfId="24030"/>
    <cellStyle name="Entrée" xfId="310"/>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Hyperlink 2" xfId="138"/>
    <cellStyle name="Hyperlink 3" xfId="1603"/>
    <cellStyle name="Hyperlink 4" xfId="1604"/>
    <cellStyle name="Hyperlink 5" xfId="26216"/>
    <cellStyle name="Input" xfId="10" builtinId="20" customBuiltin="1"/>
    <cellStyle name="Insatisfaisant" xfId="311"/>
    <cellStyle name="Linked Cell" xfId="13" builtinId="24" customBuiltin="1"/>
    <cellStyle name="Neutral" xfId="9" builtinId="28" customBuiltin="1"/>
    <cellStyle name="Neutre" xfId="312"/>
    <cellStyle name="Normal" xfId="0" builtinId="0"/>
    <cellStyle name="Normal 10" xfId="313"/>
    <cellStyle name="Normal 10 10" xfId="1605"/>
    <cellStyle name="Normal 10 10 2" xfId="1606"/>
    <cellStyle name="Normal 10 10 2 2" xfId="1607"/>
    <cellStyle name="Normal 10 10 2 2 2" xfId="10374"/>
    <cellStyle name="Normal 10 10 2 2 3" xfId="16083"/>
    <cellStyle name="Normal 10 10 2 3" xfId="1608"/>
    <cellStyle name="Normal 10 10 2 3 2" xfId="10375"/>
    <cellStyle name="Normal 10 10 2 3 3" xfId="16084"/>
    <cellStyle name="Normal 10 10 2 4" xfId="1609"/>
    <cellStyle name="Normal 10 10 2 4 2" xfId="10376"/>
    <cellStyle name="Normal 10 10 2 4 3" xfId="16085"/>
    <cellStyle name="Normal 10 10 2 5" xfId="1610"/>
    <cellStyle name="Normal 10 10 2 5 2" xfId="10377"/>
    <cellStyle name="Normal 10 10 2 5 3" xfId="16086"/>
    <cellStyle name="Normal 10 10 2 6" xfId="10373"/>
    <cellStyle name="Normal 10 10 2 7" xfId="16082"/>
    <cellStyle name="Normal 10 10 2_LNG &amp; LPG rework" xfId="6730"/>
    <cellStyle name="Normal 10 10 3" xfId="1611"/>
    <cellStyle name="Normal 10 10 3 2" xfId="1612"/>
    <cellStyle name="Normal 10 10 3 2 2" xfId="10379"/>
    <cellStyle name="Normal 10 10 3 2 3" xfId="16088"/>
    <cellStyle name="Normal 10 10 3 3" xfId="1613"/>
    <cellStyle name="Normal 10 10 3 3 2" xfId="10380"/>
    <cellStyle name="Normal 10 10 3 3 3" xfId="16089"/>
    <cellStyle name="Normal 10 10 3 4" xfId="1614"/>
    <cellStyle name="Normal 10 10 3 4 2" xfId="10381"/>
    <cellStyle name="Normal 10 10 3 4 3" xfId="16090"/>
    <cellStyle name="Normal 10 10 3 5" xfId="1615"/>
    <cellStyle name="Normal 10 10 3 5 2" xfId="10382"/>
    <cellStyle name="Normal 10 10 3 5 3" xfId="16091"/>
    <cellStyle name="Normal 10 10 3 6" xfId="10378"/>
    <cellStyle name="Normal 10 10 3 7" xfId="16087"/>
    <cellStyle name="Normal 10 10 3_LNG &amp; LPG rework" xfId="6729"/>
    <cellStyle name="Normal 10 10 4" xfId="1616"/>
    <cellStyle name="Normal 10 10 4 2" xfId="10383"/>
    <cellStyle name="Normal 10 10 4 3" xfId="16092"/>
    <cellStyle name="Normal 10 10 5" xfId="1617"/>
    <cellStyle name="Normal 10 10 5 2" xfId="10384"/>
    <cellStyle name="Normal 10 10 5 3" xfId="16093"/>
    <cellStyle name="Normal 10 10 6" xfId="1618"/>
    <cellStyle name="Normal 10 10 6 2" xfId="10385"/>
    <cellStyle name="Normal 10 10 6 3" xfId="16094"/>
    <cellStyle name="Normal 10 10 7" xfId="1619"/>
    <cellStyle name="Normal 10 10 7 2" xfId="10386"/>
    <cellStyle name="Normal 10 10 7 3" xfId="16095"/>
    <cellStyle name="Normal 10 10 8" xfId="10372"/>
    <cellStyle name="Normal 10 10 9" xfId="16081"/>
    <cellStyle name="Normal 10 10_LNG &amp; LPG rework" xfId="6734"/>
    <cellStyle name="Normal 10 11" xfId="1620"/>
    <cellStyle name="Normal 10 11 2" xfId="1621"/>
    <cellStyle name="Normal 10 11 2 2" xfId="1622"/>
    <cellStyle name="Normal 10 11 2 2 2" xfId="10389"/>
    <cellStyle name="Normal 10 11 2 2 3" xfId="16098"/>
    <cellStyle name="Normal 10 11 2 3" xfId="1623"/>
    <cellStyle name="Normal 10 11 2 3 2" xfId="10390"/>
    <cellStyle name="Normal 10 11 2 3 3" xfId="16099"/>
    <cellStyle name="Normal 10 11 2 4" xfId="1624"/>
    <cellStyle name="Normal 10 11 2 4 2" xfId="10391"/>
    <cellStyle name="Normal 10 11 2 4 3" xfId="16100"/>
    <cellStyle name="Normal 10 11 2 5" xfId="1625"/>
    <cellStyle name="Normal 10 11 2 5 2" xfId="10392"/>
    <cellStyle name="Normal 10 11 2 5 3" xfId="16101"/>
    <cellStyle name="Normal 10 11 2 6" xfId="10388"/>
    <cellStyle name="Normal 10 11 2 7" xfId="16097"/>
    <cellStyle name="Normal 10 11 2_LNG &amp; LPG rework" xfId="6728"/>
    <cellStyle name="Normal 10 11 3" xfId="1626"/>
    <cellStyle name="Normal 10 11 3 2" xfId="1627"/>
    <cellStyle name="Normal 10 11 3 2 2" xfId="10394"/>
    <cellStyle name="Normal 10 11 3 2 3" xfId="16103"/>
    <cellStyle name="Normal 10 11 3 3" xfId="1628"/>
    <cellStyle name="Normal 10 11 3 3 2" xfId="10395"/>
    <cellStyle name="Normal 10 11 3 3 3" xfId="16104"/>
    <cellStyle name="Normal 10 11 3 4" xfId="1629"/>
    <cellStyle name="Normal 10 11 3 4 2" xfId="10396"/>
    <cellStyle name="Normal 10 11 3 4 3" xfId="16105"/>
    <cellStyle name="Normal 10 11 3 5" xfId="1630"/>
    <cellStyle name="Normal 10 11 3 5 2" xfId="10397"/>
    <cellStyle name="Normal 10 11 3 5 3" xfId="16106"/>
    <cellStyle name="Normal 10 11 3 6" xfId="10393"/>
    <cellStyle name="Normal 10 11 3 7" xfId="16102"/>
    <cellStyle name="Normal 10 11 3_LNG &amp; LPG rework" xfId="6727"/>
    <cellStyle name="Normal 10 11 4" xfId="1631"/>
    <cellStyle name="Normal 10 11 4 2" xfId="10398"/>
    <cellStyle name="Normal 10 11 4 3" xfId="16107"/>
    <cellStyle name="Normal 10 11 5" xfId="1632"/>
    <cellStyle name="Normal 10 11 5 2" xfId="10399"/>
    <cellStyle name="Normal 10 11 5 3" xfId="16108"/>
    <cellStyle name="Normal 10 11 6" xfId="1633"/>
    <cellStyle name="Normal 10 11 6 2" xfId="10400"/>
    <cellStyle name="Normal 10 11 6 3" xfId="16109"/>
    <cellStyle name="Normal 10 11 7" xfId="1634"/>
    <cellStyle name="Normal 10 11 7 2" xfId="10401"/>
    <cellStyle name="Normal 10 11 7 3" xfId="16110"/>
    <cellStyle name="Normal 10 11 8" xfId="10387"/>
    <cellStyle name="Normal 10 11 9" xfId="16096"/>
    <cellStyle name="Normal 10 11_LNG &amp; LPG rework" xfId="6735"/>
    <cellStyle name="Normal 10 12" xfId="1635"/>
    <cellStyle name="Normal 10 12 2" xfId="1636"/>
    <cellStyle name="Normal 10 12 2 2" xfId="1637"/>
    <cellStyle name="Normal 10 12 2 2 2" xfId="10404"/>
    <cellStyle name="Normal 10 12 2 2 3" xfId="16113"/>
    <cellStyle name="Normal 10 12 2 3" xfId="1638"/>
    <cellStyle name="Normal 10 12 2 3 2" xfId="10405"/>
    <cellStyle name="Normal 10 12 2 3 3" xfId="16114"/>
    <cellStyle name="Normal 10 12 2 4" xfId="1639"/>
    <cellStyle name="Normal 10 12 2 4 2" xfId="10406"/>
    <cellStyle name="Normal 10 12 2 4 3" xfId="16115"/>
    <cellStyle name="Normal 10 12 2 5" xfId="1640"/>
    <cellStyle name="Normal 10 12 2 5 2" xfId="10407"/>
    <cellStyle name="Normal 10 12 2 5 3" xfId="16116"/>
    <cellStyle name="Normal 10 12 2 6" xfId="10403"/>
    <cellStyle name="Normal 10 12 2 7" xfId="16112"/>
    <cellStyle name="Normal 10 12 2_LNG &amp; LPG rework" xfId="6736"/>
    <cellStyle name="Normal 10 12 3" xfId="1641"/>
    <cellStyle name="Normal 10 12 3 2" xfId="1642"/>
    <cellStyle name="Normal 10 12 3 2 2" xfId="10409"/>
    <cellStyle name="Normal 10 12 3 2 3" xfId="16118"/>
    <cellStyle name="Normal 10 12 3 3" xfId="1643"/>
    <cellStyle name="Normal 10 12 3 3 2" xfId="10410"/>
    <cellStyle name="Normal 10 12 3 3 3" xfId="16119"/>
    <cellStyle name="Normal 10 12 3 4" xfId="1644"/>
    <cellStyle name="Normal 10 12 3 4 2" xfId="10411"/>
    <cellStyle name="Normal 10 12 3 4 3" xfId="16120"/>
    <cellStyle name="Normal 10 12 3 5" xfId="1645"/>
    <cellStyle name="Normal 10 12 3 5 2" xfId="10412"/>
    <cellStyle name="Normal 10 12 3 5 3" xfId="16121"/>
    <cellStyle name="Normal 10 12 3 6" xfId="10408"/>
    <cellStyle name="Normal 10 12 3 7" xfId="16117"/>
    <cellStyle name="Normal 10 12 3_LNG &amp; LPG rework" xfId="6738"/>
    <cellStyle name="Normal 10 12 4" xfId="1646"/>
    <cellStyle name="Normal 10 12 4 2" xfId="10413"/>
    <cellStyle name="Normal 10 12 4 3" xfId="16122"/>
    <cellStyle name="Normal 10 12 5" xfId="1647"/>
    <cellStyle name="Normal 10 12 5 2" xfId="10414"/>
    <cellStyle name="Normal 10 12 5 3" xfId="16123"/>
    <cellStyle name="Normal 10 12 6" xfId="1648"/>
    <cellStyle name="Normal 10 12 6 2" xfId="10415"/>
    <cellStyle name="Normal 10 12 6 3" xfId="16124"/>
    <cellStyle name="Normal 10 12 7" xfId="1649"/>
    <cellStyle name="Normal 10 12 7 2" xfId="10416"/>
    <cellStyle name="Normal 10 12 7 3" xfId="16125"/>
    <cellStyle name="Normal 10 12 8" xfId="10402"/>
    <cellStyle name="Normal 10 12 9" xfId="16111"/>
    <cellStyle name="Normal 10 12_LNG &amp; LPG rework" xfId="6737"/>
    <cellStyle name="Normal 10 13" xfId="1650"/>
    <cellStyle name="Normal 10 13 2" xfId="1651"/>
    <cellStyle name="Normal 10 13 2 2" xfId="1652"/>
    <cellStyle name="Normal 10 13 2 2 2" xfId="10419"/>
    <cellStyle name="Normal 10 13 2 2 3" xfId="16128"/>
    <cellStyle name="Normal 10 13 2 3" xfId="1653"/>
    <cellStyle name="Normal 10 13 2 3 2" xfId="10420"/>
    <cellStyle name="Normal 10 13 2 3 3" xfId="16129"/>
    <cellStyle name="Normal 10 13 2 4" xfId="1654"/>
    <cellStyle name="Normal 10 13 2 4 2" xfId="10421"/>
    <cellStyle name="Normal 10 13 2 4 3" xfId="16130"/>
    <cellStyle name="Normal 10 13 2 5" xfId="1655"/>
    <cellStyle name="Normal 10 13 2 5 2" xfId="10422"/>
    <cellStyle name="Normal 10 13 2 5 3" xfId="16131"/>
    <cellStyle name="Normal 10 13 2 6" xfId="10418"/>
    <cellStyle name="Normal 10 13 2 7" xfId="16127"/>
    <cellStyle name="Normal 10 13 2_LNG &amp; LPG rework" xfId="6740"/>
    <cellStyle name="Normal 10 13 3" xfId="1656"/>
    <cellStyle name="Normal 10 13 3 2" xfId="1657"/>
    <cellStyle name="Normal 10 13 3 2 2" xfId="10424"/>
    <cellStyle name="Normal 10 13 3 2 3" xfId="16133"/>
    <cellStyle name="Normal 10 13 3 3" xfId="1658"/>
    <cellStyle name="Normal 10 13 3 3 2" xfId="10425"/>
    <cellStyle name="Normal 10 13 3 3 3" xfId="16134"/>
    <cellStyle name="Normal 10 13 3 4" xfId="1659"/>
    <cellStyle name="Normal 10 13 3 4 2" xfId="10426"/>
    <cellStyle name="Normal 10 13 3 4 3" xfId="16135"/>
    <cellStyle name="Normal 10 13 3 5" xfId="1660"/>
    <cellStyle name="Normal 10 13 3 5 2" xfId="10427"/>
    <cellStyle name="Normal 10 13 3 5 3" xfId="16136"/>
    <cellStyle name="Normal 10 13 3 6" xfId="10423"/>
    <cellStyle name="Normal 10 13 3 7" xfId="16132"/>
    <cellStyle name="Normal 10 13 3_LNG &amp; LPG rework" xfId="6741"/>
    <cellStyle name="Normal 10 13 4" xfId="1661"/>
    <cellStyle name="Normal 10 13 4 2" xfId="10428"/>
    <cellStyle name="Normal 10 13 4 3" xfId="16137"/>
    <cellStyle name="Normal 10 13 5" xfId="1662"/>
    <cellStyle name="Normal 10 13 5 2" xfId="10429"/>
    <cellStyle name="Normal 10 13 5 3" xfId="16138"/>
    <cellStyle name="Normal 10 13 6" xfId="1663"/>
    <cellStyle name="Normal 10 13 6 2" xfId="10430"/>
    <cellStyle name="Normal 10 13 6 3" xfId="16139"/>
    <cellStyle name="Normal 10 13 7" xfId="1664"/>
    <cellStyle name="Normal 10 13 7 2" xfId="10431"/>
    <cellStyle name="Normal 10 13 7 3" xfId="16140"/>
    <cellStyle name="Normal 10 13 8" xfId="10417"/>
    <cellStyle name="Normal 10 13 9" xfId="16126"/>
    <cellStyle name="Normal 10 13_LNG &amp; LPG rework" xfId="6739"/>
    <cellStyle name="Normal 10 14" xfId="1665"/>
    <cellStyle name="Normal 10 14 2" xfId="1666"/>
    <cellStyle name="Normal 10 14 2 2" xfId="1667"/>
    <cellStyle name="Normal 10 14 2 2 2" xfId="10434"/>
    <cellStyle name="Normal 10 14 2 2 3" xfId="16143"/>
    <cellStyle name="Normal 10 14 2 3" xfId="1668"/>
    <cellStyle name="Normal 10 14 2 3 2" xfId="10435"/>
    <cellStyle name="Normal 10 14 2 3 3" xfId="16144"/>
    <cellStyle name="Normal 10 14 2 4" xfId="1669"/>
    <cellStyle name="Normal 10 14 2 4 2" xfId="10436"/>
    <cellStyle name="Normal 10 14 2 4 3" xfId="16145"/>
    <cellStyle name="Normal 10 14 2 5" xfId="1670"/>
    <cellStyle name="Normal 10 14 2 5 2" xfId="10437"/>
    <cellStyle name="Normal 10 14 2 5 3" xfId="16146"/>
    <cellStyle name="Normal 10 14 2 6" xfId="10433"/>
    <cellStyle name="Normal 10 14 2 7" xfId="16142"/>
    <cellStyle name="Normal 10 14 2_LNG &amp; LPG rework" xfId="6743"/>
    <cellStyle name="Normal 10 14 3" xfId="1671"/>
    <cellStyle name="Normal 10 14 3 2" xfId="1672"/>
    <cellStyle name="Normal 10 14 3 2 2" xfId="10439"/>
    <cellStyle name="Normal 10 14 3 2 3" xfId="16148"/>
    <cellStyle name="Normal 10 14 3 3" xfId="1673"/>
    <cellStyle name="Normal 10 14 3 3 2" xfId="10440"/>
    <cellStyle name="Normal 10 14 3 3 3" xfId="16149"/>
    <cellStyle name="Normal 10 14 3 4" xfId="1674"/>
    <cellStyle name="Normal 10 14 3 4 2" xfId="10441"/>
    <cellStyle name="Normal 10 14 3 4 3" xfId="16150"/>
    <cellStyle name="Normal 10 14 3 5" xfId="1675"/>
    <cellStyle name="Normal 10 14 3 5 2" xfId="10442"/>
    <cellStyle name="Normal 10 14 3 5 3" xfId="16151"/>
    <cellStyle name="Normal 10 14 3 6" xfId="10438"/>
    <cellStyle name="Normal 10 14 3 7" xfId="16147"/>
    <cellStyle name="Normal 10 14 3_LNG &amp; LPG rework" xfId="6744"/>
    <cellStyle name="Normal 10 14 4" xfId="1676"/>
    <cellStyle name="Normal 10 14 4 2" xfId="10443"/>
    <cellStyle name="Normal 10 14 4 3" xfId="16152"/>
    <cellStyle name="Normal 10 14 5" xfId="1677"/>
    <cellStyle name="Normal 10 14 5 2" xfId="10444"/>
    <cellStyle name="Normal 10 14 5 3" xfId="16153"/>
    <cellStyle name="Normal 10 14 6" xfId="1678"/>
    <cellStyle name="Normal 10 14 6 2" xfId="10445"/>
    <cellStyle name="Normal 10 14 6 3" xfId="16154"/>
    <cellStyle name="Normal 10 14 7" xfId="1679"/>
    <cellStyle name="Normal 10 14 7 2" xfId="10446"/>
    <cellStyle name="Normal 10 14 7 3" xfId="16155"/>
    <cellStyle name="Normal 10 14 8" xfId="10432"/>
    <cellStyle name="Normal 10 14 9" xfId="16141"/>
    <cellStyle name="Normal 10 14_LNG &amp; LPG rework" xfId="6742"/>
    <cellStyle name="Normal 10 15" xfId="1680"/>
    <cellStyle name="Normal 10 15 2" xfId="1681"/>
    <cellStyle name="Normal 10 15 2 2" xfId="1682"/>
    <cellStyle name="Normal 10 15 2 2 2" xfId="10449"/>
    <cellStyle name="Normal 10 15 2 2 3" xfId="16158"/>
    <cellStyle name="Normal 10 15 2 3" xfId="1683"/>
    <cellStyle name="Normal 10 15 2 3 2" xfId="10450"/>
    <cellStyle name="Normal 10 15 2 3 3" xfId="16159"/>
    <cellStyle name="Normal 10 15 2 4" xfId="1684"/>
    <cellStyle name="Normal 10 15 2 4 2" xfId="10451"/>
    <cellStyle name="Normal 10 15 2 4 3" xfId="16160"/>
    <cellStyle name="Normal 10 15 2 5" xfId="1685"/>
    <cellStyle name="Normal 10 15 2 5 2" xfId="10452"/>
    <cellStyle name="Normal 10 15 2 5 3" xfId="16161"/>
    <cellStyle name="Normal 10 15 2 6" xfId="10448"/>
    <cellStyle name="Normal 10 15 2 7" xfId="16157"/>
    <cellStyle name="Normal 10 15 2_LNG &amp; LPG rework" xfId="6746"/>
    <cellStyle name="Normal 10 15 3" xfId="1686"/>
    <cellStyle name="Normal 10 15 3 2" xfId="1687"/>
    <cellStyle name="Normal 10 15 3 2 2" xfId="10454"/>
    <cellStyle name="Normal 10 15 3 2 3" xfId="16163"/>
    <cellStyle name="Normal 10 15 3 3" xfId="1688"/>
    <cellStyle name="Normal 10 15 3 3 2" xfId="10455"/>
    <cellStyle name="Normal 10 15 3 3 3" xfId="16164"/>
    <cellStyle name="Normal 10 15 3 4" xfId="1689"/>
    <cellStyle name="Normal 10 15 3 4 2" xfId="10456"/>
    <cellStyle name="Normal 10 15 3 4 3" xfId="16165"/>
    <cellStyle name="Normal 10 15 3 5" xfId="1690"/>
    <cellStyle name="Normal 10 15 3 5 2" xfId="10457"/>
    <cellStyle name="Normal 10 15 3 5 3" xfId="16166"/>
    <cellStyle name="Normal 10 15 3 6" xfId="10453"/>
    <cellStyle name="Normal 10 15 3 7" xfId="16162"/>
    <cellStyle name="Normal 10 15 3_LNG &amp; LPG rework" xfId="6747"/>
    <cellStyle name="Normal 10 15 4" xfId="1691"/>
    <cellStyle name="Normal 10 15 4 2" xfId="10458"/>
    <cellStyle name="Normal 10 15 4 3" xfId="16167"/>
    <cellStyle name="Normal 10 15 5" xfId="1692"/>
    <cellStyle name="Normal 10 15 5 2" xfId="10459"/>
    <cellStyle name="Normal 10 15 5 3" xfId="16168"/>
    <cellStyle name="Normal 10 15 6" xfId="1693"/>
    <cellStyle name="Normal 10 15 6 2" xfId="10460"/>
    <cellStyle name="Normal 10 15 6 3" xfId="16169"/>
    <cellStyle name="Normal 10 15 7" xfId="1694"/>
    <cellStyle name="Normal 10 15 7 2" xfId="10461"/>
    <cellStyle name="Normal 10 15 7 3" xfId="16170"/>
    <cellStyle name="Normal 10 15 8" xfId="10447"/>
    <cellStyle name="Normal 10 15 9" xfId="16156"/>
    <cellStyle name="Normal 10 15_LNG &amp; LPG rework" xfId="6745"/>
    <cellStyle name="Normal 10 16" xfId="1695"/>
    <cellStyle name="Normal 10 16 2" xfId="1696"/>
    <cellStyle name="Normal 10 16 2 2" xfId="1697"/>
    <cellStyle name="Normal 10 16 2 2 2" xfId="10464"/>
    <cellStyle name="Normal 10 16 2 2 3" xfId="16173"/>
    <cellStyle name="Normal 10 16 2 3" xfId="1698"/>
    <cellStyle name="Normal 10 16 2 3 2" xfId="10465"/>
    <cellStyle name="Normal 10 16 2 3 3" xfId="16174"/>
    <cellStyle name="Normal 10 16 2 4" xfId="1699"/>
    <cellStyle name="Normal 10 16 2 4 2" xfId="10466"/>
    <cellStyle name="Normal 10 16 2 4 3" xfId="16175"/>
    <cellStyle name="Normal 10 16 2 5" xfId="1700"/>
    <cellStyle name="Normal 10 16 2 5 2" xfId="10467"/>
    <cellStyle name="Normal 10 16 2 5 3" xfId="16176"/>
    <cellStyle name="Normal 10 16 2 6" xfId="10463"/>
    <cellStyle name="Normal 10 16 2 7" xfId="16172"/>
    <cellStyle name="Normal 10 16 2_LNG &amp; LPG rework" xfId="6749"/>
    <cellStyle name="Normal 10 16 3" xfId="1701"/>
    <cellStyle name="Normal 10 16 3 2" xfId="1702"/>
    <cellStyle name="Normal 10 16 3 2 2" xfId="10469"/>
    <cellStyle name="Normal 10 16 3 2 3" xfId="16178"/>
    <cellStyle name="Normal 10 16 3 3" xfId="1703"/>
    <cellStyle name="Normal 10 16 3 3 2" xfId="10470"/>
    <cellStyle name="Normal 10 16 3 3 3" xfId="16179"/>
    <cellStyle name="Normal 10 16 3 4" xfId="1704"/>
    <cellStyle name="Normal 10 16 3 4 2" xfId="10471"/>
    <cellStyle name="Normal 10 16 3 4 3" xfId="16180"/>
    <cellStyle name="Normal 10 16 3 5" xfId="1705"/>
    <cellStyle name="Normal 10 16 3 5 2" xfId="10472"/>
    <cellStyle name="Normal 10 16 3 5 3" xfId="16181"/>
    <cellStyle name="Normal 10 16 3 6" xfId="10468"/>
    <cellStyle name="Normal 10 16 3 7" xfId="16177"/>
    <cellStyle name="Normal 10 16 3_LNG &amp; LPG rework" xfId="6726"/>
    <cellStyle name="Normal 10 16 4" xfId="1706"/>
    <cellStyle name="Normal 10 16 4 2" xfId="10473"/>
    <cellStyle name="Normal 10 16 4 3" xfId="16182"/>
    <cellStyle name="Normal 10 16 5" xfId="1707"/>
    <cellStyle name="Normal 10 16 5 2" xfId="10474"/>
    <cellStyle name="Normal 10 16 5 3" xfId="16183"/>
    <cellStyle name="Normal 10 16 6" xfId="1708"/>
    <cellStyle name="Normal 10 16 6 2" xfId="10475"/>
    <cellStyle name="Normal 10 16 6 3" xfId="16184"/>
    <cellStyle name="Normal 10 16 7" xfId="1709"/>
    <cellStyle name="Normal 10 16 7 2" xfId="10476"/>
    <cellStyle name="Normal 10 16 7 3" xfId="16185"/>
    <cellStyle name="Normal 10 16 8" xfId="10462"/>
    <cellStyle name="Normal 10 16 9" xfId="16171"/>
    <cellStyle name="Normal 10 16_LNG &amp; LPG rework" xfId="6748"/>
    <cellStyle name="Normal 10 17" xfId="1710"/>
    <cellStyle name="Normal 10 17 2" xfId="1711"/>
    <cellStyle name="Normal 10 17 2 2" xfId="1712"/>
    <cellStyle name="Normal 10 17 2 2 2" xfId="10479"/>
    <cellStyle name="Normal 10 17 2 2 3" xfId="16188"/>
    <cellStyle name="Normal 10 17 2 3" xfId="1713"/>
    <cellStyle name="Normal 10 17 2 3 2" xfId="10480"/>
    <cellStyle name="Normal 10 17 2 3 3" xfId="16189"/>
    <cellStyle name="Normal 10 17 2 4" xfId="1714"/>
    <cellStyle name="Normal 10 17 2 4 2" xfId="10481"/>
    <cellStyle name="Normal 10 17 2 4 3" xfId="16190"/>
    <cellStyle name="Normal 10 17 2 5" xfId="1715"/>
    <cellStyle name="Normal 10 17 2 5 2" xfId="10482"/>
    <cellStyle name="Normal 10 17 2 5 3" xfId="16191"/>
    <cellStyle name="Normal 10 17 2 6" xfId="10478"/>
    <cellStyle name="Normal 10 17 2 7" xfId="16187"/>
    <cellStyle name="Normal 10 17 2_LNG &amp; LPG rework" xfId="6724"/>
    <cellStyle name="Normal 10 17 3" xfId="1716"/>
    <cellStyle name="Normal 10 17 3 2" xfId="1717"/>
    <cellStyle name="Normal 10 17 3 2 2" xfId="10484"/>
    <cellStyle name="Normal 10 17 3 2 3" xfId="16193"/>
    <cellStyle name="Normal 10 17 3 3" xfId="1718"/>
    <cellStyle name="Normal 10 17 3 3 2" xfId="10485"/>
    <cellStyle name="Normal 10 17 3 3 3" xfId="16194"/>
    <cellStyle name="Normal 10 17 3 4" xfId="1719"/>
    <cellStyle name="Normal 10 17 3 4 2" xfId="10486"/>
    <cellStyle name="Normal 10 17 3 4 3" xfId="16195"/>
    <cellStyle name="Normal 10 17 3 5" xfId="1720"/>
    <cellStyle name="Normal 10 17 3 5 2" xfId="10487"/>
    <cellStyle name="Normal 10 17 3 5 3" xfId="16196"/>
    <cellStyle name="Normal 10 17 3 6" xfId="10483"/>
    <cellStyle name="Normal 10 17 3 7" xfId="16192"/>
    <cellStyle name="Normal 10 17 3_LNG &amp; LPG rework" xfId="6723"/>
    <cellStyle name="Normal 10 17 4" xfId="1721"/>
    <cellStyle name="Normal 10 17 4 2" xfId="10488"/>
    <cellStyle name="Normal 10 17 4 3" xfId="16197"/>
    <cellStyle name="Normal 10 17 5" xfId="1722"/>
    <cellStyle name="Normal 10 17 5 2" xfId="10489"/>
    <cellStyle name="Normal 10 17 5 3" xfId="16198"/>
    <cellStyle name="Normal 10 17 6" xfId="1723"/>
    <cellStyle name="Normal 10 17 6 2" xfId="10490"/>
    <cellStyle name="Normal 10 17 6 3" xfId="16199"/>
    <cellStyle name="Normal 10 17 7" xfId="1724"/>
    <cellStyle name="Normal 10 17 7 2" xfId="10491"/>
    <cellStyle name="Normal 10 17 7 3" xfId="16200"/>
    <cellStyle name="Normal 10 17 8" xfId="10477"/>
    <cellStyle name="Normal 10 17 9" xfId="16186"/>
    <cellStyle name="Normal 10 17_LNG &amp; LPG rework" xfId="6725"/>
    <cellStyle name="Normal 10 18" xfId="1725"/>
    <cellStyle name="Normal 10 18 2" xfId="1726"/>
    <cellStyle name="Normal 10 18 2 2" xfId="1727"/>
    <cellStyle name="Normal 10 18 2 2 2" xfId="10494"/>
    <cellStyle name="Normal 10 18 2 2 3" xfId="16203"/>
    <cellStyle name="Normal 10 18 2 3" xfId="1728"/>
    <cellStyle name="Normal 10 18 2 3 2" xfId="10495"/>
    <cellStyle name="Normal 10 18 2 3 3" xfId="16204"/>
    <cellStyle name="Normal 10 18 2 4" xfId="1729"/>
    <cellStyle name="Normal 10 18 2 4 2" xfId="10496"/>
    <cellStyle name="Normal 10 18 2 4 3" xfId="16205"/>
    <cellStyle name="Normal 10 18 2 5" xfId="1730"/>
    <cellStyle name="Normal 10 18 2 5 2" xfId="10497"/>
    <cellStyle name="Normal 10 18 2 5 3" xfId="16206"/>
    <cellStyle name="Normal 10 18 2 6" xfId="10493"/>
    <cellStyle name="Normal 10 18 2 7" xfId="16202"/>
    <cellStyle name="Normal 10 18 2_LNG &amp; LPG rework" xfId="6721"/>
    <cellStyle name="Normal 10 18 3" xfId="1731"/>
    <cellStyle name="Normal 10 18 3 2" xfId="1732"/>
    <cellStyle name="Normal 10 18 3 2 2" xfId="10499"/>
    <cellStyle name="Normal 10 18 3 2 3" xfId="16208"/>
    <cellStyle name="Normal 10 18 3 3" xfId="1733"/>
    <cellStyle name="Normal 10 18 3 3 2" xfId="10500"/>
    <cellStyle name="Normal 10 18 3 3 3" xfId="16209"/>
    <cellStyle name="Normal 10 18 3 4" xfId="1734"/>
    <cellStyle name="Normal 10 18 3 4 2" xfId="10501"/>
    <cellStyle name="Normal 10 18 3 4 3" xfId="16210"/>
    <cellStyle name="Normal 10 18 3 5" xfId="1735"/>
    <cellStyle name="Normal 10 18 3 5 2" xfId="10502"/>
    <cellStyle name="Normal 10 18 3 5 3" xfId="16211"/>
    <cellStyle name="Normal 10 18 3 6" xfId="10498"/>
    <cellStyle name="Normal 10 18 3 7" xfId="16207"/>
    <cellStyle name="Normal 10 18 3_LNG &amp; LPG rework" xfId="6720"/>
    <cellStyle name="Normal 10 18 4" xfId="1736"/>
    <cellStyle name="Normal 10 18 4 2" xfId="10503"/>
    <cellStyle name="Normal 10 18 4 3" xfId="16212"/>
    <cellStyle name="Normal 10 18 5" xfId="1737"/>
    <cellStyle name="Normal 10 18 5 2" xfId="10504"/>
    <cellStyle name="Normal 10 18 5 3" xfId="16213"/>
    <cellStyle name="Normal 10 18 6" xfId="1738"/>
    <cellStyle name="Normal 10 18 6 2" xfId="10505"/>
    <cellStyle name="Normal 10 18 6 3" xfId="16214"/>
    <cellStyle name="Normal 10 18 7" xfId="1739"/>
    <cellStyle name="Normal 10 18 7 2" xfId="10506"/>
    <cellStyle name="Normal 10 18 7 3" xfId="16215"/>
    <cellStyle name="Normal 10 18 8" xfId="10492"/>
    <cellStyle name="Normal 10 18 9" xfId="16201"/>
    <cellStyle name="Normal 10 18_LNG &amp; LPG rework" xfId="6722"/>
    <cellStyle name="Normal 10 19" xfId="1740"/>
    <cellStyle name="Normal 10 19 2" xfId="1741"/>
    <cellStyle name="Normal 10 19 2 2" xfId="1742"/>
    <cellStyle name="Normal 10 19 2 2 2" xfId="10509"/>
    <cellStyle name="Normal 10 19 2 2 3" xfId="16218"/>
    <cellStyle name="Normal 10 19 2 3" xfId="1743"/>
    <cellStyle name="Normal 10 19 2 3 2" xfId="10510"/>
    <cellStyle name="Normal 10 19 2 3 3" xfId="16219"/>
    <cellStyle name="Normal 10 19 2 4" xfId="1744"/>
    <cellStyle name="Normal 10 19 2 4 2" xfId="10511"/>
    <cellStyle name="Normal 10 19 2 4 3" xfId="16220"/>
    <cellStyle name="Normal 10 19 2 5" xfId="1745"/>
    <cellStyle name="Normal 10 19 2 5 2" xfId="10512"/>
    <cellStyle name="Normal 10 19 2 5 3" xfId="16221"/>
    <cellStyle name="Normal 10 19 2 6" xfId="10508"/>
    <cellStyle name="Normal 10 19 2 7" xfId="16217"/>
    <cellStyle name="Normal 10 19 2_LNG &amp; LPG rework" xfId="6750"/>
    <cellStyle name="Normal 10 19 3" xfId="1746"/>
    <cellStyle name="Normal 10 19 3 2" xfId="1747"/>
    <cellStyle name="Normal 10 19 3 2 2" xfId="10514"/>
    <cellStyle name="Normal 10 19 3 2 3" xfId="16223"/>
    <cellStyle name="Normal 10 19 3 3" xfId="1748"/>
    <cellStyle name="Normal 10 19 3 3 2" xfId="10515"/>
    <cellStyle name="Normal 10 19 3 3 3" xfId="16224"/>
    <cellStyle name="Normal 10 19 3 4" xfId="1749"/>
    <cellStyle name="Normal 10 19 3 4 2" xfId="10516"/>
    <cellStyle name="Normal 10 19 3 4 3" xfId="16225"/>
    <cellStyle name="Normal 10 19 3 5" xfId="1750"/>
    <cellStyle name="Normal 10 19 3 5 2" xfId="10517"/>
    <cellStyle name="Normal 10 19 3 5 3" xfId="16226"/>
    <cellStyle name="Normal 10 19 3 6" xfId="10513"/>
    <cellStyle name="Normal 10 19 3 7" xfId="16222"/>
    <cellStyle name="Normal 10 19 3_LNG &amp; LPG rework" xfId="6751"/>
    <cellStyle name="Normal 10 19 4" xfId="1751"/>
    <cellStyle name="Normal 10 19 4 2" xfId="10518"/>
    <cellStyle name="Normal 10 19 4 3" xfId="16227"/>
    <cellStyle name="Normal 10 19 5" xfId="1752"/>
    <cellStyle name="Normal 10 19 5 2" xfId="10519"/>
    <cellStyle name="Normal 10 19 5 3" xfId="16228"/>
    <cellStyle name="Normal 10 19 6" xfId="1753"/>
    <cellStyle name="Normal 10 19 6 2" xfId="10520"/>
    <cellStyle name="Normal 10 19 6 3" xfId="16229"/>
    <cellStyle name="Normal 10 19 7" xfId="1754"/>
    <cellStyle name="Normal 10 19 7 2" xfId="10521"/>
    <cellStyle name="Normal 10 19 7 3" xfId="16230"/>
    <cellStyle name="Normal 10 19 8" xfId="10507"/>
    <cellStyle name="Normal 10 19 9" xfId="16216"/>
    <cellStyle name="Normal 10 19_LNG &amp; LPG rework" xfId="6719"/>
    <cellStyle name="Normal 10 2" xfId="314"/>
    <cellStyle name="Normal 10 2 10" xfId="1755"/>
    <cellStyle name="Normal 10 2 10 2" xfId="10522"/>
    <cellStyle name="Normal 10 2 10 3" xfId="16232"/>
    <cellStyle name="Normal 10 2 11" xfId="1756"/>
    <cellStyle name="Normal 10 2 11 2" xfId="10523"/>
    <cellStyle name="Normal 10 2 11 3" xfId="16233"/>
    <cellStyle name="Normal 10 2 12" xfId="1757"/>
    <cellStyle name="Normal 10 2 12 2" xfId="10524"/>
    <cellStyle name="Normal 10 2 12 3" xfId="16234"/>
    <cellStyle name="Normal 10 2 13" xfId="9165"/>
    <cellStyle name="Normal 10 2 14" xfId="16231"/>
    <cellStyle name="Normal 10 2 2" xfId="315"/>
    <cellStyle name="Normal 10 2 2 10" xfId="1758"/>
    <cellStyle name="Normal 10 2 2 10 2" xfId="10525"/>
    <cellStyle name="Normal 10 2 2 10 3" xfId="16236"/>
    <cellStyle name="Normal 10 2 2 11" xfId="9166"/>
    <cellStyle name="Normal 10 2 2 12" xfId="16235"/>
    <cellStyle name="Normal 10 2 2 2" xfId="316"/>
    <cellStyle name="Normal 10 2 2 2 10" xfId="16237"/>
    <cellStyle name="Normal 10 2 2 2 2" xfId="317"/>
    <cellStyle name="Normal 10 2 2 2 2 2" xfId="1759"/>
    <cellStyle name="Normal 10 2 2 2 2 2 2" xfId="10526"/>
    <cellStyle name="Normal 10 2 2 2 2 2 3" xfId="16239"/>
    <cellStyle name="Normal 10 2 2 2 2 3" xfId="1760"/>
    <cellStyle name="Normal 10 2 2 2 2 3 2" xfId="10527"/>
    <cellStyle name="Normal 10 2 2 2 2 3 3" xfId="16240"/>
    <cellStyle name="Normal 10 2 2 2 2 4" xfId="1761"/>
    <cellStyle name="Normal 10 2 2 2 2 4 2" xfId="10528"/>
    <cellStyle name="Normal 10 2 2 2 2 4 3" xfId="16241"/>
    <cellStyle name="Normal 10 2 2 2 2 5" xfId="1762"/>
    <cellStyle name="Normal 10 2 2 2 2 5 2" xfId="10529"/>
    <cellStyle name="Normal 10 2 2 2 2 5 3" xfId="16242"/>
    <cellStyle name="Normal 10 2 2 2 2 6" xfId="1763"/>
    <cellStyle name="Normal 10 2 2 2 2 6 2" xfId="10530"/>
    <cellStyle name="Normal 10 2 2 2 2 6 3" xfId="16243"/>
    <cellStyle name="Normal 10 2 2 2 2 7" xfId="9168"/>
    <cellStyle name="Normal 10 2 2 2 2 8" xfId="16238"/>
    <cellStyle name="Normal 10 2 2 2 2_LNG &amp; LPG rework" xfId="6754"/>
    <cellStyle name="Normal 10 2 2 2 3" xfId="1764"/>
    <cellStyle name="Normal 10 2 2 2 3 2" xfId="1765"/>
    <cellStyle name="Normal 10 2 2 2 3 2 2" xfId="10532"/>
    <cellStyle name="Normal 10 2 2 2 3 2 3" xfId="16245"/>
    <cellStyle name="Normal 10 2 2 2 3 3" xfId="1766"/>
    <cellStyle name="Normal 10 2 2 2 3 3 2" xfId="10533"/>
    <cellStyle name="Normal 10 2 2 2 3 3 3" xfId="16246"/>
    <cellStyle name="Normal 10 2 2 2 3 4" xfId="1767"/>
    <cellStyle name="Normal 10 2 2 2 3 4 2" xfId="10534"/>
    <cellStyle name="Normal 10 2 2 2 3 4 3" xfId="16247"/>
    <cellStyle name="Normal 10 2 2 2 3 5" xfId="1768"/>
    <cellStyle name="Normal 10 2 2 2 3 5 2" xfId="10535"/>
    <cellStyle name="Normal 10 2 2 2 3 5 3" xfId="16248"/>
    <cellStyle name="Normal 10 2 2 2 3 6" xfId="10531"/>
    <cellStyle name="Normal 10 2 2 2 3 7" xfId="16244"/>
    <cellStyle name="Normal 10 2 2 2 3_LNG &amp; LPG rework" xfId="6718"/>
    <cellStyle name="Normal 10 2 2 2 4" xfId="1769"/>
    <cellStyle name="Normal 10 2 2 2 4 2" xfId="10536"/>
    <cellStyle name="Normal 10 2 2 2 4 3" xfId="16249"/>
    <cellStyle name="Normal 10 2 2 2 5" xfId="1770"/>
    <cellStyle name="Normal 10 2 2 2 5 2" xfId="10537"/>
    <cellStyle name="Normal 10 2 2 2 5 3" xfId="16250"/>
    <cellStyle name="Normal 10 2 2 2 6" xfId="1771"/>
    <cellStyle name="Normal 10 2 2 2 6 2" xfId="10538"/>
    <cellStyle name="Normal 10 2 2 2 6 3" xfId="16251"/>
    <cellStyle name="Normal 10 2 2 2 7" xfId="1772"/>
    <cellStyle name="Normal 10 2 2 2 7 2" xfId="10539"/>
    <cellStyle name="Normal 10 2 2 2 7 3" xfId="16252"/>
    <cellStyle name="Normal 10 2 2 2 8" xfId="1773"/>
    <cellStyle name="Normal 10 2 2 2 8 2" xfId="10540"/>
    <cellStyle name="Normal 10 2 2 2 8 3" xfId="16253"/>
    <cellStyle name="Normal 10 2 2 2 9" xfId="9167"/>
    <cellStyle name="Normal 10 2 2 2_LNG &amp; LPG rework" xfId="6755"/>
    <cellStyle name="Normal 10 2 2 3" xfId="318"/>
    <cellStyle name="Normal 10 2 2 3 2" xfId="1774"/>
    <cellStyle name="Normal 10 2 2 3 2 2" xfId="10541"/>
    <cellStyle name="Normal 10 2 2 3 2 3" xfId="16255"/>
    <cellStyle name="Normal 10 2 2 3 3" xfId="1775"/>
    <cellStyle name="Normal 10 2 2 3 3 2" xfId="10542"/>
    <cellStyle name="Normal 10 2 2 3 3 3" xfId="16256"/>
    <cellStyle name="Normal 10 2 2 3 4" xfId="1776"/>
    <cellStyle name="Normal 10 2 2 3 4 2" xfId="10543"/>
    <cellStyle name="Normal 10 2 2 3 4 3" xfId="16257"/>
    <cellStyle name="Normal 10 2 2 3 5" xfId="1777"/>
    <cellStyle name="Normal 10 2 2 3 5 2" xfId="10544"/>
    <cellStyle name="Normal 10 2 2 3 5 3" xfId="16258"/>
    <cellStyle name="Normal 10 2 2 3 6" xfId="1778"/>
    <cellStyle name="Normal 10 2 2 3 6 2" xfId="10545"/>
    <cellStyle name="Normal 10 2 2 3 6 3" xfId="16259"/>
    <cellStyle name="Normal 10 2 2 3 7" xfId="9169"/>
    <cellStyle name="Normal 10 2 2 3 8" xfId="16254"/>
    <cellStyle name="Normal 10 2 2 3_LNG &amp; LPG rework" xfId="6717"/>
    <cellStyle name="Normal 10 2 2 4" xfId="1779"/>
    <cellStyle name="Normal 10 2 2 4 2" xfId="1780"/>
    <cellStyle name="Normal 10 2 2 4 2 2" xfId="10547"/>
    <cellStyle name="Normal 10 2 2 4 2 3" xfId="16261"/>
    <cellStyle name="Normal 10 2 2 4 3" xfId="1781"/>
    <cellStyle name="Normal 10 2 2 4 3 2" xfId="10548"/>
    <cellStyle name="Normal 10 2 2 4 3 3" xfId="16262"/>
    <cellStyle name="Normal 10 2 2 4 4" xfId="1782"/>
    <cellStyle name="Normal 10 2 2 4 4 2" xfId="10549"/>
    <cellStyle name="Normal 10 2 2 4 4 3" xfId="16263"/>
    <cellStyle name="Normal 10 2 2 4 5" xfId="1783"/>
    <cellStyle name="Normal 10 2 2 4 5 2" xfId="10550"/>
    <cellStyle name="Normal 10 2 2 4 5 3" xfId="16264"/>
    <cellStyle name="Normal 10 2 2 4 6" xfId="10546"/>
    <cellStyle name="Normal 10 2 2 4 7" xfId="16260"/>
    <cellStyle name="Normal 10 2 2 4_LNG &amp; LPG rework" xfId="6756"/>
    <cellStyle name="Normal 10 2 2 5" xfId="1784"/>
    <cellStyle name="Normal 10 2 2 5 2" xfId="1785"/>
    <cellStyle name="Normal 10 2 2 5 2 2" xfId="10552"/>
    <cellStyle name="Normal 10 2 2 5 2 3" xfId="16266"/>
    <cellStyle name="Normal 10 2 2 5 3" xfId="1786"/>
    <cellStyle name="Normal 10 2 2 5 3 2" xfId="10553"/>
    <cellStyle name="Normal 10 2 2 5 3 3" xfId="16267"/>
    <cellStyle name="Normal 10 2 2 5 4" xfId="1787"/>
    <cellStyle name="Normal 10 2 2 5 4 2" xfId="10554"/>
    <cellStyle name="Normal 10 2 2 5 4 3" xfId="16268"/>
    <cellStyle name="Normal 10 2 2 5 5" xfId="1788"/>
    <cellStyle name="Normal 10 2 2 5 5 2" xfId="10555"/>
    <cellStyle name="Normal 10 2 2 5 5 3" xfId="16269"/>
    <cellStyle name="Normal 10 2 2 5 6" xfId="10551"/>
    <cellStyle name="Normal 10 2 2 5 7" xfId="16265"/>
    <cellStyle name="Normal 10 2 2 5_LNG &amp; LPG rework" xfId="6757"/>
    <cellStyle name="Normal 10 2 2 6" xfId="1789"/>
    <cellStyle name="Normal 10 2 2 6 2" xfId="10556"/>
    <cellStyle name="Normal 10 2 2 6 3" xfId="16270"/>
    <cellStyle name="Normal 10 2 2 7" xfId="1790"/>
    <cellStyle name="Normal 10 2 2 7 2" xfId="10557"/>
    <cellStyle name="Normal 10 2 2 7 3" xfId="16271"/>
    <cellStyle name="Normal 10 2 2 8" xfId="1791"/>
    <cellStyle name="Normal 10 2 2 8 2" xfId="10558"/>
    <cellStyle name="Normal 10 2 2 8 3" xfId="16272"/>
    <cellStyle name="Normal 10 2 2 9" xfId="1792"/>
    <cellStyle name="Normal 10 2 2 9 2" xfId="10559"/>
    <cellStyle name="Normal 10 2 2 9 3" xfId="16273"/>
    <cellStyle name="Normal 10 2 2_LNG &amp; LPG rework" xfId="6753"/>
    <cellStyle name="Normal 10 2 3" xfId="319"/>
    <cellStyle name="Normal 10 2 3 10" xfId="16274"/>
    <cellStyle name="Normal 10 2 3 2" xfId="320"/>
    <cellStyle name="Normal 10 2 3 2 2" xfId="1793"/>
    <cellStyle name="Normal 10 2 3 2 2 2" xfId="10560"/>
    <cellStyle name="Normal 10 2 3 2 2 3" xfId="16276"/>
    <cellStyle name="Normal 10 2 3 2 3" xfId="1794"/>
    <cellStyle name="Normal 10 2 3 2 3 2" xfId="10561"/>
    <cellStyle name="Normal 10 2 3 2 3 3" xfId="16277"/>
    <cellStyle name="Normal 10 2 3 2 4" xfId="1795"/>
    <cellStyle name="Normal 10 2 3 2 4 2" xfId="10562"/>
    <cellStyle name="Normal 10 2 3 2 4 3" xfId="16278"/>
    <cellStyle name="Normal 10 2 3 2 5" xfId="1796"/>
    <cellStyle name="Normal 10 2 3 2 5 2" xfId="10563"/>
    <cellStyle name="Normal 10 2 3 2 5 3" xfId="16279"/>
    <cellStyle name="Normal 10 2 3 2 6" xfId="1797"/>
    <cellStyle name="Normal 10 2 3 2 6 2" xfId="10564"/>
    <cellStyle name="Normal 10 2 3 2 6 3" xfId="16280"/>
    <cellStyle name="Normal 10 2 3 2 7" xfId="9171"/>
    <cellStyle name="Normal 10 2 3 2 8" xfId="16275"/>
    <cellStyle name="Normal 10 2 3 2_LNG &amp; LPG rework" xfId="6758"/>
    <cellStyle name="Normal 10 2 3 3" xfId="1798"/>
    <cellStyle name="Normal 10 2 3 3 2" xfId="1799"/>
    <cellStyle name="Normal 10 2 3 3 2 2" xfId="10566"/>
    <cellStyle name="Normal 10 2 3 3 2 3" xfId="16282"/>
    <cellStyle name="Normal 10 2 3 3 3" xfId="1800"/>
    <cellStyle name="Normal 10 2 3 3 3 2" xfId="10567"/>
    <cellStyle name="Normal 10 2 3 3 3 3" xfId="16283"/>
    <cellStyle name="Normal 10 2 3 3 4" xfId="1801"/>
    <cellStyle name="Normal 10 2 3 3 4 2" xfId="10568"/>
    <cellStyle name="Normal 10 2 3 3 4 3" xfId="16284"/>
    <cellStyle name="Normal 10 2 3 3 5" xfId="1802"/>
    <cellStyle name="Normal 10 2 3 3 5 2" xfId="10569"/>
    <cellStyle name="Normal 10 2 3 3 5 3" xfId="16285"/>
    <cellStyle name="Normal 10 2 3 3 6" xfId="10565"/>
    <cellStyle name="Normal 10 2 3 3 7" xfId="16281"/>
    <cellStyle name="Normal 10 2 3 3_LNG &amp; LPG rework" xfId="6716"/>
    <cellStyle name="Normal 10 2 3 4" xfId="1803"/>
    <cellStyle name="Normal 10 2 3 4 2" xfId="10570"/>
    <cellStyle name="Normal 10 2 3 4 3" xfId="16286"/>
    <cellStyle name="Normal 10 2 3 5" xfId="1804"/>
    <cellStyle name="Normal 10 2 3 5 2" xfId="10571"/>
    <cellStyle name="Normal 10 2 3 5 3" xfId="16287"/>
    <cellStyle name="Normal 10 2 3 6" xfId="1805"/>
    <cellStyle name="Normal 10 2 3 6 2" xfId="10572"/>
    <cellStyle name="Normal 10 2 3 6 3" xfId="16288"/>
    <cellStyle name="Normal 10 2 3 7" xfId="1806"/>
    <cellStyle name="Normal 10 2 3 7 2" xfId="10573"/>
    <cellStyle name="Normal 10 2 3 7 3" xfId="16289"/>
    <cellStyle name="Normal 10 2 3 8" xfId="1807"/>
    <cellStyle name="Normal 10 2 3 8 2" xfId="10574"/>
    <cellStyle name="Normal 10 2 3 8 3" xfId="16290"/>
    <cellStyle name="Normal 10 2 3 9" xfId="9170"/>
    <cellStyle name="Normal 10 2 3_LNG &amp; LPG rework" xfId="6759"/>
    <cellStyle name="Normal 10 2 4" xfId="321"/>
    <cellStyle name="Normal 10 2 4 2" xfId="1808"/>
    <cellStyle name="Normal 10 2 4 2 2" xfId="10575"/>
    <cellStyle name="Normal 10 2 4 2 3" xfId="16292"/>
    <cellStyle name="Normal 10 2 4 3" xfId="1809"/>
    <cellStyle name="Normal 10 2 4 3 2" xfId="10576"/>
    <cellStyle name="Normal 10 2 4 3 3" xfId="16293"/>
    <cellStyle name="Normal 10 2 4 4" xfId="9172"/>
    <cellStyle name="Normal 10 2 4 5" xfId="16291"/>
    <cellStyle name="Normal 10 2 4_LNG &amp; LPG rework" xfId="6715"/>
    <cellStyle name="Normal 10 2 5" xfId="1810"/>
    <cellStyle name="Normal 10 2 5 2" xfId="1811"/>
    <cellStyle name="Normal 10 2 5 2 2" xfId="10578"/>
    <cellStyle name="Normal 10 2 5 2 3" xfId="16295"/>
    <cellStyle name="Normal 10 2 5 3" xfId="1812"/>
    <cellStyle name="Normal 10 2 5 3 2" xfId="10579"/>
    <cellStyle name="Normal 10 2 5 3 3" xfId="16296"/>
    <cellStyle name="Normal 10 2 5 4" xfId="1813"/>
    <cellStyle name="Normal 10 2 5 4 2" xfId="10580"/>
    <cellStyle name="Normal 10 2 5 4 3" xfId="16297"/>
    <cellStyle name="Normal 10 2 5 5" xfId="1814"/>
    <cellStyle name="Normal 10 2 5 5 2" xfId="10581"/>
    <cellStyle name="Normal 10 2 5 5 3" xfId="16298"/>
    <cellStyle name="Normal 10 2 5 6" xfId="10577"/>
    <cellStyle name="Normal 10 2 5 7" xfId="16294"/>
    <cellStyle name="Normal 10 2 5_LNG &amp; LPG rework" xfId="6714"/>
    <cellStyle name="Normal 10 2 6" xfId="1815"/>
    <cellStyle name="Normal 10 2 6 2" xfId="1816"/>
    <cellStyle name="Normal 10 2 6 2 2" xfId="10583"/>
    <cellStyle name="Normal 10 2 6 2 3" xfId="16300"/>
    <cellStyle name="Normal 10 2 6 3" xfId="1817"/>
    <cellStyle name="Normal 10 2 6 3 2" xfId="10584"/>
    <cellStyle name="Normal 10 2 6 3 3" xfId="16301"/>
    <cellStyle name="Normal 10 2 6 4" xfId="1818"/>
    <cellStyle name="Normal 10 2 6 4 2" xfId="10585"/>
    <cellStyle name="Normal 10 2 6 4 3" xfId="16302"/>
    <cellStyle name="Normal 10 2 6 5" xfId="1819"/>
    <cellStyle name="Normal 10 2 6 5 2" xfId="10586"/>
    <cellStyle name="Normal 10 2 6 5 3" xfId="16303"/>
    <cellStyle name="Normal 10 2 6 6" xfId="10582"/>
    <cellStyle name="Normal 10 2 6 7" xfId="16299"/>
    <cellStyle name="Normal 10 2 6_LNG &amp; LPG rework" xfId="6607"/>
    <cellStyle name="Normal 10 2 7" xfId="1820"/>
    <cellStyle name="Normal 10 2 7 2" xfId="1821"/>
    <cellStyle name="Normal 10 2 7 2 2" xfId="10588"/>
    <cellStyle name="Normal 10 2 7 2 3" xfId="16305"/>
    <cellStyle name="Normal 10 2 7 3" xfId="1822"/>
    <cellStyle name="Normal 10 2 7 3 2" xfId="10589"/>
    <cellStyle name="Normal 10 2 7 3 3" xfId="16306"/>
    <cellStyle name="Normal 10 2 7 4" xfId="1823"/>
    <cellStyle name="Normal 10 2 7 4 2" xfId="10590"/>
    <cellStyle name="Normal 10 2 7 4 3" xfId="16307"/>
    <cellStyle name="Normal 10 2 7 5" xfId="1824"/>
    <cellStyle name="Normal 10 2 7 5 2" xfId="10591"/>
    <cellStyle name="Normal 10 2 7 5 3" xfId="16308"/>
    <cellStyle name="Normal 10 2 7 6" xfId="10587"/>
    <cellStyle name="Normal 10 2 7 7" xfId="16304"/>
    <cellStyle name="Normal 10 2 7_LNG &amp; LPG rework" xfId="6760"/>
    <cellStyle name="Normal 10 2 8" xfId="1825"/>
    <cellStyle name="Normal 10 2 8 2" xfId="10592"/>
    <cellStyle name="Normal 10 2 8 3" xfId="16309"/>
    <cellStyle name="Normal 10 2 9" xfId="1826"/>
    <cellStyle name="Normal 10 2 9 2" xfId="10593"/>
    <cellStyle name="Normal 10 2 9 3" xfId="16310"/>
    <cellStyle name="Normal 10 2_LNG &amp; LPG rework" xfId="6752"/>
    <cellStyle name="Normal 10 20" xfId="1827"/>
    <cellStyle name="Normal 10 20 2" xfId="1828"/>
    <cellStyle name="Normal 10 20 2 2" xfId="1829"/>
    <cellStyle name="Normal 10 20 2 2 2" xfId="10596"/>
    <cellStyle name="Normal 10 20 2 2 3" xfId="16313"/>
    <cellStyle name="Normal 10 20 2 3" xfId="1830"/>
    <cellStyle name="Normal 10 20 2 3 2" xfId="10597"/>
    <cellStyle name="Normal 10 20 2 3 3" xfId="16314"/>
    <cellStyle name="Normal 10 20 2 4" xfId="1831"/>
    <cellStyle name="Normal 10 20 2 4 2" xfId="10598"/>
    <cellStyle name="Normal 10 20 2 4 3" xfId="16315"/>
    <cellStyle name="Normal 10 20 2 5" xfId="1832"/>
    <cellStyle name="Normal 10 20 2 5 2" xfId="10599"/>
    <cellStyle name="Normal 10 20 2 5 3" xfId="16316"/>
    <cellStyle name="Normal 10 20 2 6" xfId="10595"/>
    <cellStyle name="Normal 10 20 2 7" xfId="16312"/>
    <cellStyle name="Normal 10 20 2_LNG &amp; LPG rework" xfId="6712"/>
    <cellStyle name="Normal 10 20 3" xfId="1833"/>
    <cellStyle name="Normal 10 20 3 2" xfId="10600"/>
    <cellStyle name="Normal 10 20 3 3" xfId="16317"/>
    <cellStyle name="Normal 10 20 4" xfId="1834"/>
    <cellStyle name="Normal 10 20 4 2" xfId="10601"/>
    <cellStyle name="Normal 10 20 4 3" xfId="16318"/>
    <cellStyle name="Normal 10 20 5" xfId="1835"/>
    <cellStyle name="Normal 10 20 5 2" xfId="10602"/>
    <cellStyle name="Normal 10 20 5 3" xfId="16319"/>
    <cellStyle name="Normal 10 20 6" xfId="1836"/>
    <cellStyle name="Normal 10 20 6 2" xfId="10603"/>
    <cellStyle name="Normal 10 20 6 3" xfId="16320"/>
    <cellStyle name="Normal 10 20 7" xfId="10594"/>
    <cellStyle name="Normal 10 20 8" xfId="16311"/>
    <cellStyle name="Normal 10 20_LNG &amp; LPG rework" xfId="6713"/>
    <cellStyle name="Normal 10 21" xfId="1837"/>
    <cellStyle name="Normal 10 21 2" xfId="1838"/>
    <cellStyle name="Normal 10 21 2 2" xfId="10605"/>
    <cellStyle name="Normal 10 21 2 3" xfId="16322"/>
    <cellStyle name="Normal 10 21 3" xfId="1839"/>
    <cellStyle name="Normal 10 21 3 2" xfId="10606"/>
    <cellStyle name="Normal 10 21 3 3" xfId="16323"/>
    <cellStyle name="Normal 10 21 4" xfId="1840"/>
    <cellStyle name="Normal 10 21 4 2" xfId="10607"/>
    <cellStyle name="Normal 10 21 4 3" xfId="16324"/>
    <cellStyle name="Normal 10 21 5" xfId="1841"/>
    <cellStyle name="Normal 10 21 5 2" xfId="10608"/>
    <cellStyle name="Normal 10 21 5 3" xfId="16325"/>
    <cellStyle name="Normal 10 21 6" xfId="10604"/>
    <cellStyle name="Normal 10 21 7" xfId="16321"/>
    <cellStyle name="Normal 10 21_LNG &amp; LPG rework" xfId="6761"/>
    <cellStyle name="Normal 10 22" xfId="1842"/>
    <cellStyle name="Normal 10 22 2" xfId="1843"/>
    <cellStyle name="Normal 10 22 2 2" xfId="10610"/>
    <cellStyle name="Normal 10 22 2 3" xfId="16327"/>
    <cellStyle name="Normal 10 22 3" xfId="1844"/>
    <cellStyle name="Normal 10 22 3 2" xfId="10611"/>
    <cellStyle name="Normal 10 22 3 3" xfId="16328"/>
    <cellStyle name="Normal 10 22 4" xfId="1845"/>
    <cellStyle name="Normal 10 22 4 2" xfId="10612"/>
    <cellStyle name="Normal 10 22 4 3" xfId="16329"/>
    <cellStyle name="Normal 10 22 5" xfId="1846"/>
    <cellStyle name="Normal 10 22 5 2" xfId="10613"/>
    <cellStyle name="Normal 10 22 5 3" xfId="16330"/>
    <cellStyle name="Normal 10 22 6" xfId="10609"/>
    <cellStyle name="Normal 10 22 7" xfId="16326"/>
    <cellStyle name="Normal 10 22_LNG &amp; LPG rework" xfId="6711"/>
    <cellStyle name="Normal 10 23" xfId="1847"/>
    <cellStyle name="Normal 10 23 2" xfId="10614"/>
    <cellStyle name="Normal 10 23 3" xfId="16331"/>
    <cellStyle name="Normal 10 24" xfId="1848"/>
    <cellStyle name="Normal 10 24 2" xfId="10615"/>
    <cellStyle name="Normal 10 24 3" xfId="16332"/>
    <cellStyle name="Normal 10 25" xfId="1849"/>
    <cellStyle name="Normal 10 25 2" xfId="10616"/>
    <cellStyle name="Normal 10 25 3" xfId="16333"/>
    <cellStyle name="Normal 10 26" xfId="1850"/>
    <cellStyle name="Normal 10 26 2" xfId="10617"/>
    <cellStyle name="Normal 10 26 3" xfId="16334"/>
    <cellStyle name="Normal 10 27" xfId="1851"/>
    <cellStyle name="Normal 10 27 2" xfId="10618"/>
    <cellStyle name="Normal 10 27 3" xfId="16335"/>
    <cellStyle name="Normal 10 28" xfId="1852"/>
    <cellStyle name="Normal 10 28 2" xfId="10619"/>
    <cellStyle name="Normal 10 28 3" xfId="16336"/>
    <cellStyle name="Normal 10 29" xfId="9164"/>
    <cellStyle name="Normal 10 3" xfId="322"/>
    <cellStyle name="Normal 10 3 10" xfId="1853"/>
    <cellStyle name="Normal 10 3 10 2" xfId="10620"/>
    <cellStyle name="Normal 10 3 10 3" xfId="16338"/>
    <cellStyle name="Normal 10 3 11" xfId="9173"/>
    <cellStyle name="Normal 10 3 12" xfId="16337"/>
    <cellStyle name="Normal 10 3 2" xfId="323"/>
    <cellStyle name="Normal 10 3 2 10" xfId="16339"/>
    <cellStyle name="Normal 10 3 2 2" xfId="324"/>
    <cellStyle name="Normal 10 3 2 2 2" xfId="1854"/>
    <cellStyle name="Normal 10 3 2 2 2 2" xfId="10621"/>
    <cellStyle name="Normal 10 3 2 2 2 3" xfId="16341"/>
    <cellStyle name="Normal 10 3 2 2 3" xfId="1855"/>
    <cellStyle name="Normal 10 3 2 2 3 2" xfId="10622"/>
    <cellStyle name="Normal 10 3 2 2 3 3" xfId="16342"/>
    <cellStyle name="Normal 10 3 2 2 4" xfId="1856"/>
    <cellStyle name="Normal 10 3 2 2 4 2" xfId="10623"/>
    <cellStyle name="Normal 10 3 2 2 4 3" xfId="16343"/>
    <cellStyle name="Normal 10 3 2 2 5" xfId="1857"/>
    <cellStyle name="Normal 10 3 2 2 5 2" xfId="10624"/>
    <cellStyle name="Normal 10 3 2 2 5 3" xfId="16344"/>
    <cellStyle name="Normal 10 3 2 2 6" xfId="1858"/>
    <cellStyle name="Normal 10 3 2 2 6 2" xfId="10625"/>
    <cellStyle name="Normal 10 3 2 2 6 3" xfId="16345"/>
    <cellStyle name="Normal 10 3 2 2 7" xfId="9175"/>
    <cellStyle name="Normal 10 3 2 2 8" xfId="16340"/>
    <cellStyle name="Normal 10 3 2 2_LNG &amp; LPG rework" xfId="6708"/>
    <cellStyle name="Normal 10 3 2 3" xfId="1859"/>
    <cellStyle name="Normal 10 3 2 3 2" xfId="1860"/>
    <cellStyle name="Normal 10 3 2 3 2 2" xfId="10627"/>
    <cellStyle name="Normal 10 3 2 3 2 3" xfId="16347"/>
    <cellStyle name="Normal 10 3 2 3 3" xfId="1861"/>
    <cellStyle name="Normal 10 3 2 3 3 2" xfId="10628"/>
    <cellStyle name="Normal 10 3 2 3 3 3" xfId="16348"/>
    <cellStyle name="Normal 10 3 2 3 4" xfId="1862"/>
    <cellStyle name="Normal 10 3 2 3 4 2" xfId="10629"/>
    <cellStyle name="Normal 10 3 2 3 4 3" xfId="16349"/>
    <cellStyle name="Normal 10 3 2 3 5" xfId="1863"/>
    <cellStyle name="Normal 10 3 2 3 5 2" xfId="10630"/>
    <cellStyle name="Normal 10 3 2 3 5 3" xfId="16350"/>
    <cellStyle name="Normal 10 3 2 3 6" xfId="10626"/>
    <cellStyle name="Normal 10 3 2 3 7" xfId="16346"/>
    <cellStyle name="Normal 10 3 2 3_LNG &amp; LPG rework" xfId="6762"/>
    <cellStyle name="Normal 10 3 2 4" xfId="1864"/>
    <cellStyle name="Normal 10 3 2 4 2" xfId="10631"/>
    <cellStyle name="Normal 10 3 2 4 3" xfId="16351"/>
    <cellStyle name="Normal 10 3 2 5" xfId="1865"/>
    <cellStyle name="Normal 10 3 2 5 2" xfId="10632"/>
    <cellStyle name="Normal 10 3 2 5 3" xfId="16352"/>
    <cellStyle name="Normal 10 3 2 6" xfId="1866"/>
    <cellStyle name="Normal 10 3 2 6 2" xfId="10633"/>
    <cellStyle name="Normal 10 3 2 6 3" xfId="16353"/>
    <cellStyle name="Normal 10 3 2 7" xfId="1867"/>
    <cellStyle name="Normal 10 3 2 7 2" xfId="10634"/>
    <cellStyle name="Normal 10 3 2 7 3" xfId="16354"/>
    <cellStyle name="Normal 10 3 2 8" xfId="1868"/>
    <cellStyle name="Normal 10 3 2 8 2" xfId="10635"/>
    <cellStyle name="Normal 10 3 2 8 3" xfId="16355"/>
    <cellStyle name="Normal 10 3 2 9" xfId="9174"/>
    <cellStyle name="Normal 10 3 2_LNG &amp; LPG rework" xfId="6709"/>
    <cellStyle name="Normal 10 3 3" xfId="325"/>
    <cellStyle name="Normal 10 3 3 2" xfId="1869"/>
    <cellStyle name="Normal 10 3 3 2 2" xfId="10636"/>
    <cellStyle name="Normal 10 3 3 2 3" xfId="16357"/>
    <cellStyle name="Normal 10 3 3 3" xfId="1870"/>
    <cellStyle name="Normal 10 3 3 3 2" xfId="10637"/>
    <cellStyle name="Normal 10 3 3 3 3" xfId="16358"/>
    <cellStyle name="Normal 10 3 3 4" xfId="1871"/>
    <cellStyle name="Normal 10 3 3 4 2" xfId="10638"/>
    <cellStyle name="Normal 10 3 3 4 3" xfId="16359"/>
    <cellStyle name="Normal 10 3 3 5" xfId="1872"/>
    <cellStyle name="Normal 10 3 3 5 2" xfId="10639"/>
    <cellStyle name="Normal 10 3 3 5 3" xfId="16360"/>
    <cellStyle name="Normal 10 3 3 6" xfId="1873"/>
    <cellStyle name="Normal 10 3 3 6 2" xfId="10640"/>
    <cellStyle name="Normal 10 3 3 6 3" xfId="16361"/>
    <cellStyle name="Normal 10 3 3 7" xfId="9176"/>
    <cellStyle name="Normal 10 3 3 8" xfId="16356"/>
    <cellStyle name="Normal 10 3 3_LNG &amp; LPG rework" xfId="6707"/>
    <cellStyle name="Normal 10 3 4" xfId="1874"/>
    <cellStyle name="Normal 10 3 4 2" xfId="1875"/>
    <cellStyle name="Normal 10 3 4 2 2" xfId="10642"/>
    <cellStyle name="Normal 10 3 4 2 3" xfId="16363"/>
    <cellStyle name="Normal 10 3 4 3" xfId="1876"/>
    <cellStyle name="Normal 10 3 4 3 2" xfId="10643"/>
    <cellStyle name="Normal 10 3 4 3 3" xfId="16364"/>
    <cellStyle name="Normal 10 3 4 4" xfId="1877"/>
    <cellStyle name="Normal 10 3 4 4 2" xfId="10644"/>
    <cellStyle name="Normal 10 3 4 4 3" xfId="16365"/>
    <cellStyle name="Normal 10 3 4 5" xfId="1878"/>
    <cellStyle name="Normal 10 3 4 5 2" xfId="10645"/>
    <cellStyle name="Normal 10 3 4 5 3" xfId="16366"/>
    <cellStyle name="Normal 10 3 4 6" xfId="10641"/>
    <cellStyle name="Normal 10 3 4 7" xfId="16362"/>
    <cellStyle name="Normal 10 3 4_LNG &amp; LPG rework" xfId="6706"/>
    <cellStyle name="Normal 10 3 5" xfId="1879"/>
    <cellStyle name="Normal 10 3 5 2" xfId="1880"/>
    <cellStyle name="Normal 10 3 5 2 2" xfId="10647"/>
    <cellStyle name="Normal 10 3 5 2 3" xfId="16368"/>
    <cellStyle name="Normal 10 3 5 3" xfId="1881"/>
    <cellStyle name="Normal 10 3 5 3 2" xfId="10648"/>
    <cellStyle name="Normal 10 3 5 3 3" xfId="16369"/>
    <cellStyle name="Normal 10 3 5 4" xfId="1882"/>
    <cellStyle name="Normal 10 3 5 4 2" xfId="10649"/>
    <cellStyle name="Normal 10 3 5 4 3" xfId="16370"/>
    <cellStyle name="Normal 10 3 5 5" xfId="1883"/>
    <cellStyle name="Normal 10 3 5 5 2" xfId="10650"/>
    <cellStyle name="Normal 10 3 5 5 3" xfId="16371"/>
    <cellStyle name="Normal 10 3 5 6" xfId="10646"/>
    <cellStyle name="Normal 10 3 5 7" xfId="16367"/>
    <cellStyle name="Normal 10 3 5_LNG &amp; LPG rework" xfId="6763"/>
    <cellStyle name="Normal 10 3 6" xfId="1884"/>
    <cellStyle name="Normal 10 3 6 2" xfId="10651"/>
    <cellStyle name="Normal 10 3 6 3" xfId="16372"/>
    <cellStyle name="Normal 10 3 7" xfId="1885"/>
    <cellStyle name="Normal 10 3 7 2" xfId="10652"/>
    <cellStyle name="Normal 10 3 7 3" xfId="16373"/>
    <cellStyle name="Normal 10 3 8" xfId="1886"/>
    <cellStyle name="Normal 10 3 8 2" xfId="10653"/>
    <cellStyle name="Normal 10 3 8 3" xfId="16374"/>
    <cellStyle name="Normal 10 3 9" xfId="1887"/>
    <cellStyle name="Normal 10 3 9 2" xfId="10654"/>
    <cellStyle name="Normal 10 3 9 3" xfId="16375"/>
    <cellStyle name="Normal 10 3_LNG &amp; LPG rework" xfId="6710"/>
    <cellStyle name="Normal 10 30" xfId="14953"/>
    <cellStyle name="Normal 10 4" xfId="326"/>
    <cellStyle name="Normal 10 4 10" xfId="16376"/>
    <cellStyle name="Normal 10 4 2" xfId="327"/>
    <cellStyle name="Normal 10 4 2 2" xfId="1888"/>
    <cellStyle name="Normal 10 4 2 2 2" xfId="10655"/>
    <cellStyle name="Normal 10 4 2 2 3" xfId="16378"/>
    <cellStyle name="Normal 10 4 2 3" xfId="1889"/>
    <cellStyle name="Normal 10 4 2 3 2" xfId="10656"/>
    <cellStyle name="Normal 10 4 2 3 3" xfId="16379"/>
    <cellStyle name="Normal 10 4 2 4" xfId="1890"/>
    <cellStyle name="Normal 10 4 2 4 2" xfId="10657"/>
    <cellStyle name="Normal 10 4 2 4 3" xfId="16380"/>
    <cellStyle name="Normal 10 4 2 5" xfId="1891"/>
    <cellStyle name="Normal 10 4 2 5 2" xfId="10658"/>
    <cellStyle name="Normal 10 4 2 5 3" xfId="16381"/>
    <cellStyle name="Normal 10 4 2 6" xfId="1892"/>
    <cellStyle name="Normal 10 4 2 6 2" xfId="10659"/>
    <cellStyle name="Normal 10 4 2 6 3" xfId="16382"/>
    <cellStyle name="Normal 10 4 2 7" xfId="9178"/>
    <cellStyle name="Normal 10 4 2 8" xfId="16377"/>
    <cellStyle name="Normal 10 4 2_LNG &amp; LPG rework" xfId="6765"/>
    <cellStyle name="Normal 10 4 3" xfId="1893"/>
    <cellStyle name="Normal 10 4 3 2" xfId="1894"/>
    <cellStyle name="Normal 10 4 3 2 2" xfId="10661"/>
    <cellStyle name="Normal 10 4 3 2 3" xfId="16384"/>
    <cellStyle name="Normal 10 4 3 3" xfId="1895"/>
    <cellStyle name="Normal 10 4 3 3 2" xfId="10662"/>
    <cellStyle name="Normal 10 4 3 3 3" xfId="16385"/>
    <cellStyle name="Normal 10 4 3 4" xfId="1896"/>
    <cellStyle name="Normal 10 4 3 4 2" xfId="10663"/>
    <cellStyle name="Normal 10 4 3 4 3" xfId="16386"/>
    <cellStyle name="Normal 10 4 3 5" xfId="1897"/>
    <cellStyle name="Normal 10 4 3 5 2" xfId="10664"/>
    <cellStyle name="Normal 10 4 3 5 3" xfId="16387"/>
    <cellStyle name="Normal 10 4 3 6" xfId="10660"/>
    <cellStyle name="Normal 10 4 3 7" xfId="16383"/>
    <cellStyle name="Normal 10 4 3_LNG &amp; LPG rework" xfId="6766"/>
    <cellStyle name="Normal 10 4 4" xfId="1898"/>
    <cellStyle name="Normal 10 4 4 2" xfId="10665"/>
    <cellStyle name="Normal 10 4 4 3" xfId="16388"/>
    <cellStyle name="Normal 10 4 5" xfId="1899"/>
    <cellStyle name="Normal 10 4 5 2" xfId="10666"/>
    <cellStyle name="Normal 10 4 5 3" xfId="16389"/>
    <cellStyle name="Normal 10 4 6" xfId="1900"/>
    <cellStyle name="Normal 10 4 6 2" xfId="10667"/>
    <cellStyle name="Normal 10 4 6 3" xfId="16390"/>
    <cellStyle name="Normal 10 4 7" xfId="1901"/>
    <cellStyle name="Normal 10 4 7 2" xfId="10668"/>
    <cellStyle name="Normal 10 4 7 3" xfId="16391"/>
    <cellStyle name="Normal 10 4 8" xfId="1902"/>
    <cellStyle name="Normal 10 4 8 2" xfId="10669"/>
    <cellStyle name="Normal 10 4 8 3" xfId="16392"/>
    <cellStyle name="Normal 10 4 9" xfId="9177"/>
    <cellStyle name="Normal 10 4_LNG &amp; LPG rework" xfId="6764"/>
    <cellStyle name="Normal 10 5" xfId="328"/>
    <cellStyle name="Normal 10 5 10" xfId="16393"/>
    <cellStyle name="Normal 10 5 2" xfId="1903"/>
    <cellStyle name="Normal 10 5 2 2" xfId="1904"/>
    <cellStyle name="Normal 10 5 2 2 2" xfId="10671"/>
    <cellStyle name="Normal 10 5 2 2 3" xfId="16395"/>
    <cellStyle name="Normal 10 5 2 3" xfId="1905"/>
    <cellStyle name="Normal 10 5 2 3 2" xfId="10672"/>
    <cellStyle name="Normal 10 5 2 3 3" xfId="16396"/>
    <cellStyle name="Normal 10 5 2 4" xfId="1906"/>
    <cellStyle name="Normal 10 5 2 4 2" xfId="10673"/>
    <cellStyle name="Normal 10 5 2 4 3" xfId="16397"/>
    <cellStyle name="Normal 10 5 2 5" xfId="1907"/>
    <cellStyle name="Normal 10 5 2 5 2" xfId="10674"/>
    <cellStyle name="Normal 10 5 2 5 3" xfId="16398"/>
    <cellStyle name="Normal 10 5 2 6" xfId="10670"/>
    <cellStyle name="Normal 10 5 2 7" xfId="16394"/>
    <cellStyle name="Normal 10 5 2_LNG &amp; LPG rework" xfId="6767"/>
    <cellStyle name="Normal 10 5 3" xfId="1908"/>
    <cellStyle name="Normal 10 5 3 2" xfId="1909"/>
    <cellStyle name="Normal 10 5 3 2 2" xfId="10676"/>
    <cellStyle name="Normal 10 5 3 2 3" xfId="16400"/>
    <cellStyle name="Normal 10 5 3 3" xfId="1910"/>
    <cellStyle name="Normal 10 5 3 3 2" xfId="10677"/>
    <cellStyle name="Normal 10 5 3 3 3" xfId="16401"/>
    <cellStyle name="Normal 10 5 3 4" xfId="1911"/>
    <cellStyle name="Normal 10 5 3 4 2" xfId="10678"/>
    <cellStyle name="Normal 10 5 3 4 3" xfId="16402"/>
    <cellStyle name="Normal 10 5 3 5" xfId="1912"/>
    <cellStyle name="Normal 10 5 3 5 2" xfId="10679"/>
    <cellStyle name="Normal 10 5 3 5 3" xfId="16403"/>
    <cellStyle name="Normal 10 5 3 6" xfId="10675"/>
    <cellStyle name="Normal 10 5 3 7" xfId="16399"/>
    <cellStyle name="Normal 10 5 3_LNG &amp; LPG rework" xfId="6769"/>
    <cellStyle name="Normal 10 5 4" xfId="1913"/>
    <cellStyle name="Normal 10 5 4 2" xfId="10680"/>
    <cellStyle name="Normal 10 5 4 3" xfId="16404"/>
    <cellStyle name="Normal 10 5 5" xfId="1914"/>
    <cellStyle name="Normal 10 5 5 2" xfId="10681"/>
    <cellStyle name="Normal 10 5 5 3" xfId="16405"/>
    <cellStyle name="Normal 10 5 6" xfId="1915"/>
    <cellStyle name="Normal 10 5 6 2" xfId="10682"/>
    <cellStyle name="Normal 10 5 6 3" xfId="16406"/>
    <cellStyle name="Normal 10 5 7" xfId="1916"/>
    <cellStyle name="Normal 10 5 7 2" xfId="10683"/>
    <cellStyle name="Normal 10 5 7 3" xfId="16407"/>
    <cellStyle name="Normal 10 5 8" xfId="1917"/>
    <cellStyle name="Normal 10 5 8 2" xfId="10684"/>
    <cellStyle name="Normal 10 5 8 3" xfId="16408"/>
    <cellStyle name="Normal 10 5 9" xfId="9179"/>
    <cellStyle name="Normal 10 5_LNG &amp; LPG rework" xfId="6768"/>
    <cellStyle name="Normal 10 6" xfId="1918"/>
    <cellStyle name="Normal 10 7" xfId="1919"/>
    <cellStyle name="Normal 10 7 2" xfId="1920"/>
    <cellStyle name="Normal 10 7 2 2" xfId="1921"/>
    <cellStyle name="Normal 10 7 2 2 2" xfId="10687"/>
    <cellStyle name="Normal 10 7 2 2 3" xfId="16411"/>
    <cellStyle name="Normal 10 7 2 3" xfId="1922"/>
    <cellStyle name="Normal 10 7 2 3 2" xfId="10688"/>
    <cellStyle name="Normal 10 7 2 3 3" xfId="16412"/>
    <cellStyle name="Normal 10 7 2 4" xfId="1923"/>
    <cellStyle name="Normal 10 7 2 4 2" xfId="10689"/>
    <cellStyle name="Normal 10 7 2 4 3" xfId="16413"/>
    <cellStyle name="Normal 10 7 2 5" xfId="1924"/>
    <cellStyle name="Normal 10 7 2 5 2" xfId="10690"/>
    <cellStyle name="Normal 10 7 2 5 3" xfId="16414"/>
    <cellStyle name="Normal 10 7 2 6" xfId="10686"/>
    <cellStyle name="Normal 10 7 2 7" xfId="16410"/>
    <cellStyle name="Normal 10 7 2_LNG &amp; LPG rework" xfId="6770"/>
    <cellStyle name="Normal 10 7 3" xfId="1925"/>
    <cellStyle name="Normal 10 7 3 2" xfId="1926"/>
    <cellStyle name="Normal 10 7 3 2 2" xfId="10692"/>
    <cellStyle name="Normal 10 7 3 2 3" xfId="16416"/>
    <cellStyle name="Normal 10 7 3 3" xfId="1927"/>
    <cellStyle name="Normal 10 7 3 3 2" xfId="10693"/>
    <cellStyle name="Normal 10 7 3 3 3" xfId="16417"/>
    <cellStyle name="Normal 10 7 3 4" xfId="1928"/>
    <cellStyle name="Normal 10 7 3 4 2" xfId="10694"/>
    <cellStyle name="Normal 10 7 3 4 3" xfId="16418"/>
    <cellStyle name="Normal 10 7 3 5" xfId="1929"/>
    <cellStyle name="Normal 10 7 3 5 2" xfId="10695"/>
    <cellStyle name="Normal 10 7 3 5 3" xfId="16419"/>
    <cellStyle name="Normal 10 7 3 6" xfId="10691"/>
    <cellStyle name="Normal 10 7 3 7" xfId="16415"/>
    <cellStyle name="Normal 10 7 3_LNG &amp; LPG rework" xfId="6772"/>
    <cellStyle name="Normal 10 7 4" xfId="1930"/>
    <cellStyle name="Normal 10 7 4 2" xfId="10696"/>
    <cellStyle name="Normal 10 7 4 3" xfId="16420"/>
    <cellStyle name="Normal 10 7 5" xfId="1931"/>
    <cellStyle name="Normal 10 7 5 2" xfId="10697"/>
    <cellStyle name="Normal 10 7 5 3" xfId="16421"/>
    <cellStyle name="Normal 10 7 6" xfId="1932"/>
    <cellStyle name="Normal 10 7 6 2" xfId="10698"/>
    <cellStyle name="Normal 10 7 6 3" xfId="16422"/>
    <cellStyle name="Normal 10 7 7" xfId="1933"/>
    <cellStyle name="Normal 10 7 7 2" xfId="10699"/>
    <cellStyle name="Normal 10 7 7 3" xfId="16423"/>
    <cellStyle name="Normal 10 7 8" xfId="10685"/>
    <cellStyle name="Normal 10 7 9" xfId="16409"/>
    <cellStyle name="Normal 10 7_LNG &amp; LPG rework" xfId="6771"/>
    <cellStyle name="Normal 10 8" xfId="1934"/>
    <cellStyle name="Normal 10 8 2" xfId="1935"/>
    <cellStyle name="Normal 10 8 2 2" xfId="1936"/>
    <cellStyle name="Normal 10 8 2 2 2" xfId="10702"/>
    <cellStyle name="Normal 10 8 2 2 3" xfId="16426"/>
    <cellStyle name="Normal 10 8 2 3" xfId="1937"/>
    <cellStyle name="Normal 10 8 2 3 2" xfId="10703"/>
    <cellStyle name="Normal 10 8 2 3 3" xfId="16427"/>
    <cellStyle name="Normal 10 8 2 4" xfId="1938"/>
    <cellStyle name="Normal 10 8 2 4 2" xfId="10704"/>
    <cellStyle name="Normal 10 8 2 4 3" xfId="16428"/>
    <cellStyle name="Normal 10 8 2 5" xfId="1939"/>
    <cellStyle name="Normal 10 8 2 5 2" xfId="10705"/>
    <cellStyle name="Normal 10 8 2 5 3" xfId="16429"/>
    <cellStyle name="Normal 10 8 2 6" xfId="10701"/>
    <cellStyle name="Normal 10 8 2 7" xfId="16425"/>
    <cellStyle name="Normal 10 8 2_LNG &amp; LPG rework" xfId="6774"/>
    <cellStyle name="Normal 10 8 3" xfId="1940"/>
    <cellStyle name="Normal 10 8 3 2" xfId="1941"/>
    <cellStyle name="Normal 10 8 3 2 2" xfId="10707"/>
    <cellStyle name="Normal 10 8 3 2 3" xfId="16431"/>
    <cellStyle name="Normal 10 8 3 3" xfId="1942"/>
    <cellStyle name="Normal 10 8 3 3 2" xfId="10708"/>
    <cellStyle name="Normal 10 8 3 3 3" xfId="16432"/>
    <cellStyle name="Normal 10 8 3 4" xfId="1943"/>
    <cellStyle name="Normal 10 8 3 4 2" xfId="10709"/>
    <cellStyle name="Normal 10 8 3 4 3" xfId="16433"/>
    <cellStyle name="Normal 10 8 3 5" xfId="1944"/>
    <cellStyle name="Normal 10 8 3 5 2" xfId="10710"/>
    <cellStyle name="Normal 10 8 3 5 3" xfId="16434"/>
    <cellStyle name="Normal 10 8 3 6" xfId="10706"/>
    <cellStyle name="Normal 10 8 3 7" xfId="16430"/>
    <cellStyle name="Normal 10 8 3_LNG &amp; LPG rework" xfId="6984"/>
    <cellStyle name="Normal 10 8 4" xfId="1945"/>
    <cellStyle name="Normal 10 8 4 2" xfId="10711"/>
    <cellStyle name="Normal 10 8 4 3" xfId="16435"/>
    <cellStyle name="Normal 10 8 5" xfId="1946"/>
    <cellStyle name="Normal 10 8 5 2" xfId="10712"/>
    <cellStyle name="Normal 10 8 5 3" xfId="16436"/>
    <cellStyle name="Normal 10 8 6" xfId="1947"/>
    <cellStyle name="Normal 10 8 6 2" xfId="10713"/>
    <cellStyle name="Normal 10 8 6 3" xfId="16437"/>
    <cellStyle name="Normal 10 8 7" xfId="1948"/>
    <cellStyle name="Normal 10 8 7 2" xfId="10714"/>
    <cellStyle name="Normal 10 8 7 3" xfId="16438"/>
    <cellStyle name="Normal 10 8 8" xfId="10700"/>
    <cellStyle name="Normal 10 8 9" xfId="16424"/>
    <cellStyle name="Normal 10 8_LNG &amp; LPG rework" xfId="6773"/>
    <cellStyle name="Normal 10 9" xfId="1949"/>
    <cellStyle name="Normal 10 9 2" xfId="1950"/>
    <cellStyle name="Normal 10 9 2 2" xfId="1951"/>
    <cellStyle name="Normal 10 9 2 2 2" xfId="10717"/>
    <cellStyle name="Normal 10 9 2 2 3" xfId="16441"/>
    <cellStyle name="Normal 10 9 2 3" xfId="1952"/>
    <cellStyle name="Normal 10 9 2 3 2" xfId="10718"/>
    <cellStyle name="Normal 10 9 2 3 3" xfId="16442"/>
    <cellStyle name="Normal 10 9 2 4" xfId="1953"/>
    <cellStyle name="Normal 10 9 2 4 2" xfId="10719"/>
    <cellStyle name="Normal 10 9 2 4 3" xfId="16443"/>
    <cellStyle name="Normal 10 9 2 5" xfId="1954"/>
    <cellStyle name="Normal 10 9 2 5 2" xfId="10720"/>
    <cellStyle name="Normal 10 9 2 5 3" xfId="16444"/>
    <cellStyle name="Normal 10 9 2 6" xfId="10716"/>
    <cellStyle name="Normal 10 9 2 7" xfId="16440"/>
    <cellStyle name="Normal 10 9 2_LNG &amp; LPG rework" xfId="6776"/>
    <cellStyle name="Normal 10 9 3" xfId="1955"/>
    <cellStyle name="Normal 10 9 3 2" xfId="1956"/>
    <cellStyle name="Normal 10 9 3 2 2" xfId="10722"/>
    <cellStyle name="Normal 10 9 3 2 3" xfId="16446"/>
    <cellStyle name="Normal 10 9 3 3" xfId="1957"/>
    <cellStyle name="Normal 10 9 3 3 2" xfId="10723"/>
    <cellStyle name="Normal 10 9 3 3 3" xfId="16447"/>
    <cellStyle name="Normal 10 9 3 4" xfId="1958"/>
    <cellStyle name="Normal 10 9 3 4 2" xfId="10724"/>
    <cellStyle name="Normal 10 9 3 4 3" xfId="16448"/>
    <cellStyle name="Normal 10 9 3 5" xfId="1959"/>
    <cellStyle name="Normal 10 9 3 5 2" xfId="10725"/>
    <cellStyle name="Normal 10 9 3 5 3" xfId="16449"/>
    <cellStyle name="Normal 10 9 3 6" xfId="10721"/>
    <cellStyle name="Normal 10 9 3 7" xfId="16445"/>
    <cellStyle name="Normal 10 9 3_LNG &amp; LPG rework" xfId="6610"/>
    <cellStyle name="Normal 10 9 4" xfId="1960"/>
    <cellStyle name="Normal 10 9 4 2" xfId="10726"/>
    <cellStyle name="Normal 10 9 4 3" xfId="16450"/>
    <cellStyle name="Normal 10 9 5" xfId="1961"/>
    <cellStyle name="Normal 10 9 5 2" xfId="10727"/>
    <cellStyle name="Normal 10 9 5 3" xfId="16451"/>
    <cellStyle name="Normal 10 9 6" xfId="1962"/>
    <cellStyle name="Normal 10 9 6 2" xfId="10728"/>
    <cellStyle name="Normal 10 9 6 3" xfId="16452"/>
    <cellStyle name="Normal 10 9 7" xfId="1963"/>
    <cellStyle name="Normal 10 9 7 2" xfId="10729"/>
    <cellStyle name="Normal 10 9 7 3" xfId="16453"/>
    <cellStyle name="Normal 10 9 8" xfId="10715"/>
    <cellStyle name="Normal 10 9 9" xfId="16439"/>
    <cellStyle name="Normal 10 9_LNG &amp; LPG rework" xfId="6775"/>
    <cellStyle name="Normal 10_2015  Data" xfId="329"/>
    <cellStyle name="Normal 100" xfId="1964"/>
    <cellStyle name="Normal 100 2" xfId="1965"/>
    <cellStyle name="Normal 100 2 2" xfId="10730"/>
    <cellStyle name="Normal 100 2 3" xfId="16454"/>
    <cellStyle name="Normal 101" xfId="1966"/>
    <cellStyle name="Normal 101 2" xfId="1967"/>
    <cellStyle name="Normal 101 2 2" xfId="10731"/>
    <cellStyle name="Normal 101 2 3" xfId="16455"/>
    <cellStyle name="Normal 102" xfId="1968"/>
    <cellStyle name="Normal 103" xfId="1969"/>
    <cellStyle name="Normal 104" xfId="1970"/>
    <cellStyle name="Normal 105" xfId="1971"/>
    <cellStyle name="Normal 106" xfId="1972"/>
    <cellStyle name="Normal 107" xfId="1973"/>
    <cellStyle name="Normal 108" xfId="1974"/>
    <cellStyle name="Normal 109" xfId="1975"/>
    <cellStyle name="Normal 11" xfId="330"/>
    <cellStyle name="Normal 11 10" xfId="1976"/>
    <cellStyle name="Normal 11 10 2" xfId="1977"/>
    <cellStyle name="Normal 11 10 2 2" xfId="1978"/>
    <cellStyle name="Normal 11 10 2 2 2" xfId="10734"/>
    <cellStyle name="Normal 11 10 2 2 3" xfId="16458"/>
    <cellStyle name="Normal 11 10 2 3" xfId="1979"/>
    <cellStyle name="Normal 11 10 2 3 2" xfId="10735"/>
    <cellStyle name="Normal 11 10 2 3 3" xfId="16459"/>
    <cellStyle name="Normal 11 10 2 4" xfId="1980"/>
    <cellStyle name="Normal 11 10 2 4 2" xfId="10736"/>
    <cellStyle name="Normal 11 10 2 4 3" xfId="16460"/>
    <cellStyle name="Normal 11 10 2 5" xfId="1981"/>
    <cellStyle name="Normal 11 10 2 5 2" xfId="10737"/>
    <cellStyle name="Normal 11 10 2 5 3" xfId="16461"/>
    <cellStyle name="Normal 11 10 2 6" xfId="10733"/>
    <cellStyle name="Normal 11 10 2 7" xfId="16457"/>
    <cellStyle name="Normal 11 10 2_LNG &amp; LPG rework" xfId="6777"/>
    <cellStyle name="Normal 11 10 3" xfId="1982"/>
    <cellStyle name="Normal 11 10 3 2" xfId="1983"/>
    <cellStyle name="Normal 11 10 3 2 2" xfId="10739"/>
    <cellStyle name="Normal 11 10 3 2 3" xfId="16463"/>
    <cellStyle name="Normal 11 10 3 3" xfId="1984"/>
    <cellStyle name="Normal 11 10 3 3 2" xfId="10740"/>
    <cellStyle name="Normal 11 10 3 3 3" xfId="16464"/>
    <cellStyle name="Normal 11 10 3 4" xfId="1985"/>
    <cellStyle name="Normal 11 10 3 4 2" xfId="10741"/>
    <cellStyle name="Normal 11 10 3 4 3" xfId="16465"/>
    <cellStyle name="Normal 11 10 3 5" xfId="1986"/>
    <cellStyle name="Normal 11 10 3 5 2" xfId="10742"/>
    <cellStyle name="Normal 11 10 3 5 3" xfId="16466"/>
    <cellStyle name="Normal 11 10 3 6" xfId="10738"/>
    <cellStyle name="Normal 11 10 3 7" xfId="16462"/>
    <cellStyle name="Normal 11 10 3_LNG &amp; LPG rework" xfId="6778"/>
    <cellStyle name="Normal 11 10 4" xfId="1987"/>
    <cellStyle name="Normal 11 10 4 2" xfId="10743"/>
    <cellStyle name="Normal 11 10 4 3" xfId="16467"/>
    <cellStyle name="Normal 11 10 5" xfId="1988"/>
    <cellStyle name="Normal 11 10 5 2" xfId="10744"/>
    <cellStyle name="Normal 11 10 5 3" xfId="16468"/>
    <cellStyle name="Normal 11 10 6" xfId="1989"/>
    <cellStyle name="Normal 11 10 6 2" xfId="10745"/>
    <cellStyle name="Normal 11 10 6 3" xfId="16469"/>
    <cellStyle name="Normal 11 10 7" xfId="1990"/>
    <cellStyle name="Normal 11 10 7 2" xfId="10746"/>
    <cellStyle name="Normal 11 10 7 3" xfId="16470"/>
    <cellStyle name="Normal 11 10 8" xfId="10732"/>
    <cellStyle name="Normal 11 10 9" xfId="16456"/>
    <cellStyle name="Normal 11 10_LNG &amp; LPG rework" xfId="6705"/>
    <cellStyle name="Normal 11 11" xfId="1991"/>
    <cellStyle name="Normal 11 11 2" xfId="1992"/>
    <cellStyle name="Normal 11 11 2 2" xfId="1993"/>
    <cellStyle name="Normal 11 11 2 2 2" xfId="10749"/>
    <cellStyle name="Normal 11 11 2 2 3" xfId="16473"/>
    <cellStyle name="Normal 11 11 2 3" xfId="1994"/>
    <cellStyle name="Normal 11 11 2 3 2" xfId="10750"/>
    <cellStyle name="Normal 11 11 2 3 3" xfId="16474"/>
    <cellStyle name="Normal 11 11 2 4" xfId="1995"/>
    <cellStyle name="Normal 11 11 2 4 2" xfId="10751"/>
    <cellStyle name="Normal 11 11 2 4 3" xfId="16475"/>
    <cellStyle name="Normal 11 11 2 5" xfId="1996"/>
    <cellStyle name="Normal 11 11 2 5 2" xfId="10752"/>
    <cellStyle name="Normal 11 11 2 5 3" xfId="16476"/>
    <cellStyle name="Normal 11 11 2 6" xfId="10748"/>
    <cellStyle name="Normal 11 11 2 7" xfId="16472"/>
    <cellStyle name="Normal 11 11 2_LNG &amp; LPG rework" xfId="6703"/>
    <cellStyle name="Normal 11 11 3" xfId="1997"/>
    <cellStyle name="Normal 11 11 3 2" xfId="1998"/>
    <cellStyle name="Normal 11 11 3 2 2" xfId="10754"/>
    <cellStyle name="Normal 11 11 3 2 3" xfId="16478"/>
    <cellStyle name="Normal 11 11 3 3" xfId="1999"/>
    <cellStyle name="Normal 11 11 3 3 2" xfId="10755"/>
    <cellStyle name="Normal 11 11 3 3 3" xfId="16479"/>
    <cellStyle name="Normal 11 11 3 4" xfId="2000"/>
    <cellStyle name="Normal 11 11 3 4 2" xfId="10756"/>
    <cellStyle name="Normal 11 11 3 4 3" xfId="16480"/>
    <cellStyle name="Normal 11 11 3 5" xfId="2001"/>
    <cellStyle name="Normal 11 11 3 5 2" xfId="10757"/>
    <cellStyle name="Normal 11 11 3 5 3" xfId="16481"/>
    <cellStyle name="Normal 11 11 3 6" xfId="10753"/>
    <cellStyle name="Normal 11 11 3 7" xfId="16477"/>
    <cellStyle name="Normal 11 11 3_LNG &amp; LPG rework" xfId="6779"/>
    <cellStyle name="Normal 11 11 4" xfId="2002"/>
    <cellStyle name="Normal 11 11 4 2" xfId="10758"/>
    <cellStyle name="Normal 11 11 4 3" xfId="16482"/>
    <cellStyle name="Normal 11 11 5" xfId="2003"/>
    <cellStyle name="Normal 11 11 5 2" xfId="10759"/>
    <cellStyle name="Normal 11 11 5 3" xfId="16483"/>
    <cellStyle name="Normal 11 11 6" xfId="2004"/>
    <cellStyle name="Normal 11 11 6 2" xfId="10760"/>
    <cellStyle name="Normal 11 11 6 3" xfId="16484"/>
    <cellStyle name="Normal 11 11 7" xfId="2005"/>
    <cellStyle name="Normal 11 11 7 2" xfId="10761"/>
    <cellStyle name="Normal 11 11 7 3" xfId="16485"/>
    <cellStyle name="Normal 11 11 8" xfId="10747"/>
    <cellStyle name="Normal 11 11 9" xfId="16471"/>
    <cellStyle name="Normal 11 11_LNG &amp; LPG rework" xfId="6704"/>
    <cellStyle name="Normal 11 12" xfId="2006"/>
    <cellStyle name="Normal 11 12 2" xfId="2007"/>
    <cellStyle name="Normal 11 12 2 2" xfId="2008"/>
    <cellStyle name="Normal 11 12 2 2 2" xfId="10764"/>
    <cellStyle name="Normal 11 12 2 2 3" xfId="16488"/>
    <cellStyle name="Normal 11 12 2 3" xfId="2009"/>
    <cellStyle name="Normal 11 12 2 3 2" xfId="10765"/>
    <cellStyle name="Normal 11 12 2 3 3" xfId="16489"/>
    <cellStyle name="Normal 11 12 2 4" xfId="2010"/>
    <cellStyle name="Normal 11 12 2 4 2" xfId="10766"/>
    <cellStyle name="Normal 11 12 2 4 3" xfId="16490"/>
    <cellStyle name="Normal 11 12 2 5" xfId="2011"/>
    <cellStyle name="Normal 11 12 2 5 2" xfId="10767"/>
    <cellStyle name="Normal 11 12 2 5 3" xfId="16491"/>
    <cellStyle name="Normal 11 12 2 6" xfId="10763"/>
    <cellStyle name="Normal 11 12 2 7" xfId="16487"/>
    <cellStyle name="Normal 11 12 2_LNG &amp; LPG rework" xfId="6780"/>
    <cellStyle name="Normal 11 12 3" xfId="2012"/>
    <cellStyle name="Normal 11 12 3 2" xfId="2013"/>
    <cellStyle name="Normal 11 12 3 2 2" xfId="10769"/>
    <cellStyle name="Normal 11 12 3 2 3" xfId="16493"/>
    <cellStyle name="Normal 11 12 3 3" xfId="2014"/>
    <cellStyle name="Normal 11 12 3 3 2" xfId="10770"/>
    <cellStyle name="Normal 11 12 3 3 3" xfId="16494"/>
    <cellStyle name="Normal 11 12 3 4" xfId="2015"/>
    <cellStyle name="Normal 11 12 3 4 2" xfId="10771"/>
    <cellStyle name="Normal 11 12 3 4 3" xfId="16495"/>
    <cellStyle name="Normal 11 12 3 5" xfId="2016"/>
    <cellStyle name="Normal 11 12 3 5 2" xfId="10772"/>
    <cellStyle name="Normal 11 12 3 5 3" xfId="16496"/>
    <cellStyle name="Normal 11 12 3 6" xfId="10768"/>
    <cellStyle name="Normal 11 12 3 7" xfId="16492"/>
    <cellStyle name="Normal 11 12 3_LNG &amp; LPG rework" xfId="6782"/>
    <cellStyle name="Normal 11 12 4" xfId="2017"/>
    <cellStyle name="Normal 11 12 4 2" xfId="10773"/>
    <cellStyle name="Normal 11 12 4 3" xfId="16497"/>
    <cellStyle name="Normal 11 12 5" xfId="2018"/>
    <cellStyle name="Normal 11 12 5 2" xfId="10774"/>
    <cellStyle name="Normal 11 12 5 3" xfId="16498"/>
    <cellStyle name="Normal 11 12 6" xfId="2019"/>
    <cellStyle name="Normal 11 12 6 2" xfId="10775"/>
    <cellStyle name="Normal 11 12 6 3" xfId="16499"/>
    <cellStyle name="Normal 11 12 7" xfId="2020"/>
    <cellStyle name="Normal 11 12 7 2" xfId="10776"/>
    <cellStyle name="Normal 11 12 7 3" xfId="16500"/>
    <cellStyle name="Normal 11 12 8" xfId="10762"/>
    <cellStyle name="Normal 11 12 9" xfId="16486"/>
    <cellStyle name="Normal 11 12_LNG &amp; LPG rework" xfId="6781"/>
    <cellStyle name="Normal 11 13" xfId="2021"/>
    <cellStyle name="Normal 11 13 2" xfId="2022"/>
    <cellStyle name="Normal 11 13 2 2" xfId="2023"/>
    <cellStyle name="Normal 11 13 2 2 2" xfId="10779"/>
    <cellStyle name="Normal 11 13 2 2 3" xfId="16503"/>
    <cellStyle name="Normal 11 13 2 3" xfId="2024"/>
    <cellStyle name="Normal 11 13 2 3 2" xfId="10780"/>
    <cellStyle name="Normal 11 13 2 3 3" xfId="16504"/>
    <cellStyle name="Normal 11 13 2 4" xfId="2025"/>
    <cellStyle name="Normal 11 13 2 4 2" xfId="10781"/>
    <cellStyle name="Normal 11 13 2 4 3" xfId="16505"/>
    <cellStyle name="Normal 11 13 2 5" xfId="2026"/>
    <cellStyle name="Normal 11 13 2 5 2" xfId="10782"/>
    <cellStyle name="Normal 11 13 2 5 3" xfId="16506"/>
    <cellStyle name="Normal 11 13 2 6" xfId="10778"/>
    <cellStyle name="Normal 11 13 2 7" xfId="16502"/>
    <cellStyle name="Normal 11 13 2_LNG &amp; LPG rework" xfId="6784"/>
    <cellStyle name="Normal 11 13 3" xfId="2027"/>
    <cellStyle name="Normal 11 13 3 2" xfId="2028"/>
    <cellStyle name="Normal 11 13 3 2 2" xfId="10784"/>
    <cellStyle name="Normal 11 13 3 2 3" xfId="16508"/>
    <cellStyle name="Normal 11 13 3 3" xfId="2029"/>
    <cellStyle name="Normal 11 13 3 3 2" xfId="10785"/>
    <cellStyle name="Normal 11 13 3 3 3" xfId="16509"/>
    <cellStyle name="Normal 11 13 3 4" xfId="2030"/>
    <cellStyle name="Normal 11 13 3 4 2" xfId="10786"/>
    <cellStyle name="Normal 11 13 3 4 3" xfId="16510"/>
    <cellStyle name="Normal 11 13 3 5" xfId="2031"/>
    <cellStyle name="Normal 11 13 3 5 2" xfId="10787"/>
    <cellStyle name="Normal 11 13 3 5 3" xfId="16511"/>
    <cellStyle name="Normal 11 13 3 6" xfId="10783"/>
    <cellStyle name="Normal 11 13 3 7" xfId="16507"/>
    <cellStyle name="Normal 11 13 3_LNG &amp; LPG rework" xfId="6785"/>
    <cellStyle name="Normal 11 13 4" xfId="2032"/>
    <cellStyle name="Normal 11 13 4 2" xfId="10788"/>
    <cellStyle name="Normal 11 13 4 3" xfId="16512"/>
    <cellStyle name="Normal 11 13 5" xfId="2033"/>
    <cellStyle name="Normal 11 13 5 2" xfId="10789"/>
    <cellStyle name="Normal 11 13 5 3" xfId="16513"/>
    <cellStyle name="Normal 11 13 6" xfId="2034"/>
    <cellStyle name="Normal 11 13 6 2" xfId="10790"/>
    <cellStyle name="Normal 11 13 6 3" xfId="16514"/>
    <cellStyle name="Normal 11 13 7" xfId="2035"/>
    <cellStyle name="Normal 11 13 7 2" xfId="10791"/>
    <cellStyle name="Normal 11 13 7 3" xfId="16515"/>
    <cellStyle name="Normal 11 13 8" xfId="10777"/>
    <cellStyle name="Normal 11 13 9" xfId="16501"/>
    <cellStyle name="Normal 11 13_LNG &amp; LPG rework" xfId="6783"/>
    <cellStyle name="Normal 11 14" xfId="2036"/>
    <cellStyle name="Normal 11 14 2" xfId="2037"/>
    <cellStyle name="Normal 11 14 2 2" xfId="2038"/>
    <cellStyle name="Normal 11 14 2 2 2" xfId="10794"/>
    <cellStyle name="Normal 11 14 2 2 3" xfId="16518"/>
    <cellStyle name="Normal 11 14 2 3" xfId="2039"/>
    <cellStyle name="Normal 11 14 2 3 2" xfId="10795"/>
    <cellStyle name="Normal 11 14 2 3 3" xfId="16519"/>
    <cellStyle name="Normal 11 14 2 4" xfId="2040"/>
    <cellStyle name="Normal 11 14 2 4 2" xfId="10796"/>
    <cellStyle name="Normal 11 14 2 4 3" xfId="16520"/>
    <cellStyle name="Normal 11 14 2 5" xfId="2041"/>
    <cellStyle name="Normal 11 14 2 5 2" xfId="10797"/>
    <cellStyle name="Normal 11 14 2 5 3" xfId="16521"/>
    <cellStyle name="Normal 11 14 2 6" xfId="10793"/>
    <cellStyle name="Normal 11 14 2 7" xfId="16517"/>
    <cellStyle name="Normal 11 14 2_LNG &amp; LPG rework" xfId="6786"/>
    <cellStyle name="Normal 11 14 3" xfId="2042"/>
    <cellStyle name="Normal 11 14 3 2" xfId="2043"/>
    <cellStyle name="Normal 11 14 3 2 2" xfId="10799"/>
    <cellStyle name="Normal 11 14 3 2 3" xfId="16523"/>
    <cellStyle name="Normal 11 14 3 3" xfId="2044"/>
    <cellStyle name="Normal 11 14 3 3 2" xfId="10800"/>
    <cellStyle name="Normal 11 14 3 3 3" xfId="16524"/>
    <cellStyle name="Normal 11 14 3 4" xfId="2045"/>
    <cellStyle name="Normal 11 14 3 4 2" xfId="10801"/>
    <cellStyle name="Normal 11 14 3 4 3" xfId="16525"/>
    <cellStyle name="Normal 11 14 3 5" xfId="2046"/>
    <cellStyle name="Normal 11 14 3 5 2" xfId="10802"/>
    <cellStyle name="Normal 11 14 3 5 3" xfId="16526"/>
    <cellStyle name="Normal 11 14 3 6" xfId="10798"/>
    <cellStyle name="Normal 11 14 3 7" xfId="16522"/>
    <cellStyle name="Normal 11 14 3_LNG &amp; LPG rework" xfId="6701"/>
    <cellStyle name="Normal 11 14 4" xfId="2047"/>
    <cellStyle name="Normal 11 14 4 2" xfId="10803"/>
    <cellStyle name="Normal 11 14 4 3" xfId="16527"/>
    <cellStyle name="Normal 11 14 5" xfId="2048"/>
    <cellStyle name="Normal 11 14 5 2" xfId="10804"/>
    <cellStyle name="Normal 11 14 5 3" xfId="16528"/>
    <cellStyle name="Normal 11 14 6" xfId="2049"/>
    <cellStyle name="Normal 11 14 6 2" xfId="10805"/>
    <cellStyle name="Normal 11 14 6 3" xfId="16529"/>
    <cellStyle name="Normal 11 14 7" xfId="2050"/>
    <cellStyle name="Normal 11 14 7 2" xfId="10806"/>
    <cellStyle name="Normal 11 14 7 3" xfId="16530"/>
    <cellStyle name="Normal 11 14 8" xfId="10792"/>
    <cellStyle name="Normal 11 14 9" xfId="16516"/>
    <cellStyle name="Normal 11 14_LNG &amp; LPG rework" xfId="6702"/>
    <cellStyle name="Normal 11 15" xfId="2051"/>
    <cellStyle name="Normal 11 15 2" xfId="2052"/>
    <cellStyle name="Normal 11 15 2 2" xfId="2053"/>
    <cellStyle name="Normal 11 15 2 2 2" xfId="10809"/>
    <cellStyle name="Normal 11 15 2 2 3" xfId="16533"/>
    <cellStyle name="Normal 11 15 2 3" xfId="2054"/>
    <cellStyle name="Normal 11 15 2 3 2" xfId="10810"/>
    <cellStyle name="Normal 11 15 2 3 3" xfId="16534"/>
    <cellStyle name="Normal 11 15 2 4" xfId="2055"/>
    <cellStyle name="Normal 11 15 2 4 2" xfId="10811"/>
    <cellStyle name="Normal 11 15 2 4 3" xfId="16535"/>
    <cellStyle name="Normal 11 15 2 5" xfId="2056"/>
    <cellStyle name="Normal 11 15 2 5 2" xfId="10812"/>
    <cellStyle name="Normal 11 15 2 5 3" xfId="16536"/>
    <cellStyle name="Normal 11 15 2 6" xfId="10808"/>
    <cellStyle name="Normal 11 15 2 7" xfId="16532"/>
    <cellStyle name="Normal 11 15 2_LNG &amp; LPG rework" xfId="6787"/>
    <cellStyle name="Normal 11 15 3" xfId="2057"/>
    <cellStyle name="Normal 11 15 3 2" xfId="2058"/>
    <cellStyle name="Normal 11 15 3 2 2" xfId="10814"/>
    <cellStyle name="Normal 11 15 3 2 3" xfId="16538"/>
    <cellStyle name="Normal 11 15 3 3" xfId="2059"/>
    <cellStyle name="Normal 11 15 3 3 2" xfId="10815"/>
    <cellStyle name="Normal 11 15 3 3 3" xfId="16539"/>
    <cellStyle name="Normal 11 15 3 4" xfId="2060"/>
    <cellStyle name="Normal 11 15 3 4 2" xfId="10816"/>
    <cellStyle name="Normal 11 15 3 4 3" xfId="16540"/>
    <cellStyle name="Normal 11 15 3 5" xfId="2061"/>
    <cellStyle name="Normal 11 15 3 5 2" xfId="10817"/>
    <cellStyle name="Normal 11 15 3 5 3" xfId="16541"/>
    <cellStyle name="Normal 11 15 3 6" xfId="10813"/>
    <cellStyle name="Normal 11 15 3 7" xfId="16537"/>
    <cellStyle name="Normal 11 15 3_LNG &amp; LPG rework" xfId="6788"/>
    <cellStyle name="Normal 11 15 4" xfId="2062"/>
    <cellStyle name="Normal 11 15 4 2" xfId="10818"/>
    <cellStyle name="Normal 11 15 4 3" xfId="16542"/>
    <cellStyle name="Normal 11 15 5" xfId="2063"/>
    <cellStyle name="Normal 11 15 5 2" xfId="10819"/>
    <cellStyle name="Normal 11 15 5 3" xfId="16543"/>
    <cellStyle name="Normal 11 15 6" xfId="2064"/>
    <cellStyle name="Normal 11 15 6 2" xfId="10820"/>
    <cellStyle name="Normal 11 15 6 3" xfId="16544"/>
    <cellStyle name="Normal 11 15 7" xfId="2065"/>
    <cellStyle name="Normal 11 15 7 2" xfId="10821"/>
    <cellStyle name="Normal 11 15 7 3" xfId="16545"/>
    <cellStyle name="Normal 11 15 8" xfId="10807"/>
    <cellStyle name="Normal 11 15 9" xfId="16531"/>
    <cellStyle name="Normal 11 15_LNG &amp; LPG rework" xfId="6700"/>
    <cellStyle name="Normal 11 16" xfId="2066"/>
    <cellStyle name="Normal 11 16 2" xfId="2067"/>
    <cellStyle name="Normal 11 16 2 2" xfId="2068"/>
    <cellStyle name="Normal 11 16 2 2 2" xfId="10824"/>
    <cellStyle name="Normal 11 16 2 2 3" xfId="16548"/>
    <cellStyle name="Normal 11 16 2 3" xfId="2069"/>
    <cellStyle name="Normal 11 16 2 3 2" xfId="10825"/>
    <cellStyle name="Normal 11 16 2 3 3" xfId="16549"/>
    <cellStyle name="Normal 11 16 2 4" xfId="2070"/>
    <cellStyle name="Normal 11 16 2 4 2" xfId="10826"/>
    <cellStyle name="Normal 11 16 2 4 3" xfId="16550"/>
    <cellStyle name="Normal 11 16 2 5" xfId="2071"/>
    <cellStyle name="Normal 11 16 2 5 2" xfId="10827"/>
    <cellStyle name="Normal 11 16 2 5 3" xfId="16551"/>
    <cellStyle name="Normal 11 16 2 6" xfId="10823"/>
    <cellStyle name="Normal 11 16 2 7" xfId="16547"/>
    <cellStyle name="Normal 11 16 2_LNG &amp; LPG rework" xfId="6790"/>
    <cellStyle name="Normal 11 16 3" xfId="2072"/>
    <cellStyle name="Normal 11 16 3 2" xfId="2073"/>
    <cellStyle name="Normal 11 16 3 2 2" xfId="10829"/>
    <cellStyle name="Normal 11 16 3 2 3" xfId="16553"/>
    <cellStyle name="Normal 11 16 3 3" xfId="2074"/>
    <cellStyle name="Normal 11 16 3 3 2" xfId="10830"/>
    <cellStyle name="Normal 11 16 3 3 3" xfId="16554"/>
    <cellStyle name="Normal 11 16 3 4" xfId="2075"/>
    <cellStyle name="Normal 11 16 3 4 2" xfId="10831"/>
    <cellStyle name="Normal 11 16 3 4 3" xfId="16555"/>
    <cellStyle name="Normal 11 16 3 5" xfId="2076"/>
    <cellStyle name="Normal 11 16 3 5 2" xfId="10832"/>
    <cellStyle name="Normal 11 16 3 5 3" xfId="16556"/>
    <cellStyle name="Normal 11 16 3 6" xfId="10828"/>
    <cellStyle name="Normal 11 16 3 7" xfId="16552"/>
    <cellStyle name="Normal 11 16 3_LNG &amp; LPG rework" xfId="6791"/>
    <cellStyle name="Normal 11 16 4" xfId="2077"/>
    <cellStyle name="Normal 11 16 4 2" xfId="10833"/>
    <cellStyle name="Normal 11 16 4 3" xfId="16557"/>
    <cellStyle name="Normal 11 16 5" xfId="2078"/>
    <cellStyle name="Normal 11 16 5 2" xfId="10834"/>
    <cellStyle name="Normal 11 16 5 3" xfId="16558"/>
    <cellStyle name="Normal 11 16 6" xfId="2079"/>
    <cellStyle name="Normal 11 16 6 2" xfId="10835"/>
    <cellStyle name="Normal 11 16 6 3" xfId="16559"/>
    <cellStyle name="Normal 11 16 7" xfId="2080"/>
    <cellStyle name="Normal 11 16 7 2" xfId="10836"/>
    <cellStyle name="Normal 11 16 7 3" xfId="16560"/>
    <cellStyle name="Normal 11 16 8" xfId="10822"/>
    <cellStyle name="Normal 11 16 9" xfId="16546"/>
    <cellStyle name="Normal 11 16_LNG &amp; LPG rework" xfId="6789"/>
    <cellStyle name="Normal 11 17" xfId="2081"/>
    <cellStyle name="Normal 11 17 2" xfId="2082"/>
    <cellStyle name="Normal 11 17 2 2" xfId="2083"/>
    <cellStyle name="Normal 11 17 2 2 2" xfId="10839"/>
    <cellStyle name="Normal 11 17 2 2 3" xfId="16563"/>
    <cellStyle name="Normal 11 17 2 3" xfId="2084"/>
    <cellStyle name="Normal 11 17 2 3 2" xfId="10840"/>
    <cellStyle name="Normal 11 17 2 3 3" xfId="16564"/>
    <cellStyle name="Normal 11 17 2 4" xfId="2085"/>
    <cellStyle name="Normal 11 17 2 4 2" xfId="10841"/>
    <cellStyle name="Normal 11 17 2 4 3" xfId="16565"/>
    <cellStyle name="Normal 11 17 2 5" xfId="2086"/>
    <cellStyle name="Normal 11 17 2 5 2" xfId="10842"/>
    <cellStyle name="Normal 11 17 2 5 3" xfId="16566"/>
    <cellStyle name="Normal 11 17 2 6" xfId="10838"/>
    <cellStyle name="Normal 11 17 2 7" xfId="16562"/>
    <cellStyle name="Normal 11 17 2_LNG &amp; LPG rework" xfId="6793"/>
    <cellStyle name="Normal 11 17 3" xfId="2087"/>
    <cellStyle name="Normal 11 17 3 2" xfId="2088"/>
    <cellStyle name="Normal 11 17 3 2 2" xfId="10844"/>
    <cellStyle name="Normal 11 17 3 2 3" xfId="16568"/>
    <cellStyle name="Normal 11 17 3 3" xfId="2089"/>
    <cellStyle name="Normal 11 17 3 3 2" xfId="10845"/>
    <cellStyle name="Normal 11 17 3 3 3" xfId="16569"/>
    <cellStyle name="Normal 11 17 3 4" xfId="2090"/>
    <cellStyle name="Normal 11 17 3 4 2" xfId="10846"/>
    <cellStyle name="Normal 11 17 3 4 3" xfId="16570"/>
    <cellStyle name="Normal 11 17 3 5" xfId="2091"/>
    <cellStyle name="Normal 11 17 3 5 2" xfId="10847"/>
    <cellStyle name="Normal 11 17 3 5 3" xfId="16571"/>
    <cellStyle name="Normal 11 17 3 6" xfId="10843"/>
    <cellStyle name="Normal 11 17 3 7" xfId="16567"/>
    <cellStyle name="Normal 11 17 3_LNG &amp; LPG rework" xfId="6699"/>
    <cellStyle name="Normal 11 17 4" xfId="2092"/>
    <cellStyle name="Normal 11 17 4 2" xfId="10848"/>
    <cellStyle name="Normal 11 17 4 3" xfId="16572"/>
    <cellStyle name="Normal 11 17 5" xfId="2093"/>
    <cellStyle name="Normal 11 17 5 2" xfId="10849"/>
    <cellStyle name="Normal 11 17 5 3" xfId="16573"/>
    <cellStyle name="Normal 11 17 6" xfId="2094"/>
    <cellStyle name="Normal 11 17 6 2" xfId="10850"/>
    <cellStyle name="Normal 11 17 6 3" xfId="16574"/>
    <cellStyle name="Normal 11 17 7" xfId="2095"/>
    <cellStyle name="Normal 11 17 7 2" xfId="10851"/>
    <cellStyle name="Normal 11 17 7 3" xfId="16575"/>
    <cellStyle name="Normal 11 17 8" xfId="10837"/>
    <cellStyle name="Normal 11 17 9" xfId="16561"/>
    <cellStyle name="Normal 11 17_LNG &amp; LPG rework" xfId="6792"/>
    <cellStyle name="Normal 11 18" xfId="2096"/>
    <cellStyle name="Normal 11 18 2" xfId="2097"/>
    <cellStyle name="Normal 11 18 2 2" xfId="2098"/>
    <cellStyle name="Normal 11 18 2 2 2" xfId="10854"/>
    <cellStyle name="Normal 11 18 2 2 3" xfId="16578"/>
    <cellStyle name="Normal 11 18 2 3" xfId="2099"/>
    <cellStyle name="Normal 11 18 2 3 2" xfId="10855"/>
    <cellStyle name="Normal 11 18 2 3 3" xfId="16579"/>
    <cellStyle name="Normal 11 18 2 4" xfId="2100"/>
    <cellStyle name="Normal 11 18 2 4 2" xfId="10856"/>
    <cellStyle name="Normal 11 18 2 4 3" xfId="16580"/>
    <cellStyle name="Normal 11 18 2 5" xfId="2101"/>
    <cellStyle name="Normal 11 18 2 5 2" xfId="10857"/>
    <cellStyle name="Normal 11 18 2 5 3" xfId="16581"/>
    <cellStyle name="Normal 11 18 2 6" xfId="10853"/>
    <cellStyle name="Normal 11 18 2 7" xfId="16577"/>
    <cellStyle name="Normal 11 18 2_LNG &amp; LPG rework" xfId="6794"/>
    <cellStyle name="Normal 11 18 3" xfId="2102"/>
    <cellStyle name="Normal 11 18 3 2" xfId="2103"/>
    <cellStyle name="Normal 11 18 3 2 2" xfId="10859"/>
    <cellStyle name="Normal 11 18 3 2 3" xfId="16583"/>
    <cellStyle name="Normal 11 18 3 3" xfId="2104"/>
    <cellStyle name="Normal 11 18 3 3 2" xfId="10860"/>
    <cellStyle name="Normal 11 18 3 3 3" xfId="16584"/>
    <cellStyle name="Normal 11 18 3 4" xfId="2105"/>
    <cellStyle name="Normal 11 18 3 4 2" xfId="10861"/>
    <cellStyle name="Normal 11 18 3 4 3" xfId="16585"/>
    <cellStyle name="Normal 11 18 3 5" xfId="2106"/>
    <cellStyle name="Normal 11 18 3 5 2" xfId="10862"/>
    <cellStyle name="Normal 11 18 3 5 3" xfId="16586"/>
    <cellStyle name="Normal 11 18 3 6" xfId="10858"/>
    <cellStyle name="Normal 11 18 3 7" xfId="16582"/>
    <cellStyle name="Normal 11 18 3_LNG &amp; LPG rework" xfId="6796"/>
    <cellStyle name="Normal 11 18 4" xfId="2107"/>
    <cellStyle name="Normal 11 18 4 2" xfId="10863"/>
    <cellStyle name="Normal 11 18 4 3" xfId="16587"/>
    <cellStyle name="Normal 11 18 5" xfId="2108"/>
    <cellStyle name="Normal 11 18 5 2" xfId="10864"/>
    <cellStyle name="Normal 11 18 5 3" xfId="16588"/>
    <cellStyle name="Normal 11 18 6" xfId="2109"/>
    <cellStyle name="Normal 11 18 6 2" xfId="10865"/>
    <cellStyle name="Normal 11 18 6 3" xfId="16589"/>
    <cellStyle name="Normal 11 18 7" xfId="2110"/>
    <cellStyle name="Normal 11 18 7 2" xfId="10866"/>
    <cellStyle name="Normal 11 18 7 3" xfId="16590"/>
    <cellStyle name="Normal 11 18 8" xfId="10852"/>
    <cellStyle name="Normal 11 18 9" xfId="16576"/>
    <cellStyle name="Normal 11 18_LNG &amp; LPG rework" xfId="6795"/>
    <cellStyle name="Normal 11 19" xfId="2111"/>
    <cellStyle name="Normal 11 19 2" xfId="2112"/>
    <cellStyle name="Normal 11 19 2 2" xfId="2113"/>
    <cellStyle name="Normal 11 19 2 2 2" xfId="10869"/>
    <cellStyle name="Normal 11 19 2 2 3" xfId="16593"/>
    <cellStyle name="Normal 11 19 2 3" xfId="2114"/>
    <cellStyle name="Normal 11 19 2 3 2" xfId="10870"/>
    <cellStyle name="Normal 11 19 2 3 3" xfId="16594"/>
    <cellStyle name="Normal 11 19 2 4" xfId="2115"/>
    <cellStyle name="Normal 11 19 2 4 2" xfId="10871"/>
    <cellStyle name="Normal 11 19 2 4 3" xfId="16595"/>
    <cellStyle name="Normal 11 19 2 5" xfId="2116"/>
    <cellStyle name="Normal 11 19 2 5 2" xfId="10872"/>
    <cellStyle name="Normal 11 19 2 5 3" xfId="16596"/>
    <cellStyle name="Normal 11 19 2 6" xfId="10868"/>
    <cellStyle name="Normal 11 19 2 7" xfId="16592"/>
    <cellStyle name="Normal 11 19 2_LNG &amp; LPG rework" xfId="6697"/>
    <cellStyle name="Normal 11 19 3" xfId="2117"/>
    <cellStyle name="Normal 11 19 3 2" xfId="2118"/>
    <cellStyle name="Normal 11 19 3 2 2" xfId="10874"/>
    <cellStyle name="Normal 11 19 3 2 3" xfId="16598"/>
    <cellStyle name="Normal 11 19 3 3" xfId="2119"/>
    <cellStyle name="Normal 11 19 3 3 2" xfId="10875"/>
    <cellStyle name="Normal 11 19 3 3 3" xfId="16599"/>
    <cellStyle name="Normal 11 19 3 4" xfId="2120"/>
    <cellStyle name="Normal 11 19 3 4 2" xfId="10876"/>
    <cellStyle name="Normal 11 19 3 4 3" xfId="16600"/>
    <cellStyle name="Normal 11 19 3 5" xfId="2121"/>
    <cellStyle name="Normal 11 19 3 5 2" xfId="10877"/>
    <cellStyle name="Normal 11 19 3 5 3" xfId="16601"/>
    <cellStyle name="Normal 11 19 3 6" xfId="10873"/>
    <cellStyle name="Normal 11 19 3 7" xfId="16597"/>
    <cellStyle name="Normal 11 19 3_LNG &amp; LPG rework" xfId="6696"/>
    <cellStyle name="Normal 11 19 4" xfId="2122"/>
    <cellStyle name="Normal 11 19 4 2" xfId="10878"/>
    <cellStyle name="Normal 11 19 4 3" xfId="16602"/>
    <cellStyle name="Normal 11 19 5" xfId="2123"/>
    <cellStyle name="Normal 11 19 5 2" xfId="10879"/>
    <cellStyle name="Normal 11 19 5 3" xfId="16603"/>
    <cellStyle name="Normal 11 19 6" xfId="2124"/>
    <cellStyle name="Normal 11 19 6 2" xfId="10880"/>
    <cellStyle name="Normal 11 19 6 3" xfId="16604"/>
    <cellStyle name="Normal 11 19 7" xfId="2125"/>
    <cellStyle name="Normal 11 19 7 2" xfId="10881"/>
    <cellStyle name="Normal 11 19 7 3" xfId="16605"/>
    <cellStyle name="Normal 11 19 8" xfId="10867"/>
    <cellStyle name="Normal 11 19 9" xfId="16591"/>
    <cellStyle name="Normal 11 19_LNG &amp; LPG rework" xfId="6698"/>
    <cellStyle name="Normal 11 2" xfId="331"/>
    <cellStyle name="Normal 11 2 10" xfId="2126"/>
    <cellStyle name="Normal 11 2 10 2" xfId="10882"/>
    <cellStyle name="Normal 11 2 10 3" xfId="16607"/>
    <cellStyle name="Normal 11 2 11" xfId="2127"/>
    <cellStyle name="Normal 11 2 11 2" xfId="10883"/>
    <cellStyle name="Normal 11 2 11 3" xfId="16608"/>
    <cellStyle name="Normal 11 2 12" xfId="9180"/>
    <cellStyle name="Normal 11 2 13" xfId="16606"/>
    <cellStyle name="Normal 11 2 2" xfId="332"/>
    <cellStyle name="Normal 11 2 2 10" xfId="2128"/>
    <cellStyle name="Normal 11 2 2 10 2" xfId="10884"/>
    <cellStyle name="Normal 11 2 2 10 3" xfId="16610"/>
    <cellStyle name="Normal 11 2 2 11" xfId="9181"/>
    <cellStyle name="Normal 11 2 2 12" xfId="16609"/>
    <cellStyle name="Normal 11 2 2 2" xfId="333"/>
    <cellStyle name="Normal 11 2 2 2 10" xfId="16611"/>
    <cellStyle name="Normal 11 2 2 2 2" xfId="334"/>
    <cellStyle name="Normal 11 2 2 2 2 2" xfId="2129"/>
    <cellStyle name="Normal 11 2 2 2 2 2 2" xfId="10885"/>
    <cellStyle name="Normal 11 2 2 2 2 2 3" xfId="16613"/>
    <cellStyle name="Normal 11 2 2 2 2 3" xfId="2130"/>
    <cellStyle name="Normal 11 2 2 2 2 3 2" xfId="10886"/>
    <cellStyle name="Normal 11 2 2 2 2 3 3" xfId="16614"/>
    <cellStyle name="Normal 11 2 2 2 2 4" xfId="2131"/>
    <cellStyle name="Normal 11 2 2 2 2 4 2" xfId="10887"/>
    <cellStyle name="Normal 11 2 2 2 2 4 3" xfId="16615"/>
    <cellStyle name="Normal 11 2 2 2 2 5" xfId="2132"/>
    <cellStyle name="Normal 11 2 2 2 2 5 2" xfId="10888"/>
    <cellStyle name="Normal 11 2 2 2 2 5 3" xfId="16616"/>
    <cellStyle name="Normal 11 2 2 2 2 6" xfId="2133"/>
    <cellStyle name="Normal 11 2 2 2 2 6 2" xfId="10889"/>
    <cellStyle name="Normal 11 2 2 2 2 6 3" xfId="16617"/>
    <cellStyle name="Normal 11 2 2 2 2 7" xfId="9183"/>
    <cellStyle name="Normal 11 2 2 2 2 8" xfId="16612"/>
    <cellStyle name="Normal 11 2 2 2 2_LNG &amp; LPG rework" xfId="6692"/>
    <cellStyle name="Normal 11 2 2 2 3" xfId="2134"/>
    <cellStyle name="Normal 11 2 2 2 3 2" xfId="2135"/>
    <cellStyle name="Normal 11 2 2 2 3 2 2" xfId="10891"/>
    <cellStyle name="Normal 11 2 2 2 3 2 3" xfId="16619"/>
    <cellStyle name="Normal 11 2 2 2 3 3" xfId="2136"/>
    <cellStyle name="Normal 11 2 2 2 3 3 2" xfId="10892"/>
    <cellStyle name="Normal 11 2 2 2 3 3 3" xfId="16620"/>
    <cellStyle name="Normal 11 2 2 2 3 4" xfId="2137"/>
    <cellStyle name="Normal 11 2 2 2 3 4 2" xfId="10893"/>
    <cellStyle name="Normal 11 2 2 2 3 4 3" xfId="16621"/>
    <cellStyle name="Normal 11 2 2 2 3 5" xfId="2138"/>
    <cellStyle name="Normal 11 2 2 2 3 5 2" xfId="10894"/>
    <cellStyle name="Normal 11 2 2 2 3 5 3" xfId="16622"/>
    <cellStyle name="Normal 11 2 2 2 3 6" xfId="10890"/>
    <cellStyle name="Normal 11 2 2 2 3 7" xfId="16618"/>
    <cellStyle name="Normal 11 2 2 2 3_LNG &amp; LPG rework" xfId="6985"/>
    <cellStyle name="Normal 11 2 2 2 4" xfId="2139"/>
    <cellStyle name="Normal 11 2 2 2 4 2" xfId="10895"/>
    <cellStyle name="Normal 11 2 2 2 4 3" xfId="16623"/>
    <cellStyle name="Normal 11 2 2 2 5" xfId="2140"/>
    <cellStyle name="Normal 11 2 2 2 5 2" xfId="10896"/>
    <cellStyle name="Normal 11 2 2 2 5 3" xfId="16624"/>
    <cellStyle name="Normal 11 2 2 2 6" xfId="2141"/>
    <cellStyle name="Normal 11 2 2 2 6 2" xfId="10897"/>
    <cellStyle name="Normal 11 2 2 2 6 3" xfId="16625"/>
    <cellStyle name="Normal 11 2 2 2 7" xfId="2142"/>
    <cellStyle name="Normal 11 2 2 2 7 2" xfId="10898"/>
    <cellStyle name="Normal 11 2 2 2 7 3" xfId="16626"/>
    <cellStyle name="Normal 11 2 2 2 8" xfId="2143"/>
    <cellStyle name="Normal 11 2 2 2 8 2" xfId="10899"/>
    <cellStyle name="Normal 11 2 2 2 8 3" xfId="16627"/>
    <cellStyle name="Normal 11 2 2 2 9" xfId="9182"/>
    <cellStyle name="Normal 11 2 2 2_LNG &amp; LPG rework" xfId="6693"/>
    <cellStyle name="Normal 11 2 2 3" xfId="335"/>
    <cellStyle name="Normal 11 2 2 3 2" xfId="2144"/>
    <cellStyle name="Normal 11 2 2 3 2 2" xfId="10900"/>
    <cellStyle name="Normal 11 2 2 3 2 3" xfId="16629"/>
    <cellStyle name="Normal 11 2 2 3 3" xfId="2145"/>
    <cellStyle name="Normal 11 2 2 3 3 2" xfId="10901"/>
    <cellStyle name="Normal 11 2 2 3 3 3" xfId="16630"/>
    <cellStyle name="Normal 11 2 2 3 4" xfId="2146"/>
    <cellStyle name="Normal 11 2 2 3 4 2" xfId="10902"/>
    <cellStyle name="Normal 11 2 2 3 4 3" xfId="16631"/>
    <cellStyle name="Normal 11 2 2 3 5" xfId="2147"/>
    <cellStyle name="Normal 11 2 2 3 5 2" xfId="10903"/>
    <cellStyle name="Normal 11 2 2 3 5 3" xfId="16632"/>
    <cellStyle name="Normal 11 2 2 3 6" xfId="2148"/>
    <cellStyle name="Normal 11 2 2 3 6 2" xfId="10904"/>
    <cellStyle name="Normal 11 2 2 3 6 3" xfId="16633"/>
    <cellStyle name="Normal 11 2 2 3 7" xfId="9184"/>
    <cellStyle name="Normal 11 2 2 3 8" xfId="16628"/>
    <cellStyle name="Normal 11 2 2 3_LNG &amp; LPG rework" xfId="6691"/>
    <cellStyle name="Normal 11 2 2 4" xfId="2149"/>
    <cellStyle name="Normal 11 2 2 4 2" xfId="2150"/>
    <cellStyle name="Normal 11 2 2 4 2 2" xfId="10906"/>
    <cellStyle name="Normal 11 2 2 4 2 3" xfId="16635"/>
    <cellStyle name="Normal 11 2 2 4 3" xfId="2151"/>
    <cellStyle name="Normal 11 2 2 4 3 2" xfId="10907"/>
    <cellStyle name="Normal 11 2 2 4 3 3" xfId="16636"/>
    <cellStyle name="Normal 11 2 2 4 4" xfId="2152"/>
    <cellStyle name="Normal 11 2 2 4 4 2" xfId="10908"/>
    <cellStyle name="Normal 11 2 2 4 4 3" xfId="16637"/>
    <cellStyle name="Normal 11 2 2 4 5" xfId="2153"/>
    <cellStyle name="Normal 11 2 2 4 5 2" xfId="10909"/>
    <cellStyle name="Normal 11 2 2 4 5 3" xfId="16638"/>
    <cellStyle name="Normal 11 2 2 4 6" xfId="10905"/>
    <cellStyle name="Normal 11 2 2 4 7" xfId="16634"/>
    <cellStyle name="Normal 11 2 2 4_LNG &amp; LPG rework" xfId="6690"/>
    <cellStyle name="Normal 11 2 2 5" xfId="2154"/>
    <cellStyle name="Normal 11 2 2 5 2" xfId="2155"/>
    <cellStyle name="Normal 11 2 2 5 2 2" xfId="10911"/>
    <cellStyle name="Normal 11 2 2 5 2 3" xfId="16640"/>
    <cellStyle name="Normal 11 2 2 5 3" xfId="2156"/>
    <cellStyle name="Normal 11 2 2 5 3 2" xfId="10912"/>
    <cellStyle name="Normal 11 2 2 5 3 3" xfId="16641"/>
    <cellStyle name="Normal 11 2 2 5 4" xfId="2157"/>
    <cellStyle name="Normal 11 2 2 5 4 2" xfId="10913"/>
    <cellStyle name="Normal 11 2 2 5 4 3" xfId="16642"/>
    <cellStyle name="Normal 11 2 2 5 5" xfId="2158"/>
    <cellStyle name="Normal 11 2 2 5 5 2" xfId="10914"/>
    <cellStyle name="Normal 11 2 2 5 5 3" xfId="16643"/>
    <cellStyle name="Normal 11 2 2 5 6" xfId="10910"/>
    <cellStyle name="Normal 11 2 2 5 7" xfId="16639"/>
    <cellStyle name="Normal 11 2 2 5_LNG &amp; LPG rework" xfId="6689"/>
    <cellStyle name="Normal 11 2 2 6" xfId="2159"/>
    <cellStyle name="Normal 11 2 2 6 2" xfId="10915"/>
    <cellStyle name="Normal 11 2 2 6 3" xfId="16644"/>
    <cellStyle name="Normal 11 2 2 7" xfId="2160"/>
    <cellStyle name="Normal 11 2 2 7 2" xfId="10916"/>
    <cellStyle name="Normal 11 2 2 7 3" xfId="16645"/>
    <cellStyle name="Normal 11 2 2 8" xfId="2161"/>
    <cellStyle name="Normal 11 2 2 8 2" xfId="10917"/>
    <cellStyle name="Normal 11 2 2 8 3" xfId="16646"/>
    <cellStyle name="Normal 11 2 2 9" xfId="2162"/>
    <cellStyle name="Normal 11 2 2 9 2" xfId="10918"/>
    <cellStyle name="Normal 11 2 2 9 3" xfId="16647"/>
    <cellStyle name="Normal 11 2 2_LNG &amp; LPG rework" xfId="6694"/>
    <cellStyle name="Normal 11 2 3" xfId="336"/>
    <cellStyle name="Normal 11 2 3 10" xfId="16648"/>
    <cellStyle name="Normal 11 2 3 2" xfId="337"/>
    <cellStyle name="Normal 11 2 3 2 2" xfId="2163"/>
    <cellStyle name="Normal 11 2 3 2 2 2" xfId="10919"/>
    <cellStyle name="Normal 11 2 3 2 2 3" xfId="16650"/>
    <cellStyle name="Normal 11 2 3 2 3" xfId="2164"/>
    <cellStyle name="Normal 11 2 3 2 3 2" xfId="10920"/>
    <cellStyle name="Normal 11 2 3 2 3 3" xfId="16651"/>
    <cellStyle name="Normal 11 2 3 2 4" xfId="2165"/>
    <cellStyle name="Normal 11 2 3 2 4 2" xfId="10921"/>
    <cellStyle name="Normal 11 2 3 2 4 3" xfId="16652"/>
    <cellStyle name="Normal 11 2 3 2 5" xfId="2166"/>
    <cellStyle name="Normal 11 2 3 2 5 2" xfId="10922"/>
    <cellStyle name="Normal 11 2 3 2 5 3" xfId="16653"/>
    <cellStyle name="Normal 11 2 3 2 6" xfId="2167"/>
    <cellStyle name="Normal 11 2 3 2 6 2" xfId="10923"/>
    <cellStyle name="Normal 11 2 3 2 6 3" xfId="16654"/>
    <cellStyle name="Normal 11 2 3 2 7" xfId="9186"/>
    <cellStyle name="Normal 11 2 3 2 8" xfId="16649"/>
    <cellStyle name="Normal 11 2 3 2_LNG &amp; LPG rework" xfId="6687"/>
    <cellStyle name="Normal 11 2 3 3" xfId="2168"/>
    <cellStyle name="Normal 11 2 3 3 2" xfId="2169"/>
    <cellStyle name="Normal 11 2 3 3 2 2" xfId="10925"/>
    <cellStyle name="Normal 11 2 3 3 2 3" xfId="16656"/>
    <cellStyle name="Normal 11 2 3 3 3" xfId="2170"/>
    <cellStyle name="Normal 11 2 3 3 3 2" xfId="10926"/>
    <cellStyle name="Normal 11 2 3 3 3 3" xfId="16657"/>
    <cellStyle name="Normal 11 2 3 3 4" xfId="2171"/>
    <cellStyle name="Normal 11 2 3 3 4 2" xfId="10927"/>
    <cellStyle name="Normal 11 2 3 3 4 3" xfId="16658"/>
    <cellStyle name="Normal 11 2 3 3 5" xfId="2172"/>
    <cellStyle name="Normal 11 2 3 3 5 2" xfId="10928"/>
    <cellStyle name="Normal 11 2 3 3 5 3" xfId="16659"/>
    <cellStyle name="Normal 11 2 3 3 6" xfId="10924"/>
    <cellStyle name="Normal 11 2 3 3 7" xfId="16655"/>
    <cellStyle name="Normal 11 2 3 3_LNG &amp; LPG rework" xfId="6686"/>
    <cellStyle name="Normal 11 2 3 4" xfId="2173"/>
    <cellStyle name="Normal 11 2 3 4 2" xfId="10929"/>
    <cellStyle name="Normal 11 2 3 4 3" xfId="16660"/>
    <cellStyle name="Normal 11 2 3 5" xfId="2174"/>
    <cellStyle name="Normal 11 2 3 5 2" xfId="10930"/>
    <cellStyle name="Normal 11 2 3 5 3" xfId="16661"/>
    <cellStyle name="Normal 11 2 3 6" xfId="2175"/>
    <cellStyle name="Normal 11 2 3 6 2" xfId="10931"/>
    <cellStyle name="Normal 11 2 3 6 3" xfId="16662"/>
    <cellStyle name="Normal 11 2 3 7" xfId="2176"/>
    <cellStyle name="Normal 11 2 3 7 2" xfId="10932"/>
    <cellStyle name="Normal 11 2 3 7 3" xfId="16663"/>
    <cellStyle name="Normal 11 2 3 8" xfId="2177"/>
    <cellStyle name="Normal 11 2 3 8 2" xfId="10933"/>
    <cellStyle name="Normal 11 2 3 8 3" xfId="16664"/>
    <cellStyle name="Normal 11 2 3 9" xfId="9185"/>
    <cellStyle name="Normal 11 2 3_LNG &amp; LPG rework" xfId="6688"/>
    <cellStyle name="Normal 11 2 4" xfId="338"/>
    <cellStyle name="Normal 11 2 4 2" xfId="2178"/>
    <cellStyle name="Normal 11 2 4 2 2" xfId="10934"/>
    <cellStyle name="Normal 11 2 4 2 3" xfId="16666"/>
    <cellStyle name="Normal 11 2 4 3" xfId="2179"/>
    <cellStyle name="Normal 11 2 4 3 2" xfId="10935"/>
    <cellStyle name="Normal 11 2 4 3 3" xfId="16667"/>
    <cellStyle name="Normal 11 2 4 4" xfId="2180"/>
    <cellStyle name="Normal 11 2 4 4 2" xfId="10936"/>
    <cellStyle name="Normal 11 2 4 4 3" xfId="16668"/>
    <cellStyle name="Normal 11 2 4 5" xfId="2181"/>
    <cellStyle name="Normal 11 2 4 5 2" xfId="10937"/>
    <cellStyle name="Normal 11 2 4 5 3" xfId="16669"/>
    <cellStyle name="Normal 11 2 4 6" xfId="2182"/>
    <cellStyle name="Normal 11 2 4 6 2" xfId="10938"/>
    <cellStyle name="Normal 11 2 4 6 3" xfId="16670"/>
    <cellStyle name="Normal 11 2 4 7" xfId="9187"/>
    <cellStyle name="Normal 11 2 4 8" xfId="16665"/>
    <cellStyle name="Normal 11 2 4_LNG &amp; LPG rework" xfId="6685"/>
    <cellStyle name="Normal 11 2 5" xfId="2183"/>
    <cellStyle name="Normal 11 2 5 2" xfId="2184"/>
    <cellStyle name="Normal 11 2 5 2 2" xfId="10940"/>
    <cellStyle name="Normal 11 2 5 2 3" xfId="16672"/>
    <cellStyle name="Normal 11 2 5 3" xfId="2185"/>
    <cellStyle name="Normal 11 2 5 3 2" xfId="10941"/>
    <cellStyle name="Normal 11 2 5 3 3" xfId="16673"/>
    <cellStyle name="Normal 11 2 5 4" xfId="2186"/>
    <cellStyle name="Normal 11 2 5 4 2" xfId="10942"/>
    <cellStyle name="Normal 11 2 5 4 3" xfId="16674"/>
    <cellStyle name="Normal 11 2 5 5" xfId="2187"/>
    <cellStyle name="Normal 11 2 5 5 2" xfId="10943"/>
    <cellStyle name="Normal 11 2 5 5 3" xfId="16675"/>
    <cellStyle name="Normal 11 2 5 6" xfId="10939"/>
    <cellStyle name="Normal 11 2 5 7" xfId="16671"/>
    <cellStyle name="Normal 11 2 5_LNG &amp; LPG rework" xfId="6684"/>
    <cellStyle name="Normal 11 2 6" xfId="2188"/>
    <cellStyle name="Normal 11 2 6 2" xfId="2189"/>
    <cellStyle name="Normal 11 2 6 2 2" xfId="10945"/>
    <cellStyle name="Normal 11 2 6 2 3" xfId="16677"/>
    <cellStyle name="Normal 11 2 6 3" xfId="2190"/>
    <cellStyle name="Normal 11 2 6 3 2" xfId="10946"/>
    <cellStyle name="Normal 11 2 6 3 3" xfId="16678"/>
    <cellStyle name="Normal 11 2 6 4" xfId="2191"/>
    <cellStyle name="Normal 11 2 6 4 2" xfId="10947"/>
    <cellStyle name="Normal 11 2 6 4 3" xfId="16679"/>
    <cellStyle name="Normal 11 2 6 5" xfId="2192"/>
    <cellStyle name="Normal 11 2 6 5 2" xfId="10948"/>
    <cellStyle name="Normal 11 2 6 5 3" xfId="16680"/>
    <cellStyle name="Normal 11 2 6 6" xfId="10944"/>
    <cellStyle name="Normal 11 2 6 7" xfId="16676"/>
    <cellStyle name="Normal 11 2 6_LNG &amp; LPG rework" xfId="6683"/>
    <cellStyle name="Normal 11 2 7" xfId="2193"/>
    <cellStyle name="Normal 11 2 7 2" xfId="10949"/>
    <cellStyle name="Normal 11 2 7 3" xfId="16681"/>
    <cellStyle name="Normal 11 2 8" xfId="2194"/>
    <cellStyle name="Normal 11 2 8 2" xfId="10950"/>
    <cellStyle name="Normal 11 2 8 3" xfId="16682"/>
    <cellStyle name="Normal 11 2 9" xfId="2195"/>
    <cellStyle name="Normal 11 2 9 2" xfId="10951"/>
    <cellStyle name="Normal 11 2 9 3" xfId="16683"/>
    <cellStyle name="Normal 11 2_LNG &amp; LPG rework" xfId="6695"/>
    <cellStyle name="Normal 11 20" xfId="2196"/>
    <cellStyle name="Normal 11 20 2" xfId="2197"/>
    <cellStyle name="Normal 11 20 2 2" xfId="2198"/>
    <cellStyle name="Normal 11 20 2 2 2" xfId="10954"/>
    <cellStyle name="Normal 11 20 2 2 3" xfId="16686"/>
    <cellStyle name="Normal 11 20 2 3" xfId="2199"/>
    <cellStyle name="Normal 11 20 2 3 2" xfId="10955"/>
    <cellStyle name="Normal 11 20 2 3 3" xfId="16687"/>
    <cellStyle name="Normal 11 20 2 4" xfId="2200"/>
    <cellStyle name="Normal 11 20 2 4 2" xfId="10956"/>
    <cellStyle name="Normal 11 20 2 4 3" xfId="16688"/>
    <cellStyle name="Normal 11 20 2 5" xfId="2201"/>
    <cellStyle name="Normal 11 20 2 5 2" xfId="10957"/>
    <cellStyle name="Normal 11 20 2 5 3" xfId="16689"/>
    <cellStyle name="Normal 11 20 2 6" xfId="10953"/>
    <cellStyle name="Normal 11 20 2 7" xfId="16685"/>
    <cellStyle name="Normal 11 20 2_LNG &amp; LPG rework" xfId="6797"/>
    <cellStyle name="Normal 11 20 3" xfId="2202"/>
    <cellStyle name="Normal 11 20 3 2" xfId="10958"/>
    <cellStyle name="Normal 11 20 3 3" xfId="16690"/>
    <cellStyle name="Normal 11 20 4" xfId="2203"/>
    <cellStyle name="Normal 11 20 4 2" xfId="10959"/>
    <cellStyle name="Normal 11 20 4 3" xfId="16691"/>
    <cellStyle name="Normal 11 20 5" xfId="2204"/>
    <cellStyle name="Normal 11 20 5 2" xfId="10960"/>
    <cellStyle name="Normal 11 20 5 3" xfId="16692"/>
    <cellStyle name="Normal 11 20 6" xfId="2205"/>
    <cellStyle name="Normal 11 20 6 2" xfId="10961"/>
    <cellStyle name="Normal 11 20 6 3" xfId="16693"/>
    <cellStyle name="Normal 11 20 7" xfId="10952"/>
    <cellStyle name="Normal 11 20 8" xfId="16684"/>
    <cellStyle name="Normal 11 20_LNG &amp; LPG rework" xfId="6798"/>
    <cellStyle name="Normal 11 21" xfId="2206"/>
    <cellStyle name="Normal 11 21 2" xfId="2207"/>
    <cellStyle name="Normal 11 21 2 2" xfId="10963"/>
    <cellStyle name="Normal 11 21 2 3" xfId="16695"/>
    <cellStyle name="Normal 11 21 3" xfId="2208"/>
    <cellStyle name="Normal 11 21 3 2" xfId="10964"/>
    <cellStyle name="Normal 11 21 3 3" xfId="16696"/>
    <cellStyle name="Normal 11 21 4" xfId="2209"/>
    <cellStyle name="Normal 11 21 4 2" xfId="10965"/>
    <cellStyle name="Normal 11 21 4 3" xfId="16697"/>
    <cellStyle name="Normal 11 21 5" xfId="2210"/>
    <cellStyle name="Normal 11 21 5 2" xfId="10966"/>
    <cellStyle name="Normal 11 21 5 3" xfId="16698"/>
    <cellStyle name="Normal 11 21 6" xfId="10962"/>
    <cellStyle name="Normal 11 21 7" xfId="16694"/>
    <cellStyle name="Normal 11 21_LNG &amp; LPG rework" xfId="6799"/>
    <cellStyle name="Normal 11 22" xfId="2211"/>
    <cellStyle name="Normal 11 22 2" xfId="2212"/>
    <cellStyle name="Normal 11 22 2 2" xfId="10968"/>
    <cellStyle name="Normal 11 22 2 3" xfId="16700"/>
    <cellStyle name="Normal 11 22 3" xfId="2213"/>
    <cellStyle name="Normal 11 22 3 2" xfId="10969"/>
    <cellStyle name="Normal 11 22 3 3" xfId="16701"/>
    <cellStyle name="Normal 11 22 4" xfId="2214"/>
    <cellStyle name="Normal 11 22 4 2" xfId="10970"/>
    <cellStyle name="Normal 11 22 4 3" xfId="16702"/>
    <cellStyle name="Normal 11 22 5" xfId="2215"/>
    <cellStyle name="Normal 11 22 5 2" xfId="10971"/>
    <cellStyle name="Normal 11 22 5 3" xfId="16703"/>
    <cellStyle name="Normal 11 22 6" xfId="10967"/>
    <cellStyle name="Normal 11 22 7" xfId="16699"/>
    <cellStyle name="Normal 11 22_LNG &amp; LPG rework" xfId="6800"/>
    <cellStyle name="Normal 11 23" xfId="2216"/>
    <cellStyle name="Normal 11 23 2" xfId="10972"/>
    <cellStyle name="Normal 11 23 3" xfId="16704"/>
    <cellStyle name="Normal 11 24" xfId="2217"/>
    <cellStyle name="Normal 11 24 2" xfId="10973"/>
    <cellStyle name="Normal 11 24 3" xfId="16705"/>
    <cellStyle name="Normal 11 25" xfId="2218"/>
    <cellStyle name="Normal 11 25 2" xfId="10974"/>
    <cellStyle name="Normal 11 25 3" xfId="16706"/>
    <cellStyle name="Normal 11 26" xfId="2219"/>
    <cellStyle name="Normal 11 26 2" xfId="10975"/>
    <cellStyle name="Normal 11 26 3" xfId="16707"/>
    <cellStyle name="Normal 11 27" xfId="2220"/>
    <cellStyle name="Normal 11 27 2" xfId="10976"/>
    <cellStyle name="Normal 11 27 3" xfId="16708"/>
    <cellStyle name="Normal 11 28" xfId="2221"/>
    <cellStyle name="Normal 11 28 2" xfId="10977"/>
    <cellStyle name="Normal 11 28 3" xfId="16709"/>
    <cellStyle name="Normal 11 29" xfId="7825"/>
    <cellStyle name="Normal 11 3" xfId="339"/>
    <cellStyle name="Normal 11 3 10" xfId="2222"/>
    <cellStyle name="Normal 11 3 10 2" xfId="10978"/>
    <cellStyle name="Normal 11 3 10 3" xfId="16711"/>
    <cellStyle name="Normal 11 3 11" xfId="9188"/>
    <cellStyle name="Normal 11 3 12" xfId="16710"/>
    <cellStyle name="Normal 11 3 2" xfId="340"/>
    <cellStyle name="Normal 11 3 2 10" xfId="16712"/>
    <cellStyle name="Normal 11 3 2 2" xfId="341"/>
    <cellStyle name="Normal 11 3 2 2 2" xfId="2223"/>
    <cellStyle name="Normal 11 3 2 2 2 2" xfId="10979"/>
    <cellStyle name="Normal 11 3 2 2 2 3" xfId="16714"/>
    <cellStyle name="Normal 11 3 2 2 3" xfId="2224"/>
    <cellStyle name="Normal 11 3 2 2 3 2" xfId="10980"/>
    <cellStyle name="Normal 11 3 2 2 3 3" xfId="16715"/>
    <cellStyle name="Normal 11 3 2 2 4" xfId="2225"/>
    <cellStyle name="Normal 11 3 2 2 4 2" xfId="10981"/>
    <cellStyle name="Normal 11 3 2 2 4 3" xfId="16716"/>
    <cellStyle name="Normal 11 3 2 2 5" xfId="2226"/>
    <cellStyle name="Normal 11 3 2 2 5 2" xfId="10982"/>
    <cellStyle name="Normal 11 3 2 2 5 3" xfId="16717"/>
    <cellStyle name="Normal 11 3 2 2 6" xfId="2227"/>
    <cellStyle name="Normal 11 3 2 2 6 2" xfId="10983"/>
    <cellStyle name="Normal 11 3 2 2 6 3" xfId="16718"/>
    <cellStyle name="Normal 11 3 2 2 7" xfId="9190"/>
    <cellStyle name="Normal 11 3 2 2 8" xfId="16713"/>
    <cellStyle name="Normal 11 3 2 2_LNG &amp; LPG rework" xfId="6802"/>
    <cellStyle name="Normal 11 3 2 3" xfId="2228"/>
    <cellStyle name="Normal 11 3 2 3 2" xfId="2229"/>
    <cellStyle name="Normal 11 3 2 3 2 2" xfId="10985"/>
    <cellStyle name="Normal 11 3 2 3 2 3" xfId="16720"/>
    <cellStyle name="Normal 11 3 2 3 3" xfId="2230"/>
    <cellStyle name="Normal 11 3 2 3 3 2" xfId="10986"/>
    <cellStyle name="Normal 11 3 2 3 3 3" xfId="16721"/>
    <cellStyle name="Normal 11 3 2 3 4" xfId="2231"/>
    <cellStyle name="Normal 11 3 2 3 4 2" xfId="10987"/>
    <cellStyle name="Normal 11 3 2 3 4 3" xfId="16722"/>
    <cellStyle name="Normal 11 3 2 3 5" xfId="2232"/>
    <cellStyle name="Normal 11 3 2 3 5 2" xfId="10988"/>
    <cellStyle name="Normal 11 3 2 3 5 3" xfId="16723"/>
    <cellStyle name="Normal 11 3 2 3 6" xfId="10984"/>
    <cellStyle name="Normal 11 3 2 3 7" xfId="16719"/>
    <cellStyle name="Normal 11 3 2 3_LNG &amp; LPG rework" xfId="6803"/>
    <cellStyle name="Normal 11 3 2 4" xfId="2233"/>
    <cellStyle name="Normal 11 3 2 4 2" xfId="10989"/>
    <cellStyle name="Normal 11 3 2 4 3" xfId="16724"/>
    <cellStyle name="Normal 11 3 2 5" xfId="2234"/>
    <cellStyle name="Normal 11 3 2 5 2" xfId="10990"/>
    <cellStyle name="Normal 11 3 2 5 3" xfId="16725"/>
    <cellStyle name="Normal 11 3 2 6" xfId="2235"/>
    <cellStyle name="Normal 11 3 2 6 2" xfId="10991"/>
    <cellStyle name="Normal 11 3 2 6 3" xfId="16726"/>
    <cellStyle name="Normal 11 3 2 7" xfId="2236"/>
    <cellStyle name="Normal 11 3 2 7 2" xfId="10992"/>
    <cellStyle name="Normal 11 3 2 7 3" xfId="16727"/>
    <cellStyle name="Normal 11 3 2 8" xfId="2237"/>
    <cellStyle name="Normal 11 3 2 8 2" xfId="10993"/>
    <cellStyle name="Normal 11 3 2 8 3" xfId="16728"/>
    <cellStyle name="Normal 11 3 2 9" xfId="9189"/>
    <cellStyle name="Normal 11 3 2_LNG &amp; LPG rework" xfId="6682"/>
    <cellStyle name="Normal 11 3 3" xfId="342"/>
    <cellStyle name="Normal 11 3 3 2" xfId="2238"/>
    <cellStyle name="Normal 11 3 3 2 2" xfId="10994"/>
    <cellStyle name="Normal 11 3 3 2 3" xfId="16730"/>
    <cellStyle name="Normal 11 3 3 3" xfId="2239"/>
    <cellStyle name="Normal 11 3 3 3 2" xfId="10995"/>
    <cellStyle name="Normal 11 3 3 3 3" xfId="16731"/>
    <cellStyle name="Normal 11 3 3 4" xfId="2240"/>
    <cellStyle name="Normal 11 3 3 4 2" xfId="10996"/>
    <cellStyle name="Normal 11 3 3 4 3" xfId="16732"/>
    <cellStyle name="Normal 11 3 3 5" xfId="2241"/>
    <cellStyle name="Normal 11 3 3 5 2" xfId="10997"/>
    <cellStyle name="Normal 11 3 3 5 3" xfId="16733"/>
    <cellStyle name="Normal 11 3 3 6" xfId="2242"/>
    <cellStyle name="Normal 11 3 3 6 2" xfId="10998"/>
    <cellStyle name="Normal 11 3 3 6 3" xfId="16734"/>
    <cellStyle name="Normal 11 3 3 7" xfId="9191"/>
    <cellStyle name="Normal 11 3 3 8" xfId="16729"/>
    <cellStyle name="Normal 11 3 3_LNG &amp; LPG rework" xfId="6804"/>
    <cellStyle name="Normal 11 3 4" xfId="2243"/>
    <cellStyle name="Normal 11 3 4 2" xfId="2244"/>
    <cellStyle name="Normal 11 3 4 2 2" xfId="11000"/>
    <cellStyle name="Normal 11 3 4 2 3" xfId="16736"/>
    <cellStyle name="Normal 11 3 4 3" xfId="2245"/>
    <cellStyle name="Normal 11 3 4 3 2" xfId="11001"/>
    <cellStyle name="Normal 11 3 4 3 3" xfId="16737"/>
    <cellStyle name="Normal 11 3 4 4" xfId="2246"/>
    <cellStyle name="Normal 11 3 4 4 2" xfId="11002"/>
    <cellStyle name="Normal 11 3 4 4 3" xfId="16738"/>
    <cellStyle name="Normal 11 3 4 5" xfId="2247"/>
    <cellStyle name="Normal 11 3 4 5 2" xfId="11003"/>
    <cellStyle name="Normal 11 3 4 5 3" xfId="16739"/>
    <cellStyle name="Normal 11 3 4 6" xfId="10999"/>
    <cellStyle name="Normal 11 3 4 7" xfId="16735"/>
    <cellStyle name="Normal 11 3 4_LNG &amp; LPG rework" xfId="6805"/>
    <cellStyle name="Normal 11 3 5" xfId="2248"/>
    <cellStyle name="Normal 11 3 5 2" xfId="2249"/>
    <cellStyle name="Normal 11 3 5 2 2" xfId="11005"/>
    <cellStyle name="Normal 11 3 5 2 3" xfId="16741"/>
    <cellStyle name="Normal 11 3 5 3" xfId="2250"/>
    <cellStyle name="Normal 11 3 5 3 2" xfId="11006"/>
    <cellStyle name="Normal 11 3 5 3 3" xfId="16742"/>
    <cellStyle name="Normal 11 3 5 4" xfId="2251"/>
    <cellStyle name="Normal 11 3 5 4 2" xfId="11007"/>
    <cellStyle name="Normal 11 3 5 4 3" xfId="16743"/>
    <cellStyle name="Normal 11 3 5 5" xfId="2252"/>
    <cellStyle name="Normal 11 3 5 5 2" xfId="11008"/>
    <cellStyle name="Normal 11 3 5 5 3" xfId="16744"/>
    <cellStyle name="Normal 11 3 5 6" xfId="11004"/>
    <cellStyle name="Normal 11 3 5 7" xfId="16740"/>
    <cellStyle name="Normal 11 3 5_LNG &amp; LPG rework" xfId="6806"/>
    <cellStyle name="Normal 11 3 6" xfId="2253"/>
    <cellStyle name="Normal 11 3 6 2" xfId="11009"/>
    <cellStyle name="Normal 11 3 6 3" xfId="16745"/>
    <cellStyle name="Normal 11 3 7" xfId="2254"/>
    <cellStyle name="Normal 11 3 7 2" xfId="11010"/>
    <cellStyle name="Normal 11 3 7 3" xfId="16746"/>
    <cellStyle name="Normal 11 3 8" xfId="2255"/>
    <cellStyle name="Normal 11 3 8 2" xfId="11011"/>
    <cellStyle name="Normal 11 3 8 3" xfId="16747"/>
    <cellStyle name="Normal 11 3 9" xfId="2256"/>
    <cellStyle name="Normal 11 3 9 2" xfId="11012"/>
    <cellStyle name="Normal 11 3 9 3" xfId="16748"/>
    <cellStyle name="Normal 11 3_LNG &amp; LPG rework" xfId="6801"/>
    <cellStyle name="Normal 11 30" xfId="8904"/>
    <cellStyle name="Normal 11 31" xfId="20823"/>
    <cellStyle name="Normal 11 32" xfId="20831"/>
    <cellStyle name="Normal 11 33" xfId="21891"/>
    <cellStyle name="Normal 11 34" xfId="21896"/>
    <cellStyle name="Normal 11 35" xfId="21904"/>
    <cellStyle name="Normal 11 36" xfId="22965"/>
    <cellStyle name="Normal 11 37" xfId="22964"/>
    <cellStyle name="Normal 11 38" xfId="22970"/>
    <cellStyle name="Normal 11 4" xfId="343"/>
    <cellStyle name="Normal 11 4 10" xfId="16749"/>
    <cellStyle name="Normal 11 4 2" xfId="344"/>
    <cellStyle name="Normal 11 4 2 2" xfId="2257"/>
    <cellStyle name="Normal 11 4 2 2 2" xfId="11013"/>
    <cellStyle name="Normal 11 4 2 2 3" xfId="16751"/>
    <cellStyle name="Normal 11 4 2 3" xfId="2258"/>
    <cellStyle name="Normal 11 4 2 3 2" xfId="11014"/>
    <cellStyle name="Normal 11 4 2 3 3" xfId="16752"/>
    <cellStyle name="Normal 11 4 2 4" xfId="2259"/>
    <cellStyle name="Normal 11 4 2 4 2" xfId="11015"/>
    <cellStyle name="Normal 11 4 2 4 3" xfId="16753"/>
    <cellStyle name="Normal 11 4 2 5" xfId="2260"/>
    <cellStyle name="Normal 11 4 2 5 2" xfId="11016"/>
    <cellStyle name="Normal 11 4 2 5 3" xfId="16754"/>
    <cellStyle name="Normal 11 4 2 6" xfId="2261"/>
    <cellStyle name="Normal 11 4 2 6 2" xfId="11017"/>
    <cellStyle name="Normal 11 4 2 6 3" xfId="16755"/>
    <cellStyle name="Normal 11 4 2 7" xfId="9193"/>
    <cellStyle name="Normal 11 4 2 8" xfId="16750"/>
    <cellStyle name="Normal 11 4 2_LNG &amp; LPG rework" xfId="6808"/>
    <cellStyle name="Normal 11 4 3" xfId="2262"/>
    <cellStyle name="Normal 11 4 3 2" xfId="2263"/>
    <cellStyle name="Normal 11 4 3 2 2" xfId="11019"/>
    <cellStyle name="Normal 11 4 3 2 3" xfId="16757"/>
    <cellStyle name="Normal 11 4 3 3" xfId="2264"/>
    <cellStyle name="Normal 11 4 3 3 2" xfId="11020"/>
    <cellStyle name="Normal 11 4 3 3 3" xfId="16758"/>
    <cellStyle name="Normal 11 4 3 4" xfId="2265"/>
    <cellStyle name="Normal 11 4 3 4 2" xfId="11021"/>
    <cellStyle name="Normal 11 4 3 4 3" xfId="16759"/>
    <cellStyle name="Normal 11 4 3 5" xfId="2266"/>
    <cellStyle name="Normal 11 4 3 5 2" xfId="11022"/>
    <cellStyle name="Normal 11 4 3 5 3" xfId="16760"/>
    <cellStyle name="Normal 11 4 3 6" xfId="11018"/>
    <cellStyle name="Normal 11 4 3 7" xfId="16756"/>
    <cellStyle name="Normal 11 4 3_LNG &amp; LPG rework" xfId="6809"/>
    <cellStyle name="Normal 11 4 4" xfId="2267"/>
    <cellStyle name="Normal 11 4 4 2" xfId="11023"/>
    <cellStyle name="Normal 11 4 4 3" xfId="16761"/>
    <cellStyle name="Normal 11 4 5" xfId="2268"/>
    <cellStyle name="Normal 11 4 5 2" xfId="11024"/>
    <cellStyle name="Normal 11 4 5 3" xfId="16762"/>
    <cellStyle name="Normal 11 4 6" xfId="2269"/>
    <cellStyle name="Normal 11 4 6 2" xfId="11025"/>
    <cellStyle name="Normal 11 4 6 3" xfId="16763"/>
    <cellStyle name="Normal 11 4 7" xfId="2270"/>
    <cellStyle name="Normal 11 4 7 2" xfId="11026"/>
    <cellStyle name="Normal 11 4 7 3" xfId="16764"/>
    <cellStyle name="Normal 11 4 8" xfId="2271"/>
    <cellStyle name="Normal 11 4 8 2" xfId="11027"/>
    <cellStyle name="Normal 11 4 8 3" xfId="16765"/>
    <cellStyle name="Normal 11 4 9" xfId="9192"/>
    <cellStyle name="Normal 11 4_LNG &amp; LPG rework" xfId="6807"/>
    <cellStyle name="Normal 11 5" xfId="345"/>
    <cellStyle name="Normal 11 5 10" xfId="16766"/>
    <cellStyle name="Normal 11 5 2" xfId="2272"/>
    <cellStyle name="Normal 11 5 2 2" xfId="2273"/>
    <cellStyle name="Normal 11 5 2 2 2" xfId="11029"/>
    <cellStyle name="Normal 11 5 2 2 3" xfId="16768"/>
    <cellStyle name="Normal 11 5 2 3" xfId="2274"/>
    <cellStyle name="Normal 11 5 2 3 2" xfId="11030"/>
    <cellStyle name="Normal 11 5 2 3 3" xfId="16769"/>
    <cellStyle name="Normal 11 5 2 4" xfId="2275"/>
    <cellStyle name="Normal 11 5 2 4 2" xfId="11031"/>
    <cellStyle name="Normal 11 5 2 4 3" xfId="16770"/>
    <cellStyle name="Normal 11 5 2 5" xfId="2276"/>
    <cellStyle name="Normal 11 5 2 5 2" xfId="11032"/>
    <cellStyle name="Normal 11 5 2 5 3" xfId="16771"/>
    <cellStyle name="Normal 11 5 2 6" xfId="11028"/>
    <cellStyle name="Normal 11 5 2 7" xfId="16767"/>
    <cellStyle name="Normal 11 5 2_LNG &amp; LPG rework" xfId="6811"/>
    <cellStyle name="Normal 11 5 3" xfId="2277"/>
    <cellStyle name="Normal 11 5 3 2" xfId="2278"/>
    <cellStyle name="Normal 11 5 3 2 2" xfId="11034"/>
    <cellStyle name="Normal 11 5 3 2 3" xfId="16773"/>
    <cellStyle name="Normal 11 5 3 3" xfId="2279"/>
    <cellStyle name="Normal 11 5 3 3 2" xfId="11035"/>
    <cellStyle name="Normal 11 5 3 3 3" xfId="16774"/>
    <cellStyle name="Normal 11 5 3 4" xfId="2280"/>
    <cellStyle name="Normal 11 5 3 4 2" xfId="11036"/>
    <cellStyle name="Normal 11 5 3 4 3" xfId="16775"/>
    <cellStyle name="Normal 11 5 3 5" xfId="2281"/>
    <cellStyle name="Normal 11 5 3 5 2" xfId="11037"/>
    <cellStyle name="Normal 11 5 3 5 3" xfId="16776"/>
    <cellStyle name="Normal 11 5 3 6" xfId="11033"/>
    <cellStyle name="Normal 11 5 3 7" xfId="16772"/>
    <cellStyle name="Normal 11 5 3_LNG &amp; LPG rework" xfId="6611"/>
    <cellStyle name="Normal 11 5 4" xfId="2282"/>
    <cellStyle name="Normal 11 5 4 2" xfId="11038"/>
    <cellStyle name="Normal 11 5 4 3" xfId="16777"/>
    <cellStyle name="Normal 11 5 5" xfId="2283"/>
    <cellStyle name="Normal 11 5 5 2" xfId="11039"/>
    <cellStyle name="Normal 11 5 5 3" xfId="16778"/>
    <cellStyle name="Normal 11 5 6" xfId="2284"/>
    <cellStyle name="Normal 11 5 6 2" xfId="11040"/>
    <cellStyle name="Normal 11 5 6 3" xfId="16779"/>
    <cellStyle name="Normal 11 5 7" xfId="2285"/>
    <cellStyle name="Normal 11 5 7 2" xfId="11041"/>
    <cellStyle name="Normal 11 5 7 3" xfId="16780"/>
    <cellStyle name="Normal 11 5 8" xfId="2286"/>
    <cellStyle name="Normal 11 5 8 2" xfId="11042"/>
    <cellStyle name="Normal 11 5 8 3" xfId="16781"/>
    <cellStyle name="Normal 11 5 9" xfId="9194"/>
    <cellStyle name="Normal 11 5_LNG &amp; LPG rework" xfId="6810"/>
    <cellStyle name="Normal 11 6" xfId="2287"/>
    <cellStyle name="Normal 11 7" xfId="2288"/>
    <cellStyle name="Normal 11 7 2" xfId="2289"/>
    <cellStyle name="Normal 11 7 2 2" xfId="2290"/>
    <cellStyle name="Normal 11 7 2 2 2" xfId="11045"/>
    <cellStyle name="Normal 11 7 2 2 3" xfId="16784"/>
    <cellStyle name="Normal 11 7 2 3" xfId="2291"/>
    <cellStyle name="Normal 11 7 2 3 2" xfId="11046"/>
    <cellStyle name="Normal 11 7 2 3 3" xfId="16785"/>
    <cellStyle name="Normal 11 7 2 4" xfId="2292"/>
    <cellStyle name="Normal 11 7 2 4 2" xfId="11047"/>
    <cellStyle name="Normal 11 7 2 4 3" xfId="16786"/>
    <cellStyle name="Normal 11 7 2 5" xfId="2293"/>
    <cellStyle name="Normal 11 7 2 5 2" xfId="11048"/>
    <cellStyle name="Normal 11 7 2 5 3" xfId="16787"/>
    <cellStyle name="Normal 11 7 2 6" xfId="11044"/>
    <cellStyle name="Normal 11 7 2 7" xfId="16783"/>
    <cellStyle name="Normal 11 7 2_LNG &amp; LPG rework" xfId="6813"/>
    <cellStyle name="Normal 11 7 3" xfId="2294"/>
    <cellStyle name="Normal 11 7 3 2" xfId="2295"/>
    <cellStyle name="Normal 11 7 3 2 2" xfId="11050"/>
    <cellStyle name="Normal 11 7 3 2 3" xfId="16789"/>
    <cellStyle name="Normal 11 7 3 3" xfId="2296"/>
    <cellStyle name="Normal 11 7 3 3 2" xfId="11051"/>
    <cellStyle name="Normal 11 7 3 3 3" xfId="16790"/>
    <cellStyle name="Normal 11 7 3 4" xfId="2297"/>
    <cellStyle name="Normal 11 7 3 4 2" xfId="11052"/>
    <cellStyle name="Normal 11 7 3 4 3" xfId="16791"/>
    <cellStyle name="Normal 11 7 3 5" xfId="2298"/>
    <cellStyle name="Normal 11 7 3 5 2" xfId="11053"/>
    <cellStyle name="Normal 11 7 3 5 3" xfId="16792"/>
    <cellStyle name="Normal 11 7 3 6" xfId="11049"/>
    <cellStyle name="Normal 11 7 3 7" xfId="16788"/>
    <cellStyle name="Normal 11 7 3_LNG &amp; LPG rework" xfId="6814"/>
    <cellStyle name="Normal 11 7 4" xfId="2299"/>
    <cellStyle name="Normal 11 7 4 2" xfId="11054"/>
    <cellStyle name="Normal 11 7 4 3" xfId="16793"/>
    <cellStyle name="Normal 11 7 5" xfId="2300"/>
    <cellStyle name="Normal 11 7 5 2" xfId="11055"/>
    <cellStyle name="Normal 11 7 5 3" xfId="16794"/>
    <cellStyle name="Normal 11 7 6" xfId="2301"/>
    <cellStyle name="Normal 11 7 6 2" xfId="11056"/>
    <cellStyle name="Normal 11 7 6 3" xfId="16795"/>
    <cellStyle name="Normal 11 7 7" xfId="2302"/>
    <cellStyle name="Normal 11 7 7 2" xfId="11057"/>
    <cellStyle name="Normal 11 7 7 3" xfId="16796"/>
    <cellStyle name="Normal 11 7 8" xfId="11043"/>
    <cellStyle name="Normal 11 7 9" xfId="16782"/>
    <cellStyle name="Normal 11 7_LNG &amp; LPG rework" xfId="6812"/>
    <cellStyle name="Normal 11 8" xfId="2303"/>
    <cellStyle name="Normal 11 8 2" xfId="2304"/>
    <cellStyle name="Normal 11 8 2 2" xfId="2305"/>
    <cellStyle name="Normal 11 8 2 2 2" xfId="11060"/>
    <cellStyle name="Normal 11 8 2 2 3" xfId="16799"/>
    <cellStyle name="Normal 11 8 2 3" xfId="2306"/>
    <cellStyle name="Normal 11 8 2 3 2" xfId="11061"/>
    <cellStyle name="Normal 11 8 2 3 3" xfId="16800"/>
    <cellStyle name="Normal 11 8 2 4" xfId="2307"/>
    <cellStyle name="Normal 11 8 2 4 2" xfId="11062"/>
    <cellStyle name="Normal 11 8 2 4 3" xfId="16801"/>
    <cellStyle name="Normal 11 8 2 5" xfId="2308"/>
    <cellStyle name="Normal 11 8 2 5 2" xfId="11063"/>
    <cellStyle name="Normal 11 8 2 5 3" xfId="16802"/>
    <cellStyle name="Normal 11 8 2 6" xfId="11059"/>
    <cellStyle name="Normal 11 8 2 7" xfId="16798"/>
    <cellStyle name="Normal 11 8 2_LNG &amp; LPG rework" xfId="6816"/>
    <cellStyle name="Normal 11 8 3" xfId="2309"/>
    <cellStyle name="Normal 11 8 3 2" xfId="2310"/>
    <cellStyle name="Normal 11 8 3 2 2" xfId="11065"/>
    <cellStyle name="Normal 11 8 3 2 3" xfId="16804"/>
    <cellStyle name="Normal 11 8 3 3" xfId="2311"/>
    <cellStyle name="Normal 11 8 3 3 2" xfId="11066"/>
    <cellStyle name="Normal 11 8 3 3 3" xfId="16805"/>
    <cellStyle name="Normal 11 8 3 4" xfId="2312"/>
    <cellStyle name="Normal 11 8 3 4 2" xfId="11067"/>
    <cellStyle name="Normal 11 8 3 4 3" xfId="16806"/>
    <cellStyle name="Normal 11 8 3 5" xfId="2313"/>
    <cellStyle name="Normal 11 8 3 5 2" xfId="11068"/>
    <cellStyle name="Normal 11 8 3 5 3" xfId="16807"/>
    <cellStyle name="Normal 11 8 3 6" xfId="11064"/>
    <cellStyle name="Normal 11 8 3 7" xfId="16803"/>
    <cellStyle name="Normal 11 8 3_LNG &amp; LPG rework" xfId="6817"/>
    <cellStyle name="Normal 11 8 4" xfId="2314"/>
    <cellStyle name="Normal 11 8 4 2" xfId="11069"/>
    <cellStyle name="Normal 11 8 4 3" xfId="16808"/>
    <cellStyle name="Normal 11 8 5" xfId="2315"/>
    <cellStyle name="Normal 11 8 5 2" xfId="11070"/>
    <cellStyle name="Normal 11 8 5 3" xfId="16809"/>
    <cellStyle name="Normal 11 8 6" xfId="2316"/>
    <cellStyle name="Normal 11 8 6 2" xfId="11071"/>
    <cellStyle name="Normal 11 8 6 3" xfId="16810"/>
    <cellStyle name="Normal 11 8 7" xfId="2317"/>
    <cellStyle name="Normal 11 8 7 2" xfId="11072"/>
    <cellStyle name="Normal 11 8 7 3" xfId="16811"/>
    <cellStyle name="Normal 11 8 8" xfId="11058"/>
    <cellStyle name="Normal 11 8 9" xfId="16797"/>
    <cellStyle name="Normal 11 8_LNG &amp; LPG rework" xfId="6815"/>
    <cellStyle name="Normal 11 9" xfId="2318"/>
    <cellStyle name="Normal 11 9 2" xfId="2319"/>
    <cellStyle name="Normal 11 9 2 2" xfId="2320"/>
    <cellStyle name="Normal 11 9 2 2 2" xfId="11075"/>
    <cellStyle name="Normal 11 9 2 2 3" xfId="16814"/>
    <cellStyle name="Normal 11 9 2 3" xfId="2321"/>
    <cellStyle name="Normal 11 9 2 3 2" xfId="11076"/>
    <cellStyle name="Normal 11 9 2 3 3" xfId="16815"/>
    <cellStyle name="Normal 11 9 2 4" xfId="2322"/>
    <cellStyle name="Normal 11 9 2 4 2" xfId="11077"/>
    <cellStyle name="Normal 11 9 2 4 3" xfId="16816"/>
    <cellStyle name="Normal 11 9 2 5" xfId="2323"/>
    <cellStyle name="Normal 11 9 2 5 2" xfId="11078"/>
    <cellStyle name="Normal 11 9 2 5 3" xfId="16817"/>
    <cellStyle name="Normal 11 9 2 6" xfId="11074"/>
    <cellStyle name="Normal 11 9 2 7" xfId="16813"/>
    <cellStyle name="Normal 11 9 2_LNG &amp; LPG rework" xfId="6819"/>
    <cellStyle name="Normal 11 9 3" xfId="2324"/>
    <cellStyle name="Normal 11 9 3 2" xfId="2325"/>
    <cellStyle name="Normal 11 9 3 2 2" xfId="11080"/>
    <cellStyle name="Normal 11 9 3 2 3" xfId="16819"/>
    <cellStyle name="Normal 11 9 3 3" xfId="2326"/>
    <cellStyle name="Normal 11 9 3 3 2" xfId="11081"/>
    <cellStyle name="Normal 11 9 3 3 3" xfId="16820"/>
    <cellStyle name="Normal 11 9 3 4" xfId="2327"/>
    <cellStyle name="Normal 11 9 3 4 2" xfId="11082"/>
    <cellStyle name="Normal 11 9 3 4 3" xfId="16821"/>
    <cellStyle name="Normal 11 9 3 5" xfId="2328"/>
    <cellStyle name="Normal 11 9 3 5 2" xfId="11083"/>
    <cellStyle name="Normal 11 9 3 5 3" xfId="16822"/>
    <cellStyle name="Normal 11 9 3 6" xfId="11079"/>
    <cellStyle name="Normal 11 9 3 7" xfId="16818"/>
    <cellStyle name="Normal 11 9 3_LNG &amp; LPG rework" xfId="6820"/>
    <cellStyle name="Normal 11 9 4" xfId="2329"/>
    <cellStyle name="Normal 11 9 4 2" xfId="11084"/>
    <cellStyle name="Normal 11 9 4 3" xfId="16823"/>
    <cellStyle name="Normal 11 9 5" xfId="2330"/>
    <cellStyle name="Normal 11 9 5 2" xfId="11085"/>
    <cellStyle name="Normal 11 9 5 3" xfId="16824"/>
    <cellStyle name="Normal 11 9 6" xfId="2331"/>
    <cellStyle name="Normal 11 9 6 2" xfId="11086"/>
    <cellStyle name="Normal 11 9 6 3" xfId="16825"/>
    <cellStyle name="Normal 11 9 7" xfId="2332"/>
    <cellStyle name="Normal 11 9 7 2" xfId="11087"/>
    <cellStyle name="Normal 11 9 7 3" xfId="16826"/>
    <cellStyle name="Normal 11 9 8" xfId="11073"/>
    <cellStyle name="Normal 11 9 9" xfId="16812"/>
    <cellStyle name="Normal 11 9_LNG &amp; LPG rework" xfId="6818"/>
    <cellStyle name="Normal 11_2015  Data" xfId="346"/>
    <cellStyle name="Normal 110" xfId="2333"/>
    <cellStyle name="Normal 111" xfId="2334"/>
    <cellStyle name="Normal 112" xfId="2335"/>
    <cellStyle name="Normal 113" xfId="2336"/>
    <cellStyle name="Normal 114" xfId="2337"/>
    <cellStyle name="Normal 115" xfId="2338"/>
    <cellStyle name="Normal 116" xfId="2339"/>
    <cellStyle name="Normal 117" xfId="2340"/>
    <cellStyle name="Normal 118" xfId="2341"/>
    <cellStyle name="Normal 119" xfId="2342"/>
    <cellStyle name="Normal 12" xfId="347"/>
    <cellStyle name="Normal 12 10" xfId="2343"/>
    <cellStyle name="Normal 12 10 2" xfId="2344"/>
    <cellStyle name="Normal 12 10 2 2" xfId="2345"/>
    <cellStyle name="Normal 12 10 2 2 2" xfId="11090"/>
    <cellStyle name="Normal 12 10 2 2 3" xfId="16829"/>
    <cellStyle name="Normal 12 10 2 3" xfId="2346"/>
    <cellStyle name="Normal 12 10 2 3 2" xfId="11091"/>
    <cellStyle name="Normal 12 10 2 3 3" xfId="16830"/>
    <cellStyle name="Normal 12 10 2 4" xfId="2347"/>
    <cellStyle name="Normal 12 10 2 4 2" xfId="11092"/>
    <cellStyle name="Normal 12 10 2 4 3" xfId="16831"/>
    <cellStyle name="Normal 12 10 2 5" xfId="2348"/>
    <cellStyle name="Normal 12 10 2 5 2" xfId="11093"/>
    <cellStyle name="Normal 12 10 2 5 3" xfId="16832"/>
    <cellStyle name="Normal 12 10 2 6" xfId="11089"/>
    <cellStyle name="Normal 12 10 2 7" xfId="16828"/>
    <cellStyle name="Normal 12 10 2_LNG &amp; LPG rework" xfId="6822"/>
    <cellStyle name="Normal 12 10 3" xfId="2349"/>
    <cellStyle name="Normal 12 10 3 2" xfId="2350"/>
    <cellStyle name="Normal 12 10 3 2 2" xfId="11095"/>
    <cellStyle name="Normal 12 10 3 2 3" xfId="16834"/>
    <cellStyle name="Normal 12 10 3 3" xfId="2351"/>
    <cellStyle name="Normal 12 10 3 3 2" xfId="11096"/>
    <cellStyle name="Normal 12 10 3 3 3" xfId="16835"/>
    <cellStyle name="Normal 12 10 3 4" xfId="2352"/>
    <cellStyle name="Normal 12 10 3 4 2" xfId="11097"/>
    <cellStyle name="Normal 12 10 3 4 3" xfId="16836"/>
    <cellStyle name="Normal 12 10 3 5" xfId="2353"/>
    <cellStyle name="Normal 12 10 3 5 2" xfId="11098"/>
    <cellStyle name="Normal 12 10 3 5 3" xfId="16837"/>
    <cellStyle name="Normal 12 10 3 6" xfId="11094"/>
    <cellStyle name="Normal 12 10 3 7" xfId="16833"/>
    <cellStyle name="Normal 12 10 3_LNG &amp; LPG rework" xfId="6823"/>
    <cellStyle name="Normal 12 10 4" xfId="2354"/>
    <cellStyle name="Normal 12 10 4 2" xfId="11099"/>
    <cellStyle name="Normal 12 10 4 3" xfId="16838"/>
    <cellStyle name="Normal 12 10 5" xfId="2355"/>
    <cellStyle name="Normal 12 10 5 2" xfId="11100"/>
    <cellStyle name="Normal 12 10 5 3" xfId="16839"/>
    <cellStyle name="Normal 12 10 6" xfId="2356"/>
    <cellStyle name="Normal 12 10 6 2" xfId="11101"/>
    <cellStyle name="Normal 12 10 6 3" xfId="16840"/>
    <cellStyle name="Normal 12 10 7" xfId="2357"/>
    <cellStyle name="Normal 12 10 7 2" xfId="11102"/>
    <cellStyle name="Normal 12 10 7 3" xfId="16841"/>
    <cellStyle name="Normal 12 10 8" xfId="11088"/>
    <cellStyle name="Normal 12 10 9" xfId="16827"/>
    <cellStyle name="Normal 12 10_LNG &amp; LPG rework" xfId="6821"/>
    <cellStyle name="Normal 12 11" xfId="2358"/>
    <cellStyle name="Normal 12 11 2" xfId="2359"/>
    <cellStyle name="Normal 12 11 2 2" xfId="2360"/>
    <cellStyle name="Normal 12 11 2 2 2" xfId="11105"/>
    <cellStyle name="Normal 12 11 2 2 3" xfId="16844"/>
    <cellStyle name="Normal 12 11 2 3" xfId="2361"/>
    <cellStyle name="Normal 12 11 2 3 2" xfId="11106"/>
    <cellStyle name="Normal 12 11 2 3 3" xfId="16845"/>
    <cellStyle name="Normal 12 11 2 4" xfId="2362"/>
    <cellStyle name="Normal 12 11 2 4 2" xfId="11107"/>
    <cellStyle name="Normal 12 11 2 4 3" xfId="16846"/>
    <cellStyle name="Normal 12 11 2 5" xfId="2363"/>
    <cellStyle name="Normal 12 11 2 5 2" xfId="11108"/>
    <cellStyle name="Normal 12 11 2 5 3" xfId="16847"/>
    <cellStyle name="Normal 12 11 2 6" xfId="11104"/>
    <cellStyle name="Normal 12 11 2 7" xfId="16843"/>
    <cellStyle name="Normal 12 11 2_LNG &amp; LPG rework" xfId="6825"/>
    <cellStyle name="Normal 12 11 3" xfId="2364"/>
    <cellStyle name="Normal 12 11 3 2" xfId="2365"/>
    <cellStyle name="Normal 12 11 3 2 2" xfId="11110"/>
    <cellStyle name="Normal 12 11 3 2 3" xfId="16849"/>
    <cellStyle name="Normal 12 11 3 3" xfId="2366"/>
    <cellStyle name="Normal 12 11 3 3 2" xfId="11111"/>
    <cellStyle name="Normal 12 11 3 3 3" xfId="16850"/>
    <cellStyle name="Normal 12 11 3 4" xfId="2367"/>
    <cellStyle name="Normal 12 11 3 4 2" xfId="11112"/>
    <cellStyle name="Normal 12 11 3 4 3" xfId="16851"/>
    <cellStyle name="Normal 12 11 3 5" xfId="2368"/>
    <cellStyle name="Normal 12 11 3 5 2" xfId="11113"/>
    <cellStyle name="Normal 12 11 3 5 3" xfId="16852"/>
    <cellStyle name="Normal 12 11 3 6" xfId="11109"/>
    <cellStyle name="Normal 12 11 3 7" xfId="16848"/>
    <cellStyle name="Normal 12 11 3_LNG &amp; LPG rework" xfId="6826"/>
    <cellStyle name="Normal 12 11 4" xfId="2369"/>
    <cellStyle name="Normal 12 11 4 2" xfId="11114"/>
    <cellStyle name="Normal 12 11 4 3" xfId="16853"/>
    <cellStyle name="Normal 12 11 5" xfId="2370"/>
    <cellStyle name="Normal 12 11 5 2" xfId="11115"/>
    <cellStyle name="Normal 12 11 5 3" xfId="16854"/>
    <cellStyle name="Normal 12 11 6" xfId="2371"/>
    <cellStyle name="Normal 12 11 6 2" xfId="11116"/>
    <cellStyle name="Normal 12 11 6 3" xfId="16855"/>
    <cellStyle name="Normal 12 11 7" xfId="2372"/>
    <cellStyle name="Normal 12 11 7 2" xfId="11117"/>
    <cellStyle name="Normal 12 11 7 3" xfId="16856"/>
    <cellStyle name="Normal 12 11 8" xfId="11103"/>
    <cellStyle name="Normal 12 11 9" xfId="16842"/>
    <cellStyle name="Normal 12 11_LNG &amp; LPG rework" xfId="6824"/>
    <cellStyle name="Normal 12 12" xfId="2373"/>
    <cellStyle name="Normal 12 12 2" xfId="2374"/>
    <cellStyle name="Normal 12 12 2 2" xfId="2375"/>
    <cellStyle name="Normal 12 12 2 2 2" xfId="11120"/>
    <cellStyle name="Normal 12 12 2 2 3" xfId="16859"/>
    <cellStyle name="Normal 12 12 2 3" xfId="2376"/>
    <cellStyle name="Normal 12 12 2 3 2" xfId="11121"/>
    <cellStyle name="Normal 12 12 2 3 3" xfId="16860"/>
    <cellStyle name="Normal 12 12 2 4" xfId="2377"/>
    <cellStyle name="Normal 12 12 2 4 2" xfId="11122"/>
    <cellStyle name="Normal 12 12 2 4 3" xfId="16861"/>
    <cellStyle name="Normal 12 12 2 5" xfId="2378"/>
    <cellStyle name="Normal 12 12 2 5 2" xfId="11123"/>
    <cellStyle name="Normal 12 12 2 5 3" xfId="16862"/>
    <cellStyle name="Normal 12 12 2 6" xfId="11119"/>
    <cellStyle name="Normal 12 12 2 7" xfId="16858"/>
    <cellStyle name="Normal 12 12 2_LNG &amp; LPG rework" xfId="6828"/>
    <cellStyle name="Normal 12 12 3" xfId="2379"/>
    <cellStyle name="Normal 12 12 3 2" xfId="2380"/>
    <cellStyle name="Normal 12 12 3 2 2" xfId="11125"/>
    <cellStyle name="Normal 12 12 3 2 3" xfId="16864"/>
    <cellStyle name="Normal 12 12 3 3" xfId="2381"/>
    <cellStyle name="Normal 12 12 3 3 2" xfId="11126"/>
    <cellStyle name="Normal 12 12 3 3 3" xfId="16865"/>
    <cellStyle name="Normal 12 12 3 4" xfId="2382"/>
    <cellStyle name="Normal 12 12 3 4 2" xfId="11127"/>
    <cellStyle name="Normal 12 12 3 4 3" xfId="16866"/>
    <cellStyle name="Normal 12 12 3 5" xfId="2383"/>
    <cellStyle name="Normal 12 12 3 5 2" xfId="11128"/>
    <cellStyle name="Normal 12 12 3 5 3" xfId="16867"/>
    <cellStyle name="Normal 12 12 3 6" xfId="11124"/>
    <cellStyle name="Normal 12 12 3 7" xfId="16863"/>
    <cellStyle name="Normal 12 12 3_LNG &amp; LPG rework" xfId="6829"/>
    <cellStyle name="Normal 12 12 4" xfId="2384"/>
    <cellStyle name="Normal 12 12 4 2" xfId="11129"/>
    <cellStyle name="Normal 12 12 4 3" xfId="16868"/>
    <cellStyle name="Normal 12 12 5" xfId="2385"/>
    <cellStyle name="Normal 12 12 5 2" xfId="11130"/>
    <cellStyle name="Normal 12 12 5 3" xfId="16869"/>
    <cellStyle name="Normal 12 12 6" xfId="2386"/>
    <cellStyle name="Normal 12 12 6 2" xfId="11131"/>
    <cellStyle name="Normal 12 12 6 3" xfId="16870"/>
    <cellStyle name="Normal 12 12 7" xfId="2387"/>
    <cellStyle name="Normal 12 12 7 2" xfId="11132"/>
    <cellStyle name="Normal 12 12 7 3" xfId="16871"/>
    <cellStyle name="Normal 12 12 8" xfId="11118"/>
    <cellStyle name="Normal 12 12 9" xfId="16857"/>
    <cellStyle name="Normal 12 12_LNG &amp; LPG rework" xfId="6827"/>
    <cellStyle name="Normal 12 13" xfId="2388"/>
    <cellStyle name="Normal 12 13 2" xfId="2389"/>
    <cellStyle name="Normal 12 13 2 2" xfId="2390"/>
    <cellStyle name="Normal 12 13 2 2 2" xfId="11135"/>
    <cellStyle name="Normal 12 13 2 2 3" xfId="16874"/>
    <cellStyle name="Normal 12 13 2 3" xfId="2391"/>
    <cellStyle name="Normal 12 13 2 3 2" xfId="11136"/>
    <cellStyle name="Normal 12 13 2 3 3" xfId="16875"/>
    <cellStyle name="Normal 12 13 2 4" xfId="2392"/>
    <cellStyle name="Normal 12 13 2 4 2" xfId="11137"/>
    <cellStyle name="Normal 12 13 2 4 3" xfId="16876"/>
    <cellStyle name="Normal 12 13 2 5" xfId="2393"/>
    <cellStyle name="Normal 12 13 2 5 2" xfId="11138"/>
    <cellStyle name="Normal 12 13 2 5 3" xfId="16877"/>
    <cellStyle name="Normal 12 13 2 6" xfId="11134"/>
    <cellStyle name="Normal 12 13 2 7" xfId="16873"/>
    <cellStyle name="Normal 12 13 2_LNG &amp; LPG rework" xfId="6680"/>
    <cellStyle name="Normal 12 13 3" xfId="2394"/>
    <cellStyle name="Normal 12 13 3 2" xfId="2395"/>
    <cellStyle name="Normal 12 13 3 2 2" xfId="11140"/>
    <cellStyle name="Normal 12 13 3 2 3" xfId="16879"/>
    <cellStyle name="Normal 12 13 3 3" xfId="2396"/>
    <cellStyle name="Normal 12 13 3 3 2" xfId="11141"/>
    <cellStyle name="Normal 12 13 3 3 3" xfId="16880"/>
    <cellStyle name="Normal 12 13 3 4" xfId="2397"/>
    <cellStyle name="Normal 12 13 3 4 2" xfId="11142"/>
    <cellStyle name="Normal 12 13 3 4 3" xfId="16881"/>
    <cellStyle name="Normal 12 13 3 5" xfId="2398"/>
    <cellStyle name="Normal 12 13 3 5 2" xfId="11143"/>
    <cellStyle name="Normal 12 13 3 5 3" xfId="16882"/>
    <cellStyle name="Normal 12 13 3 6" xfId="11139"/>
    <cellStyle name="Normal 12 13 3 7" xfId="16878"/>
    <cellStyle name="Normal 12 13 3_LNG &amp; LPG rework" xfId="6584"/>
    <cellStyle name="Normal 12 13 4" xfId="2399"/>
    <cellStyle name="Normal 12 13 4 2" xfId="11144"/>
    <cellStyle name="Normal 12 13 4 3" xfId="16883"/>
    <cellStyle name="Normal 12 13 5" xfId="2400"/>
    <cellStyle name="Normal 12 13 5 2" xfId="11145"/>
    <cellStyle name="Normal 12 13 5 3" xfId="16884"/>
    <cellStyle name="Normal 12 13 6" xfId="2401"/>
    <cellStyle name="Normal 12 13 6 2" xfId="11146"/>
    <cellStyle name="Normal 12 13 6 3" xfId="16885"/>
    <cellStyle name="Normal 12 13 7" xfId="2402"/>
    <cellStyle name="Normal 12 13 7 2" xfId="11147"/>
    <cellStyle name="Normal 12 13 7 3" xfId="16886"/>
    <cellStyle name="Normal 12 13 8" xfId="11133"/>
    <cellStyle name="Normal 12 13 9" xfId="16872"/>
    <cellStyle name="Normal 12 13_LNG &amp; LPG rework" xfId="6681"/>
    <cellStyle name="Normal 12 14" xfId="2403"/>
    <cellStyle name="Normal 12 14 2" xfId="2404"/>
    <cellStyle name="Normal 12 14 2 2" xfId="2405"/>
    <cellStyle name="Normal 12 14 2 2 2" xfId="11150"/>
    <cellStyle name="Normal 12 14 2 2 3" xfId="16889"/>
    <cellStyle name="Normal 12 14 2 3" xfId="2406"/>
    <cellStyle name="Normal 12 14 2 3 2" xfId="11151"/>
    <cellStyle name="Normal 12 14 2 3 3" xfId="16890"/>
    <cellStyle name="Normal 12 14 2 4" xfId="2407"/>
    <cellStyle name="Normal 12 14 2 4 2" xfId="11152"/>
    <cellStyle name="Normal 12 14 2 4 3" xfId="16891"/>
    <cellStyle name="Normal 12 14 2 5" xfId="2408"/>
    <cellStyle name="Normal 12 14 2 5 2" xfId="11153"/>
    <cellStyle name="Normal 12 14 2 5 3" xfId="16892"/>
    <cellStyle name="Normal 12 14 2 6" xfId="11149"/>
    <cellStyle name="Normal 12 14 2 7" xfId="16888"/>
    <cellStyle name="Normal 12 14 2_LNG &amp; LPG rework" xfId="6980"/>
    <cellStyle name="Normal 12 14 3" xfId="2409"/>
    <cellStyle name="Normal 12 14 3 2" xfId="2410"/>
    <cellStyle name="Normal 12 14 3 2 2" xfId="11155"/>
    <cellStyle name="Normal 12 14 3 2 3" xfId="16894"/>
    <cellStyle name="Normal 12 14 3 3" xfId="2411"/>
    <cellStyle name="Normal 12 14 3 3 2" xfId="11156"/>
    <cellStyle name="Normal 12 14 3 3 3" xfId="16895"/>
    <cellStyle name="Normal 12 14 3 4" xfId="2412"/>
    <cellStyle name="Normal 12 14 3 4 2" xfId="11157"/>
    <cellStyle name="Normal 12 14 3 4 3" xfId="16896"/>
    <cellStyle name="Normal 12 14 3 5" xfId="2413"/>
    <cellStyle name="Normal 12 14 3 5 2" xfId="11158"/>
    <cellStyle name="Normal 12 14 3 5 3" xfId="16897"/>
    <cellStyle name="Normal 12 14 3 6" xfId="11154"/>
    <cellStyle name="Normal 12 14 3 7" xfId="16893"/>
    <cellStyle name="Normal 12 14 3_LNG &amp; LPG rework" xfId="6733"/>
    <cellStyle name="Normal 12 14 4" xfId="2414"/>
    <cellStyle name="Normal 12 14 4 2" xfId="11159"/>
    <cellStyle name="Normal 12 14 4 3" xfId="16898"/>
    <cellStyle name="Normal 12 14 5" xfId="2415"/>
    <cellStyle name="Normal 12 14 5 2" xfId="11160"/>
    <cellStyle name="Normal 12 14 5 3" xfId="16899"/>
    <cellStyle name="Normal 12 14 6" xfId="2416"/>
    <cellStyle name="Normal 12 14 6 2" xfId="11161"/>
    <cellStyle name="Normal 12 14 6 3" xfId="16900"/>
    <cellStyle name="Normal 12 14 7" xfId="2417"/>
    <cellStyle name="Normal 12 14 7 2" xfId="11162"/>
    <cellStyle name="Normal 12 14 7 3" xfId="16901"/>
    <cellStyle name="Normal 12 14 8" xfId="11148"/>
    <cellStyle name="Normal 12 14 9" xfId="16887"/>
    <cellStyle name="Normal 12 14_LNG &amp; LPG rework" xfId="6830"/>
    <cellStyle name="Normal 12 15" xfId="2418"/>
    <cellStyle name="Normal 12 15 2" xfId="2419"/>
    <cellStyle name="Normal 12 15 2 2" xfId="2420"/>
    <cellStyle name="Normal 12 15 2 2 2" xfId="11165"/>
    <cellStyle name="Normal 12 15 2 2 3" xfId="16904"/>
    <cellStyle name="Normal 12 15 2 3" xfId="2421"/>
    <cellStyle name="Normal 12 15 2 3 2" xfId="11166"/>
    <cellStyle name="Normal 12 15 2 3 3" xfId="16905"/>
    <cellStyle name="Normal 12 15 2 4" xfId="2422"/>
    <cellStyle name="Normal 12 15 2 4 2" xfId="11167"/>
    <cellStyle name="Normal 12 15 2 4 3" xfId="16906"/>
    <cellStyle name="Normal 12 15 2 5" xfId="2423"/>
    <cellStyle name="Normal 12 15 2 5 2" xfId="11168"/>
    <cellStyle name="Normal 12 15 2 5 3" xfId="16907"/>
    <cellStyle name="Normal 12 15 2 6" xfId="11164"/>
    <cellStyle name="Normal 12 15 2 7" xfId="16903"/>
    <cellStyle name="Normal 12 15 2_LNG &amp; LPG rework" xfId="6832"/>
    <cellStyle name="Normal 12 15 3" xfId="2424"/>
    <cellStyle name="Normal 12 15 3 2" xfId="2425"/>
    <cellStyle name="Normal 12 15 3 2 2" xfId="11170"/>
    <cellStyle name="Normal 12 15 3 2 3" xfId="16909"/>
    <cellStyle name="Normal 12 15 3 3" xfId="2426"/>
    <cellStyle name="Normal 12 15 3 3 2" xfId="11171"/>
    <cellStyle name="Normal 12 15 3 3 3" xfId="16910"/>
    <cellStyle name="Normal 12 15 3 4" xfId="2427"/>
    <cellStyle name="Normal 12 15 3 4 2" xfId="11172"/>
    <cellStyle name="Normal 12 15 3 4 3" xfId="16911"/>
    <cellStyle name="Normal 12 15 3 5" xfId="2428"/>
    <cellStyle name="Normal 12 15 3 5 2" xfId="11173"/>
    <cellStyle name="Normal 12 15 3 5 3" xfId="16912"/>
    <cellStyle name="Normal 12 15 3 6" xfId="11169"/>
    <cellStyle name="Normal 12 15 3 7" xfId="16908"/>
    <cellStyle name="Normal 12 15 3_LNG &amp; LPG rework" xfId="6679"/>
    <cellStyle name="Normal 12 15 4" xfId="2429"/>
    <cellStyle name="Normal 12 15 4 2" xfId="11174"/>
    <cellStyle name="Normal 12 15 4 3" xfId="16913"/>
    <cellStyle name="Normal 12 15 5" xfId="2430"/>
    <cellStyle name="Normal 12 15 5 2" xfId="11175"/>
    <cellStyle name="Normal 12 15 5 3" xfId="16914"/>
    <cellStyle name="Normal 12 15 6" xfId="2431"/>
    <cellStyle name="Normal 12 15 6 2" xfId="11176"/>
    <cellStyle name="Normal 12 15 6 3" xfId="16915"/>
    <cellStyle name="Normal 12 15 7" xfId="2432"/>
    <cellStyle name="Normal 12 15 7 2" xfId="11177"/>
    <cellStyle name="Normal 12 15 7 3" xfId="16916"/>
    <cellStyle name="Normal 12 15 8" xfId="11163"/>
    <cellStyle name="Normal 12 15 9" xfId="16902"/>
    <cellStyle name="Normal 12 15_LNG &amp; LPG rework" xfId="6831"/>
    <cellStyle name="Normal 12 16" xfId="2433"/>
    <cellStyle name="Normal 12 16 2" xfId="2434"/>
    <cellStyle name="Normal 12 16 2 2" xfId="2435"/>
    <cellStyle name="Normal 12 16 2 2 2" xfId="11180"/>
    <cellStyle name="Normal 12 16 2 2 3" xfId="16919"/>
    <cellStyle name="Normal 12 16 2 3" xfId="2436"/>
    <cellStyle name="Normal 12 16 2 3 2" xfId="11181"/>
    <cellStyle name="Normal 12 16 2 3 3" xfId="16920"/>
    <cellStyle name="Normal 12 16 2 4" xfId="2437"/>
    <cellStyle name="Normal 12 16 2 4 2" xfId="11182"/>
    <cellStyle name="Normal 12 16 2 4 3" xfId="16921"/>
    <cellStyle name="Normal 12 16 2 5" xfId="2438"/>
    <cellStyle name="Normal 12 16 2 5 2" xfId="11183"/>
    <cellStyle name="Normal 12 16 2 5 3" xfId="16922"/>
    <cellStyle name="Normal 12 16 2 6" xfId="11179"/>
    <cellStyle name="Normal 12 16 2 7" xfId="16918"/>
    <cellStyle name="Normal 12 16 2_LNG &amp; LPG rework" xfId="6677"/>
    <cellStyle name="Normal 12 16 3" xfId="2439"/>
    <cellStyle name="Normal 12 16 3 2" xfId="2440"/>
    <cellStyle name="Normal 12 16 3 2 2" xfId="11185"/>
    <cellStyle name="Normal 12 16 3 2 3" xfId="16924"/>
    <cellStyle name="Normal 12 16 3 3" xfId="2441"/>
    <cellStyle name="Normal 12 16 3 3 2" xfId="11186"/>
    <cellStyle name="Normal 12 16 3 3 3" xfId="16925"/>
    <cellStyle name="Normal 12 16 3 4" xfId="2442"/>
    <cellStyle name="Normal 12 16 3 4 2" xfId="11187"/>
    <cellStyle name="Normal 12 16 3 4 3" xfId="16926"/>
    <cellStyle name="Normal 12 16 3 5" xfId="2443"/>
    <cellStyle name="Normal 12 16 3 5 2" xfId="11188"/>
    <cellStyle name="Normal 12 16 3 5 3" xfId="16927"/>
    <cellStyle name="Normal 12 16 3 6" xfId="11184"/>
    <cellStyle name="Normal 12 16 3 7" xfId="16923"/>
    <cellStyle name="Normal 12 16 3_LNG &amp; LPG rework" xfId="6833"/>
    <cellStyle name="Normal 12 16 4" xfId="2444"/>
    <cellStyle name="Normal 12 16 4 2" xfId="11189"/>
    <cellStyle name="Normal 12 16 4 3" xfId="16928"/>
    <cellStyle name="Normal 12 16 5" xfId="2445"/>
    <cellStyle name="Normal 12 16 5 2" xfId="11190"/>
    <cellStyle name="Normal 12 16 5 3" xfId="16929"/>
    <cellStyle name="Normal 12 16 6" xfId="2446"/>
    <cellStyle name="Normal 12 16 6 2" xfId="11191"/>
    <cellStyle name="Normal 12 16 6 3" xfId="16930"/>
    <cellStyle name="Normal 12 16 7" xfId="2447"/>
    <cellStyle name="Normal 12 16 7 2" xfId="11192"/>
    <cellStyle name="Normal 12 16 7 3" xfId="16931"/>
    <cellStyle name="Normal 12 16 8" xfId="11178"/>
    <cellStyle name="Normal 12 16 9" xfId="16917"/>
    <cellStyle name="Normal 12 16_LNG &amp; LPG rework" xfId="6678"/>
    <cellStyle name="Normal 12 17" xfId="2448"/>
    <cellStyle name="Normal 12 17 2" xfId="2449"/>
    <cellStyle name="Normal 12 17 2 2" xfId="2450"/>
    <cellStyle name="Normal 12 17 2 2 2" xfId="11195"/>
    <cellStyle name="Normal 12 17 2 2 3" xfId="16934"/>
    <cellStyle name="Normal 12 17 2 3" xfId="2451"/>
    <cellStyle name="Normal 12 17 2 3 2" xfId="11196"/>
    <cellStyle name="Normal 12 17 2 3 3" xfId="16935"/>
    <cellStyle name="Normal 12 17 2 4" xfId="2452"/>
    <cellStyle name="Normal 12 17 2 4 2" xfId="11197"/>
    <cellStyle name="Normal 12 17 2 4 3" xfId="16936"/>
    <cellStyle name="Normal 12 17 2 5" xfId="2453"/>
    <cellStyle name="Normal 12 17 2 5 2" xfId="11198"/>
    <cellStyle name="Normal 12 17 2 5 3" xfId="16937"/>
    <cellStyle name="Normal 12 17 2 6" xfId="11194"/>
    <cellStyle name="Normal 12 17 2 7" xfId="16933"/>
    <cellStyle name="Normal 12 17 2_LNG &amp; LPG rework" xfId="6835"/>
    <cellStyle name="Normal 12 17 3" xfId="2454"/>
    <cellStyle name="Normal 12 17 3 2" xfId="2455"/>
    <cellStyle name="Normal 12 17 3 2 2" xfId="11200"/>
    <cellStyle name="Normal 12 17 3 2 3" xfId="16939"/>
    <cellStyle name="Normal 12 17 3 3" xfId="2456"/>
    <cellStyle name="Normal 12 17 3 3 2" xfId="11201"/>
    <cellStyle name="Normal 12 17 3 3 3" xfId="16940"/>
    <cellStyle name="Normal 12 17 3 4" xfId="2457"/>
    <cellStyle name="Normal 12 17 3 4 2" xfId="11202"/>
    <cellStyle name="Normal 12 17 3 4 3" xfId="16941"/>
    <cellStyle name="Normal 12 17 3 5" xfId="2458"/>
    <cellStyle name="Normal 12 17 3 5 2" xfId="11203"/>
    <cellStyle name="Normal 12 17 3 5 3" xfId="16942"/>
    <cellStyle name="Normal 12 17 3 6" xfId="11199"/>
    <cellStyle name="Normal 12 17 3 7" xfId="16938"/>
    <cellStyle name="Normal 12 17 3_LNG &amp; LPG rework" xfId="6836"/>
    <cellStyle name="Normal 12 17 4" xfId="2459"/>
    <cellStyle name="Normal 12 17 4 2" xfId="11204"/>
    <cellStyle name="Normal 12 17 4 3" xfId="16943"/>
    <cellStyle name="Normal 12 17 5" xfId="2460"/>
    <cellStyle name="Normal 12 17 5 2" xfId="11205"/>
    <cellStyle name="Normal 12 17 5 3" xfId="16944"/>
    <cellStyle name="Normal 12 17 6" xfId="2461"/>
    <cellStyle name="Normal 12 17 6 2" xfId="11206"/>
    <cellStyle name="Normal 12 17 6 3" xfId="16945"/>
    <cellStyle name="Normal 12 17 7" xfId="2462"/>
    <cellStyle name="Normal 12 17 7 2" xfId="11207"/>
    <cellStyle name="Normal 12 17 7 3" xfId="16946"/>
    <cellStyle name="Normal 12 17 8" xfId="11193"/>
    <cellStyle name="Normal 12 17 9" xfId="16932"/>
    <cellStyle name="Normal 12 17_LNG &amp; LPG rework" xfId="6834"/>
    <cellStyle name="Normal 12 18" xfId="2463"/>
    <cellStyle name="Normal 12 18 2" xfId="2464"/>
    <cellStyle name="Normal 12 18 2 2" xfId="2465"/>
    <cellStyle name="Normal 12 18 2 2 2" xfId="11210"/>
    <cellStyle name="Normal 12 18 2 2 3" xfId="16949"/>
    <cellStyle name="Normal 12 18 2 3" xfId="2466"/>
    <cellStyle name="Normal 12 18 2 3 2" xfId="11211"/>
    <cellStyle name="Normal 12 18 2 3 3" xfId="16950"/>
    <cellStyle name="Normal 12 18 2 4" xfId="2467"/>
    <cellStyle name="Normal 12 18 2 4 2" xfId="11212"/>
    <cellStyle name="Normal 12 18 2 4 3" xfId="16951"/>
    <cellStyle name="Normal 12 18 2 5" xfId="2468"/>
    <cellStyle name="Normal 12 18 2 5 2" xfId="11213"/>
    <cellStyle name="Normal 12 18 2 5 3" xfId="16952"/>
    <cellStyle name="Normal 12 18 2 6" xfId="11209"/>
    <cellStyle name="Normal 12 18 2 7" xfId="16948"/>
    <cellStyle name="Normal 12 18 2_LNG &amp; LPG rework" xfId="6837"/>
    <cellStyle name="Normal 12 18 3" xfId="2469"/>
    <cellStyle name="Normal 12 18 3 2" xfId="2470"/>
    <cellStyle name="Normal 12 18 3 2 2" xfId="11215"/>
    <cellStyle name="Normal 12 18 3 2 3" xfId="16954"/>
    <cellStyle name="Normal 12 18 3 3" xfId="2471"/>
    <cellStyle name="Normal 12 18 3 3 2" xfId="11216"/>
    <cellStyle name="Normal 12 18 3 3 3" xfId="16955"/>
    <cellStyle name="Normal 12 18 3 4" xfId="2472"/>
    <cellStyle name="Normal 12 18 3 4 2" xfId="11217"/>
    <cellStyle name="Normal 12 18 3 4 3" xfId="16956"/>
    <cellStyle name="Normal 12 18 3 5" xfId="2473"/>
    <cellStyle name="Normal 12 18 3 5 2" xfId="11218"/>
    <cellStyle name="Normal 12 18 3 5 3" xfId="16957"/>
    <cellStyle name="Normal 12 18 3 6" xfId="11214"/>
    <cellStyle name="Normal 12 18 3 7" xfId="16953"/>
    <cellStyle name="Normal 12 18 3_LNG &amp; LPG rework" xfId="6839"/>
    <cellStyle name="Normal 12 18 4" xfId="2474"/>
    <cellStyle name="Normal 12 18 4 2" xfId="11219"/>
    <cellStyle name="Normal 12 18 4 3" xfId="16958"/>
    <cellStyle name="Normal 12 18 5" xfId="2475"/>
    <cellStyle name="Normal 12 18 5 2" xfId="11220"/>
    <cellStyle name="Normal 12 18 5 3" xfId="16959"/>
    <cellStyle name="Normal 12 18 6" xfId="2476"/>
    <cellStyle name="Normal 12 18 6 2" xfId="11221"/>
    <cellStyle name="Normal 12 18 6 3" xfId="16960"/>
    <cellStyle name="Normal 12 18 7" xfId="2477"/>
    <cellStyle name="Normal 12 18 7 2" xfId="11222"/>
    <cellStyle name="Normal 12 18 7 3" xfId="16961"/>
    <cellStyle name="Normal 12 18 8" xfId="11208"/>
    <cellStyle name="Normal 12 18 9" xfId="16947"/>
    <cellStyle name="Normal 12 18_LNG &amp; LPG rework" xfId="6838"/>
    <cellStyle name="Normal 12 19" xfId="2478"/>
    <cellStyle name="Normal 12 19 2" xfId="2479"/>
    <cellStyle name="Normal 12 19 2 2" xfId="2480"/>
    <cellStyle name="Normal 12 19 2 2 2" xfId="11225"/>
    <cellStyle name="Normal 12 19 2 2 3" xfId="16964"/>
    <cellStyle name="Normal 12 19 2 3" xfId="2481"/>
    <cellStyle name="Normal 12 19 2 3 2" xfId="11226"/>
    <cellStyle name="Normal 12 19 2 3 3" xfId="16965"/>
    <cellStyle name="Normal 12 19 2 4" xfId="2482"/>
    <cellStyle name="Normal 12 19 2 4 2" xfId="11227"/>
    <cellStyle name="Normal 12 19 2 4 3" xfId="16966"/>
    <cellStyle name="Normal 12 19 2 5" xfId="2483"/>
    <cellStyle name="Normal 12 19 2 5 2" xfId="11228"/>
    <cellStyle name="Normal 12 19 2 5 3" xfId="16967"/>
    <cellStyle name="Normal 12 19 2 6" xfId="11224"/>
    <cellStyle name="Normal 12 19 2 7" xfId="16963"/>
    <cellStyle name="Normal 12 19 2_LNG &amp; LPG rework" xfId="6841"/>
    <cellStyle name="Normal 12 19 3" xfId="2484"/>
    <cellStyle name="Normal 12 19 3 2" xfId="2485"/>
    <cellStyle name="Normal 12 19 3 2 2" xfId="11230"/>
    <cellStyle name="Normal 12 19 3 2 3" xfId="16969"/>
    <cellStyle name="Normal 12 19 3 3" xfId="2486"/>
    <cellStyle name="Normal 12 19 3 3 2" xfId="11231"/>
    <cellStyle name="Normal 12 19 3 3 3" xfId="16970"/>
    <cellStyle name="Normal 12 19 3 4" xfId="2487"/>
    <cellStyle name="Normal 12 19 3 4 2" xfId="11232"/>
    <cellStyle name="Normal 12 19 3 4 3" xfId="16971"/>
    <cellStyle name="Normal 12 19 3 5" xfId="2488"/>
    <cellStyle name="Normal 12 19 3 5 2" xfId="11233"/>
    <cellStyle name="Normal 12 19 3 5 3" xfId="16972"/>
    <cellStyle name="Normal 12 19 3 6" xfId="11229"/>
    <cellStyle name="Normal 12 19 3 7" xfId="16968"/>
    <cellStyle name="Normal 12 19 3_LNG &amp; LPG rework" xfId="6842"/>
    <cellStyle name="Normal 12 19 4" xfId="2489"/>
    <cellStyle name="Normal 12 19 4 2" xfId="11234"/>
    <cellStyle name="Normal 12 19 4 3" xfId="16973"/>
    <cellStyle name="Normal 12 19 5" xfId="2490"/>
    <cellStyle name="Normal 12 19 5 2" xfId="11235"/>
    <cellStyle name="Normal 12 19 5 3" xfId="16974"/>
    <cellStyle name="Normal 12 19 6" xfId="2491"/>
    <cellStyle name="Normal 12 19 6 2" xfId="11236"/>
    <cellStyle name="Normal 12 19 6 3" xfId="16975"/>
    <cellStyle name="Normal 12 19 7" xfId="2492"/>
    <cellStyle name="Normal 12 19 7 2" xfId="11237"/>
    <cellStyle name="Normal 12 19 7 3" xfId="16976"/>
    <cellStyle name="Normal 12 19 8" xfId="11223"/>
    <cellStyle name="Normal 12 19 9" xfId="16962"/>
    <cellStyle name="Normal 12 19_LNG &amp; LPG rework" xfId="6840"/>
    <cellStyle name="Normal 12 2" xfId="348"/>
    <cellStyle name="Normal 12 2 10" xfId="2493"/>
    <cellStyle name="Normal 12 2 10 2" xfId="11238"/>
    <cellStyle name="Normal 12 2 10 3" xfId="16978"/>
    <cellStyle name="Normal 12 2 11" xfId="2494"/>
    <cellStyle name="Normal 12 2 11 2" xfId="11239"/>
    <cellStyle name="Normal 12 2 11 3" xfId="16979"/>
    <cellStyle name="Normal 12 2 12" xfId="9196"/>
    <cellStyle name="Normal 12 2 13" xfId="16977"/>
    <cellStyle name="Normal 12 2 2" xfId="349"/>
    <cellStyle name="Normal 12 2 2 10" xfId="2495"/>
    <cellStyle name="Normal 12 2 2 10 2" xfId="11240"/>
    <cellStyle name="Normal 12 2 2 10 3" xfId="16981"/>
    <cellStyle name="Normal 12 2 2 11" xfId="9197"/>
    <cellStyle name="Normal 12 2 2 12" xfId="16980"/>
    <cellStyle name="Normal 12 2 2 2" xfId="350"/>
    <cellStyle name="Normal 12 2 2 2 10" xfId="16982"/>
    <cellStyle name="Normal 12 2 2 2 2" xfId="351"/>
    <cellStyle name="Normal 12 2 2 2 2 2" xfId="2496"/>
    <cellStyle name="Normal 12 2 2 2 2 2 2" xfId="11241"/>
    <cellStyle name="Normal 12 2 2 2 2 2 3" xfId="16984"/>
    <cellStyle name="Normal 12 2 2 2 2 3" xfId="2497"/>
    <cellStyle name="Normal 12 2 2 2 2 3 2" xfId="11242"/>
    <cellStyle name="Normal 12 2 2 2 2 3 3" xfId="16985"/>
    <cellStyle name="Normal 12 2 2 2 2 4" xfId="2498"/>
    <cellStyle name="Normal 12 2 2 2 2 4 2" xfId="11243"/>
    <cellStyle name="Normal 12 2 2 2 2 4 3" xfId="16986"/>
    <cellStyle name="Normal 12 2 2 2 2 5" xfId="2499"/>
    <cellStyle name="Normal 12 2 2 2 2 5 2" xfId="11244"/>
    <cellStyle name="Normal 12 2 2 2 2 5 3" xfId="16987"/>
    <cellStyle name="Normal 12 2 2 2 2 6" xfId="2500"/>
    <cellStyle name="Normal 12 2 2 2 2 6 2" xfId="11245"/>
    <cellStyle name="Normal 12 2 2 2 2 6 3" xfId="16988"/>
    <cellStyle name="Normal 12 2 2 2 2 7" xfId="9199"/>
    <cellStyle name="Normal 12 2 2 2 2 8" xfId="16983"/>
    <cellStyle name="Normal 12 2 2 2 2_LNG &amp; LPG rework" xfId="6844"/>
    <cellStyle name="Normal 12 2 2 2 3" xfId="2501"/>
    <cellStyle name="Normal 12 2 2 2 3 2" xfId="2502"/>
    <cellStyle name="Normal 12 2 2 2 3 2 2" xfId="11247"/>
    <cellStyle name="Normal 12 2 2 2 3 2 3" xfId="16990"/>
    <cellStyle name="Normal 12 2 2 2 3 3" xfId="2503"/>
    <cellStyle name="Normal 12 2 2 2 3 3 2" xfId="11248"/>
    <cellStyle name="Normal 12 2 2 2 3 3 3" xfId="16991"/>
    <cellStyle name="Normal 12 2 2 2 3 4" xfId="2504"/>
    <cellStyle name="Normal 12 2 2 2 3 4 2" xfId="11249"/>
    <cellStyle name="Normal 12 2 2 2 3 4 3" xfId="16992"/>
    <cellStyle name="Normal 12 2 2 2 3 5" xfId="2505"/>
    <cellStyle name="Normal 12 2 2 2 3 5 2" xfId="11250"/>
    <cellStyle name="Normal 12 2 2 2 3 5 3" xfId="16993"/>
    <cellStyle name="Normal 12 2 2 2 3 6" xfId="11246"/>
    <cellStyle name="Normal 12 2 2 2 3 7" xfId="16989"/>
    <cellStyle name="Normal 12 2 2 2 3_LNG &amp; LPG rework" xfId="6846"/>
    <cellStyle name="Normal 12 2 2 2 4" xfId="2506"/>
    <cellStyle name="Normal 12 2 2 2 4 2" xfId="11251"/>
    <cellStyle name="Normal 12 2 2 2 4 3" xfId="16994"/>
    <cellStyle name="Normal 12 2 2 2 5" xfId="2507"/>
    <cellStyle name="Normal 12 2 2 2 5 2" xfId="11252"/>
    <cellStyle name="Normal 12 2 2 2 5 3" xfId="16995"/>
    <cellStyle name="Normal 12 2 2 2 6" xfId="2508"/>
    <cellStyle name="Normal 12 2 2 2 6 2" xfId="11253"/>
    <cellStyle name="Normal 12 2 2 2 6 3" xfId="16996"/>
    <cellStyle name="Normal 12 2 2 2 7" xfId="2509"/>
    <cellStyle name="Normal 12 2 2 2 7 2" xfId="11254"/>
    <cellStyle name="Normal 12 2 2 2 7 3" xfId="16997"/>
    <cellStyle name="Normal 12 2 2 2 8" xfId="2510"/>
    <cellStyle name="Normal 12 2 2 2 8 2" xfId="11255"/>
    <cellStyle name="Normal 12 2 2 2 8 3" xfId="16998"/>
    <cellStyle name="Normal 12 2 2 2 9" xfId="9198"/>
    <cellStyle name="Normal 12 2 2 2_LNG &amp; LPG rework" xfId="6845"/>
    <cellStyle name="Normal 12 2 2 3" xfId="352"/>
    <cellStyle name="Normal 12 2 2 3 2" xfId="2511"/>
    <cellStyle name="Normal 12 2 2 3 2 2" xfId="11256"/>
    <cellStyle name="Normal 12 2 2 3 2 3" xfId="17000"/>
    <cellStyle name="Normal 12 2 2 3 3" xfId="2512"/>
    <cellStyle name="Normal 12 2 2 3 3 2" xfId="11257"/>
    <cellStyle name="Normal 12 2 2 3 3 3" xfId="17001"/>
    <cellStyle name="Normal 12 2 2 3 4" xfId="2513"/>
    <cellStyle name="Normal 12 2 2 3 4 2" xfId="11258"/>
    <cellStyle name="Normal 12 2 2 3 4 3" xfId="17002"/>
    <cellStyle name="Normal 12 2 2 3 5" xfId="2514"/>
    <cellStyle name="Normal 12 2 2 3 5 2" xfId="11259"/>
    <cellStyle name="Normal 12 2 2 3 5 3" xfId="17003"/>
    <cellStyle name="Normal 12 2 2 3 6" xfId="2515"/>
    <cellStyle name="Normal 12 2 2 3 6 2" xfId="11260"/>
    <cellStyle name="Normal 12 2 2 3 6 3" xfId="17004"/>
    <cellStyle name="Normal 12 2 2 3 7" xfId="9200"/>
    <cellStyle name="Normal 12 2 2 3 8" xfId="16999"/>
    <cellStyle name="Normal 12 2 2 3_LNG &amp; LPG rework" xfId="6848"/>
    <cellStyle name="Normal 12 2 2 4" xfId="2516"/>
    <cellStyle name="Normal 12 2 2 4 2" xfId="2517"/>
    <cellStyle name="Normal 12 2 2 4 2 2" xfId="11262"/>
    <cellStyle name="Normal 12 2 2 4 2 3" xfId="17006"/>
    <cellStyle name="Normal 12 2 2 4 3" xfId="2518"/>
    <cellStyle name="Normal 12 2 2 4 3 2" xfId="11263"/>
    <cellStyle name="Normal 12 2 2 4 3 3" xfId="17007"/>
    <cellStyle name="Normal 12 2 2 4 4" xfId="2519"/>
    <cellStyle name="Normal 12 2 2 4 4 2" xfId="11264"/>
    <cellStyle name="Normal 12 2 2 4 4 3" xfId="17008"/>
    <cellStyle name="Normal 12 2 2 4 5" xfId="2520"/>
    <cellStyle name="Normal 12 2 2 4 5 2" xfId="11265"/>
    <cellStyle name="Normal 12 2 2 4 5 3" xfId="17009"/>
    <cellStyle name="Normal 12 2 2 4 6" xfId="11261"/>
    <cellStyle name="Normal 12 2 2 4 7" xfId="17005"/>
    <cellStyle name="Normal 12 2 2 4_LNG &amp; LPG rework" xfId="6849"/>
    <cellStyle name="Normal 12 2 2 5" xfId="2521"/>
    <cellStyle name="Normal 12 2 2 5 2" xfId="2522"/>
    <cellStyle name="Normal 12 2 2 5 2 2" xfId="11267"/>
    <cellStyle name="Normal 12 2 2 5 2 3" xfId="17011"/>
    <cellStyle name="Normal 12 2 2 5 3" xfId="2523"/>
    <cellStyle name="Normal 12 2 2 5 3 2" xfId="11268"/>
    <cellStyle name="Normal 12 2 2 5 3 3" xfId="17012"/>
    <cellStyle name="Normal 12 2 2 5 4" xfId="2524"/>
    <cellStyle name="Normal 12 2 2 5 4 2" xfId="11269"/>
    <cellStyle name="Normal 12 2 2 5 4 3" xfId="17013"/>
    <cellStyle name="Normal 12 2 2 5 5" xfId="2525"/>
    <cellStyle name="Normal 12 2 2 5 5 2" xfId="11270"/>
    <cellStyle name="Normal 12 2 2 5 5 3" xfId="17014"/>
    <cellStyle name="Normal 12 2 2 5 6" xfId="11266"/>
    <cellStyle name="Normal 12 2 2 5 7" xfId="17010"/>
    <cellStyle name="Normal 12 2 2 5_LNG &amp; LPG rework" xfId="6850"/>
    <cellStyle name="Normal 12 2 2 6" xfId="2526"/>
    <cellStyle name="Normal 12 2 2 6 2" xfId="11271"/>
    <cellStyle name="Normal 12 2 2 6 3" xfId="17015"/>
    <cellStyle name="Normal 12 2 2 7" xfId="2527"/>
    <cellStyle name="Normal 12 2 2 7 2" xfId="11272"/>
    <cellStyle name="Normal 12 2 2 7 3" xfId="17016"/>
    <cellStyle name="Normal 12 2 2 8" xfId="2528"/>
    <cellStyle name="Normal 12 2 2 8 2" xfId="11273"/>
    <cellStyle name="Normal 12 2 2 8 3" xfId="17017"/>
    <cellStyle name="Normal 12 2 2 9" xfId="2529"/>
    <cellStyle name="Normal 12 2 2 9 2" xfId="11274"/>
    <cellStyle name="Normal 12 2 2 9 3" xfId="17018"/>
    <cellStyle name="Normal 12 2 2_LNG &amp; LPG rework" xfId="6847"/>
    <cellStyle name="Normal 12 2 3" xfId="353"/>
    <cellStyle name="Normal 12 2 3 10" xfId="17019"/>
    <cellStyle name="Normal 12 2 3 2" xfId="354"/>
    <cellStyle name="Normal 12 2 3 2 2" xfId="2530"/>
    <cellStyle name="Normal 12 2 3 2 2 2" xfId="11275"/>
    <cellStyle name="Normal 12 2 3 2 2 3" xfId="17021"/>
    <cellStyle name="Normal 12 2 3 2 3" xfId="2531"/>
    <cellStyle name="Normal 12 2 3 2 3 2" xfId="11276"/>
    <cellStyle name="Normal 12 2 3 2 3 3" xfId="17022"/>
    <cellStyle name="Normal 12 2 3 2 4" xfId="2532"/>
    <cellStyle name="Normal 12 2 3 2 4 2" xfId="11277"/>
    <cellStyle name="Normal 12 2 3 2 4 3" xfId="17023"/>
    <cellStyle name="Normal 12 2 3 2 5" xfId="2533"/>
    <cellStyle name="Normal 12 2 3 2 5 2" xfId="11278"/>
    <cellStyle name="Normal 12 2 3 2 5 3" xfId="17024"/>
    <cellStyle name="Normal 12 2 3 2 6" xfId="2534"/>
    <cellStyle name="Normal 12 2 3 2 6 2" xfId="11279"/>
    <cellStyle name="Normal 12 2 3 2 6 3" xfId="17025"/>
    <cellStyle name="Normal 12 2 3 2 7" xfId="9202"/>
    <cellStyle name="Normal 12 2 3 2 8" xfId="17020"/>
    <cellStyle name="Normal 12 2 3 2_LNG &amp; LPG rework" xfId="6851"/>
    <cellStyle name="Normal 12 2 3 3" xfId="2535"/>
    <cellStyle name="Normal 12 2 3 3 2" xfId="2536"/>
    <cellStyle name="Normal 12 2 3 3 2 2" xfId="11281"/>
    <cellStyle name="Normal 12 2 3 3 2 3" xfId="17027"/>
    <cellStyle name="Normal 12 2 3 3 3" xfId="2537"/>
    <cellStyle name="Normal 12 2 3 3 3 2" xfId="11282"/>
    <cellStyle name="Normal 12 2 3 3 3 3" xfId="17028"/>
    <cellStyle name="Normal 12 2 3 3 4" xfId="2538"/>
    <cellStyle name="Normal 12 2 3 3 4 2" xfId="11283"/>
    <cellStyle name="Normal 12 2 3 3 4 3" xfId="17029"/>
    <cellStyle name="Normal 12 2 3 3 5" xfId="2539"/>
    <cellStyle name="Normal 12 2 3 3 5 2" xfId="11284"/>
    <cellStyle name="Normal 12 2 3 3 5 3" xfId="17030"/>
    <cellStyle name="Normal 12 2 3 3 6" xfId="11280"/>
    <cellStyle name="Normal 12 2 3 3 7" xfId="17026"/>
    <cellStyle name="Normal 12 2 3 3_LNG &amp; LPG rework" xfId="6853"/>
    <cellStyle name="Normal 12 2 3 4" xfId="2540"/>
    <cellStyle name="Normal 12 2 3 4 2" xfId="11285"/>
    <cellStyle name="Normal 12 2 3 4 3" xfId="17031"/>
    <cellStyle name="Normal 12 2 3 5" xfId="2541"/>
    <cellStyle name="Normal 12 2 3 5 2" xfId="11286"/>
    <cellStyle name="Normal 12 2 3 5 3" xfId="17032"/>
    <cellStyle name="Normal 12 2 3 6" xfId="2542"/>
    <cellStyle name="Normal 12 2 3 6 2" xfId="11287"/>
    <cellStyle name="Normal 12 2 3 6 3" xfId="17033"/>
    <cellStyle name="Normal 12 2 3 7" xfId="2543"/>
    <cellStyle name="Normal 12 2 3 7 2" xfId="11288"/>
    <cellStyle name="Normal 12 2 3 7 3" xfId="17034"/>
    <cellStyle name="Normal 12 2 3 8" xfId="2544"/>
    <cellStyle name="Normal 12 2 3 8 2" xfId="11289"/>
    <cellStyle name="Normal 12 2 3 8 3" xfId="17035"/>
    <cellStyle name="Normal 12 2 3 9" xfId="9201"/>
    <cellStyle name="Normal 12 2 3_LNG &amp; LPG rework" xfId="6852"/>
    <cellStyle name="Normal 12 2 4" xfId="355"/>
    <cellStyle name="Normal 12 2 4 2" xfId="2545"/>
    <cellStyle name="Normal 12 2 4 2 2" xfId="11290"/>
    <cellStyle name="Normal 12 2 4 2 3" xfId="17037"/>
    <cellStyle name="Normal 12 2 4 3" xfId="2546"/>
    <cellStyle name="Normal 12 2 4 3 2" xfId="11291"/>
    <cellStyle name="Normal 12 2 4 3 3" xfId="17038"/>
    <cellStyle name="Normal 12 2 4 4" xfId="2547"/>
    <cellStyle name="Normal 12 2 4 4 2" xfId="11292"/>
    <cellStyle name="Normal 12 2 4 4 3" xfId="17039"/>
    <cellStyle name="Normal 12 2 4 5" xfId="2548"/>
    <cellStyle name="Normal 12 2 4 5 2" xfId="11293"/>
    <cellStyle name="Normal 12 2 4 5 3" xfId="17040"/>
    <cellStyle name="Normal 12 2 4 6" xfId="2549"/>
    <cellStyle name="Normal 12 2 4 6 2" xfId="11294"/>
    <cellStyle name="Normal 12 2 4 6 3" xfId="17041"/>
    <cellStyle name="Normal 12 2 4 7" xfId="9203"/>
    <cellStyle name="Normal 12 2 4 8" xfId="17036"/>
    <cellStyle name="Normal 12 2 4_LNG &amp; LPG rework" xfId="6854"/>
    <cellStyle name="Normal 12 2 5" xfId="2550"/>
    <cellStyle name="Normal 12 2 5 2" xfId="2551"/>
    <cellStyle name="Normal 12 2 5 2 2" xfId="11296"/>
    <cellStyle name="Normal 12 2 5 2 3" xfId="17043"/>
    <cellStyle name="Normal 12 2 5 3" xfId="2552"/>
    <cellStyle name="Normal 12 2 5 3 2" xfId="11297"/>
    <cellStyle name="Normal 12 2 5 3 3" xfId="17044"/>
    <cellStyle name="Normal 12 2 5 4" xfId="2553"/>
    <cellStyle name="Normal 12 2 5 4 2" xfId="11298"/>
    <cellStyle name="Normal 12 2 5 4 3" xfId="17045"/>
    <cellStyle name="Normal 12 2 5 5" xfId="2554"/>
    <cellStyle name="Normal 12 2 5 5 2" xfId="11299"/>
    <cellStyle name="Normal 12 2 5 5 3" xfId="17046"/>
    <cellStyle name="Normal 12 2 5 6" xfId="11295"/>
    <cellStyle name="Normal 12 2 5 7" xfId="17042"/>
    <cellStyle name="Normal 12 2 5_LNG &amp; LPG rework" xfId="6855"/>
    <cellStyle name="Normal 12 2 6" xfId="2555"/>
    <cellStyle name="Normal 12 2 6 2" xfId="2556"/>
    <cellStyle name="Normal 12 2 6 2 2" xfId="11301"/>
    <cellStyle name="Normal 12 2 6 2 3" xfId="17048"/>
    <cellStyle name="Normal 12 2 6 3" xfId="2557"/>
    <cellStyle name="Normal 12 2 6 3 2" xfId="11302"/>
    <cellStyle name="Normal 12 2 6 3 3" xfId="17049"/>
    <cellStyle name="Normal 12 2 6 4" xfId="2558"/>
    <cellStyle name="Normal 12 2 6 4 2" xfId="11303"/>
    <cellStyle name="Normal 12 2 6 4 3" xfId="17050"/>
    <cellStyle name="Normal 12 2 6 5" xfId="2559"/>
    <cellStyle name="Normal 12 2 6 5 2" xfId="11304"/>
    <cellStyle name="Normal 12 2 6 5 3" xfId="17051"/>
    <cellStyle name="Normal 12 2 6 6" xfId="11300"/>
    <cellStyle name="Normal 12 2 6 7" xfId="17047"/>
    <cellStyle name="Normal 12 2 6_LNG &amp; LPG rework" xfId="6856"/>
    <cellStyle name="Normal 12 2 7" xfId="2560"/>
    <cellStyle name="Normal 12 2 7 2" xfId="11305"/>
    <cellStyle name="Normal 12 2 7 3" xfId="17052"/>
    <cellStyle name="Normal 12 2 8" xfId="2561"/>
    <cellStyle name="Normal 12 2 8 2" xfId="11306"/>
    <cellStyle name="Normal 12 2 8 3" xfId="17053"/>
    <cellStyle name="Normal 12 2 9" xfId="2562"/>
    <cellStyle name="Normal 12 2 9 2" xfId="11307"/>
    <cellStyle name="Normal 12 2 9 3" xfId="17054"/>
    <cellStyle name="Normal 12 2_LNG &amp; LPG rework" xfId="6843"/>
    <cellStyle name="Normal 12 20" xfId="2563"/>
    <cellStyle name="Normal 12 20 2" xfId="2564"/>
    <cellStyle name="Normal 12 20 2 2" xfId="2565"/>
    <cellStyle name="Normal 12 20 2 2 2" xfId="11310"/>
    <cellStyle name="Normal 12 20 2 2 3" xfId="17057"/>
    <cellStyle name="Normal 12 20 2 3" xfId="2566"/>
    <cellStyle name="Normal 12 20 2 3 2" xfId="11311"/>
    <cellStyle name="Normal 12 20 2 3 3" xfId="17058"/>
    <cellStyle name="Normal 12 20 2 4" xfId="2567"/>
    <cellStyle name="Normal 12 20 2 4 2" xfId="11312"/>
    <cellStyle name="Normal 12 20 2 4 3" xfId="17059"/>
    <cellStyle name="Normal 12 20 2 5" xfId="2568"/>
    <cellStyle name="Normal 12 20 2 5 2" xfId="11313"/>
    <cellStyle name="Normal 12 20 2 5 3" xfId="17060"/>
    <cellStyle name="Normal 12 20 2 6" xfId="11309"/>
    <cellStyle name="Normal 12 20 2 7" xfId="17056"/>
    <cellStyle name="Normal 12 20 2_LNG &amp; LPG rework" xfId="6857"/>
    <cellStyle name="Normal 12 20 3" xfId="2569"/>
    <cellStyle name="Normal 12 20 3 2" xfId="11314"/>
    <cellStyle name="Normal 12 20 3 3" xfId="17061"/>
    <cellStyle name="Normal 12 20 4" xfId="2570"/>
    <cellStyle name="Normal 12 20 4 2" xfId="11315"/>
    <cellStyle name="Normal 12 20 4 3" xfId="17062"/>
    <cellStyle name="Normal 12 20 5" xfId="2571"/>
    <cellStyle name="Normal 12 20 5 2" xfId="11316"/>
    <cellStyle name="Normal 12 20 5 3" xfId="17063"/>
    <cellStyle name="Normal 12 20 6" xfId="2572"/>
    <cellStyle name="Normal 12 20 6 2" xfId="11317"/>
    <cellStyle name="Normal 12 20 6 3" xfId="17064"/>
    <cellStyle name="Normal 12 20 7" xfId="11308"/>
    <cellStyle name="Normal 12 20 8" xfId="17055"/>
    <cellStyle name="Normal 12 20_LNG &amp; LPG rework" xfId="6859"/>
    <cellStyle name="Normal 12 21" xfId="2573"/>
    <cellStyle name="Normal 12 21 2" xfId="2574"/>
    <cellStyle name="Normal 12 21 2 2" xfId="11319"/>
    <cellStyle name="Normal 12 21 2 3" xfId="17066"/>
    <cellStyle name="Normal 12 21 3" xfId="2575"/>
    <cellStyle name="Normal 12 21 3 2" xfId="11320"/>
    <cellStyle name="Normal 12 21 3 3" xfId="17067"/>
    <cellStyle name="Normal 12 21 4" xfId="2576"/>
    <cellStyle name="Normal 12 21 4 2" xfId="11321"/>
    <cellStyle name="Normal 12 21 4 3" xfId="17068"/>
    <cellStyle name="Normal 12 21 5" xfId="2577"/>
    <cellStyle name="Normal 12 21 5 2" xfId="11322"/>
    <cellStyle name="Normal 12 21 5 3" xfId="17069"/>
    <cellStyle name="Normal 12 21 6" xfId="11318"/>
    <cellStyle name="Normal 12 21 7" xfId="17065"/>
    <cellStyle name="Normal 12 21_LNG &amp; LPG rework" xfId="6858"/>
    <cellStyle name="Normal 12 22" xfId="2578"/>
    <cellStyle name="Normal 12 22 2" xfId="2579"/>
    <cellStyle name="Normal 12 22 2 2" xfId="11324"/>
    <cellStyle name="Normal 12 22 2 3" xfId="17071"/>
    <cellStyle name="Normal 12 22 3" xfId="2580"/>
    <cellStyle name="Normal 12 22 3 2" xfId="11325"/>
    <cellStyle name="Normal 12 22 3 3" xfId="17072"/>
    <cellStyle name="Normal 12 22 4" xfId="2581"/>
    <cellStyle name="Normal 12 22 4 2" xfId="11326"/>
    <cellStyle name="Normal 12 22 4 3" xfId="17073"/>
    <cellStyle name="Normal 12 22 5" xfId="2582"/>
    <cellStyle name="Normal 12 22 5 2" xfId="11327"/>
    <cellStyle name="Normal 12 22 5 3" xfId="17074"/>
    <cellStyle name="Normal 12 22 6" xfId="11323"/>
    <cellStyle name="Normal 12 22 7" xfId="17070"/>
    <cellStyle name="Normal 12 22_LNG &amp; LPG rework" xfId="6860"/>
    <cellStyle name="Normal 12 23" xfId="2583"/>
    <cellStyle name="Normal 12 23 2" xfId="11328"/>
    <cellStyle name="Normal 12 23 3" xfId="17075"/>
    <cellStyle name="Normal 12 24" xfId="2584"/>
    <cellStyle name="Normal 12 24 2" xfId="11329"/>
    <cellStyle name="Normal 12 24 3" xfId="17076"/>
    <cellStyle name="Normal 12 25" xfId="2585"/>
    <cellStyle name="Normal 12 25 2" xfId="11330"/>
    <cellStyle name="Normal 12 25 3" xfId="17077"/>
    <cellStyle name="Normal 12 26" xfId="2586"/>
    <cellStyle name="Normal 12 26 2" xfId="11331"/>
    <cellStyle name="Normal 12 26 3" xfId="17078"/>
    <cellStyle name="Normal 12 27" xfId="2587"/>
    <cellStyle name="Normal 12 27 2" xfId="11332"/>
    <cellStyle name="Normal 12 27 3" xfId="17079"/>
    <cellStyle name="Normal 12 28" xfId="2588"/>
    <cellStyle name="Normal 12 28 2" xfId="11333"/>
    <cellStyle name="Normal 12 28 3" xfId="17080"/>
    <cellStyle name="Normal 12 29" xfId="9195"/>
    <cellStyle name="Normal 12 3" xfId="356"/>
    <cellStyle name="Normal 12 3 10" xfId="2589"/>
    <cellStyle name="Normal 12 3 10 2" xfId="11334"/>
    <cellStyle name="Normal 12 3 10 3" xfId="17082"/>
    <cellStyle name="Normal 12 3 11" xfId="9204"/>
    <cellStyle name="Normal 12 3 12" xfId="17081"/>
    <cellStyle name="Normal 12 3 2" xfId="357"/>
    <cellStyle name="Normal 12 3 2 10" xfId="17083"/>
    <cellStyle name="Normal 12 3 2 2" xfId="358"/>
    <cellStyle name="Normal 12 3 2 2 2" xfId="2590"/>
    <cellStyle name="Normal 12 3 2 2 2 2" xfId="11335"/>
    <cellStyle name="Normal 12 3 2 2 2 3" xfId="17085"/>
    <cellStyle name="Normal 12 3 2 2 3" xfId="2591"/>
    <cellStyle name="Normal 12 3 2 2 3 2" xfId="11336"/>
    <cellStyle name="Normal 12 3 2 2 3 3" xfId="17086"/>
    <cellStyle name="Normal 12 3 2 2 4" xfId="2592"/>
    <cellStyle name="Normal 12 3 2 2 4 2" xfId="11337"/>
    <cellStyle name="Normal 12 3 2 2 4 3" xfId="17087"/>
    <cellStyle name="Normal 12 3 2 2 5" xfId="2593"/>
    <cellStyle name="Normal 12 3 2 2 5 2" xfId="11338"/>
    <cellStyle name="Normal 12 3 2 2 5 3" xfId="17088"/>
    <cellStyle name="Normal 12 3 2 2 6" xfId="2594"/>
    <cellStyle name="Normal 12 3 2 2 6 2" xfId="11339"/>
    <cellStyle name="Normal 12 3 2 2 6 3" xfId="17089"/>
    <cellStyle name="Normal 12 3 2 2 7" xfId="9206"/>
    <cellStyle name="Normal 12 3 2 2 8" xfId="17084"/>
    <cellStyle name="Normal 12 3 2 2_LNG &amp; LPG rework" xfId="6732"/>
    <cellStyle name="Normal 12 3 2 3" xfId="2595"/>
    <cellStyle name="Normal 12 3 2 3 2" xfId="2596"/>
    <cellStyle name="Normal 12 3 2 3 2 2" xfId="11341"/>
    <cellStyle name="Normal 12 3 2 3 2 3" xfId="17091"/>
    <cellStyle name="Normal 12 3 2 3 3" xfId="2597"/>
    <cellStyle name="Normal 12 3 2 3 3 2" xfId="11342"/>
    <cellStyle name="Normal 12 3 2 3 3 3" xfId="17092"/>
    <cellStyle name="Normal 12 3 2 3 4" xfId="2598"/>
    <cellStyle name="Normal 12 3 2 3 4 2" xfId="11343"/>
    <cellStyle name="Normal 12 3 2 3 4 3" xfId="17093"/>
    <cellStyle name="Normal 12 3 2 3 5" xfId="2599"/>
    <cellStyle name="Normal 12 3 2 3 5 2" xfId="11344"/>
    <cellStyle name="Normal 12 3 2 3 5 3" xfId="17094"/>
    <cellStyle name="Normal 12 3 2 3 6" xfId="11340"/>
    <cellStyle name="Normal 12 3 2 3 7" xfId="17090"/>
    <cellStyle name="Normal 12 3 2 3_LNG &amp; LPG rework" xfId="6863"/>
    <cellStyle name="Normal 12 3 2 4" xfId="2600"/>
    <cellStyle name="Normal 12 3 2 4 2" xfId="11345"/>
    <cellStyle name="Normal 12 3 2 4 3" xfId="17095"/>
    <cellStyle name="Normal 12 3 2 5" xfId="2601"/>
    <cellStyle name="Normal 12 3 2 5 2" xfId="11346"/>
    <cellStyle name="Normal 12 3 2 5 3" xfId="17096"/>
    <cellStyle name="Normal 12 3 2 6" xfId="2602"/>
    <cellStyle name="Normal 12 3 2 6 2" xfId="11347"/>
    <cellStyle name="Normal 12 3 2 6 3" xfId="17097"/>
    <cellStyle name="Normal 12 3 2 7" xfId="2603"/>
    <cellStyle name="Normal 12 3 2 7 2" xfId="11348"/>
    <cellStyle name="Normal 12 3 2 7 3" xfId="17098"/>
    <cellStyle name="Normal 12 3 2 8" xfId="2604"/>
    <cellStyle name="Normal 12 3 2 8 2" xfId="11349"/>
    <cellStyle name="Normal 12 3 2 8 3" xfId="17099"/>
    <cellStyle name="Normal 12 3 2 9" xfId="9205"/>
    <cellStyle name="Normal 12 3 2_LNG &amp; LPG rework" xfId="6862"/>
    <cellStyle name="Normal 12 3 3" xfId="359"/>
    <cellStyle name="Normal 12 3 3 2" xfId="2605"/>
    <cellStyle name="Normal 12 3 3 2 2" xfId="11350"/>
    <cellStyle name="Normal 12 3 3 2 3" xfId="17101"/>
    <cellStyle name="Normal 12 3 3 3" xfId="2606"/>
    <cellStyle name="Normal 12 3 3 3 2" xfId="11351"/>
    <cellStyle name="Normal 12 3 3 3 3" xfId="17102"/>
    <cellStyle name="Normal 12 3 3 4" xfId="2607"/>
    <cellStyle name="Normal 12 3 3 4 2" xfId="11352"/>
    <cellStyle name="Normal 12 3 3 4 3" xfId="17103"/>
    <cellStyle name="Normal 12 3 3 5" xfId="2608"/>
    <cellStyle name="Normal 12 3 3 5 2" xfId="11353"/>
    <cellStyle name="Normal 12 3 3 5 3" xfId="17104"/>
    <cellStyle name="Normal 12 3 3 6" xfId="2609"/>
    <cellStyle name="Normal 12 3 3 6 2" xfId="11354"/>
    <cellStyle name="Normal 12 3 3 6 3" xfId="17105"/>
    <cellStyle name="Normal 12 3 3 7" xfId="9207"/>
    <cellStyle name="Normal 12 3 3 8" xfId="17100"/>
    <cellStyle name="Normal 12 3 3_LNG &amp; LPG rework" xfId="6864"/>
    <cellStyle name="Normal 12 3 4" xfId="2610"/>
    <cellStyle name="Normal 12 3 4 2" xfId="2611"/>
    <cellStyle name="Normal 12 3 4 2 2" xfId="11356"/>
    <cellStyle name="Normal 12 3 4 2 3" xfId="17107"/>
    <cellStyle name="Normal 12 3 4 3" xfId="2612"/>
    <cellStyle name="Normal 12 3 4 3 2" xfId="11357"/>
    <cellStyle name="Normal 12 3 4 3 3" xfId="17108"/>
    <cellStyle name="Normal 12 3 4 4" xfId="2613"/>
    <cellStyle name="Normal 12 3 4 4 2" xfId="11358"/>
    <cellStyle name="Normal 12 3 4 4 3" xfId="17109"/>
    <cellStyle name="Normal 12 3 4 5" xfId="2614"/>
    <cellStyle name="Normal 12 3 4 5 2" xfId="11359"/>
    <cellStyle name="Normal 12 3 4 5 3" xfId="17110"/>
    <cellStyle name="Normal 12 3 4 6" xfId="11355"/>
    <cellStyle name="Normal 12 3 4 7" xfId="17106"/>
    <cellStyle name="Normal 12 3 4_LNG &amp; LPG rework" xfId="6865"/>
    <cellStyle name="Normal 12 3 5" xfId="2615"/>
    <cellStyle name="Normal 12 3 5 2" xfId="2616"/>
    <cellStyle name="Normal 12 3 5 2 2" xfId="11361"/>
    <cellStyle name="Normal 12 3 5 2 3" xfId="17112"/>
    <cellStyle name="Normal 12 3 5 3" xfId="2617"/>
    <cellStyle name="Normal 12 3 5 3 2" xfId="11362"/>
    <cellStyle name="Normal 12 3 5 3 3" xfId="17113"/>
    <cellStyle name="Normal 12 3 5 4" xfId="2618"/>
    <cellStyle name="Normal 12 3 5 4 2" xfId="11363"/>
    <cellStyle name="Normal 12 3 5 4 3" xfId="17114"/>
    <cellStyle name="Normal 12 3 5 5" xfId="2619"/>
    <cellStyle name="Normal 12 3 5 5 2" xfId="11364"/>
    <cellStyle name="Normal 12 3 5 5 3" xfId="17115"/>
    <cellStyle name="Normal 12 3 5 6" xfId="11360"/>
    <cellStyle name="Normal 12 3 5 7" xfId="17111"/>
    <cellStyle name="Normal 12 3 5_LNG &amp; LPG rework" xfId="6866"/>
    <cellStyle name="Normal 12 3 6" xfId="2620"/>
    <cellStyle name="Normal 12 3 6 2" xfId="11365"/>
    <cellStyle name="Normal 12 3 6 3" xfId="17116"/>
    <cellStyle name="Normal 12 3 7" xfId="2621"/>
    <cellStyle name="Normal 12 3 7 2" xfId="11366"/>
    <cellStyle name="Normal 12 3 7 3" xfId="17117"/>
    <cellStyle name="Normal 12 3 8" xfId="2622"/>
    <cellStyle name="Normal 12 3 8 2" xfId="11367"/>
    <cellStyle name="Normal 12 3 8 3" xfId="17118"/>
    <cellStyle name="Normal 12 3 9" xfId="2623"/>
    <cellStyle name="Normal 12 3 9 2" xfId="11368"/>
    <cellStyle name="Normal 12 3 9 3" xfId="17119"/>
    <cellStyle name="Normal 12 3_LNG &amp; LPG rework" xfId="6861"/>
    <cellStyle name="Normal 12 30" xfId="14954"/>
    <cellStyle name="Normal 12 4" xfId="360"/>
    <cellStyle name="Normal 12 4 10" xfId="17120"/>
    <cellStyle name="Normal 12 4 2" xfId="361"/>
    <cellStyle name="Normal 12 4 2 2" xfId="2624"/>
    <cellStyle name="Normal 12 4 2 2 2" xfId="11369"/>
    <cellStyle name="Normal 12 4 2 2 3" xfId="17122"/>
    <cellStyle name="Normal 12 4 2 3" xfId="2625"/>
    <cellStyle name="Normal 12 4 2 3 2" xfId="11370"/>
    <cellStyle name="Normal 12 4 2 3 3" xfId="17123"/>
    <cellStyle name="Normal 12 4 2 4" xfId="2626"/>
    <cellStyle name="Normal 12 4 2 4 2" xfId="11371"/>
    <cellStyle name="Normal 12 4 2 4 3" xfId="17124"/>
    <cellStyle name="Normal 12 4 2 5" xfId="2627"/>
    <cellStyle name="Normal 12 4 2 5 2" xfId="11372"/>
    <cellStyle name="Normal 12 4 2 5 3" xfId="17125"/>
    <cellStyle name="Normal 12 4 2 6" xfId="2628"/>
    <cellStyle name="Normal 12 4 2 6 2" xfId="11373"/>
    <cellStyle name="Normal 12 4 2 6 3" xfId="17126"/>
    <cellStyle name="Normal 12 4 2 7" xfId="9209"/>
    <cellStyle name="Normal 12 4 2 8" xfId="17121"/>
    <cellStyle name="Normal 12 4 2_LNG &amp; LPG rework" xfId="6675"/>
    <cellStyle name="Normal 12 4 3" xfId="2629"/>
    <cellStyle name="Normal 12 4 3 2" xfId="2630"/>
    <cellStyle name="Normal 12 4 3 2 2" xfId="11375"/>
    <cellStyle name="Normal 12 4 3 2 3" xfId="17128"/>
    <cellStyle name="Normal 12 4 3 3" xfId="2631"/>
    <cellStyle name="Normal 12 4 3 3 2" xfId="11376"/>
    <cellStyle name="Normal 12 4 3 3 3" xfId="17129"/>
    <cellStyle name="Normal 12 4 3 4" xfId="2632"/>
    <cellStyle name="Normal 12 4 3 4 2" xfId="11377"/>
    <cellStyle name="Normal 12 4 3 4 3" xfId="17130"/>
    <cellStyle name="Normal 12 4 3 5" xfId="2633"/>
    <cellStyle name="Normal 12 4 3 5 2" xfId="11378"/>
    <cellStyle name="Normal 12 4 3 5 3" xfId="17131"/>
    <cellStyle name="Normal 12 4 3 6" xfId="11374"/>
    <cellStyle name="Normal 12 4 3 7" xfId="17127"/>
    <cellStyle name="Normal 12 4 3_LNG &amp; LPG rework" xfId="6867"/>
    <cellStyle name="Normal 12 4 4" xfId="2634"/>
    <cellStyle name="Normal 12 4 4 2" xfId="11379"/>
    <cellStyle name="Normal 12 4 4 3" xfId="17132"/>
    <cellStyle name="Normal 12 4 5" xfId="2635"/>
    <cellStyle name="Normal 12 4 5 2" xfId="11380"/>
    <cellStyle name="Normal 12 4 5 3" xfId="17133"/>
    <cellStyle name="Normal 12 4 6" xfId="2636"/>
    <cellStyle name="Normal 12 4 6 2" xfId="11381"/>
    <cellStyle name="Normal 12 4 6 3" xfId="17134"/>
    <cellStyle name="Normal 12 4 7" xfId="2637"/>
    <cellStyle name="Normal 12 4 7 2" xfId="11382"/>
    <cellStyle name="Normal 12 4 7 3" xfId="17135"/>
    <cellStyle name="Normal 12 4 8" xfId="2638"/>
    <cellStyle name="Normal 12 4 8 2" xfId="11383"/>
    <cellStyle name="Normal 12 4 8 3" xfId="17136"/>
    <cellStyle name="Normal 12 4 9" xfId="9208"/>
    <cellStyle name="Normal 12 4_LNG &amp; LPG rework" xfId="6676"/>
    <cellStyle name="Normal 12 5" xfId="362"/>
    <cellStyle name="Normal 12 5 10" xfId="17137"/>
    <cellStyle name="Normal 12 5 2" xfId="2639"/>
    <cellStyle name="Normal 12 5 2 2" xfId="2640"/>
    <cellStyle name="Normal 12 5 2 2 2" xfId="11385"/>
    <cellStyle name="Normal 12 5 2 2 3" xfId="17139"/>
    <cellStyle name="Normal 12 5 2 3" xfId="2641"/>
    <cellStyle name="Normal 12 5 2 3 2" xfId="11386"/>
    <cellStyle name="Normal 12 5 2 3 3" xfId="17140"/>
    <cellStyle name="Normal 12 5 2 4" xfId="2642"/>
    <cellStyle name="Normal 12 5 2 4 2" xfId="11387"/>
    <cellStyle name="Normal 12 5 2 4 3" xfId="17141"/>
    <cellStyle name="Normal 12 5 2 5" xfId="2643"/>
    <cellStyle name="Normal 12 5 2 5 2" xfId="11388"/>
    <cellStyle name="Normal 12 5 2 5 3" xfId="17142"/>
    <cellStyle name="Normal 12 5 2 6" xfId="11384"/>
    <cellStyle name="Normal 12 5 2 7" xfId="17138"/>
    <cellStyle name="Normal 12 5 2_LNG &amp; LPG rework" xfId="6868"/>
    <cellStyle name="Normal 12 5 3" xfId="2644"/>
    <cellStyle name="Normal 12 5 3 2" xfId="2645"/>
    <cellStyle name="Normal 12 5 3 2 2" xfId="11390"/>
    <cellStyle name="Normal 12 5 3 2 3" xfId="17144"/>
    <cellStyle name="Normal 12 5 3 3" xfId="2646"/>
    <cellStyle name="Normal 12 5 3 3 2" xfId="11391"/>
    <cellStyle name="Normal 12 5 3 3 3" xfId="17145"/>
    <cellStyle name="Normal 12 5 3 4" xfId="2647"/>
    <cellStyle name="Normal 12 5 3 4 2" xfId="11392"/>
    <cellStyle name="Normal 12 5 3 4 3" xfId="17146"/>
    <cellStyle name="Normal 12 5 3 5" xfId="2648"/>
    <cellStyle name="Normal 12 5 3 5 2" xfId="11393"/>
    <cellStyle name="Normal 12 5 3 5 3" xfId="17147"/>
    <cellStyle name="Normal 12 5 3 6" xfId="11389"/>
    <cellStyle name="Normal 12 5 3 7" xfId="17143"/>
    <cellStyle name="Normal 12 5 3_LNG &amp; LPG rework" xfId="6870"/>
    <cellStyle name="Normal 12 5 4" xfId="2649"/>
    <cellStyle name="Normal 12 5 4 2" xfId="11394"/>
    <cellStyle name="Normal 12 5 4 3" xfId="17148"/>
    <cellStyle name="Normal 12 5 5" xfId="2650"/>
    <cellStyle name="Normal 12 5 5 2" xfId="11395"/>
    <cellStyle name="Normal 12 5 5 3" xfId="17149"/>
    <cellStyle name="Normal 12 5 6" xfId="2651"/>
    <cellStyle name="Normal 12 5 6 2" xfId="11396"/>
    <cellStyle name="Normal 12 5 6 3" xfId="17150"/>
    <cellStyle name="Normal 12 5 7" xfId="2652"/>
    <cellStyle name="Normal 12 5 7 2" xfId="11397"/>
    <cellStyle name="Normal 12 5 7 3" xfId="17151"/>
    <cellStyle name="Normal 12 5 8" xfId="2653"/>
    <cellStyle name="Normal 12 5 8 2" xfId="11398"/>
    <cellStyle name="Normal 12 5 8 3" xfId="17152"/>
    <cellStyle name="Normal 12 5 9" xfId="9210"/>
    <cellStyle name="Normal 12 5_LNG &amp; LPG rework" xfId="6869"/>
    <cellStyle name="Normal 12 6" xfId="2654"/>
    <cellStyle name="Normal 12 7" xfId="2655"/>
    <cellStyle name="Normal 12 7 2" xfId="2656"/>
    <cellStyle name="Normal 12 7 2 2" xfId="2657"/>
    <cellStyle name="Normal 12 7 2 2 2" xfId="11401"/>
    <cellStyle name="Normal 12 7 2 2 3" xfId="17155"/>
    <cellStyle name="Normal 12 7 2 3" xfId="2658"/>
    <cellStyle name="Normal 12 7 2 3 2" xfId="11402"/>
    <cellStyle name="Normal 12 7 2 3 3" xfId="17156"/>
    <cellStyle name="Normal 12 7 2 4" xfId="2659"/>
    <cellStyle name="Normal 12 7 2 4 2" xfId="11403"/>
    <cellStyle name="Normal 12 7 2 4 3" xfId="17157"/>
    <cellStyle name="Normal 12 7 2 5" xfId="2660"/>
    <cellStyle name="Normal 12 7 2 5 2" xfId="11404"/>
    <cellStyle name="Normal 12 7 2 5 3" xfId="17158"/>
    <cellStyle name="Normal 12 7 2 6" xfId="11400"/>
    <cellStyle name="Normal 12 7 2 7" xfId="17154"/>
    <cellStyle name="Normal 12 7 2_LNG &amp; LPG rework" xfId="6871"/>
    <cellStyle name="Normal 12 7 3" xfId="2661"/>
    <cellStyle name="Normal 12 7 3 2" xfId="2662"/>
    <cellStyle name="Normal 12 7 3 2 2" xfId="11406"/>
    <cellStyle name="Normal 12 7 3 2 3" xfId="17160"/>
    <cellStyle name="Normal 12 7 3 3" xfId="2663"/>
    <cellStyle name="Normal 12 7 3 3 2" xfId="11407"/>
    <cellStyle name="Normal 12 7 3 3 3" xfId="17161"/>
    <cellStyle name="Normal 12 7 3 4" xfId="2664"/>
    <cellStyle name="Normal 12 7 3 4 2" xfId="11408"/>
    <cellStyle name="Normal 12 7 3 4 3" xfId="17162"/>
    <cellStyle name="Normal 12 7 3 5" xfId="2665"/>
    <cellStyle name="Normal 12 7 3 5 2" xfId="11409"/>
    <cellStyle name="Normal 12 7 3 5 3" xfId="17163"/>
    <cellStyle name="Normal 12 7 3 6" xfId="11405"/>
    <cellStyle name="Normal 12 7 3 7" xfId="17159"/>
    <cellStyle name="Normal 12 7 3_LNG &amp; LPG rework" xfId="6875"/>
    <cellStyle name="Normal 12 7 4" xfId="2666"/>
    <cellStyle name="Normal 12 7 4 2" xfId="11410"/>
    <cellStyle name="Normal 12 7 4 3" xfId="17164"/>
    <cellStyle name="Normal 12 7 5" xfId="2667"/>
    <cellStyle name="Normal 12 7 5 2" xfId="11411"/>
    <cellStyle name="Normal 12 7 5 3" xfId="17165"/>
    <cellStyle name="Normal 12 7 6" xfId="2668"/>
    <cellStyle name="Normal 12 7 6 2" xfId="11412"/>
    <cellStyle name="Normal 12 7 6 3" xfId="17166"/>
    <cellStyle name="Normal 12 7 7" xfId="2669"/>
    <cellStyle name="Normal 12 7 7 2" xfId="11413"/>
    <cellStyle name="Normal 12 7 7 3" xfId="17167"/>
    <cellStyle name="Normal 12 7 8" xfId="11399"/>
    <cellStyle name="Normal 12 7 9" xfId="17153"/>
    <cellStyle name="Normal 12 7_LNG &amp; LPG rework" xfId="6872"/>
    <cellStyle name="Normal 12 8" xfId="2670"/>
    <cellStyle name="Normal 12 8 2" xfId="2671"/>
    <cellStyle name="Normal 12 8 2 2" xfId="2672"/>
    <cellStyle name="Normal 12 8 2 2 2" xfId="11416"/>
    <cellStyle name="Normal 12 8 2 2 3" xfId="17170"/>
    <cellStyle name="Normal 12 8 2 3" xfId="2673"/>
    <cellStyle name="Normal 12 8 2 3 2" xfId="11417"/>
    <cellStyle name="Normal 12 8 2 3 3" xfId="17171"/>
    <cellStyle name="Normal 12 8 2 4" xfId="2674"/>
    <cellStyle name="Normal 12 8 2 4 2" xfId="11418"/>
    <cellStyle name="Normal 12 8 2 4 3" xfId="17172"/>
    <cellStyle name="Normal 12 8 2 5" xfId="2675"/>
    <cellStyle name="Normal 12 8 2 5 2" xfId="11419"/>
    <cellStyle name="Normal 12 8 2 5 3" xfId="17173"/>
    <cellStyle name="Normal 12 8 2 6" xfId="11415"/>
    <cellStyle name="Normal 12 8 2 7" xfId="17169"/>
    <cellStyle name="Normal 12 8 2_LNG &amp; LPG rework" xfId="6874"/>
    <cellStyle name="Normal 12 8 3" xfId="2676"/>
    <cellStyle name="Normal 12 8 3 2" xfId="2677"/>
    <cellStyle name="Normal 12 8 3 2 2" xfId="11421"/>
    <cellStyle name="Normal 12 8 3 2 3" xfId="17175"/>
    <cellStyle name="Normal 12 8 3 3" xfId="2678"/>
    <cellStyle name="Normal 12 8 3 3 2" xfId="11422"/>
    <cellStyle name="Normal 12 8 3 3 3" xfId="17176"/>
    <cellStyle name="Normal 12 8 3 4" xfId="2679"/>
    <cellStyle name="Normal 12 8 3 4 2" xfId="11423"/>
    <cellStyle name="Normal 12 8 3 4 3" xfId="17177"/>
    <cellStyle name="Normal 12 8 3 5" xfId="2680"/>
    <cellStyle name="Normal 12 8 3 5 2" xfId="11424"/>
    <cellStyle name="Normal 12 8 3 5 3" xfId="17178"/>
    <cellStyle name="Normal 12 8 3 6" xfId="11420"/>
    <cellStyle name="Normal 12 8 3 7" xfId="17174"/>
    <cellStyle name="Normal 12 8 3_LNG &amp; LPG rework" xfId="6674"/>
    <cellStyle name="Normal 12 8 4" xfId="2681"/>
    <cellStyle name="Normal 12 8 4 2" xfId="11425"/>
    <cellStyle name="Normal 12 8 4 3" xfId="17179"/>
    <cellStyle name="Normal 12 8 5" xfId="2682"/>
    <cellStyle name="Normal 12 8 5 2" xfId="11426"/>
    <cellStyle name="Normal 12 8 5 3" xfId="17180"/>
    <cellStyle name="Normal 12 8 6" xfId="2683"/>
    <cellStyle name="Normal 12 8 6 2" xfId="11427"/>
    <cellStyle name="Normal 12 8 6 3" xfId="17181"/>
    <cellStyle name="Normal 12 8 7" xfId="2684"/>
    <cellStyle name="Normal 12 8 7 2" xfId="11428"/>
    <cellStyle name="Normal 12 8 7 3" xfId="17182"/>
    <cellStyle name="Normal 12 8 8" xfId="11414"/>
    <cellStyle name="Normal 12 8 9" xfId="17168"/>
    <cellStyle name="Normal 12 8_LNG &amp; LPG rework" xfId="6873"/>
    <cellStyle name="Normal 12 9" xfId="2685"/>
    <cellStyle name="Normal 12 9 2" xfId="2686"/>
    <cellStyle name="Normal 12 9 2 2" xfId="2687"/>
    <cellStyle name="Normal 12 9 2 2 2" xfId="11431"/>
    <cellStyle name="Normal 12 9 2 2 3" xfId="17185"/>
    <cellStyle name="Normal 12 9 2 3" xfId="2688"/>
    <cellStyle name="Normal 12 9 2 3 2" xfId="11432"/>
    <cellStyle name="Normal 12 9 2 3 3" xfId="17186"/>
    <cellStyle name="Normal 12 9 2 4" xfId="2689"/>
    <cellStyle name="Normal 12 9 2 4 2" xfId="11433"/>
    <cellStyle name="Normal 12 9 2 4 3" xfId="17187"/>
    <cellStyle name="Normal 12 9 2 5" xfId="2690"/>
    <cellStyle name="Normal 12 9 2 5 2" xfId="11434"/>
    <cellStyle name="Normal 12 9 2 5 3" xfId="17188"/>
    <cellStyle name="Normal 12 9 2 6" xfId="11430"/>
    <cellStyle name="Normal 12 9 2 7" xfId="17184"/>
    <cellStyle name="Normal 12 9 2_LNG &amp; LPG rework" xfId="6672"/>
    <cellStyle name="Normal 12 9 3" xfId="2691"/>
    <cellStyle name="Normal 12 9 3 2" xfId="2692"/>
    <cellStyle name="Normal 12 9 3 2 2" xfId="11436"/>
    <cellStyle name="Normal 12 9 3 2 3" xfId="17190"/>
    <cellStyle name="Normal 12 9 3 3" xfId="2693"/>
    <cellStyle name="Normal 12 9 3 3 2" xfId="11437"/>
    <cellStyle name="Normal 12 9 3 3 3" xfId="17191"/>
    <cellStyle name="Normal 12 9 3 4" xfId="2694"/>
    <cellStyle name="Normal 12 9 3 4 2" xfId="11438"/>
    <cellStyle name="Normal 12 9 3 4 3" xfId="17192"/>
    <cellStyle name="Normal 12 9 3 5" xfId="2695"/>
    <cellStyle name="Normal 12 9 3 5 2" xfId="11439"/>
    <cellStyle name="Normal 12 9 3 5 3" xfId="17193"/>
    <cellStyle name="Normal 12 9 3 6" xfId="11435"/>
    <cellStyle name="Normal 12 9 3 7" xfId="17189"/>
    <cellStyle name="Normal 12 9 3_LNG &amp; LPG rework" xfId="6671"/>
    <cellStyle name="Normal 12 9 4" xfId="2696"/>
    <cellStyle name="Normal 12 9 4 2" xfId="11440"/>
    <cellStyle name="Normal 12 9 4 3" xfId="17194"/>
    <cellStyle name="Normal 12 9 5" xfId="2697"/>
    <cellStyle name="Normal 12 9 5 2" xfId="11441"/>
    <cellStyle name="Normal 12 9 5 3" xfId="17195"/>
    <cellStyle name="Normal 12 9 6" xfId="2698"/>
    <cellStyle name="Normal 12 9 6 2" xfId="11442"/>
    <cellStyle name="Normal 12 9 6 3" xfId="17196"/>
    <cellStyle name="Normal 12 9 7" xfId="2699"/>
    <cellStyle name="Normal 12 9 7 2" xfId="11443"/>
    <cellStyle name="Normal 12 9 7 3" xfId="17197"/>
    <cellStyle name="Normal 12 9 8" xfId="11429"/>
    <cellStyle name="Normal 12 9 9" xfId="17183"/>
    <cellStyle name="Normal 12 9_LNG &amp; LPG rework" xfId="6673"/>
    <cellStyle name="Normal 12_2015  Data" xfId="363"/>
    <cellStyle name="Normal 120" xfId="2700"/>
    <cellStyle name="Normal 121" xfId="2701"/>
    <cellStyle name="Normal 122" xfId="2702"/>
    <cellStyle name="Normal 123" xfId="2703"/>
    <cellStyle name="Normal 124" xfId="2704"/>
    <cellStyle name="Normal 125" xfId="2705"/>
    <cellStyle name="Normal 126" xfId="2706"/>
    <cellStyle name="Normal 127" xfId="2707"/>
    <cellStyle name="Normal 128" xfId="2708"/>
    <cellStyle name="Normal 129" xfId="2709"/>
    <cellStyle name="Normal 13" xfId="364"/>
    <cellStyle name="Normal 13 10" xfId="2710"/>
    <cellStyle name="Normal 13 11" xfId="2711"/>
    <cellStyle name="Normal 13 12" xfId="15011"/>
    <cellStyle name="Normal 13 13" xfId="7832"/>
    <cellStyle name="Normal 13 2" xfId="2712"/>
    <cellStyle name="Normal 13 2 2" xfId="2713"/>
    <cellStyle name="Normal 13 3" xfId="2714"/>
    <cellStyle name="Normal 13 3 2" xfId="2715"/>
    <cellStyle name="Normal 13 4" xfId="2716"/>
    <cellStyle name="Normal 13 5" xfId="2717"/>
    <cellStyle name="Normal 13 5 2" xfId="2718"/>
    <cellStyle name="Normal 13 6" xfId="2719"/>
    <cellStyle name="Normal 13 6 2" xfId="2720"/>
    <cellStyle name="Normal 13 7" xfId="2721"/>
    <cellStyle name="Normal 13 7 2" xfId="2722"/>
    <cellStyle name="Normal 13 8" xfId="2723"/>
    <cellStyle name="Normal 13 9" xfId="2724"/>
    <cellStyle name="Normal 13_Data - Monthly Commodity Prices" xfId="6514"/>
    <cellStyle name="Normal 130" xfId="2725"/>
    <cellStyle name="Normal 131" xfId="2726"/>
    <cellStyle name="Normal 132" xfId="2727"/>
    <cellStyle name="Normal 133" xfId="2728"/>
    <cellStyle name="Normal 134" xfId="2729"/>
    <cellStyle name="Normal 135" xfId="2730"/>
    <cellStyle name="Normal 136" xfId="2731"/>
    <cellStyle name="Normal 137" xfId="2732"/>
    <cellStyle name="Normal 138" xfId="2733"/>
    <cellStyle name="Normal 139" xfId="2734"/>
    <cellStyle name="Normal 14" xfId="365"/>
    <cellStyle name="Normal 14 2" xfId="2735"/>
    <cellStyle name="Normal 14 2 2" xfId="2736"/>
    <cellStyle name="Normal 14 2 2 2" xfId="2737"/>
    <cellStyle name="Normal 14 2 2 2 2" xfId="2738"/>
    <cellStyle name="Normal 14 2 2 2 2 2" xfId="11447"/>
    <cellStyle name="Normal 14 2 2 2 2 3" xfId="17202"/>
    <cellStyle name="Normal 14 2 2 2 3" xfId="11446"/>
    <cellStyle name="Normal 14 2 2 2 4" xfId="17201"/>
    <cellStyle name="Normal 14 2 2 2_LNG &amp; LPG rework" xfId="6668"/>
    <cellStyle name="Normal 14 2 2 3" xfId="2739"/>
    <cellStyle name="Normal 14 2 2 3 2" xfId="11448"/>
    <cellStyle name="Normal 14 2 2 3 3" xfId="17203"/>
    <cellStyle name="Normal 14 2 2 4" xfId="11445"/>
    <cellStyle name="Normal 14 2 2 5" xfId="17200"/>
    <cellStyle name="Normal 14 2 2_LNG &amp; LPG rework" xfId="6669"/>
    <cellStyle name="Normal 14 2 3" xfId="2740"/>
    <cellStyle name="Normal 14 2 3 2" xfId="2741"/>
    <cellStyle name="Normal 14 2 3 2 2" xfId="11450"/>
    <cellStyle name="Normal 14 2 3 2 3" xfId="17205"/>
    <cellStyle name="Normal 14 2 3 3" xfId="11449"/>
    <cellStyle name="Normal 14 2 3 4" xfId="17204"/>
    <cellStyle name="Normal 14 2 3_LNG &amp; LPG rework" xfId="6981"/>
    <cellStyle name="Normal 14 2 4" xfId="2742"/>
    <cellStyle name="Normal 14 2 4 2" xfId="11451"/>
    <cellStyle name="Normal 14 2 4 3" xfId="17206"/>
    <cellStyle name="Normal 14 2 5" xfId="2743"/>
    <cellStyle name="Normal 14 2 6" xfId="11444"/>
    <cellStyle name="Normal 14 2 7" xfId="17199"/>
    <cellStyle name="Normal 14 2_LNG &amp; LPG rework" xfId="6670"/>
    <cellStyle name="Normal 14 3" xfId="2744"/>
    <cellStyle name="Normal 14 3 2" xfId="2745"/>
    <cellStyle name="Normal 14 3 2 2" xfId="2746"/>
    <cellStyle name="Normal 14 3 2 2 2" xfId="2747"/>
    <cellStyle name="Normal 14 3 2 2 2 2" xfId="11455"/>
    <cellStyle name="Normal 14 3 2 2 2 3" xfId="17210"/>
    <cellStyle name="Normal 14 3 2 2 3" xfId="11454"/>
    <cellStyle name="Normal 14 3 2 2 4" xfId="17209"/>
    <cellStyle name="Normal 14 3 2 2_LNG &amp; LPG rework" xfId="6876"/>
    <cellStyle name="Normal 14 3 2 3" xfId="2748"/>
    <cellStyle name="Normal 14 3 2 3 2" xfId="11456"/>
    <cellStyle name="Normal 14 3 2 3 3" xfId="17211"/>
    <cellStyle name="Normal 14 3 2 4" xfId="11453"/>
    <cellStyle name="Normal 14 3 2 5" xfId="17208"/>
    <cellStyle name="Normal 14 3 2_LNG &amp; LPG rework" xfId="6667"/>
    <cellStyle name="Normal 14 3 3" xfId="2749"/>
    <cellStyle name="Normal 14 3 3 2" xfId="2750"/>
    <cellStyle name="Normal 14 3 3 2 2" xfId="11458"/>
    <cellStyle name="Normal 14 3 3 2 3" xfId="17213"/>
    <cellStyle name="Normal 14 3 3 3" xfId="11457"/>
    <cellStyle name="Normal 14 3 3 4" xfId="17212"/>
    <cellStyle name="Normal 14 3 3_LNG &amp; LPG rework" xfId="6878"/>
    <cellStyle name="Normal 14 3 4" xfId="2751"/>
    <cellStyle name="Normal 14 3 4 2" xfId="11459"/>
    <cellStyle name="Normal 14 3 4 3" xfId="17214"/>
    <cellStyle name="Normal 14 3 5" xfId="2752"/>
    <cellStyle name="Normal 14 3 6" xfId="11452"/>
    <cellStyle name="Normal 14 3 7" xfId="17207"/>
    <cellStyle name="Normal 14 3_LNG &amp; LPG rework" xfId="6877"/>
    <cellStyle name="Normal 14 4" xfId="2753"/>
    <cellStyle name="Normal 14 4 2" xfId="2754"/>
    <cellStyle name="Normal 14 4 2 2" xfId="2755"/>
    <cellStyle name="Normal 14 4 2 2 2" xfId="11462"/>
    <cellStyle name="Normal 14 4 2 2 3" xfId="17217"/>
    <cellStyle name="Normal 14 4 2 3" xfId="11461"/>
    <cellStyle name="Normal 14 4 2 4" xfId="17216"/>
    <cellStyle name="Normal 14 4 2_LNG &amp; LPG rework" xfId="6666"/>
    <cellStyle name="Normal 14 4 3" xfId="2756"/>
    <cellStyle name="Normal 14 4 3 2" xfId="11463"/>
    <cellStyle name="Normal 14 4 3 3" xfId="17218"/>
    <cellStyle name="Normal 14 4 4" xfId="2757"/>
    <cellStyle name="Normal 14 4 5" xfId="11460"/>
    <cellStyle name="Normal 14 4 6" xfId="17215"/>
    <cellStyle name="Normal 14 4_LNG &amp; LPG rework" xfId="6879"/>
    <cellStyle name="Normal 14 5" xfId="2758"/>
    <cellStyle name="Normal 14 5 2" xfId="2759"/>
    <cellStyle name="Normal 14 5 2 2" xfId="11465"/>
    <cellStyle name="Normal 14 5 2 3" xfId="17220"/>
    <cellStyle name="Normal 14 5 3" xfId="11464"/>
    <cellStyle name="Normal 14 5 4" xfId="17219"/>
    <cellStyle name="Normal 14 5_LNG &amp; LPG rework" xfId="6731"/>
    <cellStyle name="Normal 14 6" xfId="2760"/>
    <cellStyle name="Normal 14 6 2" xfId="11466"/>
    <cellStyle name="Normal 14 6 3" xfId="17221"/>
    <cellStyle name="Normal 14 7" xfId="2761"/>
    <cellStyle name="Normal 14 8" xfId="9211"/>
    <cellStyle name="Normal 14 9" xfId="17198"/>
    <cellStyle name="Normal 14_Data - Monthly Commodity Prices" xfId="6487"/>
    <cellStyle name="Normal 140" xfId="2762"/>
    <cellStyle name="Normal 141" xfId="2763"/>
    <cellStyle name="Normal 142" xfId="2764"/>
    <cellStyle name="Normal 143" xfId="2765"/>
    <cellStyle name="Normal 144" xfId="2766"/>
    <cellStyle name="Normal 145" xfId="2767"/>
    <cellStyle name="Normal 146" xfId="2768"/>
    <cellStyle name="Normal 147" xfId="2769"/>
    <cellStyle name="Normal 148" xfId="2770"/>
    <cellStyle name="Normal 149" xfId="2771"/>
    <cellStyle name="Normal 15" xfId="366"/>
    <cellStyle name="Normal 15 2" xfId="2772"/>
    <cellStyle name="Normal 15 3" xfId="2773"/>
    <cellStyle name="Normal 15 4" xfId="2774"/>
    <cellStyle name="Normal 15 5" xfId="2775"/>
    <cellStyle name="Normal 15 6" xfId="7833"/>
    <cellStyle name="Normal 15_Data - Monthly Commodity Prices" xfId="6515"/>
    <cellStyle name="Normal 150" xfId="2776"/>
    <cellStyle name="Normal 151" xfId="2777"/>
    <cellStyle name="Normal 152" xfId="2778"/>
    <cellStyle name="Normal 153" xfId="2779"/>
    <cellStyle name="Normal 154" xfId="2780"/>
    <cellStyle name="Normal 155" xfId="2781"/>
    <cellStyle name="Normal 156" xfId="2782"/>
    <cellStyle name="Normal 157" xfId="2783"/>
    <cellStyle name="Normal 158" xfId="2784"/>
    <cellStyle name="Normal 159" xfId="2785"/>
    <cellStyle name="Normal 16" xfId="367"/>
    <cellStyle name="Normal 16 2" xfId="2786"/>
    <cellStyle name="Normal 16 3" xfId="2787"/>
    <cellStyle name="Normal 16 4" xfId="2788"/>
    <cellStyle name="Normal 16 5" xfId="2789"/>
    <cellStyle name="Normal 16 6" xfId="7834"/>
    <cellStyle name="Normal 16_Data - Monthly Commodity Prices" xfId="6517"/>
    <cellStyle name="Normal 160" xfId="2790"/>
    <cellStyle name="Normal 161" xfId="2791"/>
    <cellStyle name="Normal 162" xfId="2792"/>
    <cellStyle name="Normal 163" xfId="2793"/>
    <cellStyle name="Normal 164" xfId="2794"/>
    <cellStyle name="Normal 165" xfId="2795"/>
    <cellStyle name="Normal 165 2" xfId="2796"/>
    <cellStyle name="Normal 165 2 2" xfId="2797"/>
    <cellStyle name="Normal 165 2 2 2" xfId="2798"/>
    <cellStyle name="Normal 165 2 2 2 2" xfId="2799"/>
    <cellStyle name="Normal 165 2 2 2 2 2" xfId="11471"/>
    <cellStyle name="Normal 165 2 2 2 2 3" xfId="17226"/>
    <cellStyle name="Normal 165 2 2 2 3" xfId="11470"/>
    <cellStyle name="Normal 165 2 2 2 4" xfId="17225"/>
    <cellStyle name="Normal 165 2 2 2_LNG &amp; LPG rework" xfId="6982"/>
    <cellStyle name="Normal 165 2 2 3" xfId="2800"/>
    <cellStyle name="Normal 165 2 2 3 2" xfId="11472"/>
    <cellStyle name="Normal 165 2 2 3 3" xfId="17227"/>
    <cellStyle name="Normal 165 2 2 4" xfId="11469"/>
    <cellStyle name="Normal 165 2 2 5" xfId="17224"/>
    <cellStyle name="Normal 165 2 2_LNG &amp; LPG rework" xfId="6663"/>
    <cellStyle name="Normal 165 2 3" xfId="2801"/>
    <cellStyle name="Normal 165 2 3 2" xfId="2802"/>
    <cellStyle name="Normal 165 2 3 2 2" xfId="11474"/>
    <cellStyle name="Normal 165 2 3 2 3" xfId="17229"/>
    <cellStyle name="Normal 165 2 3 3" xfId="11473"/>
    <cellStyle name="Normal 165 2 3 4" xfId="17228"/>
    <cellStyle name="Normal 165 2 3_LNG &amp; LPG rework" xfId="6662"/>
    <cellStyle name="Normal 165 2 4" xfId="2803"/>
    <cellStyle name="Normal 165 2 4 2" xfId="11475"/>
    <cellStyle name="Normal 165 2 4 3" xfId="17230"/>
    <cellStyle name="Normal 165 2 5" xfId="11468"/>
    <cellStyle name="Normal 165 2 6" xfId="17223"/>
    <cellStyle name="Normal 165 2_LNG &amp; LPG rework" xfId="6664"/>
    <cellStyle name="Normal 165 3" xfId="2804"/>
    <cellStyle name="Normal 165 3 2" xfId="2805"/>
    <cellStyle name="Normal 165 3 2 2" xfId="2806"/>
    <cellStyle name="Normal 165 3 2 2 2" xfId="2807"/>
    <cellStyle name="Normal 165 3 2 2 2 2" xfId="11479"/>
    <cellStyle name="Normal 165 3 2 2 2 3" xfId="17234"/>
    <cellStyle name="Normal 165 3 2 2 3" xfId="11478"/>
    <cellStyle name="Normal 165 3 2 2 4" xfId="17233"/>
    <cellStyle name="Normal 165 3 2 2_LNG &amp; LPG rework" xfId="6659"/>
    <cellStyle name="Normal 165 3 2 3" xfId="2808"/>
    <cellStyle name="Normal 165 3 2 3 2" xfId="11480"/>
    <cellStyle name="Normal 165 3 2 3 3" xfId="17235"/>
    <cellStyle name="Normal 165 3 2 4" xfId="11477"/>
    <cellStyle name="Normal 165 3 2 5" xfId="17232"/>
    <cellStyle name="Normal 165 3 2_LNG &amp; LPG rework" xfId="6660"/>
    <cellStyle name="Normal 165 3 3" xfId="2809"/>
    <cellStyle name="Normal 165 3 3 2" xfId="2810"/>
    <cellStyle name="Normal 165 3 3 2 2" xfId="11482"/>
    <cellStyle name="Normal 165 3 3 2 3" xfId="17237"/>
    <cellStyle name="Normal 165 3 3 3" xfId="11481"/>
    <cellStyle name="Normal 165 3 3 4" xfId="17236"/>
    <cellStyle name="Normal 165 3 3_LNG &amp; LPG rework" xfId="6658"/>
    <cellStyle name="Normal 165 3 4" xfId="2811"/>
    <cellStyle name="Normal 165 3 4 2" xfId="11483"/>
    <cellStyle name="Normal 165 3 4 3" xfId="17238"/>
    <cellStyle name="Normal 165 3 5" xfId="11476"/>
    <cellStyle name="Normal 165 3 6" xfId="17231"/>
    <cellStyle name="Normal 165 3_LNG &amp; LPG rework" xfId="6661"/>
    <cellStyle name="Normal 165 4" xfId="2812"/>
    <cellStyle name="Normal 165 4 2" xfId="2813"/>
    <cellStyle name="Normal 165 4 2 2" xfId="2814"/>
    <cellStyle name="Normal 165 4 2 2 2" xfId="11486"/>
    <cellStyle name="Normal 165 4 2 2 3" xfId="17241"/>
    <cellStyle name="Normal 165 4 2 3" xfId="11485"/>
    <cellStyle name="Normal 165 4 2 4" xfId="17240"/>
    <cellStyle name="Normal 165 4 2_LNG &amp; LPG rework" xfId="6656"/>
    <cellStyle name="Normal 165 4 3" xfId="2815"/>
    <cellStyle name="Normal 165 4 3 2" xfId="11487"/>
    <cellStyle name="Normal 165 4 3 3" xfId="17242"/>
    <cellStyle name="Normal 165 4 4" xfId="11484"/>
    <cellStyle name="Normal 165 4 5" xfId="17239"/>
    <cellStyle name="Normal 165 4_LNG &amp; LPG rework" xfId="6657"/>
    <cellStyle name="Normal 165 5" xfId="2816"/>
    <cellStyle name="Normal 165 5 2" xfId="2817"/>
    <cellStyle name="Normal 165 5 2 2" xfId="11489"/>
    <cellStyle name="Normal 165 5 2 3" xfId="17244"/>
    <cellStyle name="Normal 165 5 3" xfId="11488"/>
    <cellStyle name="Normal 165 5 4" xfId="17243"/>
    <cellStyle name="Normal 165 5_LNG &amp; LPG rework" xfId="6655"/>
    <cellStyle name="Normal 165 6" xfId="2818"/>
    <cellStyle name="Normal 165 6 2" xfId="11490"/>
    <cellStyle name="Normal 165 6 3" xfId="17245"/>
    <cellStyle name="Normal 165 7" xfId="11467"/>
    <cellStyle name="Normal 165 8" xfId="17222"/>
    <cellStyle name="Normal 165_LNG &amp; LPG rework" xfId="6665"/>
    <cellStyle name="Normal 166" xfId="2819"/>
    <cellStyle name="Normal 166 2" xfId="2820"/>
    <cellStyle name="Normal 166 2 2" xfId="2821"/>
    <cellStyle name="Normal 166 2 2 2" xfId="2822"/>
    <cellStyle name="Normal 166 2 2 2 2" xfId="2823"/>
    <cellStyle name="Normal 166 2 2 2 2 2" xfId="11495"/>
    <cellStyle name="Normal 166 2 2 2 2 3" xfId="17250"/>
    <cellStyle name="Normal 166 2 2 2 3" xfId="11494"/>
    <cellStyle name="Normal 166 2 2 2 4" xfId="17249"/>
    <cellStyle name="Normal 166 2 2 2_LNG &amp; LPG rework" xfId="6651"/>
    <cellStyle name="Normal 166 2 2 3" xfId="2824"/>
    <cellStyle name="Normal 166 2 2 3 2" xfId="11496"/>
    <cellStyle name="Normal 166 2 2 3 3" xfId="17251"/>
    <cellStyle name="Normal 166 2 2 4" xfId="11493"/>
    <cellStyle name="Normal 166 2 2 5" xfId="17248"/>
    <cellStyle name="Normal 166 2 2_LNG &amp; LPG rework" xfId="6652"/>
    <cellStyle name="Normal 166 2 3" xfId="2825"/>
    <cellStyle name="Normal 166 2 3 2" xfId="2826"/>
    <cellStyle name="Normal 166 2 3 2 2" xfId="11498"/>
    <cellStyle name="Normal 166 2 3 2 3" xfId="17253"/>
    <cellStyle name="Normal 166 2 3 3" xfId="11497"/>
    <cellStyle name="Normal 166 2 3 4" xfId="17252"/>
    <cellStyle name="Normal 166 2 3_LNG &amp; LPG rework" xfId="6880"/>
    <cellStyle name="Normal 166 2 4" xfId="2827"/>
    <cellStyle name="Normal 166 2 4 2" xfId="11499"/>
    <cellStyle name="Normal 166 2 4 3" xfId="17254"/>
    <cellStyle name="Normal 166 2 5" xfId="11492"/>
    <cellStyle name="Normal 166 2 6" xfId="17247"/>
    <cellStyle name="Normal 166 2_LNG &amp; LPG rework" xfId="6653"/>
    <cellStyle name="Normal 166 3" xfId="2828"/>
    <cellStyle name="Normal 166 3 2" xfId="2829"/>
    <cellStyle name="Normal 166 3 2 2" xfId="2830"/>
    <cellStyle name="Normal 166 3 2 2 2" xfId="2831"/>
    <cellStyle name="Normal 166 3 2 2 2 2" xfId="11503"/>
    <cellStyle name="Normal 166 3 2 2 2 3" xfId="17258"/>
    <cellStyle name="Normal 166 3 2 2 3" xfId="11502"/>
    <cellStyle name="Normal 166 3 2 2 4" xfId="17257"/>
    <cellStyle name="Normal 166 3 2 2_LNG &amp; LPG rework" xfId="6882"/>
    <cellStyle name="Normal 166 3 2 3" xfId="2832"/>
    <cellStyle name="Normal 166 3 2 3 2" xfId="11504"/>
    <cellStyle name="Normal 166 3 2 3 3" xfId="17259"/>
    <cellStyle name="Normal 166 3 2 4" xfId="11501"/>
    <cellStyle name="Normal 166 3 2 5" xfId="17256"/>
    <cellStyle name="Normal 166 3 2_LNG &amp; LPG rework" xfId="6881"/>
    <cellStyle name="Normal 166 3 3" xfId="2833"/>
    <cellStyle name="Normal 166 3 3 2" xfId="2834"/>
    <cellStyle name="Normal 166 3 3 2 2" xfId="11506"/>
    <cellStyle name="Normal 166 3 3 2 3" xfId="17261"/>
    <cellStyle name="Normal 166 3 3 3" xfId="11505"/>
    <cellStyle name="Normal 166 3 3 4" xfId="17260"/>
    <cellStyle name="Normal 166 3 3_LNG &amp; LPG rework" xfId="6884"/>
    <cellStyle name="Normal 166 3 4" xfId="2835"/>
    <cellStyle name="Normal 166 3 4 2" xfId="11507"/>
    <cellStyle name="Normal 166 3 4 3" xfId="17262"/>
    <cellStyle name="Normal 166 3 5" xfId="11500"/>
    <cellStyle name="Normal 166 3 6" xfId="17255"/>
    <cellStyle name="Normal 166 3_LNG &amp; LPG rework" xfId="6883"/>
    <cellStyle name="Normal 166 4" xfId="2836"/>
    <cellStyle name="Normal 166 4 2" xfId="2837"/>
    <cellStyle name="Normal 166 4 2 2" xfId="2838"/>
    <cellStyle name="Normal 166 4 2 2 2" xfId="11510"/>
    <cellStyle name="Normal 166 4 2 2 3" xfId="17265"/>
    <cellStyle name="Normal 166 4 2 3" xfId="11509"/>
    <cellStyle name="Normal 166 4 2 4" xfId="17264"/>
    <cellStyle name="Normal 166 4 2_LNG &amp; LPG rework" xfId="6886"/>
    <cellStyle name="Normal 166 4 3" xfId="2839"/>
    <cellStyle name="Normal 166 4 3 2" xfId="11511"/>
    <cellStyle name="Normal 166 4 3 3" xfId="17266"/>
    <cellStyle name="Normal 166 4 4" xfId="11508"/>
    <cellStyle name="Normal 166 4 5" xfId="17263"/>
    <cellStyle name="Normal 166 4_LNG &amp; LPG rework" xfId="6885"/>
    <cellStyle name="Normal 166 5" xfId="2840"/>
    <cellStyle name="Normal 166 5 2" xfId="2841"/>
    <cellStyle name="Normal 166 5 2 2" xfId="11513"/>
    <cellStyle name="Normal 166 5 2 3" xfId="17268"/>
    <cellStyle name="Normal 166 5 3" xfId="11512"/>
    <cellStyle name="Normal 166 5 4" xfId="17267"/>
    <cellStyle name="Normal 166 5_LNG &amp; LPG rework" xfId="6887"/>
    <cellStyle name="Normal 166 6" xfId="2842"/>
    <cellStyle name="Normal 166 6 2" xfId="11514"/>
    <cellStyle name="Normal 166 6 3" xfId="17269"/>
    <cellStyle name="Normal 166 7" xfId="11491"/>
    <cellStyle name="Normal 166 8" xfId="17246"/>
    <cellStyle name="Normal 166_LNG &amp; LPG rework" xfId="6654"/>
    <cellStyle name="Normal 167" xfId="2843"/>
    <cellStyle name="Normal 167 2" xfId="2844"/>
    <cellStyle name="Normal 167 2 2" xfId="2845"/>
    <cellStyle name="Normal 167 2 2 2" xfId="2846"/>
    <cellStyle name="Normal 167 2 2 2 2" xfId="2847"/>
    <cellStyle name="Normal 167 2 2 2 2 2" xfId="11519"/>
    <cellStyle name="Normal 167 2 2 2 2 3" xfId="17274"/>
    <cellStyle name="Normal 167 2 2 2 3" xfId="11518"/>
    <cellStyle name="Normal 167 2 2 2 4" xfId="17273"/>
    <cellStyle name="Normal 167 2 2 2_LNG &amp; LPG rework" xfId="6890"/>
    <cellStyle name="Normal 167 2 2 3" xfId="2848"/>
    <cellStyle name="Normal 167 2 2 3 2" xfId="11520"/>
    <cellStyle name="Normal 167 2 2 3 3" xfId="17275"/>
    <cellStyle name="Normal 167 2 2 4" xfId="11517"/>
    <cellStyle name="Normal 167 2 2 5" xfId="17272"/>
    <cellStyle name="Normal 167 2 2_LNG &amp; LPG rework" xfId="6889"/>
    <cellStyle name="Normal 167 2 3" xfId="2849"/>
    <cellStyle name="Normal 167 2 3 2" xfId="2850"/>
    <cellStyle name="Normal 167 2 3 2 2" xfId="11522"/>
    <cellStyle name="Normal 167 2 3 2 3" xfId="17277"/>
    <cellStyle name="Normal 167 2 3 3" xfId="11521"/>
    <cellStyle name="Normal 167 2 3 4" xfId="17276"/>
    <cellStyle name="Normal 167 2 3_LNG &amp; LPG rework" xfId="6892"/>
    <cellStyle name="Normal 167 2 4" xfId="2851"/>
    <cellStyle name="Normal 167 2 4 2" xfId="11523"/>
    <cellStyle name="Normal 167 2 4 3" xfId="17278"/>
    <cellStyle name="Normal 167 2 5" xfId="11516"/>
    <cellStyle name="Normal 167 2 6" xfId="17271"/>
    <cellStyle name="Normal 167 2_LNG &amp; LPG rework" xfId="6891"/>
    <cellStyle name="Normal 167 3" xfId="2852"/>
    <cellStyle name="Normal 167 3 2" xfId="2853"/>
    <cellStyle name="Normal 167 3 2 2" xfId="2854"/>
    <cellStyle name="Normal 167 3 2 2 2" xfId="2855"/>
    <cellStyle name="Normal 167 3 2 2 2 2" xfId="11527"/>
    <cellStyle name="Normal 167 3 2 2 2 3" xfId="17282"/>
    <cellStyle name="Normal 167 3 2 2 3" xfId="11526"/>
    <cellStyle name="Normal 167 3 2 2 4" xfId="17281"/>
    <cellStyle name="Normal 167 3 2 2_LNG &amp; LPG rework" xfId="6978"/>
    <cellStyle name="Normal 167 3 2 3" xfId="2856"/>
    <cellStyle name="Normal 167 3 2 3 2" xfId="11528"/>
    <cellStyle name="Normal 167 3 2 3 3" xfId="17283"/>
    <cellStyle name="Normal 167 3 2 4" xfId="11525"/>
    <cellStyle name="Normal 167 3 2 5" xfId="17280"/>
    <cellStyle name="Normal 167 3 2_LNG &amp; LPG rework" xfId="6894"/>
    <cellStyle name="Normal 167 3 3" xfId="2857"/>
    <cellStyle name="Normal 167 3 3 2" xfId="2858"/>
    <cellStyle name="Normal 167 3 3 2 2" xfId="11530"/>
    <cellStyle name="Normal 167 3 3 2 3" xfId="17285"/>
    <cellStyle name="Normal 167 3 3 3" xfId="11529"/>
    <cellStyle name="Normal 167 3 3 4" xfId="17284"/>
    <cellStyle name="Normal 167 3 3_LNG &amp; LPG rework" xfId="6895"/>
    <cellStyle name="Normal 167 3 4" xfId="2859"/>
    <cellStyle name="Normal 167 3 4 2" xfId="11531"/>
    <cellStyle name="Normal 167 3 4 3" xfId="17286"/>
    <cellStyle name="Normal 167 3 5" xfId="11524"/>
    <cellStyle name="Normal 167 3 6" xfId="17279"/>
    <cellStyle name="Normal 167 3_LNG &amp; LPG rework" xfId="6893"/>
    <cellStyle name="Normal 167 4" xfId="2860"/>
    <cellStyle name="Normal 167 4 2" xfId="2861"/>
    <cellStyle name="Normal 167 4 2 2" xfId="2862"/>
    <cellStyle name="Normal 167 4 2 2 2" xfId="11534"/>
    <cellStyle name="Normal 167 4 2 2 3" xfId="17289"/>
    <cellStyle name="Normal 167 4 2 3" xfId="11533"/>
    <cellStyle name="Normal 167 4 2 4" xfId="17288"/>
    <cellStyle name="Normal 167 4 2_LNG &amp; LPG rework" xfId="6896"/>
    <cellStyle name="Normal 167 4 3" xfId="2863"/>
    <cellStyle name="Normal 167 4 3 2" xfId="11535"/>
    <cellStyle name="Normal 167 4 3 3" xfId="17290"/>
    <cellStyle name="Normal 167 4 4" xfId="11532"/>
    <cellStyle name="Normal 167 4 5" xfId="17287"/>
    <cellStyle name="Normal 167 4_LNG &amp; LPG rework" xfId="6897"/>
    <cellStyle name="Normal 167 5" xfId="2864"/>
    <cellStyle name="Normal 167 5 2" xfId="2865"/>
    <cellStyle name="Normal 167 5 2 2" xfId="11537"/>
    <cellStyle name="Normal 167 5 2 3" xfId="17292"/>
    <cellStyle name="Normal 167 5 3" xfId="11536"/>
    <cellStyle name="Normal 167 5 4" xfId="17291"/>
    <cellStyle name="Normal 167 5_LNG &amp; LPG rework" xfId="6898"/>
    <cellStyle name="Normal 167 6" xfId="2866"/>
    <cellStyle name="Normal 167 6 2" xfId="11538"/>
    <cellStyle name="Normal 167 6 3" xfId="17293"/>
    <cellStyle name="Normal 167 7" xfId="11515"/>
    <cellStyle name="Normal 167 8" xfId="17270"/>
    <cellStyle name="Normal 167_LNG &amp; LPG rework" xfId="6888"/>
    <cellStyle name="Normal 168" xfId="2867"/>
    <cellStyle name="Normal 168 2" xfId="2868"/>
    <cellStyle name="Normal 168 2 2" xfId="2869"/>
    <cellStyle name="Normal 168 2 2 2" xfId="2870"/>
    <cellStyle name="Normal 168 2 2 2 2" xfId="2871"/>
    <cellStyle name="Normal 168 2 2 2 2 2" xfId="11543"/>
    <cellStyle name="Normal 168 2 2 2 2 3" xfId="17298"/>
    <cellStyle name="Normal 168 2 2 2 3" xfId="11542"/>
    <cellStyle name="Normal 168 2 2 2 4" xfId="17297"/>
    <cellStyle name="Normal 168 2 2 2_LNG &amp; LPG rework" xfId="6901"/>
    <cellStyle name="Normal 168 2 2 3" xfId="2872"/>
    <cellStyle name="Normal 168 2 2 3 2" xfId="11544"/>
    <cellStyle name="Normal 168 2 2 3 3" xfId="17299"/>
    <cellStyle name="Normal 168 2 2 4" xfId="11541"/>
    <cellStyle name="Normal 168 2 2 5" xfId="17296"/>
    <cellStyle name="Normal 168 2 2_LNG &amp; LPG rework" xfId="6902"/>
    <cellStyle name="Normal 168 2 3" xfId="2873"/>
    <cellStyle name="Normal 168 2 3 2" xfId="2874"/>
    <cellStyle name="Normal 168 2 3 2 2" xfId="11546"/>
    <cellStyle name="Normal 168 2 3 2 3" xfId="17301"/>
    <cellStyle name="Normal 168 2 3 3" xfId="11545"/>
    <cellStyle name="Normal 168 2 3 4" xfId="17300"/>
    <cellStyle name="Normal 168 2 3_LNG &amp; LPG rework" xfId="6903"/>
    <cellStyle name="Normal 168 2 4" xfId="2875"/>
    <cellStyle name="Normal 168 2 4 2" xfId="11547"/>
    <cellStyle name="Normal 168 2 4 3" xfId="17302"/>
    <cellStyle name="Normal 168 2 5" xfId="11540"/>
    <cellStyle name="Normal 168 2 6" xfId="17295"/>
    <cellStyle name="Normal 168 2_LNG &amp; LPG rework" xfId="6900"/>
    <cellStyle name="Normal 168 3" xfId="2876"/>
    <cellStyle name="Normal 168 3 2" xfId="2877"/>
    <cellStyle name="Normal 168 3 2 2" xfId="2878"/>
    <cellStyle name="Normal 168 3 2 2 2" xfId="2879"/>
    <cellStyle name="Normal 168 3 2 2 2 2" xfId="11551"/>
    <cellStyle name="Normal 168 3 2 2 2 3" xfId="17306"/>
    <cellStyle name="Normal 168 3 2 2 3" xfId="11550"/>
    <cellStyle name="Normal 168 3 2 2 4" xfId="17305"/>
    <cellStyle name="Normal 168 3 2 2_LNG &amp; LPG rework" xfId="6906"/>
    <cellStyle name="Normal 168 3 2 3" xfId="2880"/>
    <cellStyle name="Normal 168 3 2 3 2" xfId="11552"/>
    <cellStyle name="Normal 168 3 2 3 3" xfId="17307"/>
    <cellStyle name="Normal 168 3 2 4" xfId="11549"/>
    <cellStyle name="Normal 168 3 2 5" xfId="17304"/>
    <cellStyle name="Normal 168 3 2_LNG &amp; LPG rework" xfId="6905"/>
    <cellStyle name="Normal 168 3 3" xfId="2881"/>
    <cellStyle name="Normal 168 3 3 2" xfId="2882"/>
    <cellStyle name="Normal 168 3 3 2 2" xfId="11554"/>
    <cellStyle name="Normal 168 3 3 2 3" xfId="17309"/>
    <cellStyle name="Normal 168 3 3 3" xfId="11553"/>
    <cellStyle name="Normal 168 3 3 4" xfId="17308"/>
    <cellStyle name="Normal 168 3 3_LNG &amp; LPG rework" xfId="6907"/>
    <cellStyle name="Normal 168 3 4" xfId="2883"/>
    <cellStyle name="Normal 168 3 4 2" xfId="11555"/>
    <cellStyle name="Normal 168 3 4 3" xfId="17310"/>
    <cellStyle name="Normal 168 3 5" xfId="11548"/>
    <cellStyle name="Normal 168 3 6" xfId="17303"/>
    <cellStyle name="Normal 168 3_LNG &amp; LPG rework" xfId="6904"/>
    <cellStyle name="Normal 168 4" xfId="2884"/>
    <cellStyle name="Normal 168 4 2" xfId="2885"/>
    <cellStyle name="Normal 168 4 2 2" xfId="2886"/>
    <cellStyle name="Normal 168 4 2 2 2" xfId="11558"/>
    <cellStyle name="Normal 168 4 2 2 3" xfId="17313"/>
    <cellStyle name="Normal 168 4 2 3" xfId="11557"/>
    <cellStyle name="Normal 168 4 2 4" xfId="17312"/>
    <cellStyle name="Normal 168 4 2_LNG &amp; LPG rework" xfId="6908"/>
    <cellStyle name="Normal 168 4 3" xfId="2887"/>
    <cellStyle name="Normal 168 4 3 2" xfId="11559"/>
    <cellStyle name="Normal 168 4 3 3" xfId="17314"/>
    <cellStyle name="Normal 168 4 4" xfId="11556"/>
    <cellStyle name="Normal 168 4 5" xfId="17311"/>
    <cellStyle name="Normal 168 4_LNG &amp; LPG rework" xfId="6909"/>
    <cellStyle name="Normal 168 5" xfId="2888"/>
    <cellStyle name="Normal 168 5 2" xfId="2889"/>
    <cellStyle name="Normal 168 5 2 2" xfId="11561"/>
    <cellStyle name="Normal 168 5 2 3" xfId="17316"/>
    <cellStyle name="Normal 168 5 3" xfId="11560"/>
    <cellStyle name="Normal 168 5 4" xfId="17315"/>
    <cellStyle name="Normal 168 5_LNG &amp; LPG rework" xfId="6910"/>
    <cellStyle name="Normal 168 6" xfId="2890"/>
    <cellStyle name="Normal 168 6 2" xfId="11562"/>
    <cellStyle name="Normal 168 6 3" xfId="17317"/>
    <cellStyle name="Normal 168 7" xfId="11539"/>
    <cellStyle name="Normal 168 8" xfId="17294"/>
    <cellStyle name="Normal 168_LNG &amp; LPG rework" xfId="6899"/>
    <cellStyle name="Normal 169" xfId="2891"/>
    <cellStyle name="Normal 17" xfId="368"/>
    <cellStyle name="Normal 17 2" xfId="2892"/>
    <cellStyle name="Normal 17 3" xfId="2893"/>
    <cellStyle name="Normal 17 4" xfId="2894"/>
    <cellStyle name="Normal 17 5" xfId="2895"/>
    <cellStyle name="Normal 17 6" xfId="7835"/>
    <cellStyle name="Normal 17_LNG &amp; LPG rework" xfId="6911"/>
    <cellStyle name="Normal 170" xfId="2896"/>
    <cellStyle name="Normal 171" xfId="2897"/>
    <cellStyle name="Normal 172" xfId="2898"/>
    <cellStyle name="Normal 173" xfId="2899"/>
    <cellStyle name="Normal 173 2" xfId="2900"/>
    <cellStyle name="Normal 173 2 2" xfId="2901"/>
    <cellStyle name="Normal 173 2 2 2" xfId="2902"/>
    <cellStyle name="Normal 173 2 2 2 2" xfId="2903"/>
    <cellStyle name="Normal 173 2 2 2 2 2" xfId="11567"/>
    <cellStyle name="Normal 173 2 2 2 2 3" xfId="17322"/>
    <cellStyle name="Normal 173 2 2 2 3" xfId="11566"/>
    <cellStyle name="Normal 173 2 2 2 4" xfId="17321"/>
    <cellStyle name="Normal 173 2 2 2_LNG &amp; LPG rework" xfId="6648"/>
    <cellStyle name="Normal 173 2 2 3" xfId="2904"/>
    <cellStyle name="Normal 173 2 2 3 2" xfId="11568"/>
    <cellStyle name="Normal 173 2 2 3 3" xfId="17323"/>
    <cellStyle name="Normal 173 2 2 4" xfId="11565"/>
    <cellStyle name="Normal 173 2 2 5" xfId="17320"/>
    <cellStyle name="Normal 173 2 2_LNG &amp; LPG rework" xfId="6649"/>
    <cellStyle name="Normal 173 2 3" xfId="2905"/>
    <cellStyle name="Normal 173 2 3 2" xfId="2906"/>
    <cellStyle name="Normal 173 2 3 2 2" xfId="11570"/>
    <cellStyle name="Normal 173 2 3 2 3" xfId="17325"/>
    <cellStyle name="Normal 173 2 3 3" xfId="11569"/>
    <cellStyle name="Normal 173 2 3 4" xfId="17324"/>
    <cellStyle name="Normal 173 2 3_LNG &amp; LPG rework" xfId="6647"/>
    <cellStyle name="Normal 173 2 4" xfId="2907"/>
    <cellStyle name="Normal 173 2 4 2" xfId="11571"/>
    <cellStyle name="Normal 173 2 4 3" xfId="17326"/>
    <cellStyle name="Normal 173 2 5" xfId="11564"/>
    <cellStyle name="Normal 173 2 6" xfId="17319"/>
    <cellStyle name="Normal 173 2_LNG &amp; LPG rework" xfId="6650"/>
    <cellStyle name="Normal 173 3" xfId="2908"/>
    <cellStyle name="Normal 173 3 2" xfId="2909"/>
    <cellStyle name="Normal 173 3 2 2" xfId="2910"/>
    <cellStyle name="Normal 173 3 2 2 2" xfId="2911"/>
    <cellStyle name="Normal 173 3 2 2 2 2" xfId="11575"/>
    <cellStyle name="Normal 173 3 2 2 2 3" xfId="17330"/>
    <cellStyle name="Normal 173 3 2 2 3" xfId="11574"/>
    <cellStyle name="Normal 173 3 2 2 4" xfId="17329"/>
    <cellStyle name="Normal 173 3 2 2_LNG &amp; LPG rework" xfId="6644"/>
    <cellStyle name="Normal 173 3 2 3" xfId="2912"/>
    <cellStyle name="Normal 173 3 2 3 2" xfId="11576"/>
    <cellStyle name="Normal 173 3 2 3 3" xfId="17331"/>
    <cellStyle name="Normal 173 3 2 4" xfId="11573"/>
    <cellStyle name="Normal 173 3 2 5" xfId="17328"/>
    <cellStyle name="Normal 173 3 2_LNG &amp; LPG rework" xfId="6645"/>
    <cellStyle name="Normal 173 3 3" xfId="2913"/>
    <cellStyle name="Normal 173 3 3 2" xfId="2914"/>
    <cellStyle name="Normal 173 3 3 2 2" xfId="11578"/>
    <cellStyle name="Normal 173 3 3 2 3" xfId="17333"/>
    <cellStyle name="Normal 173 3 3 3" xfId="11577"/>
    <cellStyle name="Normal 173 3 3 4" xfId="17332"/>
    <cellStyle name="Normal 173 3 3_LNG &amp; LPG rework" xfId="6912"/>
    <cellStyle name="Normal 173 3 4" xfId="2915"/>
    <cellStyle name="Normal 173 3 4 2" xfId="11579"/>
    <cellStyle name="Normal 173 3 4 3" xfId="17334"/>
    <cellStyle name="Normal 173 3 5" xfId="11572"/>
    <cellStyle name="Normal 173 3 6" xfId="17327"/>
    <cellStyle name="Normal 173 3_LNG &amp; LPG rework" xfId="6646"/>
    <cellStyle name="Normal 173 4" xfId="2916"/>
    <cellStyle name="Normal 173 4 2" xfId="2917"/>
    <cellStyle name="Normal 173 4 2 2" xfId="2918"/>
    <cellStyle name="Normal 173 4 2 2 2" xfId="11582"/>
    <cellStyle name="Normal 173 4 2 2 3" xfId="17337"/>
    <cellStyle name="Normal 173 4 2 3" xfId="11581"/>
    <cellStyle name="Normal 173 4 2 4" xfId="17336"/>
    <cellStyle name="Normal 173 4 2_LNG &amp; LPG rework" xfId="6914"/>
    <cellStyle name="Normal 173 4 3" xfId="2919"/>
    <cellStyle name="Normal 173 4 3 2" xfId="11583"/>
    <cellStyle name="Normal 173 4 3 3" xfId="17338"/>
    <cellStyle name="Normal 173 4 4" xfId="11580"/>
    <cellStyle name="Normal 173 4 5" xfId="17335"/>
    <cellStyle name="Normal 173 4_LNG &amp; LPG rework" xfId="6913"/>
    <cellStyle name="Normal 173 5" xfId="2920"/>
    <cellStyle name="Normal 173 5 2" xfId="2921"/>
    <cellStyle name="Normal 173 5 2 2" xfId="11585"/>
    <cellStyle name="Normal 173 5 2 3" xfId="17340"/>
    <cellStyle name="Normal 173 5 3" xfId="11584"/>
    <cellStyle name="Normal 173 5 4" xfId="17339"/>
    <cellStyle name="Normal 173 5_LNG &amp; LPG rework" xfId="6643"/>
    <cellStyle name="Normal 173 6" xfId="2922"/>
    <cellStyle name="Normal 173 6 2" xfId="11586"/>
    <cellStyle name="Normal 173 6 3" xfId="17341"/>
    <cellStyle name="Normal 173 7" xfId="11563"/>
    <cellStyle name="Normal 173 8" xfId="17318"/>
    <cellStyle name="Normal 173_LNG &amp; LPG rework" xfId="6979"/>
    <cellStyle name="Normal 174" xfId="2923"/>
    <cellStyle name="Normal 174 2" xfId="2924"/>
    <cellStyle name="Normal 174 2 2" xfId="2925"/>
    <cellStyle name="Normal 174 2 2 2" xfId="2926"/>
    <cellStyle name="Normal 174 2 2 2 2" xfId="2927"/>
    <cellStyle name="Normal 174 2 2 2 2 2" xfId="11591"/>
    <cellStyle name="Normal 174 2 2 2 2 3" xfId="17346"/>
    <cellStyle name="Normal 174 2 2 2 3" xfId="11590"/>
    <cellStyle name="Normal 174 2 2 2 4" xfId="17345"/>
    <cellStyle name="Normal 174 2 2 2_LNG &amp; LPG rework" xfId="6917"/>
    <cellStyle name="Normal 174 2 2 3" xfId="2928"/>
    <cellStyle name="Normal 174 2 2 3 2" xfId="11592"/>
    <cellStyle name="Normal 174 2 2 3 3" xfId="17347"/>
    <cellStyle name="Normal 174 2 2 4" xfId="11589"/>
    <cellStyle name="Normal 174 2 2 5" xfId="17344"/>
    <cellStyle name="Normal 174 2 2_LNG &amp; LPG rework" xfId="6916"/>
    <cellStyle name="Normal 174 2 3" xfId="2929"/>
    <cellStyle name="Normal 174 2 3 2" xfId="2930"/>
    <cellStyle name="Normal 174 2 3 2 2" xfId="11594"/>
    <cellStyle name="Normal 174 2 3 2 3" xfId="17349"/>
    <cellStyle name="Normal 174 2 3 3" xfId="11593"/>
    <cellStyle name="Normal 174 2 3 4" xfId="17348"/>
    <cellStyle name="Normal 174 2 3_LNG &amp; LPG rework" xfId="6919"/>
    <cellStyle name="Normal 174 2 4" xfId="2931"/>
    <cellStyle name="Normal 174 2 4 2" xfId="11595"/>
    <cellStyle name="Normal 174 2 4 3" xfId="17350"/>
    <cellStyle name="Normal 174 2 5" xfId="11588"/>
    <cellStyle name="Normal 174 2 6" xfId="17343"/>
    <cellStyle name="Normal 174 2_LNG &amp; LPG rework" xfId="6918"/>
    <cellStyle name="Normal 174 3" xfId="2932"/>
    <cellStyle name="Normal 174 3 2" xfId="2933"/>
    <cellStyle name="Normal 174 3 2 2" xfId="2934"/>
    <cellStyle name="Normal 174 3 2 2 2" xfId="2935"/>
    <cellStyle name="Normal 174 3 2 2 2 2" xfId="11599"/>
    <cellStyle name="Normal 174 3 2 2 2 3" xfId="17354"/>
    <cellStyle name="Normal 174 3 2 2 3" xfId="11598"/>
    <cellStyle name="Normal 174 3 2 2 4" xfId="17353"/>
    <cellStyle name="Normal 174 3 2 2_LNG &amp; LPG rework" xfId="6922"/>
    <cellStyle name="Normal 174 3 2 3" xfId="2936"/>
    <cellStyle name="Normal 174 3 2 3 2" xfId="11600"/>
    <cellStyle name="Normal 174 3 2 3 3" xfId="17355"/>
    <cellStyle name="Normal 174 3 2 4" xfId="11597"/>
    <cellStyle name="Normal 174 3 2 5" xfId="17352"/>
    <cellStyle name="Normal 174 3 2_LNG &amp; LPG rework" xfId="6921"/>
    <cellStyle name="Normal 174 3 3" xfId="2937"/>
    <cellStyle name="Normal 174 3 3 2" xfId="2938"/>
    <cellStyle name="Normal 174 3 3 2 2" xfId="11602"/>
    <cellStyle name="Normal 174 3 3 2 3" xfId="17357"/>
    <cellStyle name="Normal 174 3 3 3" xfId="11601"/>
    <cellStyle name="Normal 174 3 3 4" xfId="17356"/>
    <cellStyle name="Normal 174 3 3_LNG &amp; LPG rework" xfId="6923"/>
    <cellStyle name="Normal 174 3 4" xfId="2939"/>
    <cellStyle name="Normal 174 3 4 2" xfId="11603"/>
    <cellStyle name="Normal 174 3 4 3" xfId="17358"/>
    <cellStyle name="Normal 174 3 5" xfId="11596"/>
    <cellStyle name="Normal 174 3 6" xfId="17351"/>
    <cellStyle name="Normal 174 3_LNG &amp; LPG rework" xfId="6920"/>
    <cellStyle name="Normal 174 4" xfId="2940"/>
    <cellStyle name="Normal 174 4 2" xfId="2941"/>
    <cellStyle name="Normal 174 4 2 2" xfId="2942"/>
    <cellStyle name="Normal 174 4 2 2 2" xfId="11606"/>
    <cellStyle name="Normal 174 4 2 2 3" xfId="17361"/>
    <cellStyle name="Normal 174 4 2 3" xfId="11605"/>
    <cellStyle name="Normal 174 4 2 4" xfId="17360"/>
    <cellStyle name="Normal 174 4 2_LNG &amp; LPG rework" xfId="6924"/>
    <cellStyle name="Normal 174 4 3" xfId="2943"/>
    <cellStyle name="Normal 174 4 3 2" xfId="11607"/>
    <cellStyle name="Normal 174 4 3 3" xfId="17362"/>
    <cellStyle name="Normal 174 4 4" xfId="11604"/>
    <cellStyle name="Normal 174 4 5" xfId="17359"/>
    <cellStyle name="Normal 174 4_LNG &amp; LPG rework" xfId="6925"/>
    <cellStyle name="Normal 174 5" xfId="2944"/>
    <cellStyle name="Normal 174 5 2" xfId="2945"/>
    <cellStyle name="Normal 174 5 2 2" xfId="11609"/>
    <cellStyle name="Normal 174 5 2 3" xfId="17364"/>
    <cellStyle name="Normal 174 5 3" xfId="11608"/>
    <cellStyle name="Normal 174 5 4" xfId="17363"/>
    <cellStyle name="Normal 174 5_LNG &amp; LPG rework" xfId="6926"/>
    <cellStyle name="Normal 174 6" xfId="2946"/>
    <cellStyle name="Normal 174 6 2" xfId="11610"/>
    <cellStyle name="Normal 174 6 3" xfId="17365"/>
    <cellStyle name="Normal 174 7" xfId="11587"/>
    <cellStyle name="Normal 174 8" xfId="17342"/>
    <cellStyle name="Normal 174_LNG &amp; LPG rework" xfId="6915"/>
    <cellStyle name="Normal 175" xfId="2947"/>
    <cellStyle name="Normal 175 2" xfId="2948"/>
    <cellStyle name="Normal 175 2 2" xfId="2949"/>
    <cellStyle name="Normal 175 2 2 2" xfId="2950"/>
    <cellStyle name="Normal 175 2 2 2 2" xfId="2951"/>
    <cellStyle name="Normal 175 2 2 2 2 2" xfId="11615"/>
    <cellStyle name="Normal 175 2 2 2 2 3" xfId="17370"/>
    <cellStyle name="Normal 175 2 2 2 3" xfId="11614"/>
    <cellStyle name="Normal 175 2 2 2 4" xfId="17369"/>
    <cellStyle name="Normal 175 2 2 2_LNG &amp; LPG rework" xfId="6929"/>
    <cellStyle name="Normal 175 2 2 3" xfId="2952"/>
    <cellStyle name="Normal 175 2 2 3 2" xfId="11616"/>
    <cellStyle name="Normal 175 2 2 3 3" xfId="17371"/>
    <cellStyle name="Normal 175 2 2 4" xfId="11613"/>
    <cellStyle name="Normal 175 2 2 5" xfId="17368"/>
    <cellStyle name="Normal 175 2 2_LNG &amp; LPG rework" xfId="6930"/>
    <cellStyle name="Normal 175 2 3" xfId="2953"/>
    <cellStyle name="Normal 175 2 3 2" xfId="2954"/>
    <cellStyle name="Normal 175 2 3 2 2" xfId="11618"/>
    <cellStyle name="Normal 175 2 3 2 3" xfId="17373"/>
    <cellStyle name="Normal 175 2 3 3" xfId="11617"/>
    <cellStyle name="Normal 175 2 3 4" xfId="17372"/>
    <cellStyle name="Normal 175 2 3_LNG &amp; LPG rework" xfId="6931"/>
    <cellStyle name="Normal 175 2 4" xfId="2955"/>
    <cellStyle name="Normal 175 2 4 2" xfId="11619"/>
    <cellStyle name="Normal 175 2 4 3" xfId="17374"/>
    <cellStyle name="Normal 175 2 5" xfId="11612"/>
    <cellStyle name="Normal 175 2 6" xfId="17367"/>
    <cellStyle name="Normal 175 2_LNG &amp; LPG rework" xfId="6928"/>
    <cellStyle name="Normal 175 3" xfId="2956"/>
    <cellStyle name="Normal 175 3 2" xfId="2957"/>
    <cellStyle name="Normal 175 3 2 2" xfId="2958"/>
    <cellStyle name="Normal 175 3 2 2 2" xfId="2959"/>
    <cellStyle name="Normal 175 3 2 2 2 2" xfId="11623"/>
    <cellStyle name="Normal 175 3 2 2 2 3" xfId="17378"/>
    <cellStyle name="Normal 175 3 2 2 3" xfId="11622"/>
    <cellStyle name="Normal 175 3 2 2 4" xfId="17377"/>
    <cellStyle name="Normal 175 3 2 2_LNG &amp; LPG rework" xfId="6934"/>
    <cellStyle name="Normal 175 3 2 3" xfId="2960"/>
    <cellStyle name="Normal 175 3 2 3 2" xfId="11624"/>
    <cellStyle name="Normal 175 3 2 3 3" xfId="17379"/>
    <cellStyle name="Normal 175 3 2 4" xfId="11621"/>
    <cellStyle name="Normal 175 3 2 5" xfId="17376"/>
    <cellStyle name="Normal 175 3 2_LNG &amp; LPG rework" xfId="6933"/>
    <cellStyle name="Normal 175 3 3" xfId="2961"/>
    <cellStyle name="Normal 175 3 3 2" xfId="2962"/>
    <cellStyle name="Normal 175 3 3 2 2" xfId="11626"/>
    <cellStyle name="Normal 175 3 3 2 3" xfId="17381"/>
    <cellStyle name="Normal 175 3 3 3" xfId="11625"/>
    <cellStyle name="Normal 175 3 3 4" xfId="17380"/>
    <cellStyle name="Normal 175 3 3_LNG &amp; LPG rework" xfId="6935"/>
    <cellStyle name="Normal 175 3 4" xfId="2963"/>
    <cellStyle name="Normal 175 3 4 2" xfId="11627"/>
    <cellStyle name="Normal 175 3 4 3" xfId="17382"/>
    <cellStyle name="Normal 175 3 5" xfId="11620"/>
    <cellStyle name="Normal 175 3 6" xfId="17375"/>
    <cellStyle name="Normal 175 3_LNG &amp; LPG rework" xfId="6932"/>
    <cellStyle name="Normal 175 4" xfId="2964"/>
    <cellStyle name="Normal 175 4 2" xfId="2965"/>
    <cellStyle name="Normal 175 4 2 2" xfId="2966"/>
    <cellStyle name="Normal 175 4 2 2 2" xfId="11630"/>
    <cellStyle name="Normal 175 4 2 2 3" xfId="17385"/>
    <cellStyle name="Normal 175 4 2 3" xfId="11629"/>
    <cellStyle name="Normal 175 4 2 4" xfId="17384"/>
    <cellStyle name="Normal 175 4 2_LNG &amp; LPG rework" xfId="6936"/>
    <cellStyle name="Normal 175 4 3" xfId="2967"/>
    <cellStyle name="Normal 175 4 3 2" xfId="11631"/>
    <cellStyle name="Normal 175 4 3 3" xfId="17386"/>
    <cellStyle name="Normal 175 4 4" xfId="11628"/>
    <cellStyle name="Normal 175 4 5" xfId="17383"/>
    <cellStyle name="Normal 175 4_LNG &amp; LPG rework" xfId="6937"/>
    <cellStyle name="Normal 175 5" xfId="2968"/>
    <cellStyle name="Normal 175 5 2" xfId="2969"/>
    <cellStyle name="Normal 175 5 2 2" xfId="11633"/>
    <cellStyle name="Normal 175 5 2 3" xfId="17388"/>
    <cellStyle name="Normal 175 5 3" xfId="11632"/>
    <cellStyle name="Normal 175 5 4" xfId="17387"/>
    <cellStyle name="Normal 175 5_LNG &amp; LPG rework" xfId="6938"/>
    <cellStyle name="Normal 175 6" xfId="2970"/>
    <cellStyle name="Normal 175 6 2" xfId="11634"/>
    <cellStyle name="Normal 175 6 3" xfId="17389"/>
    <cellStyle name="Normal 175 7" xfId="11611"/>
    <cellStyle name="Normal 175 8" xfId="17366"/>
    <cellStyle name="Normal 175_LNG &amp; LPG rework" xfId="6927"/>
    <cellStyle name="Normal 176" xfId="2971"/>
    <cellStyle name="Normal 176 2" xfId="2972"/>
    <cellStyle name="Normal 176 2 2" xfId="2973"/>
    <cellStyle name="Normal 176 2 2 2" xfId="2974"/>
    <cellStyle name="Normal 176 2 2 2 2" xfId="2975"/>
    <cellStyle name="Normal 176 2 2 2 2 2" xfId="11639"/>
    <cellStyle name="Normal 176 2 2 2 2 3" xfId="17394"/>
    <cellStyle name="Normal 176 2 2 2 3" xfId="11638"/>
    <cellStyle name="Normal 176 2 2 2 4" xfId="17393"/>
    <cellStyle name="Normal 176 2 2 2_LNG &amp; LPG rework" xfId="6941"/>
    <cellStyle name="Normal 176 2 2 3" xfId="2976"/>
    <cellStyle name="Normal 176 2 2 3 2" xfId="11640"/>
    <cellStyle name="Normal 176 2 2 3 3" xfId="17395"/>
    <cellStyle name="Normal 176 2 2 4" xfId="11637"/>
    <cellStyle name="Normal 176 2 2 5" xfId="17392"/>
    <cellStyle name="Normal 176 2 2_LNG &amp; LPG rework" xfId="6942"/>
    <cellStyle name="Normal 176 2 3" xfId="2977"/>
    <cellStyle name="Normal 176 2 3 2" xfId="2978"/>
    <cellStyle name="Normal 176 2 3 2 2" xfId="11642"/>
    <cellStyle name="Normal 176 2 3 2 3" xfId="17397"/>
    <cellStyle name="Normal 176 2 3 3" xfId="11641"/>
    <cellStyle name="Normal 176 2 3 4" xfId="17396"/>
    <cellStyle name="Normal 176 2 3_LNG &amp; LPG rework" xfId="6943"/>
    <cellStyle name="Normal 176 2 4" xfId="2979"/>
    <cellStyle name="Normal 176 2 4 2" xfId="11643"/>
    <cellStyle name="Normal 176 2 4 3" xfId="17398"/>
    <cellStyle name="Normal 176 2 5" xfId="11636"/>
    <cellStyle name="Normal 176 2 6" xfId="17391"/>
    <cellStyle name="Normal 176 2_LNG &amp; LPG rework" xfId="6940"/>
    <cellStyle name="Normal 176 3" xfId="2980"/>
    <cellStyle name="Normal 176 3 2" xfId="2981"/>
    <cellStyle name="Normal 176 3 2 2" xfId="2982"/>
    <cellStyle name="Normal 176 3 2 2 2" xfId="2983"/>
    <cellStyle name="Normal 176 3 2 2 2 2" xfId="11647"/>
    <cellStyle name="Normal 176 3 2 2 2 3" xfId="17402"/>
    <cellStyle name="Normal 176 3 2 2 3" xfId="11646"/>
    <cellStyle name="Normal 176 3 2 2 4" xfId="17401"/>
    <cellStyle name="Normal 176 3 2 2_LNG &amp; LPG rework" xfId="6572"/>
    <cellStyle name="Normal 176 3 2 3" xfId="2984"/>
    <cellStyle name="Normal 176 3 2 3 2" xfId="11648"/>
    <cellStyle name="Normal 176 3 2 3 3" xfId="17403"/>
    <cellStyle name="Normal 176 3 2 4" xfId="11645"/>
    <cellStyle name="Normal 176 3 2 5" xfId="17400"/>
    <cellStyle name="Normal 176 3 2_LNG &amp; LPG rework" xfId="6574"/>
    <cellStyle name="Normal 176 3 3" xfId="2985"/>
    <cellStyle name="Normal 176 3 3 2" xfId="2986"/>
    <cellStyle name="Normal 176 3 3 2 2" xfId="11650"/>
    <cellStyle name="Normal 176 3 3 2 3" xfId="17405"/>
    <cellStyle name="Normal 176 3 3 3" xfId="11649"/>
    <cellStyle name="Normal 176 3 3 4" xfId="17404"/>
    <cellStyle name="Normal 176 3 3_LNG &amp; LPG rework" xfId="6571"/>
    <cellStyle name="Normal 176 3 4" xfId="2987"/>
    <cellStyle name="Normal 176 3 4 2" xfId="11651"/>
    <cellStyle name="Normal 176 3 4 3" xfId="17406"/>
    <cellStyle name="Normal 176 3 5" xfId="11644"/>
    <cellStyle name="Normal 176 3 6" xfId="17399"/>
    <cellStyle name="Normal 176 3_LNG &amp; LPG rework" xfId="6642"/>
    <cellStyle name="Normal 176 4" xfId="2988"/>
    <cellStyle name="Normal 176 4 2" xfId="2989"/>
    <cellStyle name="Normal 176 4 2 2" xfId="2990"/>
    <cellStyle name="Normal 176 4 2 2 2" xfId="11654"/>
    <cellStyle name="Normal 176 4 2 2 3" xfId="17409"/>
    <cellStyle name="Normal 176 4 2 3" xfId="11653"/>
    <cellStyle name="Normal 176 4 2 4" xfId="17408"/>
    <cellStyle name="Normal 176 4 2_LNG &amp; LPG rework" xfId="6573"/>
    <cellStyle name="Normal 176 4 3" xfId="2991"/>
    <cellStyle name="Normal 176 4 3 2" xfId="11655"/>
    <cellStyle name="Normal 176 4 3 3" xfId="17410"/>
    <cellStyle name="Normal 176 4 4" xfId="11652"/>
    <cellStyle name="Normal 176 4 5" xfId="17407"/>
    <cellStyle name="Normal 176 4_LNG &amp; LPG rework" xfId="6575"/>
    <cellStyle name="Normal 176 5" xfId="2992"/>
    <cellStyle name="Normal 176 5 2" xfId="2993"/>
    <cellStyle name="Normal 176 5 2 2" xfId="11657"/>
    <cellStyle name="Normal 176 5 2 3" xfId="17412"/>
    <cellStyle name="Normal 176 5 3" xfId="11656"/>
    <cellStyle name="Normal 176 5 4" xfId="17411"/>
    <cellStyle name="Normal 176 5_LNG &amp; LPG rework" xfId="6944"/>
    <cellStyle name="Normal 176 6" xfId="2994"/>
    <cellStyle name="Normal 176 6 2" xfId="11658"/>
    <cellStyle name="Normal 176 6 3" xfId="17413"/>
    <cellStyle name="Normal 176 7" xfId="11635"/>
    <cellStyle name="Normal 176 8" xfId="17390"/>
    <cellStyle name="Normal 176_LNG &amp; LPG rework" xfId="6939"/>
    <cellStyle name="Normal 177" xfId="2995"/>
    <cellStyle name="Normal 177 2" xfId="2996"/>
    <cellStyle name="Normal 177 2 2" xfId="2997"/>
    <cellStyle name="Normal 177 2 2 2" xfId="2998"/>
    <cellStyle name="Normal 177 2 2 2 2" xfId="2999"/>
    <cellStyle name="Normal 177 2 2 2 2 2" xfId="11663"/>
    <cellStyle name="Normal 177 2 2 2 2 3" xfId="17418"/>
    <cellStyle name="Normal 177 2 2 2 3" xfId="11662"/>
    <cellStyle name="Normal 177 2 2 2 4" xfId="17417"/>
    <cellStyle name="Normal 177 2 2 2_LNG &amp; LPG rework" xfId="6947"/>
    <cellStyle name="Normal 177 2 2 3" xfId="3000"/>
    <cellStyle name="Normal 177 2 2 3 2" xfId="11664"/>
    <cellStyle name="Normal 177 2 2 3 3" xfId="17419"/>
    <cellStyle name="Normal 177 2 2 4" xfId="11661"/>
    <cellStyle name="Normal 177 2 2 5" xfId="17416"/>
    <cellStyle name="Normal 177 2 2_LNG &amp; LPG rework" xfId="6948"/>
    <cellStyle name="Normal 177 2 3" xfId="3001"/>
    <cellStyle name="Normal 177 2 3 2" xfId="3002"/>
    <cellStyle name="Normal 177 2 3 2 2" xfId="11666"/>
    <cellStyle name="Normal 177 2 3 2 3" xfId="17421"/>
    <cellStyle name="Normal 177 2 3 3" xfId="11665"/>
    <cellStyle name="Normal 177 2 3 4" xfId="17420"/>
    <cellStyle name="Normal 177 2 3_LNG &amp; LPG rework" xfId="6949"/>
    <cellStyle name="Normal 177 2 4" xfId="3003"/>
    <cellStyle name="Normal 177 2 4 2" xfId="11667"/>
    <cellStyle name="Normal 177 2 4 3" xfId="17422"/>
    <cellStyle name="Normal 177 2 5" xfId="11660"/>
    <cellStyle name="Normal 177 2 6" xfId="17415"/>
    <cellStyle name="Normal 177 2_LNG &amp; LPG rework" xfId="6946"/>
    <cellStyle name="Normal 177 3" xfId="3004"/>
    <cellStyle name="Normal 177 3 2" xfId="3005"/>
    <cellStyle name="Normal 177 3 2 2" xfId="3006"/>
    <cellStyle name="Normal 177 3 2 2 2" xfId="3007"/>
    <cellStyle name="Normal 177 3 2 2 2 2" xfId="11671"/>
    <cellStyle name="Normal 177 3 2 2 2 3" xfId="17426"/>
    <cellStyle name="Normal 177 3 2 2 3" xfId="11670"/>
    <cellStyle name="Normal 177 3 2 2 4" xfId="17425"/>
    <cellStyle name="Normal 177 3 2 2_LNG &amp; LPG rework" xfId="6951"/>
    <cellStyle name="Normal 177 3 2 3" xfId="3008"/>
    <cellStyle name="Normal 177 3 2 3 2" xfId="11672"/>
    <cellStyle name="Normal 177 3 2 3 3" xfId="17427"/>
    <cellStyle name="Normal 177 3 2 4" xfId="11669"/>
    <cellStyle name="Normal 177 3 2 5" xfId="17424"/>
    <cellStyle name="Normal 177 3 2_LNG &amp; LPG rework" xfId="6950"/>
    <cellStyle name="Normal 177 3 3" xfId="3009"/>
    <cellStyle name="Normal 177 3 3 2" xfId="3010"/>
    <cellStyle name="Normal 177 3 3 2 2" xfId="11674"/>
    <cellStyle name="Normal 177 3 3 2 3" xfId="17429"/>
    <cellStyle name="Normal 177 3 3 3" xfId="11673"/>
    <cellStyle name="Normal 177 3 3 4" xfId="17428"/>
    <cellStyle name="Normal 177 3 3_LNG &amp; LPG rework" xfId="6953"/>
    <cellStyle name="Normal 177 3 4" xfId="3011"/>
    <cellStyle name="Normal 177 3 4 2" xfId="11675"/>
    <cellStyle name="Normal 177 3 4 3" xfId="17430"/>
    <cellStyle name="Normal 177 3 5" xfId="11668"/>
    <cellStyle name="Normal 177 3 6" xfId="17423"/>
    <cellStyle name="Normal 177 3_LNG &amp; LPG rework" xfId="6952"/>
    <cellStyle name="Normal 177 4" xfId="3012"/>
    <cellStyle name="Normal 177 4 2" xfId="3013"/>
    <cellStyle name="Normal 177 4 2 2" xfId="3014"/>
    <cellStyle name="Normal 177 4 2 2 2" xfId="11678"/>
    <cellStyle name="Normal 177 4 2 2 3" xfId="17433"/>
    <cellStyle name="Normal 177 4 2 3" xfId="11677"/>
    <cellStyle name="Normal 177 4 2 4" xfId="17432"/>
    <cellStyle name="Normal 177 4 2_LNG &amp; LPG rework" xfId="6955"/>
    <cellStyle name="Normal 177 4 3" xfId="3015"/>
    <cellStyle name="Normal 177 4 3 2" xfId="11679"/>
    <cellStyle name="Normal 177 4 3 3" xfId="17434"/>
    <cellStyle name="Normal 177 4 4" xfId="11676"/>
    <cellStyle name="Normal 177 4 5" xfId="17431"/>
    <cellStyle name="Normal 177 4_LNG &amp; LPG rework" xfId="6954"/>
    <cellStyle name="Normal 177 5" xfId="3016"/>
    <cellStyle name="Normal 177 5 2" xfId="3017"/>
    <cellStyle name="Normal 177 5 2 2" xfId="11681"/>
    <cellStyle name="Normal 177 5 2 3" xfId="17436"/>
    <cellStyle name="Normal 177 5 3" xfId="11680"/>
    <cellStyle name="Normal 177 5 4" xfId="17435"/>
    <cellStyle name="Normal 177 5_LNG &amp; LPG rework" xfId="6956"/>
    <cellStyle name="Normal 177 6" xfId="3018"/>
    <cellStyle name="Normal 177 6 2" xfId="11682"/>
    <cellStyle name="Normal 177 6 3" xfId="17437"/>
    <cellStyle name="Normal 177 7" xfId="11659"/>
    <cellStyle name="Normal 177 8" xfId="17414"/>
    <cellStyle name="Normal 177_LNG &amp; LPG rework" xfId="6945"/>
    <cellStyle name="Normal 178" xfId="3019"/>
    <cellStyle name="Normal 178 2" xfId="3020"/>
    <cellStyle name="Normal 178 2 2" xfId="3021"/>
    <cellStyle name="Normal 178 2 2 2" xfId="3022"/>
    <cellStyle name="Normal 178 2 2 2 2" xfId="3023"/>
    <cellStyle name="Normal 178 2 2 2 2 2" xfId="11687"/>
    <cellStyle name="Normal 178 2 2 2 2 3" xfId="17442"/>
    <cellStyle name="Normal 178 2 2 2 3" xfId="11686"/>
    <cellStyle name="Normal 178 2 2 2 4" xfId="17441"/>
    <cellStyle name="Normal 178 2 2 2_LNG &amp; LPG rework" xfId="6959"/>
    <cellStyle name="Normal 178 2 2 3" xfId="3024"/>
    <cellStyle name="Normal 178 2 2 3 2" xfId="11688"/>
    <cellStyle name="Normal 178 2 2 3 3" xfId="17443"/>
    <cellStyle name="Normal 178 2 2 4" xfId="11685"/>
    <cellStyle name="Normal 178 2 2 5" xfId="17440"/>
    <cellStyle name="Normal 178 2 2_LNG &amp; LPG rework" xfId="6960"/>
    <cellStyle name="Normal 178 2 3" xfId="3025"/>
    <cellStyle name="Normal 178 2 3 2" xfId="3026"/>
    <cellStyle name="Normal 178 2 3 2 2" xfId="11690"/>
    <cellStyle name="Normal 178 2 3 2 3" xfId="17445"/>
    <cellStyle name="Normal 178 2 3 3" xfId="11689"/>
    <cellStyle name="Normal 178 2 3 4" xfId="17444"/>
    <cellStyle name="Normal 178 2 3_LNG &amp; LPG rework" xfId="6961"/>
    <cellStyle name="Normal 178 2 4" xfId="3027"/>
    <cellStyle name="Normal 178 2 4 2" xfId="11691"/>
    <cellStyle name="Normal 178 2 4 3" xfId="17446"/>
    <cellStyle name="Normal 178 2 5" xfId="11684"/>
    <cellStyle name="Normal 178 2 6" xfId="17439"/>
    <cellStyle name="Normal 178 2_LNG &amp; LPG rework" xfId="6958"/>
    <cellStyle name="Normal 178 3" xfId="3028"/>
    <cellStyle name="Normal 178 3 2" xfId="3029"/>
    <cellStyle name="Normal 178 3 2 2" xfId="3030"/>
    <cellStyle name="Normal 178 3 2 2 2" xfId="3031"/>
    <cellStyle name="Normal 178 3 2 2 2 2" xfId="11695"/>
    <cellStyle name="Normal 178 3 2 2 2 3" xfId="17450"/>
    <cellStyle name="Normal 178 3 2 2 3" xfId="11694"/>
    <cellStyle name="Normal 178 3 2 2 4" xfId="17449"/>
    <cellStyle name="Normal 178 3 2 2_LNG &amp; LPG rework" xfId="6964"/>
    <cellStyle name="Normal 178 3 2 3" xfId="3032"/>
    <cellStyle name="Normal 178 3 2 3 2" xfId="11696"/>
    <cellStyle name="Normal 178 3 2 3 3" xfId="17451"/>
    <cellStyle name="Normal 178 3 2 4" xfId="11693"/>
    <cellStyle name="Normal 178 3 2 5" xfId="17448"/>
    <cellStyle name="Normal 178 3 2_LNG &amp; LPG rework" xfId="6963"/>
    <cellStyle name="Normal 178 3 3" xfId="3033"/>
    <cellStyle name="Normal 178 3 3 2" xfId="3034"/>
    <cellStyle name="Normal 178 3 3 2 2" xfId="11698"/>
    <cellStyle name="Normal 178 3 3 2 3" xfId="17453"/>
    <cellStyle name="Normal 178 3 3 3" xfId="11697"/>
    <cellStyle name="Normal 178 3 3 4" xfId="17452"/>
    <cellStyle name="Normal 178 3 3_LNG &amp; LPG rework" xfId="6965"/>
    <cellStyle name="Normal 178 3 4" xfId="3035"/>
    <cellStyle name="Normal 178 3 4 2" xfId="11699"/>
    <cellStyle name="Normal 178 3 4 3" xfId="17454"/>
    <cellStyle name="Normal 178 3 5" xfId="11692"/>
    <cellStyle name="Normal 178 3 6" xfId="17447"/>
    <cellStyle name="Normal 178 3_LNG &amp; LPG rework" xfId="6962"/>
    <cellStyle name="Normal 178 4" xfId="3036"/>
    <cellStyle name="Normal 178 4 2" xfId="3037"/>
    <cellStyle name="Normal 178 4 2 2" xfId="3038"/>
    <cellStyle name="Normal 178 4 2 2 2" xfId="11702"/>
    <cellStyle name="Normal 178 4 2 2 3" xfId="17457"/>
    <cellStyle name="Normal 178 4 2 3" xfId="11701"/>
    <cellStyle name="Normal 178 4 2 4" xfId="17456"/>
    <cellStyle name="Normal 178 4 2_LNG &amp; LPG rework" xfId="6966"/>
    <cellStyle name="Normal 178 4 3" xfId="3039"/>
    <cellStyle name="Normal 178 4 3 2" xfId="11703"/>
    <cellStyle name="Normal 178 4 3 3" xfId="17458"/>
    <cellStyle name="Normal 178 4 4" xfId="11700"/>
    <cellStyle name="Normal 178 4 5" xfId="17455"/>
    <cellStyle name="Normal 178 4_LNG &amp; LPG rework" xfId="6967"/>
    <cellStyle name="Normal 178 5" xfId="3040"/>
    <cellStyle name="Normal 178 5 2" xfId="3041"/>
    <cellStyle name="Normal 178 5 2 2" xfId="11705"/>
    <cellStyle name="Normal 178 5 2 3" xfId="17460"/>
    <cellStyle name="Normal 178 5 3" xfId="11704"/>
    <cellStyle name="Normal 178 5 4" xfId="17459"/>
    <cellStyle name="Normal 178 5_LNG &amp; LPG rework" xfId="6968"/>
    <cellStyle name="Normal 178 6" xfId="3042"/>
    <cellStyle name="Normal 178 6 2" xfId="11706"/>
    <cellStyle name="Normal 178 6 3" xfId="17461"/>
    <cellStyle name="Normal 178 7" xfId="11683"/>
    <cellStyle name="Normal 178 8" xfId="17438"/>
    <cellStyle name="Normal 178_LNG &amp; LPG rework" xfId="6957"/>
    <cellStyle name="Normal 179" xfId="3043"/>
    <cellStyle name="Normal 179 2" xfId="3044"/>
    <cellStyle name="Normal 179 2 2" xfId="3045"/>
    <cellStyle name="Normal 179 2 2 2" xfId="3046"/>
    <cellStyle name="Normal 179 2 2 2 2" xfId="3047"/>
    <cellStyle name="Normal 179 2 2 2 2 2" xfId="11711"/>
    <cellStyle name="Normal 179 2 2 2 2 3" xfId="17466"/>
    <cellStyle name="Normal 179 2 2 2 3" xfId="11710"/>
    <cellStyle name="Normal 179 2 2 2 4" xfId="17465"/>
    <cellStyle name="Normal 179 2 2 2_LNG &amp; LPG rework" xfId="6971"/>
    <cellStyle name="Normal 179 2 2 3" xfId="3048"/>
    <cellStyle name="Normal 179 2 2 3 2" xfId="11712"/>
    <cellStyle name="Normal 179 2 2 3 3" xfId="17467"/>
    <cellStyle name="Normal 179 2 2 4" xfId="11709"/>
    <cellStyle name="Normal 179 2 2 5" xfId="17464"/>
    <cellStyle name="Normal 179 2 2_LNG &amp; LPG rework" xfId="6972"/>
    <cellStyle name="Normal 179 2 3" xfId="3049"/>
    <cellStyle name="Normal 179 2 3 2" xfId="3050"/>
    <cellStyle name="Normal 179 2 3 2 2" xfId="11714"/>
    <cellStyle name="Normal 179 2 3 2 3" xfId="17469"/>
    <cellStyle name="Normal 179 2 3 3" xfId="11713"/>
    <cellStyle name="Normal 179 2 3 4" xfId="17468"/>
    <cellStyle name="Normal 179 2 3_LNG &amp; LPG rework" xfId="6973"/>
    <cellStyle name="Normal 179 2 4" xfId="3051"/>
    <cellStyle name="Normal 179 2 4 2" xfId="11715"/>
    <cellStyle name="Normal 179 2 4 3" xfId="17470"/>
    <cellStyle name="Normal 179 2 5" xfId="11708"/>
    <cellStyle name="Normal 179 2 6" xfId="17463"/>
    <cellStyle name="Normal 179 2_LNG &amp; LPG rework" xfId="6970"/>
    <cellStyle name="Normal 179 3" xfId="3052"/>
    <cellStyle name="Normal 179 3 2" xfId="3053"/>
    <cellStyle name="Normal 179 3 2 2" xfId="3054"/>
    <cellStyle name="Normal 179 3 2 2 2" xfId="3055"/>
    <cellStyle name="Normal 179 3 2 2 2 2" xfId="11719"/>
    <cellStyle name="Normal 179 3 2 2 2 3" xfId="17474"/>
    <cellStyle name="Normal 179 3 2 2 3" xfId="11718"/>
    <cellStyle name="Normal 179 3 2 2 4" xfId="17473"/>
    <cellStyle name="Normal 179 3 2 2_LNG &amp; LPG rework" xfId="6976"/>
    <cellStyle name="Normal 179 3 2 3" xfId="3056"/>
    <cellStyle name="Normal 179 3 2 3 2" xfId="11720"/>
    <cellStyle name="Normal 179 3 2 3 3" xfId="17475"/>
    <cellStyle name="Normal 179 3 2 4" xfId="11717"/>
    <cellStyle name="Normal 179 3 2 5" xfId="17472"/>
    <cellStyle name="Normal 179 3 2_LNG &amp; LPG rework" xfId="6975"/>
    <cellStyle name="Normal 179 3 3" xfId="3057"/>
    <cellStyle name="Normal 179 3 3 2" xfId="3058"/>
    <cellStyle name="Normal 179 3 3 2 2" xfId="11722"/>
    <cellStyle name="Normal 179 3 3 2 3" xfId="17477"/>
    <cellStyle name="Normal 179 3 3 3" xfId="11721"/>
    <cellStyle name="Normal 179 3 3 4" xfId="17476"/>
    <cellStyle name="Normal 179 3 3_LNG &amp; LPG rework" xfId="6977"/>
    <cellStyle name="Normal 179 3 4" xfId="3059"/>
    <cellStyle name="Normal 179 3 4 2" xfId="11723"/>
    <cellStyle name="Normal 179 3 4 3" xfId="17478"/>
    <cellStyle name="Normal 179 3 5" xfId="11716"/>
    <cellStyle name="Normal 179 3 6" xfId="17471"/>
    <cellStyle name="Normal 179 3_LNG &amp; LPG rework" xfId="6974"/>
    <cellStyle name="Normal 179 4" xfId="3060"/>
    <cellStyle name="Normal 179 4 2" xfId="3061"/>
    <cellStyle name="Normal 179 4 2 2" xfId="3062"/>
    <cellStyle name="Normal 179 4 2 2 2" xfId="11726"/>
    <cellStyle name="Normal 179 4 2 2 3" xfId="17481"/>
    <cellStyle name="Normal 179 4 2 3" xfId="11725"/>
    <cellStyle name="Normal 179 4 2 4" xfId="17480"/>
    <cellStyle name="Normal 179 4 2_LNG &amp; LPG rework" xfId="6598"/>
    <cellStyle name="Normal 179 4 3" xfId="3063"/>
    <cellStyle name="Normal 179 4 3 2" xfId="11727"/>
    <cellStyle name="Normal 179 4 3 3" xfId="17482"/>
    <cellStyle name="Normal 179 4 4" xfId="11724"/>
    <cellStyle name="Normal 179 4 5" xfId="17479"/>
    <cellStyle name="Normal 179 4_LNG &amp; LPG rework" xfId="6639"/>
    <cellStyle name="Normal 179 5" xfId="3064"/>
    <cellStyle name="Normal 179 5 2" xfId="3065"/>
    <cellStyle name="Normal 179 5 2 2" xfId="11729"/>
    <cellStyle name="Normal 179 5 2 3" xfId="17484"/>
    <cellStyle name="Normal 179 5 3" xfId="11728"/>
    <cellStyle name="Normal 179 5 4" xfId="17483"/>
    <cellStyle name="Normal 179 5_LNG &amp; LPG rework" xfId="6597"/>
    <cellStyle name="Normal 179 6" xfId="3066"/>
    <cellStyle name="Normal 179 6 2" xfId="11730"/>
    <cellStyle name="Normal 179 6 3" xfId="17485"/>
    <cellStyle name="Normal 179 7" xfId="11707"/>
    <cellStyle name="Normal 179 8" xfId="17462"/>
    <cellStyle name="Normal 179_LNG &amp; LPG rework" xfId="6969"/>
    <cellStyle name="Normal 18" xfId="369"/>
    <cellStyle name="Normal 18 2" xfId="3067"/>
    <cellStyle name="Normal 18 3" xfId="3068"/>
    <cellStyle name="Normal 18 4" xfId="3069"/>
    <cellStyle name="Normal 18 5" xfId="3070"/>
    <cellStyle name="Normal 18 6" xfId="7836"/>
    <cellStyle name="Normal 18_LNG &amp; LPG rework" xfId="6640"/>
    <cellStyle name="Normal 180" xfId="3071"/>
    <cellStyle name="Normal 180 2" xfId="3072"/>
    <cellStyle name="Normal 180 2 2" xfId="3073"/>
    <cellStyle name="Normal 180 2 2 2" xfId="3074"/>
    <cellStyle name="Normal 180 2 2 2 2" xfId="3075"/>
    <cellStyle name="Normal 180 2 2 2 2 2" xfId="11735"/>
    <cellStyle name="Normal 180 2 2 2 2 3" xfId="17490"/>
    <cellStyle name="Normal 180 2 2 2 3" xfId="11734"/>
    <cellStyle name="Normal 180 2 2 2 4" xfId="17489"/>
    <cellStyle name="Normal 180 2 2 2_LNG &amp; LPG rework" xfId="6602"/>
    <cellStyle name="Normal 180 2 2 3" xfId="3076"/>
    <cellStyle name="Normal 180 2 2 3 2" xfId="11736"/>
    <cellStyle name="Normal 180 2 2 3 3" xfId="17491"/>
    <cellStyle name="Normal 180 2 2 4" xfId="11733"/>
    <cellStyle name="Normal 180 2 2 5" xfId="17488"/>
    <cellStyle name="Normal 180 2 2_LNG &amp; LPG rework" xfId="6601"/>
    <cellStyle name="Normal 180 2 3" xfId="3077"/>
    <cellStyle name="Normal 180 2 3 2" xfId="3078"/>
    <cellStyle name="Normal 180 2 3 2 2" xfId="11738"/>
    <cellStyle name="Normal 180 2 3 2 3" xfId="17493"/>
    <cellStyle name="Normal 180 2 3 3" xfId="11737"/>
    <cellStyle name="Normal 180 2 3 4" xfId="17492"/>
    <cellStyle name="Normal 180 2 3_LNG &amp; LPG rework" xfId="6595"/>
    <cellStyle name="Normal 180 2 4" xfId="3079"/>
    <cellStyle name="Normal 180 2 4 2" xfId="11739"/>
    <cellStyle name="Normal 180 2 4 3" xfId="17494"/>
    <cellStyle name="Normal 180 2 5" xfId="11732"/>
    <cellStyle name="Normal 180 2 6" xfId="17487"/>
    <cellStyle name="Normal 180 2_LNG &amp; LPG rework" xfId="6600"/>
    <cellStyle name="Normal 180 3" xfId="3080"/>
    <cellStyle name="Normal 180 3 2" xfId="3081"/>
    <cellStyle name="Normal 180 3 2 2" xfId="3082"/>
    <cellStyle name="Normal 180 3 2 2 2" xfId="3083"/>
    <cellStyle name="Normal 180 3 2 2 2 2" xfId="11743"/>
    <cellStyle name="Normal 180 3 2 2 2 3" xfId="17498"/>
    <cellStyle name="Normal 180 3 2 2 3" xfId="11742"/>
    <cellStyle name="Normal 180 3 2 2 4" xfId="17497"/>
    <cellStyle name="Normal 180 3 2 2_LNG &amp; LPG rework" xfId="6983"/>
    <cellStyle name="Normal 180 3 2 3" xfId="3084"/>
    <cellStyle name="Normal 180 3 2 3 2" xfId="11744"/>
    <cellStyle name="Normal 180 3 2 3 3" xfId="17499"/>
    <cellStyle name="Normal 180 3 2 4" xfId="11741"/>
    <cellStyle name="Normal 180 3 2 5" xfId="17496"/>
    <cellStyle name="Normal 180 3 2_LNG &amp; LPG rework" xfId="6641"/>
    <cellStyle name="Normal 180 3 3" xfId="3085"/>
    <cellStyle name="Normal 180 3 3 2" xfId="3086"/>
    <cellStyle name="Normal 180 3 3 2 2" xfId="11746"/>
    <cellStyle name="Normal 180 3 3 2 3" xfId="17501"/>
    <cellStyle name="Normal 180 3 3 3" xfId="11745"/>
    <cellStyle name="Normal 180 3 3 4" xfId="17500"/>
    <cellStyle name="Normal 180 3 3_LNG &amp; LPG rework" xfId="6606"/>
    <cellStyle name="Normal 180 3 4" xfId="3087"/>
    <cellStyle name="Normal 180 3 4 2" xfId="11747"/>
    <cellStyle name="Normal 180 3 4 3" xfId="17502"/>
    <cellStyle name="Normal 180 3 5" xfId="11740"/>
    <cellStyle name="Normal 180 3 6" xfId="17495"/>
    <cellStyle name="Normal 180 3_LNG &amp; LPG rework" xfId="6582"/>
    <cellStyle name="Normal 180 4" xfId="3088"/>
    <cellStyle name="Normal 180 4 2" xfId="3089"/>
    <cellStyle name="Normal 180 4 2 2" xfId="3090"/>
    <cellStyle name="Normal 180 4 2 2 2" xfId="11750"/>
    <cellStyle name="Normal 180 4 2 2 3" xfId="17505"/>
    <cellStyle name="Normal 180 4 2 3" xfId="11749"/>
    <cellStyle name="Normal 180 4 2 4" xfId="17504"/>
    <cellStyle name="Normal 180 4 2_LNG &amp; LPG rework" xfId="6577"/>
    <cellStyle name="Normal 180 4 3" xfId="3091"/>
    <cellStyle name="Normal 180 4 3 2" xfId="11751"/>
    <cellStyle name="Normal 180 4 3 3" xfId="17506"/>
    <cellStyle name="Normal 180 4 4" xfId="11748"/>
    <cellStyle name="Normal 180 4 5" xfId="17503"/>
    <cellStyle name="Normal 180 4_LNG &amp; LPG rework" xfId="6576"/>
    <cellStyle name="Normal 180 5" xfId="3092"/>
    <cellStyle name="Normal 180 5 2" xfId="3093"/>
    <cellStyle name="Normal 180 5 2 2" xfId="11753"/>
    <cellStyle name="Normal 180 5 2 3" xfId="17508"/>
    <cellStyle name="Normal 180 5 3" xfId="11752"/>
    <cellStyle name="Normal 180 5 4" xfId="17507"/>
    <cellStyle name="Normal 180 5_LNG &amp; LPG rework" xfId="6578"/>
    <cellStyle name="Normal 180 6" xfId="3094"/>
    <cellStyle name="Normal 180 6 2" xfId="11754"/>
    <cellStyle name="Normal 180 6 3" xfId="17509"/>
    <cellStyle name="Normal 180 7" xfId="11731"/>
    <cellStyle name="Normal 180 8" xfId="17486"/>
    <cellStyle name="Normal 180_LNG &amp; LPG rework" xfId="6603"/>
    <cellStyle name="Normal 181" xfId="3095"/>
    <cellStyle name="Normal 181 2" xfId="3096"/>
    <cellStyle name="Normal 181 2 2" xfId="3097"/>
    <cellStyle name="Normal 181 2 2 2" xfId="3098"/>
    <cellStyle name="Normal 181 2 2 2 2" xfId="3099"/>
    <cellStyle name="Normal 181 2 2 2 2 2" xfId="11759"/>
    <cellStyle name="Normal 181 2 2 2 2 3" xfId="17514"/>
    <cellStyle name="Normal 181 2 2 2 3" xfId="11758"/>
    <cellStyle name="Normal 181 2 2 2 4" xfId="17513"/>
    <cellStyle name="Normal 181 2 2 2_LNG &amp; LPG rework" xfId="6635"/>
    <cellStyle name="Normal 181 2 2 3" xfId="3100"/>
    <cellStyle name="Normal 181 2 2 3 2" xfId="11760"/>
    <cellStyle name="Normal 181 2 2 3 3" xfId="17515"/>
    <cellStyle name="Normal 181 2 2 4" xfId="11757"/>
    <cellStyle name="Normal 181 2 2 5" xfId="17512"/>
    <cellStyle name="Normal 181 2 2_LNG &amp; LPG rework" xfId="6636"/>
    <cellStyle name="Normal 181 2 3" xfId="3101"/>
    <cellStyle name="Normal 181 2 3 2" xfId="3102"/>
    <cellStyle name="Normal 181 2 3 2 2" xfId="11762"/>
    <cellStyle name="Normal 181 2 3 2 3" xfId="17517"/>
    <cellStyle name="Normal 181 2 3 3" xfId="11761"/>
    <cellStyle name="Normal 181 2 3 4" xfId="17516"/>
    <cellStyle name="Normal 181 2 3_LNG &amp; LPG rework" xfId="6634"/>
    <cellStyle name="Normal 181 2 4" xfId="3103"/>
    <cellStyle name="Normal 181 2 4 2" xfId="11763"/>
    <cellStyle name="Normal 181 2 4 3" xfId="17518"/>
    <cellStyle name="Normal 181 2 5" xfId="11756"/>
    <cellStyle name="Normal 181 2 6" xfId="17511"/>
    <cellStyle name="Normal 181 2_LNG &amp; LPG rework" xfId="6637"/>
    <cellStyle name="Normal 181 3" xfId="3104"/>
    <cellStyle name="Normal 181 3 2" xfId="3105"/>
    <cellStyle name="Normal 181 3 2 2" xfId="3106"/>
    <cellStyle name="Normal 181 3 2 2 2" xfId="3107"/>
    <cellStyle name="Normal 181 3 2 2 2 2" xfId="11767"/>
    <cellStyle name="Normal 181 3 2 2 2 3" xfId="17522"/>
    <cellStyle name="Normal 181 3 2 2 3" xfId="11766"/>
    <cellStyle name="Normal 181 3 2 2 4" xfId="17521"/>
    <cellStyle name="Normal 181 3 2 2_LNG &amp; LPG rework" xfId="6633"/>
    <cellStyle name="Normal 181 3 2 3" xfId="3108"/>
    <cellStyle name="Normal 181 3 2 3 2" xfId="11768"/>
    <cellStyle name="Normal 181 3 2 3 3" xfId="17523"/>
    <cellStyle name="Normal 181 3 2 4" xfId="11765"/>
    <cellStyle name="Normal 181 3 2 5" xfId="17520"/>
    <cellStyle name="Normal 181 3 2_LNG &amp; LPG rework" xfId="6579"/>
    <cellStyle name="Normal 181 3 3" xfId="3109"/>
    <cellStyle name="Normal 181 3 3 2" xfId="3110"/>
    <cellStyle name="Normal 181 3 3 2 2" xfId="11770"/>
    <cellStyle name="Normal 181 3 3 2 3" xfId="17525"/>
    <cellStyle name="Normal 181 3 3 3" xfId="11769"/>
    <cellStyle name="Normal 181 3 3 4" xfId="17524"/>
    <cellStyle name="Normal 181 3 3_LNG &amp; LPG rework" xfId="6632"/>
    <cellStyle name="Normal 181 3 4" xfId="3111"/>
    <cellStyle name="Normal 181 3 4 2" xfId="11771"/>
    <cellStyle name="Normal 181 3 4 3" xfId="17526"/>
    <cellStyle name="Normal 181 3 5" xfId="11764"/>
    <cellStyle name="Normal 181 3 6" xfId="17519"/>
    <cellStyle name="Normal 181 3_LNG &amp; LPG rework" xfId="6605"/>
    <cellStyle name="Normal 181 4" xfId="3112"/>
    <cellStyle name="Normal 181 4 2" xfId="3113"/>
    <cellStyle name="Normal 181 4 2 2" xfId="3114"/>
    <cellStyle name="Normal 181 4 2 2 2" xfId="11774"/>
    <cellStyle name="Normal 181 4 2 2 3" xfId="17529"/>
    <cellStyle name="Normal 181 4 2 3" xfId="11773"/>
    <cellStyle name="Normal 181 4 2 4" xfId="17528"/>
    <cellStyle name="Normal 181 4 2_LNG &amp; LPG rework" xfId="6604"/>
    <cellStyle name="Normal 181 4 3" xfId="3115"/>
    <cellStyle name="Normal 181 4 3 2" xfId="11775"/>
    <cellStyle name="Normal 181 4 3 3" xfId="17530"/>
    <cellStyle name="Normal 181 4 4" xfId="11772"/>
    <cellStyle name="Normal 181 4 5" xfId="17527"/>
    <cellStyle name="Normal 181 4_LNG &amp; LPG rework" xfId="6631"/>
    <cellStyle name="Normal 181 5" xfId="3116"/>
    <cellStyle name="Normal 181 5 2" xfId="3117"/>
    <cellStyle name="Normal 181 5 2 2" xfId="11777"/>
    <cellStyle name="Normal 181 5 2 3" xfId="17532"/>
    <cellStyle name="Normal 181 5 3" xfId="11776"/>
    <cellStyle name="Normal 181 5 4" xfId="17531"/>
    <cellStyle name="Normal 181 5_LNG &amp; LPG rework" xfId="6630"/>
    <cellStyle name="Normal 181 6" xfId="3118"/>
    <cellStyle name="Normal 181 6 2" xfId="11778"/>
    <cellStyle name="Normal 181 6 3" xfId="17533"/>
    <cellStyle name="Normal 181 7" xfId="11755"/>
    <cellStyle name="Normal 181 8" xfId="17510"/>
    <cellStyle name="Normal 181_LNG &amp; LPG rework" xfId="6638"/>
    <cellStyle name="Normal 182" xfId="3119"/>
    <cellStyle name="Normal 182 2" xfId="3120"/>
    <cellStyle name="Normal 182 2 2" xfId="3121"/>
    <cellStyle name="Normal 182 2 2 2" xfId="3122"/>
    <cellStyle name="Normal 182 2 2 2 2" xfId="3123"/>
    <cellStyle name="Normal 182 2 2 2 2 2" xfId="11783"/>
    <cellStyle name="Normal 182 2 2 2 2 3" xfId="17538"/>
    <cellStyle name="Normal 182 2 2 2 3" xfId="11782"/>
    <cellStyle name="Normal 182 2 2 2 4" xfId="17537"/>
    <cellStyle name="Normal 182 2 2 2_LNG &amp; LPG rework" xfId="6599"/>
    <cellStyle name="Normal 182 2 2 3" xfId="3124"/>
    <cellStyle name="Normal 182 2 2 3 2" xfId="11784"/>
    <cellStyle name="Normal 182 2 2 3 3" xfId="17539"/>
    <cellStyle name="Normal 182 2 2 4" xfId="11781"/>
    <cellStyle name="Normal 182 2 2 5" xfId="17536"/>
    <cellStyle name="Normal 182 2 2_LNG &amp; LPG rework" xfId="6628"/>
    <cellStyle name="Normal 182 2 3" xfId="3125"/>
    <cellStyle name="Normal 182 2 3 2" xfId="3126"/>
    <cellStyle name="Normal 182 2 3 2 2" xfId="11786"/>
    <cellStyle name="Normal 182 2 3 2 3" xfId="17541"/>
    <cellStyle name="Normal 182 2 3 3" xfId="11785"/>
    <cellStyle name="Normal 182 2 3 4" xfId="17540"/>
    <cellStyle name="Normal 182 2 3_LNG &amp; LPG rework" xfId="6586"/>
    <cellStyle name="Normal 182 2 4" xfId="3127"/>
    <cellStyle name="Normal 182 2 4 2" xfId="11787"/>
    <cellStyle name="Normal 182 2 4 3" xfId="17542"/>
    <cellStyle name="Normal 182 2 5" xfId="11780"/>
    <cellStyle name="Normal 182 2 6" xfId="17535"/>
    <cellStyle name="Normal 182 2_LNG &amp; LPG rework" xfId="6596"/>
    <cellStyle name="Normal 182 3" xfId="3128"/>
    <cellStyle name="Normal 182 3 2" xfId="3129"/>
    <cellStyle name="Normal 182 3 2 2" xfId="3130"/>
    <cellStyle name="Normal 182 3 2 2 2" xfId="3131"/>
    <cellStyle name="Normal 182 3 2 2 2 2" xfId="11791"/>
    <cellStyle name="Normal 182 3 2 2 2 3" xfId="17546"/>
    <cellStyle name="Normal 182 3 2 2 3" xfId="11790"/>
    <cellStyle name="Normal 182 3 2 2 4" xfId="17545"/>
    <cellStyle name="Normal 182 3 2 2_LNG &amp; LPG rework" xfId="6627"/>
    <cellStyle name="Normal 182 3 2 3" xfId="3132"/>
    <cellStyle name="Normal 182 3 2 3 2" xfId="11792"/>
    <cellStyle name="Normal 182 3 2 3 3" xfId="17547"/>
    <cellStyle name="Normal 182 3 2 4" xfId="11789"/>
    <cellStyle name="Normal 182 3 2 5" xfId="17544"/>
    <cellStyle name="Normal 182 3 2_LNG &amp; LPG rework" xfId="6589"/>
    <cellStyle name="Normal 182 3 3" xfId="3133"/>
    <cellStyle name="Normal 182 3 3 2" xfId="3134"/>
    <cellStyle name="Normal 182 3 3 2 2" xfId="11794"/>
    <cellStyle name="Normal 182 3 3 2 3" xfId="17549"/>
    <cellStyle name="Normal 182 3 3 3" xfId="11793"/>
    <cellStyle name="Normal 182 3 3 4" xfId="17548"/>
    <cellStyle name="Normal 182 3 3_LNG &amp; LPG rework" xfId="6593"/>
    <cellStyle name="Normal 182 3 4" xfId="3135"/>
    <cellStyle name="Normal 182 3 4 2" xfId="11795"/>
    <cellStyle name="Normal 182 3 4 3" xfId="17550"/>
    <cellStyle name="Normal 182 3 5" xfId="11788"/>
    <cellStyle name="Normal 182 3 6" xfId="17543"/>
    <cellStyle name="Normal 182 3_LNG &amp; LPG rework" xfId="6626"/>
    <cellStyle name="Normal 182 4" xfId="3136"/>
    <cellStyle name="Normal 182 4 2" xfId="3137"/>
    <cellStyle name="Normal 182 4 2 2" xfId="3138"/>
    <cellStyle name="Normal 182 4 2 2 2" xfId="11798"/>
    <cellStyle name="Normal 182 4 2 2 3" xfId="17553"/>
    <cellStyle name="Normal 182 4 2 3" xfId="11797"/>
    <cellStyle name="Normal 182 4 2 4" xfId="17552"/>
    <cellStyle name="Normal 182 4 2_LNG &amp; LPG rework" xfId="6587"/>
    <cellStyle name="Normal 182 4 3" xfId="3139"/>
    <cellStyle name="Normal 182 4 3 2" xfId="11799"/>
    <cellStyle name="Normal 182 4 3 3" xfId="17554"/>
    <cellStyle name="Normal 182 4 4" xfId="11796"/>
    <cellStyle name="Normal 182 4 5" xfId="17551"/>
    <cellStyle name="Normal 182 4_LNG &amp; LPG rework" xfId="6585"/>
    <cellStyle name="Normal 182 5" xfId="3140"/>
    <cellStyle name="Normal 182 5 2" xfId="3141"/>
    <cellStyle name="Normal 182 5 2 2" xfId="11801"/>
    <cellStyle name="Normal 182 5 2 3" xfId="17556"/>
    <cellStyle name="Normal 182 5 3" xfId="11800"/>
    <cellStyle name="Normal 182 5 4" xfId="17555"/>
    <cellStyle name="Normal 182 5_LNG &amp; LPG rework" xfId="6591"/>
    <cellStyle name="Normal 182 6" xfId="3142"/>
    <cellStyle name="Normal 182 6 2" xfId="11802"/>
    <cellStyle name="Normal 182 6 3" xfId="17557"/>
    <cellStyle name="Normal 182 7" xfId="11779"/>
    <cellStyle name="Normal 182 8" xfId="17534"/>
    <cellStyle name="Normal 182_LNG &amp; LPG rework" xfId="6629"/>
    <cellStyle name="Normal 183" xfId="3143"/>
    <cellStyle name="Normal 183 2" xfId="3144"/>
    <cellStyle name="Normal 183 2 2" xfId="3145"/>
    <cellStyle name="Normal 183 2 2 2" xfId="3146"/>
    <cellStyle name="Normal 183 2 2 2 2" xfId="3147"/>
    <cellStyle name="Normal 183 2 2 2 2 2" xfId="11807"/>
    <cellStyle name="Normal 183 2 2 2 2 3" xfId="17562"/>
    <cellStyle name="Normal 183 2 2 2 3" xfId="11806"/>
    <cellStyle name="Normal 183 2 2 2 4" xfId="17561"/>
    <cellStyle name="Normal 183 2 2 2_LNG &amp; LPG rework" xfId="6622"/>
    <cellStyle name="Normal 183 2 2 3" xfId="3148"/>
    <cellStyle name="Normal 183 2 2 3 2" xfId="11808"/>
    <cellStyle name="Normal 183 2 2 3 3" xfId="17563"/>
    <cellStyle name="Normal 183 2 2 4" xfId="11805"/>
    <cellStyle name="Normal 183 2 2 5" xfId="17560"/>
    <cellStyle name="Normal 183 2 2_LNG &amp; LPG rework" xfId="6625"/>
    <cellStyle name="Normal 183 2 3" xfId="3149"/>
    <cellStyle name="Normal 183 2 3 2" xfId="3150"/>
    <cellStyle name="Normal 183 2 3 2 2" xfId="11810"/>
    <cellStyle name="Normal 183 2 3 2 3" xfId="17565"/>
    <cellStyle name="Normal 183 2 3 3" xfId="11809"/>
    <cellStyle name="Normal 183 2 3 4" xfId="17564"/>
    <cellStyle name="Normal 183 2 3_LNG &amp; LPG rework" xfId="6615"/>
    <cellStyle name="Normal 183 2 4" xfId="3151"/>
    <cellStyle name="Normal 183 2 4 2" xfId="11811"/>
    <cellStyle name="Normal 183 2 4 3" xfId="17566"/>
    <cellStyle name="Normal 183 2 5" xfId="11804"/>
    <cellStyle name="Normal 183 2 6" xfId="17559"/>
    <cellStyle name="Normal 183 2_LNG &amp; LPG rework" xfId="6623"/>
    <cellStyle name="Normal 183 3" xfId="3152"/>
    <cellStyle name="Normal 183 3 2" xfId="3153"/>
    <cellStyle name="Normal 183 3 2 2" xfId="3154"/>
    <cellStyle name="Normal 183 3 2 2 2" xfId="3155"/>
    <cellStyle name="Normal 183 3 2 2 2 2" xfId="11815"/>
    <cellStyle name="Normal 183 3 2 2 2 3" xfId="17570"/>
    <cellStyle name="Normal 183 3 2 2 3" xfId="11814"/>
    <cellStyle name="Normal 183 3 2 2 4" xfId="17569"/>
    <cellStyle name="Normal 183 3 2 2_LNG &amp; LPG rework" xfId="6989"/>
    <cellStyle name="Normal 183 3 2 3" xfId="3156"/>
    <cellStyle name="Normal 183 3 2 3 2" xfId="11816"/>
    <cellStyle name="Normal 183 3 2 3 3" xfId="17571"/>
    <cellStyle name="Normal 183 3 2 4" xfId="11813"/>
    <cellStyle name="Normal 183 3 2 5" xfId="17568"/>
    <cellStyle name="Normal 183 3 2_LNG &amp; LPG rework" xfId="6588"/>
    <cellStyle name="Normal 183 3 3" xfId="3157"/>
    <cellStyle name="Normal 183 3 3 2" xfId="3158"/>
    <cellStyle name="Normal 183 3 3 2 2" xfId="11818"/>
    <cellStyle name="Normal 183 3 3 2 3" xfId="17573"/>
    <cellStyle name="Normal 183 3 3 3" xfId="11817"/>
    <cellStyle name="Normal 183 3 3 4" xfId="17572"/>
    <cellStyle name="Normal 183 3 3_LNG &amp; LPG rework" xfId="6988"/>
    <cellStyle name="Normal 183 3 4" xfId="3159"/>
    <cellStyle name="Normal 183 3 4 2" xfId="11819"/>
    <cellStyle name="Normal 183 3 4 3" xfId="17574"/>
    <cellStyle name="Normal 183 3 5" xfId="11812"/>
    <cellStyle name="Normal 183 3 6" xfId="17567"/>
    <cellStyle name="Normal 183 3_LNG &amp; LPG rework" xfId="6583"/>
    <cellStyle name="Normal 183 4" xfId="3160"/>
    <cellStyle name="Normal 183 4 2" xfId="3161"/>
    <cellStyle name="Normal 183 4 2 2" xfId="3162"/>
    <cellStyle name="Normal 183 4 2 2 2" xfId="11822"/>
    <cellStyle name="Normal 183 4 2 2 3" xfId="17577"/>
    <cellStyle name="Normal 183 4 2 3" xfId="11821"/>
    <cellStyle name="Normal 183 4 2 4" xfId="17576"/>
    <cellStyle name="Normal 183 4 2_LNG &amp; LPG rework" xfId="6987"/>
    <cellStyle name="Normal 183 4 3" xfId="3163"/>
    <cellStyle name="Normal 183 4 3 2" xfId="11823"/>
    <cellStyle name="Normal 183 4 3 3" xfId="17578"/>
    <cellStyle name="Normal 183 4 4" xfId="11820"/>
    <cellStyle name="Normal 183 4 5" xfId="17575"/>
    <cellStyle name="Normal 183 4_LNG &amp; LPG rework" xfId="6609"/>
    <cellStyle name="Normal 183 5" xfId="3164"/>
    <cellStyle name="Normal 183 5 2" xfId="3165"/>
    <cellStyle name="Normal 183 5 2 2" xfId="11825"/>
    <cellStyle name="Normal 183 5 2 3" xfId="17580"/>
    <cellStyle name="Normal 183 5 3" xfId="11824"/>
    <cellStyle name="Normal 183 5 4" xfId="17579"/>
    <cellStyle name="Normal 183 5_LNG &amp; LPG rework" xfId="6986"/>
    <cellStyle name="Normal 183 6" xfId="3166"/>
    <cellStyle name="Normal 183 6 2" xfId="11826"/>
    <cellStyle name="Normal 183 6 3" xfId="17581"/>
    <cellStyle name="Normal 183 7" xfId="11803"/>
    <cellStyle name="Normal 183 8" xfId="17558"/>
    <cellStyle name="Normal 183_LNG &amp; LPG rework" xfId="6624"/>
    <cellStyle name="Normal 184" xfId="3167"/>
    <cellStyle name="Normal 185" xfId="3168"/>
    <cellStyle name="Normal 185 2" xfId="3169"/>
    <cellStyle name="Normal 185 2 2" xfId="3170"/>
    <cellStyle name="Normal 185 2 2 2" xfId="3171"/>
    <cellStyle name="Normal 185 2 2 2 2" xfId="3172"/>
    <cellStyle name="Normal 185 2 2 2 2 2" xfId="11831"/>
    <cellStyle name="Normal 185 2 2 2 2 3" xfId="17586"/>
    <cellStyle name="Normal 185 2 2 2 3" xfId="11830"/>
    <cellStyle name="Normal 185 2 2 2 4" xfId="17585"/>
    <cellStyle name="Normal 185 2 2 2_LNG &amp; LPG rework" xfId="6618"/>
    <cellStyle name="Normal 185 2 2 3" xfId="3173"/>
    <cellStyle name="Normal 185 2 2 3 2" xfId="11832"/>
    <cellStyle name="Normal 185 2 2 3 3" xfId="17587"/>
    <cellStyle name="Normal 185 2 2 4" xfId="11829"/>
    <cellStyle name="Normal 185 2 2 5" xfId="17584"/>
    <cellStyle name="Normal 185 2 2_LNG &amp; LPG rework" xfId="6619"/>
    <cellStyle name="Normal 185 2 3" xfId="3174"/>
    <cellStyle name="Normal 185 2 3 2" xfId="3175"/>
    <cellStyle name="Normal 185 2 3 2 2" xfId="11834"/>
    <cellStyle name="Normal 185 2 3 2 3" xfId="17589"/>
    <cellStyle name="Normal 185 2 3 3" xfId="11833"/>
    <cellStyle name="Normal 185 2 3 4" xfId="17588"/>
    <cellStyle name="Normal 185 2 3_LNG &amp; LPG rework" xfId="6991"/>
    <cellStyle name="Normal 185 2 4" xfId="3176"/>
    <cellStyle name="Normal 185 2 4 2" xfId="11835"/>
    <cellStyle name="Normal 185 2 4 3" xfId="17590"/>
    <cellStyle name="Normal 185 2 5" xfId="11828"/>
    <cellStyle name="Normal 185 2 6" xfId="17583"/>
    <cellStyle name="Normal 185 2_LNG &amp; LPG rework" xfId="6621"/>
    <cellStyle name="Normal 185 3" xfId="3177"/>
    <cellStyle name="Normal 185 3 2" xfId="3178"/>
    <cellStyle name="Normal 185 3 2 2" xfId="3179"/>
    <cellStyle name="Normal 185 3 2 2 2" xfId="3180"/>
    <cellStyle name="Normal 185 3 2 2 2 2" xfId="11839"/>
    <cellStyle name="Normal 185 3 2 2 2 3" xfId="17594"/>
    <cellStyle name="Normal 185 3 2 2 3" xfId="11838"/>
    <cellStyle name="Normal 185 3 2 2 4" xfId="17593"/>
    <cellStyle name="Normal 185 3 2 2_LNG &amp; LPG rework" xfId="6614"/>
    <cellStyle name="Normal 185 3 2 3" xfId="3181"/>
    <cellStyle name="Normal 185 3 2 3 2" xfId="11840"/>
    <cellStyle name="Normal 185 3 2 3 3" xfId="17595"/>
    <cellStyle name="Normal 185 3 2 4" xfId="11837"/>
    <cellStyle name="Normal 185 3 2 5" xfId="17592"/>
    <cellStyle name="Normal 185 3 2_LNG &amp; LPG rework" xfId="6990"/>
    <cellStyle name="Normal 185 3 3" xfId="3182"/>
    <cellStyle name="Normal 185 3 3 2" xfId="3183"/>
    <cellStyle name="Normal 185 3 3 2 2" xfId="11842"/>
    <cellStyle name="Normal 185 3 3 2 3" xfId="17597"/>
    <cellStyle name="Normal 185 3 3 3" xfId="11841"/>
    <cellStyle name="Normal 185 3 3 4" xfId="17596"/>
    <cellStyle name="Normal 185 3 3_LNG &amp; LPG rework" xfId="6613"/>
    <cellStyle name="Normal 185 3 4" xfId="3184"/>
    <cellStyle name="Normal 185 3 4 2" xfId="11843"/>
    <cellStyle name="Normal 185 3 4 3" xfId="17598"/>
    <cellStyle name="Normal 185 3 5" xfId="11836"/>
    <cellStyle name="Normal 185 3 6" xfId="17591"/>
    <cellStyle name="Normal 185 3_LNG &amp; LPG rework" xfId="6608"/>
    <cellStyle name="Normal 185 4" xfId="3185"/>
    <cellStyle name="Normal 185 4 2" xfId="3186"/>
    <cellStyle name="Normal 185 4 2 2" xfId="3187"/>
    <cellStyle name="Normal 185 4 2 2 2" xfId="11846"/>
    <cellStyle name="Normal 185 4 2 2 3" xfId="17601"/>
    <cellStyle name="Normal 185 4 2 3" xfId="11845"/>
    <cellStyle name="Normal 185 4 2 4" xfId="17600"/>
    <cellStyle name="Normal 185 4 2_LNG &amp; LPG rework" xfId="6590"/>
    <cellStyle name="Normal 185 4 3" xfId="3188"/>
    <cellStyle name="Normal 185 4 3 2" xfId="11847"/>
    <cellStyle name="Normal 185 4 3 3" xfId="17602"/>
    <cellStyle name="Normal 185 4 4" xfId="11844"/>
    <cellStyle name="Normal 185 4 5" xfId="17599"/>
    <cellStyle name="Normal 185 4_LNG &amp; LPG rework" xfId="6612"/>
    <cellStyle name="Normal 185 5" xfId="3189"/>
    <cellStyle name="Normal 185 5 2" xfId="3190"/>
    <cellStyle name="Normal 185 5 2 2" xfId="11849"/>
    <cellStyle name="Normal 185 5 2 3" xfId="17604"/>
    <cellStyle name="Normal 185 5 3" xfId="11848"/>
    <cellStyle name="Normal 185 5 4" xfId="17603"/>
    <cellStyle name="Normal 185 5_LNG &amp; LPG rework" xfId="6592"/>
    <cellStyle name="Normal 185 6" xfId="3191"/>
    <cellStyle name="Normal 185 6 2" xfId="11850"/>
    <cellStyle name="Normal 185 6 3" xfId="17605"/>
    <cellStyle name="Normal 185 7" xfId="11827"/>
    <cellStyle name="Normal 185 8" xfId="17582"/>
    <cellStyle name="Normal 185_LNG &amp; LPG rework" xfId="6620"/>
    <cellStyle name="Normal 186" xfId="3192"/>
    <cellStyle name="Normal 186 2" xfId="3193"/>
    <cellStyle name="Normal 186 2 2" xfId="3194"/>
    <cellStyle name="Normal 186 2 2 2" xfId="3195"/>
    <cellStyle name="Normal 186 2 2 2 2" xfId="3196"/>
    <cellStyle name="Normal 186 2 2 2 2 2" xfId="11855"/>
    <cellStyle name="Normal 186 2 2 2 2 3" xfId="17610"/>
    <cellStyle name="Normal 186 2 2 2 3" xfId="11854"/>
    <cellStyle name="Normal 186 2 2 2 4" xfId="17609"/>
    <cellStyle name="Normal 186 2 2 2_LNG &amp; LPG rework" xfId="6581"/>
    <cellStyle name="Normal 186 2 2 3" xfId="3197"/>
    <cellStyle name="Normal 186 2 2 3 2" xfId="11856"/>
    <cellStyle name="Normal 186 2 2 3 3" xfId="17611"/>
    <cellStyle name="Normal 186 2 2 4" xfId="11853"/>
    <cellStyle name="Normal 186 2 2 5" xfId="17608"/>
    <cellStyle name="Normal 186 2 2_LNG &amp; LPG rework" xfId="6617"/>
    <cellStyle name="Normal 186 2 3" xfId="3198"/>
    <cellStyle name="Normal 186 2 3 2" xfId="3199"/>
    <cellStyle name="Normal 186 2 3 2 2" xfId="11858"/>
    <cellStyle name="Normal 186 2 3 2 3" xfId="17613"/>
    <cellStyle name="Normal 186 2 3 3" xfId="11857"/>
    <cellStyle name="Normal 186 2 3 4" xfId="17612"/>
    <cellStyle name="Normal 186 2 3_LNG &amp; LPG rework" xfId="6616"/>
    <cellStyle name="Normal 186 2 4" xfId="3200"/>
    <cellStyle name="Normal 186 2 4 2" xfId="11859"/>
    <cellStyle name="Normal 186 2 4 3" xfId="17614"/>
    <cellStyle name="Normal 186 2 5" xfId="11852"/>
    <cellStyle name="Normal 186 2 6" xfId="17607"/>
    <cellStyle name="Normal 186 2_LNG &amp; LPG rework" xfId="6580"/>
    <cellStyle name="Normal 186 3" xfId="3201"/>
    <cellStyle name="Normal 186 3 2" xfId="3202"/>
    <cellStyle name="Normal 186 3 2 2" xfId="3203"/>
    <cellStyle name="Normal 186 3 2 2 2" xfId="3204"/>
    <cellStyle name="Normal 186 3 2 2 2 2" xfId="11863"/>
    <cellStyle name="Normal 186 3 2 2 2 3" xfId="17618"/>
    <cellStyle name="Normal 186 3 2 2 3" xfId="11862"/>
    <cellStyle name="Normal 186 3 2 2 4" xfId="17617"/>
    <cellStyle name="Normal 186 3 2 2_LNG &amp; LPG rework" xfId="6994"/>
    <cellStyle name="Normal 186 3 2 3" xfId="3205"/>
    <cellStyle name="Normal 186 3 2 3 2" xfId="11864"/>
    <cellStyle name="Normal 186 3 2 3 3" xfId="17619"/>
    <cellStyle name="Normal 186 3 2 4" xfId="11861"/>
    <cellStyle name="Normal 186 3 2 5" xfId="17616"/>
    <cellStyle name="Normal 186 3 2_LNG &amp; LPG rework" xfId="6993"/>
    <cellStyle name="Normal 186 3 3" xfId="3206"/>
    <cellStyle name="Normal 186 3 3 2" xfId="3207"/>
    <cellStyle name="Normal 186 3 3 2 2" xfId="11866"/>
    <cellStyle name="Normal 186 3 3 2 3" xfId="17621"/>
    <cellStyle name="Normal 186 3 3 3" xfId="11865"/>
    <cellStyle name="Normal 186 3 3 4" xfId="17620"/>
    <cellStyle name="Normal 186 3 3_LNG &amp; LPG rework" xfId="6995"/>
    <cellStyle name="Normal 186 3 4" xfId="3208"/>
    <cellStyle name="Normal 186 3 4 2" xfId="11867"/>
    <cellStyle name="Normal 186 3 4 3" xfId="17622"/>
    <cellStyle name="Normal 186 3 5" xfId="11860"/>
    <cellStyle name="Normal 186 3 6" xfId="17615"/>
    <cellStyle name="Normal 186 3_LNG &amp; LPG rework" xfId="6992"/>
    <cellStyle name="Normal 186 4" xfId="3209"/>
    <cellStyle name="Normal 186 4 2" xfId="3210"/>
    <cellStyle name="Normal 186 4 2 2" xfId="3211"/>
    <cellStyle name="Normal 186 4 2 2 2" xfId="11870"/>
    <cellStyle name="Normal 186 4 2 2 3" xfId="17625"/>
    <cellStyle name="Normal 186 4 2 3" xfId="11869"/>
    <cellStyle name="Normal 186 4 2 4" xfId="17624"/>
    <cellStyle name="Normal 186 4 2_LNG &amp; LPG rework" xfId="6997"/>
    <cellStyle name="Normal 186 4 3" xfId="3212"/>
    <cellStyle name="Normal 186 4 3 2" xfId="11871"/>
    <cellStyle name="Normal 186 4 3 3" xfId="17626"/>
    <cellStyle name="Normal 186 4 4" xfId="11868"/>
    <cellStyle name="Normal 186 4 5" xfId="17623"/>
    <cellStyle name="Normal 186 4_LNG &amp; LPG rework" xfId="6996"/>
    <cellStyle name="Normal 186 5" xfId="3213"/>
    <cellStyle name="Normal 186 5 2" xfId="3214"/>
    <cellStyle name="Normal 186 5 2 2" xfId="11873"/>
    <cellStyle name="Normal 186 5 2 3" xfId="17628"/>
    <cellStyle name="Normal 186 5 3" xfId="11872"/>
    <cellStyle name="Normal 186 5 4" xfId="17627"/>
    <cellStyle name="Normal 186 5_LNG &amp; LPG rework" xfId="6998"/>
    <cellStyle name="Normal 186 6" xfId="3215"/>
    <cellStyle name="Normal 186 6 2" xfId="11874"/>
    <cellStyle name="Normal 186 6 3" xfId="17629"/>
    <cellStyle name="Normal 186 7" xfId="11851"/>
    <cellStyle name="Normal 186 8" xfId="17606"/>
    <cellStyle name="Normal 186_LNG &amp; LPG rework" xfId="6594"/>
    <cellStyle name="Normal 187" xfId="3216"/>
    <cellStyle name="Normal 187 2" xfId="3217"/>
    <cellStyle name="Normal 187 2 2" xfId="3218"/>
    <cellStyle name="Normal 187 2 2 2" xfId="3219"/>
    <cellStyle name="Normal 187 2 2 2 2" xfId="3220"/>
    <cellStyle name="Normal 187 2 2 2 2 2" xfId="11879"/>
    <cellStyle name="Normal 187 2 2 2 2 3" xfId="17634"/>
    <cellStyle name="Normal 187 2 2 2 3" xfId="11878"/>
    <cellStyle name="Normal 187 2 2 2 4" xfId="17633"/>
    <cellStyle name="Normal 187 2 2 2_LNG &amp; LPG rework" xfId="7002"/>
    <cellStyle name="Normal 187 2 2 3" xfId="3221"/>
    <cellStyle name="Normal 187 2 2 3 2" xfId="11880"/>
    <cellStyle name="Normal 187 2 2 3 3" xfId="17635"/>
    <cellStyle name="Normal 187 2 2 4" xfId="11877"/>
    <cellStyle name="Normal 187 2 2 5" xfId="17632"/>
    <cellStyle name="Normal 187 2 2_LNG &amp; LPG rework" xfId="7001"/>
    <cellStyle name="Normal 187 2 3" xfId="3222"/>
    <cellStyle name="Normal 187 2 3 2" xfId="3223"/>
    <cellStyle name="Normal 187 2 3 2 2" xfId="11882"/>
    <cellStyle name="Normal 187 2 3 2 3" xfId="17637"/>
    <cellStyle name="Normal 187 2 3 3" xfId="11881"/>
    <cellStyle name="Normal 187 2 3 4" xfId="17636"/>
    <cellStyle name="Normal 187 2 3_LNG &amp; LPG rework" xfId="7003"/>
    <cellStyle name="Normal 187 2 4" xfId="3224"/>
    <cellStyle name="Normal 187 2 4 2" xfId="11883"/>
    <cellStyle name="Normal 187 2 4 3" xfId="17638"/>
    <cellStyle name="Normal 187 2 5" xfId="11876"/>
    <cellStyle name="Normal 187 2 6" xfId="17631"/>
    <cellStyle name="Normal 187 2_LNG &amp; LPG rework" xfId="7000"/>
    <cellStyle name="Normal 187 3" xfId="3225"/>
    <cellStyle name="Normal 187 3 2" xfId="3226"/>
    <cellStyle name="Normal 187 3 2 2" xfId="3227"/>
    <cellStyle name="Normal 187 3 2 2 2" xfId="3228"/>
    <cellStyle name="Normal 187 3 2 2 2 2" xfId="11887"/>
    <cellStyle name="Normal 187 3 2 2 2 3" xfId="17642"/>
    <cellStyle name="Normal 187 3 2 2 3" xfId="11886"/>
    <cellStyle name="Normal 187 3 2 2 4" xfId="17641"/>
    <cellStyle name="Normal 187 3 2 2_LNG &amp; LPG rework" xfId="7006"/>
    <cellStyle name="Normal 187 3 2 3" xfId="3229"/>
    <cellStyle name="Normal 187 3 2 3 2" xfId="11888"/>
    <cellStyle name="Normal 187 3 2 3 3" xfId="17643"/>
    <cellStyle name="Normal 187 3 2 4" xfId="11885"/>
    <cellStyle name="Normal 187 3 2 5" xfId="17640"/>
    <cellStyle name="Normal 187 3 2_LNG &amp; LPG rework" xfId="7005"/>
    <cellStyle name="Normal 187 3 3" xfId="3230"/>
    <cellStyle name="Normal 187 3 3 2" xfId="3231"/>
    <cellStyle name="Normal 187 3 3 2 2" xfId="11890"/>
    <cellStyle name="Normal 187 3 3 2 3" xfId="17645"/>
    <cellStyle name="Normal 187 3 3 3" xfId="11889"/>
    <cellStyle name="Normal 187 3 3 4" xfId="17644"/>
    <cellStyle name="Normal 187 3 3_LNG &amp; LPG rework" xfId="7007"/>
    <cellStyle name="Normal 187 3 4" xfId="3232"/>
    <cellStyle name="Normal 187 3 4 2" xfId="11891"/>
    <cellStyle name="Normal 187 3 4 3" xfId="17646"/>
    <cellStyle name="Normal 187 3 5" xfId="11884"/>
    <cellStyle name="Normal 187 3 6" xfId="17639"/>
    <cellStyle name="Normal 187 3_LNG &amp; LPG rework" xfId="7004"/>
    <cellStyle name="Normal 187 4" xfId="3233"/>
    <cellStyle name="Normal 187 4 2" xfId="3234"/>
    <cellStyle name="Normal 187 4 2 2" xfId="3235"/>
    <cellStyle name="Normal 187 4 2 2 2" xfId="11894"/>
    <cellStyle name="Normal 187 4 2 2 3" xfId="17649"/>
    <cellStyle name="Normal 187 4 2 3" xfId="11893"/>
    <cellStyle name="Normal 187 4 2 4" xfId="17648"/>
    <cellStyle name="Normal 187 4 2_LNG &amp; LPG rework" xfId="7009"/>
    <cellStyle name="Normal 187 4 3" xfId="3236"/>
    <cellStyle name="Normal 187 4 3 2" xfId="11895"/>
    <cellStyle name="Normal 187 4 3 3" xfId="17650"/>
    <cellStyle name="Normal 187 4 4" xfId="11892"/>
    <cellStyle name="Normal 187 4 5" xfId="17647"/>
    <cellStyle name="Normal 187 4_LNG &amp; LPG rework" xfId="7008"/>
    <cellStyle name="Normal 187 5" xfId="3237"/>
    <cellStyle name="Normal 187 5 2" xfId="3238"/>
    <cellStyle name="Normal 187 5 2 2" xfId="11897"/>
    <cellStyle name="Normal 187 5 2 3" xfId="17652"/>
    <cellStyle name="Normal 187 5 3" xfId="11896"/>
    <cellStyle name="Normal 187 5 4" xfId="17651"/>
    <cellStyle name="Normal 187 5_LNG &amp; LPG rework" xfId="7010"/>
    <cellStyle name="Normal 187 6" xfId="3239"/>
    <cellStyle name="Normal 187 6 2" xfId="11898"/>
    <cellStyle name="Normal 187 6 3" xfId="17653"/>
    <cellStyle name="Normal 187 7" xfId="11875"/>
    <cellStyle name="Normal 187 8" xfId="17630"/>
    <cellStyle name="Normal 187_LNG &amp; LPG rework" xfId="6999"/>
    <cellStyle name="Normal 188" xfId="3240"/>
    <cellStyle name="Normal 188 2" xfId="3241"/>
    <cellStyle name="Normal 188 2 2" xfId="3242"/>
    <cellStyle name="Normal 188 2 2 2" xfId="3243"/>
    <cellStyle name="Normal 188 2 2 2 2" xfId="3244"/>
    <cellStyle name="Normal 188 2 2 2 2 2" xfId="11903"/>
    <cellStyle name="Normal 188 2 2 2 2 3" xfId="17658"/>
    <cellStyle name="Normal 188 2 2 2 3" xfId="11902"/>
    <cellStyle name="Normal 188 2 2 2 4" xfId="17657"/>
    <cellStyle name="Normal 188 2 2 2_LNG &amp; LPG rework" xfId="7014"/>
    <cellStyle name="Normal 188 2 2 3" xfId="3245"/>
    <cellStyle name="Normal 188 2 2 3 2" xfId="11904"/>
    <cellStyle name="Normal 188 2 2 3 3" xfId="17659"/>
    <cellStyle name="Normal 188 2 2 4" xfId="11901"/>
    <cellStyle name="Normal 188 2 2 5" xfId="17656"/>
    <cellStyle name="Normal 188 2 2_LNG &amp; LPG rework" xfId="7013"/>
    <cellStyle name="Normal 188 2 3" xfId="3246"/>
    <cellStyle name="Normal 188 2 3 2" xfId="3247"/>
    <cellStyle name="Normal 188 2 3 2 2" xfId="11906"/>
    <cellStyle name="Normal 188 2 3 2 3" xfId="17661"/>
    <cellStyle name="Normal 188 2 3 3" xfId="11905"/>
    <cellStyle name="Normal 188 2 3 4" xfId="17660"/>
    <cellStyle name="Normal 188 2 3_LNG &amp; LPG rework" xfId="7015"/>
    <cellStyle name="Normal 188 2 4" xfId="3248"/>
    <cellStyle name="Normal 188 2 4 2" xfId="11907"/>
    <cellStyle name="Normal 188 2 4 3" xfId="17662"/>
    <cellStyle name="Normal 188 2 5" xfId="11900"/>
    <cellStyle name="Normal 188 2 6" xfId="17655"/>
    <cellStyle name="Normal 188 2_LNG &amp; LPG rework" xfId="7012"/>
    <cellStyle name="Normal 188 3" xfId="3249"/>
    <cellStyle name="Normal 188 3 2" xfId="3250"/>
    <cellStyle name="Normal 188 3 2 2" xfId="3251"/>
    <cellStyle name="Normal 188 3 2 2 2" xfId="3252"/>
    <cellStyle name="Normal 188 3 2 2 2 2" xfId="11911"/>
    <cellStyle name="Normal 188 3 2 2 2 3" xfId="17666"/>
    <cellStyle name="Normal 188 3 2 2 3" xfId="11910"/>
    <cellStyle name="Normal 188 3 2 2 4" xfId="17665"/>
    <cellStyle name="Normal 188 3 2 2_LNG &amp; LPG rework" xfId="7018"/>
    <cellStyle name="Normal 188 3 2 3" xfId="3253"/>
    <cellStyle name="Normal 188 3 2 3 2" xfId="11912"/>
    <cellStyle name="Normal 188 3 2 3 3" xfId="17667"/>
    <cellStyle name="Normal 188 3 2 4" xfId="11909"/>
    <cellStyle name="Normal 188 3 2 5" xfId="17664"/>
    <cellStyle name="Normal 188 3 2_LNG &amp; LPG rework" xfId="7017"/>
    <cellStyle name="Normal 188 3 3" xfId="3254"/>
    <cellStyle name="Normal 188 3 3 2" xfId="3255"/>
    <cellStyle name="Normal 188 3 3 2 2" xfId="11914"/>
    <cellStyle name="Normal 188 3 3 2 3" xfId="17669"/>
    <cellStyle name="Normal 188 3 3 3" xfId="11913"/>
    <cellStyle name="Normal 188 3 3 4" xfId="17668"/>
    <cellStyle name="Normal 188 3 3_LNG &amp; LPG rework" xfId="7019"/>
    <cellStyle name="Normal 188 3 4" xfId="3256"/>
    <cellStyle name="Normal 188 3 4 2" xfId="11915"/>
    <cellStyle name="Normal 188 3 4 3" xfId="17670"/>
    <cellStyle name="Normal 188 3 5" xfId="11908"/>
    <cellStyle name="Normal 188 3 6" xfId="17663"/>
    <cellStyle name="Normal 188 3_LNG &amp; LPG rework" xfId="7016"/>
    <cellStyle name="Normal 188 4" xfId="3257"/>
    <cellStyle name="Normal 188 4 2" xfId="3258"/>
    <cellStyle name="Normal 188 4 2 2" xfId="3259"/>
    <cellStyle name="Normal 188 4 2 2 2" xfId="11918"/>
    <cellStyle name="Normal 188 4 2 2 3" xfId="17673"/>
    <cellStyle name="Normal 188 4 2 3" xfId="11917"/>
    <cellStyle name="Normal 188 4 2 4" xfId="17672"/>
    <cellStyle name="Normal 188 4 2_LNG &amp; LPG rework" xfId="7021"/>
    <cellStyle name="Normal 188 4 3" xfId="3260"/>
    <cellStyle name="Normal 188 4 3 2" xfId="11919"/>
    <cellStyle name="Normal 188 4 3 3" xfId="17674"/>
    <cellStyle name="Normal 188 4 4" xfId="11916"/>
    <cellStyle name="Normal 188 4 5" xfId="17671"/>
    <cellStyle name="Normal 188 4_LNG &amp; LPG rework" xfId="7020"/>
    <cellStyle name="Normal 188 5" xfId="3261"/>
    <cellStyle name="Normal 188 5 2" xfId="3262"/>
    <cellStyle name="Normal 188 5 2 2" xfId="11921"/>
    <cellStyle name="Normal 188 5 2 3" xfId="17676"/>
    <cellStyle name="Normal 188 5 3" xfId="11920"/>
    <cellStyle name="Normal 188 5 4" xfId="17675"/>
    <cellStyle name="Normal 188 5_LNG &amp; LPG rework" xfId="7022"/>
    <cellStyle name="Normal 188 6" xfId="3263"/>
    <cellStyle name="Normal 188 6 2" xfId="11922"/>
    <cellStyle name="Normal 188 6 3" xfId="17677"/>
    <cellStyle name="Normal 188 7" xfId="11899"/>
    <cellStyle name="Normal 188 8" xfId="17654"/>
    <cellStyle name="Normal 188_LNG &amp; LPG rework" xfId="7011"/>
    <cellStyle name="Normal 189" xfId="3264"/>
    <cellStyle name="Normal 189 2" xfId="3265"/>
    <cellStyle name="Normal 189 2 2" xfId="3266"/>
    <cellStyle name="Normal 189 2 2 2" xfId="3267"/>
    <cellStyle name="Normal 189 2 2 2 2" xfId="3268"/>
    <cellStyle name="Normal 189 2 2 2 2 2" xfId="11927"/>
    <cellStyle name="Normal 189 2 2 2 2 3" xfId="17682"/>
    <cellStyle name="Normal 189 2 2 2 3" xfId="11926"/>
    <cellStyle name="Normal 189 2 2 2 4" xfId="17681"/>
    <cellStyle name="Normal 189 2 2 2_LNG &amp; LPG rework" xfId="7026"/>
    <cellStyle name="Normal 189 2 2 3" xfId="3269"/>
    <cellStyle name="Normal 189 2 2 3 2" xfId="11928"/>
    <cellStyle name="Normal 189 2 2 3 3" xfId="17683"/>
    <cellStyle name="Normal 189 2 2 4" xfId="11925"/>
    <cellStyle name="Normal 189 2 2 5" xfId="17680"/>
    <cellStyle name="Normal 189 2 2_LNG &amp; LPG rework" xfId="7025"/>
    <cellStyle name="Normal 189 2 3" xfId="3270"/>
    <cellStyle name="Normal 189 2 3 2" xfId="3271"/>
    <cellStyle name="Normal 189 2 3 2 2" xfId="11930"/>
    <cellStyle name="Normal 189 2 3 2 3" xfId="17685"/>
    <cellStyle name="Normal 189 2 3 3" xfId="11929"/>
    <cellStyle name="Normal 189 2 3 4" xfId="17684"/>
    <cellStyle name="Normal 189 2 3_LNG &amp; LPG rework" xfId="7027"/>
    <cellStyle name="Normal 189 2 4" xfId="3272"/>
    <cellStyle name="Normal 189 2 4 2" xfId="11931"/>
    <cellStyle name="Normal 189 2 4 3" xfId="17686"/>
    <cellStyle name="Normal 189 2 5" xfId="11924"/>
    <cellStyle name="Normal 189 2 6" xfId="17679"/>
    <cellStyle name="Normal 189 2_LNG &amp; LPG rework" xfId="7024"/>
    <cellStyle name="Normal 189 3" xfId="3273"/>
    <cellStyle name="Normal 189 3 2" xfId="3274"/>
    <cellStyle name="Normal 189 3 2 2" xfId="3275"/>
    <cellStyle name="Normal 189 3 2 2 2" xfId="3276"/>
    <cellStyle name="Normal 189 3 2 2 2 2" xfId="11935"/>
    <cellStyle name="Normal 189 3 2 2 2 3" xfId="17690"/>
    <cellStyle name="Normal 189 3 2 2 3" xfId="11934"/>
    <cellStyle name="Normal 189 3 2 2 4" xfId="17689"/>
    <cellStyle name="Normal 189 3 2 2_LNG &amp; LPG rework" xfId="7030"/>
    <cellStyle name="Normal 189 3 2 3" xfId="3277"/>
    <cellStyle name="Normal 189 3 2 3 2" xfId="11936"/>
    <cellStyle name="Normal 189 3 2 3 3" xfId="17691"/>
    <cellStyle name="Normal 189 3 2 4" xfId="11933"/>
    <cellStyle name="Normal 189 3 2 5" xfId="17688"/>
    <cellStyle name="Normal 189 3 2_LNG &amp; LPG rework" xfId="7029"/>
    <cellStyle name="Normal 189 3 3" xfId="3278"/>
    <cellStyle name="Normal 189 3 3 2" xfId="3279"/>
    <cellStyle name="Normal 189 3 3 2 2" xfId="11938"/>
    <cellStyle name="Normal 189 3 3 2 3" xfId="17693"/>
    <cellStyle name="Normal 189 3 3 3" xfId="11937"/>
    <cellStyle name="Normal 189 3 3 4" xfId="17692"/>
    <cellStyle name="Normal 189 3 3_LNG &amp; LPG rework" xfId="7031"/>
    <cellStyle name="Normal 189 3 4" xfId="3280"/>
    <cellStyle name="Normal 189 3 4 2" xfId="11939"/>
    <cellStyle name="Normal 189 3 4 3" xfId="17694"/>
    <cellStyle name="Normal 189 3 5" xfId="11932"/>
    <cellStyle name="Normal 189 3 6" xfId="17687"/>
    <cellStyle name="Normal 189 3_LNG &amp; LPG rework" xfId="7028"/>
    <cellStyle name="Normal 189 4" xfId="3281"/>
    <cellStyle name="Normal 189 4 2" xfId="3282"/>
    <cellStyle name="Normal 189 4 2 2" xfId="3283"/>
    <cellStyle name="Normal 189 4 2 2 2" xfId="11942"/>
    <cellStyle name="Normal 189 4 2 2 3" xfId="17697"/>
    <cellStyle name="Normal 189 4 2 3" xfId="11941"/>
    <cellStyle name="Normal 189 4 2 4" xfId="17696"/>
    <cellStyle name="Normal 189 4 2_LNG &amp; LPG rework" xfId="7033"/>
    <cellStyle name="Normal 189 4 3" xfId="3284"/>
    <cellStyle name="Normal 189 4 3 2" xfId="11943"/>
    <cellStyle name="Normal 189 4 3 3" xfId="17698"/>
    <cellStyle name="Normal 189 4 4" xfId="11940"/>
    <cellStyle name="Normal 189 4 5" xfId="17695"/>
    <cellStyle name="Normal 189 4_LNG &amp; LPG rework" xfId="7032"/>
    <cellStyle name="Normal 189 5" xfId="3285"/>
    <cellStyle name="Normal 189 5 2" xfId="3286"/>
    <cellStyle name="Normal 189 5 2 2" xfId="11945"/>
    <cellStyle name="Normal 189 5 2 3" xfId="17700"/>
    <cellStyle name="Normal 189 5 3" xfId="11944"/>
    <cellStyle name="Normal 189 5 4" xfId="17699"/>
    <cellStyle name="Normal 189 5_LNG &amp; LPG rework" xfId="7034"/>
    <cellStyle name="Normal 189 6" xfId="3287"/>
    <cellStyle name="Normal 189 6 2" xfId="11946"/>
    <cellStyle name="Normal 189 6 3" xfId="17701"/>
    <cellStyle name="Normal 189 7" xfId="11923"/>
    <cellStyle name="Normal 189 8" xfId="17678"/>
    <cellStyle name="Normal 189_LNG &amp; LPG rework" xfId="7023"/>
    <cellStyle name="Normal 19" xfId="370"/>
    <cellStyle name="Normal 19 2" xfId="3288"/>
    <cellStyle name="Normal 19 3" xfId="3289"/>
    <cellStyle name="Normal 19 4" xfId="3290"/>
    <cellStyle name="Normal 19 5" xfId="3291"/>
    <cellStyle name="Normal 19_LNG &amp; LPG rework" xfId="7035"/>
    <cellStyle name="Normal 190" xfId="3292"/>
    <cellStyle name="Normal 191" xfId="3293"/>
    <cellStyle name="Normal 192" xfId="3294"/>
    <cellStyle name="Normal 193" xfId="3295"/>
    <cellStyle name="Normal 194" xfId="3296"/>
    <cellStyle name="Normal 195" xfId="3297"/>
    <cellStyle name="Normal 196" xfId="3298"/>
    <cellStyle name="Normal 196 2" xfId="3299"/>
    <cellStyle name="Normal 196 2 2" xfId="3300"/>
    <cellStyle name="Normal 196 2 2 2" xfId="3301"/>
    <cellStyle name="Normal 196 2 2 2 2" xfId="3302"/>
    <cellStyle name="Normal 196 2 2 2 2 2" xfId="11951"/>
    <cellStyle name="Normal 196 2 2 2 2 3" xfId="17706"/>
    <cellStyle name="Normal 196 2 2 2 3" xfId="11950"/>
    <cellStyle name="Normal 196 2 2 2 4" xfId="17705"/>
    <cellStyle name="Normal 196 2 2 2_LNG &amp; LPG rework" xfId="7039"/>
    <cellStyle name="Normal 196 2 2 3" xfId="3303"/>
    <cellStyle name="Normal 196 2 2 3 2" xfId="11952"/>
    <cellStyle name="Normal 196 2 2 3 3" xfId="17707"/>
    <cellStyle name="Normal 196 2 2 4" xfId="11949"/>
    <cellStyle name="Normal 196 2 2 5" xfId="17704"/>
    <cellStyle name="Normal 196 2 2_LNG &amp; LPG rework" xfId="7038"/>
    <cellStyle name="Normal 196 2 3" xfId="3304"/>
    <cellStyle name="Normal 196 2 3 2" xfId="3305"/>
    <cellStyle name="Normal 196 2 3 2 2" xfId="11954"/>
    <cellStyle name="Normal 196 2 3 2 3" xfId="17709"/>
    <cellStyle name="Normal 196 2 3 3" xfId="11953"/>
    <cellStyle name="Normal 196 2 3 4" xfId="17708"/>
    <cellStyle name="Normal 196 2 3_LNG &amp; LPG rework" xfId="7040"/>
    <cellStyle name="Normal 196 2 4" xfId="3306"/>
    <cellStyle name="Normal 196 2 4 2" xfId="11955"/>
    <cellStyle name="Normal 196 2 4 3" xfId="17710"/>
    <cellStyle name="Normal 196 2 5" xfId="11948"/>
    <cellStyle name="Normal 196 2 6" xfId="17703"/>
    <cellStyle name="Normal 196 2_LNG &amp; LPG rework" xfId="7037"/>
    <cellStyle name="Normal 196 3" xfId="3307"/>
    <cellStyle name="Normal 196 3 2" xfId="3308"/>
    <cellStyle name="Normal 196 3 2 2" xfId="3309"/>
    <cellStyle name="Normal 196 3 2 2 2" xfId="3310"/>
    <cellStyle name="Normal 196 3 2 2 2 2" xfId="11959"/>
    <cellStyle name="Normal 196 3 2 2 2 3" xfId="17714"/>
    <cellStyle name="Normal 196 3 2 2 3" xfId="11958"/>
    <cellStyle name="Normal 196 3 2 2 4" xfId="17713"/>
    <cellStyle name="Normal 196 3 2 2_LNG &amp; LPG rework" xfId="7043"/>
    <cellStyle name="Normal 196 3 2 3" xfId="3311"/>
    <cellStyle name="Normal 196 3 2 3 2" xfId="11960"/>
    <cellStyle name="Normal 196 3 2 3 3" xfId="17715"/>
    <cellStyle name="Normal 196 3 2 4" xfId="11957"/>
    <cellStyle name="Normal 196 3 2 5" xfId="17712"/>
    <cellStyle name="Normal 196 3 2_LNG &amp; LPG rework" xfId="7042"/>
    <cellStyle name="Normal 196 3 3" xfId="3312"/>
    <cellStyle name="Normal 196 3 3 2" xfId="3313"/>
    <cellStyle name="Normal 196 3 3 2 2" xfId="11962"/>
    <cellStyle name="Normal 196 3 3 2 3" xfId="17717"/>
    <cellStyle name="Normal 196 3 3 3" xfId="11961"/>
    <cellStyle name="Normal 196 3 3 4" xfId="17716"/>
    <cellStyle name="Normal 196 3 3_LNG &amp; LPG rework" xfId="7044"/>
    <cellStyle name="Normal 196 3 4" xfId="3314"/>
    <cellStyle name="Normal 196 3 4 2" xfId="11963"/>
    <cellStyle name="Normal 196 3 4 3" xfId="17718"/>
    <cellStyle name="Normal 196 3 5" xfId="11956"/>
    <cellStyle name="Normal 196 3 6" xfId="17711"/>
    <cellStyle name="Normal 196 3_LNG &amp; LPG rework" xfId="7041"/>
    <cellStyle name="Normal 196 4" xfId="3315"/>
    <cellStyle name="Normal 196 4 2" xfId="3316"/>
    <cellStyle name="Normal 196 4 2 2" xfId="3317"/>
    <cellStyle name="Normal 196 4 2 2 2" xfId="11966"/>
    <cellStyle name="Normal 196 4 2 2 3" xfId="17721"/>
    <cellStyle name="Normal 196 4 2 3" xfId="11965"/>
    <cellStyle name="Normal 196 4 2 4" xfId="17720"/>
    <cellStyle name="Normal 196 4 2_LNG &amp; LPG rework" xfId="7046"/>
    <cellStyle name="Normal 196 4 3" xfId="3318"/>
    <cellStyle name="Normal 196 4 3 2" xfId="11967"/>
    <cellStyle name="Normal 196 4 3 3" xfId="17722"/>
    <cellStyle name="Normal 196 4 4" xfId="11964"/>
    <cellStyle name="Normal 196 4 5" xfId="17719"/>
    <cellStyle name="Normal 196 4_LNG &amp; LPG rework" xfId="7045"/>
    <cellStyle name="Normal 196 5" xfId="3319"/>
    <cellStyle name="Normal 196 5 2" xfId="3320"/>
    <cellStyle name="Normal 196 5 2 2" xfId="11969"/>
    <cellStyle name="Normal 196 5 2 3" xfId="17724"/>
    <cellStyle name="Normal 196 5 3" xfId="11968"/>
    <cellStyle name="Normal 196 5 4" xfId="17723"/>
    <cellStyle name="Normal 196 5_LNG &amp; LPG rework" xfId="7047"/>
    <cellStyle name="Normal 196 6" xfId="3321"/>
    <cellStyle name="Normal 196 6 2" xfId="11970"/>
    <cellStyle name="Normal 196 6 3" xfId="17725"/>
    <cellStyle name="Normal 196 7" xfId="11947"/>
    <cellStyle name="Normal 196 8" xfId="17702"/>
    <cellStyle name="Normal 196_LNG &amp; LPG rework" xfId="7036"/>
    <cellStyle name="Normal 197" xfId="3322"/>
    <cellStyle name="Normal 197 2" xfId="3323"/>
    <cellStyle name="Normal 197 2 2" xfId="3324"/>
    <cellStyle name="Normal 197 2 2 2" xfId="3325"/>
    <cellStyle name="Normal 197 2 2 2 2" xfId="3326"/>
    <cellStyle name="Normal 197 2 2 2 2 2" xfId="11975"/>
    <cellStyle name="Normal 197 2 2 2 2 3" xfId="17730"/>
    <cellStyle name="Normal 197 2 2 2 3" xfId="11974"/>
    <cellStyle name="Normal 197 2 2 2 4" xfId="17729"/>
    <cellStyle name="Normal 197 2 2 2_LNG &amp; LPG rework" xfId="7051"/>
    <cellStyle name="Normal 197 2 2 3" xfId="3327"/>
    <cellStyle name="Normal 197 2 2 3 2" xfId="11976"/>
    <cellStyle name="Normal 197 2 2 3 3" xfId="17731"/>
    <cellStyle name="Normal 197 2 2 4" xfId="11973"/>
    <cellStyle name="Normal 197 2 2 5" xfId="17728"/>
    <cellStyle name="Normal 197 2 2_LNG &amp; LPG rework" xfId="7050"/>
    <cellStyle name="Normal 197 2 3" xfId="3328"/>
    <cellStyle name="Normal 197 2 3 2" xfId="3329"/>
    <cellStyle name="Normal 197 2 3 2 2" xfId="11978"/>
    <cellStyle name="Normal 197 2 3 2 3" xfId="17733"/>
    <cellStyle name="Normal 197 2 3 3" xfId="11977"/>
    <cellStyle name="Normal 197 2 3 4" xfId="17732"/>
    <cellStyle name="Normal 197 2 3_LNG &amp; LPG rework" xfId="7052"/>
    <cellStyle name="Normal 197 2 4" xfId="3330"/>
    <cellStyle name="Normal 197 2 4 2" xfId="11979"/>
    <cellStyle name="Normal 197 2 4 3" xfId="17734"/>
    <cellStyle name="Normal 197 2 5" xfId="11972"/>
    <cellStyle name="Normal 197 2 6" xfId="17727"/>
    <cellStyle name="Normal 197 2_LNG &amp; LPG rework" xfId="7049"/>
    <cellStyle name="Normal 197 3" xfId="3331"/>
    <cellStyle name="Normal 197 3 2" xfId="3332"/>
    <cellStyle name="Normal 197 3 2 2" xfId="3333"/>
    <cellStyle name="Normal 197 3 2 2 2" xfId="3334"/>
    <cellStyle name="Normal 197 3 2 2 2 2" xfId="11983"/>
    <cellStyle name="Normal 197 3 2 2 2 3" xfId="17738"/>
    <cellStyle name="Normal 197 3 2 2 3" xfId="11982"/>
    <cellStyle name="Normal 197 3 2 2 4" xfId="17737"/>
    <cellStyle name="Normal 197 3 2 2_LNG &amp; LPG rework" xfId="7055"/>
    <cellStyle name="Normal 197 3 2 3" xfId="3335"/>
    <cellStyle name="Normal 197 3 2 3 2" xfId="11984"/>
    <cellStyle name="Normal 197 3 2 3 3" xfId="17739"/>
    <cellStyle name="Normal 197 3 2 4" xfId="11981"/>
    <cellStyle name="Normal 197 3 2 5" xfId="17736"/>
    <cellStyle name="Normal 197 3 2_LNG &amp; LPG rework" xfId="7054"/>
    <cellStyle name="Normal 197 3 3" xfId="3336"/>
    <cellStyle name="Normal 197 3 3 2" xfId="3337"/>
    <cellStyle name="Normal 197 3 3 2 2" xfId="11986"/>
    <cellStyle name="Normal 197 3 3 2 3" xfId="17741"/>
    <cellStyle name="Normal 197 3 3 3" xfId="11985"/>
    <cellStyle name="Normal 197 3 3 4" xfId="17740"/>
    <cellStyle name="Normal 197 3 3_LNG &amp; LPG rework" xfId="7056"/>
    <cellStyle name="Normal 197 3 4" xfId="3338"/>
    <cellStyle name="Normal 197 3 4 2" xfId="11987"/>
    <cellStyle name="Normal 197 3 4 3" xfId="17742"/>
    <cellStyle name="Normal 197 3 5" xfId="11980"/>
    <cellStyle name="Normal 197 3 6" xfId="17735"/>
    <cellStyle name="Normal 197 3_LNG &amp; LPG rework" xfId="7053"/>
    <cellStyle name="Normal 197 4" xfId="3339"/>
    <cellStyle name="Normal 197 4 2" xfId="3340"/>
    <cellStyle name="Normal 197 4 2 2" xfId="3341"/>
    <cellStyle name="Normal 197 4 2 2 2" xfId="11990"/>
    <cellStyle name="Normal 197 4 2 2 3" xfId="17745"/>
    <cellStyle name="Normal 197 4 2 3" xfId="11989"/>
    <cellStyle name="Normal 197 4 2 4" xfId="17744"/>
    <cellStyle name="Normal 197 4 2_LNG &amp; LPG rework" xfId="7058"/>
    <cellStyle name="Normal 197 4 3" xfId="3342"/>
    <cellStyle name="Normal 197 4 3 2" xfId="11991"/>
    <cellStyle name="Normal 197 4 3 3" xfId="17746"/>
    <cellStyle name="Normal 197 4 4" xfId="11988"/>
    <cellStyle name="Normal 197 4 5" xfId="17743"/>
    <cellStyle name="Normal 197 4_LNG &amp; LPG rework" xfId="7057"/>
    <cellStyle name="Normal 197 5" xfId="3343"/>
    <cellStyle name="Normal 197 5 2" xfId="3344"/>
    <cellStyle name="Normal 197 5 2 2" xfId="11993"/>
    <cellStyle name="Normal 197 5 2 3" xfId="17748"/>
    <cellStyle name="Normal 197 5 3" xfId="11992"/>
    <cellStyle name="Normal 197 5 4" xfId="17747"/>
    <cellStyle name="Normal 197 5_LNG &amp; LPG rework" xfId="7059"/>
    <cellStyle name="Normal 197 6" xfId="3345"/>
    <cellStyle name="Normal 197 6 2" xfId="11994"/>
    <cellStyle name="Normal 197 6 3" xfId="17749"/>
    <cellStyle name="Normal 197 7" xfId="11971"/>
    <cellStyle name="Normal 197 8" xfId="17726"/>
    <cellStyle name="Normal 197_LNG &amp; LPG rework" xfId="7048"/>
    <cellStyle name="Normal 198" xfId="3346"/>
    <cellStyle name="Normal 198 2" xfId="3347"/>
    <cellStyle name="Normal 199" xfId="3348"/>
    <cellStyle name="Normal 199 2" xfId="3349"/>
    <cellStyle name="Normal 2" xfId="43"/>
    <cellStyle name="Normal 2 10" xfId="3350"/>
    <cellStyle name="Normal 2 10 2" xfId="11995"/>
    <cellStyle name="Normal 2 10 3" xfId="17750"/>
    <cellStyle name="Normal 2 11" xfId="3351"/>
    <cellStyle name="Normal 2 11 2" xfId="11996"/>
    <cellStyle name="Normal 2 11 3" xfId="17751"/>
    <cellStyle name="Normal 2 12" xfId="3352"/>
    <cellStyle name="Normal 2 13" xfId="26212"/>
    <cellStyle name="Normal 2 2" xfId="106"/>
    <cellStyle name="Normal 2 2 10" xfId="3353"/>
    <cellStyle name="Normal 2 2 10 2" xfId="11997"/>
    <cellStyle name="Normal 2 2 10 3" xfId="17752"/>
    <cellStyle name="Normal 2 2 11" xfId="3354"/>
    <cellStyle name="Normal 2 2 11 2" xfId="11998"/>
    <cellStyle name="Normal 2 2 11 3" xfId="17753"/>
    <cellStyle name="Normal 2 2 12" xfId="3355"/>
    <cellStyle name="Normal 2 2 2" xfId="372"/>
    <cellStyle name="Normal 2 2 2 2" xfId="3356"/>
    <cellStyle name="Normal 2 2 2 3" xfId="3357"/>
    <cellStyle name="Normal 2 2 2_Monthly Price Data" xfId="3358"/>
    <cellStyle name="Normal 2 2 3" xfId="373"/>
    <cellStyle name="Normal 2 2 3 10" xfId="3359"/>
    <cellStyle name="Normal 2 2 3 10 2" xfId="11999"/>
    <cellStyle name="Normal 2 2 3 10 3" xfId="17755"/>
    <cellStyle name="Normal 2 2 3 11" xfId="3360"/>
    <cellStyle name="Normal 2 2 3 11 2" xfId="12000"/>
    <cellStyle name="Normal 2 2 3 11 3" xfId="17756"/>
    <cellStyle name="Normal 2 2 3 12" xfId="3361"/>
    <cellStyle name="Normal 2 2 3 12 2" xfId="12001"/>
    <cellStyle name="Normal 2 2 3 12 3" xfId="17757"/>
    <cellStyle name="Normal 2 2 3 13" xfId="9213"/>
    <cellStyle name="Normal 2 2 3 14" xfId="17754"/>
    <cellStyle name="Normal 2 2 3 2" xfId="374"/>
    <cellStyle name="Normal 2 2 3 2 10" xfId="3362"/>
    <cellStyle name="Normal 2 2 3 2 10 2" xfId="12002"/>
    <cellStyle name="Normal 2 2 3 2 10 3" xfId="17759"/>
    <cellStyle name="Normal 2 2 3 2 11" xfId="3363"/>
    <cellStyle name="Normal 2 2 3 2 11 2" xfId="12003"/>
    <cellStyle name="Normal 2 2 3 2 11 3" xfId="17760"/>
    <cellStyle name="Normal 2 2 3 2 12" xfId="9214"/>
    <cellStyle name="Normal 2 2 3 2 13" xfId="17758"/>
    <cellStyle name="Normal 2 2 3 2 2" xfId="375"/>
    <cellStyle name="Normal 2 2 3 2 2 10" xfId="3364"/>
    <cellStyle name="Normal 2 2 3 2 2 10 2" xfId="12004"/>
    <cellStyle name="Normal 2 2 3 2 2 10 3" xfId="17762"/>
    <cellStyle name="Normal 2 2 3 2 2 11" xfId="9215"/>
    <cellStyle name="Normal 2 2 3 2 2 12" xfId="17761"/>
    <cellStyle name="Normal 2 2 3 2 2 2" xfId="376"/>
    <cellStyle name="Normal 2 2 3 2 2 2 10" xfId="17763"/>
    <cellStyle name="Normal 2 2 3 2 2 2 2" xfId="377"/>
    <cellStyle name="Normal 2 2 3 2 2 2 2 2" xfId="3365"/>
    <cellStyle name="Normal 2 2 3 2 2 2 2 2 2" xfId="12005"/>
    <cellStyle name="Normal 2 2 3 2 2 2 2 2 3" xfId="17765"/>
    <cellStyle name="Normal 2 2 3 2 2 2 2 3" xfId="3366"/>
    <cellStyle name="Normal 2 2 3 2 2 2 2 3 2" xfId="12006"/>
    <cellStyle name="Normal 2 2 3 2 2 2 2 3 3" xfId="17766"/>
    <cellStyle name="Normal 2 2 3 2 2 2 2 4" xfId="3367"/>
    <cellStyle name="Normal 2 2 3 2 2 2 2 4 2" xfId="12007"/>
    <cellStyle name="Normal 2 2 3 2 2 2 2 4 3" xfId="17767"/>
    <cellStyle name="Normal 2 2 3 2 2 2 2 5" xfId="3368"/>
    <cellStyle name="Normal 2 2 3 2 2 2 2 5 2" xfId="12008"/>
    <cellStyle name="Normal 2 2 3 2 2 2 2 5 3" xfId="17768"/>
    <cellStyle name="Normal 2 2 3 2 2 2 2 6" xfId="3369"/>
    <cellStyle name="Normal 2 2 3 2 2 2 2 6 2" xfId="12009"/>
    <cellStyle name="Normal 2 2 3 2 2 2 2 6 3" xfId="17769"/>
    <cellStyle name="Normal 2 2 3 2 2 2 2 7" xfId="9217"/>
    <cellStyle name="Normal 2 2 3 2 2 2 2 8" xfId="17764"/>
    <cellStyle name="Normal 2 2 3 2 2 2 2_LNG &amp; LPG rework" xfId="7065"/>
    <cellStyle name="Normal 2 2 3 2 2 2 3" xfId="3370"/>
    <cellStyle name="Normal 2 2 3 2 2 2 3 2" xfId="3371"/>
    <cellStyle name="Normal 2 2 3 2 2 2 3 2 2" xfId="12011"/>
    <cellStyle name="Normal 2 2 3 2 2 2 3 2 3" xfId="17771"/>
    <cellStyle name="Normal 2 2 3 2 2 2 3 3" xfId="3372"/>
    <cellStyle name="Normal 2 2 3 2 2 2 3 3 2" xfId="12012"/>
    <cellStyle name="Normal 2 2 3 2 2 2 3 3 3" xfId="17772"/>
    <cellStyle name="Normal 2 2 3 2 2 2 3 4" xfId="3373"/>
    <cellStyle name="Normal 2 2 3 2 2 2 3 4 2" xfId="12013"/>
    <cellStyle name="Normal 2 2 3 2 2 2 3 4 3" xfId="17773"/>
    <cellStyle name="Normal 2 2 3 2 2 2 3 5" xfId="3374"/>
    <cellStyle name="Normal 2 2 3 2 2 2 3 5 2" xfId="12014"/>
    <cellStyle name="Normal 2 2 3 2 2 2 3 5 3" xfId="17774"/>
    <cellStyle name="Normal 2 2 3 2 2 2 3 6" xfId="12010"/>
    <cellStyle name="Normal 2 2 3 2 2 2 3 7" xfId="17770"/>
    <cellStyle name="Normal 2 2 3 2 2 2 3_LNG &amp; LPG rework" xfId="7066"/>
    <cellStyle name="Normal 2 2 3 2 2 2 4" xfId="3375"/>
    <cellStyle name="Normal 2 2 3 2 2 2 4 2" xfId="12015"/>
    <cellStyle name="Normal 2 2 3 2 2 2 4 3" xfId="17775"/>
    <cellStyle name="Normal 2 2 3 2 2 2 5" xfId="3376"/>
    <cellStyle name="Normal 2 2 3 2 2 2 5 2" xfId="12016"/>
    <cellStyle name="Normal 2 2 3 2 2 2 5 3" xfId="17776"/>
    <cellStyle name="Normal 2 2 3 2 2 2 6" xfId="3377"/>
    <cellStyle name="Normal 2 2 3 2 2 2 6 2" xfId="12017"/>
    <cellStyle name="Normal 2 2 3 2 2 2 6 3" xfId="17777"/>
    <cellStyle name="Normal 2 2 3 2 2 2 7" xfId="3378"/>
    <cellStyle name="Normal 2 2 3 2 2 2 7 2" xfId="12018"/>
    <cellStyle name="Normal 2 2 3 2 2 2 7 3" xfId="17778"/>
    <cellStyle name="Normal 2 2 3 2 2 2 8" xfId="3379"/>
    <cellStyle name="Normal 2 2 3 2 2 2 8 2" xfId="12019"/>
    <cellStyle name="Normal 2 2 3 2 2 2 8 3" xfId="17779"/>
    <cellStyle name="Normal 2 2 3 2 2 2 9" xfId="9216"/>
    <cellStyle name="Normal 2 2 3 2 2 2_LNG &amp; LPG rework" xfId="7064"/>
    <cellStyle name="Normal 2 2 3 2 2 3" xfId="378"/>
    <cellStyle name="Normal 2 2 3 2 2 3 2" xfId="3380"/>
    <cellStyle name="Normal 2 2 3 2 2 3 2 2" xfId="12020"/>
    <cellStyle name="Normal 2 2 3 2 2 3 2 3" xfId="17781"/>
    <cellStyle name="Normal 2 2 3 2 2 3 3" xfId="3381"/>
    <cellStyle name="Normal 2 2 3 2 2 3 3 2" xfId="12021"/>
    <cellStyle name="Normal 2 2 3 2 2 3 3 3" xfId="17782"/>
    <cellStyle name="Normal 2 2 3 2 2 3 4" xfId="3382"/>
    <cellStyle name="Normal 2 2 3 2 2 3 4 2" xfId="12022"/>
    <cellStyle name="Normal 2 2 3 2 2 3 4 3" xfId="17783"/>
    <cellStyle name="Normal 2 2 3 2 2 3 5" xfId="3383"/>
    <cellStyle name="Normal 2 2 3 2 2 3 5 2" xfId="12023"/>
    <cellStyle name="Normal 2 2 3 2 2 3 5 3" xfId="17784"/>
    <cellStyle name="Normal 2 2 3 2 2 3 6" xfId="3384"/>
    <cellStyle name="Normal 2 2 3 2 2 3 6 2" xfId="12024"/>
    <cellStyle name="Normal 2 2 3 2 2 3 6 3" xfId="17785"/>
    <cellStyle name="Normal 2 2 3 2 2 3 7" xfId="9218"/>
    <cellStyle name="Normal 2 2 3 2 2 3 8" xfId="17780"/>
    <cellStyle name="Normal 2 2 3 2 2 3_LNG &amp; LPG rework" xfId="7067"/>
    <cellStyle name="Normal 2 2 3 2 2 4" xfId="3385"/>
    <cellStyle name="Normal 2 2 3 2 2 4 2" xfId="3386"/>
    <cellStyle name="Normal 2 2 3 2 2 4 2 2" xfId="12026"/>
    <cellStyle name="Normal 2 2 3 2 2 4 2 3" xfId="17787"/>
    <cellStyle name="Normal 2 2 3 2 2 4 3" xfId="3387"/>
    <cellStyle name="Normal 2 2 3 2 2 4 3 2" xfId="12027"/>
    <cellStyle name="Normal 2 2 3 2 2 4 3 3" xfId="17788"/>
    <cellStyle name="Normal 2 2 3 2 2 4 4" xfId="3388"/>
    <cellStyle name="Normal 2 2 3 2 2 4 4 2" xfId="12028"/>
    <cellStyle name="Normal 2 2 3 2 2 4 4 3" xfId="17789"/>
    <cellStyle name="Normal 2 2 3 2 2 4 5" xfId="3389"/>
    <cellStyle name="Normal 2 2 3 2 2 4 5 2" xfId="12029"/>
    <cellStyle name="Normal 2 2 3 2 2 4 5 3" xfId="17790"/>
    <cellStyle name="Normal 2 2 3 2 2 4 6" xfId="12025"/>
    <cellStyle name="Normal 2 2 3 2 2 4 7" xfId="17786"/>
    <cellStyle name="Normal 2 2 3 2 2 4_LNG &amp; LPG rework" xfId="7068"/>
    <cellStyle name="Normal 2 2 3 2 2 5" xfId="3390"/>
    <cellStyle name="Normal 2 2 3 2 2 5 2" xfId="3391"/>
    <cellStyle name="Normal 2 2 3 2 2 5 2 2" xfId="12031"/>
    <cellStyle name="Normal 2 2 3 2 2 5 2 3" xfId="17792"/>
    <cellStyle name="Normal 2 2 3 2 2 5 3" xfId="3392"/>
    <cellStyle name="Normal 2 2 3 2 2 5 3 2" xfId="12032"/>
    <cellStyle name="Normal 2 2 3 2 2 5 3 3" xfId="17793"/>
    <cellStyle name="Normal 2 2 3 2 2 5 4" xfId="3393"/>
    <cellStyle name="Normal 2 2 3 2 2 5 4 2" xfId="12033"/>
    <cellStyle name="Normal 2 2 3 2 2 5 4 3" xfId="17794"/>
    <cellStyle name="Normal 2 2 3 2 2 5 5" xfId="3394"/>
    <cellStyle name="Normal 2 2 3 2 2 5 5 2" xfId="12034"/>
    <cellStyle name="Normal 2 2 3 2 2 5 5 3" xfId="17795"/>
    <cellStyle name="Normal 2 2 3 2 2 5 6" xfId="12030"/>
    <cellStyle name="Normal 2 2 3 2 2 5 7" xfId="17791"/>
    <cellStyle name="Normal 2 2 3 2 2 5_LNG &amp; LPG rework" xfId="7069"/>
    <cellStyle name="Normal 2 2 3 2 2 6" xfId="3395"/>
    <cellStyle name="Normal 2 2 3 2 2 6 2" xfId="12035"/>
    <cellStyle name="Normal 2 2 3 2 2 6 3" xfId="17796"/>
    <cellStyle name="Normal 2 2 3 2 2 7" xfId="3396"/>
    <cellStyle name="Normal 2 2 3 2 2 7 2" xfId="12036"/>
    <cellStyle name="Normal 2 2 3 2 2 7 3" xfId="17797"/>
    <cellStyle name="Normal 2 2 3 2 2 8" xfId="3397"/>
    <cellStyle name="Normal 2 2 3 2 2 8 2" xfId="12037"/>
    <cellStyle name="Normal 2 2 3 2 2 8 3" xfId="17798"/>
    <cellStyle name="Normal 2 2 3 2 2 9" xfId="3398"/>
    <cellStyle name="Normal 2 2 3 2 2 9 2" xfId="12038"/>
    <cellStyle name="Normal 2 2 3 2 2 9 3" xfId="17799"/>
    <cellStyle name="Normal 2 2 3 2 2_LNG &amp; LPG rework" xfId="7063"/>
    <cellStyle name="Normal 2 2 3 2 3" xfId="379"/>
    <cellStyle name="Normal 2 2 3 2 3 10" xfId="17800"/>
    <cellStyle name="Normal 2 2 3 2 3 2" xfId="380"/>
    <cellStyle name="Normal 2 2 3 2 3 2 2" xfId="3399"/>
    <cellStyle name="Normal 2 2 3 2 3 2 2 2" xfId="12039"/>
    <cellStyle name="Normal 2 2 3 2 3 2 2 3" xfId="17802"/>
    <cellStyle name="Normal 2 2 3 2 3 2 3" xfId="3400"/>
    <cellStyle name="Normal 2 2 3 2 3 2 3 2" xfId="12040"/>
    <cellStyle name="Normal 2 2 3 2 3 2 3 3" xfId="17803"/>
    <cellStyle name="Normal 2 2 3 2 3 2 4" xfId="3401"/>
    <cellStyle name="Normal 2 2 3 2 3 2 4 2" xfId="12041"/>
    <cellStyle name="Normal 2 2 3 2 3 2 4 3" xfId="17804"/>
    <cellStyle name="Normal 2 2 3 2 3 2 5" xfId="3402"/>
    <cellStyle name="Normal 2 2 3 2 3 2 5 2" xfId="12042"/>
    <cellStyle name="Normal 2 2 3 2 3 2 5 3" xfId="17805"/>
    <cellStyle name="Normal 2 2 3 2 3 2 6" xfId="3403"/>
    <cellStyle name="Normal 2 2 3 2 3 2 6 2" xfId="12043"/>
    <cellStyle name="Normal 2 2 3 2 3 2 6 3" xfId="17806"/>
    <cellStyle name="Normal 2 2 3 2 3 2 7" xfId="9220"/>
    <cellStyle name="Normal 2 2 3 2 3 2 8" xfId="17801"/>
    <cellStyle name="Normal 2 2 3 2 3 2_LNG &amp; LPG rework" xfId="7071"/>
    <cellStyle name="Normal 2 2 3 2 3 3" xfId="3404"/>
    <cellStyle name="Normal 2 2 3 2 3 3 2" xfId="3405"/>
    <cellStyle name="Normal 2 2 3 2 3 3 2 2" xfId="12045"/>
    <cellStyle name="Normal 2 2 3 2 3 3 2 3" xfId="17808"/>
    <cellStyle name="Normal 2 2 3 2 3 3 3" xfId="3406"/>
    <cellStyle name="Normal 2 2 3 2 3 3 3 2" xfId="12046"/>
    <cellStyle name="Normal 2 2 3 2 3 3 3 3" xfId="17809"/>
    <cellStyle name="Normal 2 2 3 2 3 3 4" xfId="3407"/>
    <cellStyle name="Normal 2 2 3 2 3 3 4 2" xfId="12047"/>
    <cellStyle name="Normal 2 2 3 2 3 3 4 3" xfId="17810"/>
    <cellStyle name="Normal 2 2 3 2 3 3 5" xfId="3408"/>
    <cellStyle name="Normal 2 2 3 2 3 3 5 2" xfId="12048"/>
    <cellStyle name="Normal 2 2 3 2 3 3 5 3" xfId="17811"/>
    <cellStyle name="Normal 2 2 3 2 3 3 6" xfId="12044"/>
    <cellStyle name="Normal 2 2 3 2 3 3 7" xfId="17807"/>
    <cellStyle name="Normal 2 2 3 2 3 3_LNG &amp; LPG rework" xfId="7072"/>
    <cellStyle name="Normal 2 2 3 2 3 4" xfId="3409"/>
    <cellStyle name="Normal 2 2 3 2 3 4 2" xfId="12049"/>
    <cellStyle name="Normal 2 2 3 2 3 4 3" xfId="17812"/>
    <cellStyle name="Normal 2 2 3 2 3 5" xfId="3410"/>
    <cellStyle name="Normal 2 2 3 2 3 5 2" xfId="12050"/>
    <cellStyle name="Normal 2 2 3 2 3 5 3" xfId="17813"/>
    <cellStyle name="Normal 2 2 3 2 3 6" xfId="3411"/>
    <cellStyle name="Normal 2 2 3 2 3 6 2" xfId="12051"/>
    <cellStyle name="Normal 2 2 3 2 3 6 3" xfId="17814"/>
    <cellStyle name="Normal 2 2 3 2 3 7" xfId="3412"/>
    <cellStyle name="Normal 2 2 3 2 3 7 2" xfId="12052"/>
    <cellStyle name="Normal 2 2 3 2 3 7 3" xfId="17815"/>
    <cellStyle name="Normal 2 2 3 2 3 8" xfId="3413"/>
    <cellStyle name="Normal 2 2 3 2 3 8 2" xfId="12053"/>
    <cellStyle name="Normal 2 2 3 2 3 8 3" xfId="17816"/>
    <cellStyle name="Normal 2 2 3 2 3 9" xfId="9219"/>
    <cellStyle name="Normal 2 2 3 2 3_LNG &amp; LPG rework" xfId="7070"/>
    <cellStyle name="Normal 2 2 3 2 4" xfId="381"/>
    <cellStyle name="Normal 2 2 3 2 4 2" xfId="3414"/>
    <cellStyle name="Normal 2 2 3 2 4 2 2" xfId="12054"/>
    <cellStyle name="Normal 2 2 3 2 4 2 3" xfId="17818"/>
    <cellStyle name="Normal 2 2 3 2 4 3" xfId="3415"/>
    <cellStyle name="Normal 2 2 3 2 4 3 2" xfId="12055"/>
    <cellStyle name="Normal 2 2 3 2 4 3 3" xfId="17819"/>
    <cellStyle name="Normal 2 2 3 2 4 4" xfId="3416"/>
    <cellStyle name="Normal 2 2 3 2 4 4 2" xfId="12056"/>
    <cellStyle name="Normal 2 2 3 2 4 4 3" xfId="17820"/>
    <cellStyle name="Normal 2 2 3 2 4 5" xfId="3417"/>
    <cellStyle name="Normal 2 2 3 2 4 5 2" xfId="12057"/>
    <cellStyle name="Normal 2 2 3 2 4 5 3" xfId="17821"/>
    <cellStyle name="Normal 2 2 3 2 4 6" xfId="3418"/>
    <cellStyle name="Normal 2 2 3 2 4 6 2" xfId="12058"/>
    <cellStyle name="Normal 2 2 3 2 4 6 3" xfId="17822"/>
    <cellStyle name="Normal 2 2 3 2 4 7" xfId="9221"/>
    <cellStyle name="Normal 2 2 3 2 4 8" xfId="17817"/>
    <cellStyle name="Normal 2 2 3 2 4_LNG &amp; LPG rework" xfId="7073"/>
    <cellStyle name="Normal 2 2 3 2 5" xfId="3419"/>
    <cellStyle name="Normal 2 2 3 2 5 2" xfId="3420"/>
    <cellStyle name="Normal 2 2 3 2 5 2 2" xfId="12060"/>
    <cellStyle name="Normal 2 2 3 2 5 2 3" xfId="17824"/>
    <cellStyle name="Normal 2 2 3 2 5 3" xfId="3421"/>
    <cellStyle name="Normal 2 2 3 2 5 3 2" xfId="12061"/>
    <cellStyle name="Normal 2 2 3 2 5 3 3" xfId="17825"/>
    <cellStyle name="Normal 2 2 3 2 5 4" xfId="3422"/>
    <cellStyle name="Normal 2 2 3 2 5 4 2" xfId="12062"/>
    <cellStyle name="Normal 2 2 3 2 5 4 3" xfId="17826"/>
    <cellStyle name="Normal 2 2 3 2 5 5" xfId="3423"/>
    <cellStyle name="Normal 2 2 3 2 5 5 2" xfId="12063"/>
    <cellStyle name="Normal 2 2 3 2 5 5 3" xfId="17827"/>
    <cellStyle name="Normal 2 2 3 2 5 6" xfId="12059"/>
    <cellStyle name="Normal 2 2 3 2 5 7" xfId="17823"/>
    <cellStyle name="Normal 2 2 3 2 5_LNG &amp; LPG rework" xfId="7074"/>
    <cellStyle name="Normal 2 2 3 2 6" xfId="3424"/>
    <cellStyle name="Normal 2 2 3 2 6 2" xfId="3425"/>
    <cellStyle name="Normal 2 2 3 2 6 2 2" xfId="12065"/>
    <cellStyle name="Normal 2 2 3 2 6 2 3" xfId="17829"/>
    <cellStyle name="Normal 2 2 3 2 6 3" xfId="3426"/>
    <cellStyle name="Normal 2 2 3 2 6 3 2" xfId="12066"/>
    <cellStyle name="Normal 2 2 3 2 6 3 3" xfId="17830"/>
    <cellStyle name="Normal 2 2 3 2 6 4" xfId="3427"/>
    <cellStyle name="Normal 2 2 3 2 6 4 2" xfId="12067"/>
    <cellStyle name="Normal 2 2 3 2 6 4 3" xfId="17831"/>
    <cellStyle name="Normal 2 2 3 2 6 5" xfId="3428"/>
    <cellStyle name="Normal 2 2 3 2 6 5 2" xfId="12068"/>
    <cellStyle name="Normal 2 2 3 2 6 5 3" xfId="17832"/>
    <cellStyle name="Normal 2 2 3 2 6 6" xfId="12064"/>
    <cellStyle name="Normal 2 2 3 2 6 7" xfId="17828"/>
    <cellStyle name="Normal 2 2 3 2 6_LNG &amp; LPG rework" xfId="7075"/>
    <cellStyle name="Normal 2 2 3 2 7" xfId="3429"/>
    <cellStyle name="Normal 2 2 3 2 7 2" xfId="12069"/>
    <cellStyle name="Normal 2 2 3 2 7 3" xfId="17833"/>
    <cellStyle name="Normal 2 2 3 2 8" xfId="3430"/>
    <cellStyle name="Normal 2 2 3 2 8 2" xfId="12070"/>
    <cellStyle name="Normal 2 2 3 2 8 3" xfId="17834"/>
    <cellStyle name="Normal 2 2 3 2 9" xfId="3431"/>
    <cellStyle name="Normal 2 2 3 2 9 2" xfId="12071"/>
    <cellStyle name="Normal 2 2 3 2 9 3" xfId="17835"/>
    <cellStyle name="Normal 2 2 3 2_LNG &amp; LPG rework" xfId="7062"/>
    <cellStyle name="Normal 2 2 3 3" xfId="382"/>
    <cellStyle name="Normal 2 2 3 3 10" xfId="3432"/>
    <cellStyle name="Normal 2 2 3 3 10 2" xfId="12072"/>
    <cellStyle name="Normal 2 2 3 3 10 3" xfId="17837"/>
    <cellStyle name="Normal 2 2 3 3 11" xfId="9222"/>
    <cellStyle name="Normal 2 2 3 3 12" xfId="17836"/>
    <cellStyle name="Normal 2 2 3 3 2" xfId="383"/>
    <cellStyle name="Normal 2 2 3 3 2 10" xfId="17838"/>
    <cellStyle name="Normal 2 2 3 3 2 2" xfId="384"/>
    <cellStyle name="Normal 2 2 3 3 2 2 2" xfId="3433"/>
    <cellStyle name="Normal 2 2 3 3 2 2 2 2" xfId="12073"/>
    <cellStyle name="Normal 2 2 3 3 2 2 2 3" xfId="17840"/>
    <cellStyle name="Normal 2 2 3 3 2 2 3" xfId="3434"/>
    <cellStyle name="Normal 2 2 3 3 2 2 3 2" xfId="12074"/>
    <cellStyle name="Normal 2 2 3 3 2 2 3 3" xfId="17841"/>
    <cellStyle name="Normal 2 2 3 3 2 2 4" xfId="3435"/>
    <cellStyle name="Normal 2 2 3 3 2 2 4 2" xfId="12075"/>
    <cellStyle name="Normal 2 2 3 3 2 2 4 3" xfId="17842"/>
    <cellStyle name="Normal 2 2 3 3 2 2 5" xfId="3436"/>
    <cellStyle name="Normal 2 2 3 3 2 2 5 2" xfId="12076"/>
    <cellStyle name="Normal 2 2 3 3 2 2 5 3" xfId="17843"/>
    <cellStyle name="Normal 2 2 3 3 2 2 6" xfId="3437"/>
    <cellStyle name="Normal 2 2 3 3 2 2 6 2" xfId="12077"/>
    <cellStyle name="Normal 2 2 3 3 2 2 6 3" xfId="17844"/>
    <cellStyle name="Normal 2 2 3 3 2 2 7" xfId="9224"/>
    <cellStyle name="Normal 2 2 3 3 2 2 8" xfId="17839"/>
    <cellStyle name="Normal 2 2 3 3 2 2_LNG &amp; LPG rework" xfId="7078"/>
    <cellStyle name="Normal 2 2 3 3 2 3" xfId="3438"/>
    <cellStyle name="Normal 2 2 3 3 2 3 2" xfId="3439"/>
    <cellStyle name="Normal 2 2 3 3 2 3 2 2" xfId="12079"/>
    <cellStyle name="Normal 2 2 3 3 2 3 2 3" xfId="17846"/>
    <cellStyle name="Normal 2 2 3 3 2 3 3" xfId="3440"/>
    <cellStyle name="Normal 2 2 3 3 2 3 3 2" xfId="12080"/>
    <cellStyle name="Normal 2 2 3 3 2 3 3 3" xfId="17847"/>
    <cellStyle name="Normal 2 2 3 3 2 3 4" xfId="3441"/>
    <cellStyle name="Normal 2 2 3 3 2 3 4 2" xfId="12081"/>
    <cellStyle name="Normal 2 2 3 3 2 3 4 3" xfId="17848"/>
    <cellStyle name="Normal 2 2 3 3 2 3 5" xfId="3442"/>
    <cellStyle name="Normal 2 2 3 3 2 3 5 2" xfId="12082"/>
    <cellStyle name="Normal 2 2 3 3 2 3 5 3" xfId="17849"/>
    <cellStyle name="Normal 2 2 3 3 2 3 6" xfId="12078"/>
    <cellStyle name="Normal 2 2 3 3 2 3 7" xfId="17845"/>
    <cellStyle name="Normal 2 2 3 3 2 3_LNG &amp; LPG rework" xfId="7079"/>
    <cellStyle name="Normal 2 2 3 3 2 4" xfId="3443"/>
    <cellStyle name="Normal 2 2 3 3 2 4 2" xfId="12083"/>
    <cellStyle name="Normal 2 2 3 3 2 4 3" xfId="17850"/>
    <cellStyle name="Normal 2 2 3 3 2 5" xfId="3444"/>
    <cellStyle name="Normal 2 2 3 3 2 5 2" xfId="12084"/>
    <cellStyle name="Normal 2 2 3 3 2 5 3" xfId="17851"/>
    <cellStyle name="Normal 2 2 3 3 2 6" xfId="3445"/>
    <cellStyle name="Normal 2 2 3 3 2 6 2" xfId="12085"/>
    <cellStyle name="Normal 2 2 3 3 2 6 3" xfId="17852"/>
    <cellStyle name="Normal 2 2 3 3 2 7" xfId="3446"/>
    <cellStyle name="Normal 2 2 3 3 2 7 2" xfId="12086"/>
    <cellStyle name="Normal 2 2 3 3 2 7 3" xfId="17853"/>
    <cellStyle name="Normal 2 2 3 3 2 8" xfId="3447"/>
    <cellStyle name="Normal 2 2 3 3 2 8 2" xfId="12087"/>
    <cellStyle name="Normal 2 2 3 3 2 8 3" xfId="17854"/>
    <cellStyle name="Normal 2 2 3 3 2 9" xfId="9223"/>
    <cellStyle name="Normal 2 2 3 3 2_LNG &amp; LPG rework" xfId="7077"/>
    <cellStyle name="Normal 2 2 3 3 3" xfId="385"/>
    <cellStyle name="Normal 2 2 3 3 3 2" xfId="3448"/>
    <cellStyle name="Normal 2 2 3 3 3 2 2" xfId="12088"/>
    <cellStyle name="Normal 2 2 3 3 3 2 3" xfId="17856"/>
    <cellStyle name="Normal 2 2 3 3 3 3" xfId="3449"/>
    <cellStyle name="Normal 2 2 3 3 3 3 2" xfId="12089"/>
    <cellStyle name="Normal 2 2 3 3 3 3 3" xfId="17857"/>
    <cellStyle name="Normal 2 2 3 3 3 4" xfId="3450"/>
    <cellStyle name="Normal 2 2 3 3 3 4 2" xfId="12090"/>
    <cellStyle name="Normal 2 2 3 3 3 4 3" xfId="17858"/>
    <cellStyle name="Normal 2 2 3 3 3 5" xfId="3451"/>
    <cellStyle name="Normal 2 2 3 3 3 5 2" xfId="12091"/>
    <cellStyle name="Normal 2 2 3 3 3 5 3" xfId="17859"/>
    <cellStyle name="Normal 2 2 3 3 3 6" xfId="3452"/>
    <cellStyle name="Normal 2 2 3 3 3 6 2" xfId="12092"/>
    <cellStyle name="Normal 2 2 3 3 3 6 3" xfId="17860"/>
    <cellStyle name="Normal 2 2 3 3 3 7" xfId="9225"/>
    <cellStyle name="Normal 2 2 3 3 3 8" xfId="17855"/>
    <cellStyle name="Normal 2 2 3 3 3_LNG &amp; LPG rework" xfId="7080"/>
    <cellStyle name="Normal 2 2 3 3 4" xfId="3453"/>
    <cellStyle name="Normal 2 2 3 3 4 2" xfId="3454"/>
    <cellStyle name="Normal 2 2 3 3 4 2 2" xfId="12094"/>
    <cellStyle name="Normal 2 2 3 3 4 2 3" xfId="17862"/>
    <cellStyle name="Normal 2 2 3 3 4 3" xfId="3455"/>
    <cellStyle name="Normal 2 2 3 3 4 3 2" xfId="12095"/>
    <cellStyle name="Normal 2 2 3 3 4 3 3" xfId="17863"/>
    <cellStyle name="Normal 2 2 3 3 4 4" xfId="3456"/>
    <cellStyle name="Normal 2 2 3 3 4 4 2" xfId="12096"/>
    <cellStyle name="Normal 2 2 3 3 4 4 3" xfId="17864"/>
    <cellStyle name="Normal 2 2 3 3 4 5" xfId="3457"/>
    <cellStyle name="Normal 2 2 3 3 4 5 2" xfId="12097"/>
    <cellStyle name="Normal 2 2 3 3 4 5 3" xfId="17865"/>
    <cellStyle name="Normal 2 2 3 3 4 6" xfId="12093"/>
    <cellStyle name="Normal 2 2 3 3 4 7" xfId="17861"/>
    <cellStyle name="Normal 2 2 3 3 4_LNG &amp; LPG rework" xfId="7081"/>
    <cellStyle name="Normal 2 2 3 3 5" xfId="3458"/>
    <cellStyle name="Normal 2 2 3 3 5 2" xfId="3459"/>
    <cellStyle name="Normal 2 2 3 3 5 2 2" xfId="12099"/>
    <cellStyle name="Normal 2 2 3 3 5 2 3" xfId="17867"/>
    <cellStyle name="Normal 2 2 3 3 5 3" xfId="3460"/>
    <cellStyle name="Normal 2 2 3 3 5 3 2" xfId="12100"/>
    <cellStyle name="Normal 2 2 3 3 5 3 3" xfId="17868"/>
    <cellStyle name="Normal 2 2 3 3 5 4" xfId="3461"/>
    <cellStyle name="Normal 2 2 3 3 5 4 2" xfId="12101"/>
    <cellStyle name="Normal 2 2 3 3 5 4 3" xfId="17869"/>
    <cellStyle name="Normal 2 2 3 3 5 5" xfId="3462"/>
    <cellStyle name="Normal 2 2 3 3 5 5 2" xfId="12102"/>
    <cellStyle name="Normal 2 2 3 3 5 5 3" xfId="17870"/>
    <cellStyle name="Normal 2 2 3 3 5 6" xfId="12098"/>
    <cellStyle name="Normal 2 2 3 3 5 7" xfId="17866"/>
    <cellStyle name="Normal 2 2 3 3 5_LNG &amp; LPG rework" xfId="7082"/>
    <cellStyle name="Normal 2 2 3 3 6" xfId="3463"/>
    <cellStyle name="Normal 2 2 3 3 6 2" xfId="12103"/>
    <cellStyle name="Normal 2 2 3 3 6 3" xfId="17871"/>
    <cellStyle name="Normal 2 2 3 3 7" xfId="3464"/>
    <cellStyle name="Normal 2 2 3 3 7 2" xfId="12104"/>
    <cellStyle name="Normal 2 2 3 3 7 3" xfId="17872"/>
    <cellStyle name="Normal 2 2 3 3 8" xfId="3465"/>
    <cellStyle name="Normal 2 2 3 3 8 2" xfId="12105"/>
    <cellStyle name="Normal 2 2 3 3 8 3" xfId="17873"/>
    <cellStyle name="Normal 2 2 3 3 9" xfId="3466"/>
    <cellStyle name="Normal 2 2 3 3 9 2" xfId="12106"/>
    <cellStyle name="Normal 2 2 3 3 9 3" xfId="17874"/>
    <cellStyle name="Normal 2 2 3 3_LNG &amp; LPG rework" xfId="7076"/>
    <cellStyle name="Normal 2 2 3 4" xfId="386"/>
    <cellStyle name="Normal 2 2 3 4 10" xfId="17875"/>
    <cellStyle name="Normal 2 2 3 4 2" xfId="387"/>
    <cellStyle name="Normal 2 2 3 4 2 2" xfId="3467"/>
    <cellStyle name="Normal 2 2 3 4 2 2 2" xfId="12107"/>
    <cellStyle name="Normal 2 2 3 4 2 2 3" xfId="17877"/>
    <cellStyle name="Normal 2 2 3 4 2 3" xfId="3468"/>
    <cellStyle name="Normal 2 2 3 4 2 3 2" xfId="12108"/>
    <cellStyle name="Normal 2 2 3 4 2 3 3" xfId="17878"/>
    <cellStyle name="Normal 2 2 3 4 2 4" xfId="3469"/>
    <cellStyle name="Normal 2 2 3 4 2 4 2" xfId="12109"/>
    <cellStyle name="Normal 2 2 3 4 2 4 3" xfId="17879"/>
    <cellStyle name="Normal 2 2 3 4 2 5" xfId="3470"/>
    <cellStyle name="Normal 2 2 3 4 2 5 2" xfId="12110"/>
    <cellStyle name="Normal 2 2 3 4 2 5 3" xfId="17880"/>
    <cellStyle name="Normal 2 2 3 4 2 6" xfId="3471"/>
    <cellStyle name="Normal 2 2 3 4 2 6 2" xfId="12111"/>
    <cellStyle name="Normal 2 2 3 4 2 6 3" xfId="17881"/>
    <cellStyle name="Normal 2 2 3 4 2 7" xfId="9227"/>
    <cellStyle name="Normal 2 2 3 4 2 8" xfId="17876"/>
    <cellStyle name="Normal 2 2 3 4 2_LNG &amp; LPG rework" xfId="7084"/>
    <cellStyle name="Normal 2 2 3 4 3" xfId="3472"/>
    <cellStyle name="Normal 2 2 3 4 3 2" xfId="3473"/>
    <cellStyle name="Normal 2 2 3 4 3 2 2" xfId="12113"/>
    <cellStyle name="Normal 2 2 3 4 3 2 3" xfId="17883"/>
    <cellStyle name="Normal 2 2 3 4 3 3" xfId="3474"/>
    <cellStyle name="Normal 2 2 3 4 3 3 2" xfId="12114"/>
    <cellStyle name="Normal 2 2 3 4 3 3 3" xfId="17884"/>
    <cellStyle name="Normal 2 2 3 4 3 4" xfId="3475"/>
    <cellStyle name="Normal 2 2 3 4 3 4 2" xfId="12115"/>
    <cellStyle name="Normal 2 2 3 4 3 4 3" xfId="17885"/>
    <cellStyle name="Normal 2 2 3 4 3 5" xfId="3476"/>
    <cellStyle name="Normal 2 2 3 4 3 5 2" xfId="12116"/>
    <cellStyle name="Normal 2 2 3 4 3 5 3" xfId="17886"/>
    <cellStyle name="Normal 2 2 3 4 3 6" xfId="12112"/>
    <cellStyle name="Normal 2 2 3 4 3 7" xfId="17882"/>
    <cellStyle name="Normal 2 2 3 4 3_LNG &amp; LPG rework" xfId="7085"/>
    <cellStyle name="Normal 2 2 3 4 4" xfId="3477"/>
    <cellStyle name="Normal 2 2 3 4 4 2" xfId="12117"/>
    <cellStyle name="Normal 2 2 3 4 4 3" xfId="17887"/>
    <cellStyle name="Normal 2 2 3 4 5" xfId="3478"/>
    <cellStyle name="Normal 2 2 3 4 5 2" xfId="12118"/>
    <cellStyle name="Normal 2 2 3 4 5 3" xfId="17888"/>
    <cellStyle name="Normal 2 2 3 4 6" xfId="3479"/>
    <cellStyle name="Normal 2 2 3 4 6 2" xfId="12119"/>
    <cellStyle name="Normal 2 2 3 4 6 3" xfId="17889"/>
    <cellStyle name="Normal 2 2 3 4 7" xfId="3480"/>
    <cellStyle name="Normal 2 2 3 4 7 2" xfId="12120"/>
    <cellStyle name="Normal 2 2 3 4 7 3" xfId="17890"/>
    <cellStyle name="Normal 2 2 3 4 8" xfId="3481"/>
    <cellStyle name="Normal 2 2 3 4 8 2" xfId="12121"/>
    <cellStyle name="Normal 2 2 3 4 8 3" xfId="17891"/>
    <cellStyle name="Normal 2 2 3 4 9" xfId="9226"/>
    <cellStyle name="Normal 2 2 3 4_LNG &amp; LPG rework" xfId="7083"/>
    <cellStyle name="Normal 2 2 3 5" xfId="388"/>
    <cellStyle name="Normal 2 2 3 5 2" xfId="3482"/>
    <cellStyle name="Normal 2 2 3 5 2 2" xfId="12122"/>
    <cellStyle name="Normal 2 2 3 5 2 3" xfId="17893"/>
    <cellStyle name="Normal 2 2 3 5 3" xfId="3483"/>
    <cellStyle name="Normal 2 2 3 5 3 2" xfId="12123"/>
    <cellStyle name="Normal 2 2 3 5 3 3" xfId="17894"/>
    <cellStyle name="Normal 2 2 3 5 4" xfId="3484"/>
    <cellStyle name="Normal 2 2 3 5 4 2" xfId="12124"/>
    <cellStyle name="Normal 2 2 3 5 4 3" xfId="17895"/>
    <cellStyle name="Normal 2 2 3 5 5" xfId="3485"/>
    <cellStyle name="Normal 2 2 3 5 5 2" xfId="12125"/>
    <cellStyle name="Normal 2 2 3 5 5 3" xfId="17896"/>
    <cellStyle name="Normal 2 2 3 5 6" xfId="3486"/>
    <cellStyle name="Normal 2 2 3 5 6 2" xfId="12126"/>
    <cellStyle name="Normal 2 2 3 5 6 3" xfId="17897"/>
    <cellStyle name="Normal 2 2 3 5 7" xfId="9228"/>
    <cellStyle name="Normal 2 2 3 5 8" xfId="17892"/>
    <cellStyle name="Normal 2 2 3 5_LNG &amp; LPG rework" xfId="7086"/>
    <cellStyle name="Normal 2 2 3 6" xfId="3487"/>
    <cellStyle name="Normal 2 2 3 6 2" xfId="3488"/>
    <cellStyle name="Normal 2 2 3 6 2 2" xfId="12128"/>
    <cellStyle name="Normal 2 2 3 6 2 3" xfId="17899"/>
    <cellStyle name="Normal 2 2 3 6 3" xfId="3489"/>
    <cellStyle name="Normal 2 2 3 6 3 2" xfId="12129"/>
    <cellStyle name="Normal 2 2 3 6 3 3" xfId="17900"/>
    <cellStyle name="Normal 2 2 3 6 4" xfId="3490"/>
    <cellStyle name="Normal 2 2 3 6 4 2" xfId="12130"/>
    <cellStyle name="Normal 2 2 3 6 4 3" xfId="17901"/>
    <cellStyle name="Normal 2 2 3 6 5" xfId="3491"/>
    <cellStyle name="Normal 2 2 3 6 5 2" xfId="12131"/>
    <cellStyle name="Normal 2 2 3 6 5 3" xfId="17902"/>
    <cellStyle name="Normal 2 2 3 6 6" xfId="12127"/>
    <cellStyle name="Normal 2 2 3 6 7" xfId="17898"/>
    <cellStyle name="Normal 2 2 3 6_LNG &amp; LPG rework" xfId="7087"/>
    <cellStyle name="Normal 2 2 3 7" xfId="3492"/>
    <cellStyle name="Normal 2 2 3 7 2" xfId="3493"/>
    <cellStyle name="Normal 2 2 3 7 2 2" xfId="12133"/>
    <cellStyle name="Normal 2 2 3 7 2 3" xfId="17904"/>
    <cellStyle name="Normal 2 2 3 7 3" xfId="3494"/>
    <cellStyle name="Normal 2 2 3 7 3 2" xfId="12134"/>
    <cellStyle name="Normal 2 2 3 7 3 3" xfId="17905"/>
    <cellStyle name="Normal 2 2 3 7 4" xfId="3495"/>
    <cellStyle name="Normal 2 2 3 7 4 2" xfId="12135"/>
    <cellStyle name="Normal 2 2 3 7 4 3" xfId="17906"/>
    <cellStyle name="Normal 2 2 3 7 5" xfId="3496"/>
    <cellStyle name="Normal 2 2 3 7 5 2" xfId="12136"/>
    <cellStyle name="Normal 2 2 3 7 5 3" xfId="17907"/>
    <cellStyle name="Normal 2 2 3 7 6" xfId="12132"/>
    <cellStyle name="Normal 2 2 3 7 7" xfId="17903"/>
    <cellStyle name="Normal 2 2 3 7_LNG &amp; LPG rework" xfId="7088"/>
    <cellStyle name="Normal 2 2 3 8" xfId="3497"/>
    <cellStyle name="Normal 2 2 3 8 2" xfId="12137"/>
    <cellStyle name="Normal 2 2 3 8 3" xfId="17908"/>
    <cellStyle name="Normal 2 2 3 9" xfId="3498"/>
    <cellStyle name="Normal 2 2 3 9 2" xfId="12138"/>
    <cellStyle name="Normal 2 2 3 9 3" xfId="17909"/>
    <cellStyle name="Normal 2 2 3_LNG &amp; LPG rework" xfId="7061"/>
    <cellStyle name="Normal 2 2 4" xfId="389"/>
    <cellStyle name="Normal 2 2 4 10" xfId="3499"/>
    <cellStyle name="Normal 2 2 4 10 2" xfId="12139"/>
    <cellStyle name="Normal 2 2 4 10 3" xfId="17911"/>
    <cellStyle name="Normal 2 2 4 11" xfId="3500"/>
    <cellStyle name="Normal 2 2 4 11 2" xfId="12140"/>
    <cellStyle name="Normal 2 2 4 11 3" xfId="17912"/>
    <cellStyle name="Normal 2 2 4 12" xfId="9229"/>
    <cellStyle name="Normal 2 2 4 13" xfId="17910"/>
    <cellStyle name="Normal 2 2 4 2" xfId="390"/>
    <cellStyle name="Normal 2 2 4 2 10" xfId="3501"/>
    <cellStyle name="Normal 2 2 4 2 10 2" xfId="12141"/>
    <cellStyle name="Normal 2 2 4 2 10 3" xfId="17914"/>
    <cellStyle name="Normal 2 2 4 2 11" xfId="9230"/>
    <cellStyle name="Normal 2 2 4 2 12" xfId="17913"/>
    <cellStyle name="Normal 2 2 4 2 2" xfId="391"/>
    <cellStyle name="Normal 2 2 4 2 2 10" xfId="17915"/>
    <cellStyle name="Normal 2 2 4 2 2 2" xfId="392"/>
    <cellStyle name="Normal 2 2 4 2 2 2 2" xfId="3502"/>
    <cellStyle name="Normal 2 2 4 2 2 2 2 2" xfId="12142"/>
    <cellStyle name="Normal 2 2 4 2 2 2 2 3" xfId="17917"/>
    <cellStyle name="Normal 2 2 4 2 2 2 3" xfId="3503"/>
    <cellStyle name="Normal 2 2 4 2 2 2 3 2" xfId="12143"/>
    <cellStyle name="Normal 2 2 4 2 2 2 3 3" xfId="17918"/>
    <cellStyle name="Normal 2 2 4 2 2 2 4" xfId="3504"/>
    <cellStyle name="Normal 2 2 4 2 2 2 4 2" xfId="12144"/>
    <cellStyle name="Normal 2 2 4 2 2 2 4 3" xfId="17919"/>
    <cellStyle name="Normal 2 2 4 2 2 2 5" xfId="3505"/>
    <cellStyle name="Normal 2 2 4 2 2 2 5 2" xfId="12145"/>
    <cellStyle name="Normal 2 2 4 2 2 2 5 3" xfId="17920"/>
    <cellStyle name="Normal 2 2 4 2 2 2 6" xfId="3506"/>
    <cellStyle name="Normal 2 2 4 2 2 2 6 2" xfId="12146"/>
    <cellStyle name="Normal 2 2 4 2 2 2 6 3" xfId="17921"/>
    <cellStyle name="Normal 2 2 4 2 2 2 7" xfId="9232"/>
    <cellStyle name="Normal 2 2 4 2 2 2 8" xfId="17916"/>
    <cellStyle name="Normal 2 2 4 2 2 2_LNG &amp; LPG rework" xfId="7092"/>
    <cellStyle name="Normal 2 2 4 2 2 3" xfId="3507"/>
    <cellStyle name="Normal 2 2 4 2 2 3 2" xfId="3508"/>
    <cellStyle name="Normal 2 2 4 2 2 3 2 2" xfId="12148"/>
    <cellStyle name="Normal 2 2 4 2 2 3 2 3" xfId="17923"/>
    <cellStyle name="Normal 2 2 4 2 2 3 3" xfId="3509"/>
    <cellStyle name="Normal 2 2 4 2 2 3 3 2" xfId="12149"/>
    <cellStyle name="Normal 2 2 4 2 2 3 3 3" xfId="17924"/>
    <cellStyle name="Normal 2 2 4 2 2 3 4" xfId="3510"/>
    <cellStyle name="Normal 2 2 4 2 2 3 4 2" xfId="12150"/>
    <cellStyle name="Normal 2 2 4 2 2 3 4 3" xfId="17925"/>
    <cellStyle name="Normal 2 2 4 2 2 3 5" xfId="3511"/>
    <cellStyle name="Normal 2 2 4 2 2 3 5 2" xfId="12151"/>
    <cellStyle name="Normal 2 2 4 2 2 3 5 3" xfId="17926"/>
    <cellStyle name="Normal 2 2 4 2 2 3 6" xfId="12147"/>
    <cellStyle name="Normal 2 2 4 2 2 3 7" xfId="17922"/>
    <cellStyle name="Normal 2 2 4 2 2 3_LNG &amp; LPG rework" xfId="7093"/>
    <cellStyle name="Normal 2 2 4 2 2 4" xfId="3512"/>
    <cellStyle name="Normal 2 2 4 2 2 4 2" xfId="12152"/>
    <cellStyle name="Normal 2 2 4 2 2 4 3" xfId="17927"/>
    <cellStyle name="Normal 2 2 4 2 2 5" xfId="3513"/>
    <cellStyle name="Normal 2 2 4 2 2 5 2" xfId="12153"/>
    <cellStyle name="Normal 2 2 4 2 2 5 3" xfId="17928"/>
    <cellStyle name="Normal 2 2 4 2 2 6" xfId="3514"/>
    <cellStyle name="Normal 2 2 4 2 2 6 2" xfId="12154"/>
    <cellStyle name="Normal 2 2 4 2 2 6 3" xfId="17929"/>
    <cellStyle name="Normal 2 2 4 2 2 7" xfId="3515"/>
    <cellStyle name="Normal 2 2 4 2 2 7 2" xfId="12155"/>
    <cellStyle name="Normal 2 2 4 2 2 7 3" xfId="17930"/>
    <cellStyle name="Normal 2 2 4 2 2 8" xfId="3516"/>
    <cellStyle name="Normal 2 2 4 2 2 8 2" xfId="12156"/>
    <cellStyle name="Normal 2 2 4 2 2 8 3" xfId="17931"/>
    <cellStyle name="Normal 2 2 4 2 2 9" xfId="9231"/>
    <cellStyle name="Normal 2 2 4 2 2_LNG &amp; LPG rework" xfId="7091"/>
    <cellStyle name="Normal 2 2 4 2 3" xfId="393"/>
    <cellStyle name="Normal 2 2 4 2 3 2" xfId="3517"/>
    <cellStyle name="Normal 2 2 4 2 3 2 2" xfId="12157"/>
    <cellStyle name="Normal 2 2 4 2 3 2 3" xfId="17933"/>
    <cellStyle name="Normal 2 2 4 2 3 3" xfId="3518"/>
    <cellStyle name="Normal 2 2 4 2 3 3 2" xfId="12158"/>
    <cellStyle name="Normal 2 2 4 2 3 3 3" xfId="17934"/>
    <cellStyle name="Normal 2 2 4 2 3 4" xfId="3519"/>
    <cellStyle name="Normal 2 2 4 2 3 4 2" xfId="12159"/>
    <cellStyle name="Normal 2 2 4 2 3 4 3" xfId="17935"/>
    <cellStyle name="Normal 2 2 4 2 3 5" xfId="3520"/>
    <cellStyle name="Normal 2 2 4 2 3 5 2" xfId="12160"/>
    <cellStyle name="Normal 2 2 4 2 3 5 3" xfId="17936"/>
    <cellStyle name="Normal 2 2 4 2 3 6" xfId="3521"/>
    <cellStyle name="Normal 2 2 4 2 3 6 2" xfId="12161"/>
    <cellStyle name="Normal 2 2 4 2 3 6 3" xfId="17937"/>
    <cellStyle name="Normal 2 2 4 2 3 7" xfId="9233"/>
    <cellStyle name="Normal 2 2 4 2 3 8" xfId="17932"/>
    <cellStyle name="Normal 2 2 4 2 3_LNG &amp; LPG rework" xfId="7094"/>
    <cellStyle name="Normal 2 2 4 2 4" xfId="3522"/>
    <cellStyle name="Normal 2 2 4 2 4 2" xfId="3523"/>
    <cellStyle name="Normal 2 2 4 2 4 2 2" xfId="12163"/>
    <cellStyle name="Normal 2 2 4 2 4 2 3" xfId="17939"/>
    <cellStyle name="Normal 2 2 4 2 4 3" xfId="3524"/>
    <cellStyle name="Normal 2 2 4 2 4 3 2" xfId="12164"/>
    <cellStyle name="Normal 2 2 4 2 4 3 3" xfId="17940"/>
    <cellStyle name="Normal 2 2 4 2 4 4" xfId="3525"/>
    <cellStyle name="Normal 2 2 4 2 4 4 2" xfId="12165"/>
    <cellStyle name="Normal 2 2 4 2 4 4 3" xfId="17941"/>
    <cellStyle name="Normal 2 2 4 2 4 5" xfId="3526"/>
    <cellStyle name="Normal 2 2 4 2 4 5 2" xfId="12166"/>
    <cellStyle name="Normal 2 2 4 2 4 5 3" xfId="17942"/>
    <cellStyle name="Normal 2 2 4 2 4 6" xfId="12162"/>
    <cellStyle name="Normal 2 2 4 2 4 7" xfId="17938"/>
    <cellStyle name="Normal 2 2 4 2 4_LNG &amp; LPG rework" xfId="7095"/>
    <cellStyle name="Normal 2 2 4 2 5" xfId="3527"/>
    <cellStyle name="Normal 2 2 4 2 5 2" xfId="3528"/>
    <cellStyle name="Normal 2 2 4 2 5 2 2" xfId="12168"/>
    <cellStyle name="Normal 2 2 4 2 5 2 3" xfId="17944"/>
    <cellStyle name="Normal 2 2 4 2 5 3" xfId="3529"/>
    <cellStyle name="Normal 2 2 4 2 5 3 2" xfId="12169"/>
    <cellStyle name="Normal 2 2 4 2 5 3 3" xfId="17945"/>
    <cellStyle name="Normal 2 2 4 2 5 4" xfId="3530"/>
    <cellStyle name="Normal 2 2 4 2 5 4 2" xfId="12170"/>
    <cellStyle name="Normal 2 2 4 2 5 4 3" xfId="17946"/>
    <cellStyle name="Normal 2 2 4 2 5 5" xfId="3531"/>
    <cellStyle name="Normal 2 2 4 2 5 5 2" xfId="12171"/>
    <cellStyle name="Normal 2 2 4 2 5 5 3" xfId="17947"/>
    <cellStyle name="Normal 2 2 4 2 5 6" xfId="12167"/>
    <cellStyle name="Normal 2 2 4 2 5 7" xfId="17943"/>
    <cellStyle name="Normal 2 2 4 2 5_LNG &amp; LPG rework" xfId="7096"/>
    <cellStyle name="Normal 2 2 4 2 6" xfId="3532"/>
    <cellStyle name="Normal 2 2 4 2 6 2" xfId="12172"/>
    <cellStyle name="Normal 2 2 4 2 6 3" xfId="17948"/>
    <cellStyle name="Normal 2 2 4 2 7" xfId="3533"/>
    <cellStyle name="Normal 2 2 4 2 7 2" xfId="12173"/>
    <cellStyle name="Normal 2 2 4 2 7 3" xfId="17949"/>
    <cellStyle name="Normal 2 2 4 2 8" xfId="3534"/>
    <cellStyle name="Normal 2 2 4 2 8 2" xfId="12174"/>
    <cellStyle name="Normal 2 2 4 2 8 3" xfId="17950"/>
    <cellStyle name="Normal 2 2 4 2 9" xfId="3535"/>
    <cellStyle name="Normal 2 2 4 2 9 2" xfId="12175"/>
    <cellStyle name="Normal 2 2 4 2 9 3" xfId="17951"/>
    <cellStyle name="Normal 2 2 4 2_LNG &amp; LPG rework" xfId="7090"/>
    <cellStyle name="Normal 2 2 4 3" xfId="394"/>
    <cellStyle name="Normal 2 2 4 3 10" xfId="17952"/>
    <cellStyle name="Normal 2 2 4 3 2" xfId="395"/>
    <cellStyle name="Normal 2 2 4 3 2 2" xfId="3536"/>
    <cellStyle name="Normal 2 2 4 3 2 2 2" xfId="12176"/>
    <cellStyle name="Normal 2 2 4 3 2 2 3" xfId="17954"/>
    <cellStyle name="Normal 2 2 4 3 2 3" xfId="3537"/>
    <cellStyle name="Normal 2 2 4 3 2 3 2" xfId="12177"/>
    <cellStyle name="Normal 2 2 4 3 2 3 3" xfId="17955"/>
    <cellStyle name="Normal 2 2 4 3 2 4" xfId="3538"/>
    <cellStyle name="Normal 2 2 4 3 2 4 2" xfId="12178"/>
    <cellStyle name="Normal 2 2 4 3 2 4 3" xfId="17956"/>
    <cellStyle name="Normal 2 2 4 3 2 5" xfId="3539"/>
    <cellStyle name="Normal 2 2 4 3 2 5 2" xfId="12179"/>
    <cellStyle name="Normal 2 2 4 3 2 5 3" xfId="17957"/>
    <cellStyle name="Normal 2 2 4 3 2 6" xfId="3540"/>
    <cellStyle name="Normal 2 2 4 3 2 6 2" xfId="12180"/>
    <cellStyle name="Normal 2 2 4 3 2 6 3" xfId="17958"/>
    <cellStyle name="Normal 2 2 4 3 2 7" xfId="9235"/>
    <cellStyle name="Normal 2 2 4 3 2 8" xfId="17953"/>
    <cellStyle name="Normal 2 2 4 3 2_LNG &amp; LPG rework" xfId="7098"/>
    <cellStyle name="Normal 2 2 4 3 3" xfId="3541"/>
    <cellStyle name="Normal 2 2 4 3 3 2" xfId="3542"/>
    <cellStyle name="Normal 2 2 4 3 3 2 2" xfId="12182"/>
    <cellStyle name="Normal 2 2 4 3 3 2 3" xfId="17960"/>
    <cellStyle name="Normal 2 2 4 3 3 3" xfId="3543"/>
    <cellStyle name="Normal 2 2 4 3 3 3 2" xfId="12183"/>
    <cellStyle name="Normal 2 2 4 3 3 3 3" xfId="17961"/>
    <cellStyle name="Normal 2 2 4 3 3 4" xfId="3544"/>
    <cellStyle name="Normal 2 2 4 3 3 4 2" xfId="12184"/>
    <cellStyle name="Normal 2 2 4 3 3 4 3" xfId="17962"/>
    <cellStyle name="Normal 2 2 4 3 3 5" xfId="3545"/>
    <cellStyle name="Normal 2 2 4 3 3 5 2" xfId="12185"/>
    <cellStyle name="Normal 2 2 4 3 3 5 3" xfId="17963"/>
    <cellStyle name="Normal 2 2 4 3 3 6" xfId="12181"/>
    <cellStyle name="Normal 2 2 4 3 3 7" xfId="17959"/>
    <cellStyle name="Normal 2 2 4 3 3_LNG &amp; LPG rework" xfId="7099"/>
    <cellStyle name="Normal 2 2 4 3 4" xfId="3546"/>
    <cellStyle name="Normal 2 2 4 3 4 2" xfId="12186"/>
    <cellStyle name="Normal 2 2 4 3 4 3" xfId="17964"/>
    <cellStyle name="Normal 2 2 4 3 5" xfId="3547"/>
    <cellStyle name="Normal 2 2 4 3 5 2" xfId="12187"/>
    <cellStyle name="Normal 2 2 4 3 5 3" xfId="17965"/>
    <cellStyle name="Normal 2 2 4 3 6" xfId="3548"/>
    <cellStyle name="Normal 2 2 4 3 6 2" xfId="12188"/>
    <cellStyle name="Normal 2 2 4 3 6 3" xfId="17966"/>
    <cellStyle name="Normal 2 2 4 3 7" xfId="3549"/>
    <cellStyle name="Normal 2 2 4 3 7 2" xfId="12189"/>
    <cellStyle name="Normal 2 2 4 3 7 3" xfId="17967"/>
    <cellStyle name="Normal 2 2 4 3 8" xfId="3550"/>
    <cellStyle name="Normal 2 2 4 3 8 2" xfId="12190"/>
    <cellStyle name="Normal 2 2 4 3 8 3" xfId="17968"/>
    <cellStyle name="Normal 2 2 4 3 9" xfId="9234"/>
    <cellStyle name="Normal 2 2 4 3_LNG &amp; LPG rework" xfId="7097"/>
    <cellStyle name="Normal 2 2 4 4" xfId="396"/>
    <cellStyle name="Normal 2 2 4 4 2" xfId="3551"/>
    <cellStyle name="Normal 2 2 4 4 2 2" xfId="12191"/>
    <cellStyle name="Normal 2 2 4 4 2 3" xfId="17970"/>
    <cellStyle name="Normal 2 2 4 4 3" xfId="3552"/>
    <cellStyle name="Normal 2 2 4 4 3 2" xfId="12192"/>
    <cellStyle name="Normal 2 2 4 4 3 3" xfId="17971"/>
    <cellStyle name="Normal 2 2 4 4 4" xfId="3553"/>
    <cellStyle name="Normal 2 2 4 4 4 2" xfId="12193"/>
    <cellStyle name="Normal 2 2 4 4 4 3" xfId="17972"/>
    <cellStyle name="Normal 2 2 4 4 5" xfId="3554"/>
    <cellStyle name="Normal 2 2 4 4 5 2" xfId="12194"/>
    <cellStyle name="Normal 2 2 4 4 5 3" xfId="17973"/>
    <cellStyle name="Normal 2 2 4 4 6" xfId="3555"/>
    <cellStyle name="Normal 2 2 4 4 6 2" xfId="12195"/>
    <cellStyle name="Normal 2 2 4 4 6 3" xfId="17974"/>
    <cellStyle name="Normal 2 2 4 4 7" xfId="9236"/>
    <cellStyle name="Normal 2 2 4 4 8" xfId="17969"/>
    <cellStyle name="Normal 2 2 4 4_LNG &amp; LPG rework" xfId="7100"/>
    <cellStyle name="Normal 2 2 4 5" xfId="3556"/>
    <cellStyle name="Normal 2 2 4 5 2" xfId="3557"/>
    <cellStyle name="Normal 2 2 4 5 2 2" xfId="12197"/>
    <cellStyle name="Normal 2 2 4 5 2 3" xfId="17976"/>
    <cellStyle name="Normal 2 2 4 5 3" xfId="3558"/>
    <cellStyle name="Normal 2 2 4 5 3 2" xfId="12198"/>
    <cellStyle name="Normal 2 2 4 5 3 3" xfId="17977"/>
    <cellStyle name="Normal 2 2 4 5 4" xfId="3559"/>
    <cellStyle name="Normal 2 2 4 5 4 2" xfId="12199"/>
    <cellStyle name="Normal 2 2 4 5 4 3" xfId="17978"/>
    <cellStyle name="Normal 2 2 4 5 5" xfId="3560"/>
    <cellStyle name="Normal 2 2 4 5 5 2" xfId="12200"/>
    <cellStyle name="Normal 2 2 4 5 5 3" xfId="17979"/>
    <cellStyle name="Normal 2 2 4 5 6" xfId="12196"/>
    <cellStyle name="Normal 2 2 4 5 7" xfId="17975"/>
    <cellStyle name="Normal 2 2 4 5_LNG &amp; LPG rework" xfId="7101"/>
    <cellStyle name="Normal 2 2 4 6" xfId="3561"/>
    <cellStyle name="Normal 2 2 4 6 2" xfId="3562"/>
    <cellStyle name="Normal 2 2 4 6 2 2" xfId="12202"/>
    <cellStyle name="Normal 2 2 4 6 2 3" xfId="17981"/>
    <cellStyle name="Normal 2 2 4 6 3" xfId="3563"/>
    <cellStyle name="Normal 2 2 4 6 3 2" xfId="12203"/>
    <cellStyle name="Normal 2 2 4 6 3 3" xfId="17982"/>
    <cellStyle name="Normal 2 2 4 6 4" xfId="3564"/>
    <cellStyle name="Normal 2 2 4 6 4 2" xfId="12204"/>
    <cellStyle name="Normal 2 2 4 6 4 3" xfId="17983"/>
    <cellStyle name="Normal 2 2 4 6 5" xfId="3565"/>
    <cellStyle name="Normal 2 2 4 6 5 2" xfId="12205"/>
    <cellStyle name="Normal 2 2 4 6 5 3" xfId="17984"/>
    <cellStyle name="Normal 2 2 4 6 6" xfId="12201"/>
    <cellStyle name="Normal 2 2 4 6 7" xfId="17980"/>
    <cellStyle name="Normal 2 2 4 6_LNG &amp; LPG rework" xfId="7102"/>
    <cellStyle name="Normal 2 2 4 7" xfId="3566"/>
    <cellStyle name="Normal 2 2 4 7 2" xfId="12206"/>
    <cellStyle name="Normal 2 2 4 7 3" xfId="17985"/>
    <cellStyle name="Normal 2 2 4 8" xfId="3567"/>
    <cellStyle name="Normal 2 2 4 8 2" xfId="12207"/>
    <cellStyle name="Normal 2 2 4 8 3" xfId="17986"/>
    <cellStyle name="Normal 2 2 4 9" xfId="3568"/>
    <cellStyle name="Normal 2 2 4 9 2" xfId="12208"/>
    <cellStyle name="Normal 2 2 4 9 3" xfId="17987"/>
    <cellStyle name="Normal 2 2 4_LNG &amp; LPG rework" xfId="7089"/>
    <cellStyle name="Normal 2 2 5" xfId="397"/>
    <cellStyle name="Normal 2 2 5 10" xfId="3569"/>
    <cellStyle name="Normal 2 2 5 10 2" xfId="12209"/>
    <cellStyle name="Normal 2 2 5 10 3" xfId="17989"/>
    <cellStyle name="Normal 2 2 5 11" xfId="9237"/>
    <cellStyle name="Normal 2 2 5 12" xfId="17988"/>
    <cellStyle name="Normal 2 2 5 2" xfId="398"/>
    <cellStyle name="Normal 2 2 5 2 10" xfId="17990"/>
    <cellStyle name="Normal 2 2 5 2 2" xfId="399"/>
    <cellStyle name="Normal 2 2 5 2 2 2" xfId="3570"/>
    <cellStyle name="Normal 2 2 5 2 2 2 2" xfId="12210"/>
    <cellStyle name="Normal 2 2 5 2 2 2 3" xfId="17992"/>
    <cellStyle name="Normal 2 2 5 2 2 3" xfId="3571"/>
    <cellStyle name="Normal 2 2 5 2 2 3 2" xfId="12211"/>
    <cellStyle name="Normal 2 2 5 2 2 3 3" xfId="17993"/>
    <cellStyle name="Normal 2 2 5 2 2 4" xfId="3572"/>
    <cellStyle name="Normal 2 2 5 2 2 4 2" xfId="12212"/>
    <cellStyle name="Normal 2 2 5 2 2 4 3" xfId="17994"/>
    <cellStyle name="Normal 2 2 5 2 2 5" xfId="3573"/>
    <cellStyle name="Normal 2 2 5 2 2 5 2" xfId="12213"/>
    <cellStyle name="Normal 2 2 5 2 2 5 3" xfId="17995"/>
    <cellStyle name="Normal 2 2 5 2 2 6" xfId="3574"/>
    <cellStyle name="Normal 2 2 5 2 2 6 2" xfId="12214"/>
    <cellStyle name="Normal 2 2 5 2 2 6 3" xfId="17996"/>
    <cellStyle name="Normal 2 2 5 2 2 7" xfId="9239"/>
    <cellStyle name="Normal 2 2 5 2 2 8" xfId="17991"/>
    <cellStyle name="Normal 2 2 5 2 2_LNG &amp; LPG rework" xfId="7105"/>
    <cellStyle name="Normal 2 2 5 2 3" xfId="3575"/>
    <cellStyle name="Normal 2 2 5 2 3 2" xfId="3576"/>
    <cellStyle name="Normal 2 2 5 2 3 2 2" xfId="12216"/>
    <cellStyle name="Normal 2 2 5 2 3 2 3" xfId="17998"/>
    <cellStyle name="Normal 2 2 5 2 3 3" xfId="3577"/>
    <cellStyle name="Normal 2 2 5 2 3 3 2" xfId="12217"/>
    <cellStyle name="Normal 2 2 5 2 3 3 3" xfId="17999"/>
    <cellStyle name="Normal 2 2 5 2 3 4" xfId="3578"/>
    <cellStyle name="Normal 2 2 5 2 3 4 2" xfId="12218"/>
    <cellStyle name="Normal 2 2 5 2 3 4 3" xfId="18000"/>
    <cellStyle name="Normal 2 2 5 2 3 5" xfId="3579"/>
    <cellStyle name="Normal 2 2 5 2 3 5 2" xfId="12219"/>
    <cellStyle name="Normal 2 2 5 2 3 5 3" xfId="18001"/>
    <cellStyle name="Normal 2 2 5 2 3 6" xfId="12215"/>
    <cellStyle name="Normal 2 2 5 2 3 7" xfId="17997"/>
    <cellStyle name="Normal 2 2 5 2 3_LNG &amp; LPG rework" xfId="7106"/>
    <cellStyle name="Normal 2 2 5 2 4" xfId="3580"/>
    <cellStyle name="Normal 2 2 5 2 4 2" xfId="12220"/>
    <cellStyle name="Normal 2 2 5 2 4 3" xfId="18002"/>
    <cellStyle name="Normal 2 2 5 2 5" xfId="3581"/>
    <cellStyle name="Normal 2 2 5 2 5 2" xfId="12221"/>
    <cellStyle name="Normal 2 2 5 2 5 3" xfId="18003"/>
    <cellStyle name="Normal 2 2 5 2 6" xfId="3582"/>
    <cellStyle name="Normal 2 2 5 2 6 2" xfId="12222"/>
    <cellStyle name="Normal 2 2 5 2 6 3" xfId="18004"/>
    <cellStyle name="Normal 2 2 5 2 7" xfId="3583"/>
    <cellStyle name="Normal 2 2 5 2 7 2" xfId="12223"/>
    <cellStyle name="Normal 2 2 5 2 7 3" xfId="18005"/>
    <cellStyle name="Normal 2 2 5 2 8" xfId="3584"/>
    <cellStyle name="Normal 2 2 5 2 8 2" xfId="12224"/>
    <cellStyle name="Normal 2 2 5 2 8 3" xfId="18006"/>
    <cellStyle name="Normal 2 2 5 2 9" xfId="9238"/>
    <cellStyle name="Normal 2 2 5 2_LNG &amp; LPG rework" xfId="7104"/>
    <cellStyle name="Normal 2 2 5 3" xfId="400"/>
    <cellStyle name="Normal 2 2 5 3 2" xfId="3585"/>
    <cellStyle name="Normal 2 2 5 3 2 2" xfId="12225"/>
    <cellStyle name="Normal 2 2 5 3 2 3" xfId="18008"/>
    <cellStyle name="Normal 2 2 5 3 3" xfId="3586"/>
    <cellStyle name="Normal 2 2 5 3 3 2" xfId="12226"/>
    <cellStyle name="Normal 2 2 5 3 3 3" xfId="18009"/>
    <cellStyle name="Normal 2 2 5 3 4" xfId="3587"/>
    <cellStyle name="Normal 2 2 5 3 4 2" xfId="12227"/>
    <cellStyle name="Normal 2 2 5 3 4 3" xfId="18010"/>
    <cellStyle name="Normal 2 2 5 3 5" xfId="3588"/>
    <cellStyle name="Normal 2 2 5 3 5 2" xfId="12228"/>
    <cellStyle name="Normal 2 2 5 3 5 3" xfId="18011"/>
    <cellStyle name="Normal 2 2 5 3 6" xfId="3589"/>
    <cellStyle name="Normal 2 2 5 3 6 2" xfId="12229"/>
    <cellStyle name="Normal 2 2 5 3 6 3" xfId="18012"/>
    <cellStyle name="Normal 2 2 5 3 7" xfId="9240"/>
    <cellStyle name="Normal 2 2 5 3 8" xfId="18007"/>
    <cellStyle name="Normal 2 2 5 3_LNG &amp; LPG rework" xfId="7107"/>
    <cellStyle name="Normal 2 2 5 4" xfId="3590"/>
    <cellStyle name="Normal 2 2 5 4 2" xfId="3591"/>
    <cellStyle name="Normal 2 2 5 4 2 2" xfId="12231"/>
    <cellStyle name="Normal 2 2 5 4 2 3" xfId="18014"/>
    <cellStyle name="Normal 2 2 5 4 3" xfId="3592"/>
    <cellStyle name="Normal 2 2 5 4 3 2" xfId="12232"/>
    <cellStyle name="Normal 2 2 5 4 3 3" xfId="18015"/>
    <cellStyle name="Normal 2 2 5 4 4" xfId="3593"/>
    <cellStyle name="Normal 2 2 5 4 4 2" xfId="12233"/>
    <cellStyle name="Normal 2 2 5 4 4 3" xfId="18016"/>
    <cellStyle name="Normal 2 2 5 4 5" xfId="3594"/>
    <cellStyle name="Normal 2 2 5 4 5 2" xfId="12234"/>
    <cellStyle name="Normal 2 2 5 4 5 3" xfId="18017"/>
    <cellStyle name="Normal 2 2 5 4 6" xfId="12230"/>
    <cellStyle name="Normal 2 2 5 4 7" xfId="18013"/>
    <cellStyle name="Normal 2 2 5 4_LNG &amp; LPG rework" xfId="7108"/>
    <cellStyle name="Normal 2 2 5 5" xfId="3595"/>
    <cellStyle name="Normal 2 2 5 5 2" xfId="3596"/>
    <cellStyle name="Normal 2 2 5 5 2 2" xfId="12236"/>
    <cellStyle name="Normal 2 2 5 5 2 3" xfId="18019"/>
    <cellStyle name="Normal 2 2 5 5 3" xfId="3597"/>
    <cellStyle name="Normal 2 2 5 5 3 2" xfId="12237"/>
    <cellStyle name="Normal 2 2 5 5 3 3" xfId="18020"/>
    <cellStyle name="Normal 2 2 5 5 4" xfId="3598"/>
    <cellStyle name="Normal 2 2 5 5 4 2" xfId="12238"/>
    <cellStyle name="Normal 2 2 5 5 4 3" xfId="18021"/>
    <cellStyle name="Normal 2 2 5 5 5" xfId="3599"/>
    <cellStyle name="Normal 2 2 5 5 5 2" xfId="12239"/>
    <cellStyle name="Normal 2 2 5 5 5 3" xfId="18022"/>
    <cellStyle name="Normal 2 2 5 5 6" xfId="12235"/>
    <cellStyle name="Normal 2 2 5 5 7" xfId="18018"/>
    <cellStyle name="Normal 2 2 5 5_LNG &amp; LPG rework" xfId="7109"/>
    <cellStyle name="Normal 2 2 5 6" xfId="3600"/>
    <cellStyle name="Normal 2 2 5 6 2" xfId="12240"/>
    <cellStyle name="Normal 2 2 5 6 3" xfId="18023"/>
    <cellStyle name="Normal 2 2 5 7" xfId="3601"/>
    <cellStyle name="Normal 2 2 5 7 2" xfId="12241"/>
    <cellStyle name="Normal 2 2 5 7 3" xfId="18024"/>
    <cellStyle name="Normal 2 2 5 8" xfId="3602"/>
    <cellStyle name="Normal 2 2 5 8 2" xfId="12242"/>
    <cellStyle name="Normal 2 2 5 8 3" xfId="18025"/>
    <cellStyle name="Normal 2 2 5 9" xfId="3603"/>
    <cellStyle name="Normal 2 2 5 9 2" xfId="12243"/>
    <cellStyle name="Normal 2 2 5 9 3" xfId="18026"/>
    <cellStyle name="Normal 2 2 5_LNG &amp; LPG rework" xfId="7103"/>
    <cellStyle name="Normal 2 2 6" xfId="401"/>
    <cellStyle name="Normal 2 2 6 10" xfId="18027"/>
    <cellStyle name="Normal 2 2 6 2" xfId="402"/>
    <cellStyle name="Normal 2 2 6 2 2" xfId="3604"/>
    <cellStyle name="Normal 2 2 6 2 2 2" xfId="12244"/>
    <cellStyle name="Normal 2 2 6 2 2 3" xfId="18029"/>
    <cellStyle name="Normal 2 2 6 2 3" xfId="3605"/>
    <cellStyle name="Normal 2 2 6 2 3 2" xfId="12245"/>
    <cellStyle name="Normal 2 2 6 2 3 3" xfId="18030"/>
    <cellStyle name="Normal 2 2 6 2 4" xfId="3606"/>
    <cellStyle name="Normal 2 2 6 2 4 2" xfId="12246"/>
    <cellStyle name="Normal 2 2 6 2 4 3" xfId="18031"/>
    <cellStyle name="Normal 2 2 6 2 5" xfId="3607"/>
    <cellStyle name="Normal 2 2 6 2 5 2" xfId="12247"/>
    <cellStyle name="Normal 2 2 6 2 5 3" xfId="18032"/>
    <cellStyle name="Normal 2 2 6 2 6" xfId="3608"/>
    <cellStyle name="Normal 2 2 6 2 6 2" xfId="12248"/>
    <cellStyle name="Normal 2 2 6 2 6 3" xfId="18033"/>
    <cellStyle name="Normal 2 2 6 2 7" xfId="9242"/>
    <cellStyle name="Normal 2 2 6 2 8" xfId="18028"/>
    <cellStyle name="Normal 2 2 6 2_LNG &amp; LPG rework" xfId="7111"/>
    <cellStyle name="Normal 2 2 6 3" xfId="3609"/>
    <cellStyle name="Normal 2 2 6 3 2" xfId="3610"/>
    <cellStyle name="Normal 2 2 6 3 2 2" xfId="12250"/>
    <cellStyle name="Normal 2 2 6 3 2 3" xfId="18035"/>
    <cellStyle name="Normal 2 2 6 3 3" xfId="3611"/>
    <cellStyle name="Normal 2 2 6 3 3 2" xfId="12251"/>
    <cellStyle name="Normal 2 2 6 3 3 3" xfId="18036"/>
    <cellStyle name="Normal 2 2 6 3 4" xfId="3612"/>
    <cellStyle name="Normal 2 2 6 3 4 2" xfId="12252"/>
    <cellStyle name="Normal 2 2 6 3 4 3" xfId="18037"/>
    <cellStyle name="Normal 2 2 6 3 5" xfId="3613"/>
    <cellStyle name="Normal 2 2 6 3 5 2" xfId="12253"/>
    <cellStyle name="Normal 2 2 6 3 5 3" xfId="18038"/>
    <cellStyle name="Normal 2 2 6 3 6" xfId="12249"/>
    <cellStyle name="Normal 2 2 6 3 7" xfId="18034"/>
    <cellStyle name="Normal 2 2 6 3_LNG &amp; LPG rework" xfId="7112"/>
    <cellStyle name="Normal 2 2 6 4" xfId="3614"/>
    <cellStyle name="Normal 2 2 6 4 2" xfId="12254"/>
    <cellStyle name="Normal 2 2 6 4 3" xfId="18039"/>
    <cellStyle name="Normal 2 2 6 5" xfId="3615"/>
    <cellStyle name="Normal 2 2 6 5 2" xfId="12255"/>
    <cellStyle name="Normal 2 2 6 5 3" xfId="18040"/>
    <cellStyle name="Normal 2 2 6 6" xfId="3616"/>
    <cellStyle name="Normal 2 2 6 6 2" xfId="12256"/>
    <cellStyle name="Normal 2 2 6 6 3" xfId="18041"/>
    <cellStyle name="Normal 2 2 6 7" xfId="3617"/>
    <cellStyle name="Normal 2 2 6 7 2" xfId="12257"/>
    <cellStyle name="Normal 2 2 6 7 3" xfId="18042"/>
    <cellStyle name="Normal 2 2 6 8" xfId="3618"/>
    <cellStyle name="Normal 2 2 6 8 2" xfId="12258"/>
    <cellStyle name="Normal 2 2 6 8 3" xfId="18043"/>
    <cellStyle name="Normal 2 2 6 9" xfId="9241"/>
    <cellStyle name="Normal 2 2 6_LNG &amp; LPG rework" xfId="7110"/>
    <cellStyle name="Normal 2 2 7" xfId="403"/>
    <cellStyle name="Normal 2 2 7 2" xfId="3619"/>
    <cellStyle name="Normal 2 2 7 2 2" xfId="12259"/>
    <cellStyle name="Normal 2 2 7 2 3" xfId="18045"/>
    <cellStyle name="Normal 2 2 7 3" xfId="3620"/>
    <cellStyle name="Normal 2 2 7 3 2" xfId="12260"/>
    <cellStyle name="Normal 2 2 7 3 3" xfId="18046"/>
    <cellStyle name="Normal 2 2 7 4" xfId="9243"/>
    <cellStyle name="Normal 2 2 7 5" xfId="18044"/>
    <cellStyle name="Normal 2 2 7_LNG &amp; LPG rework" xfId="7113"/>
    <cellStyle name="Normal 2 2 8" xfId="371"/>
    <cellStyle name="Normal 2 2 8 2" xfId="3621"/>
    <cellStyle name="Normal 2 2 8 2 2" xfId="12261"/>
    <cellStyle name="Normal 2 2 8 2 3" xfId="18048"/>
    <cellStyle name="Normal 2 2 8 3" xfId="3622"/>
    <cellStyle name="Normal 2 2 8 3 2" xfId="12262"/>
    <cellStyle name="Normal 2 2 8 3 3" xfId="18049"/>
    <cellStyle name="Normal 2 2 8 4" xfId="3623"/>
    <cellStyle name="Normal 2 2 8 4 2" xfId="12263"/>
    <cellStyle name="Normal 2 2 8 4 3" xfId="18050"/>
    <cellStyle name="Normal 2 2 8 5" xfId="3624"/>
    <cellStyle name="Normal 2 2 8 5 2" xfId="12264"/>
    <cellStyle name="Normal 2 2 8 5 3" xfId="18051"/>
    <cellStyle name="Normal 2 2 8 6" xfId="9212"/>
    <cellStyle name="Normal 2 2 8 7" xfId="18047"/>
    <cellStyle name="Normal 2 2 8_LNG &amp; LPG rework" xfId="7114"/>
    <cellStyle name="Normal 2 2 9" xfId="3625"/>
    <cellStyle name="Normal 2 2 9 2" xfId="3626"/>
    <cellStyle name="Normal 2 2 9 2 2" xfId="12266"/>
    <cellStyle name="Normal 2 2 9 2 3" xfId="18053"/>
    <cellStyle name="Normal 2 2 9 3" xfId="3627"/>
    <cellStyle name="Normal 2 2 9 3 2" xfId="12267"/>
    <cellStyle name="Normal 2 2 9 3 3" xfId="18054"/>
    <cellStyle name="Normal 2 2 9 4" xfId="3628"/>
    <cellStyle name="Normal 2 2 9 4 2" xfId="12268"/>
    <cellStyle name="Normal 2 2 9 4 3" xfId="18055"/>
    <cellStyle name="Normal 2 2 9 5" xfId="3629"/>
    <cellStyle name="Normal 2 2 9 5 2" xfId="12269"/>
    <cellStyle name="Normal 2 2 9 5 3" xfId="18056"/>
    <cellStyle name="Normal 2 2 9 6" xfId="12265"/>
    <cellStyle name="Normal 2 2 9 7" xfId="18052"/>
    <cellStyle name="Normal 2 2 9_LNG &amp; LPG rework" xfId="7115"/>
    <cellStyle name="Normal 2 2_LNG &amp; LPG rework" xfId="7060"/>
    <cellStyle name="Normal 2 3" xfId="404"/>
    <cellStyle name="Normal 2 3 2" xfId="3630"/>
    <cellStyle name="Normal 2 3 3" xfId="3631"/>
    <cellStyle name="Normal 2 4" xfId="405"/>
    <cellStyle name="Normal 2 4 10" xfId="3632"/>
    <cellStyle name="Normal 2 4 10 2" xfId="12270"/>
    <cellStyle name="Normal 2 4 10 3" xfId="18057"/>
    <cellStyle name="Normal 2 4 11" xfId="3633"/>
    <cellStyle name="Normal 2 4 11 2" xfId="12271"/>
    <cellStyle name="Normal 2 4 11 3" xfId="18058"/>
    <cellStyle name="Normal 2 4 12" xfId="3634"/>
    <cellStyle name="Normal 2 4 12 2" xfId="12272"/>
    <cellStyle name="Normal 2 4 12 3" xfId="18059"/>
    <cellStyle name="Normal 2 4 13" xfId="7827"/>
    <cellStyle name="Normal 2 4 2" xfId="406"/>
    <cellStyle name="Normal 2 4 2 2" xfId="407"/>
    <cellStyle name="Normal 2 4 2 2 10" xfId="3635"/>
    <cellStyle name="Normal 2 4 2 2 10 2" xfId="12273"/>
    <cellStyle name="Normal 2 4 2 2 10 3" xfId="18062"/>
    <cellStyle name="Normal 2 4 2 2 11" xfId="3636"/>
    <cellStyle name="Normal 2 4 2 2 11 2" xfId="12274"/>
    <cellStyle name="Normal 2 4 2 2 11 3" xfId="18063"/>
    <cellStyle name="Normal 2 4 2 2 12" xfId="9245"/>
    <cellStyle name="Normal 2 4 2 2 13" xfId="18061"/>
    <cellStyle name="Normal 2 4 2 2 2" xfId="408"/>
    <cellStyle name="Normal 2 4 2 2 2 10" xfId="3637"/>
    <cellStyle name="Normal 2 4 2 2 2 10 2" xfId="12275"/>
    <cellStyle name="Normal 2 4 2 2 2 10 3" xfId="18065"/>
    <cellStyle name="Normal 2 4 2 2 2 11" xfId="9246"/>
    <cellStyle name="Normal 2 4 2 2 2 12" xfId="18064"/>
    <cellStyle name="Normal 2 4 2 2 2 2" xfId="409"/>
    <cellStyle name="Normal 2 4 2 2 2 2 10" xfId="18066"/>
    <cellStyle name="Normal 2 4 2 2 2 2 2" xfId="410"/>
    <cellStyle name="Normal 2 4 2 2 2 2 2 2" xfId="3638"/>
    <cellStyle name="Normal 2 4 2 2 2 2 2 2 2" xfId="12276"/>
    <cellStyle name="Normal 2 4 2 2 2 2 2 2 3" xfId="18068"/>
    <cellStyle name="Normal 2 4 2 2 2 2 2 3" xfId="3639"/>
    <cellStyle name="Normal 2 4 2 2 2 2 2 3 2" xfId="12277"/>
    <cellStyle name="Normal 2 4 2 2 2 2 2 3 3" xfId="18069"/>
    <cellStyle name="Normal 2 4 2 2 2 2 2 4" xfId="3640"/>
    <cellStyle name="Normal 2 4 2 2 2 2 2 4 2" xfId="12278"/>
    <cellStyle name="Normal 2 4 2 2 2 2 2 4 3" xfId="18070"/>
    <cellStyle name="Normal 2 4 2 2 2 2 2 5" xfId="3641"/>
    <cellStyle name="Normal 2 4 2 2 2 2 2 5 2" xfId="12279"/>
    <cellStyle name="Normal 2 4 2 2 2 2 2 5 3" xfId="18071"/>
    <cellStyle name="Normal 2 4 2 2 2 2 2 6" xfId="3642"/>
    <cellStyle name="Normal 2 4 2 2 2 2 2 6 2" xfId="12280"/>
    <cellStyle name="Normal 2 4 2 2 2 2 2 6 3" xfId="18072"/>
    <cellStyle name="Normal 2 4 2 2 2 2 2 7" xfId="9248"/>
    <cellStyle name="Normal 2 4 2 2 2 2 2 8" xfId="18067"/>
    <cellStyle name="Normal 2 4 2 2 2 2 2_LNG &amp; LPG rework" xfId="7120"/>
    <cellStyle name="Normal 2 4 2 2 2 2 3" xfId="3643"/>
    <cellStyle name="Normal 2 4 2 2 2 2 3 2" xfId="3644"/>
    <cellStyle name="Normal 2 4 2 2 2 2 3 2 2" xfId="12282"/>
    <cellStyle name="Normal 2 4 2 2 2 2 3 2 3" xfId="18074"/>
    <cellStyle name="Normal 2 4 2 2 2 2 3 3" xfId="3645"/>
    <cellStyle name="Normal 2 4 2 2 2 2 3 3 2" xfId="12283"/>
    <cellStyle name="Normal 2 4 2 2 2 2 3 3 3" xfId="18075"/>
    <cellStyle name="Normal 2 4 2 2 2 2 3 4" xfId="3646"/>
    <cellStyle name="Normal 2 4 2 2 2 2 3 4 2" xfId="12284"/>
    <cellStyle name="Normal 2 4 2 2 2 2 3 4 3" xfId="18076"/>
    <cellStyle name="Normal 2 4 2 2 2 2 3 5" xfId="3647"/>
    <cellStyle name="Normal 2 4 2 2 2 2 3 5 2" xfId="12285"/>
    <cellStyle name="Normal 2 4 2 2 2 2 3 5 3" xfId="18077"/>
    <cellStyle name="Normal 2 4 2 2 2 2 3 6" xfId="12281"/>
    <cellStyle name="Normal 2 4 2 2 2 2 3 7" xfId="18073"/>
    <cellStyle name="Normal 2 4 2 2 2 2 3_LNG &amp; LPG rework" xfId="7121"/>
    <cellStyle name="Normal 2 4 2 2 2 2 4" xfId="3648"/>
    <cellStyle name="Normal 2 4 2 2 2 2 4 2" xfId="12286"/>
    <cellStyle name="Normal 2 4 2 2 2 2 4 3" xfId="18078"/>
    <cellStyle name="Normal 2 4 2 2 2 2 5" xfId="3649"/>
    <cellStyle name="Normal 2 4 2 2 2 2 5 2" xfId="12287"/>
    <cellStyle name="Normal 2 4 2 2 2 2 5 3" xfId="18079"/>
    <cellStyle name="Normal 2 4 2 2 2 2 6" xfId="3650"/>
    <cellStyle name="Normal 2 4 2 2 2 2 6 2" xfId="12288"/>
    <cellStyle name="Normal 2 4 2 2 2 2 6 3" xfId="18080"/>
    <cellStyle name="Normal 2 4 2 2 2 2 7" xfId="3651"/>
    <cellStyle name="Normal 2 4 2 2 2 2 7 2" xfId="12289"/>
    <cellStyle name="Normal 2 4 2 2 2 2 7 3" xfId="18081"/>
    <cellStyle name="Normal 2 4 2 2 2 2 8" xfId="3652"/>
    <cellStyle name="Normal 2 4 2 2 2 2 8 2" xfId="12290"/>
    <cellStyle name="Normal 2 4 2 2 2 2 8 3" xfId="18082"/>
    <cellStyle name="Normal 2 4 2 2 2 2 9" xfId="9247"/>
    <cellStyle name="Normal 2 4 2 2 2 2_LNG &amp; LPG rework" xfId="7119"/>
    <cellStyle name="Normal 2 4 2 2 2 3" xfId="411"/>
    <cellStyle name="Normal 2 4 2 2 2 3 2" xfId="3653"/>
    <cellStyle name="Normal 2 4 2 2 2 3 2 2" xfId="12291"/>
    <cellStyle name="Normal 2 4 2 2 2 3 2 3" xfId="18084"/>
    <cellStyle name="Normal 2 4 2 2 2 3 3" xfId="3654"/>
    <cellStyle name="Normal 2 4 2 2 2 3 3 2" xfId="12292"/>
    <cellStyle name="Normal 2 4 2 2 2 3 3 3" xfId="18085"/>
    <cellStyle name="Normal 2 4 2 2 2 3 4" xfId="3655"/>
    <cellStyle name="Normal 2 4 2 2 2 3 4 2" xfId="12293"/>
    <cellStyle name="Normal 2 4 2 2 2 3 4 3" xfId="18086"/>
    <cellStyle name="Normal 2 4 2 2 2 3 5" xfId="3656"/>
    <cellStyle name="Normal 2 4 2 2 2 3 5 2" xfId="12294"/>
    <cellStyle name="Normal 2 4 2 2 2 3 5 3" xfId="18087"/>
    <cellStyle name="Normal 2 4 2 2 2 3 6" xfId="3657"/>
    <cellStyle name="Normal 2 4 2 2 2 3 6 2" xfId="12295"/>
    <cellStyle name="Normal 2 4 2 2 2 3 6 3" xfId="18088"/>
    <cellStyle name="Normal 2 4 2 2 2 3 7" xfId="9249"/>
    <cellStyle name="Normal 2 4 2 2 2 3 8" xfId="18083"/>
    <cellStyle name="Normal 2 4 2 2 2 3_LNG &amp; LPG rework" xfId="7122"/>
    <cellStyle name="Normal 2 4 2 2 2 4" xfId="3658"/>
    <cellStyle name="Normal 2 4 2 2 2 4 2" xfId="3659"/>
    <cellStyle name="Normal 2 4 2 2 2 4 2 2" xfId="12297"/>
    <cellStyle name="Normal 2 4 2 2 2 4 2 3" xfId="18090"/>
    <cellStyle name="Normal 2 4 2 2 2 4 3" xfId="3660"/>
    <cellStyle name="Normal 2 4 2 2 2 4 3 2" xfId="12298"/>
    <cellStyle name="Normal 2 4 2 2 2 4 3 3" xfId="18091"/>
    <cellStyle name="Normal 2 4 2 2 2 4 4" xfId="3661"/>
    <cellStyle name="Normal 2 4 2 2 2 4 4 2" xfId="12299"/>
    <cellStyle name="Normal 2 4 2 2 2 4 4 3" xfId="18092"/>
    <cellStyle name="Normal 2 4 2 2 2 4 5" xfId="3662"/>
    <cellStyle name="Normal 2 4 2 2 2 4 5 2" xfId="12300"/>
    <cellStyle name="Normal 2 4 2 2 2 4 5 3" xfId="18093"/>
    <cellStyle name="Normal 2 4 2 2 2 4 6" xfId="12296"/>
    <cellStyle name="Normal 2 4 2 2 2 4 7" xfId="18089"/>
    <cellStyle name="Normal 2 4 2 2 2 4_LNG &amp; LPG rework" xfId="7123"/>
    <cellStyle name="Normal 2 4 2 2 2 5" xfId="3663"/>
    <cellStyle name="Normal 2 4 2 2 2 5 2" xfId="3664"/>
    <cellStyle name="Normal 2 4 2 2 2 5 2 2" xfId="12302"/>
    <cellStyle name="Normal 2 4 2 2 2 5 2 3" xfId="18095"/>
    <cellStyle name="Normal 2 4 2 2 2 5 3" xfId="3665"/>
    <cellStyle name="Normal 2 4 2 2 2 5 3 2" xfId="12303"/>
    <cellStyle name="Normal 2 4 2 2 2 5 3 3" xfId="18096"/>
    <cellStyle name="Normal 2 4 2 2 2 5 4" xfId="3666"/>
    <cellStyle name="Normal 2 4 2 2 2 5 4 2" xfId="12304"/>
    <cellStyle name="Normal 2 4 2 2 2 5 4 3" xfId="18097"/>
    <cellStyle name="Normal 2 4 2 2 2 5 5" xfId="3667"/>
    <cellStyle name="Normal 2 4 2 2 2 5 5 2" xfId="12305"/>
    <cellStyle name="Normal 2 4 2 2 2 5 5 3" xfId="18098"/>
    <cellStyle name="Normal 2 4 2 2 2 5 6" xfId="12301"/>
    <cellStyle name="Normal 2 4 2 2 2 5 7" xfId="18094"/>
    <cellStyle name="Normal 2 4 2 2 2 5_LNG &amp; LPG rework" xfId="7124"/>
    <cellStyle name="Normal 2 4 2 2 2 6" xfId="3668"/>
    <cellStyle name="Normal 2 4 2 2 2 6 2" xfId="12306"/>
    <cellStyle name="Normal 2 4 2 2 2 6 3" xfId="18099"/>
    <cellStyle name="Normal 2 4 2 2 2 7" xfId="3669"/>
    <cellStyle name="Normal 2 4 2 2 2 7 2" xfId="12307"/>
    <cellStyle name="Normal 2 4 2 2 2 7 3" xfId="18100"/>
    <cellStyle name="Normal 2 4 2 2 2 8" xfId="3670"/>
    <cellStyle name="Normal 2 4 2 2 2 8 2" xfId="12308"/>
    <cellStyle name="Normal 2 4 2 2 2 8 3" xfId="18101"/>
    <cellStyle name="Normal 2 4 2 2 2 9" xfId="3671"/>
    <cellStyle name="Normal 2 4 2 2 2 9 2" xfId="12309"/>
    <cellStyle name="Normal 2 4 2 2 2 9 3" xfId="18102"/>
    <cellStyle name="Normal 2 4 2 2 2_LNG &amp; LPG rework" xfId="7118"/>
    <cellStyle name="Normal 2 4 2 2 3" xfId="412"/>
    <cellStyle name="Normal 2 4 2 2 3 10" xfId="18103"/>
    <cellStyle name="Normal 2 4 2 2 3 2" xfId="413"/>
    <cellStyle name="Normal 2 4 2 2 3 2 2" xfId="3672"/>
    <cellStyle name="Normal 2 4 2 2 3 2 2 2" xfId="12310"/>
    <cellStyle name="Normal 2 4 2 2 3 2 2 3" xfId="18105"/>
    <cellStyle name="Normal 2 4 2 2 3 2 3" xfId="3673"/>
    <cellStyle name="Normal 2 4 2 2 3 2 3 2" xfId="12311"/>
    <cellStyle name="Normal 2 4 2 2 3 2 3 3" xfId="18106"/>
    <cellStyle name="Normal 2 4 2 2 3 2 4" xfId="3674"/>
    <cellStyle name="Normal 2 4 2 2 3 2 4 2" xfId="12312"/>
    <cellStyle name="Normal 2 4 2 2 3 2 4 3" xfId="18107"/>
    <cellStyle name="Normal 2 4 2 2 3 2 5" xfId="3675"/>
    <cellStyle name="Normal 2 4 2 2 3 2 5 2" xfId="12313"/>
    <cellStyle name="Normal 2 4 2 2 3 2 5 3" xfId="18108"/>
    <cellStyle name="Normal 2 4 2 2 3 2 6" xfId="3676"/>
    <cellStyle name="Normal 2 4 2 2 3 2 6 2" xfId="12314"/>
    <cellStyle name="Normal 2 4 2 2 3 2 6 3" xfId="18109"/>
    <cellStyle name="Normal 2 4 2 2 3 2 7" xfId="9251"/>
    <cellStyle name="Normal 2 4 2 2 3 2 8" xfId="18104"/>
    <cellStyle name="Normal 2 4 2 2 3 2_LNG &amp; LPG rework" xfId="7126"/>
    <cellStyle name="Normal 2 4 2 2 3 3" xfId="3677"/>
    <cellStyle name="Normal 2 4 2 2 3 3 2" xfId="3678"/>
    <cellStyle name="Normal 2 4 2 2 3 3 2 2" xfId="12316"/>
    <cellStyle name="Normal 2 4 2 2 3 3 2 3" xfId="18111"/>
    <cellStyle name="Normal 2 4 2 2 3 3 3" xfId="3679"/>
    <cellStyle name="Normal 2 4 2 2 3 3 3 2" xfId="12317"/>
    <cellStyle name="Normal 2 4 2 2 3 3 3 3" xfId="18112"/>
    <cellStyle name="Normal 2 4 2 2 3 3 4" xfId="3680"/>
    <cellStyle name="Normal 2 4 2 2 3 3 4 2" xfId="12318"/>
    <cellStyle name="Normal 2 4 2 2 3 3 4 3" xfId="18113"/>
    <cellStyle name="Normal 2 4 2 2 3 3 5" xfId="3681"/>
    <cellStyle name="Normal 2 4 2 2 3 3 5 2" xfId="12319"/>
    <cellStyle name="Normal 2 4 2 2 3 3 5 3" xfId="18114"/>
    <cellStyle name="Normal 2 4 2 2 3 3 6" xfId="12315"/>
    <cellStyle name="Normal 2 4 2 2 3 3 7" xfId="18110"/>
    <cellStyle name="Normal 2 4 2 2 3 3_LNG &amp; LPG rework" xfId="7127"/>
    <cellStyle name="Normal 2 4 2 2 3 4" xfId="3682"/>
    <cellStyle name="Normal 2 4 2 2 3 4 2" xfId="12320"/>
    <cellStyle name="Normal 2 4 2 2 3 4 3" xfId="18115"/>
    <cellStyle name="Normal 2 4 2 2 3 5" xfId="3683"/>
    <cellStyle name="Normal 2 4 2 2 3 5 2" xfId="12321"/>
    <cellStyle name="Normal 2 4 2 2 3 5 3" xfId="18116"/>
    <cellStyle name="Normal 2 4 2 2 3 6" xfId="3684"/>
    <cellStyle name="Normal 2 4 2 2 3 6 2" xfId="12322"/>
    <cellStyle name="Normal 2 4 2 2 3 6 3" xfId="18117"/>
    <cellStyle name="Normal 2 4 2 2 3 7" xfId="3685"/>
    <cellStyle name="Normal 2 4 2 2 3 7 2" xfId="12323"/>
    <cellStyle name="Normal 2 4 2 2 3 7 3" xfId="18118"/>
    <cellStyle name="Normal 2 4 2 2 3 8" xfId="3686"/>
    <cellStyle name="Normal 2 4 2 2 3 8 2" xfId="12324"/>
    <cellStyle name="Normal 2 4 2 2 3 8 3" xfId="18119"/>
    <cellStyle name="Normal 2 4 2 2 3 9" xfId="9250"/>
    <cellStyle name="Normal 2 4 2 2 3_LNG &amp; LPG rework" xfId="7125"/>
    <cellStyle name="Normal 2 4 2 2 4" xfId="414"/>
    <cellStyle name="Normal 2 4 2 2 4 2" xfId="3687"/>
    <cellStyle name="Normal 2 4 2 2 4 2 2" xfId="12325"/>
    <cellStyle name="Normal 2 4 2 2 4 2 3" xfId="18121"/>
    <cellStyle name="Normal 2 4 2 2 4 3" xfId="3688"/>
    <cellStyle name="Normal 2 4 2 2 4 3 2" xfId="12326"/>
    <cellStyle name="Normal 2 4 2 2 4 3 3" xfId="18122"/>
    <cellStyle name="Normal 2 4 2 2 4 4" xfId="3689"/>
    <cellStyle name="Normal 2 4 2 2 4 4 2" xfId="12327"/>
    <cellStyle name="Normal 2 4 2 2 4 4 3" xfId="18123"/>
    <cellStyle name="Normal 2 4 2 2 4 5" xfId="3690"/>
    <cellStyle name="Normal 2 4 2 2 4 5 2" xfId="12328"/>
    <cellStyle name="Normal 2 4 2 2 4 5 3" xfId="18124"/>
    <cellStyle name="Normal 2 4 2 2 4 6" xfId="3691"/>
    <cellStyle name="Normal 2 4 2 2 4 6 2" xfId="12329"/>
    <cellStyle name="Normal 2 4 2 2 4 6 3" xfId="18125"/>
    <cellStyle name="Normal 2 4 2 2 4 7" xfId="9252"/>
    <cellStyle name="Normal 2 4 2 2 4 8" xfId="18120"/>
    <cellStyle name="Normal 2 4 2 2 4_LNG &amp; LPG rework" xfId="7128"/>
    <cellStyle name="Normal 2 4 2 2 5" xfId="3692"/>
    <cellStyle name="Normal 2 4 2 2 5 2" xfId="3693"/>
    <cellStyle name="Normal 2 4 2 2 5 2 2" xfId="12331"/>
    <cellStyle name="Normal 2 4 2 2 5 2 3" xfId="18127"/>
    <cellStyle name="Normal 2 4 2 2 5 3" xfId="3694"/>
    <cellStyle name="Normal 2 4 2 2 5 3 2" xfId="12332"/>
    <cellStyle name="Normal 2 4 2 2 5 3 3" xfId="18128"/>
    <cellStyle name="Normal 2 4 2 2 5 4" xfId="3695"/>
    <cellStyle name="Normal 2 4 2 2 5 4 2" xfId="12333"/>
    <cellStyle name="Normal 2 4 2 2 5 4 3" xfId="18129"/>
    <cellStyle name="Normal 2 4 2 2 5 5" xfId="3696"/>
    <cellStyle name="Normal 2 4 2 2 5 5 2" xfId="12334"/>
    <cellStyle name="Normal 2 4 2 2 5 5 3" xfId="18130"/>
    <cellStyle name="Normal 2 4 2 2 5 6" xfId="12330"/>
    <cellStyle name="Normal 2 4 2 2 5 7" xfId="18126"/>
    <cellStyle name="Normal 2 4 2 2 5_LNG &amp; LPG rework" xfId="7129"/>
    <cellStyle name="Normal 2 4 2 2 6" xfId="3697"/>
    <cellStyle name="Normal 2 4 2 2 6 2" xfId="3698"/>
    <cellStyle name="Normal 2 4 2 2 6 2 2" xfId="12336"/>
    <cellStyle name="Normal 2 4 2 2 6 2 3" xfId="18132"/>
    <cellStyle name="Normal 2 4 2 2 6 3" xfId="3699"/>
    <cellStyle name="Normal 2 4 2 2 6 3 2" xfId="12337"/>
    <cellStyle name="Normal 2 4 2 2 6 3 3" xfId="18133"/>
    <cellStyle name="Normal 2 4 2 2 6 4" xfId="3700"/>
    <cellStyle name="Normal 2 4 2 2 6 4 2" xfId="12338"/>
    <cellStyle name="Normal 2 4 2 2 6 4 3" xfId="18134"/>
    <cellStyle name="Normal 2 4 2 2 6 5" xfId="3701"/>
    <cellStyle name="Normal 2 4 2 2 6 5 2" xfId="12339"/>
    <cellStyle name="Normal 2 4 2 2 6 5 3" xfId="18135"/>
    <cellStyle name="Normal 2 4 2 2 6 6" xfId="12335"/>
    <cellStyle name="Normal 2 4 2 2 6 7" xfId="18131"/>
    <cellStyle name="Normal 2 4 2 2 6_LNG &amp; LPG rework" xfId="7130"/>
    <cellStyle name="Normal 2 4 2 2 7" xfId="3702"/>
    <cellStyle name="Normal 2 4 2 2 7 2" xfId="12340"/>
    <cellStyle name="Normal 2 4 2 2 7 3" xfId="18136"/>
    <cellStyle name="Normal 2 4 2 2 8" xfId="3703"/>
    <cellStyle name="Normal 2 4 2 2 8 2" xfId="12341"/>
    <cellStyle name="Normal 2 4 2 2 8 3" xfId="18137"/>
    <cellStyle name="Normal 2 4 2 2 9" xfId="3704"/>
    <cellStyle name="Normal 2 4 2 2 9 2" xfId="12342"/>
    <cellStyle name="Normal 2 4 2 2 9 3" xfId="18138"/>
    <cellStyle name="Normal 2 4 2 2_LNG &amp; LPG rework" xfId="7117"/>
    <cellStyle name="Normal 2 4 2 3" xfId="415"/>
    <cellStyle name="Normal 2 4 2 3 10" xfId="3705"/>
    <cellStyle name="Normal 2 4 2 3 10 2" xfId="12343"/>
    <cellStyle name="Normal 2 4 2 3 10 3" xfId="18140"/>
    <cellStyle name="Normal 2 4 2 3 11" xfId="9253"/>
    <cellStyle name="Normal 2 4 2 3 12" xfId="18139"/>
    <cellStyle name="Normal 2 4 2 3 2" xfId="416"/>
    <cellStyle name="Normal 2 4 2 3 2 10" xfId="18141"/>
    <cellStyle name="Normal 2 4 2 3 2 2" xfId="417"/>
    <cellStyle name="Normal 2 4 2 3 2 2 2" xfId="3706"/>
    <cellStyle name="Normal 2 4 2 3 2 2 2 2" xfId="12344"/>
    <cellStyle name="Normal 2 4 2 3 2 2 2 3" xfId="18143"/>
    <cellStyle name="Normal 2 4 2 3 2 2 3" xfId="3707"/>
    <cellStyle name="Normal 2 4 2 3 2 2 3 2" xfId="12345"/>
    <cellStyle name="Normal 2 4 2 3 2 2 3 3" xfId="18144"/>
    <cellStyle name="Normal 2 4 2 3 2 2 4" xfId="3708"/>
    <cellStyle name="Normal 2 4 2 3 2 2 4 2" xfId="12346"/>
    <cellStyle name="Normal 2 4 2 3 2 2 4 3" xfId="18145"/>
    <cellStyle name="Normal 2 4 2 3 2 2 5" xfId="3709"/>
    <cellStyle name="Normal 2 4 2 3 2 2 5 2" xfId="12347"/>
    <cellStyle name="Normal 2 4 2 3 2 2 5 3" xfId="18146"/>
    <cellStyle name="Normal 2 4 2 3 2 2 6" xfId="3710"/>
    <cellStyle name="Normal 2 4 2 3 2 2 6 2" xfId="12348"/>
    <cellStyle name="Normal 2 4 2 3 2 2 6 3" xfId="18147"/>
    <cellStyle name="Normal 2 4 2 3 2 2 7" xfId="9255"/>
    <cellStyle name="Normal 2 4 2 3 2 2 8" xfId="18142"/>
    <cellStyle name="Normal 2 4 2 3 2 2_LNG &amp; LPG rework" xfId="7133"/>
    <cellStyle name="Normal 2 4 2 3 2 3" xfId="3711"/>
    <cellStyle name="Normal 2 4 2 3 2 3 2" xfId="3712"/>
    <cellStyle name="Normal 2 4 2 3 2 3 2 2" xfId="12350"/>
    <cellStyle name="Normal 2 4 2 3 2 3 2 3" xfId="18149"/>
    <cellStyle name="Normal 2 4 2 3 2 3 3" xfId="3713"/>
    <cellStyle name="Normal 2 4 2 3 2 3 3 2" xfId="12351"/>
    <cellStyle name="Normal 2 4 2 3 2 3 3 3" xfId="18150"/>
    <cellStyle name="Normal 2 4 2 3 2 3 4" xfId="3714"/>
    <cellStyle name="Normal 2 4 2 3 2 3 4 2" xfId="12352"/>
    <cellStyle name="Normal 2 4 2 3 2 3 4 3" xfId="18151"/>
    <cellStyle name="Normal 2 4 2 3 2 3 5" xfId="3715"/>
    <cellStyle name="Normal 2 4 2 3 2 3 5 2" xfId="12353"/>
    <cellStyle name="Normal 2 4 2 3 2 3 5 3" xfId="18152"/>
    <cellStyle name="Normal 2 4 2 3 2 3 6" xfId="12349"/>
    <cellStyle name="Normal 2 4 2 3 2 3 7" xfId="18148"/>
    <cellStyle name="Normal 2 4 2 3 2 3_LNG &amp; LPG rework" xfId="7134"/>
    <cellStyle name="Normal 2 4 2 3 2 4" xfId="3716"/>
    <cellStyle name="Normal 2 4 2 3 2 4 2" xfId="12354"/>
    <cellStyle name="Normal 2 4 2 3 2 4 3" xfId="18153"/>
    <cellStyle name="Normal 2 4 2 3 2 5" xfId="3717"/>
    <cellStyle name="Normal 2 4 2 3 2 5 2" xfId="12355"/>
    <cellStyle name="Normal 2 4 2 3 2 5 3" xfId="18154"/>
    <cellStyle name="Normal 2 4 2 3 2 6" xfId="3718"/>
    <cellStyle name="Normal 2 4 2 3 2 6 2" xfId="12356"/>
    <cellStyle name="Normal 2 4 2 3 2 6 3" xfId="18155"/>
    <cellStyle name="Normal 2 4 2 3 2 7" xfId="3719"/>
    <cellStyle name="Normal 2 4 2 3 2 7 2" xfId="12357"/>
    <cellStyle name="Normal 2 4 2 3 2 7 3" xfId="18156"/>
    <cellStyle name="Normal 2 4 2 3 2 8" xfId="3720"/>
    <cellStyle name="Normal 2 4 2 3 2 8 2" xfId="12358"/>
    <cellStyle name="Normal 2 4 2 3 2 8 3" xfId="18157"/>
    <cellStyle name="Normal 2 4 2 3 2 9" xfId="9254"/>
    <cellStyle name="Normal 2 4 2 3 2_LNG &amp; LPG rework" xfId="7132"/>
    <cellStyle name="Normal 2 4 2 3 3" xfId="418"/>
    <cellStyle name="Normal 2 4 2 3 3 2" xfId="3721"/>
    <cellStyle name="Normal 2 4 2 3 3 2 2" xfId="12359"/>
    <cellStyle name="Normal 2 4 2 3 3 2 3" xfId="18159"/>
    <cellStyle name="Normal 2 4 2 3 3 3" xfId="3722"/>
    <cellStyle name="Normal 2 4 2 3 3 3 2" xfId="12360"/>
    <cellStyle name="Normal 2 4 2 3 3 3 3" xfId="18160"/>
    <cellStyle name="Normal 2 4 2 3 3 4" xfId="3723"/>
    <cellStyle name="Normal 2 4 2 3 3 4 2" xfId="12361"/>
    <cellStyle name="Normal 2 4 2 3 3 4 3" xfId="18161"/>
    <cellStyle name="Normal 2 4 2 3 3 5" xfId="3724"/>
    <cellStyle name="Normal 2 4 2 3 3 5 2" xfId="12362"/>
    <cellStyle name="Normal 2 4 2 3 3 5 3" xfId="18162"/>
    <cellStyle name="Normal 2 4 2 3 3 6" xfId="3725"/>
    <cellStyle name="Normal 2 4 2 3 3 6 2" xfId="12363"/>
    <cellStyle name="Normal 2 4 2 3 3 6 3" xfId="18163"/>
    <cellStyle name="Normal 2 4 2 3 3 7" xfId="9256"/>
    <cellStyle name="Normal 2 4 2 3 3 8" xfId="18158"/>
    <cellStyle name="Normal 2 4 2 3 3_LNG &amp; LPG rework" xfId="7135"/>
    <cellStyle name="Normal 2 4 2 3 4" xfId="3726"/>
    <cellStyle name="Normal 2 4 2 3 4 2" xfId="3727"/>
    <cellStyle name="Normal 2 4 2 3 4 2 2" xfId="12365"/>
    <cellStyle name="Normal 2 4 2 3 4 2 3" xfId="18165"/>
    <cellStyle name="Normal 2 4 2 3 4 3" xfId="3728"/>
    <cellStyle name="Normal 2 4 2 3 4 3 2" xfId="12366"/>
    <cellStyle name="Normal 2 4 2 3 4 3 3" xfId="18166"/>
    <cellStyle name="Normal 2 4 2 3 4 4" xfId="3729"/>
    <cellStyle name="Normal 2 4 2 3 4 4 2" xfId="12367"/>
    <cellStyle name="Normal 2 4 2 3 4 4 3" xfId="18167"/>
    <cellStyle name="Normal 2 4 2 3 4 5" xfId="3730"/>
    <cellStyle name="Normal 2 4 2 3 4 5 2" xfId="12368"/>
    <cellStyle name="Normal 2 4 2 3 4 5 3" xfId="18168"/>
    <cellStyle name="Normal 2 4 2 3 4 6" xfId="12364"/>
    <cellStyle name="Normal 2 4 2 3 4 7" xfId="18164"/>
    <cellStyle name="Normal 2 4 2 3 4_LNG &amp; LPG rework" xfId="7136"/>
    <cellStyle name="Normal 2 4 2 3 5" xfId="3731"/>
    <cellStyle name="Normal 2 4 2 3 5 2" xfId="3732"/>
    <cellStyle name="Normal 2 4 2 3 5 2 2" xfId="12370"/>
    <cellStyle name="Normal 2 4 2 3 5 2 3" xfId="18170"/>
    <cellStyle name="Normal 2 4 2 3 5 3" xfId="3733"/>
    <cellStyle name="Normal 2 4 2 3 5 3 2" xfId="12371"/>
    <cellStyle name="Normal 2 4 2 3 5 3 3" xfId="18171"/>
    <cellStyle name="Normal 2 4 2 3 5 4" xfId="3734"/>
    <cellStyle name="Normal 2 4 2 3 5 4 2" xfId="12372"/>
    <cellStyle name="Normal 2 4 2 3 5 4 3" xfId="18172"/>
    <cellStyle name="Normal 2 4 2 3 5 5" xfId="3735"/>
    <cellStyle name="Normal 2 4 2 3 5 5 2" xfId="12373"/>
    <cellStyle name="Normal 2 4 2 3 5 5 3" xfId="18173"/>
    <cellStyle name="Normal 2 4 2 3 5 6" xfId="12369"/>
    <cellStyle name="Normal 2 4 2 3 5 7" xfId="18169"/>
    <cellStyle name="Normal 2 4 2 3 5_LNG &amp; LPG rework" xfId="7137"/>
    <cellStyle name="Normal 2 4 2 3 6" xfId="3736"/>
    <cellStyle name="Normal 2 4 2 3 6 2" xfId="12374"/>
    <cellStyle name="Normal 2 4 2 3 6 3" xfId="18174"/>
    <cellStyle name="Normal 2 4 2 3 7" xfId="3737"/>
    <cellStyle name="Normal 2 4 2 3 7 2" xfId="12375"/>
    <cellStyle name="Normal 2 4 2 3 7 3" xfId="18175"/>
    <cellStyle name="Normal 2 4 2 3 8" xfId="3738"/>
    <cellStyle name="Normal 2 4 2 3 8 2" xfId="12376"/>
    <cellStyle name="Normal 2 4 2 3 8 3" xfId="18176"/>
    <cellStyle name="Normal 2 4 2 3 9" xfId="3739"/>
    <cellStyle name="Normal 2 4 2 3 9 2" xfId="12377"/>
    <cellStyle name="Normal 2 4 2 3 9 3" xfId="18177"/>
    <cellStyle name="Normal 2 4 2 3_LNG &amp; LPG rework" xfId="7131"/>
    <cellStyle name="Normal 2 4 2 4" xfId="419"/>
    <cellStyle name="Normal 2 4 2 4 10" xfId="18178"/>
    <cellStyle name="Normal 2 4 2 4 2" xfId="420"/>
    <cellStyle name="Normal 2 4 2 4 2 2" xfId="3740"/>
    <cellStyle name="Normal 2 4 2 4 2 2 2" xfId="12378"/>
    <cellStyle name="Normal 2 4 2 4 2 2 3" xfId="18180"/>
    <cellStyle name="Normal 2 4 2 4 2 3" xfId="3741"/>
    <cellStyle name="Normal 2 4 2 4 2 3 2" xfId="12379"/>
    <cellStyle name="Normal 2 4 2 4 2 3 3" xfId="18181"/>
    <cellStyle name="Normal 2 4 2 4 2 4" xfId="3742"/>
    <cellStyle name="Normal 2 4 2 4 2 4 2" xfId="12380"/>
    <cellStyle name="Normal 2 4 2 4 2 4 3" xfId="18182"/>
    <cellStyle name="Normal 2 4 2 4 2 5" xfId="3743"/>
    <cellStyle name="Normal 2 4 2 4 2 5 2" xfId="12381"/>
    <cellStyle name="Normal 2 4 2 4 2 5 3" xfId="18183"/>
    <cellStyle name="Normal 2 4 2 4 2 6" xfId="3744"/>
    <cellStyle name="Normal 2 4 2 4 2 6 2" xfId="12382"/>
    <cellStyle name="Normal 2 4 2 4 2 6 3" xfId="18184"/>
    <cellStyle name="Normal 2 4 2 4 2 7" xfId="9258"/>
    <cellStyle name="Normal 2 4 2 4 2 8" xfId="18179"/>
    <cellStyle name="Normal 2 4 2 4 2_LNG &amp; LPG rework" xfId="7139"/>
    <cellStyle name="Normal 2 4 2 4 3" xfId="3745"/>
    <cellStyle name="Normal 2 4 2 4 3 2" xfId="3746"/>
    <cellStyle name="Normal 2 4 2 4 3 2 2" xfId="12384"/>
    <cellStyle name="Normal 2 4 2 4 3 2 3" xfId="18186"/>
    <cellStyle name="Normal 2 4 2 4 3 3" xfId="3747"/>
    <cellStyle name="Normal 2 4 2 4 3 3 2" xfId="12385"/>
    <cellStyle name="Normal 2 4 2 4 3 3 3" xfId="18187"/>
    <cellStyle name="Normal 2 4 2 4 3 4" xfId="3748"/>
    <cellStyle name="Normal 2 4 2 4 3 4 2" xfId="12386"/>
    <cellStyle name="Normal 2 4 2 4 3 4 3" xfId="18188"/>
    <cellStyle name="Normal 2 4 2 4 3 5" xfId="3749"/>
    <cellStyle name="Normal 2 4 2 4 3 5 2" xfId="12387"/>
    <cellStyle name="Normal 2 4 2 4 3 5 3" xfId="18189"/>
    <cellStyle name="Normal 2 4 2 4 3 6" xfId="12383"/>
    <cellStyle name="Normal 2 4 2 4 3 7" xfId="18185"/>
    <cellStyle name="Normal 2 4 2 4 3_LNG &amp; LPG rework" xfId="7140"/>
    <cellStyle name="Normal 2 4 2 4 4" xfId="3750"/>
    <cellStyle name="Normal 2 4 2 4 4 2" xfId="12388"/>
    <cellStyle name="Normal 2 4 2 4 4 3" xfId="18190"/>
    <cellStyle name="Normal 2 4 2 4 5" xfId="3751"/>
    <cellStyle name="Normal 2 4 2 4 5 2" xfId="12389"/>
    <cellStyle name="Normal 2 4 2 4 5 3" xfId="18191"/>
    <cellStyle name="Normal 2 4 2 4 6" xfId="3752"/>
    <cellStyle name="Normal 2 4 2 4 6 2" xfId="12390"/>
    <cellStyle name="Normal 2 4 2 4 6 3" xfId="18192"/>
    <cellStyle name="Normal 2 4 2 4 7" xfId="3753"/>
    <cellStyle name="Normal 2 4 2 4 7 2" xfId="12391"/>
    <cellStyle name="Normal 2 4 2 4 7 3" xfId="18193"/>
    <cellStyle name="Normal 2 4 2 4 8" xfId="3754"/>
    <cellStyle name="Normal 2 4 2 4 8 2" xfId="12392"/>
    <cellStyle name="Normal 2 4 2 4 8 3" xfId="18194"/>
    <cellStyle name="Normal 2 4 2 4 9" xfId="9257"/>
    <cellStyle name="Normal 2 4 2 4_LNG &amp; LPG rework" xfId="7138"/>
    <cellStyle name="Normal 2 4 2 5" xfId="421"/>
    <cellStyle name="Normal 2 4 2 5 2" xfId="3755"/>
    <cellStyle name="Normal 2 4 2 5 2 2" xfId="12393"/>
    <cellStyle name="Normal 2 4 2 5 2 3" xfId="18196"/>
    <cellStyle name="Normal 2 4 2 5 3" xfId="3756"/>
    <cellStyle name="Normal 2 4 2 5 3 2" xfId="12394"/>
    <cellStyle name="Normal 2 4 2 5 3 3" xfId="18197"/>
    <cellStyle name="Normal 2 4 2 5 4" xfId="3757"/>
    <cellStyle name="Normal 2 4 2 5 4 2" xfId="12395"/>
    <cellStyle name="Normal 2 4 2 5 4 3" xfId="18198"/>
    <cellStyle name="Normal 2 4 2 5 5" xfId="3758"/>
    <cellStyle name="Normal 2 4 2 5 5 2" xfId="12396"/>
    <cellStyle name="Normal 2 4 2 5 5 3" xfId="18199"/>
    <cellStyle name="Normal 2 4 2 5 6" xfId="3759"/>
    <cellStyle name="Normal 2 4 2 5 6 2" xfId="12397"/>
    <cellStyle name="Normal 2 4 2 5 6 3" xfId="18200"/>
    <cellStyle name="Normal 2 4 2 5 7" xfId="9259"/>
    <cellStyle name="Normal 2 4 2 5 8" xfId="18195"/>
    <cellStyle name="Normal 2 4 2 5_LNG &amp; LPG rework" xfId="7141"/>
    <cellStyle name="Normal 2 4 2 6" xfId="3760"/>
    <cellStyle name="Normal 2 4 2 6 2" xfId="12398"/>
    <cellStyle name="Normal 2 4 2 6 3" xfId="18201"/>
    <cellStyle name="Normal 2 4 2 7" xfId="9244"/>
    <cellStyle name="Normal 2 4 2 8" xfId="18060"/>
    <cellStyle name="Normal 2 4 2_LNG &amp; LPG rework" xfId="7116"/>
    <cellStyle name="Normal 2 4 3" xfId="422"/>
    <cellStyle name="Normal 2 4 3 10" xfId="3761"/>
    <cellStyle name="Normal 2 4 3 10 2" xfId="12399"/>
    <cellStyle name="Normal 2 4 3 10 3" xfId="18203"/>
    <cellStyle name="Normal 2 4 3 11" xfId="3762"/>
    <cellStyle name="Normal 2 4 3 11 2" xfId="12400"/>
    <cellStyle name="Normal 2 4 3 11 3" xfId="18204"/>
    <cellStyle name="Normal 2 4 3 12" xfId="9260"/>
    <cellStyle name="Normal 2 4 3 13" xfId="18202"/>
    <cellStyle name="Normal 2 4 3 2" xfId="423"/>
    <cellStyle name="Normal 2 4 3 2 10" xfId="3763"/>
    <cellStyle name="Normal 2 4 3 2 10 2" xfId="12401"/>
    <cellStyle name="Normal 2 4 3 2 10 3" xfId="18206"/>
    <cellStyle name="Normal 2 4 3 2 11" xfId="9261"/>
    <cellStyle name="Normal 2 4 3 2 12" xfId="18205"/>
    <cellStyle name="Normal 2 4 3 2 2" xfId="424"/>
    <cellStyle name="Normal 2 4 3 2 2 10" xfId="18207"/>
    <cellStyle name="Normal 2 4 3 2 2 2" xfId="425"/>
    <cellStyle name="Normal 2 4 3 2 2 2 2" xfId="3764"/>
    <cellStyle name="Normal 2 4 3 2 2 2 2 2" xfId="12402"/>
    <cellStyle name="Normal 2 4 3 2 2 2 2 3" xfId="18209"/>
    <cellStyle name="Normal 2 4 3 2 2 2 3" xfId="3765"/>
    <cellStyle name="Normal 2 4 3 2 2 2 3 2" xfId="12403"/>
    <cellStyle name="Normal 2 4 3 2 2 2 3 3" xfId="18210"/>
    <cellStyle name="Normal 2 4 3 2 2 2 4" xfId="3766"/>
    <cellStyle name="Normal 2 4 3 2 2 2 4 2" xfId="12404"/>
    <cellStyle name="Normal 2 4 3 2 2 2 4 3" xfId="18211"/>
    <cellStyle name="Normal 2 4 3 2 2 2 5" xfId="3767"/>
    <cellStyle name="Normal 2 4 3 2 2 2 5 2" xfId="12405"/>
    <cellStyle name="Normal 2 4 3 2 2 2 5 3" xfId="18212"/>
    <cellStyle name="Normal 2 4 3 2 2 2 6" xfId="3768"/>
    <cellStyle name="Normal 2 4 3 2 2 2 6 2" xfId="12406"/>
    <cellStyle name="Normal 2 4 3 2 2 2 6 3" xfId="18213"/>
    <cellStyle name="Normal 2 4 3 2 2 2 7" xfId="9263"/>
    <cellStyle name="Normal 2 4 3 2 2 2 8" xfId="18208"/>
    <cellStyle name="Normal 2 4 3 2 2 2_LNG &amp; LPG rework" xfId="7145"/>
    <cellStyle name="Normal 2 4 3 2 2 3" xfId="3769"/>
    <cellStyle name="Normal 2 4 3 2 2 3 2" xfId="3770"/>
    <cellStyle name="Normal 2 4 3 2 2 3 2 2" xfId="12408"/>
    <cellStyle name="Normal 2 4 3 2 2 3 2 3" xfId="18215"/>
    <cellStyle name="Normal 2 4 3 2 2 3 3" xfId="3771"/>
    <cellStyle name="Normal 2 4 3 2 2 3 3 2" xfId="12409"/>
    <cellStyle name="Normal 2 4 3 2 2 3 3 3" xfId="18216"/>
    <cellStyle name="Normal 2 4 3 2 2 3 4" xfId="3772"/>
    <cellStyle name="Normal 2 4 3 2 2 3 4 2" xfId="12410"/>
    <cellStyle name="Normal 2 4 3 2 2 3 4 3" xfId="18217"/>
    <cellStyle name="Normal 2 4 3 2 2 3 5" xfId="3773"/>
    <cellStyle name="Normal 2 4 3 2 2 3 5 2" xfId="12411"/>
    <cellStyle name="Normal 2 4 3 2 2 3 5 3" xfId="18218"/>
    <cellStyle name="Normal 2 4 3 2 2 3 6" xfId="12407"/>
    <cellStyle name="Normal 2 4 3 2 2 3 7" xfId="18214"/>
    <cellStyle name="Normal 2 4 3 2 2 3_LNG &amp; LPG rework" xfId="7146"/>
    <cellStyle name="Normal 2 4 3 2 2 4" xfId="3774"/>
    <cellStyle name="Normal 2 4 3 2 2 4 2" xfId="12412"/>
    <cellStyle name="Normal 2 4 3 2 2 4 3" xfId="18219"/>
    <cellStyle name="Normal 2 4 3 2 2 5" xfId="3775"/>
    <cellStyle name="Normal 2 4 3 2 2 5 2" xfId="12413"/>
    <cellStyle name="Normal 2 4 3 2 2 5 3" xfId="18220"/>
    <cellStyle name="Normal 2 4 3 2 2 6" xfId="3776"/>
    <cellStyle name="Normal 2 4 3 2 2 6 2" xfId="12414"/>
    <cellStyle name="Normal 2 4 3 2 2 6 3" xfId="18221"/>
    <cellStyle name="Normal 2 4 3 2 2 7" xfId="3777"/>
    <cellStyle name="Normal 2 4 3 2 2 7 2" xfId="12415"/>
    <cellStyle name="Normal 2 4 3 2 2 7 3" xfId="18222"/>
    <cellStyle name="Normal 2 4 3 2 2 8" xfId="3778"/>
    <cellStyle name="Normal 2 4 3 2 2 8 2" xfId="12416"/>
    <cellStyle name="Normal 2 4 3 2 2 8 3" xfId="18223"/>
    <cellStyle name="Normal 2 4 3 2 2 9" xfId="9262"/>
    <cellStyle name="Normal 2 4 3 2 2_LNG &amp; LPG rework" xfId="7144"/>
    <cellStyle name="Normal 2 4 3 2 3" xfId="426"/>
    <cellStyle name="Normal 2 4 3 2 3 2" xfId="3779"/>
    <cellStyle name="Normal 2 4 3 2 3 2 2" xfId="12417"/>
    <cellStyle name="Normal 2 4 3 2 3 2 3" xfId="18225"/>
    <cellStyle name="Normal 2 4 3 2 3 3" xfId="3780"/>
    <cellStyle name="Normal 2 4 3 2 3 3 2" xfId="12418"/>
    <cellStyle name="Normal 2 4 3 2 3 3 3" xfId="18226"/>
    <cellStyle name="Normal 2 4 3 2 3 4" xfId="3781"/>
    <cellStyle name="Normal 2 4 3 2 3 4 2" xfId="12419"/>
    <cellStyle name="Normal 2 4 3 2 3 4 3" xfId="18227"/>
    <cellStyle name="Normal 2 4 3 2 3 5" xfId="3782"/>
    <cellStyle name="Normal 2 4 3 2 3 5 2" xfId="12420"/>
    <cellStyle name="Normal 2 4 3 2 3 5 3" xfId="18228"/>
    <cellStyle name="Normal 2 4 3 2 3 6" xfId="3783"/>
    <cellStyle name="Normal 2 4 3 2 3 6 2" xfId="12421"/>
    <cellStyle name="Normal 2 4 3 2 3 6 3" xfId="18229"/>
    <cellStyle name="Normal 2 4 3 2 3 7" xfId="9264"/>
    <cellStyle name="Normal 2 4 3 2 3 8" xfId="18224"/>
    <cellStyle name="Normal 2 4 3 2 3_LNG &amp; LPG rework" xfId="7147"/>
    <cellStyle name="Normal 2 4 3 2 4" xfId="3784"/>
    <cellStyle name="Normal 2 4 3 2 4 2" xfId="3785"/>
    <cellStyle name="Normal 2 4 3 2 4 2 2" xfId="12423"/>
    <cellStyle name="Normal 2 4 3 2 4 2 3" xfId="18231"/>
    <cellStyle name="Normal 2 4 3 2 4 3" xfId="3786"/>
    <cellStyle name="Normal 2 4 3 2 4 3 2" xfId="12424"/>
    <cellStyle name="Normal 2 4 3 2 4 3 3" xfId="18232"/>
    <cellStyle name="Normal 2 4 3 2 4 4" xfId="3787"/>
    <cellStyle name="Normal 2 4 3 2 4 4 2" xfId="12425"/>
    <cellStyle name="Normal 2 4 3 2 4 4 3" xfId="18233"/>
    <cellStyle name="Normal 2 4 3 2 4 5" xfId="3788"/>
    <cellStyle name="Normal 2 4 3 2 4 5 2" xfId="12426"/>
    <cellStyle name="Normal 2 4 3 2 4 5 3" xfId="18234"/>
    <cellStyle name="Normal 2 4 3 2 4 6" xfId="12422"/>
    <cellStyle name="Normal 2 4 3 2 4 7" xfId="18230"/>
    <cellStyle name="Normal 2 4 3 2 4_LNG &amp; LPG rework" xfId="7148"/>
    <cellStyle name="Normal 2 4 3 2 5" xfId="3789"/>
    <cellStyle name="Normal 2 4 3 2 5 2" xfId="3790"/>
    <cellStyle name="Normal 2 4 3 2 5 2 2" xfId="12428"/>
    <cellStyle name="Normal 2 4 3 2 5 2 3" xfId="18236"/>
    <cellStyle name="Normal 2 4 3 2 5 3" xfId="3791"/>
    <cellStyle name="Normal 2 4 3 2 5 3 2" xfId="12429"/>
    <cellStyle name="Normal 2 4 3 2 5 3 3" xfId="18237"/>
    <cellStyle name="Normal 2 4 3 2 5 4" xfId="3792"/>
    <cellStyle name="Normal 2 4 3 2 5 4 2" xfId="12430"/>
    <cellStyle name="Normal 2 4 3 2 5 4 3" xfId="18238"/>
    <cellStyle name="Normal 2 4 3 2 5 5" xfId="3793"/>
    <cellStyle name="Normal 2 4 3 2 5 5 2" xfId="12431"/>
    <cellStyle name="Normal 2 4 3 2 5 5 3" xfId="18239"/>
    <cellStyle name="Normal 2 4 3 2 5 6" xfId="12427"/>
    <cellStyle name="Normal 2 4 3 2 5 7" xfId="18235"/>
    <cellStyle name="Normal 2 4 3 2 5_LNG &amp; LPG rework" xfId="7149"/>
    <cellStyle name="Normal 2 4 3 2 6" xfId="3794"/>
    <cellStyle name="Normal 2 4 3 2 6 2" xfId="12432"/>
    <cellStyle name="Normal 2 4 3 2 6 3" xfId="18240"/>
    <cellStyle name="Normal 2 4 3 2 7" xfId="3795"/>
    <cellStyle name="Normal 2 4 3 2 7 2" xfId="12433"/>
    <cellStyle name="Normal 2 4 3 2 7 3" xfId="18241"/>
    <cellStyle name="Normal 2 4 3 2 8" xfId="3796"/>
    <cellStyle name="Normal 2 4 3 2 8 2" xfId="12434"/>
    <cellStyle name="Normal 2 4 3 2 8 3" xfId="18242"/>
    <cellStyle name="Normal 2 4 3 2 9" xfId="3797"/>
    <cellStyle name="Normal 2 4 3 2 9 2" xfId="12435"/>
    <cellStyle name="Normal 2 4 3 2 9 3" xfId="18243"/>
    <cellStyle name="Normal 2 4 3 2_LNG &amp; LPG rework" xfId="7143"/>
    <cellStyle name="Normal 2 4 3 3" xfId="427"/>
    <cellStyle name="Normal 2 4 3 3 10" xfId="18244"/>
    <cellStyle name="Normal 2 4 3 3 2" xfId="428"/>
    <cellStyle name="Normal 2 4 3 3 2 2" xfId="3798"/>
    <cellStyle name="Normal 2 4 3 3 2 2 2" xfId="12436"/>
    <cellStyle name="Normal 2 4 3 3 2 2 3" xfId="18246"/>
    <cellStyle name="Normal 2 4 3 3 2 3" xfId="3799"/>
    <cellStyle name="Normal 2 4 3 3 2 3 2" xfId="12437"/>
    <cellStyle name="Normal 2 4 3 3 2 3 3" xfId="18247"/>
    <cellStyle name="Normal 2 4 3 3 2 4" xfId="3800"/>
    <cellStyle name="Normal 2 4 3 3 2 4 2" xfId="12438"/>
    <cellStyle name="Normal 2 4 3 3 2 4 3" xfId="18248"/>
    <cellStyle name="Normal 2 4 3 3 2 5" xfId="3801"/>
    <cellStyle name="Normal 2 4 3 3 2 5 2" xfId="12439"/>
    <cellStyle name="Normal 2 4 3 3 2 5 3" xfId="18249"/>
    <cellStyle name="Normal 2 4 3 3 2 6" xfId="3802"/>
    <cellStyle name="Normal 2 4 3 3 2 6 2" xfId="12440"/>
    <cellStyle name="Normal 2 4 3 3 2 6 3" xfId="18250"/>
    <cellStyle name="Normal 2 4 3 3 2 7" xfId="9266"/>
    <cellStyle name="Normal 2 4 3 3 2 8" xfId="18245"/>
    <cellStyle name="Normal 2 4 3 3 2_LNG &amp; LPG rework" xfId="7151"/>
    <cellStyle name="Normal 2 4 3 3 3" xfId="3803"/>
    <cellStyle name="Normal 2 4 3 3 3 2" xfId="3804"/>
    <cellStyle name="Normal 2 4 3 3 3 2 2" xfId="12442"/>
    <cellStyle name="Normal 2 4 3 3 3 2 3" xfId="18252"/>
    <cellStyle name="Normal 2 4 3 3 3 3" xfId="3805"/>
    <cellStyle name="Normal 2 4 3 3 3 3 2" xfId="12443"/>
    <cellStyle name="Normal 2 4 3 3 3 3 3" xfId="18253"/>
    <cellStyle name="Normal 2 4 3 3 3 4" xfId="3806"/>
    <cellStyle name="Normal 2 4 3 3 3 4 2" xfId="12444"/>
    <cellStyle name="Normal 2 4 3 3 3 4 3" xfId="18254"/>
    <cellStyle name="Normal 2 4 3 3 3 5" xfId="3807"/>
    <cellStyle name="Normal 2 4 3 3 3 5 2" xfId="12445"/>
    <cellStyle name="Normal 2 4 3 3 3 5 3" xfId="18255"/>
    <cellStyle name="Normal 2 4 3 3 3 6" xfId="12441"/>
    <cellStyle name="Normal 2 4 3 3 3 7" xfId="18251"/>
    <cellStyle name="Normal 2 4 3 3 3_LNG &amp; LPG rework" xfId="7152"/>
    <cellStyle name="Normal 2 4 3 3 4" xfId="3808"/>
    <cellStyle name="Normal 2 4 3 3 4 2" xfId="12446"/>
    <cellStyle name="Normal 2 4 3 3 4 3" xfId="18256"/>
    <cellStyle name="Normal 2 4 3 3 5" xfId="3809"/>
    <cellStyle name="Normal 2 4 3 3 5 2" xfId="12447"/>
    <cellStyle name="Normal 2 4 3 3 5 3" xfId="18257"/>
    <cellStyle name="Normal 2 4 3 3 6" xfId="3810"/>
    <cellStyle name="Normal 2 4 3 3 6 2" xfId="12448"/>
    <cellStyle name="Normal 2 4 3 3 6 3" xfId="18258"/>
    <cellStyle name="Normal 2 4 3 3 7" xfId="3811"/>
    <cellStyle name="Normal 2 4 3 3 7 2" xfId="12449"/>
    <cellStyle name="Normal 2 4 3 3 7 3" xfId="18259"/>
    <cellStyle name="Normal 2 4 3 3 8" xfId="3812"/>
    <cellStyle name="Normal 2 4 3 3 8 2" xfId="12450"/>
    <cellStyle name="Normal 2 4 3 3 8 3" xfId="18260"/>
    <cellStyle name="Normal 2 4 3 3 9" xfId="9265"/>
    <cellStyle name="Normal 2 4 3 3_LNG &amp; LPG rework" xfId="7150"/>
    <cellStyle name="Normal 2 4 3 4" xfId="429"/>
    <cellStyle name="Normal 2 4 3 4 2" xfId="3813"/>
    <cellStyle name="Normal 2 4 3 4 2 2" xfId="12451"/>
    <cellStyle name="Normal 2 4 3 4 2 3" xfId="18262"/>
    <cellStyle name="Normal 2 4 3 4 3" xfId="3814"/>
    <cellStyle name="Normal 2 4 3 4 3 2" xfId="12452"/>
    <cellStyle name="Normal 2 4 3 4 3 3" xfId="18263"/>
    <cellStyle name="Normal 2 4 3 4 4" xfId="3815"/>
    <cellStyle name="Normal 2 4 3 4 4 2" xfId="12453"/>
    <cellStyle name="Normal 2 4 3 4 4 3" xfId="18264"/>
    <cellStyle name="Normal 2 4 3 4 5" xfId="3816"/>
    <cellStyle name="Normal 2 4 3 4 5 2" xfId="12454"/>
    <cellStyle name="Normal 2 4 3 4 5 3" xfId="18265"/>
    <cellStyle name="Normal 2 4 3 4 6" xfId="3817"/>
    <cellStyle name="Normal 2 4 3 4 6 2" xfId="12455"/>
    <cellStyle name="Normal 2 4 3 4 6 3" xfId="18266"/>
    <cellStyle name="Normal 2 4 3 4 7" xfId="9267"/>
    <cellStyle name="Normal 2 4 3 4 8" xfId="18261"/>
    <cellStyle name="Normal 2 4 3 4_LNG &amp; LPG rework" xfId="7153"/>
    <cellStyle name="Normal 2 4 3 5" xfId="3818"/>
    <cellStyle name="Normal 2 4 3 5 2" xfId="3819"/>
    <cellStyle name="Normal 2 4 3 5 2 2" xfId="12457"/>
    <cellStyle name="Normal 2 4 3 5 2 3" xfId="18268"/>
    <cellStyle name="Normal 2 4 3 5 3" xfId="3820"/>
    <cellStyle name="Normal 2 4 3 5 3 2" xfId="12458"/>
    <cellStyle name="Normal 2 4 3 5 3 3" xfId="18269"/>
    <cellStyle name="Normal 2 4 3 5 4" xfId="3821"/>
    <cellStyle name="Normal 2 4 3 5 4 2" xfId="12459"/>
    <cellStyle name="Normal 2 4 3 5 4 3" xfId="18270"/>
    <cellStyle name="Normal 2 4 3 5 5" xfId="3822"/>
    <cellStyle name="Normal 2 4 3 5 5 2" xfId="12460"/>
    <cellStyle name="Normal 2 4 3 5 5 3" xfId="18271"/>
    <cellStyle name="Normal 2 4 3 5 6" xfId="12456"/>
    <cellStyle name="Normal 2 4 3 5 7" xfId="18267"/>
    <cellStyle name="Normal 2 4 3 5_LNG &amp; LPG rework" xfId="7154"/>
    <cellStyle name="Normal 2 4 3 6" xfId="3823"/>
    <cellStyle name="Normal 2 4 3 6 2" xfId="3824"/>
    <cellStyle name="Normal 2 4 3 6 2 2" xfId="12462"/>
    <cellStyle name="Normal 2 4 3 6 2 3" xfId="18273"/>
    <cellStyle name="Normal 2 4 3 6 3" xfId="3825"/>
    <cellStyle name="Normal 2 4 3 6 3 2" xfId="12463"/>
    <cellStyle name="Normal 2 4 3 6 3 3" xfId="18274"/>
    <cellStyle name="Normal 2 4 3 6 4" xfId="3826"/>
    <cellStyle name="Normal 2 4 3 6 4 2" xfId="12464"/>
    <cellStyle name="Normal 2 4 3 6 4 3" xfId="18275"/>
    <cellStyle name="Normal 2 4 3 6 5" xfId="3827"/>
    <cellStyle name="Normal 2 4 3 6 5 2" xfId="12465"/>
    <cellStyle name="Normal 2 4 3 6 5 3" xfId="18276"/>
    <cellStyle name="Normal 2 4 3 6 6" xfId="12461"/>
    <cellStyle name="Normal 2 4 3 6 7" xfId="18272"/>
    <cellStyle name="Normal 2 4 3 6_LNG &amp; LPG rework" xfId="7155"/>
    <cellStyle name="Normal 2 4 3 7" xfId="3828"/>
    <cellStyle name="Normal 2 4 3 7 2" xfId="12466"/>
    <cellStyle name="Normal 2 4 3 7 3" xfId="18277"/>
    <cellStyle name="Normal 2 4 3 8" xfId="3829"/>
    <cellStyle name="Normal 2 4 3 8 2" xfId="12467"/>
    <cellStyle name="Normal 2 4 3 8 3" xfId="18278"/>
    <cellStyle name="Normal 2 4 3 9" xfId="3830"/>
    <cellStyle name="Normal 2 4 3 9 2" xfId="12468"/>
    <cellStyle name="Normal 2 4 3 9 3" xfId="18279"/>
    <cellStyle name="Normal 2 4 3_LNG &amp; LPG rework" xfId="7142"/>
    <cellStyle name="Normal 2 4 4" xfId="430"/>
    <cellStyle name="Normal 2 4 4 10" xfId="3831"/>
    <cellStyle name="Normal 2 4 4 10 2" xfId="12469"/>
    <cellStyle name="Normal 2 4 4 10 3" xfId="18281"/>
    <cellStyle name="Normal 2 4 4 11" xfId="9268"/>
    <cellStyle name="Normal 2 4 4 12" xfId="18280"/>
    <cellStyle name="Normal 2 4 4 2" xfId="431"/>
    <cellStyle name="Normal 2 4 4 2 10" xfId="18282"/>
    <cellStyle name="Normal 2 4 4 2 2" xfId="432"/>
    <cellStyle name="Normal 2 4 4 2 2 2" xfId="3832"/>
    <cellStyle name="Normal 2 4 4 2 2 2 2" xfId="12470"/>
    <cellStyle name="Normal 2 4 4 2 2 2 3" xfId="18284"/>
    <cellStyle name="Normal 2 4 4 2 2 3" xfId="3833"/>
    <cellStyle name="Normal 2 4 4 2 2 3 2" xfId="12471"/>
    <cellStyle name="Normal 2 4 4 2 2 3 3" xfId="18285"/>
    <cellStyle name="Normal 2 4 4 2 2 4" xfId="3834"/>
    <cellStyle name="Normal 2 4 4 2 2 4 2" xfId="12472"/>
    <cellStyle name="Normal 2 4 4 2 2 4 3" xfId="18286"/>
    <cellStyle name="Normal 2 4 4 2 2 5" xfId="3835"/>
    <cellStyle name="Normal 2 4 4 2 2 5 2" xfId="12473"/>
    <cellStyle name="Normal 2 4 4 2 2 5 3" xfId="18287"/>
    <cellStyle name="Normal 2 4 4 2 2 6" xfId="3836"/>
    <cellStyle name="Normal 2 4 4 2 2 6 2" xfId="12474"/>
    <cellStyle name="Normal 2 4 4 2 2 6 3" xfId="18288"/>
    <cellStyle name="Normal 2 4 4 2 2 7" xfId="9270"/>
    <cellStyle name="Normal 2 4 4 2 2 8" xfId="18283"/>
    <cellStyle name="Normal 2 4 4 2 2_LNG &amp; LPG rework" xfId="7158"/>
    <cellStyle name="Normal 2 4 4 2 3" xfId="3837"/>
    <cellStyle name="Normal 2 4 4 2 3 2" xfId="3838"/>
    <cellStyle name="Normal 2 4 4 2 3 2 2" xfId="12476"/>
    <cellStyle name="Normal 2 4 4 2 3 2 3" xfId="18290"/>
    <cellStyle name="Normal 2 4 4 2 3 3" xfId="3839"/>
    <cellStyle name="Normal 2 4 4 2 3 3 2" xfId="12477"/>
    <cellStyle name="Normal 2 4 4 2 3 3 3" xfId="18291"/>
    <cellStyle name="Normal 2 4 4 2 3 4" xfId="3840"/>
    <cellStyle name="Normal 2 4 4 2 3 4 2" xfId="12478"/>
    <cellStyle name="Normal 2 4 4 2 3 4 3" xfId="18292"/>
    <cellStyle name="Normal 2 4 4 2 3 5" xfId="3841"/>
    <cellStyle name="Normal 2 4 4 2 3 5 2" xfId="12479"/>
    <cellStyle name="Normal 2 4 4 2 3 5 3" xfId="18293"/>
    <cellStyle name="Normal 2 4 4 2 3 6" xfId="12475"/>
    <cellStyle name="Normal 2 4 4 2 3 7" xfId="18289"/>
    <cellStyle name="Normal 2 4 4 2 3_LNG &amp; LPG rework" xfId="7159"/>
    <cellStyle name="Normal 2 4 4 2 4" xfId="3842"/>
    <cellStyle name="Normal 2 4 4 2 4 2" xfId="12480"/>
    <cellStyle name="Normal 2 4 4 2 4 3" xfId="18294"/>
    <cellStyle name="Normal 2 4 4 2 5" xfId="3843"/>
    <cellStyle name="Normal 2 4 4 2 5 2" xfId="12481"/>
    <cellStyle name="Normal 2 4 4 2 5 3" xfId="18295"/>
    <cellStyle name="Normal 2 4 4 2 6" xfId="3844"/>
    <cellStyle name="Normal 2 4 4 2 6 2" xfId="12482"/>
    <cellStyle name="Normal 2 4 4 2 6 3" xfId="18296"/>
    <cellStyle name="Normal 2 4 4 2 7" xfId="3845"/>
    <cellStyle name="Normal 2 4 4 2 7 2" xfId="12483"/>
    <cellStyle name="Normal 2 4 4 2 7 3" xfId="18297"/>
    <cellStyle name="Normal 2 4 4 2 8" xfId="3846"/>
    <cellStyle name="Normal 2 4 4 2 8 2" xfId="12484"/>
    <cellStyle name="Normal 2 4 4 2 8 3" xfId="18298"/>
    <cellStyle name="Normal 2 4 4 2 9" xfId="9269"/>
    <cellStyle name="Normal 2 4 4 2_LNG &amp; LPG rework" xfId="7157"/>
    <cellStyle name="Normal 2 4 4 3" xfId="433"/>
    <cellStyle name="Normal 2 4 4 3 2" xfId="3847"/>
    <cellStyle name="Normal 2 4 4 3 2 2" xfId="12485"/>
    <cellStyle name="Normal 2 4 4 3 2 3" xfId="18300"/>
    <cellStyle name="Normal 2 4 4 3 3" xfId="3848"/>
    <cellStyle name="Normal 2 4 4 3 3 2" xfId="12486"/>
    <cellStyle name="Normal 2 4 4 3 3 3" xfId="18301"/>
    <cellStyle name="Normal 2 4 4 3 4" xfId="3849"/>
    <cellStyle name="Normal 2 4 4 3 4 2" xfId="12487"/>
    <cellStyle name="Normal 2 4 4 3 4 3" xfId="18302"/>
    <cellStyle name="Normal 2 4 4 3 5" xfId="3850"/>
    <cellStyle name="Normal 2 4 4 3 5 2" xfId="12488"/>
    <cellStyle name="Normal 2 4 4 3 5 3" xfId="18303"/>
    <cellStyle name="Normal 2 4 4 3 6" xfId="3851"/>
    <cellStyle name="Normal 2 4 4 3 6 2" xfId="12489"/>
    <cellStyle name="Normal 2 4 4 3 6 3" xfId="18304"/>
    <cellStyle name="Normal 2 4 4 3 7" xfId="9271"/>
    <cellStyle name="Normal 2 4 4 3 8" xfId="18299"/>
    <cellStyle name="Normal 2 4 4 3_LNG &amp; LPG rework" xfId="7160"/>
    <cellStyle name="Normal 2 4 4 4" xfId="3852"/>
    <cellStyle name="Normal 2 4 4 4 2" xfId="3853"/>
    <cellStyle name="Normal 2 4 4 4 2 2" xfId="12491"/>
    <cellStyle name="Normal 2 4 4 4 2 3" xfId="18306"/>
    <cellStyle name="Normal 2 4 4 4 3" xfId="3854"/>
    <cellStyle name="Normal 2 4 4 4 3 2" xfId="12492"/>
    <cellStyle name="Normal 2 4 4 4 3 3" xfId="18307"/>
    <cellStyle name="Normal 2 4 4 4 4" xfId="3855"/>
    <cellStyle name="Normal 2 4 4 4 4 2" xfId="12493"/>
    <cellStyle name="Normal 2 4 4 4 4 3" xfId="18308"/>
    <cellStyle name="Normal 2 4 4 4 5" xfId="3856"/>
    <cellStyle name="Normal 2 4 4 4 5 2" xfId="12494"/>
    <cellStyle name="Normal 2 4 4 4 5 3" xfId="18309"/>
    <cellStyle name="Normal 2 4 4 4 6" xfId="12490"/>
    <cellStyle name="Normal 2 4 4 4 7" xfId="18305"/>
    <cellStyle name="Normal 2 4 4 4_LNG &amp; LPG rework" xfId="7161"/>
    <cellStyle name="Normal 2 4 4 5" xfId="3857"/>
    <cellStyle name="Normal 2 4 4 5 2" xfId="3858"/>
    <cellStyle name="Normal 2 4 4 5 2 2" xfId="12496"/>
    <cellStyle name="Normal 2 4 4 5 2 3" xfId="18311"/>
    <cellStyle name="Normal 2 4 4 5 3" xfId="3859"/>
    <cellStyle name="Normal 2 4 4 5 3 2" xfId="12497"/>
    <cellStyle name="Normal 2 4 4 5 3 3" xfId="18312"/>
    <cellStyle name="Normal 2 4 4 5 4" xfId="3860"/>
    <cellStyle name="Normal 2 4 4 5 4 2" xfId="12498"/>
    <cellStyle name="Normal 2 4 4 5 4 3" xfId="18313"/>
    <cellStyle name="Normal 2 4 4 5 5" xfId="3861"/>
    <cellStyle name="Normal 2 4 4 5 5 2" xfId="12499"/>
    <cellStyle name="Normal 2 4 4 5 5 3" xfId="18314"/>
    <cellStyle name="Normal 2 4 4 5 6" xfId="12495"/>
    <cellStyle name="Normal 2 4 4 5 7" xfId="18310"/>
    <cellStyle name="Normal 2 4 4 5_LNG &amp; LPG rework" xfId="7162"/>
    <cellStyle name="Normal 2 4 4 6" xfId="3862"/>
    <cellStyle name="Normal 2 4 4 6 2" xfId="12500"/>
    <cellStyle name="Normal 2 4 4 6 3" xfId="18315"/>
    <cellStyle name="Normal 2 4 4 7" xfId="3863"/>
    <cellStyle name="Normal 2 4 4 7 2" xfId="12501"/>
    <cellStyle name="Normal 2 4 4 7 3" xfId="18316"/>
    <cellStyle name="Normal 2 4 4 8" xfId="3864"/>
    <cellStyle name="Normal 2 4 4 8 2" xfId="12502"/>
    <cellStyle name="Normal 2 4 4 8 3" xfId="18317"/>
    <cellStyle name="Normal 2 4 4 9" xfId="3865"/>
    <cellStyle name="Normal 2 4 4 9 2" xfId="12503"/>
    <cellStyle name="Normal 2 4 4 9 3" xfId="18318"/>
    <cellStyle name="Normal 2 4 4_LNG &amp; LPG rework" xfId="7156"/>
    <cellStyle name="Normal 2 4 5" xfId="434"/>
    <cellStyle name="Normal 2 4 5 10" xfId="18319"/>
    <cellStyle name="Normal 2 4 5 2" xfId="435"/>
    <cellStyle name="Normal 2 4 5 2 2" xfId="3866"/>
    <cellStyle name="Normal 2 4 5 2 2 2" xfId="12504"/>
    <cellStyle name="Normal 2 4 5 2 2 3" xfId="18321"/>
    <cellStyle name="Normal 2 4 5 2 3" xfId="3867"/>
    <cellStyle name="Normal 2 4 5 2 3 2" xfId="12505"/>
    <cellStyle name="Normal 2 4 5 2 3 3" xfId="18322"/>
    <cellStyle name="Normal 2 4 5 2 4" xfId="3868"/>
    <cellStyle name="Normal 2 4 5 2 4 2" xfId="12506"/>
    <cellStyle name="Normal 2 4 5 2 4 3" xfId="18323"/>
    <cellStyle name="Normal 2 4 5 2 5" xfId="3869"/>
    <cellStyle name="Normal 2 4 5 2 5 2" xfId="12507"/>
    <cellStyle name="Normal 2 4 5 2 5 3" xfId="18324"/>
    <cellStyle name="Normal 2 4 5 2 6" xfId="3870"/>
    <cellStyle name="Normal 2 4 5 2 6 2" xfId="12508"/>
    <cellStyle name="Normal 2 4 5 2 6 3" xfId="18325"/>
    <cellStyle name="Normal 2 4 5 2 7" xfId="9273"/>
    <cellStyle name="Normal 2 4 5 2 8" xfId="18320"/>
    <cellStyle name="Normal 2 4 5 2_LNG &amp; LPG rework" xfId="7164"/>
    <cellStyle name="Normal 2 4 5 3" xfId="3871"/>
    <cellStyle name="Normal 2 4 5 3 2" xfId="3872"/>
    <cellStyle name="Normal 2 4 5 3 2 2" xfId="12510"/>
    <cellStyle name="Normal 2 4 5 3 2 3" xfId="18327"/>
    <cellStyle name="Normal 2 4 5 3 3" xfId="3873"/>
    <cellStyle name="Normal 2 4 5 3 3 2" xfId="12511"/>
    <cellStyle name="Normal 2 4 5 3 3 3" xfId="18328"/>
    <cellStyle name="Normal 2 4 5 3 4" xfId="3874"/>
    <cellStyle name="Normal 2 4 5 3 4 2" xfId="12512"/>
    <cellStyle name="Normal 2 4 5 3 4 3" xfId="18329"/>
    <cellStyle name="Normal 2 4 5 3 5" xfId="3875"/>
    <cellStyle name="Normal 2 4 5 3 5 2" xfId="12513"/>
    <cellStyle name="Normal 2 4 5 3 5 3" xfId="18330"/>
    <cellStyle name="Normal 2 4 5 3 6" xfId="12509"/>
    <cellStyle name="Normal 2 4 5 3 7" xfId="18326"/>
    <cellStyle name="Normal 2 4 5 3_LNG &amp; LPG rework" xfId="7165"/>
    <cellStyle name="Normal 2 4 5 4" xfId="3876"/>
    <cellStyle name="Normal 2 4 5 4 2" xfId="12514"/>
    <cellStyle name="Normal 2 4 5 4 3" xfId="18331"/>
    <cellStyle name="Normal 2 4 5 5" xfId="3877"/>
    <cellStyle name="Normal 2 4 5 5 2" xfId="12515"/>
    <cellStyle name="Normal 2 4 5 5 3" xfId="18332"/>
    <cellStyle name="Normal 2 4 5 6" xfId="3878"/>
    <cellStyle name="Normal 2 4 5 6 2" xfId="12516"/>
    <cellStyle name="Normal 2 4 5 6 3" xfId="18333"/>
    <cellStyle name="Normal 2 4 5 7" xfId="3879"/>
    <cellStyle name="Normal 2 4 5 7 2" xfId="12517"/>
    <cellStyle name="Normal 2 4 5 7 3" xfId="18334"/>
    <cellStyle name="Normal 2 4 5 8" xfId="3880"/>
    <cellStyle name="Normal 2 4 5 8 2" xfId="12518"/>
    <cellStyle name="Normal 2 4 5 8 3" xfId="18335"/>
    <cellStyle name="Normal 2 4 5 9" xfId="9272"/>
    <cellStyle name="Normal 2 4 5_LNG &amp; LPG rework" xfId="7163"/>
    <cellStyle name="Normal 2 4 6" xfId="436"/>
    <cellStyle name="Normal 2 4 6 2" xfId="3881"/>
    <cellStyle name="Normal 2 4 6 2 2" xfId="3882"/>
    <cellStyle name="Normal 2 4 6 2 2 2" xfId="12520"/>
    <cellStyle name="Normal 2 4 6 2 2 3" xfId="18338"/>
    <cellStyle name="Normal 2 4 6 2 3" xfId="3883"/>
    <cellStyle name="Normal 2 4 6 2 3 2" xfId="12521"/>
    <cellStyle name="Normal 2 4 6 2 3 3" xfId="18339"/>
    <cellStyle name="Normal 2 4 6 2 4" xfId="3884"/>
    <cellStyle name="Normal 2 4 6 2 4 2" xfId="12522"/>
    <cellStyle name="Normal 2 4 6 2 4 3" xfId="18340"/>
    <cellStyle name="Normal 2 4 6 2 5" xfId="3885"/>
    <cellStyle name="Normal 2 4 6 2 5 2" xfId="12523"/>
    <cellStyle name="Normal 2 4 6 2 5 3" xfId="18341"/>
    <cellStyle name="Normal 2 4 6 2 6" xfId="12519"/>
    <cellStyle name="Normal 2 4 6 2 7" xfId="18337"/>
    <cellStyle name="Normal 2 4 6 2_LNG &amp; LPG rework" xfId="7167"/>
    <cellStyle name="Normal 2 4 6 3" xfId="3886"/>
    <cellStyle name="Normal 2 4 6 3 2" xfId="12524"/>
    <cellStyle name="Normal 2 4 6 3 3" xfId="18342"/>
    <cellStyle name="Normal 2 4 6 4" xfId="3887"/>
    <cellStyle name="Normal 2 4 6 4 2" xfId="12525"/>
    <cellStyle name="Normal 2 4 6 4 3" xfId="18343"/>
    <cellStyle name="Normal 2 4 6 5" xfId="3888"/>
    <cellStyle name="Normal 2 4 6 5 2" xfId="12526"/>
    <cellStyle name="Normal 2 4 6 5 3" xfId="18344"/>
    <cellStyle name="Normal 2 4 6 6" xfId="3889"/>
    <cellStyle name="Normal 2 4 6 6 2" xfId="12527"/>
    <cellStyle name="Normal 2 4 6 6 3" xfId="18345"/>
    <cellStyle name="Normal 2 4 6 7" xfId="3890"/>
    <cellStyle name="Normal 2 4 6 7 2" xfId="12528"/>
    <cellStyle name="Normal 2 4 6 7 3" xfId="18346"/>
    <cellStyle name="Normal 2 4 6 8" xfId="9274"/>
    <cellStyle name="Normal 2 4 6 9" xfId="18336"/>
    <cellStyle name="Normal 2 4 6_LNG &amp; LPG rework" xfId="7166"/>
    <cellStyle name="Normal 2 4 7" xfId="3891"/>
    <cellStyle name="Normal 2 4 7 2" xfId="3892"/>
    <cellStyle name="Normal 2 4 7 2 2" xfId="12530"/>
    <cellStyle name="Normal 2 4 7 2 3" xfId="18348"/>
    <cellStyle name="Normal 2 4 7 3" xfId="3893"/>
    <cellStyle name="Normal 2 4 7 3 2" xfId="12531"/>
    <cellStyle name="Normal 2 4 7 3 3" xfId="18349"/>
    <cellStyle name="Normal 2 4 7 4" xfId="3894"/>
    <cellStyle name="Normal 2 4 7 4 2" xfId="12532"/>
    <cellStyle name="Normal 2 4 7 4 3" xfId="18350"/>
    <cellStyle name="Normal 2 4 7 5" xfId="3895"/>
    <cellStyle name="Normal 2 4 7 5 2" xfId="12533"/>
    <cellStyle name="Normal 2 4 7 5 3" xfId="18351"/>
    <cellStyle name="Normal 2 4 7 6" xfId="12529"/>
    <cellStyle name="Normal 2 4 7 7" xfId="18347"/>
    <cellStyle name="Normal 2 4 7_LNG &amp; LPG rework" xfId="7168"/>
    <cellStyle name="Normal 2 4 8" xfId="3896"/>
    <cellStyle name="Normal 2 4 8 2" xfId="12534"/>
    <cellStyle name="Normal 2 4 8 3" xfId="18352"/>
    <cellStyle name="Normal 2 4 9" xfId="3897"/>
    <cellStyle name="Normal 2 4 9 2" xfId="12535"/>
    <cellStyle name="Normal 2 4 9 3" xfId="18353"/>
    <cellStyle name="Normal 2 4_Data - Monthly Commodity Prices" xfId="6485"/>
    <cellStyle name="Normal 2 5" xfId="437"/>
    <cellStyle name="Normal 2 5 10" xfId="8900"/>
    <cellStyle name="Normal 2 5 2" xfId="438"/>
    <cellStyle name="Normal 2 5 2 10" xfId="3898"/>
    <cellStyle name="Normal 2 5 2 10 2" xfId="12536"/>
    <cellStyle name="Normal 2 5 2 10 3" xfId="18355"/>
    <cellStyle name="Normal 2 5 2 11" xfId="3899"/>
    <cellStyle name="Normal 2 5 2 11 2" xfId="12537"/>
    <cellStyle name="Normal 2 5 2 11 3" xfId="18356"/>
    <cellStyle name="Normal 2 5 2 12" xfId="3900"/>
    <cellStyle name="Normal 2 5 2 12 2" xfId="12538"/>
    <cellStyle name="Normal 2 5 2 12 3" xfId="18357"/>
    <cellStyle name="Normal 2 5 2 13" xfId="3901"/>
    <cellStyle name="Normal 2 5 2 13 2" xfId="12539"/>
    <cellStyle name="Normal 2 5 2 13 3" xfId="18358"/>
    <cellStyle name="Normal 2 5 2 14" xfId="9275"/>
    <cellStyle name="Normal 2 5 2 15" xfId="18354"/>
    <cellStyle name="Normal 2 5 2 2" xfId="439"/>
    <cellStyle name="Normal 2 5 2 2 10" xfId="3902"/>
    <cellStyle name="Normal 2 5 2 2 10 2" xfId="12540"/>
    <cellStyle name="Normal 2 5 2 2 10 3" xfId="18360"/>
    <cellStyle name="Normal 2 5 2 2 11" xfId="3903"/>
    <cellStyle name="Normal 2 5 2 2 11 2" xfId="12541"/>
    <cellStyle name="Normal 2 5 2 2 11 3" xfId="18361"/>
    <cellStyle name="Normal 2 5 2 2 12" xfId="9276"/>
    <cellStyle name="Normal 2 5 2 2 13" xfId="18359"/>
    <cellStyle name="Normal 2 5 2 2 2" xfId="440"/>
    <cellStyle name="Normal 2 5 2 2 2 10" xfId="3904"/>
    <cellStyle name="Normal 2 5 2 2 2 10 2" xfId="12542"/>
    <cellStyle name="Normal 2 5 2 2 2 10 3" xfId="18363"/>
    <cellStyle name="Normal 2 5 2 2 2 11" xfId="9277"/>
    <cellStyle name="Normal 2 5 2 2 2 12" xfId="18362"/>
    <cellStyle name="Normal 2 5 2 2 2 2" xfId="441"/>
    <cellStyle name="Normal 2 5 2 2 2 2 10" xfId="18364"/>
    <cellStyle name="Normal 2 5 2 2 2 2 2" xfId="442"/>
    <cellStyle name="Normal 2 5 2 2 2 2 2 2" xfId="3905"/>
    <cellStyle name="Normal 2 5 2 2 2 2 2 2 2" xfId="12543"/>
    <cellStyle name="Normal 2 5 2 2 2 2 2 2 3" xfId="18366"/>
    <cellStyle name="Normal 2 5 2 2 2 2 2 3" xfId="3906"/>
    <cellStyle name="Normal 2 5 2 2 2 2 2 3 2" xfId="12544"/>
    <cellStyle name="Normal 2 5 2 2 2 2 2 3 3" xfId="18367"/>
    <cellStyle name="Normal 2 5 2 2 2 2 2 4" xfId="3907"/>
    <cellStyle name="Normal 2 5 2 2 2 2 2 4 2" xfId="12545"/>
    <cellStyle name="Normal 2 5 2 2 2 2 2 4 3" xfId="18368"/>
    <cellStyle name="Normal 2 5 2 2 2 2 2 5" xfId="3908"/>
    <cellStyle name="Normal 2 5 2 2 2 2 2 5 2" xfId="12546"/>
    <cellStyle name="Normal 2 5 2 2 2 2 2 5 3" xfId="18369"/>
    <cellStyle name="Normal 2 5 2 2 2 2 2 6" xfId="3909"/>
    <cellStyle name="Normal 2 5 2 2 2 2 2 6 2" xfId="12547"/>
    <cellStyle name="Normal 2 5 2 2 2 2 2 6 3" xfId="18370"/>
    <cellStyle name="Normal 2 5 2 2 2 2 2 7" xfId="9279"/>
    <cellStyle name="Normal 2 5 2 2 2 2 2 8" xfId="18365"/>
    <cellStyle name="Normal 2 5 2 2 2 2 2_LNG &amp; LPG rework" xfId="7173"/>
    <cellStyle name="Normal 2 5 2 2 2 2 3" xfId="3910"/>
    <cellStyle name="Normal 2 5 2 2 2 2 3 2" xfId="3911"/>
    <cellStyle name="Normal 2 5 2 2 2 2 3 2 2" xfId="12549"/>
    <cellStyle name="Normal 2 5 2 2 2 2 3 2 3" xfId="18372"/>
    <cellStyle name="Normal 2 5 2 2 2 2 3 3" xfId="3912"/>
    <cellStyle name="Normal 2 5 2 2 2 2 3 3 2" xfId="12550"/>
    <cellStyle name="Normal 2 5 2 2 2 2 3 3 3" xfId="18373"/>
    <cellStyle name="Normal 2 5 2 2 2 2 3 4" xfId="3913"/>
    <cellStyle name="Normal 2 5 2 2 2 2 3 4 2" xfId="12551"/>
    <cellStyle name="Normal 2 5 2 2 2 2 3 4 3" xfId="18374"/>
    <cellStyle name="Normal 2 5 2 2 2 2 3 5" xfId="3914"/>
    <cellStyle name="Normal 2 5 2 2 2 2 3 5 2" xfId="12552"/>
    <cellStyle name="Normal 2 5 2 2 2 2 3 5 3" xfId="18375"/>
    <cellStyle name="Normal 2 5 2 2 2 2 3 6" xfId="12548"/>
    <cellStyle name="Normal 2 5 2 2 2 2 3 7" xfId="18371"/>
    <cellStyle name="Normal 2 5 2 2 2 2 3_LNG &amp; LPG rework" xfId="7174"/>
    <cellStyle name="Normal 2 5 2 2 2 2 4" xfId="3915"/>
    <cellStyle name="Normal 2 5 2 2 2 2 4 2" xfId="12553"/>
    <cellStyle name="Normal 2 5 2 2 2 2 4 3" xfId="18376"/>
    <cellStyle name="Normal 2 5 2 2 2 2 5" xfId="3916"/>
    <cellStyle name="Normal 2 5 2 2 2 2 5 2" xfId="12554"/>
    <cellStyle name="Normal 2 5 2 2 2 2 5 3" xfId="18377"/>
    <cellStyle name="Normal 2 5 2 2 2 2 6" xfId="3917"/>
    <cellStyle name="Normal 2 5 2 2 2 2 6 2" xfId="12555"/>
    <cellStyle name="Normal 2 5 2 2 2 2 6 3" xfId="18378"/>
    <cellStyle name="Normal 2 5 2 2 2 2 7" xfId="3918"/>
    <cellStyle name="Normal 2 5 2 2 2 2 7 2" xfId="12556"/>
    <cellStyle name="Normal 2 5 2 2 2 2 7 3" xfId="18379"/>
    <cellStyle name="Normal 2 5 2 2 2 2 8" xfId="3919"/>
    <cellStyle name="Normal 2 5 2 2 2 2 8 2" xfId="12557"/>
    <cellStyle name="Normal 2 5 2 2 2 2 8 3" xfId="18380"/>
    <cellStyle name="Normal 2 5 2 2 2 2 9" xfId="9278"/>
    <cellStyle name="Normal 2 5 2 2 2 2_LNG &amp; LPG rework" xfId="7172"/>
    <cellStyle name="Normal 2 5 2 2 2 3" xfId="443"/>
    <cellStyle name="Normal 2 5 2 2 2 3 2" xfId="3920"/>
    <cellStyle name="Normal 2 5 2 2 2 3 2 2" xfId="12558"/>
    <cellStyle name="Normal 2 5 2 2 2 3 2 3" xfId="18382"/>
    <cellStyle name="Normal 2 5 2 2 2 3 3" xfId="3921"/>
    <cellStyle name="Normal 2 5 2 2 2 3 3 2" xfId="12559"/>
    <cellStyle name="Normal 2 5 2 2 2 3 3 3" xfId="18383"/>
    <cellStyle name="Normal 2 5 2 2 2 3 4" xfId="3922"/>
    <cellStyle name="Normal 2 5 2 2 2 3 4 2" xfId="12560"/>
    <cellStyle name="Normal 2 5 2 2 2 3 4 3" xfId="18384"/>
    <cellStyle name="Normal 2 5 2 2 2 3 5" xfId="3923"/>
    <cellStyle name="Normal 2 5 2 2 2 3 5 2" xfId="12561"/>
    <cellStyle name="Normal 2 5 2 2 2 3 5 3" xfId="18385"/>
    <cellStyle name="Normal 2 5 2 2 2 3 6" xfId="3924"/>
    <cellStyle name="Normal 2 5 2 2 2 3 6 2" xfId="12562"/>
    <cellStyle name="Normal 2 5 2 2 2 3 6 3" xfId="18386"/>
    <cellStyle name="Normal 2 5 2 2 2 3 7" xfId="9280"/>
    <cellStyle name="Normal 2 5 2 2 2 3 8" xfId="18381"/>
    <cellStyle name="Normal 2 5 2 2 2 3_LNG &amp; LPG rework" xfId="7175"/>
    <cellStyle name="Normal 2 5 2 2 2 4" xfId="3925"/>
    <cellStyle name="Normal 2 5 2 2 2 4 2" xfId="3926"/>
    <cellStyle name="Normal 2 5 2 2 2 4 2 2" xfId="12564"/>
    <cellStyle name="Normal 2 5 2 2 2 4 2 3" xfId="18388"/>
    <cellStyle name="Normal 2 5 2 2 2 4 3" xfId="3927"/>
    <cellStyle name="Normal 2 5 2 2 2 4 3 2" xfId="12565"/>
    <cellStyle name="Normal 2 5 2 2 2 4 3 3" xfId="18389"/>
    <cellStyle name="Normal 2 5 2 2 2 4 4" xfId="3928"/>
    <cellStyle name="Normal 2 5 2 2 2 4 4 2" xfId="12566"/>
    <cellStyle name="Normal 2 5 2 2 2 4 4 3" xfId="18390"/>
    <cellStyle name="Normal 2 5 2 2 2 4 5" xfId="3929"/>
    <cellStyle name="Normal 2 5 2 2 2 4 5 2" xfId="12567"/>
    <cellStyle name="Normal 2 5 2 2 2 4 5 3" xfId="18391"/>
    <cellStyle name="Normal 2 5 2 2 2 4 6" xfId="12563"/>
    <cellStyle name="Normal 2 5 2 2 2 4 7" xfId="18387"/>
    <cellStyle name="Normal 2 5 2 2 2 4_LNG &amp; LPG rework" xfId="7176"/>
    <cellStyle name="Normal 2 5 2 2 2 5" xfId="3930"/>
    <cellStyle name="Normal 2 5 2 2 2 5 2" xfId="3931"/>
    <cellStyle name="Normal 2 5 2 2 2 5 2 2" xfId="12569"/>
    <cellStyle name="Normal 2 5 2 2 2 5 2 3" xfId="18393"/>
    <cellStyle name="Normal 2 5 2 2 2 5 3" xfId="3932"/>
    <cellStyle name="Normal 2 5 2 2 2 5 3 2" xfId="12570"/>
    <cellStyle name="Normal 2 5 2 2 2 5 3 3" xfId="18394"/>
    <cellStyle name="Normal 2 5 2 2 2 5 4" xfId="3933"/>
    <cellStyle name="Normal 2 5 2 2 2 5 4 2" xfId="12571"/>
    <cellStyle name="Normal 2 5 2 2 2 5 4 3" xfId="18395"/>
    <cellStyle name="Normal 2 5 2 2 2 5 5" xfId="3934"/>
    <cellStyle name="Normal 2 5 2 2 2 5 5 2" xfId="12572"/>
    <cellStyle name="Normal 2 5 2 2 2 5 5 3" xfId="18396"/>
    <cellStyle name="Normal 2 5 2 2 2 5 6" xfId="12568"/>
    <cellStyle name="Normal 2 5 2 2 2 5 7" xfId="18392"/>
    <cellStyle name="Normal 2 5 2 2 2 5_LNG &amp; LPG rework" xfId="7177"/>
    <cellStyle name="Normal 2 5 2 2 2 6" xfId="3935"/>
    <cellStyle name="Normal 2 5 2 2 2 6 2" xfId="12573"/>
    <cellStyle name="Normal 2 5 2 2 2 6 3" xfId="18397"/>
    <cellStyle name="Normal 2 5 2 2 2 7" xfId="3936"/>
    <cellStyle name="Normal 2 5 2 2 2 7 2" xfId="12574"/>
    <cellStyle name="Normal 2 5 2 2 2 7 3" xfId="18398"/>
    <cellStyle name="Normal 2 5 2 2 2 8" xfId="3937"/>
    <cellStyle name="Normal 2 5 2 2 2 8 2" xfId="12575"/>
    <cellStyle name="Normal 2 5 2 2 2 8 3" xfId="18399"/>
    <cellStyle name="Normal 2 5 2 2 2 9" xfId="3938"/>
    <cellStyle name="Normal 2 5 2 2 2 9 2" xfId="12576"/>
    <cellStyle name="Normal 2 5 2 2 2 9 3" xfId="18400"/>
    <cellStyle name="Normal 2 5 2 2 2_LNG &amp; LPG rework" xfId="7171"/>
    <cellStyle name="Normal 2 5 2 2 3" xfId="444"/>
    <cellStyle name="Normal 2 5 2 2 3 10" xfId="18401"/>
    <cellStyle name="Normal 2 5 2 2 3 2" xfId="445"/>
    <cellStyle name="Normal 2 5 2 2 3 2 2" xfId="3939"/>
    <cellStyle name="Normal 2 5 2 2 3 2 2 2" xfId="12577"/>
    <cellStyle name="Normal 2 5 2 2 3 2 2 3" xfId="18403"/>
    <cellStyle name="Normal 2 5 2 2 3 2 3" xfId="3940"/>
    <cellStyle name="Normal 2 5 2 2 3 2 3 2" xfId="12578"/>
    <cellStyle name="Normal 2 5 2 2 3 2 3 3" xfId="18404"/>
    <cellStyle name="Normal 2 5 2 2 3 2 4" xfId="3941"/>
    <cellStyle name="Normal 2 5 2 2 3 2 4 2" xfId="12579"/>
    <cellStyle name="Normal 2 5 2 2 3 2 4 3" xfId="18405"/>
    <cellStyle name="Normal 2 5 2 2 3 2 5" xfId="3942"/>
    <cellStyle name="Normal 2 5 2 2 3 2 5 2" xfId="12580"/>
    <cellStyle name="Normal 2 5 2 2 3 2 5 3" xfId="18406"/>
    <cellStyle name="Normal 2 5 2 2 3 2 6" xfId="3943"/>
    <cellStyle name="Normal 2 5 2 2 3 2 6 2" xfId="12581"/>
    <cellStyle name="Normal 2 5 2 2 3 2 6 3" xfId="18407"/>
    <cellStyle name="Normal 2 5 2 2 3 2 7" xfId="9282"/>
    <cellStyle name="Normal 2 5 2 2 3 2 8" xfId="18402"/>
    <cellStyle name="Normal 2 5 2 2 3 2_LNG &amp; LPG rework" xfId="7179"/>
    <cellStyle name="Normal 2 5 2 2 3 3" xfId="3944"/>
    <cellStyle name="Normal 2 5 2 2 3 3 2" xfId="3945"/>
    <cellStyle name="Normal 2 5 2 2 3 3 2 2" xfId="12583"/>
    <cellStyle name="Normal 2 5 2 2 3 3 2 3" xfId="18409"/>
    <cellStyle name="Normal 2 5 2 2 3 3 3" xfId="3946"/>
    <cellStyle name="Normal 2 5 2 2 3 3 3 2" xfId="12584"/>
    <cellStyle name="Normal 2 5 2 2 3 3 3 3" xfId="18410"/>
    <cellStyle name="Normal 2 5 2 2 3 3 4" xfId="3947"/>
    <cellStyle name="Normal 2 5 2 2 3 3 4 2" xfId="12585"/>
    <cellStyle name="Normal 2 5 2 2 3 3 4 3" xfId="18411"/>
    <cellStyle name="Normal 2 5 2 2 3 3 5" xfId="3948"/>
    <cellStyle name="Normal 2 5 2 2 3 3 5 2" xfId="12586"/>
    <cellStyle name="Normal 2 5 2 2 3 3 5 3" xfId="18412"/>
    <cellStyle name="Normal 2 5 2 2 3 3 6" xfId="12582"/>
    <cellStyle name="Normal 2 5 2 2 3 3 7" xfId="18408"/>
    <cellStyle name="Normal 2 5 2 2 3 3_LNG &amp; LPG rework" xfId="7180"/>
    <cellStyle name="Normal 2 5 2 2 3 4" xfId="3949"/>
    <cellStyle name="Normal 2 5 2 2 3 4 2" xfId="12587"/>
    <cellStyle name="Normal 2 5 2 2 3 4 3" xfId="18413"/>
    <cellStyle name="Normal 2 5 2 2 3 5" xfId="3950"/>
    <cellStyle name="Normal 2 5 2 2 3 5 2" xfId="12588"/>
    <cellStyle name="Normal 2 5 2 2 3 5 3" xfId="18414"/>
    <cellStyle name="Normal 2 5 2 2 3 6" xfId="3951"/>
    <cellStyle name="Normal 2 5 2 2 3 6 2" xfId="12589"/>
    <cellStyle name="Normal 2 5 2 2 3 6 3" xfId="18415"/>
    <cellStyle name="Normal 2 5 2 2 3 7" xfId="3952"/>
    <cellStyle name="Normal 2 5 2 2 3 7 2" xfId="12590"/>
    <cellStyle name="Normal 2 5 2 2 3 7 3" xfId="18416"/>
    <cellStyle name="Normal 2 5 2 2 3 8" xfId="3953"/>
    <cellStyle name="Normal 2 5 2 2 3 8 2" xfId="12591"/>
    <cellStyle name="Normal 2 5 2 2 3 8 3" xfId="18417"/>
    <cellStyle name="Normal 2 5 2 2 3 9" xfId="9281"/>
    <cellStyle name="Normal 2 5 2 2 3_LNG &amp; LPG rework" xfId="7178"/>
    <cellStyle name="Normal 2 5 2 2 4" xfId="446"/>
    <cellStyle name="Normal 2 5 2 2 4 2" xfId="3954"/>
    <cellStyle name="Normal 2 5 2 2 4 2 2" xfId="12592"/>
    <cellStyle name="Normal 2 5 2 2 4 2 3" xfId="18419"/>
    <cellStyle name="Normal 2 5 2 2 4 3" xfId="3955"/>
    <cellStyle name="Normal 2 5 2 2 4 3 2" xfId="12593"/>
    <cellStyle name="Normal 2 5 2 2 4 3 3" xfId="18420"/>
    <cellStyle name="Normal 2 5 2 2 4 4" xfId="3956"/>
    <cellStyle name="Normal 2 5 2 2 4 4 2" xfId="12594"/>
    <cellStyle name="Normal 2 5 2 2 4 4 3" xfId="18421"/>
    <cellStyle name="Normal 2 5 2 2 4 5" xfId="3957"/>
    <cellStyle name="Normal 2 5 2 2 4 5 2" xfId="12595"/>
    <cellStyle name="Normal 2 5 2 2 4 5 3" xfId="18422"/>
    <cellStyle name="Normal 2 5 2 2 4 6" xfId="3958"/>
    <cellStyle name="Normal 2 5 2 2 4 6 2" xfId="12596"/>
    <cellStyle name="Normal 2 5 2 2 4 6 3" xfId="18423"/>
    <cellStyle name="Normal 2 5 2 2 4 7" xfId="9283"/>
    <cellStyle name="Normal 2 5 2 2 4 8" xfId="18418"/>
    <cellStyle name="Normal 2 5 2 2 4_LNG &amp; LPG rework" xfId="7181"/>
    <cellStyle name="Normal 2 5 2 2 5" xfId="3959"/>
    <cellStyle name="Normal 2 5 2 2 5 2" xfId="3960"/>
    <cellStyle name="Normal 2 5 2 2 5 2 2" xfId="12598"/>
    <cellStyle name="Normal 2 5 2 2 5 2 3" xfId="18425"/>
    <cellStyle name="Normal 2 5 2 2 5 3" xfId="3961"/>
    <cellStyle name="Normal 2 5 2 2 5 3 2" xfId="12599"/>
    <cellStyle name="Normal 2 5 2 2 5 3 3" xfId="18426"/>
    <cellStyle name="Normal 2 5 2 2 5 4" xfId="3962"/>
    <cellStyle name="Normal 2 5 2 2 5 4 2" xfId="12600"/>
    <cellStyle name="Normal 2 5 2 2 5 4 3" xfId="18427"/>
    <cellStyle name="Normal 2 5 2 2 5 5" xfId="3963"/>
    <cellStyle name="Normal 2 5 2 2 5 5 2" xfId="12601"/>
    <cellStyle name="Normal 2 5 2 2 5 5 3" xfId="18428"/>
    <cellStyle name="Normal 2 5 2 2 5 6" xfId="12597"/>
    <cellStyle name="Normal 2 5 2 2 5 7" xfId="18424"/>
    <cellStyle name="Normal 2 5 2 2 5_LNG &amp; LPG rework" xfId="7182"/>
    <cellStyle name="Normal 2 5 2 2 6" xfId="3964"/>
    <cellStyle name="Normal 2 5 2 2 6 2" xfId="3965"/>
    <cellStyle name="Normal 2 5 2 2 6 2 2" xfId="12603"/>
    <cellStyle name="Normal 2 5 2 2 6 2 3" xfId="18430"/>
    <cellStyle name="Normal 2 5 2 2 6 3" xfId="3966"/>
    <cellStyle name="Normal 2 5 2 2 6 3 2" xfId="12604"/>
    <cellStyle name="Normal 2 5 2 2 6 3 3" xfId="18431"/>
    <cellStyle name="Normal 2 5 2 2 6 4" xfId="3967"/>
    <cellStyle name="Normal 2 5 2 2 6 4 2" xfId="12605"/>
    <cellStyle name="Normal 2 5 2 2 6 4 3" xfId="18432"/>
    <cellStyle name="Normal 2 5 2 2 6 5" xfId="3968"/>
    <cellStyle name="Normal 2 5 2 2 6 5 2" xfId="12606"/>
    <cellStyle name="Normal 2 5 2 2 6 5 3" xfId="18433"/>
    <cellStyle name="Normal 2 5 2 2 6 6" xfId="12602"/>
    <cellStyle name="Normal 2 5 2 2 6 7" xfId="18429"/>
    <cellStyle name="Normal 2 5 2 2 6_LNG &amp; LPG rework" xfId="7183"/>
    <cellStyle name="Normal 2 5 2 2 7" xfId="3969"/>
    <cellStyle name="Normal 2 5 2 2 7 2" xfId="12607"/>
    <cellStyle name="Normal 2 5 2 2 7 3" xfId="18434"/>
    <cellStyle name="Normal 2 5 2 2 8" xfId="3970"/>
    <cellStyle name="Normal 2 5 2 2 8 2" xfId="12608"/>
    <cellStyle name="Normal 2 5 2 2 8 3" xfId="18435"/>
    <cellStyle name="Normal 2 5 2 2 9" xfId="3971"/>
    <cellStyle name="Normal 2 5 2 2 9 2" xfId="12609"/>
    <cellStyle name="Normal 2 5 2 2 9 3" xfId="18436"/>
    <cellStyle name="Normal 2 5 2 2_LNG &amp; LPG rework" xfId="7170"/>
    <cellStyle name="Normal 2 5 2 3" xfId="447"/>
    <cellStyle name="Normal 2 5 2 3 10" xfId="3972"/>
    <cellStyle name="Normal 2 5 2 3 10 2" xfId="12610"/>
    <cellStyle name="Normal 2 5 2 3 10 3" xfId="18438"/>
    <cellStyle name="Normal 2 5 2 3 11" xfId="9284"/>
    <cellStyle name="Normal 2 5 2 3 12" xfId="18437"/>
    <cellStyle name="Normal 2 5 2 3 2" xfId="448"/>
    <cellStyle name="Normal 2 5 2 3 2 10" xfId="18439"/>
    <cellStyle name="Normal 2 5 2 3 2 2" xfId="449"/>
    <cellStyle name="Normal 2 5 2 3 2 2 2" xfId="3973"/>
    <cellStyle name="Normal 2 5 2 3 2 2 2 2" xfId="12611"/>
    <cellStyle name="Normal 2 5 2 3 2 2 2 3" xfId="18441"/>
    <cellStyle name="Normal 2 5 2 3 2 2 3" xfId="3974"/>
    <cellStyle name="Normal 2 5 2 3 2 2 3 2" xfId="12612"/>
    <cellStyle name="Normal 2 5 2 3 2 2 3 3" xfId="18442"/>
    <cellStyle name="Normal 2 5 2 3 2 2 4" xfId="3975"/>
    <cellStyle name="Normal 2 5 2 3 2 2 4 2" xfId="12613"/>
    <cellStyle name="Normal 2 5 2 3 2 2 4 3" xfId="18443"/>
    <cellStyle name="Normal 2 5 2 3 2 2 5" xfId="3976"/>
    <cellStyle name="Normal 2 5 2 3 2 2 5 2" xfId="12614"/>
    <cellStyle name="Normal 2 5 2 3 2 2 5 3" xfId="18444"/>
    <cellStyle name="Normal 2 5 2 3 2 2 6" xfId="3977"/>
    <cellStyle name="Normal 2 5 2 3 2 2 6 2" xfId="12615"/>
    <cellStyle name="Normal 2 5 2 3 2 2 6 3" xfId="18445"/>
    <cellStyle name="Normal 2 5 2 3 2 2 7" xfId="9286"/>
    <cellStyle name="Normal 2 5 2 3 2 2 8" xfId="18440"/>
    <cellStyle name="Normal 2 5 2 3 2 2_LNG &amp; LPG rework" xfId="7186"/>
    <cellStyle name="Normal 2 5 2 3 2 3" xfId="3978"/>
    <cellStyle name="Normal 2 5 2 3 2 3 2" xfId="3979"/>
    <cellStyle name="Normal 2 5 2 3 2 3 2 2" xfId="12617"/>
    <cellStyle name="Normal 2 5 2 3 2 3 2 3" xfId="18447"/>
    <cellStyle name="Normal 2 5 2 3 2 3 3" xfId="3980"/>
    <cellStyle name="Normal 2 5 2 3 2 3 3 2" xfId="12618"/>
    <cellStyle name="Normal 2 5 2 3 2 3 3 3" xfId="18448"/>
    <cellStyle name="Normal 2 5 2 3 2 3 4" xfId="3981"/>
    <cellStyle name="Normal 2 5 2 3 2 3 4 2" xfId="12619"/>
    <cellStyle name="Normal 2 5 2 3 2 3 4 3" xfId="18449"/>
    <cellStyle name="Normal 2 5 2 3 2 3 5" xfId="3982"/>
    <cellStyle name="Normal 2 5 2 3 2 3 5 2" xfId="12620"/>
    <cellStyle name="Normal 2 5 2 3 2 3 5 3" xfId="18450"/>
    <cellStyle name="Normal 2 5 2 3 2 3 6" xfId="12616"/>
    <cellStyle name="Normal 2 5 2 3 2 3 7" xfId="18446"/>
    <cellStyle name="Normal 2 5 2 3 2 3_LNG &amp; LPG rework" xfId="7187"/>
    <cellStyle name="Normal 2 5 2 3 2 4" xfId="3983"/>
    <cellStyle name="Normal 2 5 2 3 2 4 2" xfId="12621"/>
    <cellStyle name="Normal 2 5 2 3 2 4 3" xfId="18451"/>
    <cellStyle name="Normal 2 5 2 3 2 5" xfId="3984"/>
    <cellStyle name="Normal 2 5 2 3 2 5 2" xfId="12622"/>
    <cellStyle name="Normal 2 5 2 3 2 5 3" xfId="18452"/>
    <cellStyle name="Normal 2 5 2 3 2 6" xfId="3985"/>
    <cellStyle name="Normal 2 5 2 3 2 6 2" xfId="12623"/>
    <cellStyle name="Normal 2 5 2 3 2 6 3" xfId="18453"/>
    <cellStyle name="Normal 2 5 2 3 2 7" xfId="3986"/>
    <cellStyle name="Normal 2 5 2 3 2 7 2" xfId="12624"/>
    <cellStyle name="Normal 2 5 2 3 2 7 3" xfId="18454"/>
    <cellStyle name="Normal 2 5 2 3 2 8" xfId="3987"/>
    <cellStyle name="Normal 2 5 2 3 2 8 2" xfId="12625"/>
    <cellStyle name="Normal 2 5 2 3 2 8 3" xfId="18455"/>
    <cellStyle name="Normal 2 5 2 3 2 9" xfId="9285"/>
    <cellStyle name="Normal 2 5 2 3 2_LNG &amp; LPG rework" xfId="7185"/>
    <cellStyle name="Normal 2 5 2 3 3" xfId="450"/>
    <cellStyle name="Normal 2 5 2 3 3 2" xfId="3988"/>
    <cellStyle name="Normal 2 5 2 3 3 2 2" xfId="12626"/>
    <cellStyle name="Normal 2 5 2 3 3 2 3" xfId="18457"/>
    <cellStyle name="Normal 2 5 2 3 3 3" xfId="3989"/>
    <cellStyle name="Normal 2 5 2 3 3 3 2" xfId="12627"/>
    <cellStyle name="Normal 2 5 2 3 3 3 3" xfId="18458"/>
    <cellStyle name="Normal 2 5 2 3 3 4" xfId="3990"/>
    <cellStyle name="Normal 2 5 2 3 3 4 2" xfId="12628"/>
    <cellStyle name="Normal 2 5 2 3 3 4 3" xfId="18459"/>
    <cellStyle name="Normal 2 5 2 3 3 5" xfId="3991"/>
    <cellStyle name="Normal 2 5 2 3 3 5 2" xfId="12629"/>
    <cellStyle name="Normal 2 5 2 3 3 5 3" xfId="18460"/>
    <cellStyle name="Normal 2 5 2 3 3 6" xfId="3992"/>
    <cellStyle name="Normal 2 5 2 3 3 6 2" xfId="12630"/>
    <cellStyle name="Normal 2 5 2 3 3 6 3" xfId="18461"/>
    <cellStyle name="Normal 2 5 2 3 3 7" xfId="9287"/>
    <cellStyle name="Normal 2 5 2 3 3 8" xfId="18456"/>
    <cellStyle name="Normal 2 5 2 3 3_LNG &amp; LPG rework" xfId="7188"/>
    <cellStyle name="Normal 2 5 2 3 4" xfId="3993"/>
    <cellStyle name="Normal 2 5 2 3 4 2" xfId="3994"/>
    <cellStyle name="Normal 2 5 2 3 4 2 2" xfId="12632"/>
    <cellStyle name="Normal 2 5 2 3 4 2 3" xfId="18463"/>
    <cellStyle name="Normal 2 5 2 3 4 3" xfId="3995"/>
    <cellStyle name="Normal 2 5 2 3 4 3 2" xfId="12633"/>
    <cellStyle name="Normal 2 5 2 3 4 3 3" xfId="18464"/>
    <cellStyle name="Normal 2 5 2 3 4 4" xfId="3996"/>
    <cellStyle name="Normal 2 5 2 3 4 4 2" xfId="12634"/>
    <cellStyle name="Normal 2 5 2 3 4 4 3" xfId="18465"/>
    <cellStyle name="Normal 2 5 2 3 4 5" xfId="3997"/>
    <cellStyle name="Normal 2 5 2 3 4 5 2" xfId="12635"/>
    <cellStyle name="Normal 2 5 2 3 4 5 3" xfId="18466"/>
    <cellStyle name="Normal 2 5 2 3 4 6" xfId="12631"/>
    <cellStyle name="Normal 2 5 2 3 4 7" xfId="18462"/>
    <cellStyle name="Normal 2 5 2 3 4_LNG &amp; LPG rework" xfId="7189"/>
    <cellStyle name="Normal 2 5 2 3 5" xfId="3998"/>
    <cellStyle name="Normal 2 5 2 3 5 2" xfId="3999"/>
    <cellStyle name="Normal 2 5 2 3 5 2 2" xfId="12637"/>
    <cellStyle name="Normal 2 5 2 3 5 2 3" xfId="18468"/>
    <cellStyle name="Normal 2 5 2 3 5 3" xfId="4000"/>
    <cellStyle name="Normal 2 5 2 3 5 3 2" xfId="12638"/>
    <cellStyle name="Normal 2 5 2 3 5 3 3" xfId="18469"/>
    <cellStyle name="Normal 2 5 2 3 5 4" xfId="4001"/>
    <cellStyle name="Normal 2 5 2 3 5 4 2" xfId="12639"/>
    <cellStyle name="Normal 2 5 2 3 5 4 3" xfId="18470"/>
    <cellStyle name="Normal 2 5 2 3 5 5" xfId="4002"/>
    <cellStyle name="Normal 2 5 2 3 5 5 2" xfId="12640"/>
    <cellStyle name="Normal 2 5 2 3 5 5 3" xfId="18471"/>
    <cellStyle name="Normal 2 5 2 3 5 6" xfId="12636"/>
    <cellStyle name="Normal 2 5 2 3 5 7" xfId="18467"/>
    <cellStyle name="Normal 2 5 2 3 5_LNG &amp; LPG rework" xfId="7190"/>
    <cellStyle name="Normal 2 5 2 3 6" xfId="4003"/>
    <cellStyle name="Normal 2 5 2 3 6 2" xfId="12641"/>
    <cellStyle name="Normal 2 5 2 3 6 3" xfId="18472"/>
    <cellStyle name="Normal 2 5 2 3 7" xfId="4004"/>
    <cellStyle name="Normal 2 5 2 3 7 2" xfId="12642"/>
    <cellStyle name="Normal 2 5 2 3 7 3" xfId="18473"/>
    <cellStyle name="Normal 2 5 2 3 8" xfId="4005"/>
    <cellStyle name="Normal 2 5 2 3 8 2" xfId="12643"/>
    <cellStyle name="Normal 2 5 2 3 8 3" xfId="18474"/>
    <cellStyle name="Normal 2 5 2 3 9" xfId="4006"/>
    <cellStyle name="Normal 2 5 2 3 9 2" xfId="12644"/>
    <cellStyle name="Normal 2 5 2 3 9 3" xfId="18475"/>
    <cellStyle name="Normal 2 5 2 3_LNG &amp; LPG rework" xfId="7184"/>
    <cellStyle name="Normal 2 5 2 4" xfId="451"/>
    <cellStyle name="Normal 2 5 2 4 10" xfId="18476"/>
    <cellStyle name="Normal 2 5 2 4 2" xfId="452"/>
    <cellStyle name="Normal 2 5 2 4 2 2" xfId="4007"/>
    <cellStyle name="Normal 2 5 2 4 2 2 2" xfId="12645"/>
    <cellStyle name="Normal 2 5 2 4 2 2 3" xfId="18478"/>
    <cellStyle name="Normal 2 5 2 4 2 3" xfId="4008"/>
    <cellStyle name="Normal 2 5 2 4 2 3 2" xfId="12646"/>
    <cellStyle name="Normal 2 5 2 4 2 3 3" xfId="18479"/>
    <cellStyle name="Normal 2 5 2 4 2 4" xfId="4009"/>
    <cellStyle name="Normal 2 5 2 4 2 4 2" xfId="12647"/>
    <cellStyle name="Normal 2 5 2 4 2 4 3" xfId="18480"/>
    <cellStyle name="Normal 2 5 2 4 2 5" xfId="4010"/>
    <cellStyle name="Normal 2 5 2 4 2 5 2" xfId="12648"/>
    <cellStyle name="Normal 2 5 2 4 2 5 3" xfId="18481"/>
    <cellStyle name="Normal 2 5 2 4 2 6" xfId="4011"/>
    <cellStyle name="Normal 2 5 2 4 2 6 2" xfId="12649"/>
    <cellStyle name="Normal 2 5 2 4 2 6 3" xfId="18482"/>
    <cellStyle name="Normal 2 5 2 4 2 7" xfId="9289"/>
    <cellStyle name="Normal 2 5 2 4 2 8" xfId="18477"/>
    <cellStyle name="Normal 2 5 2 4 2_LNG &amp; LPG rework" xfId="7192"/>
    <cellStyle name="Normal 2 5 2 4 3" xfId="4012"/>
    <cellStyle name="Normal 2 5 2 4 3 2" xfId="4013"/>
    <cellStyle name="Normal 2 5 2 4 3 2 2" xfId="12651"/>
    <cellStyle name="Normal 2 5 2 4 3 2 3" xfId="18484"/>
    <cellStyle name="Normal 2 5 2 4 3 3" xfId="4014"/>
    <cellStyle name="Normal 2 5 2 4 3 3 2" xfId="12652"/>
    <cellStyle name="Normal 2 5 2 4 3 3 3" xfId="18485"/>
    <cellStyle name="Normal 2 5 2 4 3 4" xfId="4015"/>
    <cellStyle name="Normal 2 5 2 4 3 4 2" xfId="12653"/>
    <cellStyle name="Normal 2 5 2 4 3 4 3" xfId="18486"/>
    <cellStyle name="Normal 2 5 2 4 3 5" xfId="4016"/>
    <cellStyle name="Normal 2 5 2 4 3 5 2" xfId="12654"/>
    <cellStyle name="Normal 2 5 2 4 3 5 3" xfId="18487"/>
    <cellStyle name="Normal 2 5 2 4 3 6" xfId="12650"/>
    <cellStyle name="Normal 2 5 2 4 3 7" xfId="18483"/>
    <cellStyle name="Normal 2 5 2 4 3_LNG &amp; LPG rework" xfId="7193"/>
    <cellStyle name="Normal 2 5 2 4 4" xfId="4017"/>
    <cellStyle name="Normal 2 5 2 4 4 2" xfId="12655"/>
    <cellStyle name="Normal 2 5 2 4 4 3" xfId="18488"/>
    <cellStyle name="Normal 2 5 2 4 5" xfId="4018"/>
    <cellStyle name="Normal 2 5 2 4 5 2" xfId="12656"/>
    <cellStyle name="Normal 2 5 2 4 5 3" xfId="18489"/>
    <cellStyle name="Normal 2 5 2 4 6" xfId="4019"/>
    <cellStyle name="Normal 2 5 2 4 6 2" xfId="12657"/>
    <cellStyle name="Normal 2 5 2 4 6 3" xfId="18490"/>
    <cellStyle name="Normal 2 5 2 4 7" xfId="4020"/>
    <cellStyle name="Normal 2 5 2 4 7 2" xfId="12658"/>
    <cellStyle name="Normal 2 5 2 4 7 3" xfId="18491"/>
    <cellStyle name="Normal 2 5 2 4 8" xfId="4021"/>
    <cellStyle name="Normal 2 5 2 4 8 2" xfId="12659"/>
    <cellStyle name="Normal 2 5 2 4 8 3" xfId="18492"/>
    <cellStyle name="Normal 2 5 2 4 9" xfId="9288"/>
    <cellStyle name="Normal 2 5 2 4_LNG &amp; LPG rework" xfId="7191"/>
    <cellStyle name="Normal 2 5 2 5" xfId="453"/>
    <cellStyle name="Normal 2 5 2 5 2" xfId="4022"/>
    <cellStyle name="Normal 2 5 2 5 2 2" xfId="12660"/>
    <cellStyle name="Normal 2 5 2 5 2 3" xfId="18494"/>
    <cellStyle name="Normal 2 5 2 5 3" xfId="4023"/>
    <cellStyle name="Normal 2 5 2 5 3 2" xfId="12661"/>
    <cellStyle name="Normal 2 5 2 5 3 3" xfId="18495"/>
    <cellStyle name="Normal 2 5 2 5 4" xfId="9290"/>
    <cellStyle name="Normal 2 5 2 5 5" xfId="18493"/>
    <cellStyle name="Normal 2 5 2 5_LNG &amp; LPG rework" xfId="7194"/>
    <cellStyle name="Normal 2 5 2 6" xfId="4024"/>
    <cellStyle name="Normal 2 5 2 6 2" xfId="4025"/>
    <cellStyle name="Normal 2 5 2 6 2 2" xfId="12663"/>
    <cellStyle name="Normal 2 5 2 6 2 3" xfId="18497"/>
    <cellStyle name="Normal 2 5 2 6 3" xfId="4026"/>
    <cellStyle name="Normal 2 5 2 6 3 2" xfId="12664"/>
    <cellStyle name="Normal 2 5 2 6 3 3" xfId="18498"/>
    <cellStyle name="Normal 2 5 2 6 4" xfId="4027"/>
    <cellStyle name="Normal 2 5 2 6 4 2" xfId="12665"/>
    <cellStyle name="Normal 2 5 2 6 4 3" xfId="18499"/>
    <cellStyle name="Normal 2 5 2 6 5" xfId="4028"/>
    <cellStyle name="Normal 2 5 2 6 5 2" xfId="12666"/>
    <cellStyle name="Normal 2 5 2 6 5 3" xfId="18500"/>
    <cellStyle name="Normal 2 5 2 6 6" xfId="12662"/>
    <cellStyle name="Normal 2 5 2 6 7" xfId="18496"/>
    <cellStyle name="Normal 2 5 2 6_LNG &amp; LPG rework" xfId="7195"/>
    <cellStyle name="Normal 2 5 2 7" xfId="4029"/>
    <cellStyle name="Normal 2 5 2 7 2" xfId="4030"/>
    <cellStyle name="Normal 2 5 2 7 2 2" xfId="12668"/>
    <cellStyle name="Normal 2 5 2 7 2 3" xfId="18502"/>
    <cellStyle name="Normal 2 5 2 7 3" xfId="4031"/>
    <cellStyle name="Normal 2 5 2 7 3 2" xfId="12669"/>
    <cellStyle name="Normal 2 5 2 7 3 3" xfId="18503"/>
    <cellStyle name="Normal 2 5 2 7 4" xfId="4032"/>
    <cellStyle name="Normal 2 5 2 7 4 2" xfId="12670"/>
    <cellStyle name="Normal 2 5 2 7 4 3" xfId="18504"/>
    <cellStyle name="Normal 2 5 2 7 5" xfId="4033"/>
    <cellStyle name="Normal 2 5 2 7 5 2" xfId="12671"/>
    <cellStyle name="Normal 2 5 2 7 5 3" xfId="18505"/>
    <cellStyle name="Normal 2 5 2 7 6" xfId="12667"/>
    <cellStyle name="Normal 2 5 2 7 7" xfId="18501"/>
    <cellStyle name="Normal 2 5 2 7_LNG &amp; LPG rework" xfId="7196"/>
    <cellStyle name="Normal 2 5 2 8" xfId="4034"/>
    <cellStyle name="Normal 2 5 2 8 2" xfId="4035"/>
    <cellStyle name="Normal 2 5 2 8 2 2" xfId="12673"/>
    <cellStyle name="Normal 2 5 2 8 2 3" xfId="18507"/>
    <cellStyle name="Normal 2 5 2 8 3" xfId="4036"/>
    <cellStyle name="Normal 2 5 2 8 3 2" xfId="12674"/>
    <cellStyle name="Normal 2 5 2 8 3 3" xfId="18508"/>
    <cellStyle name="Normal 2 5 2 8 4" xfId="4037"/>
    <cellStyle name="Normal 2 5 2 8 4 2" xfId="12675"/>
    <cellStyle name="Normal 2 5 2 8 4 3" xfId="18509"/>
    <cellStyle name="Normal 2 5 2 8 5" xfId="4038"/>
    <cellStyle name="Normal 2 5 2 8 5 2" xfId="12676"/>
    <cellStyle name="Normal 2 5 2 8 5 3" xfId="18510"/>
    <cellStyle name="Normal 2 5 2 8 6" xfId="12672"/>
    <cellStyle name="Normal 2 5 2 8 7" xfId="18506"/>
    <cellStyle name="Normal 2 5 2 8_LNG &amp; LPG rework" xfId="7197"/>
    <cellStyle name="Normal 2 5 2 9" xfId="4039"/>
    <cellStyle name="Normal 2 5 2 9 2" xfId="12677"/>
    <cellStyle name="Normal 2 5 2 9 3" xfId="18511"/>
    <cellStyle name="Normal 2 5 2_LNG &amp; LPG rework" xfId="7169"/>
    <cellStyle name="Normal 2 5 3" xfId="454"/>
    <cellStyle name="Normal 2 5 3 10" xfId="4040"/>
    <cellStyle name="Normal 2 5 3 10 2" xfId="12678"/>
    <cellStyle name="Normal 2 5 3 10 3" xfId="18513"/>
    <cellStyle name="Normal 2 5 3 11" xfId="4041"/>
    <cellStyle name="Normal 2 5 3 11 2" xfId="12679"/>
    <cellStyle name="Normal 2 5 3 11 3" xfId="18514"/>
    <cellStyle name="Normal 2 5 3 12" xfId="4042"/>
    <cellStyle name="Normal 2 5 3 12 2" xfId="12680"/>
    <cellStyle name="Normal 2 5 3 12 3" xfId="18515"/>
    <cellStyle name="Normal 2 5 3 13" xfId="9291"/>
    <cellStyle name="Normal 2 5 3 14" xfId="18512"/>
    <cellStyle name="Normal 2 5 3 2" xfId="455"/>
    <cellStyle name="Normal 2 5 3 2 10" xfId="4043"/>
    <cellStyle name="Normal 2 5 3 2 10 2" xfId="12681"/>
    <cellStyle name="Normal 2 5 3 2 10 3" xfId="18517"/>
    <cellStyle name="Normal 2 5 3 2 11" xfId="9292"/>
    <cellStyle name="Normal 2 5 3 2 12" xfId="18516"/>
    <cellStyle name="Normal 2 5 3 2 2" xfId="456"/>
    <cellStyle name="Normal 2 5 3 2 2 10" xfId="18518"/>
    <cellStyle name="Normal 2 5 3 2 2 2" xfId="457"/>
    <cellStyle name="Normal 2 5 3 2 2 2 2" xfId="4044"/>
    <cellStyle name="Normal 2 5 3 2 2 2 2 2" xfId="12682"/>
    <cellStyle name="Normal 2 5 3 2 2 2 2 3" xfId="18520"/>
    <cellStyle name="Normal 2 5 3 2 2 2 3" xfId="4045"/>
    <cellStyle name="Normal 2 5 3 2 2 2 3 2" xfId="12683"/>
    <cellStyle name="Normal 2 5 3 2 2 2 3 3" xfId="18521"/>
    <cellStyle name="Normal 2 5 3 2 2 2 4" xfId="4046"/>
    <cellStyle name="Normal 2 5 3 2 2 2 4 2" xfId="12684"/>
    <cellStyle name="Normal 2 5 3 2 2 2 4 3" xfId="18522"/>
    <cellStyle name="Normal 2 5 3 2 2 2 5" xfId="4047"/>
    <cellStyle name="Normal 2 5 3 2 2 2 5 2" xfId="12685"/>
    <cellStyle name="Normal 2 5 3 2 2 2 5 3" xfId="18523"/>
    <cellStyle name="Normal 2 5 3 2 2 2 6" xfId="4048"/>
    <cellStyle name="Normal 2 5 3 2 2 2 6 2" xfId="12686"/>
    <cellStyle name="Normal 2 5 3 2 2 2 6 3" xfId="18524"/>
    <cellStyle name="Normal 2 5 3 2 2 2 7" xfId="9294"/>
    <cellStyle name="Normal 2 5 3 2 2 2 8" xfId="18519"/>
    <cellStyle name="Normal 2 5 3 2 2 2_LNG &amp; LPG rework" xfId="7201"/>
    <cellStyle name="Normal 2 5 3 2 2 3" xfId="4049"/>
    <cellStyle name="Normal 2 5 3 2 2 3 2" xfId="4050"/>
    <cellStyle name="Normal 2 5 3 2 2 3 2 2" xfId="12688"/>
    <cellStyle name="Normal 2 5 3 2 2 3 2 3" xfId="18526"/>
    <cellStyle name="Normal 2 5 3 2 2 3 3" xfId="4051"/>
    <cellStyle name="Normal 2 5 3 2 2 3 3 2" xfId="12689"/>
    <cellStyle name="Normal 2 5 3 2 2 3 3 3" xfId="18527"/>
    <cellStyle name="Normal 2 5 3 2 2 3 4" xfId="4052"/>
    <cellStyle name="Normal 2 5 3 2 2 3 4 2" xfId="12690"/>
    <cellStyle name="Normal 2 5 3 2 2 3 4 3" xfId="18528"/>
    <cellStyle name="Normal 2 5 3 2 2 3 5" xfId="4053"/>
    <cellStyle name="Normal 2 5 3 2 2 3 5 2" xfId="12691"/>
    <cellStyle name="Normal 2 5 3 2 2 3 5 3" xfId="18529"/>
    <cellStyle name="Normal 2 5 3 2 2 3 6" xfId="12687"/>
    <cellStyle name="Normal 2 5 3 2 2 3 7" xfId="18525"/>
    <cellStyle name="Normal 2 5 3 2 2 3_LNG &amp; LPG rework" xfId="7202"/>
    <cellStyle name="Normal 2 5 3 2 2 4" xfId="4054"/>
    <cellStyle name="Normal 2 5 3 2 2 4 2" xfId="12692"/>
    <cellStyle name="Normal 2 5 3 2 2 4 3" xfId="18530"/>
    <cellStyle name="Normal 2 5 3 2 2 5" xfId="4055"/>
    <cellStyle name="Normal 2 5 3 2 2 5 2" xfId="12693"/>
    <cellStyle name="Normal 2 5 3 2 2 5 3" xfId="18531"/>
    <cellStyle name="Normal 2 5 3 2 2 6" xfId="4056"/>
    <cellStyle name="Normal 2 5 3 2 2 6 2" xfId="12694"/>
    <cellStyle name="Normal 2 5 3 2 2 6 3" xfId="18532"/>
    <cellStyle name="Normal 2 5 3 2 2 7" xfId="4057"/>
    <cellStyle name="Normal 2 5 3 2 2 7 2" xfId="12695"/>
    <cellStyle name="Normal 2 5 3 2 2 7 3" xfId="18533"/>
    <cellStyle name="Normal 2 5 3 2 2 8" xfId="4058"/>
    <cellStyle name="Normal 2 5 3 2 2 8 2" xfId="12696"/>
    <cellStyle name="Normal 2 5 3 2 2 8 3" xfId="18534"/>
    <cellStyle name="Normal 2 5 3 2 2 9" xfId="9293"/>
    <cellStyle name="Normal 2 5 3 2 2_LNG &amp; LPG rework" xfId="7200"/>
    <cellStyle name="Normal 2 5 3 2 3" xfId="458"/>
    <cellStyle name="Normal 2 5 3 2 3 2" xfId="4059"/>
    <cellStyle name="Normal 2 5 3 2 3 2 2" xfId="12697"/>
    <cellStyle name="Normal 2 5 3 2 3 2 3" xfId="18536"/>
    <cellStyle name="Normal 2 5 3 2 3 3" xfId="4060"/>
    <cellStyle name="Normal 2 5 3 2 3 3 2" xfId="12698"/>
    <cellStyle name="Normal 2 5 3 2 3 3 3" xfId="18537"/>
    <cellStyle name="Normal 2 5 3 2 3 4" xfId="4061"/>
    <cellStyle name="Normal 2 5 3 2 3 4 2" xfId="12699"/>
    <cellStyle name="Normal 2 5 3 2 3 4 3" xfId="18538"/>
    <cellStyle name="Normal 2 5 3 2 3 5" xfId="4062"/>
    <cellStyle name="Normal 2 5 3 2 3 5 2" xfId="12700"/>
    <cellStyle name="Normal 2 5 3 2 3 5 3" xfId="18539"/>
    <cellStyle name="Normal 2 5 3 2 3 6" xfId="4063"/>
    <cellStyle name="Normal 2 5 3 2 3 6 2" xfId="12701"/>
    <cellStyle name="Normal 2 5 3 2 3 6 3" xfId="18540"/>
    <cellStyle name="Normal 2 5 3 2 3 7" xfId="9295"/>
    <cellStyle name="Normal 2 5 3 2 3 8" xfId="18535"/>
    <cellStyle name="Normal 2 5 3 2 3_LNG &amp; LPG rework" xfId="7203"/>
    <cellStyle name="Normal 2 5 3 2 4" xfId="4064"/>
    <cellStyle name="Normal 2 5 3 2 4 2" xfId="4065"/>
    <cellStyle name="Normal 2 5 3 2 4 2 2" xfId="12703"/>
    <cellStyle name="Normal 2 5 3 2 4 2 3" xfId="18542"/>
    <cellStyle name="Normal 2 5 3 2 4 3" xfId="4066"/>
    <cellStyle name="Normal 2 5 3 2 4 3 2" xfId="12704"/>
    <cellStyle name="Normal 2 5 3 2 4 3 3" xfId="18543"/>
    <cellStyle name="Normal 2 5 3 2 4 4" xfId="4067"/>
    <cellStyle name="Normal 2 5 3 2 4 4 2" xfId="12705"/>
    <cellStyle name="Normal 2 5 3 2 4 4 3" xfId="18544"/>
    <cellStyle name="Normal 2 5 3 2 4 5" xfId="4068"/>
    <cellStyle name="Normal 2 5 3 2 4 5 2" xfId="12706"/>
    <cellStyle name="Normal 2 5 3 2 4 5 3" xfId="18545"/>
    <cellStyle name="Normal 2 5 3 2 4 6" xfId="12702"/>
    <cellStyle name="Normal 2 5 3 2 4 7" xfId="18541"/>
    <cellStyle name="Normal 2 5 3 2 4_LNG &amp; LPG rework" xfId="7204"/>
    <cellStyle name="Normal 2 5 3 2 5" xfId="4069"/>
    <cellStyle name="Normal 2 5 3 2 5 2" xfId="4070"/>
    <cellStyle name="Normal 2 5 3 2 5 2 2" xfId="12708"/>
    <cellStyle name="Normal 2 5 3 2 5 2 3" xfId="18547"/>
    <cellStyle name="Normal 2 5 3 2 5 3" xfId="4071"/>
    <cellStyle name="Normal 2 5 3 2 5 3 2" xfId="12709"/>
    <cellStyle name="Normal 2 5 3 2 5 3 3" xfId="18548"/>
    <cellStyle name="Normal 2 5 3 2 5 4" xfId="4072"/>
    <cellStyle name="Normal 2 5 3 2 5 4 2" xfId="12710"/>
    <cellStyle name="Normal 2 5 3 2 5 4 3" xfId="18549"/>
    <cellStyle name="Normal 2 5 3 2 5 5" xfId="4073"/>
    <cellStyle name="Normal 2 5 3 2 5 5 2" xfId="12711"/>
    <cellStyle name="Normal 2 5 3 2 5 5 3" xfId="18550"/>
    <cellStyle name="Normal 2 5 3 2 5 6" xfId="12707"/>
    <cellStyle name="Normal 2 5 3 2 5 7" xfId="18546"/>
    <cellStyle name="Normal 2 5 3 2 5_LNG &amp; LPG rework" xfId="7205"/>
    <cellStyle name="Normal 2 5 3 2 6" xfId="4074"/>
    <cellStyle name="Normal 2 5 3 2 6 2" xfId="12712"/>
    <cellStyle name="Normal 2 5 3 2 6 3" xfId="18551"/>
    <cellStyle name="Normal 2 5 3 2 7" xfId="4075"/>
    <cellStyle name="Normal 2 5 3 2 7 2" xfId="12713"/>
    <cellStyle name="Normal 2 5 3 2 7 3" xfId="18552"/>
    <cellStyle name="Normal 2 5 3 2 8" xfId="4076"/>
    <cellStyle name="Normal 2 5 3 2 8 2" xfId="12714"/>
    <cellStyle name="Normal 2 5 3 2 8 3" xfId="18553"/>
    <cellStyle name="Normal 2 5 3 2 9" xfId="4077"/>
    <cellStyle name="Normal 2 5 3 2 9 2" xfId="12715"/>
    <cellStyle name="Normal 2 5 3 2 9 3" xfId="18554"/>
    <cellStyle name="Normal 2 5 3 2_LNG &amp; LPG rework" xfId="7199"/>
    <cellStyle name="Normal 2 5 3 3" xfId="459"/>
    <cellStyle name="Normal 2 5 3 3 10" xfId="18555"/>
    <cellStyle name="Normal 2 5 3 3 2" xfId="460"/>
    <cellStyle name="Normal 2 5 3 3 2 2" xfId="4078"/>
    <cellStyle name="Normal 2 5 3 3 2 2 2" xfId="12716"/>
    <cellStyle name="Normal 2 5 3 3 2 2 3" xfId="18557"/>
    <cellStyle name="Normal 2 5 3 3 2 3" xfId="4079"/>
    <cellStyle name="Normal 2 5 3 3 2 3 2" xfId="12717"/>
    <cellStyle name="Normal 2 5 3 3 2 3 3" xfId="18558"/>
    <cellStyle name="Normal 2 5 3 3 2 4" xfId="4080"/>
    <cellStyle name="Normal 2 5 3 3 2 4 2" xfId="12718"/>
    <cellStyle name="Normal 2 5 3 3 2 4 3" xfId="18559"/>
    <cellStyle name="Normal 2 5 3 3 2 5" xfId="4081"/>
    <cellStyle name="Normal 2 5 3 3 2 5 2" xfId="12719"/>
    <cellStyle name="Normal 2 5 3 3 2 5 3" xfId="18560"/>
    <cellStyle name="Normal 2 5 3 3 2 6" xfId="4082"/>
    <cellStyle name="Normal 2 5 3 3 2 6 2" xfId="12720"/>
    <cellStyle name="Normal 2 5 3 3 2 6 3" xfId="18561"/>
    <cellStyle name="Normal 2 5 3 3 2 7" xfId="9297"/>
    <cellStyle name="Normal 2 5 3 3 2 8" xfId="18556"/>
    <cellStyle name="Normal 2 5 3 3 2_LNG &amp; LPG rework" xfId="7207"/>
    <cellStyle name="Normal 2 5 3 3 3" xfId="4083"/>
    <cellStyle name="Normal 2 5 3 3 3 2" xfId="4084"/>
    <cellStyle name="Normal 2 5 3 3 3 2 2" xfId="12722"/>
    <cellStyle name="Normal 2 5 3 3 3 2 3" xfId="18563"/>
    <cellStyle name="Normal 2 5 3 3 3 3" xfId="4085"/>
    <cellStyle name="Normal 2 5 3 3 3 3 2" xfId="12723"/>
    <cellStyle name="Normal 2 5 3 3 3 3 3" xfId="18564"/>
    <cellStyle name="Normal 2 5 3 3 3 4" xfId="4086"/>
    <cellStyle name="Normal 2 5 3 3 3 4 2" xfId="12724"/>
    <cellStyle name="Normal 2 5 3 3 3 4 3" xfId="18565"/>
    <cellStyle name="Normal 2 5 3 3 3 5" xfId="4087"/>
    <cellStyle name="Normal 2 5 3 3 3 5 2" xfId="12725"/>
    <cellStyle name="Normal 2 5 3 3 3 5 3" xfId="18566"/>
    <cellStyle name="Normal 2 5 3 3 3 6" xfId="12721"/>
    <cellStyle name="Normal 2 5 3 3 3 7" xfId="18562"/>
    <cellStyle name="Normal 2 5 3 3 3_LNG &amp; LPG rework" xfId="7208"/>
    <cellStyle name="Normal 2 5 3 3 4" xfId="4088"/>
    <cellStyle name="Normal 2 5 3 3 4 2" xfId="12726"/>
    <cellStyle name="Normal 2 5 3 3 4 3" xfId="18567"/>
    <cellStyle name="Normal 2 5 3 3 5" xfId="4089"/>
    <cellStyle name="Normal 2 5 3 3 5 2" xfId="12727"/>
    <cellStyle name="Normal 2 5 3 3 5 3" xfId="18568"/>
    <cellStyle name="Normal 2 5 3 3 6" xfId="4090"/>
    <cellStyle name="Normal 2 5 3 3 6 2" xfId="12728"/>
    <cellStyle name="Normal 2 5 3 3 6 3" xfId="18569"/>
    <cellStyle name="Normal 2 5 3 3 7" xfId="4091"/>
    <cellStyle name="Normal 2 5 3 3 7 2" xfId="12729"/>
    <cellStyle name="Normal 2 5 3 3 7 3" xfId="18570"/>
    <cellStyle name="Normal 2 5 3 3 8" xfId="4092"/>
    <cellStyle name="Normal 2 5 3 3 8 2" xfId="12730"/>
    <cellStyle name="Normal 2 5 3 3 8 3" xfId="18571"/>
    <cellStyle name="Normal 2 5 3 3 9" xfId="9296"/>
    <cellStyle name="Normal 2 5 3 3_LNG &amp; LPG rework" xfId="7206"/>
    <cellStyle name="Normal 2 5 3 4" xfId="461"/>
    <cellStyle name="Normal 2 5 3 4 2" xfId="4093"/>
    <cellStyle name="Normal 2 5 3 4 2 2" xfId="12731"/>
    <cellStyle name="Normal 2 5 3 4 2 3" xfId="18573"/>
    <cellStyle name="Normal 2 5 3 4 3" xfId="4094"/>
    <cellStyle name="Normal 2 5 3 4 3 2" xfId="12732"/>
    <cellStyle name="Normal 2 5 3 4 3 3" xfId="18574"/>
    <cellStyle name="Normal 2 5 3 4 4" xfId="9298"/>
    <cellStyle name="Normal 2 5 3 4 5" xfId="18572"/>
    <cellStyle name="Normal 2 5 3 4_LNG &amp; LPG rework" xfId="7209"/>
    <cellStyle name="Normal 2 5 3 5" xfId="4095"/>
    <cellStyle name="Normal 2 5 3 5 2" xfId="4096"/>
    <cellStyle name="Normal 2 5 3 5 2 2" xfId="12734"/>
    <cellStyle name="Normal 2 5 3 5 2 3" xfId="18576"/>
    <cellStyle name="Normal 2 5 3 5 3" xfId="4097"/>
    <cellStyle name="Normal 2 5 3 5 3 2" xfId="12735"/>
    <cellStyle name="Normal 2 5 3 5 3 3" xfId="18577"/>
    <cellStyle name="Normal 2 5 3 5 4" xfId="4098"/>
    <cellStyle name="Normal 2 5 3 5 4 2" xfId="12736"/>
    <cellStyle name="Normal 2 5 3 5 4 3" xfId="18578"/>
    <cellStyle name="Normal 2 5 3 5 5" xfId="4099"/>
    <cellStyle name="Normal 2 5 3 5 5 2" xfId="12737"/>
    <cellStyle name="Normal 2 5 3 5 5 3" xfId="18579"/>
    <cellStyle name="Normal 2 5 3 5 6" xfId="12733"/>
    <cellStyle name="Normal 2 5 3 5 7" xfId="18575"/>
    <cellStyle name="Normal 2 5 3 5_LNG &amp; LPG rework" xfId="7210"/>
    <cellStyle name="Normal 2 5 3 6" xfId="4100"/>
    <cellStyle name="Normal 2 5 3 6 2" xfId="4101"/>
    <cellStyle name="Normal 2 5 3 6 2 2" xfId="12739"/>
    <cellStyle name="Normal 2 5 3 6 2 3" xfId="18581"/>
    <cellStyle name="Normal 2 5 3 6 3" xfId="4102"/>
    <cellStyle name="Normal 2 5 3 6 3 2" xfId="12740"/>
    <cellStyle name="Normal 2 5 3 6 3 3" xfId="18582"/>
    <cellStyle name="Normal 2 5 3 6 4" xfId="4103"/>
    <cellStyle name="Normal 2 5 3 6 4 2" xfId="12741"/>
    <cellStyle name="Normal 2 5 3 6 4 3" xfId="18583"/>
    <cellStyle name="Normal 2 5 3 6 5" xfId="4104"/>
    <cellStyle name="Normal 2 5 3 6 5 2" xfId="12742"/>
    <cellStyle name="Normal 2 5 3 6 5 3" xfId="18584"/>
    <cellStyle name="Normal 2 5 3 6 6" xfId="12738"/>
    <cellStyle name="Normal 2 5 3 6 7" xfId="18580"/>
    <cellStyle name="Normal 2 5 3 6_LNG &amp; LPG rework" xfId="7211"/>
    <cellStyle name="Normal 2 5 3 7" xfId="4105"/>
    <cellStyle name="Normal 2 5 3 7 2" xfId="4106"/>
    <cellStyle name="Normal 2 5 3 7 2 2" xfId="12744"/>
    <cellStyle name="Normal 2 5 3 7 2 3" xfId="18586"/>
    <cellStyle name="Normal 2 5 3 7 3" xfId="4107"/>
    <cellStyle name="Normal 2 5 3 7 3 2" xfId="12745"/>
    <cellStyle name="Normal 2 5 3 7 3 3" xfId="18587"/>
    <cellStyle name="Normal 2 5 3 7 4" xfId="4108"/>
    <cellStyle name="Normal 2 5 3 7 4 2" xfId="12746"/>
    <cellStyle name="Normal 2 5 3 7 4 3" xfId="18588"/>
    <cellStyle name="Normal 2 5 3 7 5" xfId="4109"/>
    <cellStyle name="Normal 2 5 3 7 5 2" xfId="12747"/>
    <cellStyle name="Normal 2 5 3 7 5 3" xfId="18589"/>
    <cellStyle name="Normal 2 5 3 7 6" xfId="12743"/>
    <cellStyle name="Normal 2 5 3 7 7" xfId="18585"/>
    <cellStyle name="Normal 2 5 3 7_LNG &amp; LPG rework" xfId="7212"/>
    <cellStyle name="Normal 2 5 3 8" xfId="4110"/>
    <cellStyle name="Normal 2 5 3 8 2" xfId="12748"/>
    <cellStyle name="Normal 2 5 3 8 3" xfId="18590"/>
    <cellStyle name="Normal 2 5 3 9" xfId="4111"/>
    <cellStyle name="Normal 2 5 3 9 2" xfId="12749"/>
    <cellStyle name="Normal 2 5 3 9 3" xfId="18591"/>
    <cellStyle name="Normal 2 5 3_LNG &amp; LPG rework" xfId="7198"/>
    <cellStyle name="Normal 2 5 4" xfId="462"/>
    <cellStyle name="Normal 2 5 4 10" xfId="4112"/>
    <cellStyle name="Normal 2 5 4 10 2" xfId="12750"/>
    <cellStyle name="Normal 2 5 4 10 3" xfId="18593"/>
    <cellStyle name="Normal 2 5 4 11" xfId="9299"/>
    <cellStyle name="Normal 2 5 4 12" xfId="18592"/>
    <cellStyle name="Normal 2 5 4 2" xfId="463"/>
    <cellStyle name="Normal 2 5 4 2 10" xfId="18594"/>
    <cellStyle name="Normal 2 5 4 2 2" xfId="464"/>
    <cellStyle name="Normal 2 5 4 2 2 2" xfId="4113"/>
    <cellStyle name="Normal 2 5 4 2 2 2 2" xfId="12751"/>
    <cellStyle name="Normal 2 5 4 2 2 2 3" xfId="18596"/>
    <cellStyle name="Normal 2 5 4 2 2 3" xfId="4114"/>
    <cellStyle name="Normal 2 5 4 2 2 3 2" xfId="12752"/>
    <cellStyle name="Normal 2 5 4 2 2 3 3" xfId="18597"/>
    <cellStyle name="Normal 2 5 4 2 2 4" xfId="4115"/>
    <cellStyle name="Normal 2 5 4 2 2 4 2" xfId="12753"/>
    <cellStyle name="Normal 2 5 4 2 2 4 3" xfId="18598"/>
    <cellStyle name="Normal 2 5 4 2 2 5" xfId="4116"/>
    <cellStyle name="Normal 2 5 4 2 2 5 2" xfId="12754"/>
    <cellStyle name="Normal 2 5 4 2 2 5 3" xfId="18599"/>
    <cellStyle name="Normal 2 5 4 2 2 6" xfId="4117"/>
    <cellStyle name="Normal 2 5 4 2 2 6 2" xfId="12755"/>
    <cellStyle name="Normal 2 5 4 2 2 6 3" xfId="18600"/>
    <cellStyle name="Normal 2 5 4 2 2 7" xfId="9301"/>
    <cellStyle name="Normal 2 5 4 2 2 8" xfId="18595"/>
    <cellStyle name="Normal 2 5 4 2 2_LNG &amp; LPG rework" xfId="7215"/>
    <cellStyle name="Normal 2 5 4 2 3" xfId="4118"/>
    <cellStyle name="Normal 2 5 4 2 3 2" xfId="4119"/>
    <cellStyle name="Normal 2 5 4 2 3 2 2" xfId="12757"/>
    <cellStyle name="Normal 2 5 4 2 3 2 3" xfId="18602"/>
    <cellStyle name="Normal 2 5 4 2 3 3" xfId="4120"/>
    <cellStyle name="Normal 2 5 4 2 3 3 2" xfId="12758"/>
    <cellStyle name="Normal 2 5 4 2 3 3 3" xfId="18603"/>
    <cellStyle name="Normal 2 5 4 2 3 4" xfId="4121"/>
    <cellStyle name="Normal 2 5 4 2 3 4 2" xfId="12759"/>
    <cellStyle name="Normal 2 5 4 2 3 4 3" xfId="18604"/>
    <cellStyle name="Normal 2 5 4 2 3 5" xfId="4122"/>
    <cellStyle name="Normal 2 5 4 2 3 5 2" xfId="12760"/>
    <cellStyle name="Normal 2 5 4 2 3 5 3" xfId="18605"/>
    <cellStyle name="Normal 2 5 4 2 3 6" xfId="12756"/>
    <cellStyle name="Normal 2 5 4 2 3 7" xfId="18601"/>
    <cellStyle name="Normal 2 5 4 2 3_LNG &amp; LPG rework" xfId="7216"/>
    <cellStyle name="Normal 2 5 4 2 4" xfId="4123"/>
    <cellStyle name="Normal 2 5 4 2 4 2" xfId="12761"/>
    <cellStyle name="Normal 2 5 4 2 4 3" xfId="18606"/>
    <cellStyle name="Normal 2 5 4 2 5" xfId="4124"/>
    <cellStyle name="Normal 2 5 4 2 5 2" xfId="12762"/>
    <cellStyle name="Normal 2 5 4 2 5 3" xfId="18607"/>
    <cellStyle name="Normal 2 5 4 2 6" xfId="4125"/>
    <cellStyle name="Normal 2 5 4 2 6 2" xfId="12763"/>
    <cellStyle name="Normal 2 5 4 2 6 3" xfId="18608"/>
    <cellStyle name="Normal 2 5 4 2 7" xfId="4126"/>
    <cellStyle name="Normal 2 5 4 2 7 2" xfId="12764"/>
    <cellStyle name="Normal 2 5 4 2 7 3" xfId="18609"/>
    <cellStyle name="Normal 2 5 4 2 8" xfId="4127"/>
    <cellStyle name="Normal 2 5 4 2 8 2" xfId="12765"/>
    <cellStyle name="Normal 2 5 4 2 8 3" xfId="18610"/>
    <cellStyle name="Normal 2 5 4 2 9" xfId="9300"/>
    <cellStyle name="Normal 2 5 4 2_LNG &amp; LPG rework" xfId="7214"/>
    <cellStyle name="Normal 2 5 4 3" xfId="465"/>
    <cellStyle name="Normal 2 5 4 3 2" xfId="4128"/>
    <cellStyle name="Normal 2 5 4 3 2 2" xfId="12766"/>
    <cellStyle name="Normal 2 5 4 3 2 3" xfId="18612"/>
    <cellStyle name="Normal 2 5 4 3 3" xfId="4129"/>
    <cellStyle name="Normal 2 5 4 3 3 2" xfId="12767"/>
    <cellStyle name="Normal 2 5 4 3 3 3" xfId="18613"/>
    <cellStyle name="Normal 2 5 4 3 4" xfId="4130"/>
    <cellStyle name="Normal 2 5 4 3 4 2" xfId="12768"/>
    <cellStyle name="Normal 2 5 4 3 4 3" xfId="18614"/>
    <cellStyle name="Normal 2 5 4 3 5" xfId="4131"/>
    <cellStyle name="Normal 2 5 4 3 5 2" xfId="12769"/>
    <cellStyle name="Normal 2 5 4 3 5 3" xfId="18615"/>
    <cellStyle name="Normal 2 5 4 3 6" xfId="4132"/>
    <cellStyle name="Normal 2 5 4 3 6 2" xfId="12770"/>
    <cellStyle name="Normal 2 5 4 3 6 3" xfId="18616"/>
    <cellStyle name="Normal 2 5 4 3 7" xfId="9302"/>
    <cellStyle name="Normal 2 5 4 3 8" xfId="18611"/>
    <cellStyle name="Normal 2 5 4 3_LNG &amp; LPG rework" xfId="7217"/>
    <cellStyle name="Normal 2 5 4 4" xfId="4133"/>
    <cellStyle name="Normal 2 5 4 4 2" xfId="4134"/>
    <cellStyle name="Normal 2 5 4 4 2 2" xfId="12772"/>
    <cellStyle name="Normal 2 5 4 4 2 3" xfId="18618"/>
    <cellStyle name="Normal 2 5 4 4 3" xfId="4135"/>
    <cellStyle name="Normal 2 5 4 4 3 2" xfId="12773"/>
    <cellStyle name="Normal 2 5 4 4 3 3" xfId="18619"/>
    <cellStyle name="Normal 2 5 4 4 4" xfId="4136"/>
    <cellStyle name="Normal 2 5 4 4 4 2" xfId="12774"/>
    <cellStyle name="Normal 2 5 4 4 4 3" xfId="18620"/>
    <cellStyle name="Normal 2 5 4 4 5" xfId="4137"/>
    <cellStyle name="Normal 2 5 4 4 5 2" xfId="12775"/>
    <cellStyle name="Normal 2 5 4 4 5 3" xfId="18621"/>
    <cellStyle name="Normal 2 5 4 4 6" xfId="12771"/>
    <cellStyle name="Normal 2 5 4 4 7" xfId="18617"/>
    <cellStyle name="Normal 2 5 4 4_LNG &amp; LPG rework" xfId="7218"/>
    <cellStyle name="Normal 2 5 4 5" xfId="4138"/>
    <cellStyle name="Normal 2 5 4 5 2" xfId="4139"/>
    <cellStyle name="Normal 2 5 4 5 2 2" xfId="12777"/>
    <cellStyle name="Normal 2 5 4 5 2 3" xfId="18623"/>
    <cellStyle name="Normal 2 5 4 5 3" xfId="4140"/>
    <cellStyle name="Normal 2 5 4 5 3 2" xfId="12778"/>
    <cellStyle name="Normal 2 5 4 5 3 3" xfId="18624"/>
    <cellStyle name="Normal 2 5 4 5 4" xfId="4141"/>
    <cellStyle name="Normal 2 5 4 5 4 2" xfId="12779"/>
    <cellStyle name="Normal 2 5 4 5 4 3" xfId="18625"/>
    <cellStyle name="Normal 2 5 4 5 5" xfId="4142"/>
    <cellStyle name="Normal 2 5 4 5 5 2" xfId="12780"/>
    <cellStyle name="Normal 2 5 4 5 5 3" xfId="18626"/>
    <cellStyle name="Normal 2 5 4 5 6" xfId="12776"/>
    <cellStyle name="Normal 2 5 4 5 7" xfId="18622"/>
    <cellStyle name="Normal 2 5 4 5_LNG &amp; LPG rework" xfId="7219"/>
    <cellStyle name="Normal 2 5 4 6" xfId="4143"/>
    <cellStyle name="Normal 2 5 4 6 2" xfId="12781"/>
    <cellStyle name="Normal 2 5 4 6 3" xfId="18627"/>
    <cellStyle name="Normal 2 5 4 7" xfId="4144"/>
    <cellStyle name="Normal 2 5 4 7 2" xfId="12782"/>
    <cellStyle name="Normal 2 5 4 7 3" xfId="18628"/>
    <cellStyle name="Normal 2 5 4 8" xfId="4145"/>
    <cellStyle name="Normal 2 5 4 8 2" xfId="12783"/>
    <cellStyle name="Normal 2 5 4 8 3" xfId="18629"/>
    <cellStyle name="Normal 2 5 4 9" xfId="4146"/>
    <cellStyle name="Normal 2 5 4 9 2" xfId="12784"/>
    <cellStyle name="Normal 2 5 4 9 3" xfId="18630"/>
    <cellStyle name="Normal 2 5 4_LNG &amp; LPG rework" xfId="7213"/>
    <cellStyle name="Normal 2 5 5" xfId="466"/>
    <cellStyle name="Normal 2 5 5 10" xfId="18631"/>
    <cellStyle name="Normal 2 5 5 2" xfId="467"/>
    <cellStyle name="Normal 2 5 5 2 2" xfId="4147"/>
    <cellStyle name="Normal 2 5 5 2 2 2" xfId="12785"/>
    <cellStyle name="Normal 2 5 5 2 2 3" xfId="18633"/>
    <cellStyle name="Normal 2 5 5 2 3" xfId="4148"/>
    <cellStyle name="Normal 2 5 5 2 3 2" xfId="12786"/>
    <cellStyle name="Normal 2 5 5 2 3 3" xfId="18634"/>
    <cellStyle name="Normal 2 5 5 2 4" xfId="4149"/>
    <cellStyle name="Normal 2 5 5 2 4 2" xfId="12787"/>
    <cellStyle name="Normal 2 5 5 2 4 3" xfId="18635"/>
    <cellStyle name="Normal 2 5 5 2 5" xfId="4150"/>
    <cellStyle name="Normal 2 5 5 2 5 2" xfId="12788"/>
    <cellStyle name="Normal 2 5 5 2 5 3" xfId="18636"/>
    <cellStyle name="Normal 2 5 5 2 6" xfId="4151"/>
    <cellStyle name="Normal 2 5 5 2 6 2" xfId="12789"/>
    <cellStyle name="Normal 2 5 5 2 6 3" xfId="18637"/>
    <cellStyle name="Normal 2 5 5 2 7" xfId="9304"/>
    <cellStyle name="Normal 2 5 5 2 8" xfId="18632"/>
    <cellStyle name="Normal 2 5 5 2_LNG &amp; LPG rework" xfId="7221"/>
    <cellStyle name="Normal 2 5 5 3" xfId="4152"/>
    <cellStyle name="Normal 2 5 5 3 2" xfId="4153"/>
    <cellStyle name="Normal 2 5 5 3 2 2" xfId="12791"/>
    <cellStyle name="Normal 2 5 5 3 2 3" xfId="18639"/>
    <cellStyle name="Normal 2 5 5 3 3" xfId="4154"/>
    <cellStyle name="Normal 2 5 5 3 3 2" xfId="12792"/>
    <cellStyle name="Normal 2 5 5 3 3 3" xfId="18640"/>
    <cellStyle name="Normal 2 5 5 3 4" xfId="4155"/>
    <cellStyle name="Normal 2 5 5 3 4 2" xfId="12793"/>
    <cellStyle name="Normal 2 5 5 3 4 3" xfId="18641"/>
    <cellStyle name="Normal 2 5 5 3 5" xfId="4156"/>
    <cellStyle name="Normal 2 5 5 3 5 2" xfId="12794"/>
    <cellStyle name="Normal 2 5 5 3 5 3" xfId="18642"/>
    <cellStyle name="Normal 2 5 5 3 6" xfId="12790"/>
    <cellStyle name="Normal 2 5 5 3 7" xfId="18638"/>
    <cellStyle name="Normal 2 5 5 3_LNG &amp; LPG rework" xfId="7222"/>
    <cellStyle name="Normal 2 5 5 4" xfId="4157"/>
    <cellStyle name="Normal 2 5 5 4 2" xfId="12795"/>
    <cellStyle name="Normal 2 5 5 4 3" xfId="18643"/>
    <cellStyle name="Normal 2 5 5 5" xfId="4158"/>
    <cellStyle name="Normal 2 5 5 5 2" xfId="12796"/>
    <cellStyle name="Normal 2 5 5 5 3" xfId="18644"/>
    <cellStyle name="Normal 2 5 5 6" xfId="4159"/>
    <cellStyle name="Normal 2 5 5 6 2" xfId="12797"/>
    <cellStyle name="Normal 2 5 5 6 3" xfId="18645"/>
    <cellStyle name="Normal 2 5 5 7" xfId="4160"/>
    <cellStyle name="Normal 2 5 5 7 2" xfId="12798"/>
    <cellStyle name="Normal 2 5 5 7 3" xfId="18646"/>
    <cellStyle name="Normal 2 5 5 8" xfId="4161"/>
    <cellStyle name="Normal 2 5 5 8 2" xfId="12799"/>
    <cellStyle name="Normal 2 5 5 8 3" xfId="18647"/>
    <cellStyle name="Normal 2 5 5 9" xfId="9303"/>
    <cellStyle name="Normal 2 5 5_LNG &amp; LPG rework" xfId="7220"/>
    <cellStyle name="Normal 2 5 6" xfId="468"/>
    <cellStyle name="Normal 2 5 6 2" xfId="4162"/>
    <cellStyle name="Normal 2 5 6 2 2" xfId="12800"/>
    <cellStyle name="Normal 2 5 6 2 3" xfId="18649"/>
    <cellStyle name="Normal 2 5 6 3" xfId="4163"/>
    <cellStyle name="Normal 2 5 6 3 2" xfId="12801"/>
    <cellStyle name="Normal 2 5 6 3 3" xfId="18650"/>
    <cellStyle name="Normal 2 5 6 4" xfId="4164"/>
    <cellStyle name="Normal 2 5 6 4 2" xfId="12802"/>
    <cellStyle name="Normal 2 5 6 4 3" xfId="18651"/>
    <cellStyle name="Normal 2 5 6 5" xfId="4165"/>
    <cellStyle name="Normal 2 5 6 5 2" xfId="12803"/>
    <cellStyle name="Normal 2 5 6 5 3" xfId="18652"/>
    <cellStyle name="Normal 2 5 6 6" xfId="4166"/>
    <cellStyle name="Normal 2 5 6 6 2" xfId="12804"/>
    <cellStyle name="Normal 2 5 6 6 3" xfId="18653"/>
    <cellStyle name="Normal 2 5 6 7" xfId="9305"/>
    <cellStyle name="Normal 2 5 6 8" xfId="18648"/>
    <cellStyle name="Normal 2 5 6_LNG &amp; LPG rework" xfId="7223"/>
    <cellStyle name="Normal 2 5 7" xfId="4167"/>
    <cellStyle name="Normal 2 5 7 2" xfId="12805"/>
    <cellStyle name="Normal 2 5 7 3" xfId="18654"/>
    <cellStyle name="Normal 2 5 8" xfId="7824"/>
    <cellStyle name="Normal 2 5 9" xfId="8905"/>
    <cellStyle name="Normal 2 5_Data - Monthly Commodity Prices" xfId="6482"/>
    <cellStyle name="Normal 2 6" xfId="191"/>
    <cellStyle name="Normal 2 6 2" xfId="4168"/>
    <cellStyle name="Normal 2 6 3" xfId="4169"/>
    <cellStyle name="Normal 2 6 4" xfId="9067"/>
    <cellStyle name="Normal 2 6 5" xfId="18655"/>
    <cellStyle name="Normal 2 6_LNG &amp; LPG rework" xfId="7224"/>
    <cellStyle name="Normal 2 7" xfId="4170"/>
    <cellStyle name="Normal 2 7 2" xfId="4171"/>
    <cellStyle name="Normal 2 7 2 2" xfId="12807"/>
    <cellStyle name="Normal 2 7 2 3" xfId="18657"/>
    <cellStyle name="Normal 2 7 3" xfId="4172"/>
    <cellStyle name="Normal 2 7 3 2" xfId="12808"/>
    <cellStyle name="Normal 2 7 3 3" xfId="18658"/>
    <cellStyle name="Normal 2 7 4" xfId="4173"/>
    <cellStyle name="Normal 2 7 4 2" xfId="12809"/>
    <cellStyle name="Normal 2 7 4 3" xfId="18659"/>
    <cellStyle name="Normal 2 7 5" xfId="4174"/>
    <cellStyle name="Normal 2 7 5 2" xfId="12810"/>
    <cellStyle name="Normal 2 7 5 3" xfId="18660"/>
    <cellStyle name="Normal 2 7 6" xfId="12806"/>
    <cellStyle name="Normal 2 7 7" xfId="18656"/>
    <cellStyle name="Normal 2 7_LNG &amp; LPG rework" xfId="7225"/>
    <cellStyle name="Normal 2 8" xfId="4175"/>
    <cellStyle name="Normal 2 8 2" xfId="4176"/>
    <cellStyle name="Normal 2 8 2 2" xfId="12812"/>
    <cellStyle name="Normal 2 8 2 3" xfId="18662"/>
    <cellStyle name="Normal 2 8 3" xfId="4177"/>
    <cellStyle name="Normal 2 8 3 2" xfId="12813"/>
    <cellStyle name="Normal 2 8 3 3" xfId="18663"/>
    <cellStyle name="Normal 2 8 4" xfId="4178"/>
    <cellStyle name="Normal 2 8 4 2" xfId="12814"/>
    <cellStyle name="Normal 2 8 4 3" xfId="18664"/>
    <cellStyle name="Normal 2 8 5" xfId="4179"/>
    <cellStyle name="Normal 2 8 5 2" xfId="12815"/>
    <cellStyle name="Normal 2 8 5 3" xfId="18665"/>
    <cellStyle name="Normal 2 8 6" xfId="12811"/>
    <cellStyle name="Normal 2 8 7" xfId="18661"/>
    <cellStyle name="Normal 2 8_LNG &amp; LPG rework" xfId="7226"/>
    <cellStyle name="Normal 2 9" xfId="4180"/>
    <cellStyle name="Normal 2 9 2" xfId="4181"/>
    <cellStyle name="Normal 2 9 2 2" xfId="12817"/>
    <cellStyle name="Normal 2 9 2 3" xfId="18667"/>
    <cellStyle name="Normal 2 9 3" xfId="4182"/>
    <cellStyle name="Normal 2 9 3 2" xfId="12818"/>
    <cellStyle name="Normal 2 9 3 3" xfId="18668"/>
    <cellStyle name="Normal 2 9 4" xfId="4183"/>
    <cellStyle name="Normal 2 9 4 2" xfId="12819"/>
    <cellStyle name="Normal 2 9 4 3" xfId="18669"/>
    <cellStyle name="Normal 2 9 5" xfId="4184"/>
    <cellStyle name="Normal 2 9 5 2" xfId="12820"/>
    <cellStyle name="Normal 2 9 5 3" xfId="18670"/>
    <cellStyle name="Normal 2 9 6" xfId="12816"/>
    <cellStyle name="Normal 2 9 7" xfId="18666"/>
    <cellStyle name="Normal 2 9_LNG &amp; LPG rework" xfId="7227"/>
    <cellStyle name="Normal 2_2015  Data" xfId="469"/>
    <cellStyle name="Normal 20" xfId="470"/>
    <cellStyle name="Normal 20 2" xfId="4185"/>
    <cellStyle name="Normal 20 3" xfId="4186"/>
    <cellStyle name="Normal 20 4" xfId="4187"/>
    <cellStyle name="Normal 20 4 2" xfId="12821"/>
    <cellStyle name="Normal 20 4 3" xfId="18672"/>
    <cellStyle name="Normal 20 5" xfId="4188"/>
    <cellStyle name="Normal 20 5 2" xfId="12822"/>
    <cellStyle name="Normal 20 5 3" xfId="18673"/>
    <cellStyle name="Normal 20 6" xfId="4189"/>
    <cellStyle name="Normal 20 7" xfId="9306"/>
    <cellStyle name="Normal 20 8" xfId="18671"/>
    <cellStyle name="Normal 20_LNG &amp; LPG rework" xfId="7228"/>
    <cellStyle name="Normal 200" xfId="4190"/>
    <cellStyle name="Normal 201" xfId="4191"/>
    <cellStyle name="Normal 201 2" xfId="4192"/>
    <cellStyle name="Normal 201 2 2" xfId="4193"/>
    <cellStyle name="Normal 201 2 2 2" xfId="4194"/>
    <cellStyle name="Normal 201 2 2 2 2" xfId="4195"/>
    <cellStyle name="Normal 201 2 2 2 2 2" xfId="12827"/>
    <cellStyle name="Normal 201 2 2 2 2 3" xfId="18678"/>
    <cellStyle name="Normal 201 2 2 2 3" xfId="12826"/>
    <cellStyle name="Normal 201 2 2 2 4" xfId="18677"/>
    <cellStyle name="Normal 201 2 2 2_LNG &amp; LPG rework" xfId="7232"/>
    <cellStyle name="Normal 201 2 2 3" xfId="4196"/>
    <cellStyle name="Normal 201 2 2 3 2" xfId="12828"/>
    <cellStyle name="Normal 201 2 2 3 3" xfId="18679"/>
    <cellStyle name="Normal 201 2 2 4" xfId="12825"/>
    <cellStyle name="Normal 201 2 2 5" xfId="18676"/>
    <cellStyle name="Normal 201 2 2_LNG &amp; LPG rework" xfId="7231"/>
    <cellStyle name="Normal 201 2 3" xfId="4197"/>
    <cellStyle name="Normal 201 2 3 2" xfId="4198"/>
    <cellStyle name="Normal 201 2 3 2 2" xfId="12830"/>
    <cellStyle name="Normal 201 2 3 2 3" xfId="18681"/>
    <cellStyle name="Normal 201 2 3 3" xfId="12829"/>
    <cellStyle name="Normal 201 2 3 4" xfId="18680"/>
    <cellStyle name="Normal 201 2 3_LNG &amp; LPG rework" xfId="7233"/>
    <cellStyle name="Normal 201 2 4" xfId="4199"/>
    <cellStyle name="Normal 201 2 4 2" xfId="12831"/>
    <cellStyle name="Normal 201 2 4 3" xfId="18682"/>
    <cellStyle name="Normal 201 2 5" xfId="12824"/>
    <cellStyle name="Normal 201 2 6" xfId="18675"/>
    <cellStyle name="Normal 201 2_LNG &amp; LPG rework" xfId="7230"/>
    <cellStyle name="Normal 201 3" xfId="4200"/>
    <cellStyle name="Normal 201 3 2" xfId="4201"/>
    <cellStyle name="Normal 201 3 2 2" xfId="4202"/>
    <cellStyle name="Normal 201 3 2 2 2" xfId="4203"/>
    <cellStyle name="Normal 201 3 2 2 2 2" xfId="12835"/>
    <cellStyle name="Normal 201 3 2 2 2 3" xfId="18686"/>
    <cellStyle name="Normal 201 3 2 2 3" xfId="12834"/>
    <cellStyle name="Normal 201 3 2 2 4" xfId="18685"/>
    <cellStyle name="Normal 201 3 2 2_LNG &amp; LPG rework" xfId="7236"/>
    <cellStyle name="Normal 201 3 2 3" xfId="4204"/>
    <cellStyle name="Normal 201 3 2 3 2" xfId="12836"/>
    <cellStyle name="Normal 201 3 2 3 3" xfId="18687"/>
    <cellStyle name="Normal 201 3 2 4" xfId="12833"/>
    <cellStyle name="Normal 201 3 2 5" xfId="18684"/>
    <cellStyle name="Normal 201 3 2_LNG &amp; LPG rework" xfId="7235"/>
    <cellStyle name="Normal 201 3 3" xfId="4205"/>
    <cellStyle name="Normal 201 3 3 2" xfId="4206"/>
    <cellStyle name="Normal 201 3 3 2 2" xfId="12838"/>
    <cellStyle name="Normal 201 3 3 2 3" xfId="18689"/>
    <cellStyle name="Normal 201 3 3 3" xfId="12837"/>
    <cellStyle name="Normal 201 3 3 4" xfId="18688"/>
    <cellStyle name="Normal 201 3 3_LNG &amp; LPG rework" xfId="7237"/>
    <cellStyle name="Normal 201 3 4" xfId="4207"/>
    <cellStyle name="Normal 201 3 4 2" xfId="12839"/>
    <cellStyle name="Normal 201 3 4 3" xfId="18690"/>
    <cellStyle name="Normal 201 3 5" xfId="12832"/>
    <cellStyle name="Normal 201 3 6" xfId="18683"/>
    <cellStyle name="Normal 201 3_LNG &amp; LPG rework" xfId="7234"/>
    <cellStyle name="Normal 201 4" xfId="4208"/>
    <cellStyle name="Normal 201 4 2" xfId="4209"/>
    <cellStyle name="Normal 201 4 2 2" xfId="4210"/>
    <cellStyle name="Normal 201 4 2 2 2" xfId="12842"/>
    <cellStyle name="Normal 201 4 2 2 3" xfId="18693"/>
    <cellStyle name="Normal 201 4 2 3" xfId="12841"/>
    <cellStyle name="Normal 201 4 2 4" xfId="18692"/>
    <cellStyle name="Normal 201 4 2_LNG &amp; LPG rework" xfId="7239"/>
    <cellStyle name="Normal 201 4 3" xfId="4211"/>
    <cellStyle name="Normal 201 4 3 2" xfId="12843"/>
    <cellStyle name="Normal 201 4 3 3" xfId="18694"/>
    <cellStyle name="Normal 201 4 4" xfId="12840"/>
    <cellStyle name="Normal 201 4 5" xfId="18691"/>
    <cellStyle name="Normal 201 4_LNG &amp; LPG rework" xfId="7238"/>
    <cellStyle name="Normal 201 5" xfId="4212"/>
    <cellStyle name="Normal 201 5 2" xfId="4213"/>
    <cellStyle name="Normal 201 5 2 2" xfId="12845"/>
    <cellStyle name="Normal 201 5 2 3" xfId="18696"/>
    <cellStyle name="Normal 201 5 3" xfId="12844"/>
    <cellStyle name="Normal 201 5 4" xfId="18695"/>
    <cellStyle name="Normal 201 5_LNG &amp; LPG rework" xfId="7240"/>
    <cellStyle name="Normal 201 6" xfId="4214"/>
    <cellStyle name="Normal 201 6 2" xfId="12846"/>
    <cellStyle name="Normal 201 6 3" xfId="18697"/>
    <cellStyle name="Normal 201 7" xfId="12823"/>
    <cellStyle name="Normal 201 8" xfId="18674"/>
    <cellStyle name="Normal 201_LNG &amp; LPG rework" xfId="7229"/>
    <cellStyle name="Normal 202" xfId="4215"/>
    <cellStyle name="Normal 202 2" xfId="4216"/>
    <cellStyle name="Normal 202 2 2" xfId="4217"/>
    <cellStyle name="Normal 202 2 2 2" xfId="4218"/>
    <cellStyle name="Normal 202 2 2 2 2" xfId="4219"/>
    <cellStyle name="Normal 202 2 2 2 2 2" xfId="12851"/>
    <cellStyle name="Normal 202 2 2 2 2 3" xfId="18702"/>
    <cellStyle name="Normal 202 2 2 2 3" xfId="12850"/>
    <cellStyle name="Normal 202 2 2 2 4" xfId="18701"/>
    <cellStyle name="Normal 202 2 2 2_LNG &amp; LPG rework" xfId="7244"/>
    <cellStyle name="Normal 202 2 2 3" xfId="4220"/>
    <cellStyle name="Normal 202 2 2 3 2" xfId="12852"/>
    <cellStyle name="Normal 202 2 2 3 3" xfId="18703"/>
    <cellStyle name="Normal 202 2 2 4" xfId="12849"/>
    <cellStyle name="Normal 202 2 2 5" xfId="18700"/>
    <cellStyle name="Normal 202 2 2_LNG &amp; LPG rework" xfId="7243"/>
    <cellStyle name="Normal 202 2 3" xfId="4221"/>
    <cellStyle name="Normal 202 2 3 2" xfId="4222"/>
    <cellStyle name="Normal 202 2 3 2 2" xfId="12854"/>
    <cellStyle name="Normal 202 2 3 2 3" xfId="18705"/>
    <cellStyle name="Normal 202 2 3 3" xfId="12853"/>
    <cellStyle name="Normal 202 2 3 4" xfId="18704"/>
    <cellStyle name="Normal 202 2 3_LNG &amp; LPG rework" xfId="7245"/>
    <cellStyle name="Normal 202 2 4" xfId="4223"/>
    <cellStyle name="Normal 202 2 4 2" xfId="12855"/>
    <cellStyle name="Normal 202 2 4 3" xfId="18706"/>
    <cellStyle name="Normal 202 2 5" xfId="12848"/>
    <cellStyle name="Normal 202 2 6" xfId="18699"/>
    <cellStyle name="Normal 202 2_LNG &amp; LPG rework" xfId="7242"/>
    <cellStyle name="Normal 202 3" xfId="4224"/>
    <cellStyle name="Normal 202 3 2" xfId="4225"/>
    <cellStyle name="Normal 202 3 2 2" xfId="4226"/>
    <cellStyle name="Normal 202 3 2 2 2" xfId="4227"/>
    <cellStyle name="Normal 202 3 2 2 2 2" xfId="12859"/>
    <cellStyle name="Normal 202 3 2 2 2 3" xfId="18710"/>
    <cellStyle name="Normal 202 3 2 2 3" xfId="12858"/>
    <cellStyle name="Normal 202 3 2 2 4" xfId="18709"/>
    <cellStyle name="Normal 202 3 2 2_LNG &amp; LPG rework" xfId="7248"/>
    <cellStyle name="Normal 202 3 2 3" xfId="4228"/>
    <cellStyle name="Normal 202 3 2 3 2" xfId="12860"/>
    <cellStyle name="Normal 202 3 2 3 3" xfId="18711"/>
    <cellStyle name="Normal 202 3 2 4" xfId="12857"/>
    <cellStyle name="Normal 202 3 2 5" xfId="18708"/>
    <cellStyle name="Normal 202 3 2_LNG &amp; LPG rework" xfId="7247"/>
    <cellStyle name="Normal 202 3 3" xfId="4229"/>
    <cellStyle name="Normal 202 3 3 2" xfId="4230"/>
    <cellStyle name="Normal 202 3 3 2 2" xfId="12862"/>
    <cellStyle name="Normal 202 3 3 2 3" xfId="18713"/>
    <cellStyle name="Normal 202 3 3 3" xfId="12861"/>
    <cellStyle name="Normal 202 3 3 4" xfId="18712"/>
    <cellStyle name="Normal 202 3 3_LNG &amp; LPG rework" xfId="7249"/>
    <cellStyle name="Normal 202 3 4" xfId="4231"/>
    <cellStyle name="Normal 202 3 4 2" xfId="12863"/>
    <cellStyle name="Normal 202 3 4 3" xfId="18714"/>
    <cellStyle name="Normal 202 3 5" xfId="12856"/>
    <cellStyle name="Normal 202 3 6" xfId="18707"/>
    <cellStyle name="Normal 202 3_LNG &amp; LPG rework" xfId="7246"/>
    <cellStyle name="Normal 202 4" xfId="4232"/>
    <cellStyle name="Normal 202 4 2" xfId="4233"/>
    <cellStyle name="Normal 202 4 2 2" xfId="4234"/>
    <cellStyle name="Normal 202 4 2 2 2" xfId="12866"/>
    <cellStyle name="Normal 202 4 2 2 3" xfId="18717"/>
    <cellStyle name="Normal 202 4 2 3" xfId="12865"/>
    <cellStyle name="Normal 202 4 2 4" xfId="18716"/>
    <cellStyle name="Normal 202 4 2_LNG &amp; LPG rework" xfId="7251"/>
    <cellStyle name="Normal 202 4 3" xfId="4235"/>
    <cellStyle name="Normal 202 4 3 2" xfId="12867"/>
    <cellStyle name="Normal 202 4 3 3" xfId="18718"/>
    <cellStyle name="Normal 202 4 4" xfId="12864"/>
    <cellStyle name="Normal 202 4 5" xfId="18715"/>
    <cellStyle name="Normal 202 4_LNG &amp; LPG rework" xfId="7250"/>
    <cellStyle name="Normal 202 5" xfId="4236"/>
    <cellStyle name="Normal 202 5 2" xfId="4237"/>
    <cellStyle name="Normal 202 5 2 2" xfId="12869"/>
    <cellStyle name="Normal 202 5 2 3" xfId="18720"/>
    <cellStyle name="Normal 202 5 3" xfId="12868"/>
    <cellStyle name="Normal 202 5 4" xfId="18719"/>
    <cellStyle name="Normal 202 5_LNG &amp; LPG rework" xfId="7252"/>
    <cellStyle name="Normal 202 6" xfId="4238"/>
    <cellStyle name="Normal 202 6 2" xfId="12870"/>
    <cellStyle name="Normal 202 6 3" xfId="18721"/>
    <cellStyle name="Normal 202 7" xfId="12847"/>
    <cellStyle name="Normal 202 8" xfId="18698"/>
    <cellStyle name="Normal 202_LNG &amp; LPG rework" xfId="7241"/>
    <cellStyle name="Normal 203" xfId="4239"/>
    <cellStyle name="Normal 203 2" xfId="4240"/>
    <cellStyle name="Normal 203 2 2" xfId="4241"/>
    <cellStyle name="Normal 203 2 2 2" xfId="4242"/>
    <cellStyle name="Normal 203 2 2 2 2" xfId="12874"/>
    <cellStyle name="Normal 203 2 2 2 3" xfId="18725"/>
    <cellStyle name="Normal 203 2 2 3" xfId="12873"/>
    <cellStyle name="Normal 203 2 2 4" xfId="18724"/>
    <cellStyle name="Normal 203 2 2_LNG &amp; LPG rework" xfId="7255"/>
    <cellStyle name="Normal 203 2 3" xfId="4243"/>
    <cellStyle name="Normal 203 2 3 2" xfId="12875"/>
    <cellStyle name="Normal 203 2 3 3" xfId="18726"/>
    <cellStyle name="Normal 203 2 4" xfId="12872"/>
    <cellStyle name="Normal 203 2 5" xfId="18723"/>
    <cellStyle name="Normal 203 2_LNG &amp; LPG rework" xfId="7254"/>
    <cellStyle name="Normal 203 3" xfId="4244"/>
    <cellStyle name="Normal 203 3 2" xfId="4245"/>
    <cellStyle name="Normal 203 3 2 2" xfId="12877"/>
    <cellStyle name="Normal 203 3 2 3" xfId="18728"/>
    <cellStyle name="Normal 203 3 3" xfId="12876"/>
    <cellStyle name="Normal 203 3 4" xfId="18727"/>
    <cellStyle name="Normal 203 3_LNG &amp; LPG rework" xfId="7256"/>
    <cellStyle name="Normal 203 4" xfId="4246"/>
    <cellStyle name="Normal 203 4 2" xfId="12878"/>
    <cellStyle name="Normal 203 4 3" xfId="18729"/>
    <cellStyle name="Normal 203 5" xfId="12871"/>
    <cellStyle name="Normal 203 6" xfId="18722"/>
    <cellStyle name="Normal 203_LNG &amp; LPG rework" xfId="7253"/>
    <cellStyle name="Normal 204" xfId="4247"/>
    <cellStyle name="Normal 204 2" xfId="4248"/>
    <cellStyle name="Normal 204 2 2" xfId="4249"/>
    <cellStyle name="Normal 204 2 2 2" xfId="4250"/>
    <cellStyle name="Normal 204 2 2 2 2" xfId="12882"/>
    <cellStyle name="Normal 204 2 2 2 3" xfId="18733"/>
    <cellStyle name="Normal 204 2 2 3" xfId="12881"/>
    <cellStyle name="Normal 204 2 2 4" xfId="18732"/>
    <cellStyle name="Normal 204 2 2_LNG &amp; LPG rework" xfId="7259"/>
    <cellStyle name="Normal 204 2 3" xfId="4251"/>
    <cellStyle name="Normal 204 2 3 2" xfId="12883"/>
    <cellStyle name="Normal 204 2 3 3" xfId="18734"/>
    <cellStyle name="Normal 204 2 4" xfId="12880"/>
    <cellStyle name="Normal 204 2 5" xfId="18731"/>
    <cellStyle name="Normal 204 2_LNG &amp; LPG rework" xfId="7258"/>
    <cellStyle name="Normal 204 3" xfId="4252"/>
    <cellStyle name="Normal 204 3 2" xfId="4253"/>
    <cellStyle name="Normal 204 3 2 2" xfId="12885"/>
    <cellStyle name="Normal 204 3 2 3" xfId="18736"/>
    <cellStyle name="Normal 204 3 3" xfId="12884"/>
    <cellStyle name="Normal 204 3 4" xfId="18735"/>
    <cellStyle name="Normal 204 3_LNG &amp; LPG rework" xfId="7260"/>
    <cellStyle name="Normal 204 4" xfId="4254"/>
    <cellStyle name="Normal 204 4 2" xfId="12886"/>
    <cellStyle name="Normal 204 4 3" xfId="18737"/>
    <cellStyle name="Normal 204 5" xfId="12879"/>
    <cellStyle name="Normal 204 6" xfId="18730"/>
    <cellStyle name="Normal 204_LNG &amp; LPG rework" xfId="7257"/>
    <cellStyle name="Normal 205" xfId="4255"/>
    <cellStyle name="Normal 205 2" xfId="4256"/>
    <cellStyle name="Normal 205 2 2" xfId="4257"/>
    <cellStyle name="Normal 205 2 2 2" xfId="4258"/>
    <cellStyle name="Normal 205 2 2 2 2" xfId="12890"/>
    <cellStyle name="Normal 205 2 2 2 3" xfId="18741"/>
    <cellStyle name="Normal 205 2 2 3" xfId="12889"/>
    <cellStyle name="Normal 205 2 2 4" xfId="18740"/>
    <cellStyle name="Normal 205 2 2_LNG &amp; LPG rework" xfId="7263"/>
    <cellStyle name="Normal 205 2 3" xfId="4259"/>
    <cellStyle name="Normal 205 2 3 2" xfId="12891"/>
    <cellStyle name="Normal 205 2 3 3" xfId="18742"/>
    <cellStyle name="Normal 205 2 4" xfId="12888"/>
    <cellStyle name="Normal 205 2 5" xfId="18739"/>
    <cellStyle name="Normal 205 2_LNG &amp; LPG rework" xfId="7262"/>
    <cellStyle name="Normal 205 3" xfId="4260"/>
    <cellStyle name="Normal 205 3 2" xfId="4261"/>
    <cellStyle name="Normal 205 3 2 2" xfId="12893"/>
    <cellStyle name="Normal 205 3 2 3" xfId="18744"/>
    <cellStyle name="Normal 205 3 3" xfId="12892"/>
    <cellStyle name="Normal 205 3 4" xfId="18743"/>
    <cellStyle name="Normal 205 3_LNG &amp; LPG rework" xfId="7264"/>
    <cellStyle name="Normal 205 4" xfId="4262"/>
    <cellStyle name="Normal 205 4 2" xfId="12894"/>
    <cellStyle name="Normal 205 4 3" xfId="18745"/>
    <cellStyle name="Normal 205 5" xfId="12887"/>
    <cellStyle name="Normal 205 6" xfId="18738"/>
    <cellStyle name="Normal 205_LNG &amp; LPG rework" xfId="7261"/>
    <cellStyle name="Normal 206" xfId="4263"/>
    <cellStyle name="Normal 207" xfId="4264"/>
    <cellStyle name="Normal 208" xfId="4265"/>
    <cellStyle name="Normal 208 2" xfId="4266"/>
    <cellStyle name="Normal 208 2 2" xfId="12896"/>
    <cellStyle name="Normal 208 2 3" xfId="18747"/>
    <cellStyle name="Normal 208 3" xfId="12895"/>
    <cellStyle name="Normal 208 4" xfId="18746"/>
    <cellStyle name="Normal 208_LNG &amp; LPG rework" xfId="7265"/>
    <cellStyle name="Normal 209" xfId="4267"/>
    <cellStyle name="Normal 21" xfId="471"/>
    <cellStyle name="Normal 21 2" xfId="4268"/>
    <cellStyle name="Normal 21 3" xfId="4269"/>
    <cellStyle name="Normal 21 4" xfId="4270"/>
    <cellStyle name="Normal 21_Monthly Price Data" xfId="6556"/>
    <cellStyle name="Normal 210" xfId="4271"/>
    <cellStyle name="Normal 211" xfId="4272"/>
    <cellStyle name="Normal 212" xfId="4273"/>
    <cellStyle name="Normal 213" xfId="4274"/>
    <cellStyle name="Normal 214" xfId="4275"/>
    <cellStyle name="Normal 215" xfId="6392"/>
    <cellStyle name="Normal 216" xfId="6401"/>
    <cellStyle name="Normal 217" xfId="6400"/>
    <cellStyle name="Normal 218" xfId="6403"/>
    <cellStyle name="Normal 219" xfId="6397"/>
    <cellStyle name="Normal 22" xfId="478"/>
    <cellStyle name="Normal 22 2" xfId="4276"/>
    <cellStyle name="Normal 22 3" xfId="4277"/>
    <cellStyle name="Normal 22_Monthly Price Data" xfId="6555"/>
    <cellStyle name="Normal 220" xfId="6398"/>
    <cellStyle name="Normal 221" xfId="6396"/>
    <cellStyle name="Normal 222" xfId="6402"/>
    <cellStyle name="Normal 223" xfId="6399"/>
    <cellStyle name="Normal 224" xfId="6395"/>
    <cellStyle name="Normal 225" xfId="6393"/>
    <cellStyle name="Normal 226" xfId="6404"/>
    <cellStyle name="Normal 227" xfId="6421"/>
    <cellStyle name="Normal 228" xfId="6413"/>
    <cellStyle name="Normal 229" xfId="6411"/>
    <cellStyle name="Normal 23" xfId="4278"/>
    <cellStyle name="Normal 23 2" xfId="4279"/>
    <cellStyle name="Normal 23 3" xfId="4280"/>
    <cellStyle name="Normal 23 4" xfId="4281"/>
    <cellStyle name="Normal 23_LNG &amp; LPG rework" xfId="7266"/>
    <cellStyle name="Normal 230" xfId="6418"/>
    <cellStyle name="Normal 231" xfId="6410"/>
    <cellStyle name="Normal 232" xfId="6420"/>
    <cellStyle name="Normal 233" xfId="6416"/>
    <cellStyle name="Normal 234" xfId="6417"/>
    <cellStyle name="Normal 235" xfId="6414"/>
    <cellStyle name="Normal 236" xfId="6407"/>
    <cellStyle name="Normal 237" xfId="6408"/>
    <cellStyle name="Normal 238" xfId="6405"/>
    <cellStyle name="Normal 239" xfId="6419"/>
    <cellStyle name="Normal 24" xfId="4282"/>
    <cellStyle name="Normal 24 2" xfId="4283"/>
    <cellStyle name="Normal 24 3" xfId="4284"/>
    <cellStyle name="Normal 24 4" xfId="4285"/>
    <cellStyle name="Normal 24_LNG &amp; LPG rework" xfId="7267"/>
    <cellStyle name="Normal 240" xfId="6406"/>
    <cellStyle name="Normal 241" xfId="6412"/>
    <cellStyle name="Normal 242" xfId="6394"/>
    <cellStyle name="Normal 243" xfId="6415"/>
    <cellStyle name="Normal 244" xfId="6409"/>
    <cellStyle name="Normal 245" xfId="6422"/>
    <cellStyle name="Normal 246" xfId="6476"/>
    <cellStyle name="Normal 246 2" xfId="14819"/>
    <cellStyle name="Normal 246 3" xfId="20740"/>
    <cellStyle name="Normal 247" xfId="6479"/>
    <cellStyle name="Normal 247 2" xfId="14822"/>
    <cellStyle name="Normal 247 3" xfId="20743"/>
    <cellStyle name="Normal 248" xfId="6520"/>
    <cellStyle name="Normal 248 2" xfId="20772"/>
    <cellStyle name="Normal 248 3" xfId="7837"/>
    <cellStyle name="Normal 249" xfId="6557"/>
    <cellStyle name="Normal 249 2" xfId="20789"/>
    <cellStyle name="Normal 25" xfId="4286"/>
    <cellStyle name="Normal 25 2" xfId="4287"/>
    <cellStyle name="Normal 25 3" xfId="4288"/>
    <cellStyle name="Normal 25 4" xfId="4289"/>
    <cellStyle name="Normal 25_LNG &amp; LPG rework" xfId="7268"/>
    <cellStyle name="Normal 250" xfId="7786"/>
    <cellStyle name="Normal 250 2" xfId="20803"/>
    <cellStyle name="Normal 250 3" xfId="8909"/>
    <cellStyle name="Normal 251" xfId="7787"/>
    <cellStyle name="Normal 251 2" xfId="20804"/>
    <cellStyle name="Normal 251 3" xfId="8910"/>
    <cellStyle name="Normal 252" xfId="7788"/>
    <cellStyle name="Normal 253" xfId="7789"/>
    <cellStyle name="Normal 254" xfId="7790"/>
    <cellStyle name="Normal 255" xfId="7791"/>
    <cellStyle name="Normal 256" xfId="7792"/>
    <cellStyle name="Normal 257" xfId="7793"/>
    <cellStyle name="Normal 257 2" xfId="20805"/>
    <cellStyle name="Normal 257 3" xfId="8924"/>
    <cellStyle name="Normal 258" xfId="7794"/>
    <cellStyle name="Normal 258 2" xfId="20806"/>
    <cellStyle name="Normal 258 3" xfId="8925"/>
    <cellStyle name="Normal 259" xfId="7795"/>
    <cellStyle name="Normal 259 2" xfId="20807"/>
    <cellStyle name="Normal 259 3" xfId="8926"/>
    <cellStyle name="Normal 26" xfId="4290"/>
    <cellStyle name="Normal 26 2" xfId="4291"/>
    <cellStyle name="Normal 26 3" xfId="4292"/>
    <cellStyle name="Normal 26 4" xfId="4293"/>
    <cellStyle name="Normal 26_LNG &amp; LPG rework" xfId="7269"/>
    <cellStyle name="Normal 260" xfId="7796"/>
    <cellStyle name="Normal 261" xfId="7797"/>
    <cellStyle name="Normal 262" xfId="7798"/>
    <cellStyle name="Normal 263" xfId="7799"/>
    <cellStyle name="Normal 264" xfId="7800"/>
    <cellStyle name="Normal 265" xfId="7801"/>
    <cellStyle name="Normal 266" xfId="20810"/>
    <cellStyle name="Normal 267" xfId="20811"/>
    <cellStyle name="Normal 267 2" xfId="21893"/>
    <cellStyle name="Normal 268" xfId="20812"/>
    <cellStyle name="Normal 268 2" xfId="21894"/>
    <cellStyle name="Normal 269" xfId="20814"/>
    <cellStyle name="Normal 269 2" xfId="21895"/>
    <cellStyle name="Normal 27" xfId="4294"/>
    <cellStyle name="Normal 27 2" xfId="4295"/>
    <cellStyle name="Normal 27 3" xfId="4296"/>
    <cellStyle name="Normal 27 4" xfId="4297"/>
    <cellStyle name="Normal 27_LNG &amp; LPG rework" xfId="7270"/>
    <cellStyle name="Normal 270" xfId="20815"/>
    <cellStyle name="Normal 270 2" xfId="25103"/>
    <cellStyle name="Normal 271" xfId="20816"/>
    <cellStyle name="Normal 272" xfId="20817"/>
    <cellStyle name="Normal 273" xfId="20818"/>
    <cellStyle name="Normal 274" xfId="7802"/>
    <cellStyle name="Normal 275" xfId="7804"/>
    <cellStyle name="Normal 276" xfId="8906"/>
    <cellStyle name="Normal 277" xfId="20824"/>
    <cellStyle name="Normal 278" xfId="20827"/>
    <cellStyle name="Normal 279" xfId="21888"/>
    <cellStyle name="Normal 28" xfId="4298"/>
    <cellStyle name="Normal 28 2" xfId="4299"/>
    <cellStyle name="Normal 28 3" xfId="4300"/>
    <cellStyle name="Normal 28_Monthly Price Data" xfId="6554"/>
    <cellStyle name="Normal 280" xfId="21897"/>
    <cellStyle name="Normal 281" xfId="21900"/>
    <cellStyle name="Normal 282" xfId="22882"/>
    <cellStyle name="Normal 283" xfId="26215"/>
    <cellStyle name="Normal 29" xfId="4301"/>
    <cellStyle name="Normal 29 2" xfId="4302"/>
    <cellStyle name="Normal 29 2 2" xfId="4303"/>
    <cellStyle name="Normal 29 2_Monthly Price Data" xfId="6552"/>
    <cellStyle name="Normal 29 3" xfId="4304"/>
    <cellStyle name="Normal 29 4" xfId="4305"/>
    <cellStyle name="Normal 29 5" xfId="4306"/>
    <cellStyle name="Normal 29 6" xfId="4307"/>
    <cellStyle name="Normal 29_Monthly Price Data" xfId="6553"/>
    <cellStyle name="Normal 3" xfId="44"/>
    <cellStyle name="Normal 3 2" xfId="107"/>
    <cellStyle name="Normal 3 2 2" xfId="472"/>
    <cellStyle name="Normal 3 2 3" xfId="9000"/>
    <cellStyle name="Normal 3 2 4" xfId="14971"/>
    <cellStyle name="Normal 3 2_LNG &amp; LPG rework" xfId="6549"/>
    <cellStyle name="Normal 3 3" xfId="4308"/>
    <cellStyle name="Normal 3 4" xfId="4309"/>
    <cellStyle name="Normal 3 5" xfId="4310"/>
    <cellStyle name="Normal 3 5 2" xfId="12897"/>
    <cellStyle name="Normal 3 5 3" xfId="18748"/>
    <cellStyle name="Normal 3 6" xfId="8945"/>
    <cellStyle name="Normal 3 7" xfId="14868"/>
    <cellStyle name="Normal 3_2015  Data" xfId="473"/>
    <cellStyle name="Normal 30" xfId="4311"/>
    <cellStyle name="Normal 30 10" xfId="20821"/>
    <cellStyle name="Normal 30 2" xfId="4312"/>
    <cellStyle name="Normal 30 2 2" xfId="4313"/>
    <cellStyle name="Normal 30 2 2 2" xfId="4314"/>
    <cellStyle name="Normal 30 2 2 2 2" xfId="4315"/>
    <cellStyle name="Normal 30 2 2 2 2 2" xfId="12901"/>
    <cellStyle name="Normal 30 2 2 2 2 3" xfId="18752"/>
    <cellStyle name="Normal 30 2 2 2 3" xfId="12900"/>
    <cellStyle name="Normal 30 2 2 2 4" xfId="18751"/>
    <cellStyle name="Normal 30 2 2 2_LNG &amp; LPG rework" xfId="7273"/>
    <cellStyle name="Normal 30 2 2 3" xfId="4316"/>
    <cellStyle name="Normal 30 2 2 3 2" xfId="12902"/>
    <cellStyle name="Normal 30 2 2 3 3" xfId="18753"/>
    <cellStyle name="Normal 30 2 2 4" xfId="12899"/>
    <cellStyle name="Normal 30 2 2 5" xfId="18750"/>
    <cellStyle name="Normal 30 2 2_LNG &amp; LPG rework" xfId="7272"/>
    <cellStyle name="Normal 30 2 3" xfId="4317"/>
    <cellStyle name="Normal 30 2 3 2" xfId="4318"/>
    <cellStyle name="Normal 30 2 3 2 2" xfId="12904"/>
    <cellStyle name="Normal 30 2 3 2 3" xfId="18755"/>
    <cellStyle name="Normal 30 2 3 3" xfId="12903"/>
    <cellStyle name="Normal 30 2 3 4" xfId="18754"/>
    <cellStyle name="Normal 30 2 3_LNG &amp; LPG rework" xfId="7274"/>
    <cellStyle name="Normal 30 2 4" xfId="4319"/>
    <cellStyle name="Normal 30 2 4 2" xfId="12905"/>
    <cellStyle name="Normal 30 2 4 3" xfId="18756"/>
    <cellStyle name="Normal 30 2 5" xfId="4320"/>
    <cellStyle name="Normal 30 2 6" xfId="12898"/>
    <cellStyle name="Normal 30 2 7" xfId="18749"/>
    <cellStyle name="Normal 30 2_LNG &amp; LPG rework" xfId="7271"/>
    <cellStyle name="Normal 30 3" xfId="4321"/>
    <cellStyle name="Normal 30 3 2" xfId="4322"/>
    <cellStyle name="Normal 30 3 2 2" xfId="4323"/>
    <cellStyle name="Normal 30 3 2 2 2" xfId="4324"/>
    <cellStyle name="Normal 30 3 2 2 2 2" xfId="12909"/>
    <cellStyle name="Normal 30 3 2 2 2 3" xfId="18760"/>
    <cellStyle name="Normal 30 3 2 2 3" xfId="12908"/>
    <cellStyle name="Normal 30 3 2 2 4" xfId="18759"/>
    <cellStyle name="Normal 30 3 2 2_LNG &amp; LPG rework" xfId="7277"/>
    <cellStyle name="Normal 30 3 2 3" xfId="4325"/>
    <cellStyle name="Normal 30 3 2 3 2" xfId="12910"/>
    <cellStyle name="Normal 30 3 2 3 3" xfId="18761"/>
    <cellStyle name="Normal 30 3 2 4" xfId="12907"/>
    <cellStyle name="Normal 30 3 2 5" xfId="18758"/>
    <cellStyle name="Normal 30 3 2_LNG &amp; LPG rework" xfId="7276"/>
    <cellStyle name="Normal 30 3 3" xfId="4326"/>
    <cellStyle name="Normal 30 3 3 2" xfId="4327"/>
    <cellStyle name="Normal 30 3 3 2 2" xfId="12912"/>
    <cellStyle name="Normal 30 3 3 2 3" xfId="18763"/>
    <cellStyle name="Normal 30 3 3 3" xfId="12911"/>
    <cellStyle name="Normal 30 3 3 4" xfId="18762"/>
    <cellStyle name="Normal 30 3 3_LNG &amp; LPG rework" xfId="7278"/>
    <cellStyle name="Normal 30 3 4" xfId="4328"/>
    <cellStyle name="Normal 30 3 4 2" xfId="12913"/>
    <cellStyle name="Normal 30 3 4 3" xfId="18764"/>
    <cellStyle name="Normal 30 3 5" xfId="12906"/>
    <cellStyle name="Normal 30 3 6" xfId="18757"/>
    <cellStyle name="Normal 30 3_LNG &amp; LPG rework" xfId="7275"/>
    <cellStyle name="Normal 30 4" xfId="4329"/>
    <cellStyle name="Normal 30 4 2" xfId="4330"/>
    <cellStyle name="Normal 30 4 2 2" xfId="4331"/>
    <cellStyle name="Normal 30 4 2 2 2" xfId="12916"/>
    <cellStyle name="Normal 30 4 2 2 3" xfId="18767"/>
    <cellStyle name="Normal 30 4 2 3" xfId="12915"/>
    <cellStyle name="Normal 30 4 2 4" xfId="18766"/>
    <cellStyle name="Normal 30 4 2_LNG &amp; LPG rework" xfId="7280"/>
    <cellStyle name="Normal 30 4 3" xfId="4332"/>
    <cellStyle name="Normal 30 4 3 2" xfId="12917"/>
    <cellStyle name="Normal 30 4 3 3" xfId="18768"/>
    <cellStyle name="Normal 30 4 4" xfId="12914"/>
    <cellStyle name="Normal 30 4 5" xfId="18765"/>
    <cellStyle name="Normal 30 4_LNG &amp; LPG rework" xfId="7279"/>
    <cellStyle name="Normal 30 5" xfId="4333"/>
    <cellStyle name="Normal 30 5 2" xfId="4334"/>
    <cellStyle name="Normal 30 5 2 2" xfId="12919"/>
    <cellStyle name="Normal 30 5 2 3" xfId="18770"/>
    <cellStyle name="Normal 30 5 3" xfId="12918"/>
    <cellStyle name="Normal 30 5 4" xfId="18769"/>
    <cellStyle name="Normal 30 5_LNG &amp; LPG rework" xfId="7281"/>
    <cellStyle name="Normal 30 6" xfId="4335"/>
    <cellStyle name="Normal 30 6 2" xfId="12920"/>
    <cellStyle name="Normal 30 6 3" xfId="18771"/>
    <cellStyle name="Normal 30 7" xfId="4336"/>
    <cellStyle name="Normal 30 8" xfId="7831"/>
    <cellStyle name="Normal 30 9" xfId="8901"/>
    <cellStyle name="Normal 30_Data - Monthly Commodity Prices" xfId="6486"/>
    <cellStyle name="Normal 31" xfId="4337"/>
    <cellStyle name="Normal 31 2" xfId="4338"/>
    <cellStyle name="Normal 31 2 2" xfId="4339"/>
    <cellStyle name="Normal 31 2 2 2" xfId="4340"/>
    <cellStyle name="Normal 31 2 2 2 2" xfId="4341"/>
    <cellStyle name="Normal 31 2 2 2 2 2" xfId="12925"/>
    <cellStyle name="Normal 31 2 2 2 2 3" xfId="18776"/>
    <cellStyle name="Normal 31 2 2 2 3" xfId="12924"/>
    <cellStyle name="Normal 31 2 2 2 4" xfId="18775"/>
    <cellStyle name="Normal 31 2 2 2_LNG &amp; LPG rework" xfId="7285"/>
    <cellStyle name="Normal 31 2 2 3" xfId="4342"/>
    <cellStyle name="Normal 31 2 2 3 2" xfId="12926"/>
    <cellStyle name="Normal 31 2 2 3 3" xfId="18777"/>
    <cellStyle name="Normal 31 2 2 4" xfId="12923"/>
    <cellStyle name="Normal 31 2 2 5" xfId="18774"/>
    <cellStyle name="Normal 31 2 2_LNG &amp; LPG rework" xfId="7284"/>
    <cellStyle name="Normal 31 2 3" xfId="4343"/>
    <cellStyle name="Normal 31 2 3 2" xfId="4344"/>
    <cellStyle name="Normal 31 2 3 2 2" xfId="12928"/>
    <cellStyle name="Normal 31 2 3 2 3" xfId="18779"/>
    <cellStyle name="Normal 31 2 3 3" xfId="12927"/>
    <cellStyle name="Normal 31 2 3 4" xfId="18778"/>
    <cellStyle name="Normal 31 2 3_LNG &amp; LPG rework" xfId="7286"/>
    <cellStyle name="Normal 31 2 4" xfId="4345"/>
    <cellStyle name="Normal 31 2 4 2" xfId="12929"/>
    <cellStyle name="Normal 31 2 4 3" xfId="18780"/>
    <cellStyle name="Normal 31 2 5" xfId="4346"/>
    <cellStyle name="Normal 31 2 6" xfId="12922"/>
    <cellStyle name="Normal 31 2 7" xfId="18773"/>
    <cellStyle name="Normal 31 2_LNG &amp; LPG rework" xfId="7283"/>
    <cellStyle name="Normal 31 3" xfId="4347"/>
    <cellStyle name="Normal 31 3 2" xfId="4348"/>
    <cellStyle name="Normal 31 3 2 2" xfId="4349"/>
    <cellStyle name="Normal 31 3 2 2 2" xfId="4350"/>
    <cellStyle name="Normal 31 3 2 2 2 2" xfId="12933"/>
    <cellStyle name="Normal 31 3 2 2 2 3" xfId="18784"/>
    <cellStyle name="Normal 31 3 2 2 3" xfId="12932"/>
    <cellStyle name="Normal 31 3 2 2 4" xfId="18783"/>
    <cellStyle name="Normal 31 3 2 2_LNG &amp; LPG rework" xfId="7289"/>
    <cellStyle name="Normal 31 3 2 3" xfId="4351"/>
    <cellStyle name="Normal 31 3 2 3 2" xfId="12934"/>
    <cellStyle name="Normal 31 3 2 3 3" xfId="18785"/>
    <cellStyle name="Normal 31 3 2 4" xfId="4352"/>
    <cellStyle name="Normal 31 3 2 4 2" xfId="12935"/>
    <cellStyle name="Normal 31 3 2 4 3" xfId="18786"/>
    <cellStyle name="Normal 31 3 2 5" xfId="4353"/>
    <cellStyle name="Normal 31 3 2 5 2" xfId="12936"/>
    <cellStyle name="Normal 31 3 2 5 3" xfId="18787"/>
    <cellStyle name="Normal 31 3 2 6" xfId="12931"/>
    <cellStyle name="Normal 31 3 2 7" xfId="18782"/>
    <cellStyle name="Normal 31 3 2_LNG &amp; LPG rework" xfId="7288"/>
    <cellStyle name="Normal 31 3 3" xfId="4354"/>
    <cellStyle name="Normal 31 3 3 2" xfId="4355"/>
    <cellStyle name="Normal 31 3 3 2 2" xfId="12938"/>
    <cellStyle name="Normal 31 3 3 2 3" xfId="18789"/>
    <cellStyle name="Normal 31 3 3 3" xfId="12937"/>
    <cellStyle name="Normal 31 3 3 4" xfId="18788"/>
    <cellStyle name="Normal 31 3 3_LNG &amp; LPG rework" xfId="7290"/>
    <cellStyle name="Normal 31 3 4" xfId="4356"/>
    <cellStyle name="Normal 31 3 4 2" xfId="12939"/>
    <cellStyle name="Normal 31 3 4 3" xfId="18790"/>
    <cellStyle name="Normal 31 3 5" xfId="4357"/>
    <cellStyle name="Normal 31 3 5 2" xfId="12940"/>
    <cellStyle name="Normal 31 3 5 3" xfId="18791"/>
    <cellStyle name="Normal 31 3 6" xfId="4358"/>
    <cellStyle name="Normal 31 3 6 2" xfId="12941"/>
    <cellStyle name="Normal 31 3 6 3" xfId="18792"/>
    <cellStyle name="Normal 31 3 7" xfId="12930"/>
    <cellStyle name="Normal 31 3 8" xfId="18781"/>
    <cellStyle name="Normal 31 3_LNG &amp; LPG rework" xfId="7287"/>
    <cellStyle name="Normal 31 4" xfId="4359"/>
    <cellStyle name="Normal 31 4 2" xfId="4360"/>
    <cellStyle name="Normal 31 4 2 2" xfId="4361"/>
    <cellStyle name="Normal 31 4 2 2 2" xfId="12944"/>
    <cellStyle name="Normal 31 4 2 2 3" xfId="18795"/>
    <cellStyle name="Normal 31 4 2 3" xfId="12943"/>
    <cellStyle name="Normal 31 4 2 4" xfId="18794"/>
    <cellStyle name="Normal 31 4 2_LNG &amp; LPG rework" xfId="7292"/>
    <cellStyle name="Normal 31 4 3" xfId="4362"/>
    <cellStyle name="Normal 31 4 3 2" xfId="12945"/>
    <cellStyle name="Normal 31 4 3 3" xfId="18796"/>
    <cellStyle name="Normal 31 4 4" xfId="12942"/>
    <cellStyle name="Normal 31 4 5" xfId="18793"/>
    <cellStyle name="Normal 31 4_LNG &amp; LPG rework" xfId="7291"/>
    <cellStyle name="Normal 31 5" xfId="4363"/>
    <cellStyle name="Normal 31 5 2" xfId="4364"/>
    <cellStyle name="Normal 31 5 2 2" xfId="12947"/>
    <cellStyle name="Normal 31 5 2 3" xfId="18798"/>
    <cellStyle name="Normal 31 5 3" xfId="12946"/>
    <cellStyle name="Normal 31 5 4" xfId="18797"/>
    <cellStyle name="Normal 31 5_LNG &amp; LPG rework" xfId="7293"/>
    <cellStyle name="Normal 31 6" xfId="4365"/>
    <cellStyle name="Normal 31 6 2" xfId="12948"/>
    <cellStyle name="Normal 31 6 3" xfId="18799"/>
    <cellStyle name="Normal 31 7" xfId="4366"/>
    <cellStyle name="Normal 31 7 2" xfId="12949"/>
    <cellStyle name="Normal 31 7 3" xfId="18800"/>
    <cellStyle name="Normal 31 8" xfId="12921"/>
    <cellStyle name="Normal 31 9" xfId="18772"/>
    <cellStyle name="Normal 31_LNG &amp; LPG rework" xfId="7282"/>
    <cellStyle name="Normal 32" xfId="4367"/>
    <cellStyle name="Normal 32 2" xfId="4368"/>
    <cellStyle name="Normal 32 2 2" xfId="4369"/>
    <cellStyle name="Normal 32 2 2 2" xfId="4370"/>
    <cellStyle name="Normal 32 2 2 2 2" xfId="4371"/>
    <cellStyle name="Normal 32 2 2 2 2 2" xfId="12954"/>
    <cellStyle name="Normal 32 2 2 2 2 3" xfId="18805"/>
    <cellStyle name="Normal 32 2 2 2 3" xfId="12953"/>
    <cellStyle name="Normal 32 2 2 2 4" xfId="18804"/>
    <cellStyle name="Normal 32 2 2 2_LNG &amp; LPG rework" xfId="7297"/>
    <cellStyle name="Normal 32 2 2 3" xfId="4372"/>
    <cellStyle name="Normal 32 2 2 3 2" xfId="12955"/>
    <cellStyle name="Normal 32 2 2 3 3" xfId="18806"/>
    <cellStyle name="Normal 32 2 2 4" xfId="4373"/>
    <cellStyle name="Normal 32 2 2 4 2" xfId="12956"/>
    <cellStyle name="Normal 32 2 2 4 3" xfId="18807"/>
    <cellStyle name="Normal 32 2 2 5" xfId="4374"/>
    <cellStyle name="Normal 32 2 2 5 2" xfId="12957"/>
    <cellStyle name="Normal 32 2 2 5 3" xfId="18808"/>
    <cellStyle name="Normal 32 2 2 6" xfId="12952"/>
    <cellStyle name="Normal 32 2 2 7" xfId="18803"/>
    <cellStyle name="Normal 32 2 2_LNG &amp; LPG rework" xfId="7296"/>
    <cellStyle name="Normal 32 2 3" xfId="4375"/>
    <cellStyle name="Normal 32 2 3 2" xfId="4376"/>
    <cellStyle name="Normal 32 2 3 2 2" xfId="12959"/>
    <cellStyle name="Normal 32 2 3 2 3" xfId="18810"/>
    <cellStyle name="Normal 32 2 3 3" xfId="4377"/>
    <cellStyle name="Normal 32 2 3 3 2" xfId="12960"/>
    <cellStyle name="Normal 32 2 3 3 3" xfId="18811"/>
    <cellStyle name="Normal 32 2 3 4" xfId="4378"/>
    <cellStyle name="Normal 32 2 3 4 2" xfId="12961"/>
    <cellStyle name="Normal 32 2 3 4 3" xfId="18812"/>
    <cellStyle name="Normal 32 2 3 5" xfId="4379"/>
    <cellStyle name="Normal 32 2 3 5 2" xfId="12962"/>
    <cellStyle name="Normal 32 2 3 5 3" xfId="18813"/>
    <cellStyle name="Normal 32 2 3 6" xfId="12958"/>
    <cellStyle name="Normal 32 2 3 7" xfId="18809"/>
    <cellStyle name="Normal 32 2 3_LNG &amp; LPG rework" xfId="7298"/>
    <cellStyle name="Normal 32 2 4" xfId="4380"/>
    <cellStyle name="Normal 32 2 4 2" xfId="12963"/>
    <cellStyle name="Normal 32 2 4 3" xfId="18814"/>
    <cellStyle name="Normal 32 2 5" xfId="4381"/>
    <cellStyle name="Normal 32 2 5 2" xfId="12964"/>
    <cellStyle name="Normal 32 2 5 3" xfId="18815"/>
    <cellStyle name="Normal 32 2 6" xfId="4382"/>
    <cellStyle name="Normal 32 2 6 2" xfId="12965"/>
    <cellStyle name="Normal 32 2 6 3" xfId="18816"/>
    <cellStyle name="Normal 32 2 7" xfId="4383"/>
    <cellStyle name="Normal 32 2 7 2" xfId="12966"/>
    <cellStyle name="Normal 32 2 7 3" xfId="18817"/>
    <cellStyle name="Normal 32 2 8" xfId="12951"/>
    <cellStyle name="Normal 32 2 9" xfId="18802"/>
    <cellStyle name="Normal 32 2_LNG &amp; LPG rework" xfId="7295"/>
    <cellStyle name="Normal 32 3" xfId="4384"/>
    <cellStyle name="Normal 32 3 2" xfId="4385"/>
    <cellStyle name="Normal 32 3 2 2" xfId="4386"/>
    <cellStyle name="Normal 32 3 2 2 2" xfId="4387"/>
    <cellStyle name="Normal 32 3 2 2 2 2" xfId="12970"/>
    <cellStyle name="Normal 32 3 2 2 2 3" xfId="18821"/>
    <cellStyle name="Normal 32 3 2 2 3" xfId="12969"/>
    <cellStyle name="Normal 32 3 2 2 4" xfId="18820"/>
    <cellStyle name="Normal 32 3 2 2_LNG &amp; LPG rework" xfId="7301"/>
    <cellStyle name="Normal 32 3 2 3" xfId="4388"/>
    <cellStyle name="Normal 32 3 2 3 2" xfId="12971"/>
    <cellStyle name="Normal 32 3 2 3 3" xfId="18822"/>
    <cellStyle name="Normal 32 3 2 4" xfId="12968"/>
    <cellStyle name="Normal 32 3 2 5" xfId="18819"/>
    <cellStyle name="Normal 32 3 2_LNG &amp; LPG rework" xfId="7300"/>
    <cellStyle name="Normal 32 3 3" xfId="4389"/>
    <cellStyle name="Normal 32 3 3 2" xfId="4390"/>
    <cellStyle name="Normal 32 3 3 2 2" xfId="12973"/>
    <cellStyle name="Normal 32 3 3 2 3" xfId="18824"/>
    <cellStyle name="Normal 32 3 3 3" xfId="12972"/>
    <cellStyle name="Normal 32 3 3 4" xfId="18823"/>
    <cellStyle name="Normal 32 3 3_LNG &amp; LPG rework" xfId="7302"/>
    <cellStyle name="Normal 32 3 4" xfId="4391"/>
    <cellStyle name="Normal 32 3 4 2" xfId="12974"/>
    <cellStyle name="Normal 32 3 4 3" xfId="18825"/>
    <cellStyle name="Normal 32 3 5" xfId="4392"/>
    <cellStyle name="Normal 32 3 6" xfId="12967"/>
    <cellStyle name="Normal 32 3 7" xfId="18818"/>
    <cellStyle name="Normal 32 3_LNG &amp; LPG rework" xfId="7299"/>
    <cellStyle name="Normal 32 4" xfId="4393"/>
    <cellStyle name="Normal 32 4 2" xfId="4394"/>
    <cellStyle name="Normal 32 4 2 2" xfId="4395"/>
    <cellStyle name="Normal 32 4 2 2 2" xfId="12977"/>
    <cellStyle name="Normal 32 4 2 2 3" xfId="18828"/>
    <cellStyle name="Normal 32 4 2 3" xfId="12976"/>
    <cellStyle name="Normal 32 4 2 4" xfId="18827"/>
    <cellStyle name="Normal 32 4 2_LNG &amp; LPG rework" xfId="7304"/>
    <cellStyle name="Normal 32 4 3" xfId="4396"/>
    <cellStyle name="Normal 32 4 3 2" xfId="12978"/>
    <cellStyle name="Normal 32 4 3 3" xfId="18829"/>
    <cellStyle name="Normal 32 4 4" xfId="4397"/>
    <cellStyle name="Normal 32 4 4 2" xfId="12979"/>
    <cellStyle name="Normal 32 4 4 3" xfId="18830"/>
    <cellStyle name="Normal 32 4 5" xfId="4398"/>
    <cellStyle name="Normal 32 4 5 2" xfId="12980"/>
    <cellStyle name="Normal 32 4 5 3" xfId="18831"/>
    <cellStyle name="Normal 32 4 6" xfId="12975"/>
    <cellStyle name="Normal 32 4 7" xfId="18826"/>
    <cellStyle name="Normal 32 4_LNG &amp; LPG rework" xfId="7303"/>
    <cellStyle name="Normal 32 5" xfId="4399"/>
    <cellStyle name="Normal 32 5 2" xfId="4400"/>
    <cellStyle name="Normal 32 5 2 2" xfId="12982"/>
    <cellStyle name="Normal 32 5 2 3" xfId="18833"/>
    <cellStyle name="Normal 32 5 3" xfId="4401"/>
    <cellStyle name="Normal 32 5 3 2" xfId="12983"/>
    <cellStyle name="Normal 32 5 3 3" xfId="18834"/>
    <cellStyle name="Normal 32 5 4" xfId="4402"/>
    <cellStyle name="Normal 32 5 4 2" xfId="12984"/>
    <cellStyle name="Normal 32 5 4 3" xfId="18835"/>
    <cellStyle name="Normal 32 5 5" xfId="4403"/>
    <cellStyle name="Normal 32 5 5 2" xfId="12985"/>
    <cellStyle name="Normal 32 5 5 3" xfId="18836"/>
    <cellStyle name="Normal 32 5 6" xfId="12981"/>
    <cellStyle name="Normal 32 5 7" xfId="18832"/>
    <cellStyle name="Normal 32 5_LNG &amp; LPG rework" xfId="7305"/>
    <cellStyle name="Normal 32 6" xfId="4404"/>
    <cellStyle name="Normal 32 6 2" xfId="12986"/>
    <cellStyle name="Normal 32 6 3" xfId="18837"/>
    <cellStyle name="Normal 32 7" xfId="4405"/>
    <cellStyle name="Normal 32 8" xfId="12950"/>
    <cellStyle name="Normal 32 9" xfId="18801"/>
    <cellStyle name="Normal 32_LNG &amp; LPG rework" xfId="7294"/>
    <cellStyle name="Normal 33" xfId="4406"/>
    <cellStyle name="Normal 33 10" xfId="26207"/>
    <cellStyle name="Normal 33 2" xfId="4407"/>
    <cellStyle name="Normal 33 2 2" xfId="4408"/>
    <cellStyle name="Normal 33 2 2 2" xfId="4409"/>
    <cellStyle name="Normal 33 2 2 2 2" xfId="4410"/>
    <cellStyle name="Normal 33 2 2 2 2 2" xfId="12991"/>
    <cellStyle name="Normal 33 2 2 2 2 3" xfId="18842"/>
    <cellStyle name="Normal 33 2 2 2 3" xfId="12990"/>
    <cellStyle name="Normal 33 2 2 2 4" xfId="18841"/>
    <cellStyle name="Normal 33 2 2 2_LNG &amp; LPG rework" xfId="7309"/>
    <cellStyle name="Normal 33 2 2 3" xfId="4411"/>
    <cellStyle name="Normal 33 2 2 3 2" xfId="12992"/>
    <cellStyle name="Normal 33 2 2 3 3" xfId="18843"/>
    <cellStyle name="Normal 33 2 2 4" xfId="4412"/>
    <cellStyle name="Normal 33 2 2 4 2" xfId="12993"/>
    <cellStyle name="Normal 33 2 2 4 3" xfId="18844"/>
    <cellStyle name="Normal 33 2 2 5" xfId="4413"/>
    <cellStyle name="Normal 33 2 2 5 2" xfId="12994"/>
    <cellStyle name="Normal 33 2 2 5 3" xfId="18845"/>
    <cellStyle name="Normal 33 2 2 6" xfId="12989"/>
    <cellStyle name="Normal 33 2 2 7" xfId="18840"/>
    <cellStyle name="Normal 33 2 2_LNG &amp; LPG rework" xfId="7308"/>
    <cellStyle name="Normal 33 2 3" xfId="4414"/>
    <cellStyle name="Normal 33 2 3 2" xfId="4415"/>
    <cellStyle name="Normal 33 2 3 2 2" xfId="12996"/>
    <cellStyle name="Normal 33 2 3 2 3" xfId="18847"/>
    <cellStyle name="Normal 33 2 3 3" xfId="4416"/>
    <cellStyle name="Normal 33 2 3 3 2" xfId="12997"/>
    <cellStyle name="Normal 33 2 3 3 3" xfId="18848"/>
    <cellStyle name="Normal 33 2 3 4" xfId="4417"/>
    <cellStyle name="Normal 33 2 3 4 2" xfId="12998"/>
    <cellStyle name="Normal 33 2 3 4 3" xfId="18849"/>
    <cellStyle name="Normal 33 2 3 5" xfId="4418"/>
    <cellStyle name="Normal 33 2 3 5 2" xfId="12999"/>
    <cellStyle name="Normal 33 2 3 5 3" xfId="18850"/>
    <cellStyle name="Normal 33 2 3 6" xfId="12995"/>
    <cellStyle name="Normal 33 2 3 7" xfId="18846"/>
    <cellStyle name="Normal 33 2 3_LNG &amp; LPG rework" xfId="7310"/>
    <cellStyle name="Normal 33 2 4" xfId="4419"/>
    <cellStyle name="Normal 33 2 4 2" xfId="13000"/>
    <cellStyle name="Normal 33 2 4 3" xfId="18851"/>
    <cellStyle name="Normal 33 2 5" xfId="4420"/>
    <cellStyle name="Normal 33 2 5 2" xfId="13001"/>
    <cellStyle name="Normal 33 2 5 3" xfId="18852"/>
    <cellStyle name="Normal 33 2 6" xfId="4421"/>
    <cellStyle name="Normal 33 2 6 2" xfId="13002"/>
    <cellStyle name="Normal 33 2 6 3" xfId="18853"/>
    <cellStyle name="Normal 33 2 7" xfId="4422"/>
    <cellStyle name="Normal 33 2 7 2" xfId="13003"/>
    <cellStyle name="Normal 33 2 7 3" xfId="18854"/>
    <cellStyle name="Normal 33 2 8" xfId="12988"/>
    <cellStyle name="Normal 33 2 9" xfId="18839"/>
    <cellStyle name="Normal 33 2_LNG &amp; LPG rework" xfId="7307"/>
    <cellStyle name="Normal 33 3" xfId="4423"/>
    <cellStyle name="Normal 33 3 2" xfId="4424"/>
    <cellStyle name="Normal 33 3 2 2" xfId="4425"/>
    <cellStyle name="Normal 33 3 2 2 2" xfId="4426"/>
    <cellStyle name="Normal 33 3 2 2 2 2" xfId="13007"/>
    <cellStyle name="Normal 33 3 2 2 2 3" xfId="18858"/>
    <cellStyle name="Normal 33 3 2 2 3" xfId="13006"/>
    <cellStyle name="Normal 33 3 2 2 4" xfId="18857"/>
    <cellStyle name="Normal 33 3 2 2_LNG &amp; LPG rework" xfId="7313"/>
    <cellStyle name="Normal 33 3 2 3" xfId="4427"/>
    <cellStyle name="Normal 33 3 2 3 2" xfId="13008"/>
    <cellStyle name="Normal 33 3 2 3 3" xfId="18859"/>
    <cellStyle name="Normal 33 3 2 4" xfId="13005"/>
    <cellStyle name="Normal 33 3 2 5" xfId="18856"/>
    <cellStyle name="Normal 33 3 2_LNG &amp; LPG rework" xfId="7312"/>
    <cellStyle name="Normal 33 3 3" xfId="4428"/>
    <cellStyle name="Normal 33 3 3 2" xfId="4429"/>
    <cellStyle name="Normal 33 3 3 2 2" xfId="13010"/>
    <cellStyle name="Normal 33 3 3 2 3" xfId="18861"/>
    <cellStyle name="Normal 33 3 3 3" xfId="13009"/>
    <cellStyle name="Normal 33 3 3 4" xfId="18860"/>
    <cellStyle name="Normal 33 3 3_LNG &amp; LPG rework" xfId="7314"/>
    <cellStyle name="Normal 33 3 4" xfId="4430"/>
    <cellStyle name="Normal 33 3 4 2" xfId="13011"/>
    <cellStyle name="Normal 33 3 4 3" xfId="18862"/>
    <cellStyle name="Normal 33 3 5" xfId="4431"/>
    <cellStyle name="Normal 33 3 6" xfId="13004"/>
    <cellStyle name="Normal 33 3 7" xfId="18855"/>
    <cellStyle name="Normal 33 3_LNG &amp; LPG rework" xfId="7311"/>
    <cellStyle name="Normal 33 4" xfId="4432"/>
    <cellStyle name="Normal 33 4 2" xfId="4433"/>
    <cellStyle name="Normal 33 4 2 2" xfId="4434"/>
    <cellStyle name="Normal 33 4 2 2 2" xfId="13014"/>
    <cellStyle name="Normal 33 4 2 2 3" xfId="18865"/>
    <cellStyle name="Normal 33 4 2 3" xfId="13013"/>
    <cellStyle name="Normal 33 4 2 4" xfId="18864"/>
    <cellStyle name="Normal 33 4 2_LNG &amp; LPG rework" xfId="7316"/>
    <cellStyle name="Normal 33 4 3" xfId="4435"/>
    <cellStyle name="Normal 33 4 3 2" xfId="13015"/>
    <cellStyle name="Normal 33 4 3 3" xfId="18866"/>
    <cellStyle name="Normal 33 4 4" xfId="4436"/>
    <cellStyle name="Normal 33 4 4 2" xfId="13016"/>
    <cellStyle name="Normal 33 4 4 3" xfId="18867"/>
    <cellStyle name="Normal 33 4 5" xfId="4437"/>
    <cellStyle name="Normal 33 4 5 2" xfId="13017"/>
    <cellStyle name="Normal 33 4 5 3" xfId="18868"/>
    <cellStyle name="Normal 33 4 6" xfId="13012"/>
    <cellStyle name="Normal 33 4 7" xfId="18863"/>
    <cellStyle name="Normal 33 4_LNG &amp; LPG rework" xfId="7315"/>
    <cellStyle name="Normal 33 5" xfId="4438"/>
    <cellStyle name="Normal 33 5 2" xfId="4439"/>
    <cellStyle name="Normal 33 5 2 2" xfId="13019"/>
    <cellStyle name="Normal 33 5 2 3" xfId="18870"/>
    <cellStyle name="Normal 33 5 3" xfId="4440"/>
    <cellStyle name="Normal 33 5 3 2" xfId="13020"/>
    <cellStyle name="Normal 33 5 3 3" xfId="18871"/>
    <cellStyle name="Normal 33 5 4" xfId="4441"/>
    <cellStyle name="Normal 33 5 4 2" xfId="13021"/>
    <cellStyle name="Normal 33 5 4 3" xfId="18872"/>
    <cellStyle name="Normal 33 5 5" xfId="4442"/>
    <cellStyle name="Normal 33 5 5 2" xfId="13022"/>
    <cellStyle name="Normal 33 5 5 3" xfId="18873"/>
    <cellStyle name="Normal 33 5 6" xfId="13018"/>
    <cellStyle name="Normal 33 5 7" xfId="18869"/>
    <cellStyle name="Normal 33 5_LNG &amp; LPG rework" xfId="7317"/>
    <cellStyle name="Normal 33 6" xfId="4443"/>
    <cellStyle name="Normal 33 6 2" xfId="13023"/>
    <cellStyle name="Normal 33 6 3" xfId="18874"/>
    <cellStyle name="Normal 33 7" xfId="4444"/>
    <cellStyle name="Normal 33 8" xfId="12987"/>
    <cellStyle name="Normal 33 9" xfId="18838"/>
    <cellStyle name="Normal 33_LNG &amp; LPG rework" xfId="7306"/>
    <cellStyle name="Normal 34" xfId="4445"/>
    <cellStyle name="Normal 34 2" xfId="4446"/>
    <cellStyle name="Normal 34 2 2" xfId="4447"/>
    <cellStyle name="Normal 34 2 2 2" xfId="4448"/>
    <cellStyle name="Normal 34 2 2 2 2" xfId="4449"/>
    <cellStyle name="Normal 34 2 2 2 2 2" xfId="13028"/>
    <cellStyle name="Normal 34 2 2 2 2 3" xfId="18879"/>
    <cellStyle name="Normal 34 2 2 2 3" xfId="13027"/>
    <cellStyle name="Normal 34 2 2 2 4" xfId="18878"/>
    <cellStyle name="Normal 34 2 2 2_LNG &amp; LPG rework" xfId="7321"/>
    <cellStyle name="Normal 34 2 2 3" xfId="4450"/>
    <cellStyle name="Normal 34 2 2 3 2" xfId="13029"/>
    <cellStyle name="Normal 34 2 2 3 3" xfId="18880"/>
    <cellStyle name="Normal 34 2 2 4" xfId="4451"/>
    <cellStyle name="Normal 34 2 2 4 2" xfId="13030"/>
    <cellStyle name="Normal 34 2 2 4 3" xfId="18881"/>
    <cellStyle name="Normal 34 2 2 5" xfId="4452"/>
    <cellStyle name="Normal 34 2 2 5 2" xfId="13031"/>
    <cellStyle name="Normal 34 2 2 5 3" xfId="18882"/>
    <cellStyle name="Normal 34 2 2 6" xfId="13026"/>
    <cellStyle name="Normal 34 2 2 7" xfId="18877"/>
    <cellStyle name="Normal 34 2 2_LNG &amp; LPG rework" xfId="7320"/>
    <cellStyle name="Normal 34 2 3" xfId="4453"/>
    <cellStyle name="Normal 34 2 3 2" xfId="4454"/>
    <cellStyle name="Normal 34 2 3 2 2" xfId="13033"/>
    <cellStyle name="Normal 34 2 3 2 3" xfId="18884"/>
    <cellStyle name="Normal 34 2 3 3" xfId="4455"/>
    <cellStyle name="Normal 34 2 3 3 2" xfId="13034"/>
    <cellStyle name="Normal 34 2 3 3 3" xfId="18885"/>
    <cellStyle name="Normal 34 2 3 4" xfId="4456"/>
    <cellStyle name="Normal 34 2 3 4 2" xfId="13035"/>
    <cellStyle name="Normal 34 2 3 4 3" xfId="18886"/>
    <cellStyle name="Normal 34 2 3 5" xfId="4457"/>
    <cellStyle name="Normal 34 2 3 5 2" xfId="13036"/>
    <cellStyle name="Normal 34 2 3 5 3" xfId="18887"/>
    <cellStyle name="Normal 34 2 3 6" xfId="13032"/>
    <cellStyle name="Normal 34 2 3 7" xfId="18883"/>
    <cellStyle name="Normal 34 2 3_LNG &amp; LPG rework" xfId="7322"/>
    <cellStyle name="Normal 34 2 4" xfId="4458"/>
    <cellStyle name="Normal 34 2 4 2" xfId="13037"/>
    <cellStyle name="Normal 34 2 4 3" xfId="18888"/>
    <cellStyle name="Normal 34 2 5" xfId="4459"/>
    <cellStyle name="Normal 34 2 5 2" xfId="13038"/>
    <cellStyle name="Normal 34 2 5 3" xfId="18889"/>
    <cellStyle name="Normal 34 2 6" xfId="4460"/>
    <cellStyle name="Normal 34 2 6 2" xfId="13039"/>
    <cellStyle name="Normal 34 2 6 3" xfId="18890"/>
    <cellStyle name="Normal 34 2 7" xfId="4461"/>
    <cellStyle name="Normal 34 2 7 2" xfId="13040"/>
    <cellStyle name="Normal 34 2 7 3" xfId="18891"/>
    <cellStyle name="Normal 34 2 8" xfId="13025"/>
    <cellStyle name="Normal 34 2 9" xfId="18876"/>
    <cellStyle name="Normal 34 2_LNG &amp; LPG rework" xfId="7319"/>
    <cellStyle name="Normal 34 3" xfId="4462"/>
    <cellStyle name="Normal 34 3 2" xfId="4463"/>
    <cellStyle name="Normal 34 3 2 2" xfId="4464"/>
    <cellStyle name="Normal 34 3 2 2 2" xfId="4465"/>
    <cellStyle name="Normal 34 3 2 2 2 2" xfId="13044"/>
    <cellStyle name="Normal 34 3 2 2 2 3" xfId="18895"/>
    <cellStyle name="Normal 34 3 2 2 3" xfId="13043"/>
    <cellStyle name="Normal 34 3 2 2 4" xfId="18894"/>
    <cellStyle name="Normal 34 3 2 2_LNG &amp; LPG rework" xfId="7325"/>
    <cellStyle name="Normal 34 3 2 3" xfId="4466"/>
    <cellStyle name="Normal 34 3 2 3 2" xfId="13045"/>
    <cellStyle name="Normal 34 3 2 3 3" xfId="18896"/>
    <cellStyle name="Normal 34 3 2 4" xfId="13042"/>
    <cellStyle name="Normal 34 3 2 5" xfId="18893"/>
    <cellStyle name="Normal 34 3 2_LNG &amp; LPG rework" xfId="7324"/>
    <cellStyle name="Normal 34 3 3" xfId="4467"/>
    <cellStyle name="Normal 34 3 3 2" xfId="4468"/>
    <cellStyle name="Normal 34 3 3 2 2" xfId="13047"/>
    <cellStyle name="Normal 34 3 3 2 3" xfId="18898"/>
    <cellStyle name="Normal 34 3 3 3" xfId="13046"/>
    <cellStyle name="Normal 34 3 3 4" xfId="18897"/>
    <cellStyle name="Normal 34 3 3_LNG &amp; LPG rework" xfId="7326"/>
    <cellStyle name="Normal 34 3 4" xfId="4469"/>
    <cellStyle name="Normal 34 3 4 2" xfId="13048"/>
    <cellStyle name="Normal 34 3 4 3" xfId="18899"/>
    <cellStyle name="Normal 34 3 5" xfId="4470"/>
    <cellStyle name="Normal 34 3 6" xfId="13041"/>
    <cellStyle name="Normal 34 3 7" xfId="18892"/>
    <cellStyle name="Normal 34 3_LNG &amp; LPG rework" xfId="7323"/>
    <cellStyle name="Normal 34 4" xfId="4471"/>
    <cellStyle name="Normal 34 4 2" xfId="4472"/>
    <cellStyle name="Normal 34 4 2 2" xfId="4473"/>
    <cellStyle name="Normal 34 4 2 2 2" xfId="13051"/>
    <cellStyle name="Normal 34 4 2 2 3" xfId="18902"/>
    <cellStyle name="Normal 34 4 2 3" xfId="13050"/>
    <cellStyle name="Normal 34 4 2 4" xfId="18901"/>
    <cellStyle name="Normal 34 4 2_LNG &amp; LPG rework" xfId="7328"/>
    <cellStyle name="Normal 34 4 3" xfId="4474"/>
    <cellStyle name="Normal 34 4 3 2" xfId="13052"/>
    <cellStyle name="Normal 34 4 3 3" xfId="18903"/>
    <cellStyle name="Normal 34 4 4" xfId="4475"/>
    <cellStyle name="Normal 34 4 5" xfId="13049"/>
    <cellStyle name="Normal 34 4 6" xfId="18900"/>
    <cellStyle name="Normal 34 4_LNG &amp; LPG rework" xfId="7327"/>
    <cellStyle name="Normal 34 5" xfId="4476"/>
    <cellStyle name="Normal 34 5 2" xfId="4477"/>
    <cellStyle name="Normal 34 5 2 2" xfId="13054"/>
    <cellStyle name="Normal 34 5 2 3" xfId="18905"/>
    <cellStyle name="Normal 34 5 3" xfId="13053"/>
    <cellStyle name="Normal 34 5 4" xfId="18904"/>
    <cellStyle name="Normal 34 5_LNG &amp; LPG rework" xfId="7329"/>
    <cellStyle name="Normal 34 6" xfId="4478"/>
    <cellStyle name="Normal 34 6 2" xfId="13055"/>
    <cellStyle name="Normal 34 6 3" xfId="18906"/>
    <cellStyle name="Normal 34 7" xfId="4479"/>
    <cellStyle name="Normal 34 8" xfId="13024"/>
    <cellStyle name="Normal 34 9" xfId="18875"/>
    <cellStyle name="Normal 34_LNG &amp; LPG rework" xfId="7318"/>
    <cellStyle name="Normal 35" xfId="4480"/>
    <cellStyle name="Normal 35 10" xfId="8902"/>
    <cellStyle name="Normal 35 2" xfId="4481"/>
    <cellStyle name="Normal 35 2 2" xfId="4482"/>
    <cellStyle name="Normal 35 2 2 2" xfId="4483"/>
    <cellStyle name="Normal 35 2 2 2 2" xfId="4484"/>
    <cellStyle name="Normal 35 2 2 2 2 2" xfId="13059"/>
    <cellStyle name="Normal 35 2 2 2 2 3" xfId="18910"/>
    <cellStyle name="Normal 35 2 2 2 3" xfId="13058"/>
    <cellStyle name="Normal 35 2 2 2 4" xfId="18909"/>
    <cellStyle name="Normal 35 2 2 2_LNG &amp; LPG rework" xfId="7332"/>
    <cellStyle name="Normal 35 2 2 3" xfId="4485"/>
    <cellStyle name="Normal 35 2 2 3 2" xfId="13060"/>
    <cellStyle name="Normal 35 2 2 3 3" xfId="18911"/>
    <cellStyle name="Normal 35 2 2 4" xfId="13057"/>
    <cellStyle name="Normal 35 2 2 5" xfId="18908"/>
    <cellStyle name="Normal 35 2 2_LNG &amp; LPG rework" xfId="7331"/>
    <cellStyle name="Normal 35 2 3" xfId="4486"/>
    <cellStyle name="Normal 35 2 3 2" xfId="4487"/>
    <cellStyle name="Normal 35 2 3 2 2" xfId="13062"/>
    <cellStyle name="Normal 35 2 3 2 3" xfId="18913"/>
    <cellStyle name="Normal 35 2 3 3" xfId="13061"/>
    <cellStyle name="Normal 35 2 3 4" xfId="18912"/>
    <cellStyle name="Normal 35 2 3_LNG &amp; LPG rework" xfId="7333"/>
    <cellStyle name="Normal 35 2 4" xfId="4488"/>
    <cellStyle name="Normal 35 2 4 2" xfId="13063"/>
    <cellStyle name="Normal 35 2 4 3" xfId="18914"/>
    <cellStyle name="Normal 35 2 5" xfId="4489"/>
    <cellStyle name="Normal 35 2 6" xfId="13056"/>
    <cellStyle name="Normal 35 2 7" xfId="18907"/>
    <cellStyle name="Normal 35 2_LNG &amp; LPG rework" xfId="7330"/>
    <cellStyle name="Normal 35 3" xfId="4490"/>
    <cellStyle name="Normal 35 3 2" xfId="4491"/>
    <cellStyle name="Normal 35 3 2 2" xfId="4492"/>
    <cellStyle name="Normal 35 3 2 2 2" xfId="4493"/>
    <cellStyle name="Normal 35 3 2 2 2 2" xfId="13067"/>
    <cellStyle name="Normal 35 3 2 2 2 3" xfId="18918"/>
    <cellStyle name="Normal 35 3 2 2 3" xfId="13066"/>
    <cellStyle name="Normal 35 3 2 2 4" xfId="18917"/>
    <cellStyle name="Normal 35 3 2 2_LNG &amp; LPG rework" xfId="7336"/>
    <cellStyle name="Normal 35 3 2 3" xfId="4494"/>
    <cellStyle name="Normal 35 3 2 3 2" xfId="13068"/>
    <cellStyle name="Normal 35 3 2 3 3" xfId="18919"/>
    <cellStyle name="Normal 35 3 2 4" xfId="13065"/>
    <cellStyle name="Normal 35 3 2 5" xfId="18916"/>
    <cellStyle name="Normal 35 3 2_LNG &amp; LPG rework" xfId="7335"/>
    <cellStyle name="Normal 35 3 3" xfId="4495"/>
    <cellStyle name="Normal 35 3 3 2" xfId="4496"/>
    <cellStyle name="Normal 35 3 3 2 2" xfId="13070"/>
    <cellStyle name="Normal 35 3 3 2 3" xfId="18921"/>
    <cellStyle name="Normal 35 3 3 3" xfId="13069"/>
    <cellStyle name="Normal 35 3 3 4" xfId="18920"/>
    <cellStyle name="Normal 35 3 3_LNG &amp; LPG rework" xfId="7337"/>
    <cellStyle name="Normal 35 3 4" xfId="4497"/>
    <cellStyle name="Normal 35 3 4 2" xfId="13071"/>
    <cellStyle name="Normal 35 3 4 3" xfId="18922"/>
    <cellStyle name="Normal 35 3 5" xfId="4498"/>
    <cellStyle name="Normal 35 3 6" xfId="13064"/>
    <cellStyle name="Normal 35 3 7" xfId="18915"/>
    <cellStyle name="Normal 35 3_LNG &amp; LPG rework" xfId="7334"/>
    <cellStyle name="Normal 35 4" xfId="4499"/>
    <cellStyle name="Normal 35 4 2" xfId="4500"/>
    <cellStyle name="Normal 35 4 2 2" xfId="4501"/>
    <cellStyle name="Normal 35 4 2 2 2" xfId="13074"/>
    <cellStyle name="Normal 35 4 2 2 3" xfId="18925"/>
    <cellStyle name="Normal 35 4 2 3" xfId="4502"/>
    <cellStyle name="Normal 35 4 2 3 2" xfId="13075"/>
    <cellStyle name="Normal 35 4 2 3 3" xfId="18926"/>
    <cellStyle name="Normal 35 4 2 4" xfId="4503"/>
    <cellStyle name="Normal 35 4 2 4 2" xfId="13076"/>
    <cellStyle name="Normal 35 4 2 4 3" xfId="18927"/>
    <cellStyle name="Normal 35 4 2 5" xfId="4504"/>
    <cellStyle name="Normal 35 4 2 5 2" xfId="13077"/>
    <cellStyle name="Normal 35 4 2 5 3" xfId="18928"/>
    <cellStyle name="Normal 35 4 2 6" xfId="13073"/>
    <cellStyle name="Normal 35 4 2 7" xfId="18924"/>
    <cellStyle name="Normal 35 4 2_LNG &amp; LPG rework" xfId="7339"/>
    <cellStyle name="Normal 35 4 3" xfId="4505"/>
    <cellStyle name="Normal 35 4 3 2" xfId="13078"/>
    <cellStyle name="Normal 35 4 3 3" xfId="18929"/>
    <cellStyle name="Normal 35 4 4" xfId="4506"/>
    <cellStyle name="Normal 35 4 4 2" xfId="13079"/>
    <cellStyle name="Normal 35 4 4 3" xfId="18930"/>
    <cellStyle name="Normal 35 4 5" xfId="4507"/>
    <cellStyle name="Normal 35 4 5 2" xfId="13080"/>
    <cellStyle name="Normal 35 4 5 3" xfId="18931"/>
    <cellStyle name="Normal 35 4 6" xfId="4508"/>
    <cellStyle name="Normal 35 4 6 2" xfId="13081"/>
    <cellStyle name="Normal 35 4 6 3" xfId="18932"/>
    <cellStyle name="Normal 35 4 7" xfId="13072"/>
    <cellStyle name="Normal 35 4 8" xfId="18923"/>
    <cellStyle name="Normal 35 4_LNG &amp; LPG rework" xfId="7338"/>
    <cellStyle name="Normal 35 5" xfId="4509"/>
    <cellStyle name="Normal 35 5 2" xfId="4510"/>
    <cellStyle name="Normal 35 5 2 2" xfId="13083"/>
    <cellStyle name="Normal 35 5 2 3" xfId="18934"/>
    <cellStyle name="Normal 35 5 3" xfId="13082"/>
    <cellStyle name="Normal 35 5 4" xfId="18933"/>
    <cellStyle name="Normal 35 5_LNG &amp; LPG rework" xfId="7340"/>
    <cellStyle name="Normal 35 6" xfId="4511"/>
    <cellStyle name="Normal 35 6 2" xfId="13084"/>
    <cellStyle name="Normal 35 6 3" xfId="18935"/>
    <cellStyle name="Normal 35 7" xfId="4512"/>
    <cellStyle name="Normal 35 7 2" xfId="13085"/>
    <cellStyle name="Normal 35 7 3" xfId="18936"/>
    <cellStyle name="Normal 35 8" xfId="4513"/>
    <cellStyle name="Normal 35 8 2" xfId="13086"/>
    <cellStyle name="Normal 35 8 3" xfId="18937"/>
    <cellStyle name="Normal 35 9" xfId="7828"/>
    <cellStyle name="Normal 35_Data - Monthly Commodity Prices" xfId="6483"/>
    <cellStyle name="Normal 36" xfId="4514"/>
    <cellStyle name="Normal 36 10" xfId="18938"/>
    <cellStyle name="Normal 36 2" xfId="4515"/>
    <cellStyle name="Normal 36 2 2" xfId="4516"/>
    <cellStyle name="Normal 36 2 2 2" xfId="4517"/>
    <cellStyle name="Normal 36 2 2 2 2" xfId="4518"/>
    <cellStyle name="Normal 36 2 2 2 2 2" xfId="13091"/>
    <cellStyle name="Normal 36 2 2 2 2 3" xfId="18942"/>
    <cellStyle name="Normal 36 2 2 2 3" xfId="13090"/>
    <cellStyle name="Normal 36 2 2 2 4" xfId="18941"/>
    <cellStyle name="Normal 36 2 2 2_LNG &amp; LPG rework" xfId="7344"/>
    <cellStyle name="Normal 36 2 2 3" xfId="4519"/>
    <cellStyle name="Normal 36 2 2 3 2" xfId="13092"/>
    <cellStyle name="Normal 36 2 2 3 3" xfId="18943"/>
    <cellStyle name="Normal 36 2 2 4" xfId="4520"/>
    <cellStyle name="Normal 36 2 2 4 2" xfId="13093"/>
    <cellStyle name="Normal 36 2 2 4 3" xfId="18944"/>
    <cellStyle name="Normal 36 2 2 5" xfId="4521"/>
    <cellStyle name="Normal 36 2 2 5 2" xfId="13094"/>
    <cellStyle name="Normal 36 2 2 5 3" xfId="18945"/>
    <cellStyle name="Normal 36 2 2 6" xfId="13089"/>
    <cellStyle name="Normal 36 2 2 7" xfId="18940"/>
    <cellStyle name="Normal 36 2 2_LNG &amp; LPG rework" xfId="7343"/>
    <cellStyle name="Normal 36 2 3" xfId="4522"/>
    <cellStyle name="Normal 36 2 3 2" xfId="4523"/>
    <cellStyle name="Normal 36 2 3 2 2" xfId="13096"/>
    <cellStyle name="Normal 36 2 3 2 3" xfId="18947"/>
    <cellStyle name="Normal 36 2 3 3" xfId="4524"/>
    <cellStyle name="Normal 36 2 3 3 2" xfId="13097"/>
    <cellStyle name="Normal 36 2 3 3 3" xfId="18948"/>
    <cellStyle name="Normal 36 2 3 4" xfId="4525"/>
    <cellStyle name="Normal 36 2 3 4 2" xfId="13098"/>
    <cellStyle name="Normal 36 2 3 4 3" xfId="18949"/>
    <cellStyle name="Normal 36 2 3 5" xfId="4526"/>
    <cellStyle name="Normal 36 2 3 5 2" xfId="13099"/>
    <cellStyle name="Normal 36 2 3 5 3" xfId="18950"/>
    <cellStyle name="Normal 36 2 3 6" xfId="13095"/>
    <cellStyle name="Normal 36 2 3 7" xfId="18946"/>
    <cellStyle name="Normal 36 2 3_LNG &amp; LPG rework" xfId="7345"/>
    <cellStyle name="Normal 36 2 4" xfId="4527"/>
    <cellStyle name="Normal 36 2 4 2" xfId="13100"/>
    <cellStyle name="Normal 36 2 4 3" xfId="18951"/>
    <cellStyle name="Normal 36 2 5" xfId="4528"/>
    <cellStyle name="Normal 36 2 5 2" xfId="13101"/>
    <cellStyle name="Normal 36 2 5 3" xfId="18952"/>
    <cellStyle name="Normal 36 2 6" xfId="4529"/>
    <cellStyle name="Normal 36 2 6 2" xfId="13102"/>
    <cellStyle name="Normal 36 2 6 3" xfId="18953"/>
    <cellStyle name="Normal 36 2 7" xfId="4530"/>
    <cellStyle name="Normal 36 2 7 2" xfId="13103"/>
    <cellStyle name="Normal 36 2 7 3" xfId="18954"/>
    <cellStyle name="Normal 36 2 8" xfId="13088"/>
    <cellStyle name="Normal 36 2 9" xfId="18939"/>
    <cellStyle name="Normal 36 2_LNG &amp; LPG rework" xfId="7342"/>
    <cellStyle name="Normal 36 3" xfId="4531"/>
    <cellStyle name="Normal 36 3 2" xfId="4532"/>
    <cellStyle name="Normal 36 3 2 2" xfId="4533"/>
    <cellStyle name="Normal 36 3 2 2 2" xfId="4534"/>
    <cellStyle name="Normal 36 3 2 2 2 2" xfId="13107"/>
    <cellStyle name="Normal 36 3 2 2 2 3" xfId="18958"/>
    <cellStyle name="Normal 36 3 2 2 3" xfId="13106"/>
    <cellStyle name="Normal 36 3 2 2 4" xfId="18957"/>
    <cellStyle name="Normal 36 3 2 2_LNG &amp; LPG rework" xfId="7348"/>
    <cellStyle name="Normal 36 3 2 3" xfId="4535"/>
    <cellStyle name="Normal 36 3 2 3 2" xfId="13108"/>
    <cellStyle name="Normal 36 3 2 3 3" xfId="18959"/>
    <cellStyle name="Normal 36 3 2 4" xfId="13105"/>
    <cellStyle name="Normal 36 3 2 5" xfId="18956"/>
    <cellStyle name="Normal 36 3 2_LNG &amp; LPG rework" xfId="7347"/>
    <cellStyle name="Normal 36 3 3" xfId="4536"/>
    <cellStyle name="Normal 36 3 3 2" xfId="4537"/>
    <cellStyle name="Normal 36 3 3 2 2" xfId="13110"/>
    <cellStyle name="Normal 36 3 3 2 3" xfId="18961"/>
    <cellStyle name="Normal 36 3 3 3" xfId="13109"/>
    <cellStyle name="Normal 36 3 3 4" xfId="18960"/>
    <cellStyle name="Normal 36 3 3_LNG &amp; LPG rework" xfId="7349"/>
    <cellStyle name="Normal 36 3 4" xfId="4538"/>
    <cellStyle name="Normal 36 3 4 2" xfId="13111"/>
    <cellStyle name="Normal 36 3 4 3" xfId="18962"/>
    <cellStyle name="Normal 36 3 5" xfId="4539"/>
    <cellStyle name="Normal 36 3 5 2" xfId="13112"/>
    <cellStyle name="Normal 36 3 5 3" xfId="18963"/>
    <cellStyle name="Normal 36 3 6" xfId="13104"/>
    <cellStyle name="Normal 36 3 7" xfId="18955"/>
    <cellStyle name="Normal 36 3_LNG &amp; LPG rework" xfId="7346"/>
    <cellStyle name="Normal 36 4" xfId="4540"/>
    <cellStyle name="Normal 36 4 2" xfId="4541"/>
    <cellStyle name="Normal 36 4 2 2" xfId="4542"/>
    <cellStyle name="Normal 36 4 2 2 2" xfId="13115"/>
    <cellStyle name="Normal 36 4 2 2 3" xfId="18966"/>
    <cellStyle name="Normal 36 4 2 3" xfId="13114"/>
    <cellStyle name="Normal 36 4 2 4" xfId="18965"/>
    <cellStyle name="Normal 36 4 2_LNG &amp; LPG rework" xfId="7351"/>
    <cellStyle name="Normal 36 4 3" xfId="4543"/>
    <cellStyle name="Normal 36 4 3 2" xfId="13116"/>
    <cellStyle name="Normal 36 4 3 3" xfId="18967"/>
    <cellStyle name="Normal 36 4 4" xfId="4544"/>
    <cellStyle name="Normal 36 4 4 2" xfId="13117"/>
    <cellStyle name="Normal 36 4 4 3" xfId="18968"/>
    <cellStyle name="Normal 36 4 5" xfId="4545"/>
    <cellStyle name="Normal 36 4 5 2" xfId="13118"/>
    <cellStyle name="Normal 36 4 5 3" xfId="18969"/>
    <cellStyle name="Normal 36 4 6" xfId="13113"/>
    <cellStyle name="Normal 36 4 7" xfId="18964"/>
    <cellStyle name="Normal 36 4_LNG &amp; LPG rework" xfId="7350"/>
    <cellStyle name="Normal 36 5" xfId="4546"/>
    <cellStyle name="Normal 36 5 2" xfId="4547"/>
    <cellStyle name="Normal 36 5 2 2" xfId="13120"/>
    <cellStyle name="Normal 36 5 2 3" xfId="18971"/>
    <cellStyle name="Normal 36 5 3" xfId="13119"/>
    <cellStyle name="Normal 36 5 4" xfId="18970"/>
    <cellStyle name="Normal 36 5_LNG &amp; LPG rework" xfId="7352"/>
    <cellStyle name="Normal 36 6" xfId="4548"/>
    <cellStyle name="Normal 36 6 2" xfId="13121"/>
    <cellStyle name="Normal 36 6 3" xfId="18972"/>
    <cellStyle name="Normal 36 7" xfId="4549"/>
    <cellStyle name="Normal 36 7 2" xfId="13122"/>
    <cellStyle name="Normal 36 7 3" xfId="18973"/>
    <cellStyle name="Normal 36 8" xfId="4550"/>
    <cellStyle name="Normal 36 8 2" xfId="13123"/>
    <cellStyle name="Normal 36 8 3" xfId="18974"/>
    <cellStyle name="Normal 36 9" xfId="13087"/>
    <cellStyle name="Normal 36_LNG &amp; LPG rework" xfId="7341"/>
    <cellStyle name="Normal 37" xfId="4551"/>
    <cellStyle name="Normal 37 2" xfId="4552"/>
    <cellStyle name="Normal 37 2 2" xfId="4553"/>
    <cellStyle name="Normal 37 2 2 2" xfId="4554"/>
    <cellStyle name="Normal 37 2 2 2 2" xfId="4555"/>
    <cellStyle name="Normal 37 2 2 2 2 2" xfId="13128"/>
    <cellStyle name="Normal 37 2 2 2 2 3" xfId="18979"/>
    <cellStyle name="Normal 37 2 2 2 3" xfId="13127"/>
    <cellStyle name="Normal 37 2 2 2 4" xfId="18978"/>
    <cellStyle name="Normal 37 2 2 2_LNG &amp; LPG rework" xfId="7356"/>
    <cellStyle name="Normal 37 2 2 3" xfId="4556"/>
    <cellStyle name="Normal 37 2 2 3 2" xfId="13129"/>
    <cellStyle name="Normal 37 2 2 3 3" xfId="18980"/>
    <cellStyle name="Normal 37 2 2 4" xfId="13126"/>
    <cellStyle name="Normal 37 2 2 5" xfId="18977"/>
    <cellStyle name="Normal 37 2 2_LNG &amp; LPG rework" xfId="7355"/>
    <cellStyle name="Normal 37 2 3" xfId="4557"/>
    <cellStyle name="Normal 37 2 3 2" xfId="4558"/>
    <cellStyle name="Normal 37 2 3 2 2" xfId="13131"/>
    <cellStyle name="Normal 37 2 3 2 3" xfId="18982"/>
    <cellStyle name="Normal 37 2 3 3" xfId="13130"/>
    <cellStyle name="Normal 37 2 3 4" xfId="18981"/>
    <cellStyle name="Normal 37 2 3_LNG &amp; LPG rework" xfId="7357"/>
    <cellStyle name="Normal 37 2 4" xfId="4559"/>
    <cellStyle name="Normal 37 2 4 2" xfId="13132"/>
    <cellStyle name="Normal 37 2 4 3" xfId="18983"/>
    <cellStyle name="Normal 37 2 5" xfId="4560"/>
    <cellStyle name="Normal 37 2 6" xfId="13125"/>
    <cellStyle name="Normal 37 2 7" xfId="18976"/>
    <cellStyle name="Normal 37 2_LNG &amp; LPG rework" xfId="7354"/>
    <cellStyle name="Normal 37 3" xfId="4561"/>
    <cellStyle name="Normal 37 3 2" xfId="4562"/>
    <cellStyle name="Normal 37 3 2 2" xfId="4563"/>
    <cellStyle name="Normal 37 3 2 2 2" xfId="4564"/>
    <cellStyle name="Normal 37 3 2 2 2 2" xfId="13136"/>
    <cellStyle name="Normal 37 3 2 2 2 3" xfId="18987"/>
    <cellStyle name="Normal 37 3 2 2 3" xfId="13135"/>
    <cellStyle name="Normal 37 3 2 2 4" xfId="18986"/>
    <cellStyle name="Normal 37 3 2 2_LNG &amp; LPG rework" xfId="7360"/>
    <cellStyle name="Normal 37 3 2 3" xfId="4565"/>
    <cellStyle name="Normal 37 3 2 3 2" xfId="13137"/>
    <cellStyle name="Normal 37 3 2 3 3" xfId="18988"/>
    <cellStyle name="Normal 37 3 2 4" xfId="13134"/>
    <cellStyle name="Normal 37 3 2 5" xfId="18985"/>
    <cellStyle name="Normal 37 3 2_LNG &amp; LPG rework" xfId="7359"/>
    <cellStyle name="Normal 37 3 3" xfId="4566"/>
    <cellStyle name="Normal 37 3 3 2" xfId="4567"/>
    <cellStyle name="Normal 37 3 3 2 2" xfId="13139"/>
    <cellStyle name="Normal 37 3 3 2 3" xfId="18990"/>
    <cellStyle name="Normal 37 3 3 3" xfId="13138"/>
    <cellStyle name="Normal 37 3 3 4" xfId="18989"/>
    <cellStyle name="Normal 37 3 3_LNG &amp; LPG rework" xfId="7361"/>
    <cellStyle name="Normal 37 3 4" xfId="4568"/>
    <cellStyle name="Normal 37 3 4 2" xfId="13140"/>
    <cellStyle name="Normal 37 3 4 3" xfId="18991"/>
    <cellStyle name="Normal 37 3 5" xfId="13133"/>
    <cellStyle name="Normal 37 3 6" xfId="18984"/>
    <cellStyle name="Normal 37 3_LNG &amp; LPG rework" xfId="7358"/>
    <cellStyle name="Normal 37 4" xfId="4569"/>
    <cellStyle name="Normal 37 4 2" xfId="4570"/>
    <cellStyle name="Normal 37 4 2 2" xfId="4571"/>
    <cellStyle name="Normal 37 4 2 2 2" xfId="13143"/>
    <cellStyle name="Normal 37 4 2 2 3" xfId="18994"/>
    <cellStyle name="Normal 37 4 2 3" xfId="13142"/>
    <cellStyle name="Normal 37 4 2 4" xfId="18993"/>
    <cellStyle name="Normal 37 4 2_LNG &amp; LPG rework" xfId="7363"/>
    <cellStyle name="Normal 37 4 3" xfId="4572"/>
    <cellStyle name="Normal 37 4 3 2" xfId="13144"/>
    <cellStyle name="Normal 37 4 3 3" xfId="18995"/>
    <cellStyle name="Normal 37 4 4" xfId="13141"/>
    <cellStyle name="Normal 37 4 5" xfId="18992"/>
    <cellStyle name="Normal 37 4_LNG &amp; LPG rework" xfId="7362"/>
    <cellStyle name="Normal 37 5" xfId="4573"/>
    <cellStyle name="Normal 37 5 2" xfId="4574"/>
    <cellStyle name="Normal 37 5 2 2" xfId="13146"/>
    <cellStyle name="Normal 37 5 2 3" xfId="18997"/>
    <cellStyle name="Normal 37 5 3" xfId="13145"/>
    <cellStyle name="Normal 37 5 4" xfId="18996"/>
    <cellStyle name="Normal 37 5_LNG &amp; LPG rework" xfId="7364"/>
    <cellStyle name="Normal 37 6" xfId="4575"/>
    <cellStyle name="Normal 37 6 2" xfId="13147"/>
    <cellStyle name="Normal 37 6 3" xfId="18998"/>
    <cellStyle name="Normal 37 7" xfId="4576"/>
    <cellStyle name="Normal 37 8" xfId="13124"/>
    <cellStyle name="Normal 37 9" xfId="18975"/>
    <cellStyle name="Normal 37_LNG &amp; LPG rework" xfId="7353"/>
    <cellStyle name="Normal 38" xfId="4577"/>
    <cellStyle name="Normal 38 2" xfId="4578"/>
    <cellStyle name="Normal 38 3" xfId="4579"/>
    <cellStyle name="Normal 38 4" xfId="4580"/>
    <cellStyle name="Normal 38_LNG &amp; LPG rework" xfId="7365"/>
    <cellStyle name="Normal 39" xfId="4581"/>
    <cellStyle name="Normal 39 2" xfId="4582"/>
    <cellStyle name="Normal 39 2 2" xfId="4583"/>
    <cellStyle name="Normal 39 2 2 2" xfId="4584"/>
    <cellStyle name="Normal 39 2 2 2 2" xfId="4585"/>
    <cellStyle name="Normal 39 2 2 2 2 2" xfId="13152"/>
    <cellStyle name="Normal 39 2 2 2 2 3" xfId="19003"/>
    <cellStyle name="Normal 39 2 2 2 3" xfId="13151"/>
    <cellStyle name="Normal 39 2 2 2 4" xfId="19002"/>
    <cellStyle name="Normal 39 2 2 2_LNG &amp; LPG rework" xfId="7369"/>
    <cellStyle name="Normal 39 2 2 3" xfId="4586"/>
    <cellStyle name="Normal 39 2 2 3 2" xfId="13153"/>
    <cellStyle name="Normal 39 2 2 3 3" xfId="19004"/>
    <cellStyle name="Normal 39 2 2 4" xfId="4587"/>
    <cellStyle name="Normal 39 2 2 4 2" xfId="13154"/>
    <cellStyle name="Normal 39 2 2 4 3" xfId="19005"/>
    <cellStyle name="Normal 39 2 2 5" xfId="4588"/>
    <cellStyle name="Normal 39 2 2 5 2" xfId="13155"/>
    <cellStyle name="Normal 39 2 2 5 3" xfId="19006"/>
    <cellStyle name="Normal 39 2 2 6" xfId="13150"/>
    <cellStyle name="Normal 39 2 2 7" xfId="19001"/>
    <cellStyle name="Normal 39 2 2_LNG &amp; LPG rework" xfId="7368"/>
    <cellStyle name="Normal 39 2 3" xfId="4589"/>
    <cellStyle name="Normal 39 2 3 2" xfId="4590"/>
    <cellStyle name="Normal 39 2 3 2 2" xfId="13157"/>
    <cellStyle name="Normal 39 2 3 2 3" xfId="19008"/>
    <cellStyle name="Normal 39 2 3 3" xfId="13156"/>
    <cellStyle name="Normal 39 2 3 4" xfId="19007"/>
    <cellStyle name="Normal 39 2 3_LNG &amp; LPG rework" xfId="7370"/>
    <cellStyle name="Normal 39 2 4" xfId="4591"/>
    <cellStyle name="Normal 39 2 4 2" xfId="13158"/>
    <cellStyle name="Normal 39 2 4 3" xfId="19009"/>
    <cellStyle name="Normal 39 2 5" xfId="4592"/>
    <cellStyle name="Normal 39 2 5 2" xfId="13159"/>
    <cellStyle name="Normal 39 2 5 3" xfId="19010"/>
    <cellStyle name="Normal 39 2 6" xfId="4593"/>
    <cellStyle name="Normal 39 2 6 2" xfId="13160"/>
    <cellStyle name="Normal 39 2 6 3" xfId="19011"/>
    <cellStyle name="Normal 39 2 7" xfId="13149"/>
    <cellStyle name="Normal 39 2 8" xfId="19000"/>
    <cellStyle name="Normal 39 2_LNG &amp; LPG rework" xfId="7367"/>
    <cellStyle name="Normal 39 3" xfId="4594"/>
    <cellStyle name="Normal 39 3 2" xfId="4595"/>
    <cellStyle name="Normal 39 3 2 2" xfId="4596"/>
    <cellStyle name="Normal 39 3 2 2 2" xfId="4597"/>
    <cellStyle name="Normal 39 3 2 2 2 2" xfId="13164"/>
    <cellStyle name="Normal 39 3 2 2 2 3" xfId="19015"/>
    <cellStyle name="Normal 39 3 2 2 3" xfId="13163"/>
    <cellStyle name="Normal 39 3 2 2 4" xfId="19014"/>
    <cellStyle name="Normal 39 3 2 2_LNG &amp; LPG rework" xfId="7373"/>
    <cellStyle name="Normal 39 3 2 3" xfId="4598"/>
    <cellStyle name="Normal 39 3 2 3 2" xfId="13165"/>
    <cellStyle name="Normal 39 3 2 3 3" xfId="19016"/>
    <cellStyle name="Normal 39 3 2 4" xfId="13162"/>
    <cellStyle name="Normal 39 3 2 5" xfId="19013"/>
    <cellStyle name="Normal 39 3 2_LNG &amp; LPG rework" xfId="7372"/>
    <cellStyle name="Normal 39 3 3" xfId="4599"/>
    <cellStyle name="Normal 39 3 3 2" xfId="4600"/>
    <cellStyle name="Normal 39 3 3 2 2" xfId="13167"/>
    <cellStyle name="Normal 39 3 3 2 3" xfId="19018"/>
    <cellStyle name="Normal 39 3 3 3" xfId="13166"/>
    <cellStyle name="Normal 39 3 3 4" xfId="19017"/>
    <cellStyle name="Normal 39 3 3_LNG &amp; LPG rework" xfId="7374"/>
    <cellStyle name="Normal 39 3 4" xfId="4601"/>
    <cellStyle name="Normal 39 3 4 2" xfId="13168"/>
    <cellStyle name="Normal 39 3 4 3" xfId="19019"/>
    <cellStyle name="Normal 39 3 5" xfId="4602"/>
    <cellStyle name="Normal 39 3 6" xfId="13161"/>
    <cellStyle name="Normal 39 3 7" xfId="19012"/>
    <cellStyle name="Normal 39 3_LNG &amp; LPG rework" xfId="7371"/>
    <cellStyle name="Normal 39 4" xfId="4603"/>
    <cellStyle name="Normal 39 4 2" xfId="4604"/>
    <cellStyle name="Normal 39 4 2 2" xfId="4605"/>
    <cellStyle name="Normal 39 4 2 2 2" xfId="13171"/>
    <cellStyle name="Normal 39 4 2 2 3" xfId="19022"/>
    <cellStyle name="Normal 39 4 2 3" xfId="13170"/>
    <cellStyle name="Normal 39 4 2 4" xfId="19021"/>
    <cellStyle name="Normal 39 4 2_LNG &amp; LPG rework" xfId="7376"/>
    <cellStyle name="Normal 39 4 3" xfId="4606"/>
    <cellStyle name="Normal 39 4 3 2" xfId="13172"/>
    <cellStyle name="Normal 39 4 3 3" xfId="19023"/>
    <cellStyle name="Normal 39 4 4" xfId="13169"/>
    <cellStyle name="Normal 39 4 5" xfId="19020"/>
    <cellStyle name="Normal 39 4_LNG &amp; LPG rework" xfId="7375"/>
    <cellStyle name="Normal 39 5" xfId="4607"/>
    <cellStyle name="Normal 39 5 2" xfId="4608"/>
    <cellStyle name="Normal 39 5 2 2" xfId="13174"/>
    <cellStyle name="Normal 39 5 2 3" xfId="19025"/>
    <cellStyle name="Normal 39 5 3" xfId="13173"/>
    <cellStyle name="Normal 39 5 4" xfId="19024"/>
    <cellStyle name="Normal 39 5_LNG &amp; LPG rework" xfId="7377"/>
    <cellStyle name="Normal 39 6" xfId="4609"/>
    <cellStyle name="Normal 39 6 2" xfId="13175"/>
    <cellStyle name="Normal 39 6 3" xfId="19026"/>
    <cellStyle name="Normal 39 7" xfId="4610"/>
    <cellStyle name="Normal 39 8" xfId="13148"/>
    <cellStyle name="Normal 39 9" xfId="18999"/>
    <cellStyle name="Normal 39_LNG &amp; LPG rework" xfId="7366"/>
    <cellStyle name="Normal 4" xfId="45"/>
    <cellStyle name="Normal 4 10" xfId="4611"/>
    <cellStyle name="Normal 4 10 2" xfId="13176"/>
    <cellStyle name="Normal 4 10 3" xfId="19027"/>
    <cellStyle name="Normal 4 11" xfId="8959"/>
    <cellStyle name="Normal 4 12" xfId="14882"/>
    <cellStyle name="Normal 4 13" xfId="20813"/>
    <cellStyle name="Normal 4 14" xfId="20819"/>
    <cellStyle name="Normal 4 15" xfId="20820"/>
    <cellStyle name="Normal 4 16" xfId="26189"/>
    <cellStyle name="Normal 4 2" xfId="121"/>
    <cellStyle name="Normal 4 2 2" xfId="475"/>
    <cellStyle name="Normal 4 2 3" xfId="9013"/>
    <cellStyle name="Normal 4 2 4" xfId="14985"/>
    <cellStyle name="Normal 4 2_LNG &amp; LPG rework" xfId="6550"/>
    <cellStyle name="Normal 4 3" xfId="474"/>
    <cellStyle name="Normal 4 4" xfId="4612"/>
    <cellStyle name="Normal 4 5" xfId="4613"/>
    <cellStyle name="Normal 4 6" xfId="4614"/>
    <cellStyle name="Normal 4 7" xfId="4615"/>
    <cellStyle name="Normal 4 8" xfId="4616"/>
    <cellStyle name="Normal 4 9" xfId="4617"/>
    <cellStyle name="Normal 4_2015  Data" xfId="476"/>
    <cellStyle name="Normal 40" xfId="4618"/>
    <cellStyle name="Normal 40 10" xfId="20822"/>
    <cellStyle name="Normal 40 2" xfId="4619"/>
    <cellStyle name="Normal 40 2 2" xfId="4620"/>
    <cellStyle name="Normal 40 2 2 2" xfId="4621"/>
    <cellStyle name="Normal 40 2 2 2 2" xfId="4622"/>
    <cellStyle name="Normal 40 2 2 2 2 2" xfId="13180"/>
    <cellStyle name="Normal 40 2 2 2 2 3" xfId="19031"/>
    <cellStyle name="Normal 40 2 2 2 3" xfId="13179"/>
    <cellStyle name="Normal 40 2 2 2 4" xfId="19030"/>
    <cellStyle name="Normal 40 2 2 2_LNG &amp; LPG rework" xfId="7380"/>
    <cellStyle name="Normal 40 2 2 3" xfId="4623"/>
    <cellStyle name="Normal 40 2 2 3 2" xfId="13181"/>
    <cellStyle name="Normal 40 2 2 3 3" xfId="19032"/>
    <cellStyle name="Normal 40 2 2 4" xfId="13178"/>
    <cellStyle name="Normal 40 2 2 5" xfId="19029"/>
    <cellStyle name="Normal 40 2 2_LNG &amp; LPG rework" xfId="7379"/>
    <cellStyle name="Normal 40 2 3" xfId="4624"/>
    <cellStyle name="Normal 40 2 3 2" xfId="4625"/>
    <cellStyle name="Normal 40 2 3 2 2" xfId="13183"/>
    <cellStyle name="Normal 40 2 3 2 3" xfId="19034"/>
    <cellStyle name="Normal 40 2 3 3" xfId="13182"/>
    <cellStyle name="Normal 40 2 3 4" xfId="19033"/>
    <cellStyle name="Normal 40 2 3_LNG &amp; LPG rework" xfId="7381"/>
    <cellStyle name="Normal 40 2 4" xfId="4626"/>
    <cellStyle name="Normal 40 2 4 2" xfId="13184"/>
    <cellStyle name="Normal 40 2 4 3" xfId="19035"/>
    <cellStyle name="Normal 40 2 5" xfId="4627"/>
    <cellStyle name="Normal 40 2 6" xfId="13177"/>
    <cellStyle name="Normal 40 2 7" xfId="19028"/>
    <cellStyle name="Normal 40 2_LNG &amp; LPG rework" xfId="7378"/>
    <cellStyle name="Normal 40 3" xfId="4628"/>
    <cellStyle name="Normal 40 3 2" xfId="4629"/>
    <cellStyle name="Normal 40 3 2 2" xfId="4630"/>
    <cellStyle name="Normal 40 3 2 2 2" xfId="4631"/>
    <cellStyle name="Normal 40 3 2 2 2 2" xfId="13188"/>
    <cellStyle name="Normal 40 3 2 2 2 3" xfId="19039"/>
    <cellStyle name="Normal 40 3 2 2 3" xfId="13187"/>
    <cellStyle name="Normal 40 3 2 2 4" xfId="19038"/>
    <cellStyle name="Normal 40 3 2 2_LNG &amp; LPG rework" xfId="7384"/>
    <cellStyle name="Normal 40 3 2 3" xfId="4632"/>
    <cellStyle name="Normal 40 3 2 3 2" xfId="13189"/>
    <cellStyle name="Normal 40 3 2 3 3" xfId="19040"/>
    <cellStyle name="Normal 40 3 2 4" xfId="13186"/>
    <cellStyle name="Normal 40 3 2 5" xfId="19037"/>
    <cellStyle name="Normal 40 3 2_LNG &amp; LPG rework" xfId="7383"/>
    <cellStyle name="Normal 40 3 3" xfId="4633"/>
    <cellStyle name="Normal 40 3 3 2" xfId="4634"/>
    <cellStyle name="Normal 40 3 3 2 2" xfId="13191"/>
    <cellStyle name="Normal 40 3 3 2 3" xfId="19042"/>
    <cellStyle name="Normal 40 3 3 3" xfId="13190"/>
    <cellStyle name="Normal 40 3 3 4" xfId="19041"/>
    <cellStyle name="Normal 40 3 3_LNG &amp; LPG rework" xfId="7385"/>
    <cellStyle name="Normal 40 3 4" xfId="4635"/>
    <cellStyle name="Normal 40 3 4 2" xfId="13192"/>
    <cellStyle name="Normal 40 3 4 3" xfId="19043"/>
    <cellStyle name="Normal 40 3 5" xfId="4636"/>
    <cellStyle name="Normal 40 3 6" xfId="13185"/>
    <cellStyle name="Normal 40 3 7" xfId="19036"/>
    <cellStyle name="Normal 40 3_LNG &amp; LPG rework" xfId="7382"/>
    <cellStyle name="Normal 40 4" xfId="4637"/>
    <cellStyle name="Normal 40 4 2" xfId="4638"/>
    <cellStyle name="Normal 40 4 2 2" xfId="4639"/>
    <cellStyle name="Normal 40 4 2 2 2" xfId="13195"/>
    <cellStyle name="Normal 40 4 2 2 3" xfId="19046"/>
    <cellStyle name="Normal 40 4 2 3" xfId="13194"/>
    <cellStyle name="Normal 40 4 2 4" xfId="19045"/>
    <cellStyle name="Normal 40 4 2_LNG &amp; LPG rework" xfId="7387"/>
    <cellStyle name="Normal 40 4 3" xfId="4640"/>
    <cellStyle name="Normal 40 4 3 2" xfId="13196"/>
    <cellStyle name="Normal 40 4 3 3" xfId="19047"/>
    <cellStyle name="Normal 40 4 4" xfId="13193"/>
    <cellStyle name="Normal 40 4 5" xfId="19044"/>
    <cellStyle name="Normal 40 4_LNG &amp; LPG rework" xfId="7386"/>
    <cellStyle name="Normal 40 5" xfId="4641"/>
    <cellStyle name="Normal 40 5 2" xfId="4642"/>
    <cellStyle name="Normal 40 5 2 2" xfId="13198"/>
    <cellStyle name="Normal 40 5 2 3" xfId="19049"/>
    <cellStyle name="Normal 40 5 3" xfId="13197"/>
    <cellStyle name="Normal 40 5 4" xfId="19048"/>
    <cellStyle name="Normal 40 5_LNG &amp; LPG rework" xfId="7388"/>
    <cellStyle name="Normal 40 6" xfId="4643"/>
    <cellStyle name="Normal 40 6 2" xfId="13199"/>
    <cellStyle name="Normal 40 6 3" xfId="19050"/>
    <cellStyle name="Normal 40 7" xfId="4644"/>
    <cellStyle name="Normal 40 8" xfId="7826"/>
    <cellStyle name="Normal 40 9" xfId="8903"/>
    <cellStyle name="Normal 40_Data - Monthly Commodity Prices" xfId="6518"/>
    <cellStyle name="Normal 41" xfId="4645"/>
    <cellStyle name="Normal 41 2" xfId="4646"/>
    <cellStyle name="Normal 41 2 2" xfId="4647"/>
    <cellStyle name="Normal 41 2 2 2" xfId="4648"/>
    <cellStyle name="Normal 41 2 2 2 2" xfId="4649"/>
    <cellStyle name="Normal 41 2 2 2 2 2" xfId="13204"/>
    <cellStyle name="Normal 41 2 2 2 2 3" xfId="19055"/>
    <cellStyle name="Normal 41 2 2 2 3" xfId="13203"/>
    <cellStyle name="Normal 41 2 2 2 4" xfId="19054"/>
    <cellStyle name="Normal 41 2 2 2_LNG &amp; LPG rework" xfId="7392"/>
    <cellStyle name="Normal 41 2 2 3" xfId="4650"/>
    <cellStyle name="Normal 41 2 2 3 2" xfId="13205"/>
    <cellStyle name="Normal 41 2 2 3 3" xfId="19056"/>
    <cellStyle name="Normal 41 2 2 4" xfId="13202"/>
    <cellStyle name="Normal 41 2 2 5" xfId="19053"/>
    <cellStyle name="Normal 41 2 2_LNG &amp; LPG rework" xfId="7391"/>
    <cellStyle name="Normal 41 2 3" xfId="4651"/>
    <cellStyle name="Normal 41 2 3 2" xfId="4652"/>
    <cellStyle name="Normal 41 2 3 2 2" xfId="13207"/>
    <cellStyle name="Normal 41 2 3 2 3" xfId="19058"/>
    <cellStyle name="Normal 41 2 3 3" xfId="13206"/>
    <cellStyle name="Normal 41 2 3 4" xfId="19057"/>
    <cellStyle name="Normal 41 2 3_LNG &amp; LPG rework" xfId="7393"/>
    <cellStyle name="Normal 41 2 4" xfId="4653"/>
    <cellStyle name="Normal 41 2 4 2" xfId="13208"/>
    <cellStyle name="Normal 41 2 4 3" xfId="19059"/>
    <cellStyle name="Normal 41 2 5" xfId="4654"/>
    <cellStyle name="Normal 41 2 6" xfId="13201"/>
    <cellStyle name="Normal 41 2 7" xfId="19052"/>
    <cellStyle name="Normal 41 2_LNG &amp; LPG rework" xfId="7390"/>
    <cellStyle name="Normal 41 3" xfId="4655"/>
    <cellStyle name="Normal 41 3 2" xfId="4656"/>
    <cellStyle name="Normal 41 3 2 2" xfId="4657"/>
    <cellStyle name="Normal 41 3 2 2 2" xfId="4658"/>
    <cellStyle name="Normal 41 3 2 2 2 2" xfId="13212"/>
    <cellStyle name="Normal 41 3 2 2 2 3" xfId="19063"/>
    <cellStyle name="Normal 41 3 2 2 3" xfId="13211"/>
    <cellStyle name="Normal 41 3 2 2 4" xfId="19062"/>
    <cellStyle name="Normal 41 3 2 2_LNG &amp; LPG rework" xfId="7396"/>
    <cellStyle name="Normal 41 3 2 3" xfId="4659"/>
    <cellStyle name="Normal 41 3 2 3 2" xfId="13213"/>
    <cellStyle name="Normal 41 3 2 3 3" xfId="19064"/>
    <cellStyle name="Normal 41 3 2 4" xfId="13210"/>
    <cellStyle name="Normal 41 3 2 5" xfId="19061"/>
    <cellStyle name="Normal 41 3 2_LNG &amp; LPG rework" xfId="7395"/>
    <cellStyle name="Normal 41 3 3" xfId="4660"/>
    <cellStyle name="Normal 41 3 3 2" xfId="4661"/>
    <cellStyle name="Normal 41 3 3 2 2" xfId="13215"/>
    <cellStyle name="Normal 41 3 3 2 3" xfId="19066"/>
    <cellStyle name="Normal 41 3 3 3" xfId="13214"/>
    <cellStyle name="Normal 41 3 3 4" xfId="19065"/>
    <cellStyle name="Normal 41 3 3_LNG &amp; LPG rework" xfId="7397"/>
    <cellStyle name="Normal 41 3 4" xfId="4662"/>
    <cellStyle name="Normal 41 3 4 2" xfId="13216"/>
    <cellStyle name="Normal 41 3 4 3" xfId="19067"/>
    <cellStyle name="Normal 41 3 5" xfId="13209"/>
    <cellStyle name="Normal 41 3 6" xfId="19060"/>
    <cellStyle name="Normal 41 3_LNG &amp; LPG rework" xfId="7394"/>
    <cellStyle name="Normal 41 4" xfId="4663"/>
    <cellStyle name="Normal 41 4 2" xfId="4664"/>
    <cellStyle name="Normal 41 4 2 2" xfId="4665"/>
    <cellStyle name="Normal 41 4 2 2 2" xfId="13219"/>
    <cellStyle name="Normal 41 4 2 2 3" xfId="19070"/>
    <cellStyle name="Normal 41 4 2 3" xfId="13218"/>
    <cellStyle name="Normal 41 4 2 4" xfId="19069"/>
    <cellStyle name="Normal 41 4 2_LNG &amp; LPG rework" xfId="7399"/>
    <cellStyle name="Normal 41 4 3" xfId="4666"/>
    <cellStyle name="Normal 41 4 3 2" xfId="13220"/>
    <cellStyle name="Normal 41 4 3 3" xfId="19071"/>
    <cellStyle name="Normal 41 4 4" xfId="13217"/>
    <cellStyle name="Normal 41 4 5" xfId="19068"/>
    <cellStyle name="Normal 41 4_LNG &amp; LPG rework" xfId="7398"/>
    <cellStyle name="Normal 41 5" xfId="4667"/>
    <cellStyle name="Normal 41 5 2" xfId="4668"/>
    <cellStyle name="Normal 41 5 2 2" xfId="13222"/>
    <cellStyle name="Normal 41 5 2 3" xfId="19073"/>
    <cellStyle name="Normal 41 5 3" xfId="13221"/>
    <cellStyle name="Normal 41 5 4" xfId="19072"/>
    <cellStyle name="Normal 41 5_LNG &amp; LPG rework" xfId="7400"/>
    <cellStyle name="Normal 41 6" xfId="4669"/>
    <cellStyle name="Normal 41 6 2" xfId="13223"/>
    <cellStyle name="Normal 41 6 3" xfId="19074"/>
    <cellStyle name="Normal 41 7" xfId="4670"/>
    <cellStyle name="Normal 41 8" xfId="13200"/>
    <cellStyle name="Normal 41 9" xfId="19051"/>
    <cellStyle name="Normal 41_LNG &amp; LPG rework" xfId="7389"/>
    <cellStyle name="Normal 42" xfId="4671"/>
    <cellStyle name="Normal 42 10" xfId="26211"/>
    <cellStyle name="Normal 42 2" xfId="4672"/>
    <cellStyle name="Normal 42 2 2" xfId="4673"/>
    <cellStyle name="Normal 42 2 2 2" xfId="4674"/>
    <cellStyle name="Normal 42 2 2 2 2" xfId="4675"/>
    <cellStyle name="Normal 42 2 2 2 2 2" xfId="13228"/>
    <cellStyle name="Normal 42 2 2 2 2 3" xfId="19079"/>
    <cellStyle name="Normal 42 2 2 2 3" xfId="13227"/>
    <cellStyle name="Normal 42 2 2 2 4" xfId="19078"/>
    <cellStyle name="Normal 42 2 2 2_LNG &amp; LPG rework" xfId="7404"/>
    <cellStyle name="Normal 42 2 2 3" xfId="4676"/>
    <cellStyle name="Normal 42 2 2 3 2" xfId="13229"/>
    <cellStyle name="Normal 42 2 2 3 3" xfId="19080"/>
    <cellStyle name="Normal 42 2 2 4" xfId="13226"/>
    <cellStyle name="Normal 42 2 2 5" xfId="19077"/>
    <cellStyle name="Normal 42 2 2_LNG &amp; LPG rework" xfId="7403"/>
    <cellStyle name="Normal 42 2 3" xfId="4677"/>
    <cellStyle name="Normal 42 2 3 2" xfId="4678"/>
    <cellStyle name="Normal 42 2 3 2 2" xfId="13231"/>
    <cellStyle name="Normal 42 2 3 2 3" xfId="19082"/>
    <cellStyle name="Normal 42 2 3 3" xfId="13230"/>
    <cellStyle name="Normal 42 2 3 4" xfId="19081"/>
    <cellStyle name="Normal 42 2 3_LNG &amp; LPG rework" xfId="7405"/>
    <cellStyle name="Normal 42 2 4" xfId="4679"/>
    <cellStyle name="Normal 42 2 4 2" xfId="13232"/>
    <cellStyle name="Normal 42 2 4 3" xfId="19083"/>
    <cellStyle name="Normal 42 2 5" xfId="4680"/>
    <cellStyle name="Normal 42 2 6" xfId="13225"/>
    <cellStyle name="Normal 42 2 7" xfId="19076"/>
    <cellStyle name="Normal 42 2_LNG &amp; LPG rework" xfId="7402"/>
    <cellStyle name="Normal 42 3" xfId="4681"/>
    <cellStyle name="Normal 42 3 2" xfId="4682"/>
    <cellStyle name="Normal 42 3 2 2" xfId="4683"/>
    <cellStyle name="Normal 42 3 2 2 2" xfId="4684"/>
    <cellStyle name="Normal 42 3 2 2 2 2" xfId="13236"/>
    <cellStyle name="Normal 42 3 2 2 2 3" xfId="19087"/>
    <cellStyle name="Normal 42 3 2 2 3" xfId="13235"/>
    <cellStyle name="Normal 42 3 2 2 4" xfId="19086"/>
    <cellStyle name="Normal 42 3 2 2_LNG &amp; LPG rework" xfId="7408"/>
    <cellStyle name="Normal 42 3 2 3" xfId="4685"/>
    <cellStyle name="Normal 42 3 2 3 2" xfId="13237"/>
    <cellStyle name="Normal 42 3 2 3 3" xfId="19088"/>
    <cellStyle name="Normal 42 3 2 4" xfId="13234"/>
    <cellStyle name="Normal 42 3 2 5" xfId="19085"/>
    <cellStyle name="Normal 42 3 2_LNG &amp; LPG rework" xfId="7407"/>
    <cellStyle name="Normal 42 3 3" xfId="4686"/>
    <cellStyle name="Normal 42 3 3 2" xfId="4687"/>
    <cellStyle name="Normal 42 3 3 2 2" xfId="13239"/>
    <cellStyle name="Normal 42 3 3 2 3" xfId="19090"/>
    <cellStyle name="Normal 42 3 3 3" xfId="13238"/>
    <cellStyle name="Normal 42 3 3 4" xfId="19089"/>
    <cellStyle name="Normal 42 3 3_LNG &amp; LPG rework" xfId="7409"/>
    <cellStyle name="Normal 42 3 4" xfId="4688"/>
    <cellStyle name="Normal 42 3 4 2" xfId="13240"/>
    <cellStyle name="Normal 42 3 4 3" xfId="19091"/>
    <cellStyle name="Normal 42 3 5" xfId="13233"/>
    <cellStyle name="Normal 42 3 6" xfId="19084"/>
    <cellStyle name="Normal 42 3_LNG &amp; LPG rework" xfId="7406"/>
    <cellStyle name="Normal 42 4" xfId="4689"/>
    <cellStyle name="Normal 42 4 2" xfId="4690"/>
    <cellStyle name="Normal 42 4 2 2" xfId="4691"/>
    <cellStyle name="Normal 42 4 2 2 2" xfId="13243"/>
    <cellStyle name="Normal 42 4 2 2 3" xfId="19094"/>
    <cellStyle name="Normal 42 4 2 3" xfId="13242"/>
    <cellStyle name="Normal 42 4 2 4" xfId="19093"/>
    <cellStyle name="Normal 42 4 2_LNG &amp; LPG rework" xfId="7411"/>
    <cellStyle name="Normal 42 4 3" xfId="4692"/>
    <cellStyle name="Normal 42 4 3 2" xfId="13244"/>
    <cellStyle name="Normal 42 4 3 3" xfId="19095"/>
    <cellStyle name="Normal 42 4 4" xfId="13241"/>
    <cellStyle name="Normal 42 4 5" xfId="19092"/>
    <cellStyle name="Normal 42 4_LNG &amp; LPG rework" xfId="7410"/>
    <cellStyle name="Normal 42 5" xfId="4693"/>
    <cellStyle name="Normal 42 5 2" xfId="4694"/>
    <cellStyle name="Normal 42 5 2 2" xfId="13246"/>
    <cellStyle name="Normal 42 5 2 3" xfId="19097"/>
    <cellStyle name="Normal 42 5 3" xfId="13245"/>
    <cellStyle name="Normal 42 5 4" xfId="19096"/>
    <cellStyle name="Normal 42 5_LNG &amp; LPG rework" xfId="7412"/>
    <cellStyle name="Normal 42 6" xfId="4695"/>
    <cellStyle name="Normal 42 6 2" xfId="13247"/>
    <cellStyle name="Normal 42 6 3" xfId="19098"/>
    <cellStyle name="Normal 42 7" xfId="4696"/>
    <cellStyle name="Normal 42 8" xfId="13224"/>
    <cellStyle name="Normal 42 9" xfId="19075"/>
    <cellStyle name="Normal 42_LNG &amp; LPG rework" xfId="7401"/>
    <cellStyle name="Normal 43" xfId="4697"/>
    <cellStyle name="Normal 43 2" xfId="4698"/>
    <cellStyle name="Normal 43 2 2" xfId="4699"/>
    <cellStyle name="Normal 43 2 2 2" xfId="4700"/>
    <cellStyle name="Normal 43 2 2 2 2" xfId="4701"/>
    <cellStyle name="Normal 43 2 2 2 2 2" xfId="13252"/>
    <cellStyle name="Normal 43 2 2 2 2 3" xfId="19103"/>
    <cellStyle name="Normal 43 2 2 2 3" xfId="13251"/>
    <cellStyle name="Normal 43 2 2 2 4" xfId="19102"/>
    <cellStyle name="Normal 43 2 2 2_LNG &amp; LPG rework" xfId="7416"/>
    <cellStyle name="Normal 43 2 2 3" xfId="4702"/>
    <cellStyle name="Normal 43 2 2 3 2" xfId="13253"/>
    <cellStyle name="Normal 43 2 2 3 3" xfId="19104"/>
    <cellStyle name="Normal 43 2 2 4" xfId="13250"/>
    <cellStyle name="Normal 43 2 2 5" xfId="19101"/>
    <cellStyle name="Normal 43 2 2_LNG &amp; LPG rework" xfId="7415"/>
    <cellStyle name="Normal 43 2 3" xfId="4703"/>
    <cellStyle name="Normal 43 2 3 2" xfId="4704"/>
    <cellStyle name="Normal 43 2 3 2 2" xfId="13255"/>
    <cellStyle name="Normal 43 2 3 2 3" xfId="19106"/>
    <cellStyle name="Normal 43 2 3 3" xfId="13254"/>
    <cellStyle name="Normal 43 2 3 4" xfId="19105"/>
    <cellStyle name="Normal 43 2 3_LNG &amp; LPG rework" xfId="7417"/>
    <cellStyle name="Normal 43 2 4" xfId="4705"/>
    <cellStyle name="Normal 43 2 4 2" xfId="13256"/>
    <cellStyle name="Normal 43 2 4 3" xfId="19107"/>
    <cellStyle name="Normal 43 2 5" xfId="4706"/>
    <cellStyle name="Normal 43 2 6" xfId="13249"/>
    <cellStyle name="Normal 43 2 7" xfId="19100"/>
    <cellStyle name="Normal 43 2_LNG &amp; LPG rework" xfId="7414"/>
    <cellStyle name="Normal 43 3" xfId="4707"/>
    <cellStyle name="Normal 43 3 2" xfId="4708"/>
    <cellStyle name="Normal 43 3 2 2" xfId="4709"/>
    <cellStyle name="Normal 43 3 2 2 2" xfId="4710"/>
    <cellStyle name="Normal 43 3 2 2 2 2" xfId="13260"/>
    <cellStyle name="Normal 43 3 2 2 2 3" xfId="19111"/>
    <cellStyle name="Normal 43 3 2 2 3" xfId="13259"/>
    <cellStyle name="Normal 43 3 2 2 4" xfId="19110"/>
    <cellStyle name="Normal 43 3 2 2_LNG &amp; LPG rework" xfId="7420"/>
    <cellStyle name="Normal 43 3 2 3" xfId="4711"/>
    <cellStyle name="Normal 43 3 2 3 2" xfId="13261"/>
    <cellStyle name="Normal 43 3 2 3 3" xfId="19112"/>
    <cellStyle name="Normal 43 3 2 4" xfId="13258"/>
    <cellStyle name="Normal 43 3 2 5" xfId="19109"/>
    <cellStyle name="Normal 43 3 2_LNG &amp; LPG rework" xfId="7419"/>
    <cellStyle name="Normal 43 3 3" xfId="4712"/>
    <cellStyle name="Normal 43 3 3 2" xfId="4713"/>
    <cellStyle name="Normal 43 3 3 2 2" xfId="13263"/>
    <cellStyle name="Normal 43 3 3 2 3" xfId="19114"/>
    <cellStyle name="Normal 43 3 3 3" xfId="13262"/>
    <cellStyle name="Normal 43 3 3 4" xfId="19113"/>
    <cellStyle name="Normal 43 3 3_LNG &amp; LPG rework" xfId="7421"/>
    <cellStyle name="Normal 43 3 4" xfId="4714"/>
    <cellStyle name="Normal 43 3 4 2" xfId="13264"/>
    <cellStyle name="Normal 43 3 4 3" xfId="19115"/>
    <cellStyle name="Normal 43 3 5" xfId="13257"/>
    <cellStyle name="Normal 43 3 6" xfId="19108"/>
    <cellStyle name="Normal 43 3_LNG &amp; LPG rework" xfId="7418"/>
    <cellStyle name="Normal 43 4" xfId="4715"/>
    <cellStyle name="Normal 43 4 2" xfId="4716"/>
    <cellStyle name="Normal 43 4 2 2" xfId="4717"/>
    <cellStyle name="Normal 43 4 2 2 2" xfId="13267"/>
    <cellStyle name="Normal 43 4 2 2 3" xfId="19118"/>
    <cellStyle name="Normal 43 4 2 3" xfId="13266"/>
    <cellStyle name="Normal 43 4 2 4" xfId="19117"/>
    <cellStyle name="Normal 43 4 2_LNG &amp; LPG rework" xfId="7423"/>
    <cellStyle name="Normal 43 4 3" xfId="4718"/>
    <cellStyle name="Normal 43 4 3 2" xfId="13268"/>
    <cellStyle name="Normal 43 4 3 3" xfId="19119"/>
    <cellStyle name="Normal 43 4 4" xfId="13265"/>
    <cellStyle name="Normal 43 4 5" xfId="19116"/>
    <cellStyle name="Normal 43 4_LNG &amp; LPG rework" xfId="7422"/>
    <cellStyle name="Normal 43 5" xfId="4719"/>
    <cellStyle name="Normal 43 5 2" xfId="4720"/>
    <cellStyle name="Normal 43 5 2 2" xfId="13270"/>
    <cellStyle name="Normal 43 5 2 3" xfId="19121"/>
    <cellStyle name="Normal 43 5 3" xfId="13269"/>
    <cellStyle name="Normal 43 5 4" xfId="19120"/>
    <cellStyle name="Normal 43 5_LNG &amp; LPG rework" xfId="7424"/>
    <cellStyle name="Normal 43 6" xfId="4721"/>
    <cellStyle name="Normal 43 6 2" xfId="13271"/>
    <cellStyle name="Normal 43 6 3" xfId="19122"/>
    <cellStyle name="Normal 43 7" xfId="4722"/>
    <cellStyle name="Normal 43 8" xfId="13248"/>
    <cellStyle name="Normal 43 9" xfId="19099"/>
    <cellStyle name="Normal 43_LNG &amp; LPG rework" xfId="7413"/>
    <cellStyle name="Normal 44" xfId="4723"/>
    <cellStyle name="Normal 44 2" xfId="4724"/>
    <cellStyle name="Normal 44 2 2" xfId="4725"/>
    <cellStyle name="Normal 44 2 2 2" xfId="4726"/>
    <cellStyle name="Normal 44 2 2 2 2" xfId="4727"/>
    <cellStyle name="Normal 44 2 2 2 2 2" xfId="13276"/>
    <cellStyle name="Normal 44 2 2 2 2 3" xfId="19127"/>
    <cellStyle name="Normal 44 2 2 2 3" xfId="13275"/>
    <cellStyle name="Normal 44 2 2 2 4" xfId="19126"/>
    <cellStyle name="Normal 44 2 2 2_LNG &amp; LPG rework" xfId="7428"/>
    <cellStyle name="Normal 44 2 2 3" xfId="4728"/>
    <cellStyle name="Normal 44 2 2 3 2" xfId="13277"/>
    <cellStyle name="Normal 44 2 2 3 3" xfId="19128"/>
    <cellStyle name="Normal 44 2 2 4" xfId="13274"/>
    <cellStyle name="Normal 44 2 2 5" xfId="19125"/>
    <cellStyle name="Normal 44 2 2_LNG &amp; LPG rework" xfId="7427"/>
    <cellStyle name="Normal 44 2 3" xfId="4729"/>
    <cellStyle name="Normal 44 2 3 2" xfId="4730"/>
    <cellStyle name="Normal 44 2 3 2 2" xfId="13279"/>
    <cellStyle name="Normal 44 2 3 2 3" xfId="19130"/>
    <cellStyle name="Normal 44 2 3 3" xfId="13278"/>
    <cellStyle name="Normal 44 2 3 4" xfId="19129"/>
    <cellStyle name="Normal 44 2 3_LNG &amp; LPG rework" xfId="7429"/>
    <cellStyle name="Normal 44 2 4" xfId="4731"/>
    <cellStyle name="Normal 44 2 4 2" xfId="13280"/>
    <cellStyle name="Normal 44 2 4 3" xfId="19131"/>
    <cellStyle name="Normal 44 2 5" xfId="4732"/>
    <cellStyle name="Normal 44 2 6" xfId="13273"/>
    <cellStyle name="Normal 44 2 7" xfId="19124"/>
    <cellStyle name="Normal 44 2_LNG &amp; LPG rework" xfId="7426"/>
    <cellStyle name="Normal 44 3" xfId="4733"/>
    <cellStyle name="Normal 44 3 2" xfId="4734"/>
    <cellStyle name="Normal 44 3 2 2" xfId="4735"/>
    <cellStyle name="Normal 44 3 2 2 2" xfId="4736"/>
    <cellStyle name="Normal 44 3 2 2 2 2" xfId="13284"/>
    <cellStyle name="Normal 44 3 2 2 2 3" xfId="19135"/>
    <cellStyle name="Normal 44 3 2 2 3" xfId="13283"/>
    <cellStyle name="Normal 44 3 2 2 4" xfId="19134"/>
    <cellStyle name="Normal 44 3 2 2_LNG &amp; LPG rework" xfId="7432"/>
    <cellStyle name="Normal 44 3 2 3" xfId="4737"/>
    <cellStyle name="Normal 44 3 2 3 2" xfId="13285"/>
    <cellStyle name="Normal 44 3 2 3 3" xfId="19136"/>
    <cellStyle name="Normal 44 3 2 4" xfId="13282"/>
    <cellStyle name="Normal 44 3 2 5" xfId="19133"/>
    <cellStyle name="Normal 44 3 2_LNG &amp; LPG rework" xfId="7431"/>
    <cellStyle name="Normal 44 3 3" xfId="4738"/>
    <cellStyle name="Normal 44 3 3 2" xfId="4739"/>
    <cellStyle name="Normal 44 3 3 2 2" xfId="13287"/>
    <cellStyle name="Normal 44 3 3 2 3" xfId="19138"/>
    <cellStyle name="Normal 44 3 3 3" xfId="13286"/>
    <cellStyle name="Normal 44 3 3 4" xfId="19137"/>
    <cellStyle name="Normal 44 3 3_LNG &amp; LPG rework" xfId="7433"/>
    <cellStyle name="Normal 44 3 4" xfId="4740"/>
    <cellStyle name="Normal 44 3 4 2" xfId="13288"/>
    <cellStyle name="Normal 44 3 4 3" xfId="19139"/>
    <cellStyle name="Normal 44 3 5" xfId="13281"/>
    <cellStyle name="Normal 44 3 6" xfId="19132"/>
    <cellStyle name="Normal 44 3_LNG &amp; LPG rework" xfId="7430"/>
    <cellStyle name="Normal 44 4" xfId="4741"/>
    <cellStyle name="Normal 44 4 2" xfId="4742"/>
    <cellStyle name="Normal 44 4 2 2" xfId="4743"/>
    <cellStyle name="Normal 44 4 2 2 2" xfId="13291"/>
    <cellStyle name="Normal 44 4 2 2 3" xfId="19142"/>
    <cellStyle name="Normal 44 4 2 3" xfId="13290"/>
    <cellStyle name="Normal 44 4 2 4" xfId="19141"/>
    <cellStyle name="Normal 44 4 2_LNG &amp; LPG rework" xfId="7435"/>
    <cellStyle name="Normal 44 4 3" xfId="4744"/>
    <cellStyle name="Normal 44 4 3 2" xfId="13292"/>
    <cellStyle name="Normal 44 4 3 3" xfId="19143"/>
    <cellStyle name="Normal 44 4 4" xfId="13289"/>
    <cellStyle name="Normal 44 4 5" xfId="19140"/>
    <cellStyle name="Normal 44 4_LNG &amp; LPG rework" xfId="7434"/>
    <cellStyle name="Normal 44 5" xfId="4745"/>
    <cellStyle name="Normal 44 5 2" xfId="4746"/>
    <cellStyle name="Normal 44 5 2 2" xfId="13294"/>
    <cellStyle name="Normal 44 5 2 3" xfId="19145"/>
    <cellStyle name="Normal 44 5 3" xfId="13293"/>
    <cellStyle name="Normal 44 5 4" xfId="19144"/>
    <cellStyle name="Normal 44 5_LNG &amp; LPG rework" xfId="7436"/>
    <cellStyle name="Normal 44 6" xfId="4747"/>
    <cellStyle name="Normal 44 6 2" xfId="13295"/>
    <cellStyle name="Normal 44 6 3" xfId="19146"/>
    <cellStyle name="Normal 44 7" xfId="4748"/>
    <cellStyle name="Normal 44 8" xfId="13272"/>
    <cellStyle name="Normal 44 9" xfId="19123"/>
    <cellStyle name="Normal 44_LNG &amp; LPG rework" xfId="7425"/>
    <cellStyle name="Normal 45" xfId="4749"/>
    <cellStyle name="Normal 45 2" xfId="4750"/>
    <cellStyle name="Normal 45 2 2" xfId="4751"/>
    <cellStyle name="Normal 45 2 2 2" xfId="4752"/>
    <cellStyle name="Normal 45 2 2 2 2" xfId="4753"/>
    <cellStyle name="Normal 45 2 2 2 2 2" xfId="13300"/>
    <cellStyle name="Normal 45 2 2 2 2 3" xfId="19151"/>
    <cellStyle name="Normal 45 2 2 2 3" xfId="13299"/>
    <cellStyle name="Normal 45 2 2 2 4" xfId="19150"/>
    <cellStyle name="Normal 45 2 2 2_LNG &amp; LPG rework" xfId="7440"/>
    <cellStyle name="Normal 45 2 2 3" xfId="4754"/>
    <cellStyle name="Normal 45 2 2 3 2" xfId="13301"/>
    <cellStyle name="Normal 45 2 2 3 3" xfId="19152"/>
    <cellStyle name="Normal 45 2 2 4" xfId="13298"/>
    <cellStyle name="Normal 45 2 2 5" xfId="19149"/>
    <cellStyle name="Normal 45 2 2_LNG &amp; LPG rework" xfId="7439"/>
    <cellStyle name="Normal 45 2 3" xfId="4755"/>
    <cellStyle name="Normal 45 2 3 2" xfId="4756"/>
    <cellStyle name="Normal 45 2 3 2 2" xfId="13303"/>
    <cellStyle name="Normal 45 2 3 2 3" xfId="19154"/>
    <cellStyle name="Normal 45 2 3 3" xfId="13302"/>
    <cellStyle name="Normal 45 2 3 4" xfId="19153"/>
    <cellStyle name="Normal 45 2 3_LNG &amp; LPG rework" xfId="7441"/>
    <cellStyle name="Normal 45 2 4" xfId="4757"/>
    <cellStyle name="Normal 45 2 4 2" xfId="13304"/>
    <cellStyle name="Normal 45 2 4 3" xfId="19155"/>
    <cellStyle name="Normal 45 2 5" xfId="4758"/>
    <cellStyle name="Normal 45 2 6" xfId="13297"/>
    <cellStyle name="Normal 45 2 7" xfId="19148"/>
    <cellStyle name="Normal 45 2_LNG &amp; LPG rework" xfId="7438"/>
    <cellStyle name="Normal 45 3" xfId="4759"/>
    <cellStyle name="Normal 45 3 2" xfId="4760"/>
    <cellStyle name="Normal 45 3 2 2" xfId="4761"/>
    <cellStyle name="Normal 45 3 2 2 2" xfId="4762"/>
    <cellStyle name="Normal 45 3 2 2 2 2" xfId="13308"/>
    <cellStyle name="Normal 45 3 2 2 2 3" xfId="19159"/>
    <cellStyle name="Normal 45 3 2 2 3" xfId="13307"/>
    <cellStyle name="Normal 45 3 2 2 4" xfId="19158"/>
    <cellStyle name="Normal 45 3 2 2_LNG &amp; LPG rework" xfId="7444"/>
    <cellStyle name="Normal 45 3 2 3" xfId="4763"/>
    <cellStyle name="Normal 45 3 2 3 2" xfId="13309"/>
    <cellStyle name="Normal 45 3 2 3 3" xfId="19160"/>
    <cellStyle name="Normal 45 3 2 4" xfId="13306"/>
    <cellStyle name="Normal 45 3 2 5" xfId="19157"/>
    <cellStyle name="Normal 45 3 2_LNG &amp; LPG rework" xfId="7443"/>
    <cellStyle name="Normal 45 3 3" xfId="4764"/>
    <cellStyle name="Normal 45 3 3 2" xfId="4765"/>
    <cellStyle name="Normal 45 3 3 2 2" xfId="13311"/>
    <cellStyle name="Normal 45 3 3 2 3" xfId="19162"/>
    <cellStyle name="Normal 45 3 3 3" xfId="13310"/>
    <cellStyle name="Normal 45 3 3 4" xfId="19161"/>
    <cellStyle name="Normal 45 3 3_LNG &amp; LPG rework" xfId="7445"/>
    <cellStyle name="Normal 45 3 4" xfId="4766"/>
    <cellStyle name="Normal 45 3 4 2" xfId="13312"/>
    <cellStyle name="Normal 45 3 4 3" xfId="19163"/>
    <cellStyle name="Normal 45 3 5" xfId="13305"/>
    <cellStyle name="Normal 45 3 6" xfId="19156"/>
    <cellStyle name="Normal 45 3_LNG &amp; LPG rework" xfId="7442"/>
    <cellStyle name="Normal 45 4" xfId="4767"/>
    <cellStyle name="Normal 45 4 2" xfId="4768"/>
    <cellStyle name="Normal 45 4 2 2" xfId="4769"/>
    <cellStyle name="Normal 45 4 2 2 2" xfId="13315"/>
    <cellStyle name="Normal 45 4 2 2 3" xfId="19166"/>
    <cellStyle name="Normal 45 4 2 3" xfId="13314"/>
    <cellStyle name="Normal 45 4 2 4" xfId="19165"/>
    <cellStyle name="Normal 45 4 2_LNG &amp; LPG rework" xfId="7447"/>
    <cellStyle name="Normal 45 4 3" xfId="4770"/>
    <cellStyle name="Normal 45 4 3 2" xfId="13316"/>
    <cellStyle name="Normal 45 4 3 3" xfId="19167"/>
    <cellStyle name="Normal 45 4 4" xfId="13313"/>
    <cellStyle name="Normal 45 4 5" xfId="19164"/>
    <cellStyle name="Normal 45 4_LNG &amp; LPG rework" xfId="7446"/>
    <cellStyle name="Normal 45 5" xfId="4771"/>
    <cellStyle name="Normal 45 5 2" xfId="4772"/>
    <cellStyle name="Normal 45 5 2 2" xfId="13318"/>
    <cellStyle name="Normal 45 5 2 3" xfId="19169"/>
    <cellStyle name="Normal 45 5 3" xfId="13317"/>
    <cellStyle name="Normal 45 5 4" xfId="19168"/>
    <cellStyle name="Normal 45 5_LNG &amp; LPG rework" xfId="7448"/>
    <cellStyle name="Normal 45 6" xfId="4773"/>
    <cellStyle name="Normal 45 6 2" xfId="13319"/>
    <cellStyle name="Normal 45 6 3" xfId="19170"/>
    <cellStyle name="Normal 45 7" xfId="4774"/>
    <cellStyle name="Normal 45 8" xfId="13296"/>
    <cellStyle name="Normal 45 9" xfId="19147"/>
    <cellStyle name="Normal 45_LNG &amp; LPG rework" xfId="7437"/>
    <cellStyle name="Normal 46" xfId="4775"/>
    <cellStyle name="Normal 46 2" xfId="4776"/>
    <cellStyle name="Normal 46 2 2" xfId="4777"/>
    <cellStyle name="Normal 46 2 2 2" xfId="13321"/>
    <cellStyle name="Normal 46 2 2 3" xfId="19172"/>
    <cellStyle name="Normal 46 2 3" xfId="4778"/>
    <cellStyle name="Normal 46 2 3 2" xfId="13322"/>
    <cellStyle name="Normal 46 2 3 3" xfId="19173"/>
    <cellStyle name="Normal 46 2 4" xfId="4779"/>
    <cellStyle name="Normal 46 2 4 2" xfId="13323"/>
    <cellStyle name="Normal 46 2 4 3" xfId="19174"/>
    <cellStyle name="Normal 46 2 5" xfId="4780"/>
    <cellStyle name="Normal 46 2 5 2" xfId="13324"/>
    <cellStyle name="Normal 46 2 5 3" xfId="19175"/>
    <cellStyle name="Normal 46 2 6" xfId="13320"/>
    <cellStyle name="Normal 46 2 7" xfId="19171"/>
    <cellStyle name="Normal 46 2_LNG &amp; LPG rework" xfId="7450"/>
    <cellStyle name="Normal 46 3" xfId="4781"/>
    <cellStyle name="Normal 46 3 2" xfId="4782"/>
    <cellStyle name="Normal 46 3 2 2" xfId="13326"/>
    <cellStyle name="Normal 46 3 2 3" xfId="19177"/>
    <cellStyle name="Normal 46 3 3" xfId="4783"/>
    <cellStyle name="Normal 46 3 3 2" xfId="13327"/>
    <cellStyle name="Normal 46 3 3 3" xfId="19178"/>
    <cellStyle name="Normal 46 3 4" xfId="4784"/>
    <cellStyle name="Normal 46 3 4 2" xfId="13328"/>
    <cellStyle name="Normal 46 3 4 3" xfId="19179"/>
    <cellStyle name="Normal 46 3 5" xfId="4785"/>
    <cellStyle name="Normal 46 3 5 2" xfId="13329"/>
    <cellStyle name="Normal 46 3 5 3" xfId="19180"/>
    <cellStyle name="Normal 46 3 6" xfId="13325"/>
    <cellStyle name="Normal 46 3 7" xfId="19176"/>
    <cellStyle name="Normal 46 3_LNG &amp; LPG rework" xfId="7451"/>
    <cellStyle name="Normal 46 4" xfId="4786"/>
    <cellStyle name="Normal 46 4 2" xfId="13330"/>
    <cellStyle name="Normal 46 4 3" xfId="19181"/>
    <cellStyle name="Normal 46 5" xfId="4787"/>
    <cellStyle name="Normal 46 5 2" xfId="13331"/>
    <cellStyle name="Normal 46 5 3" xfId="19182"/>
    <cellStyle name="Normal 46 6" xfId="4788"/>
    <cellStyle name="Normal 46 6 2" xfId="13332"/>
    <cellStyle name="Normal 46 6 3" xfId="19183"/>
    <cellStyle name="Normal 46 7" xfId="4789"/>
    <cellStyle name="Normal 46 7 2" xfId="13333"/>
    <cellStyle name="Normal 46 7 3" xfId="19184"/>
    <cellStyle name="Normal 46 8" xfId="4790"/>
    <cellStyle name="Normal 46 8 2" xfId="13334"/>
    <cellStyle name="Normal 46 8 3" xfId="19185"/>
    <cellStyle name="Normal 46_LNG &amp; LPG rework" xfId="7449"/>
    <cellStyle name="Normal 47" xfId="4791"/>
    <cellStyle name="Normal 47 2" xfId="4792"/>
    <cellStyle name="Normal 47 2 2" xfId="4793"/>
    <cellStyle name="Normal 47 2 2 2" xfId="13336"/>
    <cellStyle name="Normal 47 2 2 3" xfId="19187"/>
    <cellStyle name="Normal 47 2 3" xfId="4794"/>
    <cellStyle name="Normal 47 2 3 2" xfId="13337"/>
    <cellStyle name="Normal 47 2 3 3" xfId="19188"/>
    <cellStyle name="Normal 47 2 4" xfId="4795"/>
    <cellStyle name="Normal 47 2 4 2" xfId="13338"/>
    <cellStyle name="Normal 47 2 4 3" xfId="19189"/>
    <cellStyle name="Normal 47 2 5" xfId="4796"/>
    <cellStyle name="Normal 47 2 5 2" xfId="13339"/>
    <cellStyle name="Normal 47 2 5 3" xfId="19190"/>
    <cellStyle name="Normal 47 2 6" xfId="13335"/>
    <cellStyle name="Normal 47 2 7" xfId="19186"/>
    <cellStyle name="Normal 47 2_LNG &amp; LPG rework" xfId="7453"/>
    <cellStyle name="Normal 47 3" xfId="4797"/>
    <cellStyle name="Normal 47 3 2" xfId="4798"/>
    <cellStyle name="Normal 47 3 2 2" xfId="13341"/>
    <cellStyle name="Normal 47 3 2 3" xfId="19192"/>
    <cellStyle name="Normal 47 3 3" xfId="4799"/>
    <cellStyle name="Normal 47 3 3 2" xfId="13342"/>
    <cellStyle name="Normal 47 3 3 3" xfId="19193"/>
    <cellStyle name="Normal 47 3 4" xfId="4800"/>
    <cellStyle name="Normal 47 3 4 2" xfId="13343"/>
    <cellStyle name="Normal 47 3 4 3" xfId="19194"/>
    <cellStyle name="Normal 47 3 5" xfId="4801"/>
    <cellStyle name="Normal 47 3 5 2" xfId="13344"/>
    <cellStyle name="Normal 47 3 5 3" xfId="19195"/>
    <cellStyle name="Normal 47 3 6" xfId="13340"/>
    <cellStyle name="Normal 47 3 7" xfId="19191"/>
    <cellStyle name="Normal 47 3_LNG &amp; LPG rework" xfId="7454"/>
    <cellStyle name="Normal 47 4" xfId="4802"/>
    <cellStyle name="Normal 47 4 2" xfId="13345"/>
    <cellStyle name="Normal 47 4 3" xfId="19196"/>
    <cellStyle name="Normal 47 5" xfId="4803"/>
    <cellStyle name="Normal 47 5 2" xfId="13346"/>
    <cellStyle name="Normal 47 5 3" xfId="19197"/>
    <cellStyle name="Normal 47 6" xfId="4804"/>
    <cellStyle name="Normal 47 6 2" xfId="13347"/>
    <cellStyle name="Normal 47 6 3" xfId="19198"/>
    <cellStyle name="Normal 47 7" xfId="4805"/>
    <cellStyle name="Normal 47 7 2" xfId="13348"/>
    <cellStyle name="Normal 47 7 3" xfId="19199"/>
    <cellStyle name="Normal 47 8" xfId="4806"/>
    <cellStyle name="Normal 47 8 2" xfId="13349"/>
    <cellStyle name="Normal 47 8 3" xfId="19200"/>
    <cellStyle name="Normal 47_LNG &amp; LPG rework" xfId="7452"/>
    <cellStyle name="Normal 48" xfId="4807"/>
    <cellStyle name="Normal 48 2" xfId="4808"/>
    <cellStyle name="Normal 48 3" xfId="4809"/>
    <cellStyle name="Normal 48_LNG &amp; LPG rework" xfId="7455"/>
    <cellStyle name="Normal 49" xfId="4810"/>
    <cellStyle name="Normal 49 2" xfId="4811"/>
    <cellStyle name="Normal 49 2 2" xfId="4812"/>
    <cellStyle name="Normal 49 2 2 2" xfId="13351"/>
    <cellStyle name="Normal 49 2 2 3" xfId="19202"/>
    <cellStyle name="Normal 49 2 3" xfId="4813"/>
    <cellStyle name="Normal 49 2 3 2" xfId="13352"/>
    <cellStyle name="Normal 49 2 3 3" xfId="19203"/>
    <cellStyle name="Normal 49 2 4" xfId="4814"/>
    <cellStyle name="Normal 49 2 4 2" xfId="13353"/>
    <cellStyle name="Normal 49 2 4 3" xfId="19204"/>
    <cellStyle name="Normal 49 2 5" xfId="4815"/>
    <cellStyle name="Normal 49 2 5 2" xfId="13354"/>
    <cellStyle name="Normal 49 2 5 3" xfId="19205"/>
    <cellStyle name="Normal 49 2 6" xfId="13350"/>
    <cellStyle name="Normal 49 2 7" xfId="19201"/>
    <cellStyle name="Normal 49 2_LNG &amp; LPG rework" xfId="7457"/>
    <cellStyle name="Normal 49 3" xfId="4816"/>
    <cellStyle name="Normal 49 3 2" xfId="4817"/>
    <cellStyle name="Normal 49 3 2 2" xfId="13356"/>
    <cellStyle name="Normal 49 3 2 3" xfId="19207"/>
    <cellStyle name="Normal 49 3 3" xfId="4818"/>
    <cellStyle name="Normal 49 3 3 2" xfId="13357"/>
    <cellStyle name="Normal 49 3 3 3" xfId="19208"/>
    <cellStyle name="Normal 49 3 4" xfId="4819"/>
    <cellStyle name="Normal 49 3 4 2" xfId="13358"/>
    <cellStyle name="Normal 49 3 4 3" xfId="19209"/>
    <cellStyle name="Normal 49 3 5" xfId="4820"/>
    <cellStyle name="Normal 49 3 5 2" xfId="13359"/>
    <cellStyle name="Normal 49 3 5 3" xfId="19210"/>
    <cellStyle name="Normal 49 3 6" xfId="13355"/>
    <cellStyle name="Normal 49 3 7" xfId="19206"/>
    <cellStyle name="Normal 49 3_LNG &amp; LPG rework" xfId="7458"/>
    <cellStyle name="Normal 49 4" xfId="4821"/>
    <cellStyle name="Normal 49 4 2" xfId="13360"/>
    <cellStyle name="Normal 49 4 3" xfId="19211"/>
    <cellStyle name="Normal 49 5" xfId="4822"/>
    <cellStyle name="Normal 49 5 2" xfId="13361"/>
    <cellStyle name="Normal 49 5 3" xfId="19212"/>
    <cellStyle name="Normal 49 6" xfId="4823"/>
    <cellStyle name="Normal 49 6 2" xfId="13362"/>
    <cellStyle name="Normal 49 6 3" xfId="19213"/>
    <cellStyle name="Normal 49 7" xfId="4824"/>
    <cellStyle name="Normal 49 7 2" xfId="13363"/>
    <cellStyle name="Normal 49 7 3" xfId="19214"/>
    <cellStyle name="Normal 49 8" xfId="4825"/>
    <cellStyle name="Normal 49 8 2" xfId="13364"/>
    <cellStyle name="Normal 49 8 3" xfId="19215"/>
    <cellStyle name="Normal 49_LNG &amp; LPG rework" xfId="7456"/>
    <cellStyle name="Normal 5" xfId="46"/>
    <cellStyle name="Normal 5 2" xfId="139"/>
    <cellStyle name="Normal 5 2 2" xfId="4826"/>
    <cellStyle name="Normal 5 2_Monthly Price Data" xfId="6551"/>
    <cellStyle name="Normal 5 3" xfId="4827"/>
    <cellStyle name="Normal 5 4" xfId="4828"/>
    <cellStyle name="Normal 5 5" xfId="4829"/>
    <cellStyle name="Normal 5_2015  Data" xfId="479"/>
    <cellStyle name="Normal 50" xfId="4830"/>
    <cellStyle name="Normal 50 2" xfId="4831"/>
    <cellStyle name="Normal 50 3" xfId="4832"/>
    <cellStyle name="Normal 50_LNG &amp; LPG rework" xfId="7459"/>
    <cellStyle name="Normal 51" xfId="4833"/>
    <cellStyle name="Normal 51 2" xfId="4834"/>
    <cellStyle name="Normal 51 3" xfId="4835"/>
    <cellStyle name="Normal 51_LNG &amp; LPG rework" xfId="7460"/>
    <cellStyle name="Normal 52" xfId="4836"/>
    <cellStyle name="Normal 52 2" xfId="4837"/>
    <cellStyle name="Normal 52 3" xfId="4838"/>
    <cellStyle name="Normal 52_LNG &amp; LPG rework" xfId="7461"/>
    <cellStyle name="Normal 53" xfId="4839"/>
    <cellStyle name="Normal 53 2" xfId="4840"/>
    <cellStyle name="Normal 53 3" xfId="4841"/>
    <cellStyle name="Normal 53_LNG &amp; LPG rework" xfId="7462"/>
    <cellStyle name="Normal 54" xfId="4842"/>
    <cellStyle name="Normal 54 2" xfId="4843"/>
    <cellStyle name="Normal 54 3" xfId="4844"/>
    <cellStyle name="Normal 54_LNG &amp; LPG rework" xfId="7463"/>
    <cellStyle name="Normal 55" xfId="4845"/>
    <cellStyle name="Normal 55 2" xfId="4846"/>
    <cellStyle name="Normal 55 3" xfId="4847"/>
    <cellStyle name="Normal 55_LNG &amp; LPG rework" xfId="7464"/>
    <cellStyle name="Normal 56" xfId="4848"/>
    <cellStyle name="Normal 56 2" xfId="4849"/>
    <cellStyle name="Normal 56 3" xfId="4850"/>
    <cellStyle name="Normal 56_LNG &amp; LPG rework" xfId="7465"/>
    <cellStyle name="Normal 57" xfId="4851"/>
    <cellStyle name="Normal 57 2" xfId="4852"/>
    <cellStyle name="Normal 57_LNG &amp; LPG rework" xfId="7466"/>
    <cellStyle name="Normal 58" xfId="4853"/>
    <cellStyle name="Normal 58 2" xfId="4854"/>
    <cellStyle name="Normal 58_LNG &amp; LPG rework" xfId="7467"/>
    <cellStyle name="Normal 59" xfId="4855"/>
    <cellStyle name="Normal 59 2" xfId="4856"/>
    <cellStyle name="Normal 59 3" xfId="4857"/>
    <cellStyle name="Normal 59_LNG &amp; LPG rework" xfId="7468"/>
    <cellStyle name="Normal 6" xfId="48"/>
    <cellStyle name="Normal 6 2" xfId="141"/>
    <cellStyle name="Normal 6 2 2" xfId="481"/>
    <cellStyle name="Normal 6 2 3" xfId="4858"/>
    <cellStyle name="Normal 6 2 4" xfId="9028"/>
    <cellStyle name="Normal 6 2_Data - Monthly Commodity Prices" xfId="6519"/>
    <cellStyle name="Normal 6 3" xfId="480"/>
    <cellStyle name="Normal 6 4" xfId="4859"/>
    <cellStyle name="Normal 6 5" xfId="4860"/>
    <cellStyle name="Normal 6 6" xfId="4861"/>
    <cellStyle name="Normal 6 6 2" xfId="13365"/>
    <cellStyle name="Normal 6 6 3" xfId="19216"/>
    <cellStyle name="Normal 6 7" xfId="14897"/>
    <cellStyle name="Normal 6_2015  Data" xfId="482"/>
    <cellStyle name="Normal 60" xfId="4862"/>
    <cellStyle name="Normal 60 2" xfId="4863"/>
    <cellStyle name="Normal 60_LNG &amp; LPG rework" xfId="7469"/>
    <cellStyle name="Normal 61" xfId="4864"/>
    <cellStyle name="Normal 61 2" xfId="4865"/>
    <cellStyle name="Normal 61_LNG &amp; LPG rework" xfId="7470"/>
    <cellStyle name="Normal 62" xfId="4866"/>
    <cellStyle name="Normal 62 2" xfId="4867"/>
    <cellStyle name="Normal 62 3" xfId="4868"/>
    <cellStyle name="Normal 62_LNG &amp; LPG rework" xfId="7471"/>
    <cellStyle name="Normal 63" xfId="4869"/>
    <cellStyle name="Normal 63 2" xfId="4870"/>
    <cellStyle name="Normal 63 3" xfId="4871"/>
    <cellStyle name="Normal 63_LNG &amp; LPG rework" xfId="7472"/>
    <cellStyle name="Normal 64" xfId="4872"/>
    <cellStyle name="Normal 64 2" xfId="4873"/>
    <cellStyle name="Normal 64 2 2" xfId="4874"/>
    <cellStyle name="Normal 64 2 2 2" xfId="13367"/>
    <cellStyle name="Normal 64 2 2 3" xfId="19218"/>
    <cellStyle name="Normal 64 2 3" xfId="4875"/>
    <cellStyle name="Normal 64 2 3 2" xfId="13368"/>
    <cellStyle name="Normal 64 2 3 3" xfId="19219"/>
    <cellStyle name="Normal 64 2 4" xfId="4876"/>
    <cellStyle name="Normal 64 2 4 2" xfId="13369"/>
    <cellStyle name="Normal 64 2 4 3" xfId="19220"/>
    <cellStyle name="Normal 64 2 5" xfId="4877"/>
    <cellStyle name="Normal 64 2 5 2" xfId="13370"/>
    <cellStyle name="Normal 64 2 5 3" xfId="19221"/>
    <cellStyle name="Normal 64 2 6" xfId="13366"/>
    <cellStyle name="Normal 64 2 7" xfId="19217"/>
    <cellStyle name="Normal 64 2_LNG &amp; LPG rework" xfId="7474"/>
    <cellStyle name="Normal 64 3" xfId="4878"/>
    <cellStyle name="Normal 64 3 2" xfId="4879"/>
    <cellStyle name="Normal 64 3 2 2" xfId="13372"/>
    <cellStyle name="Normal 64 3 2 3" xfId="19223"/>
    <cellStyle name="Normal 64 3 3" xfId="4880"/>
    <cellStyle name="Normal 64 3 3 2" xfId="13373"/>
    <cellStyle name="Normal 64 3 3 3" xfId="19224"/>
    <cellStyle name="Normal 64 3 4" xfId="4881"/>
    <cellStyle name="Normal 64 3 4 2" xfId="13374"/>
    <cellStyle name="Normal 64 3 4 3" xfId="19225"/>
    <cellStyle name="Normal 64 3 5" xfId="4882"/>
    <cellStyle name="Normal 64 3 5 2" xfId="13375"/>
    <cellStyle name="Normal 64 3 5 3" xfId="19226"/>
    <cellStyle name="Normal 64 3 6" xfId="13371"/>
    <cellStyle name="Normal 64 3 7" xfId="19222"/>
    <cellStyle name="Normal 64 3_LNG &amp; LPG rework" xfId="7475"/>
    <cellStyle name="Normal 64 4" xfId="4883"/>
    <cellStyle name="Normal 64 4 2" xfId="13376"/>
    <cellStyle name="Normal 64 4 3" xfId="19227"/>
    <cellStyle name="Normal 64 5" xfId="4884"/>
    <cellStyle name="Normal 64 5 2" xfId="13377"/>
    <cellStyle name="Normal 64 5 3" xfId="19228"/>
    <cellStyle name="Normal 64 6" xfId="4885"/>
    <cellStyle name="Normal 64 6 2" xfId="13378"/>
    <cellStyle name="Normal 64 6 3" xfId="19229"/>
    <cellStyle name="Normal 64 7" xfId="4886"/>
    <cellStyle name="Normal 64 7 2" xfId="13379"/>
    <cellStyle name="Normal 64 7 3" xfId="19230"/>
    <cellStyle name="Normal 64 8" xfId="4887"/>
    <cellStyle name="Normal 64 8 2" xfId="13380"/>
    <cellStyle name="Normal 64 8 3" xfId="19231"/>
    <cellStyle name="Normal 64_LNG &amp; LPG rework" xfId="7473"/>
    <cellStyle name="Normal 65" xfId="4888"/>
    <cellStyle name="Normal 65 2" xfId="4889"/>
    <cellStyle name="Normal 65 2 2" xfId="4890"/>
    <cellStyle name="Normal 65 2 2 2" xfId="13382"/>
    <cellStyle name="Normal 65 2 2 3" xfId="19233"/>
    <cellStyle name="Normal 65 2 3" xfId="4891"/>
    <cellStyle name="Normal 65 2 3 2" xfId="13383"/>
    <cellStyle name="Normal 65 2 3 3" xfId="19234"/>
    <cellStyle name="Normal 65 2 4" xfId="4892"/>
    <cellStyle name="Normal 65 2 4 2" xfId="13384"/>
    <cellStyle name="Normal 65 2 4 3" xfId="19235"/>
    <cellStyle name="Normal 65 2 5" xfId="4893"/>
    <cellStyle name="Normal 65 2 5 2" xfId="13385"/>
    <cellStyle name="Normal 65 2 5 3" xfId="19236"/>
    <cellStyle name="Normal 65 2 6" xfId="13381"/>
    <cellStyle name="Normal 65 2 7" xfId="19232"/>
    <cellStyle name="Normal 65 2_LNG &amp; LPG rework" xfId="7477"/>
    <cellStyle name="Normal 65 3" xfId="4894"/>
    <cellStyle name="Normal 65 3 2" xfId="4895"/>
    <cellStyle name="Normal 65 3 2 2" xfId="13387"/>
    <cellStyle name="Normal 65 3 2 3" xfId="19238"/>
    <cellStyle name="Normal 65 3 3" xfId="4896"/>
    <cellStyle name="Normal 65 3 3 2" xfId="13388"/>
    <cellStyle name="Normal 65 3 3 3" xfId="19239"/>
    <cellStyle name="Normal 65 3 4" xfId="4897"/>
    <cellStyle name="Normal 65 3 4 2" xfId="13389"/>
    <cellStyle name="Normal 65 3 4 3" xfId="19240"/>
    <cellStyle name="Normal 65 3 5" xfId="4898"/>
    <cellStyle name="Normal 65 3 5 2" xfId="13390"/>
    <cellStyle name="Normal 65 3 5 3" xfId="19241"/>
    <cellStyle name="Normal 65 3 6" xfId="13386"/>
    <cellStyle name="Normal 65 3 7" xfId="19237"/>
    <cellStyle name="Normal 65 3_LNG &amp; LPG rework" xfId="7478"/>
    <cellStyle name="Normal 65 4" xfId="4899"/>
    <cellStyle name="Normal 65 4 2" xfId="13391"/>
    <cellStyle name="Normal 65 4 3" xfId="19242"/>
    <cellStyle name="Normal 65 5" xfId="4900"/>
    <cellStyle name="Normal 65 5 2" xfId="13392"/>
    <cellStyle name="Normal 65 5 3" xfId="19243"/>
    <cellStyle name="Normal 65 6" xfId="4901"/>
    <cellStyle name="Normal 65 6 2" xfId="13393"/>
    <cellStyle name="Normal 65 6 3" xfId="19244"/>
    <cellStyle name="Normal 65 7" xfId="4902"/>
    <cellStyle name="Normal 65 7 2" xfId="13394"/>
    <cellStyle name="Normal 65 7 3" xfId="19245"/>
    <cellStyle name="Normal 65 8" xfId="4903"/>
    <cellStyle name="Normal 65 8 2" xfId="13395"/>
    <cellStyle name="Normal 65 8 3" xfId="19246"/>
    <cellStyle name="Normal 65_LNG &amp; LPG rework" xfId="7476"/>
    <cellStyle name="Normal 66" xfId="4904"/>
    <cellStyle name="Normal 66 2" xfId="4905"/>
    <cellStyle name="Normal 66 2 2" xfId="4906"/>
    <cellStyle name="Normal 66 2 2 2" xfId="13397"/>
    <cellStyle name="Normal 66 2 2 3" xfId="19248"/>
    <cellStyle name="Normal 66 2 3" xfId="4907"/>
    <cellStyle name="Normal 66 2 3 2" xfId="13398"/>
    <cellStyle name="Normal 66 2 3 3" xfId="19249"/>
    <cellStyle name="Normal 66 2 4" xfId="4908"/>
    <cellStyle name="Normal 66 2 4 2" xfId="13399"/>
    <cellStyle name="Normal 66 2 4 3" xfId="19250"/>
    <cellStyle name="Normal 66 2 5" xfId="4909"/>
    <cellStyle name="Normal 66 2 5 2" xfId="13400"/>
    <cellStyle name="Normal 66 2 5 3" xfId="19251"/>
    <cellStyle name="Normal 66 2 6" xfId="13396"/>
    <cellStyle name="Normal 66 2 7" xfId="19247"/>
    <cellStyle name="Normal 66 2_LNG &amp; LPG rework" xfId="7480"/>
    <cellStyle name="Normal 66 3" xfId="4910"/>
    <cellStyle name="Normal 66 3 2" xfId="4911"/>
    <cellStyle name="Normal 66 3 2 2" xfId="13402"/>
    <cellStyle name="Normal 66 3 2 3" xfId="19253"/>
    <cellStyle name="Normal 66 3 3" xfId="4912"/>
    <cellStyle name="Normal 66 3 3 2" xfId="13403"/>
    <cellStyle name="Normal 66 3 3 3" xfId="19254"/>
    <cellStyle name="Normal 66 3 4" xfId="4913"/>
    <cellStyle name="Normal 66 3 4 2" xfId="13404"/>
    <cellStyle name="Normal 66 3 4 3" xfId="19255"/>
    <cellStyle name="Normal 66 3 5" xfId="4914"/>
    <cellStyle name="Normal 66 3 5 2" xfId="13405"/>
    <cellStyle name="Normal 66 3 5 3" xfId="19256"/>
    <cellStyle name="Normal 66 3 6" xfId="13401"/>
    <cellStyle name="Normal 66 3 7" xfId="19252"/>
    <cellStyle name="Normal 66 3_LNG &amp; LPG rework" xfId="7481"/>
    <cellStyle name="Normal 66 4" xfId="4915"/>
    <cellStyle name="Normal 66 4 2" xfId="13406"/>
    <cellStyle name="Normal 66 4 3" xfId="19257"/>
    <cellStyle name="Normal 66 5" xfId="4916"/>
    <cellStyle name="Normal 66 5 2" xfId="13407"/>
    <cellStyle name="Normal 66 5 3" xfId="19258"/>
    <cellStyle name="Normal 66 6" xfId="4917"/>
    <cellStyle name="Normal 66 6 2" xfId="13408"/>
    <cellStyle name="Normal 66 6 3" xfId="19259"/>
    <cellStyle name="Normal 66 7" xfId="4918"/>
    <cellStyle name="Normal 66 7 2" xfId="13409"/>
    <cellStyle name="Normal 66 7 3" xfId="19260"/>
    <cellStyle name="Normal 66 8" xfId="4919"/>
    <cellStyle name="Normal 66 8 2" xfId="13410"/>
    <cellStyle name="Normal 66 8 3" xfId="19261"/>
    <cellStyle name="Normal 66_LNG &amp; LPG rework" xfId="7479"/>
    <cellStyle name="Normal 67" xfId="4920"/>
    <cellStyle name="Normal 67 2" xfId="4921"/>
    <cellStyle name="Normal 67 2 2" xfId="4922"/>
    <cellStyle name="Normal 67 2 2 2" xfId="13412"/>
    <cellStyle name="Normal 67 2 2 3" xfId="19263"/>
    <cellStyle name="Normal 67 2 3" xfId="4923"/>
    <cellStyle name="Normal 67 2 3 2" xfId="13413"/>
    <cellStyle name="Normal 67 2 3 3" xfId="19264"/>
    <cellStyle name="Normal 67 2 4" xfId="4924"/>
    <cellStyle name="Normal 67 2 4 2" xfId="13414"/>
    <cellStyle name="Normal 67 2 4 3" xfId="19265"/>
    <cellStyle name="Normal 67 2 5" xfId="4925"/>
    <cellStyle name="Normal 67 2 5 2" xfId="13415"/>
    <cellStyle name="Normal 67 2 5 3" xfId="19266"/>
    <cellStyle name="Normal 67 2 6" xfId="13411"/>
    <cellStyle name="Normal 67 2 7" xfId="19262"/>
    <cellStyle name="Normal 67 2_LNG &amp; LPG rework" xfId="7483"/>
    <cellStyle name="Normal 67 3" xfId="4926"/>
    <cellStyle name="Normal 67 3 2" xfId="4927"/>
    <cellStyle name="Normal 67 3 2 2" xfId="13417"/>
    <cellStyle name="Normal 67 3 2 3" xfId="19268"/>
    <cellStyle name="Normal 67 3 3" xfId="4928"/>
    <cellStyle name="Normal 67 3 3 2" xfId="13418"/>
    <cellStyle name="Normal 67 3 3 3" xfId="19269"/>
    <cellStyle name="Normal 67 3 4" xfId="4929"/>
    <cellStyle name="Normal 67 3 4 2" xfId="13419"/>
    <cellStyle name="Normal 67 3 4 3" xfId="19270"/>
    <cellStyle name="Normal 67 3 5" xfId="4930"/>
    <cellStyle name="Normal 67 3 5 2" xfId="13420"/>
    <cellStyle name="Normal 67 3 5 3" xfId="19271"/>
    <cellStyle name="Normal 67 3 6" xfId="13416"/>
    <cellStyle name="Normal 67 3 7" xfId="19267"/>
    <cellStyle name="Normal 67 3_LNG &amp; LPG rework" xfId="7484"/>
    <cellStyle name="Normal 67 4" xfId="4931"/>
    <cellStyle name="Normal 67 4 2" xfId="13421"/>
    <cellStyle name="Normal 67 4 3" xfId="19272"/>
    <cellStyle name="Normal 67 5" xfId="4932"/>
    <cellStyle name="Normal 67 5 2" xfId="13422"/>
    <cellStyle name="Normal 67 5 3" xfId="19273"/>
    <cellStyle name="Normal 67 6" xfId="4933"/>
    <cellStyle name="Normal 67 6 2" xfId="13423"/>
    <cellStyle name="Normal 67 6 3" xfId="19274"/>
    <cellStyle name="Normal 67 7" xfId="4934"/>
    <cellStyle name="Normal 67 7 2" xfId="13424"/>
    <cellStyle name="Normal 67 7 3" xfId="19275"/>
    <cellStyle name="Normal 67 8" xfId="4935"/>
    <cellStyle name="Normal 67 8 2" xfId="13425"/>
    <cellStyle name="Normal 67 8 3" xfId="19276"/>
    <cellStyle name="Normal 67_LNG &amp; LPG rework" xfId="7482"/>
    <cellStyle name="Normal 68" xfId="4936"/>
    <cellStyle name="Normal 68 2" xfId="4937"/>
    <cellStyle name="Normal 68_LNG &amp; LPG rework" xfId="7485"/>
    <cellStyle name="Normal 69" xfId="4938"/>
    <cellStyle name="Normal 69 2" xfId="4939"/>
    <cellStyle name="Normal 69_LNG &amp; LPG rework" xfId="7486"/>
    <cellStyle name="Normal 7" xfId="47"/>
    <cellStyle name="Normal 7 2" xfId="155"/>
    <cellStyle name="Normal 7 2 2" xfId="9042"/>
    <cellStyle name="Normal 7 2 3" xfId="7811"/>
    <cellStyle name="Normal 7 3" xfId="483"/>
    <cellStyle name="Normal 7 4" xfId="4940"/>
    <cellStyle name="Normal 7 5" xfId="4941"/>
    <cellStyle name="Normal 7 6" xfId="14911"/>
    <cellStyle name="Normal 7_Data - Monthly Commodity Prices" xfId="6389"/>
    <cellStyle name="Normal 70" xfId="4942"/>
    <cellStyle name="Normal 70 2" xfId="4943"/>
    <cellStyle name="Normal 70 2 2" xfId="4944"/>
    <cellStyle name="Normal 70 2 2 2" xfId="13427"/>
    <cellStyle name="Normal 70 2 2 3" xfId="19278"/>
    <cellStyle name="Normal 70 2 3" xfId="4945"/>
    <cellStyle name="Normal 70 2 3 2" xfId="13428"/>
    <cellStyle name="Normal 70 2 3 3" xfId="19279"/>
    <cellStyle name="Normal 70 2 4" xfId="4946"/>
    <cellStyle name="Normal 70 2 4 2" xfId="13429"/>
    <cellStyle name="Normal 70 2 4 3" xfId="19280"/>
    <cellStyle name="Normal 70 2 5" xfId="4947"/>
    <cellStyle name="Normal 70 2 5 2" xfId="13430"/>
    <cellStyle name="Normal 70 2 5 3" xfId="19281"/>
    <cellStyle name="Normal 70 2 6" xfId="13426"/>
    <cellStyle name="Normal 70 2 7" xfId="19277"/>
    <cellStyle name="Normal 70 2_LNG &amp; LPG rework" xfId="7488"/>
    <cellStyle name="Normal 70 3" xfId="4948"/>
    <cellStyle name="Normal 70 3 2" xfId="4949"/>
    <cellStyle name="Normal 70 3 2 2" xfId="13432"/>
    <cellStyle name="Normal 70 3 2 3" xfId="19283"/>
    <cellStyle name="Normal 70 3 3" xfId="4950"/>
    <cellStyle name="Normal 70 3 3 2" xfId="13433"/>
    <cellStyle name="Normal 70 3 3 3" xfId="19284"/>
    <cellStyle name="Normal 70 3 4" xfId="4951"/>
    <cellStyle name="Normal 70 3 4 2" xfId="13434"/>
    <cellStyle name="Normal 70 3 4 3" xfId="19285"/>
    <cellStyle name="Normal 70 3 5" xfId="4952"/>
    <cellStyle name="Normal 70 3 5 2" xfId="13435"/>
    <cellStyle name="Normal 70 3 5 3" xfId="19286"/>
    <cellStyle name="Normal 70 3 6" xfId="13431"/>
    <cellStyle name="Normal 70 3 7" xfId="19282"/>
    <cellStyle name="Normal 70 3_LNG &amp; LPG rework" xfId="7489"/>
    <cellStyle name="Normal 70 4" xfId="4953"/>
    <cellStyle name="Normal 70 4 2" xfId="13436"/>
    <cellStyle name="Normal 70 4 3" xfId="19287"/>
    <cellStyle name="Normal 70 5" xfId="4954"/>
    <cellStyle name="Normal 70 5 2" xfId="13437"/>
    <cellStyle name="Normal 70 5 3" xfId="19288"/>
    <cellStyle name="Normal 70 6" xfId="4955"/>
    <cellStyle name="Normal 70 6 2" xfId="13438"/>
    <cellStyle name="Normal 70 6 3" xfId="19289"/>
    <cellStyle name="Normal 70 7" xfId="4956"/>
    <cellStyle name="Normal 70 7 2" xfId="13439"/>
    <cellStyle name="Normal 70 7 3" xfId="19290"/>
    <cellStyle name="Normal 70 8" xfId="4957"/>
    <cellStyle name="Normal 70 8 2" xfId="13440"/>
    <cellStyle name="Normal 70 8 3" xfId="19291"/>
    <cellStyle name="Normal 70_LNG &amp; LPG rework" xfId="7487"/>
    <cellStyle name="Normal 71" xfId="4958"/>
    <cellStyle name="Normal 71 2" xfId="4959"/>
    <cellStyle name="Normal 71 3" xfId="4960"/>
    <cellStyle name="Normal 71_LNG &amp; LPG rework" xfId="7490"/>
    <cellStyle name="Normal 72" xfId="4961"/>
    <cellStyle name="Normal 72 2" xfId="4962"/>
    <cellStyle name="Normal 72 2 2" xfId="4963"/>
    <cellStyle name="Normal 72 2 2 2" xfId="13442"/>
    <cellStyle name="Normal 72 2 2 3" xfId="19293"/>
    <cellStyle name="Normal 72 2 3" xfId="4964"/>
    <cellStyle name="Normal 72 2 3 2" xfId="13443"/>
    <cellStyle name="Normal 72 2 3 3" xfId="19294"/>
    <cellStyle name="Normal 72 2 4" xfId="4965"/>
    <cellStyle name="Normal 72 2 4 2" xfId="13444"/>
    <cellStyle name="Normal 72 2 4 3" xfId="19295"/>
    <cellStyle name="Normal 72 2 5" xfId="4966"/>
    <cellStyle name="Normal 72 2 5 2" xfId="13445"/>
    <cellStyle name="Normal 72 2 5 3" xfId="19296"/>
    <cellStyle name="Normal 72 2 6" xfId="13441"/>
    <cellStyle name="Normal 72 2 7" xfId="19292"/>
    <cellStyle name="Normal 72 2_LNG &amp; LPG rework" xfId="7492"/>
    <cellStyle name="Normal 72 3" xfId="4967"/>
    <cellStyle name="Normal 72 3 2" xfId="4968"/>
    <cellStyle name="Normal 72 3 2 2" xfId="13447"/>
    <cellStyle name="Normal 72 3 2 3" xfId="19298"/>
    <cellStyle name="Normal 72 3 3" xfId="4969"/>
    <cellStyle name="Normal 72 3 3 2" xfId="13448"/>
    <cellStyle name="Normal 72 3 3 3" xfId="19299"/>
    <cellStyle name="Normal 72 3 4" xfId="4970"/>
    <cellStyle name="Normal 72 3 4 2" xfId="13449"/>
    <cellStyle name="Normal 72 3 4 3" xfId="19300"/>
    <cellStyle name="Normal 72 3 5" xfId="4971"/>
    <cellStyle name="Normal 72 3 5 2" xfId="13450"/>
    <cellStyle name="Normal 72 3 5 3" xfId="19301"/>
    <cellStyle name="Normal 72 3 6" xfId="13446"/>
    <cellStyle name="Normal 72 3 7" xfId="19297"/>
    <cellStyle name="Normal 72 3_LNG &amp; LPG rework" xfId="7493"/>
    <cellStyle name="Normal 72 4" xfId="4972"/>
    <cellStyle name="Normal 72 4 2" xfId="13451"/>
    <cellStyle name="Normal 72 4 3" xfId="19302"/>
    <cellStyle name="Normal 72 5" xfId="4973"/>
    <cellStyle name="Normal 72 5 2" xfId="13452"/>
    <cellStyle name="Normal 72 5 3" xfId="19303"/>
    <cellStyle name="Normal 72 6" xfId="4974"/>
    <cellStyle name="Normal 72 6 2" xfId="13453"/>
    <cellStyle name="Normal 72 6 3" xfId="19304"/>
    <cellStyle name="Normal 72 7" xfId="4975"/>
    <cellStyle name="Normal 72 7 2" xfId="13454"/>
    <cellStyle name="Normal 72 7 3" xfId="19305"/>
    <cellStyle name="Normal 72 8" xfId="4976"/>
    <cellStyle name="Normal 72 8 2" xfId="13455"/>
    <cellStyle name="Normal 72 8 3" xfId="19306"/>
    <cellStyle name="Normal 72_LNG &amp; LPG rework" xfId="7491"/>
    <cellStyle name="Normal 73" xfId="4977"/>
    <cellStyle name="Normal 73 2" xfId="4978"/>
    <cellStyle name="Normal 73 2 2" xfId="4979"/>
    <cellStyle name="Normal 73 2 2 2" xfId="13457"/>
    <cellStyle name="Normal 73 2 2 3" xfId="19308"/>
    <cellStyle name="Normal 73 2 3" xfId="4980"/>
    <cellStyle name="Normal 73 2 3 2" xfId="13458"/>
    <cellStyle name="Normal 73 2 3 3" xfId="19309"/>
    <cellStyle name="Normal 73 2 4" xfId="4981"/>
    <cellStyle name="Normal 73 2 4 2" xfId="13459"/>
    <cellStyle name="Normal 73 2 4 3" xfId="19310"/>
    <cellStyle name="Normal 73 2 5" xfId="4982"/>
    <cellStyle name="Normal 73 2 5 2" xfId="13460"/>
    <cellStyle name="Normal 73 2 5 3" xfId="19311"/>
    <cellStyle name="Normal 73 2 6" xfId="13456"/>
    <cellStyle name="Normal 73 2 7" xfId="19307"/>
    <cellStyle name="Normal 73 2_LNG &amp; LPG rework" xfId="7495"/>
    <cellStyle name="Normal 73 3" xfId="4983"/>
    <cellStyle name="Normal 73 3 2" xfId="4984"/>
    <cellStyle name="Normal 73 3 2 2" xfId="13462"/>
    <cellStyle name="Normal 73 3 2 3" xfId="19313"/>
    <cellStyle name="Normal 73 3 3" xfId="4985"/>
    <cellStyle name="Normal 73 3 3 2" xfId="13463"/>
    <cellStyle name="Normal 73 3 3 3" xfId="19314"/>
    <cellStyle name="Normal 73 3 4" xfId="4986"/>
    <cellStyle name="Normal 73 3 4 2" xfId="13464"/>
    <cellStyle name="Normal 73 3 4 3" xfId="19315"/>
    <cellStyle name="Normal 73 3 5" xfId="4987"/>
    <cellStyle name="Normal 73 3 5 2" xfId="13465"/>
    <cellStyle name="Normal 73 3 5 3" xfId="19316"/>
    <cellStyle name="Normal 73 3 6" xfId="13461"/>
    <cellStyle name="Normal 73 3 7" xfId="19312"/>
    <cellStyle name="Normal 73 3_LNG &amp; LPG rework" xfId="7496"/>
    <cellStyle name="Normal 73 4" xfId="4988"/>
    <cellStyle name="Normal 73 4 2" xfId="13466"/>
    <cellStyle name="Normal 73 4 3" xfId="19317"/>
    <cellStyle name="Normal 73 5" xfId="4989"/>
    <cellStyle name="Normal 73 5 2" xfId="13467"/>
    <cellStyle name="Normal 73 5 3" xfId="19318"/>
    <cellStyle name="Normal 73 6" xfId="4990"/>
    <cellStyle name="Normal 73 6 2" xfId="13468"/>
    <cellStyle name="Normal 73 6 3" xfId="19319"/>
    <cellStyle name="Normal 73 7" xfId="4991"/>
    <cellStyle name="Normal 73 7 2" xfId="13469"/>
    <cellStyle name="Normal 73 7 3" xfId="19320"/>
    <cellStyle name="Normal 73 8" xfId="4992"/>
    <cellStyle name="Normal 73 8 2" xfId="13470"/>
    <cellStyle name="Normal 73 8 3" xfId="19321"/>
    <cellStyle name="Normal 73_LNG &amp; LPG rework" xfId="7494"/>
    <cellStyle name="Normal 74" xfId="4993"/>
    <cellStyle name="Normal 74 2" xfId="4994"/>
    <cellStyle name="Normal 74 2 2" xfId="4995"/>
    <cellStyle name="Normal 74 2 2 2" xfId="13472"/>
    <cellStyle name="Normal 74 2 2 3" xfId="19323"/>
    <cellStyle name="Normal 74 2 3" xfId="4996"/>
    <cellStyle name="Normal 74 2 3 2" xfId="13473"/>
    <cellStyle name="Normal 74 2 3 3" xfId="19324"/>
    <cellStyle name="Normal 74 2 4" xfId="4997"/>
    <cellStyle name="Normal 74 2 4 2" xfId="13474"/>
    <cellStyle name="Normal 74 2 4 3" xfId="19325"/>
    <cellStyle name="Normal 74 2 5" xfId="4998"/>
    <cellStyle name="Normal 74 2 5 2" xfId="13475"/>
    <cellStyle name="Normal 74 2 5 3" xfId="19326"/>
    <cellStyle name="Normal 74 2 6" xfId="13471"/>
    <cellStyle name="Normal 74 2 7" xfId="19322"/>
    <cellStyle name="Normal 74 2_LNG &amp; LPG rework" xfId="7498"/>
    <cellStyle name="Normal 74 3" xfId="4999"/>
    <cellStyle name="Normal 74 3 2" xfId="5000"/>
    <cellStyle name="Normal 74 3 2 2" xfId="13477"/>
    <cellStyle name="Normal 74 3 2 3" xfId="19328"/>
    <cellStyle name="Normal 74 3 3" xfId="5001"/>
    <cellStyle name="Normal 74 3 3 2" xfId="13478"/>
    <cellStyle name="Normal 74 3 3 3" xfId="19329"/>
    <cellStyle name="Normal 74 3 4" xfId="5002"/>
    <cellStyle name="Normal 74 3 4 2" xfId="13479"/>
    <cellStyle name="Normal 74 3 4 3" xfId="19330"/>
    <cellStyle name="Normal 74 3 5" xfId="5003"/>
    <cellStyle name="Normal 74 3 5 2" xfId="13480"/>
    <cellStyle name="Normal 74 3 5 3" xfId="19331"/>
    <cellStyle name="Normal 74 3 6" xfId="13476"/>
    <cellStyle name="Normal 74 3 7" xfId="19327"/>
    <cellStyle name="Normal 74 3_LNG &amp; LPG rework" xfId="7499"/>
    <cellStyle name="Normal 74 4" xfId="5004"/>
    <cellStyle name="Normal 74 4 2" xfId="13481"/>
    <cellStyle name="Normal 74 4 3" xfId="19332"/>
    <cellStyle name="Normal 74 5" xfId="5005"/>
    <cellStyle name="Normal 74 5 2" xfId="13482"/>
    <cellStyle name="Normal 74 5 3" xfId="19333"/>
    <cellStyle name="Normal 74 6" xfId="5006"/>
    <cellStyle name="Normal 74 6 2" xfId="13483"/>
    <cellStyle name="Normal 74 6 3" xfId="19334"/>
    <cellStyle name="Normal 74 7" xfId="5007"/>
    <cellStyle name="Normal 74 7 2" xfId="13484"/>
    <cellStyle name="Normal 74 7 3" xfId="19335"/>
    <cellStyle name="Normal 74 8" xfId="5008"/>
    <cellStyle name="Normal 74 8 2" xfId="13485"/>
    <cellStyle name="Normal 74 8 3" xfId="19336"/>
    <cellStyle name="Normal 74_LNG &amp; LPG rework" xfId="7497"/>
    <cellStyle name="Normal 75" xfId="5009"/>
    <cellStyle name="Normal 75 2" xfId="5010"/>
    <cellStyle name="Normal 75 2 2" xfId="5011"/>
    <cellStyle name="Normal 75 2 2 2" xfId="13487"/>
    <cellStyle name="Normal 75 2 2 3" xfId="19338"/>
    <cellStyle name="Normal 75 2 3" xfId="5012"/>
    <cellStyle name="Normal 75 2 3 2" xfId="13488"/>
    <cellStyle name="Normal 75 2 3 3" xfId="19339"/>
    <cellStyle name="Normal 75 2 4" xfId="5013"/>
    <cellStyle name="Normal 75 2 4 2" xfId="13489"/>
    <cellStyle name="Normal 75 2 4 3" xfId="19340"/>
    <cellStyle name="Normal 75 2 5" xfId="5014"/>
    <cellStyle name="Normal 75 2 5 2" xfId="13490"/>
    <cellStyle name="Normal 75 2 5 3" xfId="19341"/>
    <cellStyle name="Normal 75 2 6" xfId="13486"/>
    <cellStyle name="Normal 75 2 7" xfId="19337"/>
    <cellStyle name="Normal 75 2_LNG &amp; LPG rework" xfId="7501"/>
    <cellStyle name="Normal 75 3" xfId="5015"/>
    <cellStyle name="Normal 75 3 2" xfId="5016"/>
    <cellStyle name="Normal 75 3 2 2" xfId="13492"/>
    <cellStyle name="Normal 75 3 2 3" xfId="19343"/>
    <cellStyle name="Normal 75 3 3" xfId="5017"/>
    <cellStyle name="Normal 75 3 3 2" xfId="13493"/>
    <cellStyle name="Normal 75 3 3 3" xfId="19344"/>
    <cellStyle name="Normal 75 3 4" xfId="5018"/>
    <cellStyle name="Normal 75 3 4 2" xfId="13494"/>
    <cellStyle name="Normal 75 3 4 3" xfId="19345"/>
    <cellStyle name="Normal 75 3 5" xfId="5019"/>
    <cellStyle name="Normal 75 3 5 2" xfId="13495"/>
    <cellStyle name="Normal 75 3 5 3" xfId="19346"/>
    <cellStyle name="Normal 75 3 6" xfId="13491"/>
    <cellStyle name="Normal 75 3 7" xfId="19342"/>
    <cellStyle name="Normal 75 3_LNG &amp; LPG rework" xfId="7502"/>
    <cellStyle name="Normal 75 4" xfId="5020"/>
    <cellStyle name="Normal 75 4 2" xfId="13496"/>
    <cellStyle name="Normal 75 4 3" xfId="19347"/>
    <cellStyle name="Normal 75 5" xfId="5021"/>
    <cellStyle name="Normal 75 5 2" xfId="13497"/>
    <cellStyle name="Normal 75 5 3" xfId="19348"/>
    <cellStyle name="Normal 75 6" xfId="5022"/>
    <cellStyle name="Normal 75 6 2" xfId="13498"/>
    <cellStyle name="Normal 75 6 3" xfId="19349"/>
    <cellStyle name="Normal 75 7" xfId="5023"/>
    <cellStyle name="Normal 75 7 2" xfId="13499"/>
    <cellStyle name="Normal 75 7 3" xfId="19350"/>
    <cellStyle name="Normal 75 8" xfId="5024"/>
    <cellStyle name="Normal 75 8 2" xfId="13500"/>
    <cellStyle name="Normal 75 8 3" xfId="19351"/>
    <cellStyle name="Normal 75_LNG &amp; LPG rework" xfId="7500"/>
    <cellStyle name="Normal 76" xfId="5025"/>
    <cellStyle name="Normal 76 2" xfId="5026"/>
    <cellStyle name="Normal 76 2 2" xfId="5027"/>
    <cellStyle name="Normal 76 2 2 2" xfId="13502"/>
    <cellStyle name="Normal 76 2 2 3" xfId="19353"/>
    <cellStyle name="Normal 76 2 3" xfId="5028"/>
    <cellStyle name="Normal 76 2 3 2" xfId="13503"/>
    <cellStyle name="Normal 76 2 3 3" xfId="19354"/>
    <cellStyle name="Normal 76 2 4" xfId="5029"/>
    <cellStyle name="Normal 76 2 4 2" xfId="13504"/>
    <cellStyle name="Normal 76 2 4 3" xfId="19355"/>
    <cellStyle name="Normal 76 2 5" xfId="5030"/>
    <cellStyle name="Normal 76 2 5 2" xfId="13505"/>
    <cellStyle name="Normal 76 2 5 3" xfId="19356"/>
    <cellStyle name="Normal 76 2 6" xfId="13501"/>
    <cellStyle name="Normal 76 2 7" xfId="19352"/>
    <cellStyle name="Normal 76 2_LNG &amp; LPG rework" xfId="7504"/>
    <cellStyle name="Normal 76 3" xfId="5031"/>
    <cellStyle name="Normal 76 3 2" xfId="5032"/>
    <cellStyle name="Normal 76 3 2 2" xfId="13507"/>
    <cellStyle name="Normal 76 3 2 3" xfId="19358"/>
    <cellStyle name="Normal 76 3 3" xfId="5033"/>
    <cellStyle name="Normal 76 3 3 2" xfId="13508"/>
    <cellStyle name="Normal 76 3 3 3" xfId="19359"/>
    <cellStyle name="Normal 76 3 4" xfId="5034"/>
    <cellStyle name="Normal 76 3 4 2" xfId="13509"/>
    <cellStyle name="Normal 76 3 4 3" xfId="19360"/>
    <cellStyle name="Normal 76 3 5" xfId="5035"/>
    <cellStyle name="Normal 76 3 5 2" xfId="13510"/>
    <cellStyle name="Normal 76 3 5 3" xfId="19361"/>
    <cellStyle name="Normal 76 3 6" xfId="13506"/>
    <cellStyle name="Normal 76 3 7" xfId="19357"/>
    <cellStyle name="Normal 76 3_LNG &amp; LPG rework" xfId="7505"/>
    <cellStyle name="Normal 76 4" xfId="5036"/>
    <cellStyle name="Normal 76 4 2" xfId="13511"/>
    <cellStyle name="Normal 76 4 3" xfId="19362"/>
    <cellStyle name="Normal 76 5" xfId="5037"/>
    <cellStyle name="Normal 76 5 2" xfId="13512"/>
    <cellStyle name="Normal 76 5 3" xfId="19363"/>
    <cellStyle name="Normal 76 6" xfId="5038"/>
    <cellStyle name="Normal 76 6 2" xfId="13513"/>
    <cellStyle name="Normal 76 6 3" xfId="19364"/>
    <cellStyle name="Normal 76 7" xfId="5039"/>
    <cellStyle name="Normal 76 7 2" xfId="13514"/>
    <cellStyle name="Normal 76 7 3" xfId="19365"/>
    <cellStyle name="Normal 76 8" xfId="5040"/>
    <cellStyle name="Normal 76 8 2" xfId="13515"/>
    <cellStyle name="Normal 76 8 3" xfId="19366"/>
    <cellStyle name="Normal 76_LNG &amp; LPG rework" xfId="7503"/>
    <cellStyle name="Normal 77" xfId="5041"/>
    <cellStyle name="Normal 77 2" xfId="5042"/>
    <cellStyle name="Normal 77 2 2" xfId="5043"/>
    <cellStyle name="Normal 77 2 2 2" xfId="13517"/>
    <cellStyle name="Normal 77 2 2 3" xfId="19368"/>
    <cellStyle name="Normal 77 2 3" xfId="5044"/>
    <cellStyle name="Normal 77 2 3 2" xfId="13518"/>
    <cellStyle name="Normal 77 2 3 3" xfId="19369"/>
    <cellStyle name="Normal 77 2 4" xfId="5045"/>
    <cellStyle name="Normal 77 2 4 2" xfId="13519"/>
    <cellStyle name="Normal 77 2 4 3" xfId="19370"/>
    <cellStyle name="Normal 77 2 5" xfId="5046"/>
    <cellStyle name="Normal 77 2 5 2" xfId="13520"/>
    <cellStyle name="Normal 77 2 5 3" xfId="19371"/>
    <cellStyle name="Normal 77 2 6" xfId="13516"/>
    <cellStyle name="Normal 77 2 7" xfId="19367"/>
    <cellStyle name="Normal 77 2_LNG &amp; LPG rework" xfId="7507"/>
    <cellStyle name="Normal 77 3" xfId="5047"/>
    <cellStyle name="Normal 77 3 2" xfId="5048"/>
    <cellStyle name="Normal 77 3 2 2" xfId="13522"/>
    <cellStyle name="Normal 77 3 2 3" xfId="19373"/>
    <cellStyle name="Normal 77 3 3" xfId="5049"/>
    <cellStyle name="Normal 77 3 3 2" xfId="13523"/>
    <cellStyle name="Normal 77 3 3 3" xfId="19374"/>
    <cellStyle name="Normal 77 3 4" xfId="5050"/>
    <cellStyle name="Normal 77 3 4 2" xfId="13524"/>
    <cellStyle name="Normal 77 3 4 3" xfId="19375"/>
    <cellStyle name="Normal 77 3 5" xfId="5051"/>
    <cellStyle name="Normal 77 3 5 2" xfId="13525"/>
    <cellStyle name="Normal 77 3 5 3" xfId="19376"/>
    <cellStyle name="Normal 77 3 6" xfId="13521"/>
    <cellStyle name="Normal 77 3 7" xfId="19372"/>
    <cellStyle name="Normal 77 3_LNG &amp; LPG rework" xfId="7508"/>
    <cellStyle name="Normal 77 4" xfId="5052"/>
    <cellStyle name="Normal 77 4 2" xfId="13526"/>
    <cellStyle name="Normal 77 4 3" xfId="19377"/>
    <cellStyle name="Normal 77 5" xfId="5053"/>
    <cellStyle name="Normal 77 5 2" xfId="13527"/>
    <cellStyle name="Normal 77 5 3" xfId="19378"/>
    <cellStyle name="Normal 77 6" xfId="5054"/>
    <cellStyle name="Normal 77 6 2" xfId="13528"/>
    <cellStyle name="Normal 77 6 3" xfId="19379"/>
    <cellStyle name="Normal 77 7" xfId="5055"/>
    <cellStyle name="Normal 77 7 2" xfId="13529"/>
    <cellStyle name="Normal 77 7 3" xfId="19380"/>
    <cellStyle name="Normal 77 8" xfId="5056"/>
    <cellStyle name="Normal 77 8 2" xfId="13530"/>
    <cellStyle name="Normal 77 8 3" xfId="19381"/>
    <cellStyle name="Normal 77_LNG &amp; LPG rework" xfId="7506"/>
    <cellStyle name="Normal 78" xfId="5057"/>
    <cellStyle name="Normal 78 2" xfId="5058"/>
    <cellStyle name="Normal 78 2 2" xfId="5059"/>
    <cellStyle name="Normal 78 2 2 2" xfId="13532"/>
    <cellStyle name="Normal 78 2 2 3" xfId="19383"/>
    <cellStyle name="Normal 78 2 3" xfId="5060"/>
    <cellStyle name="Normal 78 2 3 2" xfId="13533"/>
    <cellStyle name="Normal 78 2 3 3" xfId="19384"/>
    <cellStyle name="Normal 78 2 4" xfId="5061"/>
    <cellStyle name="Normal 78 2 4 2" xfId="13534"/>
    <cellStyle name="Normal 78 2 4 3" xfId="19385"/>
    <cellStyle name="Normal 78 2 5" xfId="5062"/>
    <cellStyle name="Normal 78 2 5 2" xfId="13535"/>
    <cellStyle name="Normal 78 2 5 3" xfId="19386"/>
    <cellStyle name="Normal 78 2 6" xfId="13531"/>
    <cellStyle name="Normal 78 2 7" xfId="19382"/>
    <cellStyle name="Normal 78 2_LNG &amp; LPG rework" xfId="7510"/>
    <cellStyle name="Normal 78 3" xfId="5063"/>
    <cellStyle name="Normal 78 3 2" xfId="5064"/>
    <cellStyle name="Normal 78 3 2 2" xfId="13537"/>
    <cellStyle name="Normal 78 3 2 3" xfId="19388"/>
    <cellStyle name="Normal 78 3 3" xfId="5065"/>
    <cellStyle name="Normal 78 3 3 2" xfId="13538"/>
    <cellStyle name="Normal 78 3 3 3" xfId="19389"/>
    <cellStyle name="Normal 78 3 4" xfId="5066"/>
    <cellStyle name="Normal 78 3 4 2" xfId="13539"/>
    <cellStyle name="Normal 78 3 4 3" xfId="19390"/>
    <cellStyle name="Normal 78 3 5" xfId="5067"/>
    <cellStyle name="Normal 78 3 5 2" xfId="13540"/>
    <cellStyle name="Normal 78 3 5 3" xfId="19391"/>
    <cellStyle name="Normal 78 3 6" xfId="13536"/>
    <cellStyle name="Normal 78 3 7" xfId="19387"/>
    <cellStyle name="Normal 78 3_LNG &amp; LPG rework" xfId="7511"/>
    <cellStyle name="Normal 78 4" xfId="5068"/>
    <cellStyle name="Normal 78 4 2" xfId="13541"/>
    <cellStyle name="Normal 78 4 3" xfId="19392"/>
    <cellStyle name="Normal 78 5" xfId="5069"/>
    <cellStyle name="Normal 78 5 2" xfId="13542"/>
    <cellStyle name="Normal 78 5 3" xfId="19393"/>
    <cellStyle name="Normal 78 6" xfId="5070"/>
    <cellStyle name="Normal 78 6 2" xfId="13543"/>
    <cellStyle name="Normal 78 6 3" xfId="19394"/>
    <cellStyle name="Normal 78 7" xfId="5071"/>
    <cellStyle name="Normal 78 7 2" xfId="13544"/>
    <cellStyle name="Normal 78 7 3" xfId="19395"/>
    <cellStyle name="Normal 78 8" xfId="5072"/>
    <cellStyle name="Normal 78 8 2" xfId="13545"/>
    <cellStyle name="Normal 78 8 3" xfId="19396"/>
    <cellStyle name="Normal 78_LNG &amp; LPG rework" xfId="7509"/>
    <cellStyle name="Normal 79" xfId="5073"/>
    <cellStyle name="Normal 79 2" xfId="5074"/>
    <cellStyle name="Normal 79 3" xfId="5075"/>
    <cellStyle name="Normal 79_LNG &amp; LPG rework" xfId="7512"/>
    <cellStyle name="Normal 8" xfId="484"/>
    <cellStyle name="Normal 8 10" xfId="8985"/>
    <cellStyle name="Normal 8 11" xfId="14925"/>
    <cellStyle name="Normal 8 12" xfId="7807"/>
    <cellStyle name="Normal 8 13" xfId="26205"/>
    <cellStyle name="Normal 8 2" xfId="485"/>
    <cellStyle name="Normal 8 2 2" xfId="5076"/>
    <cellStyle name="Normal 8 2 3" xfId="26213"/>
    <cellStyle name="Normal 8 2_LNG &amp; LPG rework" xfId="7513"/>
    <cellStyle name="Normal 8 3" xfId="5077"/>
    <cellStyle name="Normal 8 4" xfId="5078"/>
    <cellStyle name="Normal 8 5" xfId="5079"/>
    <cellStyle name="Normal 8 6" xfId="5080"/>
    <cellStyle name="Normal 8 7" xfId="5081"/>
    <cellStyle name="Normal 8 7 2" xfId="26214"/>
    <cellStyle name="Normal 8 8" xfId="5082"/>
    <cellStyle name="Normal 8 9" xfId="5083"/>
    <cellStyle name="Normal 8_2015  Data" xfId="486"/>
    <cellStyle name="Normal 80" xfId="5084"/>
    <cellStyle name="Normal 80 2" xfId="5085"/>
    <cellStyle name="Normal 80_LNG &amp; LPG rework" xfId="7514"/>
    <cellStyle name="Normal 81" xfId="5086"/>
    <cellStyle name="Normal 81 2" xfId="5087"/>
    <cellStyle name="Normal 81_LNG &amp; LPG rework" xfId="7515"/>
    <cellStyle name="Normal 82" xfId="5088"/>
    <cellStyle name="Normal 82 2" xfId="5089"/>
    <cellStyle name="Normal 82_LNG &amp; LPG rework" xfId="7516"/>
    <cellStyle name="Normal 83" xfId="5090"/>
    <cellStyle name="Normal 83 2" xfId="5091"/>
    <cellStyle name="Normal 83_LNG &amp; LPG rework" xfId="7517"/>
    <cellStyle name="Normal 84" xfId="5092"/>
    <cellStyle name="Normal 84 2" xfId="5093"/>
    <cellStyle name="Normal 84 2 2" xfId="13546"/>
    <cellStyle name="Normal 84 2 3" xfId="19397"/>
    <cellStyle name="Normal 84 3" xfId="5094"/>
    <cellStyle name="Normal 84 3 2" xfId="13547"/>
    <cellStyle name="Normal 84 3 3" xfId="19398"/>
    <cellStyle name="Normal 84 4" xfId="5095"/>
    <cellStyle name="Normal 84 4 2" xfId="13548"/>
    <cellStyle name="Normal 84 4 3" xfId="19399"/>
    <cellStyle name="Normal 84 5" xfId="5096"/>
    <cellStyle name="Normal 84 5 2" xfId="13549"/>
    <cellStyle name="Normal 84 5 3" xfId="19400"/>
    <cellStyle name="Normal 84 6" xfId="5097"/>
    <cellStyle name="Normal 84 6 2" xfId="13550"/>
    <cellStyle name="Normal 84 6 3" xfId="19401"/>
    <cellStyle name="Normal 84_LNG &amp; LPG rework" xfId="7518"/>
    <cellStyle name="Normal 85" xfId="5098"/>
    <cellStyle name="Normal 85 2" xfId="5099"/>
    <cellStyle name="Normal 85 3" xfId="5100"/>
    <cellStyle name="Normal 85_LNG &amp; LPG rework" xfId="7519"/>
    <cellStyle name="Normal 86" xfId="5101"/>
    <cellStyle name="Normal 86 2" xfId="5102"/>
    <cellStyle name="Normal 86 2 2" xfId="13551"/>
    <cellStyle name="Normal 86 2 3" xfId="19402"/>
    <cellStyle name="Normal 86 3" xfId="5103"/>
    <cellStyle name="Normal 86 3 2" xfId="13552"/>
    <cellStyle name="Normal 86 3 3" xfId="19403"/>
    <cellStyle name="Normal 86 4" xfId="5104"/>
    <cellStyle name="Normal 86 4 2" xfId="13553"/>
    <cellStyle name="Normal 86 4 3" xfId="19404"/>
    <cellStyle name="Normal 86 5" xfId="5105"/>
    <cellStyle name="Normal 86 5 2" xfId="13554"/>
    <cellStyle name="Normal 86 5 3" xfId="19405"/>
    <cellStyle name="Normal 86 6" xfId="5106"/>
    <cellStyle name="Normal 86 6 2" xfId="13555"/>
    <cellStyle name="Normal 86 6 3" xfId="19406"/>
    <cellStyle name="Normal 86_LNG &amp; LPG rework" xfId="7520"/>
    <cellStyle name="Normal 87" xfId="5107"/>
    <cellStyle name="Normal 87 2" xfId="5108"/>
    <cellStyle name="Normal 87 2 2" xfId="13556"/>
    <cellStyle name="Normal 87 2 3" xfId="19407"/>
    <cellStyle name="Normal 87 3" xfId="5109"/>
    <cellStyle name="Normal 87 3 2" xfId="13557"/>
    <cellStyle name="Normal 87 3 3" xfId="19408"/>
    <cellStyle name="Normal 87 4" xfId="5110"/>
    <cellStyle name="Normal 87 4 2" xfId="13558"/>
    <cellStyle name="Normal 87 4 3" xfId="19409"/>
    <cellStyle name="Normal 87 5" xfId="5111"/>
    <cellStyle name="Normal 87 5 2" xfId="13559"/>
    <cellStyle name="Normal 87 5 3" xfId="19410"/>
    <cellStyle name="Normal 87 6" xfId="5112"/>
    <cellStyle name="Normal 87 6 2" xfId="13560"/>
    <cellStyle name="Normal 87 6 3" xfId="19411"/>
    <cellStyle name="Normal 87_LNG &amp; LPG rework" xfId="7521"/>
    <cellStyle name="Normal 88" xfId="5113"/>
    <cellStyle name="Normal 88 2" xfId="5114"/>
    <cellStyle name="Normal 88 3" xfId="5115"/>
    <cellStyle name="Normal 88_LNG &amp; LPG rework" xfId="7522"/>
    <cellStyle name="Normal 89" xfId="5116"/>
    <cellStyle name="Normal 89 2" xfId="5117"/>
    <cellStyle name="Normal 89_LNG &amp; LPG rework" xfId="7523"/>
    <cellStyle name="Normal 9" xfId="487"/>
    <cellStyle name="Normal 9 10" xfId="5118"/>
    <cellStyle name="Normal 9 10 10" xfId="26209"/>
    <cellStyle name="Normal 9 10 2" xfId="5119"/>
    <cellStyle name="Normal 9 10 2 2" xfId="5120"/>
    <cellStyle name="Normal 9 10 2 2 2" xfId="13563"/>
    <cellStyle name="Normal 9 10 2 2 3" xfId="19414"/>
    <cellStyle name="Normal 9 10 2 3" xfId="5121"/>
    <cellStyle name="Normal 9 10 2 3 2" xfId="13564"/>
    <cellStyle name="Normal 9 10 2 3 3" xfId="19415"/>
    <cellStyle name="Normal 9 10 2 4" xfId="5122"/>
    <cellStyle name="Normal 9 10 2 4 2" xfId="13565"/>
    <cellStyle name="Normal 9 10 2 4 3" xfId="19416"/>
    <cellStyle name="Normal 9 10 2 5" xfId="5123"/>
    <cellStyle name="Normal 9 10 2 5 2" xfId="13566"/>
    <cellStyle name="Normal 9 10 2 5 3" xfId="19417"/>
    <cellStyle name="Normal 9 10 2 6" xfId="13562"/>
    <cellStyle name="Normal 9 10 2 7" xfId="19413"/>
    <cellStyle name="Normal 9 10 2_LNG &amp; LPG rework" xfId="7525"/>
    <cellStyle name="Normal 9 10 3" xfId="5124"/>
    <cellStyle name="Normal 9 10 3 2" xfId="5125"/>
    <cellStyle name="Normal 9 10 3 2 2" xfId="13568"/>
    <cellStyle name="Normal 9 10 3 2 3" xfId="19419"/>
    <cellStyle name="Normal 9 10 3 3" xfId="5126"/>
    <cellStyle name="Normal 9 10 3 3 2" xfId="13569"/>
    <cellStyle name="Normal 9 10 3 3 3" xfId="19420"/>
    <cellStyle name="Normal 9 10 3 4" xfId="5127"/>
    <cellStyle name="Normal 9 10 3 4 2" xfId="13570"/>
    <cellStyle name="Normal 9 10 3 4 3" xfId="19421"/>
    <cellStyle name="Normal 9 10 3 5" xfId="5128"/>
    <cellStyle name="Normal 9 10 3 5 2" xfId="13571"/>
    <cellStyle name="Normal 9 10 3 5 3" xfId="19422"/>
    <cellStyle name="Normal 9 10 3 6" xfId="13567"/>
    <cellStyle name="Normal 9 10 3 7" xfId="19418"/>
    <cellStyle name="Normal 9 10 3_LNG &amp; LPG rework" xfId="7526"/>
    <cellStyle name="Normal 9 10 4" xfId="5129"/>
    <cellStyle name="Normal 9 10 4 2" xfId="13572"/>
    <cellStyle name="Normal 9 10 4 3" xfId="19423"/>
    <cellStyle name="Normal 9 10 5" xfId="5130"/>
    <cellStyle name="Normal 9 10 5 2" xfId="13573"/>
    <cellStyle name="Normal 9 10 5 3" xfId="19424"/>
    <cellStyle name="Normal 9 10 6" xfId="5131"/>
    <cellStyle name="Normal 9 10 6 2" xfId="13574"/>
    <cellStyle name="Normal 9 10 6 3" xfId="19425"/>
    <cellStyle name="Normal 9 10 7" xfId="5132"/>
    <cellStyle name="Normal 9 10 7 2" xfId="13575"/>
    <cellStyle name="Normal 9 10 7 3" xfId="19426"/>
    <cellStyle name="Normal 9 10 8" xfId="13561"/>
    <cellStyle name="Normal 9 10 9" xfId="19412"/>
    <cellStyle name="Normal 9 10_LNG &amp; LPG rework" xfId="7524"/>
    <cellStyle name="Normal 9 11" xfId="5133"/>
    <cellStyle name="Normal 9 11 2" xfId="5134"/>
    <cellStyle name="Normal 9 11 2 2" xfId="5135"/>
    <cellStyle name="Normal 9 11 2 2 2" xfId="13578"/>
    <cellStyle name="Normal 9 11 2 2 3" xfId="19429"/>
    <cellStyle name="Normal 9 11 2 3" xfId="5136"/>
    <cellStyle name="Normal 9 11 2 3 2" xfId="13579"/>
    <cellStyle name="Normal 9 11 2 3 3" xfId="19430"/>
    <cellStyle name="Normal 9 11 2 4" xfId="5137"/>
    <cellStyle name="Normal 9 11 2 4 2" xfId="13580"/>
    <cellStyle name="Normal 9 11 2 4 3" xfId="19431"/>
    <cellStyle name="Normal 9 11 2 5" xfId="5138"/>
    <cellStyle name="Normal 9 11 2 5 2" xfId="13581"/>
    <cellStyle name="Normal 9 11 2 5 3" xfId="19432"/>
    <cellStyle name="Normal 9 11 2 6" xfId="13577"/>
    <cellStyle name="Normal 9 11 2 7" xfId="19428"/>
    <cellStyle name="Normal 9 11 2_LNG &amp; LPG rework" xfId="7528"/>
    <cellStyle name="Normal 9 11 3" xfId="5139"/>
    <cellStyle name="Normal 9 11 3 2" xfId="5140"/>
    <cellStyle name="Normal 9 11 3 2 2" xfId="13583"/>
    <cellStyle name="Normal 9 11 3 2 3" xfId="19434"/>
    <cellStyle name="Normal 9 11 3 3" xfId="5141"/>
    <cellStyle name="Normal 9 11 3 3 2" xfId="13584"/>
    <cellStyle name="Normal 9 11 3 3 3" xfId="19435"/>
    <cellStyle name="Normal 9 11 3 4" xfId="5142"/>
    <cellStyle name="Normal 9 11 3 4 2" xfId="13585"/>
    <cellStyle name="Normal 9 11 3 4 3" xfId="19436"/>
    <cellStyle name="Normal 9 11 3 5" xfId="5143"/>
    <cellStyle name="Normal 9 11 3 5 2" xfId="13586"/>
    <cellStyle name="Normal 9 11 3 5 3" xfId="19437"/>
    <cellStyle name="Normal 9 11 3 6" xfId="13582"/>
    <cellStyle name="Normal 9 11 3 7" xfId="19433"/>
    <cellStyle name="Normal 9 11 3_LNG &amp; LPG rework" xfId="7529"/>
    <cellStyle name="Normal 9 11 4" xfId="5144"/>
    <cellStyle name="Normal 9 11 4 2" xfId="13587"/>
    <cellStyle name="Normal 9 11 4 3" xfId="19438"/>
    <cellStyle name="Normal 9 11 5" xfId="5145"/>
    <cellStyle name="Normal 9 11 5 2" xfId="13588"/>
    <cellStyle name="Normal 9 11 5 3" xfId="19439"/>
    <cellStyle name="Normal 9 11 6" xfId="5146"/>
    <cellStyle name="Normal 9 11 6 2" xfId="13589"/>
    <cellStyle name="Normal 9 11 6 3" xfId="19440"/>
    <cellStyle name="Normal 9 11 7" xfId="5147"/>
    <cellStyle name="Normal 9 11 7 2" xfId="13590"/>
    <cellStyle name="Normal 9 11 7 3" xfId="19441"/>
    <cellStyle name="Normal 9 11 8" xfId="13576"/>
    <cellStyle name="Normal 9 11 9" xfId="19427"/>
    <cellStyle name="Normal 9 11_LNG &amp; LPG rework" xfId="7527"/>
    <cellStyle name="Normal 9 12" xfId="5148"/>
    <cellStyle name="Normal 9 12 2" xfId="5149"/>
    <cellStyle name="Normal 9 12 2 2" xfId="5150"/>
    <cellStyle name="Normal 9 12 2 2 2" xfId="13593"/>
    <cellStyle name="Normal 9 12 2 2 3" xfId="19444"/>
    <cellStyle name="Normal 9 12 2 3" xfId="5151"/>
    <cellStyle name="Normal 9 12 2 3 2" xfId="13594"/>
    <cellStyle name="Normal 9 12 2 3 3" xfId="19445"/>
    <cellStyle name="Normal 9 12 2 4" xfId="5152"/>
    <cellStyle name="Normal 9 12 2 4 2" xfId="13595"/>
    <cellStyle name="Normal 9 12 2 4 3" xfId="19446"/>
    <cellStyle name="Normal 9 12 2 5" xfId="5153"/>
    <cellStyle name="Normal 9 12 2 5 2" xfId="13596"/>
    <cellStyle name="Normal 9 12 2 5 3" xfId="19447"/>
    <cellStyle name="Normal 9 12 2 6" xfId="13592"/>
    <cellStyle name="Normal 9 12 2 7" xfId="19443"/>
    <cellStyle name="Normal 9 12 2_LNG &amp; LPG rework" xfId="7531"/>
    <cellStyle name="Normal 9 12 3" xfId="5154"/>
    <cellStyle name="Normal 9 12 3 2" xfId="5155"/>
    <cellStyle name="Normal 9 12 3 2 2" xfId="13598"/>
    <cellStyle name="Normal 9 12 3 2 3" xfId="19449"/>
    <cellStyle name="Normal 9 12 3 3" xfId="5156"/>
    <cellStyle name="Normal 9 12 3 3 2" xfId="13599"/>
    <cellStyle name="Normal 9 12 3 3 3" xfId="19450"/>
    <cellStyle name="Normal 9 12 3 4" xfId="5157"/>
    <cellStyle name="Normal 9 12 3 4 2" xfId="13600"/>
    <cellStyle name="Normal 9 12 3 4 3" xfId="19451"/>
    <cellStyle name="Normal 9 12 3 5" xfId="5158"/>
    <cellStyle name="Normal 9 12 3 5 2" xfId="13601"/>
    <cellStyle name="Normal 9 12 3 5 3" xfId="19452"/>
    <cellStyle name="Normal 9 12 3 6" xfId="13597"/>
    <cellStyle name="Normal 9 12 3 7" xfId="19448"/>
    <cellStyle name="Normal 9 12 3_LNG &amp; LPG rework" xfId="7532"/>
    <cellStyle name="Normal 9 12 4" xfId="5159"/>
    <cellStyle name="Normal 9 12 4 2" xfId="13602"/>
    <cellStyle name="Normal 9 12 4 3" xfId="19453"/>
    <cellStyle name="Normal 9 12 5" xfId="5160"/>
    <cellStyle name="Normal 9 12 5 2" xfId="13603"/>
    <cellStyle name="Normal 9 12 5 3" xfId="19454"/>
    <cellStyle name="Normal 9 12 6" xfId="5161"/>
    <cellStyle name="Normal 9 12 6 2" xfId="13604"/>
    <cellStyle name="Normal 9 12 6 3" xfId="19455"/>
    <cellStyle name="Normal 9 12 7" xfId="5162"/>
    <cellStyle name="Normal 9 12 7 2" xfId="13605"/>
    <cellStyle name="Normal 9 12 7 3" xfId="19456"/>
    <cellStyle name="Normal 9 12 8" xfId="13591"/>
    <cellStyle name="Normal 9 12 9" xfId="19442"/>
    <cellStyle name="Normal 9 12_LNG &amp; LPG rework" xfId="7530"/>
    <cellStyle name="Normal 9 13" xfId="5163"/>
    <cellStyle name="Normal 9 13 2" xfId="5164"/>
    <cellStyle name="Normal 9 13 2 2" xfId="5165"/>
    <cellStyle name="Normal 9 13 2 2 2" xfId="13608"/>
    <cellStyle name="Normal 9 13 2 2 3" xfId="19459"/>
    <cellStyle name="Normal 9 13 2 3" xfId="5166"/>
    <cellStyle name="Normal 9 13 2 3 2" xfId="13609"/>
    <cellStyle name="Normal 9 13 2 3 3" xfId="19460"/>
    <cellStyle name="Normal 9 13 2 4" xfId="5167"/>
    <cellStyle name="Normal 9 13 2 4 2" xfId="13610"/>
    <cellStyle name="Normal 9 13 2 4 3" xfId="19461"/>
    <cellStyle name="Normal 9 13 2 5" xfId="5168"/>
    <cellStyle name="Normal 9 13 2 5 2" xfId="13611"/>
    <cellStyle name="Normal 9 13 2 5 3" xfId="19462"/>
    <cellStyle name="Normal 9 13 2 6" xfId="13607"/>
    <cellStyle name="Normal 9 13 2 7" xfId="19458"/>
    <cellStyle name="Normal 9 13 2_LNG &amp; LPG rework" xfId="7534"/>
    <cellStyle name="Normal 9 13 3" xfId="5169"/>
    <cellStyle name="Normal 9 13 3 2" xfId="5170"/>
    <cellStyle name="Normal 9 13 3 2 2" xfId="13613"/>
    <cellStyle name="Normal 9 13 3 2 3" xfId="19464"/>
    <cellStyle name="Normal 9 13 3 3" xfId="5171"/>
    <cellStyle name="Normal 9 13 3 3 2" xfId="13614"/>
    <cellStyle name="Normal 9 13 3 3 3" xfId="19465"/>
    <cellStyle name="Normal 9 13 3 4" xfId="5172"/>
    <cellStyle name="Normal 9 13 3 4 2" xfId="13615"/>
    <cellStyle name="Normal 9 13 3 4 3" xfId="19466"/>
    <cellStyle name="Normal 9 13 3 5" xfId="5173"/>
    <cellStyle name="Normal 9 13 3 5 2" xfId="13616"/>
    <cellStyle name="Normal 9 13 3 5 3" xfId="19467"/>
    <cellStyle name="Normal 9 13 3 6" xfId="13612"/>
    <cellStyle name="Normal 9 13 3 7" xfId="19463"/>
    <cellStyle name="Normal 9 13 3_LNG &amp; LPG rework" xfId="7535"/>
    <cellStyle name="Normal 9 13 4" xfId="5174"/>
    <cellStyle name="Normal 9 13 4 2" xfId="13617"/>
    <cellStyle name="Normal 9 13 4 3" xfId="19468"/>
    <cellStyle name="Normal 9 13 5" xfId="5175"/>
    <cellStyle name="Normal 9 13 5 2" xfId="13618"/>
    <cellStyle name="Normal 9 13 5 3" xfId="19469"/>
    <cellStyle name="Normal 9 13 6" xfId="5176"/>
    <cellStyle name="Normal 9 13 6 2" xfId="13619"/>
    <cellStyle name="Normal 9 13 6 3" xfId="19470"/>
    <cellStyle name="Normal 9 13 7" xfId="5177"/>
    <cellStyle name="Normal 9 13 7 2" xfId="13620"/>
    <cellStyle name="Normal 9 13 7 3" xfId="19471"/>
    <cellStyle name="Normal 9 13 8" xfId="13606"/>
    <cellStyle name="Normal 9 13 9" xfId="19457"/>
    <cellStyle name="Normal 9 13_LNG &amp; LPG rework" xfId="7533"/>
    <cellStyle name="Normal 9 14" xfId="5178"/>
    <cellStyle name="Normal 9 14 2" xfId="5179"/>
    <cellStyle name="Normal 9 14 2 2" xfId="5180"/>
    <cellStyle name="Normal 9 14 2 2 2" xfId="13623"/>
    <cellStyle name="Normal 9 14 2 2 3" xfId="19474"/>
    <cellStyle name="Normal 9 14 2 3" xfId="5181"/>
    <cellStyle name="Normal 9 14 2 3 2" xfId="13624"/>
    <cellStyle name="Normal 9 14 2 3 3" xfId="19475"/>
    <cellStyle name="Normal 9 14 2 4" xfId="5182"/>
    <cellStyle name="Normal 9 14 2 4 2" xfId="13625"/>
    <cellStyle name="Normal 9 14 2 4 3" xfId="19476"/>
    <cellStyle name="Normal 9 14 2 5" xfId="5183"/>
    <cellStyle name="Normal 9 14 2 5 2" xfId="13626"/>
    <cellStyle name="Normal 9 14 2 5 3" xfId="19477"/>
    <cellStyle name="Normal 9 14 2 6" xfId="13622"/>
    <cellStyle name="Normal 9 14 2 7" xfId="19473"/>
    <cellStyle name="Normal 9 14 2_LNG &amp; LPG rework" xfId="7537"/>
    <cellStyle name="Normal 9 14 3" xfId="5184"/>
    <cellStyle name="Normal 9 14 3 2" xfId="5185"/>
    <cellStyle name="Normal 9 14 3 2 2" xfId="13628"/>
    <cellStyle name="Normal 9 14 3 2 3" xfId="19479"/>
    <cellStyle name="Normal 9 14 3 3" xfId="5186"/>
    <cellStyle name="Normal 9 14 3 3 2" xfId="13629"/>
    <cellStyle name="Normal 9 14 3 3 3" xfId="19480"/>
    <cellStyle name="Normal 9 14 3 4" xfId="5187"/>
    <cellStyle name="Normal 9 14 3 4 2" xfId="13630"/>
    <cellStyle name="Normal 9 14 3 4 3" xfId="19481"/>
    <cellStyle name="Normal 9 14 3 5" xfId="5188"/>
    <cellStyle name="Normal 9 14 3 5 2" xfId="13631"/>
    <cellStyle name="Normal 9 14 3 5 3" xfId="19482"/>
    <cellStyle name="Normal 9 14 3 6" xfId="13627"/>
    <cellStyle name="Normal 9 14 3 7" xfId="19478"/>
    <cellStyle name="Normal 9 14 3_LNG &amp; LPG rework" xfId="7538"/>
    <cellStyle name="Normal 9 14 4" xfId="5189"/>
    <cellStyle name="Normal 9 14 4 2" xfId="13632"/>
    <cellStyle name="Normal 9 14 4 3" xfId="19483"/>
    <cellStyle name="Normal 9 14 5" xfId="5190"/>
    <cellStyle name="Normal 9 14 5 2" xfId="13633"/>
    <cellStyle name="Normal 9 14 5 3" xfId="19484"/>
    <cellStyle name="Normal 9 14 6" xfId="5191"/>
    <cellStyle name="Normal 9 14 6 2" xfId="13634"/>
    <cellStyle name="Normal 9 14 6 3" xfId="19485"/>
    <cellStyle name="Normal 9 14 7" xfId="5192"/>
    <cellStyle name="Normal 9 14 7 2" xfId="13635"/>
    <cellStyle name="Normal 9 14 7 3" xfId="19486"/>
    <cellStyle name="Normal 9 14 8" xfId="13621"/>
    <cellStyle name="Normal 9 14 9" xfId="19472"/>
    <cellStyle name="Normal 9 14_LNG &amp; LPG rework" xfId="7536"/>
    <cellStyle name="Normal 9 15" xfId="5193"/>
    <cellStyle name="Normal 9 15 2" xfId="5194"/>
    <cellStyle name="Normal 9 15 2 2" xfId="5195"/>
    <cellStyle name="Normal 9 15 2 2 2" xfId="13638"/>
    <cellStyle name="Normal 9 15 2 2 3" xfId="19489"/>
    <cellStyle name="Normal 9 15 2 3" xfId="5196"/>
    <cellStyle name="Normal 9 15 2 3 2" xfId="13639"/>
    <cellStyle name="Normal 9 15 2 3 3" xfId="19490"/>
    <cellStyle name="Normal 9 15 2 4" xfId="5197"/>
    <cellStyle name="Normal 9 15 2 4 2" xfId="13640"/>
    <cellStyle name="Normal 9 15 2 4 3" xfId="19491"/>
    <cellStyle name="Normal 9 15 2 5" xfId="5198"/>
    <cellStyle name="Normal 9 15 2 5 2" xfId="13641"/>
    <cellStyle name="Normal 9 15 2 5 3" xfId="19492"/>
    <cellStyle name="Normal 9 15 2 6" xfId="13637"/>
    <cellStyle name="Normal 9 15 2 7" xfId="19488"/>
    <cellStyle name="Normal 9 15 2_LNG &amp; LPG rework" xfId="7540"/>
    <cellStyle name="Normal 9 15 3" xfId="5199"/>
    <cellStyle name="Normal 9 15 3 2" xfId="5200"/>
    <cellStyle name="Normal 9 15 3 2 2" xfId="13643"/>
    <cellStyle name="Normal 9 15 3 2 3" xfId="19494"/>
    <cellStyle name="Normal 9 15 3 3" xfId="5201"/>
    <cellStyle name="Normal 9 15 3 3 2" xfId="13644"/>
    <cellStyle name="Normal 9 15 3 3 3" xfId="19495"/>
    <cellStyle name="Normal 9 15 3 4" xfId="5202"/>
    <cellStyle name="Normal 9 15 3 4 2" xfId="13645"/>
    <cellStyle name="Normal 9 15 3 4 3" xfId="19496"/>
    <cellStyle name="Normal 9 15 3 5" xfId="5203"/>
    <cellStyle name="Normal 9 15 3 5 2" xfId="13646"/>
    <cellStyle name="Normal 9 15 3 5 3" xfId="19497"/>
    <cellStyle name="Normal 9 15 3 6" xfId="13642"/>
    <cellStyle name="Normal 9 15 3 7" xfId="19493"/>
    <cellStyle name="Normal 9 15 3_LNG &amp; LPG rework" xfId="7541"/>
    <cellStyle name="Normal 9 15 4" xfId="5204"/>
    <cellStyle name="Normal 9 15 4 2" xfId="13647"/>
    <cellStyle name="Normal 9 15 4 3" xfId="19498"/>
    <cellStyle name="Normal 9 15 5" xfId="5205"/>
    <cellStyle name="Normal 9 15 5 2" xfId="13648"/>
    <cellStyle name="Normal 9 15 5 3" xfId="19499"/>
    <cellStyle name="Normal 9 15 6" xfId="5206"/>
    <cellStyle name="Normal 9 15 6 2" xfId="13649"/>
    <cellStyle name="Normal 9 15 6 3" xfId="19500"/>
    <cellStyle name="Normal 9 15 7" xfId="5207"/>
    <cellStyle name="Normal 9 15 7 2" xfId="13650"/>
    <cellStyle name="Normal 9 15 7 3" xfId="19501"/>
    <cellStyle name="Normal 9 15 8" xfId="13636"/>
    <cellStyle name="Normal 9 15 9" xfId="19487"/>
    <cellStyle name="Normal 9 15_LNG &amp; LPG rework" xfId="7539"/>
    <cellStyle name="Normal 9 16" xfId="5208"/>
    <cellStyle name="Normal 9 16 2" xfId="5209"/>
    <cellStyle name="Normal 9 16 2 2" xfId="5210"/>
    <cellStyle name="Normal 9 16 2 2 2" xfId="13653"/>
    <cellStyle name="Normal 9 16 2 2 3" xfId="19504"/>
    <cellStyle name="Normal 9 16 2 3" xfId="5211"/>
    <cellStyle name="Normal 9 16 2 3 2" xfId="13654"/>
    <cellStyle name="Normal 9 16 2 3 3" xfId="19505"/>
    <cellStyle name="Normal 9 16 2 4" xfId="5212"/>
    <cellStyle name="Normal 9 16 2 4 2" xfId="13655"/>
    <cellStyle name="Normal 9 16 2 4 3" xfId="19506"/>
    <cellStyle name="Normal 9 16 2 5" xfId="5213"/>
    <cellStyle name="Normal 9 16 2 5 2" xfId="13656"/>
    <cellStyle name="Normal 9 16 2 5 3" xfId="19507"/>
    <cellStyle name="Normal 9 16 2 6" xfId="13652"/>
    <cellStyle name="Normal 9 16 2 7" xfId="19503"/>
    <cellStyle name="Normal 9 16 2_LNG &amp; LPG rework" xfId="7543"/>
    <cellStyle name="Normal 9 16 3" xfId="5214"/>
    <cellStyle name="Normal 9 16 3 2" xfId="5215"/>
    <cellStyle name="Normal 9 16 3 2 2" xfId="13658"/>
    <cellStyle name="Normal 9 16 3 2 3" xfId="19509"/>
    <cellStyle name="Normal 9 16 3 3" xfId="5216"/>
    <cellStyle name="Normal 9 16 3 3 2" xfId="13659"/>
    <cellStyle name="Normal 9 16 3 3 3" xfId="19510"/>
    <cellStyle name="Normal 9 16 3 4" xfId="5217"/>
    <cellStyle name="Normal 9 16 3 4 2" xfId="13660"/>
    <cellStyle name="Normal 9 16 3 4 3" xfId="19511"/>
    <cellStyle name="Normal 9 16 3 5" xfId="5218"/>
    <cellStyle name="Normal 9 16 3 5 2" xfId="13661"/>
    <cellStyle name="Normal 9 16 3 5 3" xfId="19512"/>
    <cellStyle name="Normal 9 16 3 6" xfId="13657"/>
    <cellStyle name="Normal 9 16 3 7" xfId="19508"/>
    <cellStyle name="Normal 9 16 3_LNG &amp; LPG rework" xfId="7544"/>
    <cellStyle name="Normal 9 16 4" xfId="5219"/>
    <cellStyle name="Normal 9 16 4 2" xfId="13662"/>
    <cellStyle name="Normal 9 16 4 3" xfId="19513"/>
    <cellStyle name="Normal 9 16 5" xfId="5220"/>
    <cellStyle name="Normal 9 16 5 2" xfId="13663"/>
    <cellStyle name="Normal 9 16 5 3" xfId="19514"/>
    <cellStyle name="Normal 9 16 6" xfId="5221"/>
    <cellStyle name="Normal 9 16 6 2" xfId="13664"/>
    <cellStyle name="Normal 9 16 6 3" xfId="19515"/>
    <cellStyle name="Normal 9 16 7" xfId="5222"/>
    <cellStyle name="Normal 9 16 7 2" xfId="13665"/>
    <cellStyle name="Normal 9 16 7 3" xfId="19516"/>
    <cellStyle name="Normal 9 16 8" xfId="13651"/>
    <cellStyle name="Normal 9 16 9" xfId="19502"/>
    <cellStyle name="Normal 9 16_LNG &amp; LPG rework" xfId="7542"/>
    <cellStyle name="Normal 9 17" xfId="5223"/>
    <cellStyle name="Normal 9 17 2" xfId="5224"/>
    <cellStyle name="Normal 9 17 2 2" xfId="5225"/>
    <cellStyle name="Normal 9 17 2 2 2" xfId="13668"/>
    <cellStyle name="Normal 9 17 2 2 3" xfId="19519"/>
    <cellStyle name="Normal 9 17 2 3" xfId="5226"/>
    <cellStyle name="Normal 9 17 2 3 2" xfId="13669"/>
    <cellStyle name="Normal 9 17 2 3 3" xfId="19520"/>
    <cellStyle name="Normal 9 17 2 4" xfId="5227"/>
    <cellStyle name="Normal 9 17 2 4 2" xfId="13670"/>
    <cellStyle name="Normal 9 17 2 4 3" xfId="19521"/>
    <cellStyle name="Normal 9 17 2 5" xfId="5228"/>
    <cellStyle name="Normal 9 17 2 5 2" xfId="13671"/>
    <cellStyle name="Normal 9 17 2 5 3" xfId="19522"/>
    <cellStyle name="Normal 9 17 2 6" xfId="13667"/>
    <cellStyle name="Normal 9 17 2 7" xfId="19518"/>
    <cellStyle name="Normal 9 17 2_LNG &amp; LPG rework" xfId="7546"/>
    <cellStyle name="Normal 9 17 3" xfId="5229"/>
    <cellStyle name="Normal 9 17 3 2" xfId="5230"/>
    <cellStyle name="Normal 9 17 3 2 2" xfId="13673"/>
    <cellStyle name="Normal 9 17 3 2 3" xfId="19524"/>
    <cellStyle name="Normal 9 17 3 3" xfId="5231"/>
    <cellStyle name="Normal 9 17 3 3 2" xfId="13674"/>
    <cellStyle name="Normal 9 17 3 3 3" xfId="19525"/>
    <cellStyle name="Normal 9 17 3 4" xfId="5232"/>
    <cellStyle name="Normal 9 17 3 4 2" xfId="13675"/>
    <cellStyle name="Normal 9 17 3 4 3" xfId="19526"/>
    <cellStyle name="Normal 9 17 3 5" xfId="5233"/>
    <cellStyle name="Normal 9 17 3 5 2" xfId="13676"/>
    <cellStyle name="Normal 9 17 3 5 3" xfId="19527"/>
    <cellStyle name="Normal 9 17 3 6" xfId="13672"/>
    <cellStyle name="Normal 9 17 3 7" xfId="19523"/>
    <cellStyle name="Normal 9 17 3_LNG &amp; LPG rework" xfId="7547"/>
    <cellStyle name="Normal 9 17 4" xfId="5234"/>
    <cellStyle name="Normal 9 17 4 2" xfId="13677"/>
    <cellStyle name="Normal 9 17 4 3" xfId="19528"/>
    <cellStyle name="Normal 9 17 5" xfId="5235"/>
    <cellStyle name="Normal 9 17 5 2" xfId="13678"/>
    <cellStyle name="Normal 9 17 5 3" xfId="19529"/>
    <cellStyle name="Normal 9 17 6" xfId="5236"/>
    <cellStyle name="Normal 9 17 6 2" xfId="13679"/>
    <cellStyle name="Normal 9 17 6 3" xfId="19530"/>
    <cellStyle name="Normal 9 17 7" xfId="5237"/>
    <cellStyle name="Normal 9 17 7 2" xfId="13680"/>
    <cellStyle name="Normal 9 17 7 3" xfId="19531"/>
    <cellStyle name="Normal 9 17 8" xfId="13666"/>
    <cellStyle name="Normal 9 17 9" xfId="19517"/>
    <cellStyle name="Normal 9 17_LNG &amp; LPG rework" xfId="7545"/>
    <cellStyle name="Normal 9 18" xfId="5238"/>
    <cellStyle name="Normal 9 18 2" xfId="5239"/>
    <cellStyle name="Normal 9 18 2 2" xfId="5240"/>
    <cellStyle name="Normal 9 18 2 2 2" xfId="13683"/>
    <cellStyle name="Normal 9 18 2 2 3" xfId="19534"/>
    <cellStyle name="Normal 9 18 2 3" xfId="5241"/>
    <cellStyle name="Normal 9 18 2 3 2" xfId="13684"/>
    <cellStyle name="Normal 9 18 2 3 3" xfId="19535"/>
    <cellStyle name="Normal 9 18 2 4" xfId="5242"/>
    <cellStyle name="Normal 9 18 2 4 2" xfId="13685"/>
    <cellStyle name="Normal 9 18 2 4 3" xfId="19536"/>
    <cellStyle name="Normal 9 18 2 5" xfId="5243"/>
    <cellStyle name="Normal 9 18 2 5 2" xfId="13686"/>
    <cellStyle name="Normal 9 18 2 5 3" xfId="19537"/>
    <cellStyle name="Normal 9 18 2 6" xfId="13682"/>
    <cellStyle name="Normal 9 18 2 7" xfId="19533"/>
    <cellStyle name="Normal 9 18 2_LNG &amp; LPG rework" xfId="7549"/>
    <cellStyle name="Normal 9 18 3" xfId="5244"/>
    <cellStyle name="Normal 9 18 3 2" xfId="5245"/>
    <cellStyle name="Normal 9 18 3 2 2" xfId="13688"/>
    <cellStyle name="Normal 9 18 3 2 3" xfId="19539"/>
    <cellStyle name="Normal 9 18 3 3" xfId="5246"/>
    <cellStyle name="Normal 9 18 3 3 2" xfId="13689"/>
    <cellStyle name="Normal 9 18 3 3 3" xfId="19540"/>
    <cellStyle name="Normal 9 18 3 4" xfId="5247"/>
    <cellStyle name="Normal 9 18 3 4 2" xfId="13690"/>
    <cellStyle name="Normal 9 18 3 4 3" xfId="19541"/>
    <cellStyle name="Normal 9 18 3 5" xfId="5248"/>
    <cellStyle name="Normal 9 18 3 5 2" xfId="13691"/>
    <cellStyle name="Normal 9 18 3 5 3" xfId="19542"/>
    <cellStyle name="Normal 9 18 3 6" xfId="13687"/>
    <cellStyle name="Normal 9 18 3 7" xfId="19538"/>
    <cellStyle name="Normal 9 18 3_LNG &amp; LPG rework" xfId="7550"/>
    <cellStyle name="Normal 9 18 4" xfId="5249"/>
    <cellStyle name="Normal 9 18 4 2" xfId="13692"/>
    <cellStyle name="Normal 9 18 4 3" xfId="19543"/>
    <cellStyle name="Normal 9 18 5" xfId="5250"/>
    <cellStyle name="Normal 9 18 5 2" xfId="13693"/>
    <cellStyle name="Normal 9 18 5 3" xfId="19544"/>
    <cellStyle name="Normal 9 18 6" xfId="5251"/>
    <cellStyle name="Normal 9 18 6 2" xfId="13694"/>
    <cellStyle name="Normal 9 18 6 3" xfId="19545"/>
    <cellStyle name="Normal 9 18 7" xfId="5252"/>
    <cellStyle name="Normal 9 18 7 2" xfId="13695"/>
    <cellStyle name="Normal 9 18 7 3" xfId="19546"/>
    <cellStyle name="Normal 9 18 8" xfId="13681"/>
    <cellStyle name="Normal 9 18 9" xfId="19532"/>
    <cellStyle name="Normal 9 18_LNG &amp; LPG rework" xfId="7548"/>
    <cellStyle name="Normal 9 19" xfId="5253"/>
    <cellStyle name="Normal 9 19 2" xfId="5254"/>
    <cellStyle name="Normal 9 19 2 2" xfId="5255"/>
    <cellStyle name="Normal 9 19 2 2 2" xfId="13698"/>
    <cellStyle name="Normal 9 19 2 2 3" xfId="19549"/>
    <cellStyle name="Normal 9 19 2 3" xfId="5256"/>
    <cellStyle name="Normal 9 19 2 3 2" xfId="13699"/>
    <cellStyle name="Normal 9 19 2 3 3" xfId="19550"/>
    <cellStyle name="Normal 9 19 2 4" xfId="5257"/>
    <cellStyle name="Normal 9 19 2 4 2" xfId="13700"/>
    <cellStyle name="Normal 9 19 2 4 3" xfId="19551"/>
    <cellStyle name="Normal 9 19 2 5" xfId="5258"/>
    <cellStyle name="Normal 9 19 2 5 2" xfId="13701"/>
    <cellStyle name="Normal 9 19 2 5 3" xfId="19552"/>
    <cellStyle name="Normal 9 19 2 6" xfId="13697"/>
    <cellStyle name="Normal 9 19 2 7" xfId="19548"/>
    <cellStyle name="Normal 9 19 2_LNG &amp; LPG rework" xfId="7552"/>
    <cellStyle name="Normal 9 19 3" xfId="5259"/>
    <cellStyle name="Normal 9 19 3 2" xfId="5260"/>
    <cellStyle name="Normal 9 19 3 2 2" xfId="13703"/>
    <cellStyle name="Normal 9 19 3 2 3" xfId="19554"/>
    <cellStyle name="Normal 9 19 3 3" xfId="5261"/>
    <cellStyle name="Normal 9 19 3 3 2" xfId="13704"/>
    <cellStyle name="Normal 9 19 3 3 3" xfId="19555"/>
    <cellStyle name="Normal 9 19 3 4" xfId="5262"/>
    <cellStyle name="Normal 9 19 3 4 2" xfId="13705"/>
    <cellStyle name="Normal 9 19 3 4 3" xfId="19556"/>
    <cellStyle name="Normal 9 19 3 5" xfId="5263"/>
    <cellStyle name="Normal 9 19 3 5 2" xfId="13706"/>
    <cellStyle name="Normal 9 19 3 5 3" xfId="19557"/>
    <cellStyle name="Normal 9 19 3 6" xfId="13702"/>
    <cellStyle name="Normal 9 19 3 7" xfId="19553"/>
    <cellStyle name="Normal 9 19 3_LNG &amp; LPG rework" xfId="7553"/>
    <cellStyle name="Normal 9 19 4" xfId="5264"/>
    <cellStyle name="Normal 9 19 4 2" xfId="13707"/>
    <cellStyle name="Normal 9 19 4 3" xfId="19558"/>
    <cellStyle name="Normal 9 19 5" xfId="5265"/>
    <cellStyle name="Normal 9 19 5 2" xfId="13708"/>
    <cellStyle name="Normal 9 19 5 3" xfId="19559"/>
    <cellStyle name="Normal 9 19 6" xfId="5266"/>
    <cellStyle name="Normal 9 19 6 2" xfId="13709"/>
    <cellStyle name="Normal 9 19 6 3" xfId="19560"/>
    <cellStyle name="Normal 9 19 7" xfId="5267"/>
    <cellStyle name="Normal 9 19 7 2" xfId="13710"/>
    <cellStyle name="Normal 9 19 7 3" xfId="19561"/>
    <cellStyle name="Normal 9 19 8" xfId="13696"/>
    <cellStyle name="Normal 9 19 9" xfId="19547"/>
    <cellStyle name="Normal 9 19_LNG &amp; LPG rework" xfId="7551"/>
    <cellStyle name="Normal 9 2" xfId="488"/>
    <cellStyle name="Normal 9 2 10" xfId="5268"/>
    <cellStyle name="Normal 9 2 10 2" xfId="13711"/>
    <cellStyle name="Normal 9 2 10 3" xfId="19563"/>
    <cellStyle name="Normal 9 2 11" xfId="5269"/>
    <cellStyle name="Normal 9 2 11 2" xfId="13712"/>
    <cellStyle name="Normal 9 2 11 3" xfId="19564"/>
    <cellStyle name="Normal 9 2 12" xfId="9308"/>
    <cellStyle name="Normal 9 2 13" xfId="19562"/>
    <cellStyle name="Normal 9 2 2" xfId="489"/>
    <cellStyle name="Normal 9 2 2 10" xfId="5270"/>
    <cellStyle name="Normal 9 2 2 10 2" xfId="13713"/>
    <cellStyle name="Normal 9 2 2 10 3" xfId="19566"/>
    <cellStyle name="Normal 9 2 2 11" xfId="9309"/>
    <cellStyle name="Normal 9 2 2 12" xfId="19565"/>
    <cellStyle name="Normal 9 2 2 2" xfId="490"/>
    <cellStyle name="Normal 9 2 2 2 10" xfId="19567"/>
    <cellStyle name="Normal 9 2 2 2 2" xfId="491"/>
    <cellStyle name="Normal 9 2 2 2 2 2" xfId="5271"/>
    <cellStyle name="Normal 9 2 2 2 2 2 2" xfId="13714"/>
    <cellStyle name="Normal 9 2 2 2 2 2 3" xfId="19569"/>
    <cellStyle name="Normal 9 2 2 2 2 3" xfId="5272"/>
    <cellStyle name="Normal 9 2 2 2 2 3 2" xfId="13715"/>
    <cellStyle name="Normal 9 2 2 2 2 3 3" xfId="19570"/>
    <cellStyle name="Normal 9 2 2 2 2 4" xfId="5273"/>
    <cellStyle name="Normal 9 2 2 2 2 4 2" xfId="13716"/>
    <cellStyle name="Normal 9 2 2 2 2 4 3" xfId="19571"/>
    <cellStyle name="Normal 9 2 2 2 2 5" xfId="5274"/>
    <cellStyle name="Normal 9 2 2 2 2 5 2" xfId="13717"/>
    <cellStyle name="Normal 9 2 2 2 2 5 3" xfId="19572"/>
    <cellStyle name="Normal 9 2 2 2 2 6" xfId="5275"/>
    <cellStyle name="Normal 9 2 2 2 2 6 2" xfId="13718"/>
    <cellStyle name="Normal 9 2 2 2 2 6 3" xfId="19573"/>
    <cellStyle name="Normal 9 2 2 2 2 7" xfId="9311"/>
    <cellStyle name="Normal 9 2 2 2 2 8" xfId="19568"/>
    <cellStyle name="Normal 9 2 2 2 2_LNG &amp; LPG rework" xfId="7557"/>
    <cellStyle name="Normal 9 2 2 2 3" xfId="5276"/>
    <cellStyle name="Normal 9 2 2 2 3 2" xfId="5277"/>
    <cellStyle name="Normal 9 2 2 2 3 2 2" xfId="13720"/>
    <cellStyle name="Normal 9 2 2 2 3 2 3" xfId="19575"/>
    <cellStyle name="Normal 9 2 2 2 3 3" xfId="5278"/>
    <cellStyle name="Normal 9 2 2 2 3 3 2" xfId="13721"/>
    <cellStyle name="Normal 9 2 2 2 3 3 3" xfId="19576"/>
    <cellStyle name="Normal 9 2 2 2 3 4" xfId="5279"/>
    <cellStyle name="Normal 9 2 2 2 3 4 2" xfId="13722"/>
    <cellStyle name="Normal 9 2 2 2 3 4 3" xfId="19577"/>
    <cellStyle name="Normal 9 2 2 2 3 5" xfId="5280"/>
    <cellStyle name="Normal 9 2 2 2 3 5 2" xfId="13723"/>
    <cellStyle name="Normal 9 2 2 2 3 5 3" xfId="19578"/>
    <cellStyle name="Normal 9 2 2 2 3 6" xfId="13719"/>
    <cellStyle name="Normal 9 2 2 2 3 7" xfId="19574"/>
    <cellStyle name="Normal 9 2 2 2 3_LNG &amp; LPG rework" xfId="7558"/>
    <cellStyle name="Normal 9 2 2 2 4" xfId="5281"/>
    <cellStyle name="Normal 9 2 2 2 4 2" xfId="13724"/>
    <cellStyle name="Normal 9 2 2 2 4 3" xfId="19579"/>
    <cellStyle name="Normal 9 2 2 2 5" xfId="5282"/>
    <cellStyle name="Normal 9 2 2 2 5 2" xfId="13725"/>
    <cellStyle name="Normal 9 2 2 2 5 3" xfId="19580"/>
    <cellStyle name="Normal 9 2 2 2 6" xfId="5283"/>
    <cellStyle name="Normal 9 2 2 2 6 2" xfId="13726"/>
    <cellStyle name="Normal 9 2 2 2 6 3" xfId="19581"/>
    <cellStyle name="Normal 9 2 2 2 7" xfId="5284"/>
    <cellStyle name="Normal 9 2 2 2 7 2" xfId="13727"/>
    <cellStyle name="Normal 9 2 2 2 7 3" xfId="19582"/>
    <cellStyle name="Normal 9 2 2 2 8" xfId="5285"/>
    <cellStyle name="Normal 9 2 2 2 8 2" xfId="13728"/>
    <cellStyle name="Normal 9 2 2 2 8 3" xfId="19583"/>
    <cellStyle name="Normal 9 2 2 2 9" xfId="9310"/>
    <cellStyle name="Normal 9 2 2 2_LNG &amp; LPG rework" xfId="7556"/>
    <cellStyle name="Normal 9 2 2 3" xfId="492"/>
    <cellStyle name="Normal 9 2 2 3 2" xfId="5286"/>
    <cellStyle name="Normal 9 2 2 3 2 2" xfId="13729"/>
    <cellStyle name="Normal 9 2 2 3 2 3" xfId="19585"/>
    <cellStyle name="Normal 9 2 2 3 3" xfId="5287"/>
    <cellStyle name="Normal 9 2 2 3 3 2" xfId="13730"/>
    <cellStyle name="Normal 9 2 2 3 3 3" xfId="19586"/>
    <cellStyle name="Normal 9 2 2 3 4" xfId="5288"/>
    <cellStyle name="Normal 9 2 2 3 4 2" xfId="13731"/>
    <cellStyle name="Normal 9 2 2 3 4 3" xfId="19587"/>
    <cellStyle name="Normal 9 2 2 3 5" xfId="5289"/>
    <cellStyle name="Normal 9 2 2 3 5 2" xfId="13732"/>
    <cellStyle name="Normal 9 2 2 3 5 3" xfId="19588"/>
    <cellStyle name="Normal 9 2 2 3 6" xfId="5290"/>
    <cellStyle name="Normal 9 2 2 3 6 2" xfId="13733"/>
    <cellStyle name="Normal 9 2 2 3 6 3" xfId="19589"/>
    <cellStyle name="Normal 9 2 2 3 7" xfId="9312"/>
    <cellStyle name="Normal 9 2 2 3 8" xfId="19584"/>
    <cellStyle name="Normal 9 2 2 3_LNG &amp; LPG rework" xfId="7559"/>
    <cellStyle name="Normal 9 2 2 4" xfId="5291"/>
    <cellStyle name="Normal 9 2 2 4 2" xfId="5292"/>
    <cellStyle name="Normal 9 2 2 4 2 2" xfId="13735"/>
    <cellStyle name="Normal 9 2 2 4 2 3" xfId="19591"/>
    <cellStyle name="Normal 9 2 2 4 3" xfId="5293"/>
    <cellStyle name="Normal 9 2 2 4 3 2" xfId="13736"/>
    <cellStyle name="Normal 9 2 2 4 3 3" xfId="19592"/>
    <cellStyle name="Normal 9 2 2 4 4" xfId="5294"/>
    <cellStyle name="Normal 9 2 2 4 4 2" xfId="13737"/>
    <cellStyle name="Normal 9 2 2 4 4 3" xfId="19593"/>
    <cellStyle name="Normal 9 2 2 4 5" xfId="5295"/>
    <cellStyle name="Normal 9 2 2 4 5 2" xfId="13738"/>
    <cellStyle name="Normal 9 2 2 4 5 3" xfId="19594"/>
    <cellStyle name="Normal 9 2 2 4 6" xfId="13734"/>
    <cellStyle name="Normal 9 2 2 4 7" xfId="19590"/>
    <cellStyle name="Normal 9 2 2 4_LNG &amp; LPG rework" xfId="7560"/>
    <cellStyle name="Normal 9 2 2 5" xfId="5296"/>
    <cellStyle name="Normal 9 2 2 5 2" xfId="5297"/>
    <cellStyle name="Normal 9 2 2 5 2 2" xfId="13740"/>
    <cellStyle name="Normal 9 2 2 5 2 3" xfId="19596"/>
    <cellStyle name="Normal 9 2 2 5 3" xfId="5298"/>
    <cellStyle name="Normal 9 2 2 5 3 2" xfId="13741"/>
    <cellStyle name="Normal 9 2 2 5 3 3" xfId="19597"/>
    <cellStyle name="Normal 9 2 2 5 4" xfId="5299"/>
    <cellStyle name="Normal 9 2 2 5 4 2" xfId="13742"/>
    <cellStyle name="Normal 9 2 2 5 4 3" xfId="19598"/>
    <cellStyle name="Normal 9 2 2 5 5" xfId="5300"/>
    <cellStyle name="Normal 9 2 2 5 5 2" xfId="13743"/>
    <cellStyle name="Normal 9 2 2 5 5 3" xfId="19599"/>
    <cellStyle name="Normal 9 2 2 5 6" xfId="13739"/>
    <cellStyle name="Normal 9 2 2 5 7" xfId="19595"/>
    <cellStyle name="Normal 9 2 2 5_LNG &amp; LPG rework" xfId="7561"/>
    <cellStyle name="Normal 9 2 2 6" xfId="5301"/>
    <cellStyle name="Normal 9 2 2 6 2" xfId="13744"/>
    <cellStyle name="Normal 9 2 2 6 3" xfId="19600"/>
    <cellStyle name="Normal 9 2 2 7" xfId="5302"/>
    <cellStyle name="Normal 9 2 2 7 2" xfId="13745"/>
    <cellStyle name="Normal 9 2 2 7 3" xfId="19601"/>
    <cellStyle name="Normal 9 2 2 8" xfId="5303"/>
    <cellStyle name="Normal 9 2 2 8 2" xfId="13746"/>
    <cellStyle name="Normal 9 2 2 8 3" xfId="19602"/>
    <cellStyle name="Normal 9 2 2 9" xfId="5304"/>
    <cellStyle name="Normal 9 2 2 9 2" xfId="13747"/>
    <cellStyle name="Normal 9 2 2 9 3" xfId="19603"/>
    <cellStyle name="Normal 9 2 2_LNG &amp; LPG rework" xfId="7555"/>
    <cellStyle name="Normal 9 2 3" xfId="493"/>
    <cellStyle name="Normal 9 2 3 10" xfId="19604"/>
    <cellStyle name="Normal 9 2 3 2" xfId="494"/>
    <cellStyle name="Normal 9 2 3 2 2" xfId="5305"/>
    <cellStyle name="Normal 9 2 3 2 2 2" xfId="13748"/>
    <cellStyle name="Normal 9 2 3 2 2 3" xfId="19606"/>
    <cellStyle name="Normal 9 2 3 2 3" xfId="5306"/>
    <cellStyle name="Normal 9 2 3 2 3 2" xfId="13749"/>
    <cellStyle name="Normal 9 2 3 2 3 3" xfId="19607"/>
    <cellStyle name="Normal 9 2 3 2 4" xfId="5307"/>
    <cellStyle name="Normal 9 2 3 2 4 2" xfId="13750"/>
    <cellStyle name="Normal 9 2 3 2 4 3" xfId="19608"/>
    <cellStyle name="Normal 9 2 3 2 5" xfId="5308"/>
    <cellStyle name="Normal 9 2 3 2 5 2" xfId="13751"/>
    <cellStyle name="Normal 9 2 3 2 5 3" xfId="19609"/>
    <cellStyle name="Normal 9 2 3 2 6" xfId="5309"/>
    <cellStyle name="Normal 9 2 3 2 6 2" xfId="13752"/>
    <cellStyle name="Normal 9 2 3 2 6 3" xfId="19610"/>
    <cellStyle name="Normal 9 2 3 2 7" xfId="9314"/>
    <cellStyle name="Normal 9 2 3 2 8" xfId="19605"/>
    <cellStyle name="Normal 9 2 3 2_LNG &amp; LPG rework" xfId="7563"/>
    <cellStyle name="Normal 9 2 3 3" xfId="5310"/>
    <cellStyle name="Normal 9 2 3 3 2" xfId="5311"/>
    <cellStyle name="Normal 9 2 3 3 2 2" xfId="13754"/>
    <cellStyle name="Normal 9 2 3 3 2 3" xfId="19612"/>
    <cellStyle name="Normal 9 2 3 3 3" xfId="5312"/>
    <cellStyle name="Normal 9 2 3 3 3 2" xfId="13755"/>
    <cellStyle name="Normal 9 2 3 3 3 3" xfId="19613"/>
    <cellStyle name="Normal 9 2 3 3 4" xfId="5313"/>
    <cellStyle name="Normal 9 2 3 3 4 2" xfId="13756"/>
    <cellStyle name="Normal 9 2 3 3 4 3" xfId="19614"/>
    <cellStyle name="Normal 9 2 3 3 5" xfId="5314"/>
    <cellStyle name="Normal 9 2 3 3 5 2" xfId="13757"/>
    <cellStyle name="Normal 9 2 3 3 5 3" xfId="19615"/>
    <cellStyle name="Normal 9 2 3 3 6" xfId="13753"/>
    <cellStyle name="Normal 9 2 3 3 7" xfId="19611"/>
    <cellStyle name="Normal 9 2 3 3_LNG &amp; LPG rework" xfId="7564"/>
    <cellStyle name="Normal 9 2 3 4" xfId="5315"/>
    <cellStyle name="Normal 9 2 3 4 2" xfId="13758"/>
    <cellStyle name="Normal 9 2 3 4 3" xfId="19616"/>
    <cellStyle name="Normal 9 2 3 5" xfId="5316"/>
    <cellStyle name="Normal 9 2 3 5 2" xfId="13759"/>
    <cellStyle name="Normal 9 2 3 5 3" xfId="19617"/>
    <cellStyle name="Normal 9 2 3 6" xfId="5317"/>
    <cellStyle name="Normal 9 2 3 6 2" xfId="13760"/>
    <cellStyle name="Normal 9 2 3 6 3" xfId="19618"/>
    <cellStyle name="Normal 9 2 3 7" xfId="5318"/>
    <cellStyle name="Normal 9 2 3 7 2" xfId="13761"/>
    <cellStyle name="Normal 9 2 3 7 3" xfId="19619"/>
    <cellStyle name="Normal 9 2 3 8" xfId="5319"/>
    <cellStyle name="Normal 9 2 3 8 2" xfId="13762"/>
    <cellStyle name="Normal 9 2 3 8 3" xfId="19620"/>
    <cellStyle name="Normal 9 2 3 9" xfId="9313"/>
    <cellStyle name="Normal 9 2 3_LNG &amp; LPG rework" xfId="7562"/>
    <cellStyle name="Normal 9 2 4" xfId="495"/>
    <cellStyle name="Normal 9 2 4 2" xfId="5320"/>
    <cellStyle name="Normal 9 2 4 2 2" xfId="13763"/>
    <cellStyle name="Normal 9 2 4 2 3" xfId="19622"/>
    <cellStyle name="Normal 9 2 4 3" xfId="5321"/>
    <cellStyle name="Normal 9 2 4 3 2" xfId="13764"/>
    <cellStyle name="Normal 9 2 4 3 3" xfId="19623"/>
    <cellStyle name="Normal 9 2 4 4" xfId="5322"/>
    <cellStyle name="Normal 9 2 4 4 2" xfId="13765"/>
    <cellStyle name="Normal 9 2 4 4 3" xfId="19624"/>
    <cellStyle name="Normal 9 2 4 5" xfId="5323"/>
    <cellStyle name="Normal 9 2 4 5 2" xfId="13766"/>
    <cellStyle name="Normal 9 2 4 5 3" xfId="19625"/>
    <cellStyle name="Normal 9 2 4 6" xfId="5324"/>
    <cellStyle name="Normal 9 2 4 6 2" xfId="13767"/>
    <cellStyle name="Normal 9 2 4 6 3" xfId="19626"/>
    <cellStyle name="Normal 9 2 4 7" xfId="9315"/>
    <cellStyle name="Normal 9 2 4 8" xfId="19621"/>
    <cellStyle name="Normal 9 2 4_LNG &amp; LPG rework" xfId="7565"/>
    <cellStyle name="Normal 9 2 5" xfId="5325"/>
    <cellStyle name="Normal 9 2 5 2" xfId="5326"/>
    <cellStyle name="Normal 9 2 5 2 2" xfId="13769"/>
    <cellStyle name="Normal 9 2 5 2 3" xfId="19628"/>
    <cellStyle name="Normal 9 2 5 3" xfId="5327"/>
    <cellStyle name="Normal 9 2 5 3 2" xfId="13770"/>
    <cellStyle name="Normal 9 2 5 3 3" xfId="19629"/>
    <cellStyle name="Normal 9 2 5 4" xfId="5328"/>
    <cellStyle name="Normal 9 2 5 4 2" xfId="13771"/>
    <cellStyle name="Normal 9 2 5 4 3" xfId="19630"/>
    <cellStyle name="Normal 9 2 5 5" xfId="5329"/>
    <cellStyle name="Normal 9 2 5 5 2" xfId="13772"/>
    <cellStyle name="Normal 9 2 5 5 3" xfId="19631"/>
    <cellStyle name="Normal 9 2 5 6" xfId="13768"/>
    <cellStyle name="Normal 9 2 5 7" xfId="19627"/>
    <cellStyle name="Normal 9 2 5_LNG &amp; LPG rework" xfId="7566"/>
    <cellStyle name="Normal 9 2 6" xfId="5330"/>
    <cellStyle name="Normal 9 2 6 2" xfId="5331"/>
    <cellStyle name="Normal 9 2 6 2 2" xfId="13774"/>
    <cellStyle name="Normal 9 2 6 2 3" xfId="19633"/>
    <cellStyle name="Normal 9 2 6 3" xfId="5332"/>
    <cellStyle name="Normal 9 2 6 3 2" xfId="13775"/>
    <cellStyle name="Normal 9 2 6 3 3" xfId="19634"/>
    <cellStyle name="Normal 9 2 6 4" xfId="5333"/>
    <cellStyle name="Normal 9 2 6 4 2" xfId="13776"/>
    <cellStyle name="Normal 9 2 6 4 3" xfId="19635"/>
    <cellStyle name="Normal 9 2 6 5" xfId="5334"/>
    <cellStyle name="Normal 9 2 6 5 2" xfId="13777"/>
    <cellStyle name="Normal 9 2 6 5 3" xfId="19636"/>
    <cellStyle name="Normal 9 2 6 6" xfId="13773"/>
    <cellStyle name="Normal 9 2 6 7" xfId="19632"/>
    <cellStyle name="Normal 9 2 6_LNG &amp; LPG rework" xfId="7567"/>
    <cellStyle name="Normal 9 2 7" xfId="5335"/>
    <cellStyle name="Normal 9 2 7 2" xfId="13778"/>
    <cellStyle name="Normal 9 2 7 3" xfId="19637"/>
    <cellStyle name="Normal 9 2 8" xfId="5336"/>
    <cellStyle name="Normal 9 2 8 2" xfId="13779"/>
    <cellStyle name="Normal 9 2 8 3" xfId="19638"/>
    <cellStyle name="Normal 9 2 9" xfId="5337"/>
    <cellStyle name="Normal 9 2 9 2" xfId="13780"/>
    <cellStyle name="Normal 9 2 9 3" xfId="19639"/>
    <cellStyle name="Normal 9 2_LNG &amp; LPG rework" xfId="7554"/>
    <cellStyle name="Normal 9 20" xfId="5338"/>
    <cellStyle name="Normal 9 20 2" xfId="5339"/>
    <cellStyle name="Normal 9 20 2 2" xfId="5340"/>
    <cellStyle name="Normal 9 20 2 2 2" xfId="13783"/>
    <cellStyle name="Normal 9 20 2 2 3" xfId="19642"/>
    <cellStyle name="Normal 9 20 2 3" xfId="5341"/>
    <cellStyle name="Normal 9 20 2 3 2" xfId="13784"/>
    <cellStyle name="Normal 9 20 2 3 3" xfId="19643"/>
    <cellStyle name="Normal 9 20 2 4" xfId="5342"/>
    <cellStyle name="Normal 9 20 2 4 2" xfId="13785"/>
    <cellStyle name="Normal 9 20 2 4 3" xfId="19644"/>
    <cellStyle name="Normal 9 20 2 5" xfId="5343"/>
    <cellStyle name="Normal 9 20 2 5 2" xfId="13786"/>
    <cellStyle name="Normal 9 20 2 5 3" xfId="19645"/>
    <cellStyle name="Normal 9 20 2 6" xfId="13782"/>
    <cellStyle name="Normal 9 20 2 7" xfId="19641"/>
    <cellStyle name="Normal 9 20 2_LNG &amp; LPG rework" xfId="7569"/>
    <cellStyle name="Normal 9 20 3" xfId="5344"/>
    <cellStyle name="Normal 9 20 3 2" xfId="13787"/>
    <cellStyle name="Normal 9 20 3 3" xfId="19646"/>
    <cellStyle name="Normal 9 20 4" xfId="5345"/>
    <cellStyle name="Normal 9 20 4 2" xfId="13788"/>
    <cellStyle name="Normal 9 20 4 3" xfId="19647"/>
    <cellStyle name="Normal 9 20 5" xfId="5346"/>
    <cellStyle name="Normal 9 20 5 2" xfId="13789"/>
    <cellStyle name="Normal 9 20 5 3" xfId="19648"/>
    <cellStyle name="Normal 9 20 6" xfId="5347"/>
    <cellStyle name="Normal 9 20 6 2" xfId="13790"/>
    <cellStyle name="Normal 9 20 6 3" xfId="19649"/>
    <cellStyle name="Normal 9 20 7" xfId="13781"/>
    <cellStyle name="Normal 9 20 8" xfId="19640"/>
    <cellStyle name="Normal 9 20_LNG &amp; LPG rework" xfId="7568"/>
    <cellStyle name="Normal 9 21" xfId="5348"/>
    <cellStyle name="Normal 9 21 2" xfId="5349"/>
    <cellStyle name="Normal 9 21 2 2" xfId="13792"/>
    <cellStyle name="Normal 9 21 2 3" xfId="19651"/>
    <cellStyle name="Normal 9 21 3" xfId="5350"/>
    <cellStyle name="Normal 9 21 3 2" xfId="13793"/>
    <cellStyle name="Normal 9 21 3 3" xfId="19652"/>
    <cellStyle name="Normal 9 21 4" xfId="5351"/>
    <cellStyle name="Normal 9 21 4 2" xfId="13794"/>
    <cellStyle name="Normal 9 21 4 3" xfId="19653"/>
    <cellStyle name="Normal 9 21 5" xfId="5352"/>
    <cellStyle name="Normal 9 21 5 2" xfId="13795"/>
    <cellStyle name="Normal 9 21 5 3" xfId="19654"/>
    <cellStyle name="Normal 9 21 6" xfId="13791"/>
    <cellStyle name="Normal 9 21 7" xfId="19650"/>
    <cellStyle name="Normal 9 21_LNG &amp; LPG rework" xfId="7570"/>
    <cellStyle name="Normal 9 22" xfId="5353"/>
    <cellStyle name="Normal 9 22 2" xfId="5354"/>
    <cellStyle name="Normal 9 22 2 2" xfId="13797"/>
    <cellStyle name="Normal 9 22 2 3" xfId="19656"/>
    <cellStyle name="Normal 9 22 3" xfId="5355"/>
    <cellStyle name="Normal 9 22 3 2" xfId="13798"/>
    <cellStyle name="Normal 9 22 3 3" xfId="19657"/>
    <cellStyle name="Normal 9 22 4" xfId="5356"/>
    <cellStyle name="Normal 9 22 4 2" xfId="13799"/>
    <cellStyle name="Normal 9 22 4 3" xfId="19658"/>
    <cellStyle name="Normal 9 22 5" xfId="5357"/>
    <cellStyle name="Normal 9 22 5 2" xfId="13800"/>
    <cellStyle name="Normal 9 22 5 3" xfId="19659"/>
    <cellStyle name="Normal 9 22 6" xfId="13796"/>
    <cellStyle name="Normal 9 22 7" xfId="19655"/>
    <cellStyle name="Normal 9 22_LNG &amp; LPG rework" xfId="7571"/>
    <cellStyle name="Normal 9 23" xfId="5358"/>
    <cellStyle name="Normal 9 23 2" xfId="13801"/>
    <cellStyle name="Normal 9 23 3" xfId="19660"/>
    <cellStyle name="Normal 9 24" xfId="5359"/>
    <cellStyle name="Normal 9 24 2" xfId="13802"/>
    <cellStyle name="Normal 9 24 3" xfId="19661"/>
    <cellStyle name="Normal 9 25" xfId="5360"/>
    <cellStyle name="Normal 9 25 2" xfId="13803"/>
    <cellStyle name="Normal 9 25 3" xfId="19662"/>
    <cellStyle name="Normal 9 26" xfId="5361"/>
    <cellStyle name="Normal 9 26 2" xfId="13804"/>
    <cellStyle name="Normal 9 26 3" xfId="19663"/>
    <cellStyle name="Normal 9 27" xfId="5362"/>
    <cellStyle name="Normal 9 27 2" xfId="13805"/>
    <cellStyle name="Normal 9 27 3" xfId="19664"/>
    <cellStyle name="Normal 9 28" xfId="5363"/>
    <cellStyle name="Normal 9 28 2" xfId="13806"/>
    <cellStyle name="Normal 9 28 3" xfId="19665"/>
    <cellStyle name="Normal 9 29" xfId="9307"/>
    <cellStyle name="Normal 9 3" xfId="496"/>
    <cellStyle name="Normal 9 3 10" xfId="5364"/>
    <cellStyle name="Normal 9 3 10 2" xfId="13807"/>
    <cellStyle name="Normal 9 3 10 3" xfId="19667"/>
    <cellStyle name="Normal 9 3 11" xfId="9316"/>
    <cellStyle name="Normal 9 3 12" xfId="19666"/>
    <cellStyle name="Normal 9 3 2" xfId="497"/>
    <cellStyle name="Normal 9 3 2 10" xfId="19668"/>
    <cellStyle name="Normal 9 3 2 2" xfId="498"/>
    <cellStyle name="Normal 9 3 2 2 2" xfId="5365"/>
    <cellStyle name="Normal 9 3 2 2 2 2" xfId="13808"/>
    <cellStyle name="Normal 9 3 2 2 2 3" xfId="19670"/>
    <cellStyle name="Normal 9 3 2 2 3" xfId="5366"/>
    <cellStyle name="Normal 9 3 2 2 3 2" xfId="13809"/>
    <cellStyle name="Normal 9 3 2 2 3 3" xfId="19671"/>
    <cellStyle name="Normal 9 3 2 2 4" xfId="5367"/>
    <cellStyle name="Normal 9 3 2 2 4 2" xfId="13810"/>
    <cellStyle name="Normal 9 3 2 2 4 3" xfId="19672"/>
    <cellStyle name="Normal 9 3 2 2 5" xfId="5368"/>
    <cellStyle name="Normal 9 3 2 2 5 2" xfId="13811"/>
    <cellStyle name="Normal 9 3 2 2 5 3" xfId="19673"/>
    <cellStyle name="Normal 9 3 2 2 6" xfId="5369"/>
    <cellStyle name="Normal 9 3 2 2 6 2" xfId="13812"/>
    <cellStyle name="Normal 9 3 2 2 6 3" xfId="19674"/>
    <cellStyle name="Normal 9 3 2 2 7" xfId="9318"/>
    <cellStyle name="Normal 9 3 2 2 8" xfId="19669"/>
    <cellStyle name="Normal 9 3 2 2_LNG &amp; LPG rework" xfId="7574"/>
    <cellStyle name="Normal 9 3 2 3" xfId="5370"/>
    <cellStyle name="Normal 9 3 2 3 2" xfId="5371"/>
    <cellStyle name="Normal 9 3 2 3 2 2" xfId="13814"/>
    <cellStyle name="Normal 9 3 2 3 2 3" xfId="19676"/>
    <cellStyle name="Normal 9 3 2 3 3" xfId="5372"/>
    <cellStyle name="Normal 9 3 2 3 3 2" xfId="13815"/>
    <cellStyle name="Normal 9 3 2 3 3 3" xfId="19677"/>
    <cellStyle name="Normal 9 3 2 3 4" xfId="5373"/>
    <cellStyle name="Normal 9 3 2 3 4 2" xfId="13816"/>
    <cellStyle name="Normal 9 3 2 3 4 3" xfId="19678"/>
    <cellStyle name="Normal 9 3 2 3 5" xfId="5374"/>
    <cellStyle name="Normal 9 3 2 3 5 2" xfId="13817"/>
    <cellStyle name="Normal 9 3 2 3 5 3" xfId="19679"/>
    <cellStyle name="Normal 9 3 2 3 6" xfId="13813"/>
    <cellStyle name="Normal 9 3 2 3 7" xfId="19675"/>
    <cellStyle name="Normal 9 3 2 3_LNG &amp; LPG rework" xfId="7575"/>
    <cellStyle name="Normal 9 3 2 4" xfId="5375"/>
    <cellStyle name="Normal 9 3 2 4 2" xfId="13818"/>
    <cellStyle name="Normal 9 3 2 4 3" xfId="19680"/>
    <cellStyle name="Normal 9 3 2 5" xfId="5376"/>
    <cellStyle name="Normal 9 3 2 5 2" xfId="13819"/>
    <cellStyle name="Normal 9 3 2 5 3" xfId="19681"/>
    <cellStyle name="Normal 9 3 2 6" xfId="5377"/>
    <cellStyle name="Normal 9 3 2 6 2" xfId="13820"/>
    <cellStyle name="Normal 9 3 2 6 3" xfId="19682"/>
    <cellStyle name="Normal 9 3 2 7" xfId="5378"/>
    <cellStyle name="Normal 9 3 2 7 2" xfId="13821"/>
    <cellStyle name="Normal 9 3 2 7 3" xfId="19683"/>
    <cellStyle name="Normal 9 3 2 8" xfId="5379"/>
    <cellStyle name="Normal 9 3 2 8 2" xfId="13822"/>
    <cellStyle name="Normal 9 3 2 8 3" xfId="19684"/>
    <cellStyle name="Normal 9 3 2 9" xfId="9317"/>
    <cellStyle name="Normal 9 3 2_LNG &amp; LPG rework" xfId="7573"/>
    <cellStyle name="Normal 9 3 3" xfId="499"/>
    <cellStyle name="Normal 9 3 3 2" xfId="5380"/>
    <cellStyle name="Normal 9 3 3 2 2" xfId="13823"/>
    <cellStyle name="Normal 9 3 3 2 3" xfId="19686"/>
    <cellStyle name="Normal 9 3 3 3" xfId="5381"/>
    <cellStyle name="Normal 9 3 3 3 2" xfId="13824"/>
    <cellStyle name="Normal 9 3 3 3 3" xfId="19687"/>
    <cellStyle name="Normal 9 3 3 4" xfId="5382"/>
    <cellStyle name="Normal 9 3 3 4 2" xfId="13825"/>
    <cellStyle name="Normal 9 3 3 4 3" xfId="19688"/>
    <cellStyle name="Normal 9 3 3 5" xfId="5383"/>
    <cellStyle name="Normal 9 3 3 5 2" xfId="13826"/>
    <cellStyle name="Normal 9 3 3 5 3" xfId="19689"/>
    <cellStyle name="Normal 9 3 3 6" xfId="5384"/>
    <cellStyle name="Normal 9 3 3 6 2" xfId="13827"/>
    <cellStyle name="Normal 9 3 3 6 3" xfId="19690"/>
    <cellStyle name="Normal 9 3 3 7" xfId="9319"/>
    <cellStyle name="Normal 9 3 3 8" xfId="19685"/>
    <cellStyle name="Normal 9 3 3_LNG &amp; LPG rework" xfId="7576"/>
    <cellStyle name="Normal 9 3 4" xfId="5385"/>
    <cellStyle name="Normal 9 3 4 2" xfId="5386"/>
    <cellStyle name="Normal 9 3 4 2 2" xfId="13829"/>
    <cellStyle name="Normal 9 3 4 2 3" xfId="19692"/>
    <cellStyle name="Normal 9 3 4 3" xfId="5387"/>
    <cellStyle name="Normal 9 3 4 3 2" xfId="13830"/>
    <cellStyle name="Normal 9 3 4 3 3" xfId="19693"/>
    <cellStyle name="Normal 9 3 4 4" xfId="5388"/>
    <cellStyle name="Normal 9 3 4 4 2" xfId="13831"/>
    <cellStyle name="Normal 9 3 4 4 3" xfId="19694"/>
    <cellStyle name="Normal 9 3 4 5" xfId="5389"/>
    <cellStyle name="Normal 9 3 4 5 2" xfId="13832"/>
    <cellStyle name="Normal 9 3 4 5 3" xfId="19695"/>
    <cellStyle name="Normal 9 3 4 6" xfId="13828"/>
    <cellStyle name="Normal 9 3 4 7" xfId="19691"/>
    <cellStyle name="Normal 9 3 4_LNG &amp; LPG rework" xfId="7577"/>
    <cellStyle name="Normal 9 3 5" xfId="5390"/>
    <cellStyle name="Normal 9 3 5 2" xfId="5391"/>
    <cellStyle name="Normal 9 3 5 2 2" xfId="13834"/>
    <cellStyle name="Normal 9 3 5 2 3" xfId="19697"/>
    <cellStyle name="Normal 9 3 5 3" xfId="5392"/>
    <cellStyle name="Normal 9 3 5 3 2" xfId="13835"/>
    <cellStyle name="Normal 9 3 5 3 3" xfId="19698"/>
    <cellStyle name="Normal 9 3 5 4" xfId="5393"/>
    <cellStyle name="Normal 9 3 5 4 2" xfId="13836"/>
    <cellStyle name="Normal 9 3 5 4 3" xfId="19699"/>
    <cellStyle name="Normal 9 3 5 5" xfId="5394"/>
    <cellStyle name="Normal 9 3 5 5 2" xfId="13837"/>
    <cellStyle name="Normal 9 3 5 5 3" xfId="19700"/>
    <cellStyle name="Normal 9 3 5 6" xfId="13833"/>
    <cellStyle name="Normal 9 3 5 7" xfId="19696"/>
    <cellStyle name="Normal 9 3 5_LNG &amp; LPG rework" xfId="7578"/>
    <cellStyle name="Normal 9 3 6" xfId="5395"/>
    <cellStyle name="Normal 9 3 6 2" xfId="13838"/>
    <cellStyle name="Normal 9 3 6 3" xfId="19701"/>
    <cellStyle name="Normal 9 3 7" xfId="5396"/>
    <cellStyle name="Normal 9 3 7 2" xfId="13839"/>
    <cellStyle name="Normal 9 3 7 3" xfId="19702"/>
    <cellStyle name="Normal 9 3 8" xfId="5397"/>
    <cellStyle name="Normal 9 3 8 2" xfId="13840"/>
    <cellStyle name="Normal 9 3 8 3" xfId="19703"/>
    <cellStyle name="Normal 9 3 9" xfId="5398"/>
    <cellStyle name="Normal 9 3 9 2" xfId="13841"/>
    <cellStyle name="Normal 9 3 9 3" xfId="19704"/>
    <cellStyle name="Normal 9 3_LNG &amp; LPG rework" xfId="7572"/>
    <cellStyle name="Normal 9 30" xfId="14939"/>
    <cellStyle name="Normal 9 4" xfId="500"/>
    <cellStyle name="Normal 9 4 10" xfId="19705"/>
    <cellStyle name="Normal 9 4 2" xfId="501"/>
    <cellStyle name="Normal 9 4 2 2" xfId="5399"/>
    <cellStyle name="Normal 9 4 2 2 2" xfId="13842"/>
    <cellStyle name="Normal 9 4 2 2 3" xfId="19707"/>
    <cellStyle name="Normal 9 4 2 3" xfId="5400"/>
    <cellStyle name="Normal 9 4 2 3 2" xfId="13843"/>
    <cellStyle name="Normal 9 4 2 3 3" xfId="19708"/>
    <cellStyle name="Normal 9 4 2 4" xfId="5401"/>
    <cellStyle name="Normal 9 4 2 4 2" xfId="13844"/>
    <cellStyle name="Normal 9 4 2 4 3" xfId="19709"/>
    <cellStyle name="Normal 9 4 2 5" xfId="5402"/>
    <cellStyle name="Normal 9 4 2 5 2" xfId="13845"/>
    <cellStyle name="Normal 9 4 2 5 3" xfId="19710"/>
    <cellStyle name="Normal 9 4 2 6" xfId="5403"/>
    <cellStyle name="Normal 9 4 2 6 2" xfId="13846"/>
    <cellStyle name="Normal 9 4 2 6 3" xfId="19711"/>
    <cellStyle name="Normal 9 4 2 7" xfId="9321"/>
    <cellStyle name="Normal 9 4 2 8" xfId="19706"/>
    <cellStyle name="Normal 9 4 2_LNG &amp; LPG rework" xfId="7580"/>
    <cellStyle name="Normal 9 4 3" xfId="5404"/>
    <cellStyle name="Normal 9 4 3 2" xfId="5405"/>
    <cellStyle name="Normal 9 4 3 2 2" xfId="13848"/>
    <cellStyle name="Normal 9 4 3 2 3" xfId="19713"/>
    <cellStyle name="Normal 9 4 3 3" xfId="5406"/>
    <cellStyle name="Normal 9 4 3 3 2" xfId="13849"/>
    <cellStyle name="Normal 9 4 3 3 3" xfId="19714"/>
    <cellStyle name="Normal 9 4 3 4" xfId="5407"/>
    <cellStyle name="Normal 9 4 3 4 2" xfId="13850"/>
    <cellStyle name="Normal 9 4 3 4 3" xfId="19715"/>
    <cellStyle name="Normal 9 4 3 5" xfId="5408"/>
    <cellStyle name="Normal 9 4 3 5 2" xfId="13851"/>
    <cellStyle name="Normal 9 4 3 5 3" xfId="19716"/>
    <cellStyle name="Normal 9 4 3 6" xfId="13847"/>
    <cellStyle name="Normal 9 4 3 7" xfId="19712"/>
    <cellStyle name="Normal 9 4 3_LNG &amp; LPG rework" xfId="7581"/>
    <cellStyle name="Normal 9 4 4" xfId="5409"/>
    <cellStyle name="Normal 9 4 4 2" xfId="13852"/>
    <cellStyle name="Normal 9 4 4 3" xfId="19717"/>
    <cellStyle name="Normal 9 4 5" xfId="5410"/>
    <cellStyle name="Normal 9 4 5 2" xfId="13853"/>
    <cellStyle name="Normal 9 4 5 3" xfId="19718"/>
    <cellStyle name="Normal 9 4 6" xfId="5411"/>
    <cellStyle name="Normal 9 4 6 2" xfId="13854"/>
    <cellStyle name="Normal 9 4 6 3" xfId="19719"/>
    <cellStyle name="Normal 9 4 7" xfId="5412"/>
    <cellStyle name="Normal 9 4 7 2" xfId="13855"/>
    <cellStyle name="Normal 9 4 7 3" xfId="19720"/>
    <cellStyle name="Normal 9 4 8" xfId="5413"/>
    <cellStyle name="Normal 9 4 8 2" xfId="13856"/>
    <cellStyle name="Normal 9 4 8 3" xfId="19721"/>
    <cellStyle name="Normal 9 4 9" xfId="9320"/>
    <cellStyle name="Normal 9 4_LNG &amp; LPG rework" xfId="7579"/>
    <cellStyle name="Normal 9 5" xfId="502"/>
    <cellStyle name="Normal 9 5 10" xfId="19722"/>
    <cellStyle name="Normal 9 5 2" xfId="5414"/>
    <cellStyle name="Normal 9 5 2 2" xfId="5415"/>
    <cellStyle name="Normal 9 5 2 2 2" xfId="13858"/>
    <cellStyle name="Normal 9 5 2 2 3" xfId="19724"/>
    <cellStyle name="Normal 9 5 2 3" xfId="5416"/>
    <cellStyle name="Normal 9 5 2 3 2" xfId="13859"/>
    <cellStyle name="Normal 9 5 2 3 3" xfId="19725"/>
    <cellStyle name="Normal 9 5 2 4" xfId="5417"/>
    <cellStyle name="Normal 9 5 2 4 2" xfId="13860"/>
    <cellStyle name="Normal 9 5 2 4 3" xfId="19726"/>
    <cellStyle name="Normal 9 5 2 5" xfId="5418"/>
    <cellStyle name="Normal 9 5 2 5 2" xfId="13861"/>
    <cellStyle name="Normal 9 5 2 5 3" xfId="19727"/>
    <cellStyle name="Normal 9 5 2 6" xfId="13857"/>
    <cellStyle name="Normal 9 5 2 7" xfId="19723"/>
    <cellStyle name="Normal 9 5 2_LNG &amp; LPG rework" xfId="7583"/>
    <cellStyle name="Normal 9 5 3" xfId="5419"/>
    <cellStyle name="Normal 9 5 3 2" xfId="5420"/>
    <cellStyle name="Normal 9 5 3 2 2" xfId="13863"/>
    <cellStyle name="Normal 9 5 3 2 3" xfId="19729"/>
    <cellStyle name="Normal 9 5 3 3" xfId="5421"/>
    <cellStyle name="Normal 9 5 3 3 2" xfId="13864"/>
    <cellStyle name="Normal 9 5 3 3 3" xfId="19730"/>
    <cellStyle name="Normal 9 5 3 4" xfId="5422"/>
    <cellStyle name="Normal 9 5 3 4 2" xfId="13865"/>
    <cellStyle name="Normal 9 5 3 4 3" xfId="19731"/>
    <cellStyle name="Normal 9 5 3 5" xfId="5423"/>
    <cellStyle name="Normal 9 5 3 5 2" xfId="13866"/>
    <cellStyle name="Normal 9 5 3 5 3" xfId="19732"/>
    <cellStyle name="Normal 9 5 3 6" xfId="13862"/>
    <cellStyle name="Normal 9 5 3 7" xfId="19728"/>
    <cellStyle name="Normal 9 5 3_LNG &amp; LPG rework" xfId="7584"/>
    <cellStyle name="Normal 9 5 4" xfId="5424"/>
    <cellStyle name="Normal 9 5 4 2" xfId="13867"/>
    <cellStyle name="Normal 9 5 4 3" xfId="19733"/>
    <cellStyle name="Normal 9 5 5" xfId="5425"/>
    <cellStyle name="Normal 9 5 5 2" xfId="13868"/>
    <cellStyle name="Normal 9 5 5 3" xfId="19734"/>
    <cellStyle name="Normal 9 5 6" xfId="5426"/>
    <cellStyle name="Normal 9 5 6 2" xfId="13869"/>
    <cellStyle name="Normal 9 5 6 3" xfId="19735"/>
    <cellStyle name="Normal 9 5 7" xfId="5427"/>
    <cellStyle name="Normal 9 5 7 2" xfId="13870"/>
    <cellStyle name="Normal 9 5 7 3" xfId="19736"/>
    <cellStyle name="Normal 9 5 8" xfId="5428"/>
    <cellStyle name="Normal 9 5 8 2" xfId="13871"/>
    <cellStyle name="Normal 9 5 8 3" xfId="19737"/>
    <cellStyle name="Normal 9 5 9" xfId="9322"/>
    <cellStyle name="Normal 9 5_LNG &amp; LPG rework" xfId="7582"/>
    <cellStyle name="Normal 9 6" xfId="5429"/>
    <cellStyle name="Normal 9 7" xfId="5430"/>
    <cellStyle name="Normal 9 7 2" xfId="5431"/>
    <cellStyle name="Normal 9 7 2 2" xfId="5432"/>
    <cellStyle name="Normal 9 7 2 2 2" xfId="13874"/>
    <cellStyle name="Normal 9 7 2 2 3" xfId="19740"/>
    <cellStyle name="Normal 9 7 2 3" xfId="5433"/>
    <cellStyle name="Normal 9 7 2 3 2" xfId="13875"/>
    <cellStyle name="Normal 9 7 2 3 3" xfId="19741"/>
    <cellStyle name="Normal 9 7 2 4" xfId="5434"/>
    <cellStyle name="Normal 9 7 2 4 2" xfId="13876"/>
    <cellStyle name="Normal 9 7 2 4 3" xfId="19742"/>
    <cellStyle name="Normal 9 7 2 5" xfId="5435"/>
    <cellStyle name="Normal 9 7 2 5 2" xfId="13877"/>
    <cellStyle name="Normal 9 7 2 5 3" xfId="19743"/>
    <cellStyle name="Normal 9 7 2 6" xfId="13873"/>
    <cellStyle name="Normal 9 7 2 7" xfId="19739"/>
    <cellStyle name="Normal 9 7 2_LNG &amp; LPG rework" xfId="7586"/>
    <cellStyle name="Normal 9 7 3" xfId="5436"/>
    <cellStyle name="Normal 9 7 3 2" xfId="5437"/>
    <cellStyle name="Normal 9 7 3 2 2" xfId="13879"/>
    <cellStyle name="Normal 9 7 3 2 3" xfId="19745"/>
    <cellStyle name="Normal 9 7 3 3" xfId="5438"/>
    <cellStyle name="Normal 9 7 3 3 2" xfId="13880"/>
    <cellStyle name="Normal 9 7 3 3 3" xfId="19746"/>
    <cellStyle name="Normal 9 7 3 4" xfId="5439"/>
    <cellStyle name="Normal 9 7 3 4 2" xfId="13881"/>
    <cellStyle name="Normal 9 7 3 4 3" xfId="19747"/>
    <cellStyle name="Normal 9 7 3 5" xfId="5440"/>
    <cellStyle name="Normal 9 7 3 5 2" xfId="13882"/>
    <cellStyle name="Normal 9 7 3 5 3" xfId="19748"/>
    <cellStyle name="Normal 9 7 3 6" xfId="13878"/>
    <cellStyle name="Normal 9 7 3 7" xfId="19744"/>
    <cellStyle name="Normal 9 7 3_LNG &amp; LPG rework" xfId="7587"/>
    <cellStyle name="Normal 9 7 4" xfId="5441"/>
    <cellStyle name="Normal 9 7 4 2" xfId="13883"/>
    <cellStyle name="Normal 9 7 4 3" xfId="19749"/>
    <cellStyle name="Normal 9 7 5" xfId="5442"/>
    <cellStyle name="Normal 9 7 5 2" xfId="13884"/>
    <cellStyle name="Normal 9 7 5 3" xfId="19750"/>
    <cellStyle name="Normal 9 7 6" xfId="5443"/>
    <cellStyle name="Normal 9 7 6 2" xfId="13885"/>
    <cellStyle name="Normal 9 7 6 3" xfId="19751"/>
    <cellStyle name="Normal 9 7 7" xfId="5444"/>
    <cellStyle name="Normal 9 7 7 2" xfId="13886"/>
    <cellStyle name="Normal 9 7 7 3" xfId="19752"/>
    <cellStyle name="Normal 9 7 8" xfId="13872"/>
    <cellStyle name="Normal 9 7 9" xfId="19738"/>
    <cellStyle name="Normal 9 7_LNG &amp; LPG rework" xfId="7585"/>
    <cellStyle name="Normal 9 8" xfId="5445"/>
    <cellStyle name="Normal 9 8 2" xfId="5446"/>
    <cellStyle name="Normal 9 8 2 2" xfId="5447"/>
    <cellStyle name="Normal 9 8 2 2 2" xfId="13889"/>
    <cellStyle name="Normal 9 8 2 2 3" xfId="19755"/>
    <cellStyle name="Normal 9 8 2 3" xfId="5448"/>
    <cellStyle name="Normal 9 8 2 3 2" xfId="13890"/>
    <cellStyle name="Normal 9 8 2 3 3" xfId="19756"/>
    <cellStyle name="Normal 9 8 2 4" xfId="5449"/>
    <cellStyle name="Normal 9 8 2 4 2" xfId="13891"/>
    <cellStyle name="Normal 9 8 2 4 3" xfId="19757"/>
    <cellStyle name="Normal 9 8 2 5" xfId="5450"/>
    <cellStyle name="Normal 9 8 2 5 2" xfId="13892"/>
    <cellStyle name="Normal 9 8 2 5 3" xfId="19758"/>
    <cellStyle name="Normal 9 8 2 6" xfId="13888"/>
    <cellStyle name="Normal 9 8 2 7" xfId="19754"/>
    <cellStyle name="Normal 9 8 2_LNG &amp; LPG rework" xfId="7589"/>
    <cellStyle name="Normal 9 8 3" xfId="5451"/>
    <cellStyle name="Normal 9 8 3 2" xfId="5452"/>
    <cellStyle name="Normal 9 8 3 2 2" xfId="13894"/>
    <cellStyle name="Normal 9 8 3 2 3" xfId="19760"/>
    <cellStyle name="Normal 9 8 3 3" xfId="5453"/>
    <cellStyle name="Normal 9 8 3 3 2" xfId="13895"/>
    <cellStyle name="Normal 9 8 3 3 3" xfId="19761"/>
    <cellStyle name="Normal 9 8 3 4" xfId="5454"/>
    <cellStyle name="Normal 9 8 3 4 2" xfId="13896"/>
    <cellStyle name="Normal 9 8 3 4 3" xfId="19762"/>
    <cellStyle name="Normal 9 8 3 5" xfId="5455"/>
    <cellStyle name="Normal 9 8 3 5 2" xfId="13897"/>
    <cellStyle name="Normal 9 8 3 5 3" xfId="19763"/>
    <cellStyle name="Normal 9 8 3 6" xfId="13893"/>
    <cellStyle name="Normal 9 8 3 7" xfId="19759"/>
    <cellStyle name="Normal 9 8 3_LNG &amp; LPG rework" xfId="7590"/>
    <cellStyle name="Normal 9 8 4" xfId="5456"/>
    <cellStyle name="Normal 9 8 4 2" xfId="13898"/>
    <cellStyle name="Normal 9 8 4 3" xfId="19764"/>
    <cellStyle name="Normal 9 8 5" xfId="5457"/>
    <cellStyle name="Normal 9 8 5 2" xfId="13899"/>
    <cellStyle name="Normal 9 8 5 3" xfId="19765"/>
    <cellStyle name="Normal 9 8 6" xfId="5458"/>
    <cellStyle name="Normal 9 8 6 2" xfId="13900"/>
    <cellStyle name="Normal 9 8 6 3" xfId="19766"/>
    <cellStyle name="Normal 9 8 7" xfId="5459"/>
    <cellStyle name="Normal 9 8 7 2" xfId="13901"/>
    <cellStyle name="Normal 9 8 7 3" xfId="19767"/>
    <cellStyle name="Normal 9 8 8" xfId="13887"/>
    <cellStyle name="Normal 9 8 9" xfId="19753"/>
    <cellStyle name="Normal 9 8_LNG &amp; LPG rework" xfId="7588"/>
    <cellStyle name="Normal 9 9" xfId="5460"/>
    <cellStyle name="Normal 9 9 2" xfId="5461"/>
    <cellStyle name="Normal 9 9 2 2" xfId="5462"/>
    <cellStyle name="Normal 9 9 2 2 2" xfId="13904"/>
    <cellStyle name="Normal 9 9 2 2 3" xfId="19770"/>
    <cellStyle name="Normal 9 9 2 3" xfId="5463"/>
    <cellStyle name="Normal 9 9 2 3 2" xfId="13905"/>
    <cellStyle name="Normal 9 9 2 3 3" xfId="19771"/>
    <cellStyle name="Normal 9 9 2 4" xfId="5464"/>
    <cellStyle name="Normal 9 9 2 4 2" xfId="13906"/>
    <cellStyle name="Normal 9 9 2 4 3" xfId="19772"/>
    <cellStyle name="Normal 9 9 2 5" xfId="5465"/>
    <cellStyle name="Normal 9 9 2 5 2" xfId="13907"/>
    <cellStyle name="Normal 9 9 2 5 3" xfId="19773"/>
    <cellStyle name="Normal 9 9 2 6" xfId="13903"/>
    <cellStyle name="Normal 9 9 2 7" xfId="19769"/>
    <cellStyle name="Normal 9 9 2_LNG &amp; LPG rework" xfId="7592"/>
    <cellStyle name="Normal 9 9 3" xfId="5466"/>
    <cellStyle name="Normal 9 9 3 2" xfId="5467"/>
    <cellStyle name="Normal 9 9 3 2 2" xfId="13909"/>
    <cellStyle name="Normal 9 9 3 2 3" xfId="19775"/>
    <cellStyle name="Normal 9 9 3 3" xfId="5468"/>
    <cellStyle name="Normal 9 9 3 3 2" xfId="13910"/>
    <cellStyle name="Normal 9 9 3 3 3" xfId="19776"/>
    <cellStyle name="Normal 9 9 3 4" xfId="5469"/>
    <cellStyle name="Normal 9 9 3 4 2" xfId="13911"/>
    <cellStyle name="Normal 9 9 3 4 3" xfId="19777"/>
    <cellStyle name="Normal 9 9 3 5" xfId="5470"/>
    <cellStyle name="Normal 9 9 3 5 2" xfId="13912"/>
    <cellStyle name="Normal 9 9 3 5 3" xfId="19778"/>
    <cellStyle name="Normal 9 9 3 6" xfId="13908"/>
    <cellStyle name="Normal 9 9 3 7" xfId="19774"/>
    <cellStyle name="Normal 9 9 3_LNG &amp; LPG rework" xfId="7593"/>
    <cellStyle name="Normal 9 9 4" xfId="5471"/>
    <cellStyle name="Normal 9 9 4 2" xfId="13913"/>
    <cellStyle name="Normal 9 9 4 3" xfId="19779"/>
    <cellStyle name="Normal 9 9 5" xfId="5472"/>
    <cellStyle name="Normal 9 9 5 2" xfId="13914"/>
    <cellStyle name="Normal 9 9 5 3" xfId="19780"/>
    <cellStyle name="Normal 9 9 6" xfId="5473"/>
    <cellStyle name="Normal 9 9 6 2" xfId="13915"/>
    <cellStyle name="Normal 9 9 6 3" xfId="19781"/>
    <cellStyle name="Normal 9 9 7" xfId="5474"/>
    <cellStyle name="Normal 9 9 7 2" xfId="13916"/>
    <cellStyle name="Normal 9 9 7 3" xfId="19782"/>
    <cellStyle name="Normal 9 9 8" xfId="13902"/>
    <cellStyle name="Normal 9 9 9" xfId="19768"/>
    <cellStyle name="Normal 9 9_LNG &amp; LPG rework" xfId="7591"/>
    <cellStyle name="Normal 9_2015  Data" xfId="503"/>
    <cellStyle name="Normal 90" xfId="5475"/>
    <cellStyle name="Normal 90 2" xfId="5476"/>
    <cellStyle name="Normal 90 3" xfId="5477"/>
    <cellStyle name="Normal 90_LNG &amp; LPG rework" xfId="7594"/>
    <cellStyle name="Normal 91" xfId="5478"/>
    <cellStyle name="Normal 91 2" xfId="5479"/>
    <cellStyle name="Normal 91 3" xfId="5480"/>
    <cellStyle name="Normal 91_LNG &amp; LPG rework" xfId="7595"/>
    <cellStyle name="Normal 92" xfId="5481"/>
    <cellStyle name="Normal 92 2" xfId="5482"/>
    <cellStyle name="Normal 92 3" xfId="5483"/>
    <cellStyle name="Normal 92_LNG &amp; LPG rework" xfId="7596"/>
    <cellStyle name="Normal 93" xfId="5484"/>
    <cellStyle name="Normal 93 2" xfId="5485"/>
    <cellStyle name="Normal 93_LNG &amp; LPG rework" xfId="7597"/>
    <cellStyle name="Normal 94" xfId="5486"/>
    <cellStyle name="Normal 94 2" xfId="5487"/>
    <cellStyle name="Normal 94_LNG &amp; LPG rework" xfId="7598"/>
    <cellStyle name="Normal 95" xfId="5488"/>
    <cellStyle name="Normal 95 2" xfId="5489"/>
    <cellStyle name="Normal 95_LNG &amp; LPG rework" xfId="7599"/>
    <cellStyle name="Normal 96" xfId="5490"/>
    <cellStyle name="Normal 96 2" xfId="5491"/>
    <cellStyle name="Normal 96 2 2" xfId="13917"/>
    <cellStyle name="Normal 96 2 3" xfId="19783"/>
    <cellStyle name="Normal 96_LNG &amp; LPG rework" xfId="7600"/>
    <cellStyle name="Normal 97" xfId="5492"/>
    <cellStyle name="Normal 97 2" xfId="5493"/>
    <cellStyle name="Normal 97 2 2" xfId="13918"/>
    <cellStyle name="Normal 97 2 3" xfId="19784"/>
    <cellStyle name="Normal 97_LNG &amp; LPG rework" xfId="7601"/>
    <cellStyle name="Normal 98" xfId="5494"/>
    <cellStyle name="Normal 98 2" xfId="5495"/>
    <cellStyle name="Normal 98 2 2" xfId="13919"/>
    <cellStyle name="Normal 98 2 3" xfId="19785"/>
    <cellStyle name="Normal 98_LNG &amp; LPG rework" xfId="7602"/>
    <cellStyle name="Normal 99" xfId="5496"/>
    <cellStyle name="Normal 99 2" xfId="5497"/>
    <cellStyle name="Normal 99 2 2" xfId="13920"/>
    <cellStyle name="Normal 99 2 3" xfId="19786"/>
    <cellStyle name="Normal 99_LNG &amp; LPG rework" xfId="7603"/>
    <cellStyle name="Note" xfId="6391" builtinId="10" customBuiltin="1"/>
    <cellStyle name="Note 10" xfId="6488"/>
    <cellStyle name="Note 10 2" xfId="14825"/>
    <cellStyle name="Note 10 3" xfId="20746"/>
    <cellStyle name="Note 11" xfId="6501"/>
    <cellStyle name="Note 11 2" xfId="14838"/>
    <cellStyle name="Note 11 3" xfId="20759"/>
    <cellStyle name="Note 12" xfId="6521"/>
    <cellStyle name="Note 12 2" xfId="20773"/>
    <cellStyle name="Note 13" xfId="6558"/>
    <cellStyle name="Note 13 2" xfId="20790"/>
    <cellStyle name="Note 14" xfId="8911"/>
    <cellStyle name="Note 15" xfId="8929"/>
    <cellStyle name="Note 16" xfId="20788"/>
    <cellStyle name="Note 2" xfId="108"/>
    <cellStyle name="Note 2 2" xfId="6454"/>
    <cellStyle name="Note 2 2 2" xfId="14804"/>
    <cellStyle name="Note 2 2 3" xfId="14972"/>
    <cellStyle name="Note 2 3" xfId="8946"/>
    <cellStyle name="Note 2 4" xfId="14869"/>
    <cellStyle name="Note 2_LNG &amp; LPG rework" xfId="7604"/>
    <cellStyle name="Note 3" xfId="86"/>
    <cellStyle name="Note 3 2" xfId="122"/>
    <cellStyle name="Note 3 2 2" xfId="9014"/>
    <cellStyle name="Note 3 2 3" xfId="14986"/>
    <cellStyle name="Note 3 3" xfId="8960"/>
    <cellStyle name="Note 3 4" xfId="14883"/>
    <cellStyle name="Note 3_LNG &amp; LPG rework" xfId="7605"/>
    <cellStyle name="Note 4" xfId="142"/>
    <cellStyle name="Note 4 2" xfId="9029"/>
    <cellStyle name="Note 4 3" xfId="14898"/>
    <cellStyle name="Note 5" xfId="156"/>
    <cellStyle name="Note 5 2" xfId="9043"/>
    <cellStyle name="Note 5 3" xfId="14912"/>
    <cellStyle name="Note 6" xfId="6390"/>
    <cellStyle name="Note 6 2" xfId="14777"/>
    <cellStyle name="Note 6 3" xfId="14926"/>
    <cellStyle name="Note 7" xfId="6428"/>
    <cellStyle name="Note 7 2" xfId="14778"/>
    <cellStyle name="Note 7 3" xfId="14940"/>
    <cellStyle name="Note 8" xfId="6441"/>
    <cellStyle name="Note 8 2" xfId="14791"/>
    <cellStyle name="Note 8 3" xfId="14957"/>
    <cellStyle name="Note 9" xfId="6455"/>
    <cellStyle name="Note 9 2" xfId="14805"/>
    <cellStyle name="Note 9 3" xfId="15012"/>
    <cellStyle name="Output" xfId="11" builtinId="21" customBuiltin="1"/>
    <cellStyle name="Percent" xfId="90"/>
    <cellStyle name="Percent 10" xfId="8942"/>
    <cellStyle name="Percent 11" xfId="14854"/>
    <cellStyle name="Percent 2" xfId="51"/>
    <cellStyle name="Percent 2 10" xfId="20808"/>
    <cellStyle name="Percent 2 10 2" xfId="26210"/>
    <cellStyle name="Percent 2 11" xfId="26202"/>
    <cellStyle name="Percent 2 2" xfId="140"/>
    <cellStyle name="Percent 2 2 10" xfId="5498"/>
    <cellStyle name="Percent 2 2 10 2" xfId="13921"/>
    <cellStyle name="Percent 2 2 10 3" xfId="19787"/>
    <cellStyle name="Percent 2 2 11" xfId="5499"/>
    <cellStyle name="Percent 2 2 11 2" xfId="13922"/>
    <cellStyle name="Percent 2 2 11 3" xfId="19788"/>
    <cellStyle name="Percent 2 2 12" xfId="5500"/>
    <cellStyle name="Percent 2 2 12 2" xfId="13923"/>
    <cellStyle name="Percent 2 2 12 3" xfId="19789"/>
    <cellStyle name="Percent 2 2 13" xfId="5501"/>
    <cellStyle name="Percent 2 2 13 2" xfId="13924"/>
    <cellStyle name="Percent 2 2 13 3" xfId="19790"/>
    <cellStyle name="Percent 2 2 14" xfId="5502"/>
    <cellStyle name="Percent 2 2 14 2" xfId="13925"/>
    <cellStyle name="Percent 2 2 14 3" xfId="19791"/>
    <cellStyle name="Percent 2 2 2" xfId="505"/>
    <cellStyle name="Percent 2 2 2 10" xfId="5503"/>
    <cellStyle name="Percent 2 2 2 10 2" xfId="13926"/>
    <cellStyle name="Percent 2 2 2 10 3" xfId="19793"/>
    <cellStyle name="Percent 2 2 2 11" xfId="5504"/>
    <cellStyle name="Percent 2 2 2 11 2" xfId="13927"/>
    <cellStyle name="Percent 2 2 2 11 3" xfId="19794"/>
    <cellStyle name="Percent 2 2 2 12" xfId="5505"/>
    <cellStyle name="Percent 2 2 2 12 2" xfId="13928"/>
    <cellStyle name="Percent 2 2 2 12 3" xfId="19795"/>
    <cellStyle name="Percent 2 2 2 13" xfId="9324"/>
    <cellStyle name="Percent 2 2 2 14" xfId="19792"/>
    <cellStyle name="Percent 2 2 2 2" xfId="506"/>
    <cellStyle name="Percent 2 2 2 2 10" xfId="5506"/>
    <cellStyle name="Percent 2 2 2 2 10 2" xfId="13929"/>
    <cellStyle name="Percent 2 2 2 2 10 3" xfId="19797"/>
    <cellStyle name="Percent 2 2 2 2 11" xfId="5507"/>
    <cellStyle name="Percent 2 2 2 2 11 2" xfId="13930"/>
    <cellStyle name="Percent 2 2 2 2 11 3" xfId="19798"/>
    <cellStyle name="Percent 2 2 2 2 12" xfId="9325"/>
    <cellStyle name="Percent 2 2 2 2 13" xfId="19796"/>
    <cellStyle name="Percent 2 2 2 2 2" xfId="507"/>
    <cellStyle name="Percent 2 2 2 2 2 10" xfId="5508"/>
    <cellStyle name="Percent 2 2 2 2 2 10 2" xfId="13931"/>
    <cellStyle name="Percent 2 2 2 2 2 10 3" xfId="19800"/>
    <cellStyle name="Percent 2 2 2 2 2 11" xfId="9326"/>
    <cellStyle name="Percent 2 2 2 2 2 12" xfId="19799"/>
    <cellStyle name="Percent 2 2 2 2 2 2" xfId="508"/>
    <cellStyle name="Percent 2 2 2 2 2 2 10" xfId="19801"/>
    <cellStyle name="Percent 2 2 2 2 2 2 2" xfId="509"/>
    <cellStyle name="Percent 2 2 2 2 2 2 2 2" xfId="5509"/>
    <cellStyle name="Percent 2 2 2 2 2 2 2 2 2" xfId="13932"/>
    <cellStyle name="Percent 2 2 2 2 2 2 2 2 3" xfId="19803"/>
    <cellStyle name="Percent 2 2 2 2 2 2 2 3" xfId="5510"/>
    <cellStyle name="Percent 2 2 2 2 2 2 2 3 2" xfId="13933"/>
    <cellStyle name="Percent 2 2 2 2 2 2 2 3 3" xfId="19804"/>
    <cellStyle name="Percent 2 2 2 2 2 2 2 4" xfId="5511"/>
    <cellStyle name="Percent 2 2 2 2 2 2 2 4 2" xfId="13934"/>
    <cellStyle name="Percent 2 2 2 2 2 2 2 4 3" xfId="19805"/>
    <cellStyle name="Percent 2 2 2 2 2 2 2 5" xfId="5512"/>
    <cellStyle name="Percent 2 2 2 2 2 2 2 5 2" xfId="13935"/>
    <cellStyle name="Percent 2 2 2 2 2 2 2 5 3" xfId="19806"/>
    <cellStyle name="Percent 2 2 2 2 2 2 2 6" xfId="5513"/>
    <cellStyle name="Percent 2 2 2 2 2 2 2 6 2" xfId="13936"/>
    <cellStyle name="Percent 2 2 2 2 2 2 2 6 3" xfId="19807"/>
    <cellStyle name="Percent 2 2 2 2 2 2 2 7" xfId="9328"/>
    <cellStyle name="Percent 2 2 2 2 2 2 2 8" xfId="19802"/>
    <cellStyle name="Percent 2 2 2 2 2 2 2_LNG &amp; LPG rework" xfId="7613"/>
    <cellStyle name="Percent 2 2 2 2 2 2 3" xfId="5514"/>
    <cellStyle name="Percent 2 2 2 2 2 2 3 2" xfId="5515"/>
    <cellStyle name="Percent 2 2 2 2 2 2 3 2 2" xfId="13938"/>
    <cellStyle name="Percent 2 2 2 2 2 2 3 2 3" xfId="19809"/>
    <cellStyle name="Percent 2 2 2 2 2 2 3 3" xfId="5516"/>
    <cellStyle name="Percent 2 2 2 2 2 2 3 3 2" xfId="13939"/>
    <cellStyle name="Percent 2 2 2 2 2 2 3 3 3" xfId="19810"/>
    <cellStyle name="Percent 2 2 2 2 2 2 3 4" xfId="5517"/>
    <cellStyle name="Percent 2 2 2 2 2 2 3 4 2" xfId="13940"/>
    <cellStyle name="Percent 2 2 2 2 2 2 3 4 3" xfId="19811"/>
    <cellStyle name="Percent 2 2 2 2 2 2 3 5" xfId="5518"/>
    <cellStyle name="Percent 2 2 2 2 2 2 3 5 2" xfId="13941"/>
    <cellStyle name="Percent 2 2 2 2 2 2 3 5 3" xfId="19812"/>
    <cellStyle name="Percent 2 2 2 2 2 2 3 6" xfId="13937"/>
    <cellStyle name="Percent 2 2 2 2 2 2 3 7" xfId="19808"/>
    <cellStyle name="Percent 2 2 2 2 2 2 3_LNG &amp; LPG rework" xfId="7614"/>
    <cellStyle name="Percent 2 2 2 2 2 2 4" xfId="5519"/>
    <cellStyle name="Percent 2 2 2 2 2 2 4 2" xfId="13942"/>
    <cellStyle name="Percent 2 2 2 2 2 2 4 3" xfId="19813"/>
    <cellStyle name="Percent 2 2 2 2 2 2 5" xfId="5520"/>
    <cellStyle name="Percent 2 2 2 2 2 2 5 2" xfId="13943"/>
    <cellStyle name="Percent 2 2 2 2 2 2 5 3" xfId="19814"/>
    <cellStyle name="Percent 2 2 2 2 2 2 6" xfId="5521"/>
    <cellStyle name="Percent 2 2 2 2 2 2 6 2" xfId="13944"/>
    <cellStyle name="Percent 2 2 2 2 2 2 6 3" xfId="19815"/>
    <cellStyle name="Percent 2 2 2 2 2 2 7" xfId="5522"/>
    <cellStyle name="Percent 2 2 2 2 2 2 7 2" xfId="13945"/>
    <cellStyle name="Percent 2 2 2 2 2 2 7 3" xfId="19816"/>
    <cellStyle name="Percent 2 2 2 2 2 2 8" xfId="5523"/>
    <cellStyle name="Percent 2 2 2 2 2 2 8 2" xfId="13946"/>
    <cellStyle name="Percent 2 2 2 2 2 2 8 3" xfId="19817"/>
    <cellStyle name="Percent 2 2 2 2 2 2 9" xfId="9327"/>
    <cellStyle name="Percent 2 2 2 2 2 2_LNG &amp; LPG rework" xfId="7612"/>
    <cellStyle name="Percent 2 2 2 2 2 3" xfId="510"/>
    <cellStyle name="Percent 2 2 2 2 2 3 2" xfId="5524"/>
    <cellStyle name="Percent 2 2 2 2 2 3 2 2" xfId="13947"/>
    <cellStyle name="Percent 2 2 2 2 2 3 2 3" xfId="19819"/>
    <cellStyle name="Percent 2 2 2 2 2 3 3" xfId="5525"/>
    <cellStyle name="Percent 2 2 2 2 2 3 3 2" xfId="13948"/>
    <cellStyle name="Percent 2 2 2 2 2 3 3 3" xfId="19820"/>
    <cellStyle name="Percent 2 2 2 2 2 3 4" xfId="5526"/>
    <cellStyle name="Percent 2 2 2 2 2 3 4 2" xfId="13949"/>
    <cellStyle name="Percent 2 2 2 2 2 3 4 3" xfId="19821"/>
    <cellStyle name="Percent 2 2 2 2 2 3 5" xfId="5527"/>
    <cellStyle name="Percent 2 2 2 2 2 3 5 2" xfId="13950"/>
    <cellStyle name="Percent 2 2 2 2 2 3 5 3" xfId="19822"/>
    <cellStyle name="Percent 2 2 2 2 2 3 6" xfId="5528"/>
    <cellStyle name="Percent 2 2 2 2 2 3 6 2" xfId="13951"/>
    <cellStyle name="Percent 2 2 2 2 2 3 6 3" xfId="19823"/>
    <cellStyle name="Percent 2 2 2 2 2 3 7" xfId="9329"/>
    <cellStyle name="Percent 2 2 2 2 2 3 8" xfId="19818"/>
    <cellStyle name="Percent 2 2 2 2 2 3_LNG &amp; LPG rework" xfId="7615"/>
    <cellStyle name="Percent 2 2 2 2 2 4" xfId="5529"/>
    <cellStyle name="Percent 2 2 2 2 2 4 2" xfId="5530"/>
    <cellStyle name="Percent 2 2 2 2 2 4 2 2" xfId="13953"/>
    <cellStyle name="Percent 2 2 2 2 2 4 2 3" xfId="19825"/>
    <cellStyle name="Percent 2 2 2 2 2 4 3" xfId="5531"/>
    <cellStyle name="Percent 2 2 2 2 2 4 3 2" xfId="13954"/>
    <cellStyle name="Percent 2 2 2 2 2 4 3 3" xfId="19826"/>
    <cellStyle name="Percent 2 2 2 2 2 4 4" xfId="5532"/>
    <cellStyle name="Percent 2 2 2 2 2 4 4 2" xfId="13955"/>
    <cellStyle name="Percent 2 2 2 2 2 4 4 3" xfId="19827"/>
    <cellStyle name="Percent 2 2 2 2 2 4 5" xfId="5533"/>
    <cellStyle name="Percent 2 2 2 2 2 4 5 2" xfId="13956"/>
    <cellStyle name="Percent 2 2 2 2 2 4 5 3" xfId="19828"/>
    <cellStyle name="Percent 2 2 2 2 2 4 6" xfId="13952"/>
    <cellStyle name="Percent 2 2 2 2 2 4 7" xfId="19824"/>
    <cellStyle name="Percent 2 2 2 2 2 4_LNG &amp; LPG rework" xfId="7616"/>
    <cellStyle name="Percent 2 2 2 2 2 5" xfId="5534"/>
    <cellStyle name="Percent 2 2 2 2 2 5 2" xfId="5535"/>
    <cellStyle name="Percent 2 2 2 2 2 5 2 2" xfId="13958"/>
    <cellStyle name="Percent 2 2 2 2 2 5 2 3" xfId="19830"/>
    <cellStyle name="Percent 2 2 2 2 2 5 3" xfId="5536"/>
    <cellStyle name="Percent 2 2 2 2 2 5 3 2" xfId="13959"/>
    <cellStyle name="Percent 2 2 2 2 2 5 3 3" xfId="19831"/>
    <cellStyle name="Percent 2 2 2 2 2 5 4" xfId="5537"/>
    <cellStyle name="Percent 2 2 2 2 2 5 4 2" xfId="13960"/>
    <cellStyle name="Percent 2 2 2 2 2 5 4 3" xfId="19832"/>
    <cellStyle name="Percent 2 2 2 2 2 5 5" xfId="5538"/>
    <cellStyle name="Percent 2 2 2 2 2 5 5 2" xfId="13961"/>
    <cellStyle name="Percent 2 2 2 2 2 5 5 3" xfId="19833"/>
    <cellStyle name="Percent 2 2 2 2 2 5 6" xfId="13957"/>
    <cellStyle name="Percent 2 2 2 2 2 5 7" xfId="19829"/>
    <cellStyle name="Percent 2 2 2 2 2 5_LNG &amp; LPG rework" xfId="7617"/>
    <cellStyle name="Percent 2 2 2 2 2 6" xfId="5539"/>
    <cellStyle name="Percent 2 2 2 2 2 6 2" xfId="13962"/>
    <cellStyle name="Percent 2 2 2 2 2 6 3" xfId="19834"/>
    <cellStyle name="Percent 2 2 2 2 2 7" xfId="5540"/>
    <cellStyle name="Percent 2 2 2 2 2 7 2" xfId="13963"/>
    <cellStyle name="Percent 2 2 2 2 2 7 3" xfId="19835"/>
    <cellStyle name="Percent 2 2 2 2 2 8" xfId="5541"/>
    <cellStyle name="Percent 2 2 2 2 2 8 2" xfId="13964"/>
    <cellStyle name="Percent 2 2 2 2 2 8 3" xfId="19836"/>
    <cellStyle name="Percent 2 2 2 2 2 9" xfId="5542"/>
    <cellStyle name="Percent 2 2 2 2 2 9 2" xfId="13965"/>
    <cellStyle name="Percent 2 2 2 2 2 9 3" xfId="19837"/>
    <cellStyle name="Percent 2 2 2 2 2_LNG &amp; LPG rework" xfId="7611"/>
    <cellStyle name="Percent 2 2 2 2 3" xfId="511"/>
    <cellStyle name="Percent 2 2 2 2 3 10" xfId="19838"/>
    <cellStyle name="Percent 2 2 2 2 3 2" xfId="512"/>
    <cellStyle name="Percent 2 2 2 2 3 2 2" xfId="5543"/>
    <cellStyle name="Percent 2 2 2 2 3 2 2 2" xfId="13966"/>
    <cellStyle name="Percent 2 2 2 2 3 2 2 3" xfId="19840"/>
    <cellStyle name="Percent 2 2 2 2 3 2 3" xfId="5544"/>
    <cellStyle name="Percent 2 2 2 2 3 2 3 2" xfId="13967"/>
    <cellStyle name="Percent 2 2 2 2 3 2 3 3" xfId="19841"/>
    <cellStyle name="Percent 2 2 2 2 3 2 4" xfId="5545"/>
    <cellStyle name="Percent 2 2 2 2 3 2 4 2" xfId="13968"/>
    <cellStyle name="Percent 2 2 2 2 3 2 4 3" xfId="19842"/>
    <cellStyle name="Percent 2 2 2 2 3 2 5" xfId="5546"/>
    <cellStyle name="Percent 2 2 2 2 3 2 5 2" xfId="13969"/>
    <cellStyle name="Percent 2 2 2 2 3 2 5 3" xfId="19843"/>
    <cellStyle name="Percent 2 2 2 2 3 2 6" xfId="5547"/>
    <cellStyle name="Percent 2 2 2 2 3 2 6 2" xfId="13970"/>
    <cellStyle name="Percent 2 2 2 2 3 2 6 3" xfId="19844"/>
    <cellStyle name="Percent 2 2 2 2 3 2 7" xfId="9331"/>
    <cellStyle name="Percent 2 2 2 2 3 2 8" xfId="19839"/>
    <cellStyle name="Percent 2 2 2 2 3 2_LNG &amp; LPG rework" xfId="7619"/>
    <cellStyle name="Percent 2 2 2 2 3 3" xfId="5548"/>
    <cellStyle name="Percent 2 2 2 2 3 3 2" xfId="5549"/>
    <cellStyle name="Percent 2 2 2 2 3 3 2 2" xfId="13972"/>
    <cellStyle name="Percent 2 2 2 2 3 3 2 3" xfId="19846"/>
    <cellStyle name="Percent 2 2 2 2 3 3 3" xfId="5550"/>
    <cellStyle name="Percent 2 2 2 2 3 3 3 2" xfId="13973"/>
    <cellStyle name="Percent 2 2 2 2 3 3 3 3" xfId="19847"/>
    <cellStyle name="Percent 2 2 2 2 3 3 4" xfId="5551"/>
    <cellStyle name="Percent 2 2 2 2 3 3 4 2" xfId="13974"/>
    <cellStyle name="Percent 2 2 2 2 3 3 4 3" xfId="19848"/>
    <cellStyle name="Percent 2 2 2 2 3 3 5" xfId="5552"/>
    <cellStyle name="Percent 2 2 2 2 3 3 5 2" xfId="13975"/>
    <cellStyle name="Percent 2 2 2 2 3 3 5 3" xfId="19849"/>
    <cellStyle name="Percent 2 2 2 2 3 3 6" xfId="13971"/>
    <cellStyle name="Percent 2 2 2 2 3 3 7" xfId="19845"/>
    <cellStyle name="Percent 2 2 2 2 3 3_LNG &amp; LPG rework" xfId="7620"/>
    <cellStyle name="Percent 2 2 2 2 3 4" xfId="5553"/>
    <cellStyle name="Percent 2 2 2 2 3 4 2" xfId="13976"/>
    <cellStyle name="Percent 2 2 2 2 3 4 3" xfId="19850"/>
    <cellStyle name="Percent 2 2 2 2 3 5" xfId="5554"/>
    <cellStyle name="Percent 2 2 2 2 3 5 2" xfId="13977"/>
    <cellStyle name="Percent 2 2 2 2 3 5 3" xfId="19851"/>
    <cellStyle name="Percent 2 2 2 2 3 6" xfId="5555"/>
    <cellStyle name="Percent 2 2 2 2 3 6 2" xfId="13978"/>
    <cellStyle name="Percent 2 2 2 2 3 6 3" xfId="19852"/>
    <cellStyle name="Percent 2 2 2 2 3 7" xfId="5556"/>
    <cellStyle name="Percent 2 2 2 2 3 7 2" xfId="13979"/>
    <cellStyle name="Percent 2 2 2 2 3 7 3" xfId="19853"/>
    <cellStyle name="Percent 2 2 2 2 3 8" xfId="5557"/>
    <cellStyle name="Percent 2 2 2 2 3 8 2" xfId="13980"/>
    <cellStyle name="Percent 2 2 2 2 3 8 3" xfId="19854"/>
    <cellStyle name="Percent 2 2 2 2 3 9" xfId="9330"/>
    <cellStyle name="Percent 2 2 2 2 3_LNG &amp; LPG rework" xfId="7618"/>
    <cellStyle name="Percent 2 2 2 2 4" xfId="513"/>
    <cellStyle name="Percent 2 2 2 2 4 2" xfId="5558"/>
    <cellStyle name="Percent 2 2 2 2 4 2 2" xfId="13981"/>
    <cellStyle name="Percent 2 2 2 2 4 2 3" xfId="19856"/>
    <cellStyle name="Percent 2 2 2 2 4 3" xfId="5559"/>
    <cellStyle name="Percent 2 2 2 2 4 3 2" xfId="13982"/>
    <cellStyle name="Percent 2 2 2 2 4 3 3" xfId="19857"/>
    <cellStyle name="Percent 2 2 2 2 4 4" xfId="5560"/>
    <cellStyle name="Percent 2 2 2 2 4 4 2" xfId="13983"/>
    <cellStyle name="Percent 2 2 2 2 4 4 3" xfId="19858"/>
    <cellStyle name="Percent 2 2 2 2 4 5" xfId="5561"/>
    <cellStyle name="Percent 2 2 2 2 4 5 2" xfId="13984"/>
    <cellStyle name="Percent 2 2 2 2 4 5 3" xfId="19859"/>
    <cellStyle name="Percent 2 2 2 2 4 6" xfId="5562"/>
    <cellStyle name="Percent 2 2 2 2 4 6 2" xfId="13985"/>
    <cellStyle name="Percent 2 2 2 2 4 6 3" xfId="19860"/>
    <cellStyle name="Percent 2 2 2 2 4 7" xfId="9332"/>
    <cellStyle name="Percent 2 2 2 2 4 8" xfId="19855"/>
    <cellStyle name="Percent 2 2 2 2 4_LNG &amp; LPG rework" xfId="7621"/>
    <cellStyle name="Percent 2 2 2 2 5" xfId="5563"/>
    <cellStyle name="Percent 2 2 2 2 5 2" xfId="5564"/>
    <cellStyle name="Percent 2 2 2 2 5 2 2" xfId="13987"/>
    <cellStyle name="Percent 2 2 2 2 5 2 3" xfId="19862"/>
    <cellStyle name="Percent 2 2 2 2 5 3" xfId="5565"/>
    <cellStyle name="Percent 2 2 2 2 5 3 2" xfId="13988"/>
    <cellStyle name="Percent 2 2 2 2 5 3 3" xfId="19863"/>
    <cellStyle name="Percent 2 2 2 2 5 4" xfId="5566"/>
    <cellStyle name="Percent 2 2 2 2 5 4 2" xfId="13989"/>
    <cellStyle name="Percent 2 2 2 2 5 4 3" xfId="19864"/>
    <cellStyle name="Percent 2 2 2 2 5 5" xfId="5567"/>
    <cellStyle name="Percent 2 2 2 2 5 5 2" xfId="13990"/>
    <cellStyle name="Percent 2 2 2 2 5 5 3" xfId="19865"/>
    <cellStyle name="Percent 2 2 2 2 5 6" xfId="13986"/>
    <cellStyle name="Percent 2 2 2 2 5 7" xfId="19861"/>
    <cellStyle name="Percent 2 2 2 2 5_LNG &amp; LPG rework" xfId="7622"/>
    <cellStyle name="Percent 2 2 2 2 6" xfId="5568"/>
    <cellStyle name="Percent 2 2 2 2 6 2" xfId="5569"/>
    <cellStyle name="Percent 2 2 2 2 6 2 2" xfId="13992"/>
    <cellStyle name="Percent 2 2 2 2 6 2 3" xfId="19867"/>
    <cellStyle name="Percent 2 2 2 2 6 3" xfId="5570"/>
    <cellStyle name="Percent 2 2 2 2 6 3 2" xfId="13993"/>
    <cellStyle name="Percent 2 2 2 2 6 3 3" xfId="19868"/>
    <cellStyle name="Percent 2 2 2 2 6 4" xfId="5571"/>
    <cellStyle name="Percent 2 2 2 2 6 4 2" xfId="13994"/>
    <cellStyle name="Percent 2 2 2 2 6 4 3" xfId="19869"/>
    <cellStyle name="Percent 2 2 2 2 6 5" xfId="5572"/>
    <cellStyle name="Percent 2 2 2 2 6 5 2" xfId="13995"/>
    <cellStyle name="Percent 2 2 2 2 6 5 3" xfId="19870"/>
    <cellStyle name="Percent 2 2 2 2 6 6" xfId="13991"/>
    <cellStyle name="Percent 2 2 2 2 6 7" xfId="19866"/>
    <cellStyle name="Percent 2 2 2 2 6_LNG &amp; LPG rework" xfId="7623"/>
    <cellStyle name="Percent 2 2 2 2 7" xfId="5573"/>
    <cellStyle name="Percent 2 2 2 2 7 2" xfId="13996"/>
    <cellStyle name="Percent 2 2 2 2 7 3" xfId="19871"/>
    <cellStyle name="Percent 2 2 2 2 8" xfId="5574"/>
    <cellStyle name="Percent 2 2 2 2 8 2" xfId="13997"/>
    <cellStyle name="Percent 2 2 2 2 8 3" xfId="19872"/>
    <cellStyle name="Percent 2 2 2 2 9" xfId="5575"/>
    <cellStyle name="Percent 2 2 2 2 9 2" xfId="13998"/>
    <cellStyle name="Percent 2 2 2 2 9 3" xfId="19873"/>
    <cellStyle name="Percent 2 2 2 2_LNG &amp; LPG rework" xfId="7610"/>
    <cellStyle name="Percent 2 2 2 3" xfId="514"/>
    <cellStyle name="Percent 2 2 2 3 10" xfId="5576"/>
    <cellStyle name="Percent 2 2 2 3 10 2" xfId="13999"/>
    <cellStyle name="Percent 2 2 2 3 10 3" xfId="19875"/>
    <cellStyle name="Percent 2 2 2 3 11" xfId="9333"/>
    <cellStyle name="Percent 2 2 2 3 12" xfId="19874"/>
    <cellStyle name="Percent 2 2 2 3 2" xfId="515"/>
    <cellStyle name="Percent 2 2 2 3 2 10" xfId="19876"/>
    <cellStyle name="Percent 2 2 2 3 2 2" xfId="516"/>
    <cellStyle name="Percent 2 2 2 3 2 2 2" xfId="5577"/>
    <cellStyle name="Percent 2 2 2 3 2 2 2 2" xfId="14000"/>
    <cellStyle name="Percent 2 2 2 3 2 2 2 3" xfId="19878"/>
    <cellStyle name="Percent 2 2 2 3 2 2 3" xfId="5578"/>
    <cellStyle name="Percent 2 2 2 3 2 2 3 2" xfId="14001"/>
    <cellStyle name="Percent 2 2 2 3 2 2 3 3" xfId="19879"/>
    <cellStyle name="Percent 2 2 2 3 2 2 4" xfId="5579"/>
    <cellStyle name="Percent 2 2 2 3 2 2 4 2" xfId="14002"/>
    <cellStyle name="Percent 2 2 2 3 2 2 4 3" xfId="19880"/>
    <cellStyle name="Percent 2 2 2 3 2 2 5" xfId="5580"/>
    <cellStyle name="Percent 2 2 2 3 2 2 5 2" xfId="14003"/>
    <cellStyle name="Percent 2 2 2 3 2 2 5 3" xfId="19881"/>
    <cellStyle name="Percent 2 2 2 3 2 2 6" xfId="5581"/>
    <cellStyle name="Percent 2 2 2 3 2 2 6 2" xfId="14004"/>
    <cellStyle name="Percent 2 2 2 3 2 2 6 3" xfId="19882"/>
    <cellStyle name="Percent 2 2 2 3 2 2 7" xfId="9335"/>
    <cellStyle name="Percent 2 2 2 3 2 2 8" xfId="19877"/>
    <cellStyle name="Percent 2 2 2 3 2 2_LNG &amp; LPG rework" xfId="7626"/>
    <cellStyle name="Percent 2 2 2 3 2 3" xfId="5582"/>
    <cellStyle name="Percent 2 2 2 3 2 3 2" xfId="5583"/>
    <cellStyle name="Percent 2 2 2 3 2 3 2 2" xfId="14006"/>
    <cellStyle name="Percent 2 2 2 3 2 3 2 3" xfId="19884"/>
    <cellStyle name="Percent 2 2 2 3 2 3 3" xfId="5584"/>
    <cellStyle name="Percent 2 2 2 3 2 3 3 2" xfId="14007"/>
    <cellStyle name="Percent 2 2 2 3 2 3 3 3" xfId="19885"/>
    <cellStyle name="Percent 2 2 2 3 2 3 4" xfId="5585"/>
    <cellStyle name="Percent 2 2 2 3 2 3 4 2" xfId="14008"/>
    <cellStyle name="Percent 2 2 2 3 2 3 4 3" xfId="19886"/>
    <cellStyle name="Percent 2 2 2 3 2 3 5" xfId="5586"/>
    <cellStyle name="Percent 2 2 2 3 2 3 5 2" xfId="14009"/>
    <cellStyle name="Percent 2 2 2 3 2 3 5 3" xfId="19887"/>
    <cellStyle name="Percent 2 2 2 3 2 3 6" xfId="14005"/>
    <cellStyle name="Percent 2 2 2 3 2 3 7" xfId="19883"/>
    <cellStyle name="Percent 2 2 2 3 2 3_LNG &amp; LPG rework" xfId="7627"/>
    <cellStyle name="Percent 2 2 2 3 2 4" xfId="5587"/>
    <cellStyle name="Percent 2 2 2 3 2 4 2" xfId="14010"/>
    <cellStyle name="Percent 2 2 2 3 2 4 3" xfId="19888"/>
    <cellStyle name="Percent 2 2 2 3 2 5" xfId="5588"/>
    <cellStyle name="Percent 2 2 2 3 2 5 2" xfId="14011"/>
    <cellStyle name="Percent 2 2 2 3 2 5 3" xfId="19889"/>
    <cellStyle name="Percent 2 2 2 3 2 6" xfId="5589"/>
    <cellStyle name="Percent 2 2 2 3 2 6 2" xfId="14012"/>
    <cellStyle name="Percent 2 2 2 3 2 6 3" xfId="19890"/>
    <cellStyle name="Percent 2 2 2 3 2 7" xfId="5590"/>
    <cellStyle name="Percent 2 2 2 3 2 7 2" xfId="14013"/>
    <cellStyle name="Percent 2 2 2 3 2 7 3" xfId="19891"/>
    <cellStyle name="Percent 2 2 2 3 2 8" xfId="5591"/>
    <cellStyle name="Percent 2 2 2 3 2 8 2" xfId="14014"/>
    <cellStyle name="Percent 2 2 2 3 2 8 3" xfId="19892"/>
    <cellStyle name="Percent 2 2 2 3 2 9" xfId="9334"/>
    <cellStyle name="Percent 2 2 2 3 2_LNG &amp; LPG rework" xfId="7625"/>
    <cellStyle name="Percent 2 2 2 3 3" xfId="517"/>
    <cellStyle name="Percent 2 2 2 3 3 2" xfId="5592"/>
    <cellStyle name="Percent 2 2 2 3 3 2 2" xfId="14015"/>
    <cellStyle name="Percent 2 2 2 3 3 2 3" xfId="19894"/>
    <cellStyle name="Percent 2 2 2 3 3 3" xfId="5593"/>
    <cellStyle name="Percent 2 2 2 3 3 3 2" xfId="14016"/>
    <cellStyle name="Percent 2 2 2 3 3 3 3" xfId="19895"/>
    <cellStyle name="Percent 2 2 2 3 3 4" xfId="5594"/>
    <cellStyle name="Percent 2 2 2 3 3 4 2" xfId="14017"/>
    <cellStyle name="Percent 2 2 2 3 3 4 3" xfId="19896"/>
    <cellStyle name="Percent 2 2 2 3 3 5" xfId="5595"/>
    <cellStyle name="Percent 2 2 2 3 3 5 2" xfId="14018"/>
    <cellStyle name="Percent 2 2 2 3 3 5 3" xfId="19897"/>
    <cellStyle name="Percent 2 2 2 3 3 6" xfId="5596"/>
    <cellStyle name="Percent 2 2 2 3 3 6 2" xfId="14019"/>
    <cellStyle name="Percent 2 2 2 3 3 6 3" xfId="19898"/>
    <cellStyle name="Percent 2 2 2 3 3 7" xfId="9336"/>
    <cellStyle name="Percent 2 2 2 3 3 8" xfId="19893"/>
    <cellStyle name="Percent 2 2 2 3 3_LNG &amp; LPG rework" xfId="7628"/>
    <cellStyle name="Percent 2 2 2 3 4" xfId="5597"/>
    <cellStyle name="Percent 2 2 2 3 4 2" xfId="5598"/>
    <cellStyle name="Percent 2 2 2 3 4 2 2" xfId="14021"/>
    <cellStyle name="Percent 2 2 2 3 4 2 3" xfId="19900"/>
    <cellStyle name="Percent 2 2 2 3 4 3" xfId="5599"/>
    <cellStyle name="Percent 2 2 2 3 4 3 2" xfId="14022"/>
    <cellStyle name="Percent 2 2 2 3 4 3 3" xfId="19901"/>
    <cellStyle name="Percent 2 2 2 3 4 4" xfId="5600"/>
    <cellStyle name="Percent 2 2 2 3 4 4 2" xfId="14023"/>
    <cellStyle name="Percent 2 2 2 3 4 4 3" xfId="19902"/>
    <cellStyle name="Percent 2 2 2 3 4 5" xfId="5601"/>
    <cellStyle name="Percent 2 2 2 3 4 5 2" xfId="14024"/>
    <cellStyle name="Percent 2 2 2 3 4 5 3" xfId="19903"/>
    <cellStyle name="Percent 2 2 2 3 4 6" xfId="14020"/>
    <cellStyle name="Percent 2 2 2 3 4 7" xfId="19899"/>
    <cellStyle name="Percent 2 2 2 3 4_LNG &amp; LPG rework" xfId="7629"/>
    <cellStyle name="Percent 2 2 2 3 5" xfId="5602"/>
    <cellStyle name="Percent 2 2 2 3 5 2" xfId="5603"/>
    <cellStyle name="Percent 2 2 2 3 5 2 2" xfId="14026"/>
    <cellStyle name="Percent 2 2 2 3 5 2 3" xfId="19905"/>
    <cellStyle name="Percent 2 2 2 3 5 3" xfId="5604"/>
    <cellStyle name="Percent 2 2 2 3 5 3 2" xfId="14027"/>
    <cellStyle name="Percent 2 2 2 3 5 3 3" xfId="19906"/>
    <cellStyle name="Percent 2 2 2 3 5 4" xfId="5605"/>
    <cellStyle name="Percent 2 2 2 3 5 4 2" xfId="14028"/>
    <cellStyle name="Percent 2 2 2 3 5 4 3" xfId="19907"/>
    <cellStyle name="Percent 2 2 2 3 5 5" xfId="5606"/>
    <cellStyle name="Percent 2 2 2 3 5 5 2" xfId="14029"/>
    <cellStyle name="Percent 2 2 2 3 5 5 3" xfId="19908"/>
    <cellStyle name="Percent 2 2 2 3 5 6" xfId="14025"/>
    <cellStyle name="Percent 2 2 2 3 5 7" xfId="19904"/>
    <cellStyle name="Percent 2 2 2 3 5_LNG &amp; LPG rework" xfId="7630"/>
    <cellStyle name="Percent 2 2 2 3 6" xfId="5607"/>
    <cellStyle name="Percent 2 2 2 3 6 2" xfId="14030"/>
    <cellStyle name="Percent 2 2 2 3 6 3" xfId="19909"/>
    <cellStyle name="Percent 2 2 2 3 7" xfId="5608"/>
    <cellStyle name="Percent 2 2 2 3 7 2" xfId="14031"/>
    <cellStyle name="Percent 2 2 2 3 7 3" xfId="19910"/>
    <cellStyle name="Percent 2 2 2 3 8" xfId="5609"/>
    <cellStyle name="Percent 2 2 2 3 8 2" xfId="14032"/>
    <cellStyle name="Percent 2 2 2 3 8 3" xfId="19911"/>
    <cellStyle name="Percent 2 2 2 3 9" xfId="5610"/>
    <cellStyle name="Percent 2 2 2 3 9 2" xfId="14033"/>
    <cellStyle name="Percent 2 2 2 3 9 3" xfId="19912"/>
    <cellStyle name="Percent 2 2 2 3_LNG &amp; LPG rework" xfId="7624"/>
    <cellStyle name="Percent 2 2 2 4" xfId="518"/>
    <cellStyle name="Percent 2 2 2 4 10" xfId="19913"/>
    <cellStyle name="Percent 2 2 2 4 2" xfId="519"/>
    <cellStyle name="Percent 2 2 2 4 2 2" xfId="5611"/>
    <cellStyle name="Percent 2 2 2 4 2 2 2" xfId="14034"/>
    <cellStyle name="Percent 2 2 2 4 2 2 3" xfId="19915"/>
    <cellStyle name="Percent 2 2 2 4 2 3" xfId="5612"/>
    <cellStyle name="Percent 2 2 2 4 2 3 2" xfId="14035"/>
    <cellStyle name="Percent 2 2 2 4 2 3 3" xfId="19916"/>
    <cellStyle name="Percent 2 2 2 4 2 4" xfId="5613"/>
    <cellStyle name="Percent 2 2 2 4 2 4 2" xfId="14036"/>
    <cellStyle name="Percent 2 2 2 4 2 4 3" xfId="19917"/>
    <cellStyle name="Percent 2 2 2 4 2 5" xfId="5614"/>
    <cellStyle name="Percent 2 2 2 4 2 5 2" xfId="14037"/>
    <cellStyle name="Percent 2 2 2 4 2 5 3" xfId="19918"/>
    <cellStyle name="Percent 2 2 2 4 2 6" xfId="5615"/>
    <cellStyle name="Percent 2 2 2 4 2 6 2" xfId="14038"/>
    <cellStyle name="Percent 2 2 2 4 2 6 3" xfId="19919"/>
    <cellStyle name="Percent 2 2 2 4 2 7" xfId="9338"/>
    <cellStyle name="Percent 2 2 2 4 2 8" xfId="19914"/>
    <cellStyle name="Percent 2 2 2 4 2_LNG &amp; LPG rework" xfId="7632"/>
    <cellStyle name="Percent 2 2 2 4 3" xfId="5616"/>
    <cellStyle name="Percent 2 2 2 4 3 2" xfId="5617"/>
    <cellStyle name="Percent 2 2 2 4 3 2 2" xfId="14040"/>
    <cellStyle name="Percent 2 2 2 4 3 2 3" xfId="19921"/>
    <cellStyle name="Percent 2 2 2 4 3 3" xfId="5618"/>
    <cellStyle name="Percent 2 2 2 4 3 3 2" xfId="14041"/>
    <cellStyle name="Percent 2 2 2 4 3 3 3" xfId="19922"/>
    <cellStyle name="Percent 2 2 2 4 3 4" xfId="5619"/>
    <cellStyle name="Percent 2 2 2 4 3 4 2" xfId="14042"/>
    <cellStyle name="Percent 2 2 2 4 3 4 3" xfId="19923"/>
    <cellStyle name="Percent 2 2 2 4 3 5" xfId="5620"/>
    <cellStyle name="Percent 2 2 2 4 3 5 2" xfId="14043"/>
    <cellStyle name="Percent 2 2 2 4 3 5 3" xfId="19924"/>
    <cellStyle name="Percent 2 2 2 4 3 6" xfId="14039"/>
    <cellStyle name="Percent 2 2 2 4 3 7" xfId="19920"/>
    <cellStyle name="Percent 2 2 2 4 3_LNG &amp; LPG rework" xfId="7633"/>
    <cellStyle name="Percent 2 2 2 4 4" xfId="5621"/>
    <cellStyle name="Percent 2 2 2 4 4 2" xfId="14044"/>
    <cellStyle name="Percent 2 2 2 4 4 3" xfId="19925"/>
    <cellStyle name="Percent 2 2 2 4 5" xfId="5622"/>
    <cellStyle name="Percent 2 2 2 4 5 2" xfId="14045"/>
    <cellStyle name="Percent 2 2 2 4 5 3" xfId="19926"/>
    <cellStyle name="Percent 2 2 2 4 6" xfId="5623"/>
    <cellStyle name="Percent 2 2 2 4 6 2" xfId="14046"/>
    <cellStyle name="Percent 2 2 2 4 6 3" xfId="19927"/>
    <cellStyle name="Percent 2 2 2 4 7" xfId="5624"/>
    <cellStyle name="Percent 2 2 2 4 7 2" xfId="14047"/>
    <cellStyle name="Percent 2 2 2 4 7 3" xfId="19928"/>
    <cellStyle name="Percent 2 2 2 4 8" xfId="5625"/>
    <cellStyle name="Percent 2 2 2 4 8 2" xfId="14048"/>
    <cellStyle name="Percent 2 2 2 4 8 3" xfId="19929"/>
    <cellStyle name="Percent 2 2 2 4 9" xfId="9337"/>
    <cellStyle name="Percent 2 2 2 4_LNG &amp; LPG rework" xfId="7631"/>
    <cellStyle name="Percent 2 2 2 5" xfId="520"/>
    <cellStyle name="Percent 2 2 2 5 2" xfId="5626"/>
    <cellStyle name="Percent 2 2 2 5 2 2" xfId="14049"/>
    <cellStyle name="Percent 2 2 2 5 2 3" xfId="19931"/>
    <cellStyle name="Percent 2 2 2 5 3" xfId="5627"/>
    <cellStyle name="Percent 2 2 2 5 3 2" xfId="14050"/>
    <cellStyle name="Percent 2 2 2 5 3 3" xfId="19932"/>
    <cellStyle name="Percent 2 2 2 5 4" xfId="5628"/>
    <cellStyle name="Percent 2 2 2 5 4 2" xfId="14051"/>
    <cellStyle name="Percent 2 2 2 5 4 3" xfId="19933"/>
    <cellStyle name="Percent 2 2 2 5 5" xfId="5629"/>
    <cellStyle name="Percent 2 2 2 5 5 2" xfId="14052"/>
    <cellStyle name="Percent 2 2 2 5 5 3" xfId="19934"/>
    <cellStyle name="Percent 2 2 2 5 6" xfId="5630"/>
    <cellStyle name="Percent 2 2 2 5 6 2" xfId="14053"/>
    <cellStyle name="Percent 2 2 2 5 6 3" xfId="19935"/>
    <cellStyle name="Percent 2 2 2 5 7" xfId="9339"/>
    <cellStyle name="Percent 2 2 2 5 8" xfId="19930"/>
    <cellStyle name="Percent 2 2 2 5_LNG &amp; LPG rework" xfId="7634"/>
    <cellStyle name="Percent 2 2 2 6" xfId="5631"/>
    <cellStyle name="Percent 2 2 2 6 2" xfId="5632"/>
    <cellStyle name="Percent 2 2 2 6 2 2" xfId="14055"/>
    <cellStyle name="Percent 2 2 2 6 2 3" xfId="19937"/>
    <cellStyle name="Percent 2 2 2 6 3" xfId="5633"/>
    <cellStyle name="Percent 2 2 2 6 3 2" xfId="14056"/>
    <cellStyle name="Percent 2 2 2 6 3 3" xfId="19938"/>
    <cellStyle name="Percent 2 2 2 6 4" xfId="5634"/>
    <cellStyle name="Percent 2 2 2 6 4 2" xfId="14057"/>
    <cellStyle name="Percent 2 2 2 6 4 3" xfId="19939"/>
    <cellStyle name="Percent 2 2 2 6 5" xfId="5635"/>
    <cellStyle name="Percent 2 2 2 6 5 2" xfId="14058"/>
    <cellStyle name="Percent 2 2 2 6 5 3" xfId="19940"/>
    <cellStyle name="Percent 2 2 2 6 6" xfId="14054"/>
    <cellStyle name="Percent 2 2 2 6 7" xfId="19936"/>
    <cellStyle name="Percent 2 2 2 6_LNG &amp; LPG rework" xfId="7635"/>
    <cellStyle name="Percent 2 2 2 7" xfId="5636"/>
    <cellStyle name="Percent 2 2 2 7 2" xfId="5637"/>
    <cellStyle name="Percent 2 2 2 7 2 2" xfId="14060"/>
    <cellStyle name="Percent 2 2 2 7 2 3" xfId="19942"/>
    <cellStyle name="Percent 2 2 2 7 3" xfId="5638"/>
    <cellStyle name="Percent 2 2 2 7 3 2" xfId="14061"/>
    <cellStyle name="Percent 2 2 2 7 3 3" xfId="19943"/>
    <cellStyle name="Percent 2 2 2 7 4" xfId="5639"/>
    <cellStyle name="Percent 2 2 2 7 4 2" xfId="14062"/>
    <cellStyle name="Percent 2 2 2 7 4 3" xfId="19944"/>
    <cellStyle name="Percent 2 2 2 7 5" xfId="5640"/>
    <cellStyle name="Percent 2 2 2 7 5 2" xfId="14063"/>
    <cellStyle name="Percent 2 2 2 7 5 3" xfId="19945"/>
    <cellStyle name="Percent 2 2 2 7 6" xfId="14059"/>
    <cellStyle name="Percent 2 2 2 7 7" xfId="19941"/>
    <cellStyle name="Percent 2 2 2 7_LNG &amp; LPG rework" xfId="7636"/>
    <cellStyle name="Percent 2 2 2 8" xfId="5641"/>
    <cellStyle name="Percent 2 2 2 8 2" xfId="14064"/>
    <cellStyle name="Percent 2 2 2 8 3" xfId="19946"/>
    <cellStyle name="Percent 2 2 2 9" xfId="5642"/>
    <cellStyle name="Percent 2 2 2 9 2" xfId="14065"/>
    <cellStyle name="Percent 2 2 2 9 3" xfId="19947"/>
    <cellStyle name="Percent 2 2 2_LNG &amp; LPG rework" xfId="7609"/>
    <cellStyle name="Percent 2 2 3" xfId="521"/>
    <cellStyle name="Percent 2 2 3 10" xfId="5643"/>
    <cellStyle name="Percent 2 2 3 10 2" xfId="14066"/>
    <cellStyle name="Percent 2 2 3 10 3" xfId="19949"/>
    <cellStyle name="Percent 2 2 3 11" xfId="5644"/>
    <cellStyle name="Percent 2 2 3 11 2" xfId="14067"/>
    <cellStyle name="Percent 2 2 3 11 3" xfId="19950"/>
    <cellStyle name="Percent 2 2 3 12" xfId="9340"/>
    <cellStyle name="Percent 2 2 3 13" xfId="19948"/>
    <cellStyle name="Percent 2 2 3 2" xfId="522"/>
    <cellStyle name="Percent 2 2 3 2 10" xfId="5645"/>
    <cellStyle name="Percent 2 2 3 2 10 2" xfId="14068"/>
    <cellStyle name="Percent 2 2 3 2 10 3" xfId="19952"/>
    <cellStyle name="Percent 2 2 3 2 11" xfId="9341"/>
    <cellStyle name="Percent 2 2 3 2 12" xfId="19951"/>
    <cellStyle name="Percent 2 2 3 2 2" xfId="523"/>
    <cellStyle name="Percent 2 2 3 2 2 10" xfId="19953"/>
    <cellStyle name="Percent 2 2 3 2 2 2" xfId="524"/>
    <cellStyle name="Percent 2 2 3 2 2 2 2" xfId="5646"/>
    <cellStyle name="Percent 2 2 3 2 2 2 2 2" xfId="14069"/>
    <cellStyle name="Percent 2 2 3 2 2 2 2 3" xfId="19955"/>
    <cellStyle name="Percent 2 2 3 2 2 2 3" xfId="5647"/>
    <cellStyle name="Percent 2 2 3 2 2 2 3 2" xfId="14070"/>
    <cellStyle name="Percent 2 2 3 2 2 2 3 3" xfId="19956"/>
    <cellStyle name="Percent 2 2 3 2 2 2 4" xfId="5648"/>
    <cellStyle name="Percent 2 2 3 2 2 2 4 2" xfId="14071"/>
    <cellStyle name="Percent 2 2 3 2 2 2 4 3" xfId="19957"/>
    <cellStyle name="Percent 2 2 3 2 2 2 5" xfId="5649"/>
    <cellStyle name="Percent 2 2 3 2 2 2 5 2" xfId="14072"/>
    <cellStyle name="Percent 2 2 3 2 2 2 5 3" xfId="19958"/>
    <cellStyle name="Percent 2 2 3 2 2 2 6" xfId="5650"/>
    <cellStyle name="Percent 2 2 3 2 2 2 6 2" xfId="14073"/>
    <cellStyle name="Percent 2 2 3 2 2 2 6 3" xfId="19959"/>
    <cellStyle name="Percent 2 2 3 2 2 2 7" xfId="9343"/>
    <cellStyle name="Percent 2 2 3 2 2 2 8" xfId="19954"/>
    <cellStyle name="Percent 2 2 3 2 2 2_LNG &amp; LPG rework" xfId="7640"/>
    <cellStyle name="Percent 2 2 3 2 2 3" xfId="5651"/>
    <cellStyle name="Percent 2 2 3 2 2 3 2" xfId="5652"/>
    <cellStyle name="Percent 2 2 3 2 2 3 2 2" xfId="14075"/>
    <cellStyle name="Percent 2 2 3 2 2 3 2 3" xfId="19961"/>
    <cellStyle name="Percent 2 2 3 2 2 3 3" xfId="5653"/>
    <cellStyle name="Percent 2 2 3 2 2 3 3 2" xfId="14076"/>
    <cellStyle name="Percent 2 2 3 2 2 3 3 3" xfId="19962"/>
    <cellStyle name="Percent 2 2 3 2 2 3 4" xfId="5654"/>
    <cellStyle name="Percent 2 2 3 2 2 3 4 2" xfId="14077"/>
    <cellStyle name="Percent 2 2 3 2 2 3 4 3" xfId="19963"/>
    <cellStyle name="Percent 2 2 3 2 2 3 5" xfId="5655"/>
    <cellStyle name="Percent 2 2 3 2 2 3 5 2" xfId="14078"/>
    <cellStyle name="Percent 2 2 3 2 2 3 5 3" xfId="19964"/>
    <cellStyle name="Percent 2 2 3 2 2 3 6" xfId="14074"/>
    <cellStyle name="Percent 2 2 3 2 2 3 7" xfId="19960"/>
    <cellStyle name="Percent 2 2 3 2 2 3_LNG &amp; LPG rework" xfId="7641"/>
    <cellStyle name="Percent 2 2 3 2 2 4" xfId="5656"/>
    <cellStyle name="Percent 2 2 3 2 2 4 2" xfId="14079"/>
    <cellStyle name="Percent 2 2 3 2 2 4 3" xfId="19965"/>
    <cellStyle name="Percent 2 2 3 2 2 5" xfId="5657"/>
    <cellStyle name="Percent 2 2 3 2 2 5 2" xfId="14080"/>
    <cellStyle name="Percent 2 2 3 2 2 5 3" xfId="19966"/>
    <cellStyle name="Percent 2 2 3 2 2 6" xfId="5658"/>
    <cellStyle name="Percent 2 2 3 2 2 6 2" xfId="14081"/>
    <cellStyle name="Percent 2 2 3 2 2 6 3" xfId="19967"/>
    <cellStyle name="Percent 2 2 3 2 2 7" xfId="5659"/>
    <cellStyle name="Percent 2 2 3 2 2 7 2" xfId="14082"/>
    <cellStyle name="Percent 2 2 3 2 2 7 3" xfId="19968"/>
    <cellStyle name="Percent 2 2 3 2 2 8" xfId="5660"/>
    <cellStyle name="Percent 2 2 3 2 2 8 2" xfId="14083"/>
    <cellStyle name="Percent 2 2 3 2 2 8 3" xfId="19969"/>
    <cellStyle name="Percent 2 2 3 2 2 9" xfId="9342"/>
    <cellStyle name="Percent 2 2 3 2 2_LNG &amp; LPG rework" xfId="7639"/>
    <cellStyle name="Percent 2 2 3 2 3" xfId="525"/>
    <cellStyle name="Percent 2 2 3 2 3 2" xfId="5661"/>
    <cellStyle name="Percent 2 2 3 2 3 2 2" xfId="14084"/>
    <cellStyle name="Percent 2 2 3 2 3 2 3" xfId="19971"/>
    <cellStyle name="Percent 2 2 3 2 3 3" xfId="5662"/>
    <cellStyle name="Percent 2 2 3 2 3 3 2" xfId="14085"/>
    <cellStyle name="Percent 2 2 3 2 3 3 3" xfId="19972"/>
    <cellStyle name="Percent 2 2 3 2 3 4" xfId="5663"/>
    <cellStyle name="Percent 2 2 3 2 3 4 2" xfId="14086"/>
    <cellStyle name="Percent 2 2 3 2 3 4 3" xfId="19973"/>
    <cellStyle name="Percent 2 2 3 2 3 5" xfId="5664"/>
    <cellStyle name="Percent 2 2 3 2 3 5 2" xfId="14087"/>
    <cellStyle name="Percent 2 2 3 2 3 5 3" xfId="19974"/>
    <cellStyle name="Percent 2 2 3 2 3 6" xfId="5665"/>
    <cellStyle name="Percent 2 2 3 2 3 6 2" xfId="14088"/>
    <cellStyle name="Percent 2 2 3 2 3 6 3" xfId="19975"/>
    <cellStyle name="Percent 2 2 3 2 3 7" xfId="9344"/>
    <cellStyle name="Percent 2 2 3 2 3 8" xfId="19970"/>
    <cellStyle name="Percent 2 2 3 2 3_LNG &amp; LPG rework" xfId="7642"/>
    <cellStyle name="Percent 2 2 3 2 4" xfId="5666"/>
    <cellStyle name="Percent 2 2 3 2 4 2" xfId="5667"/>
    <cellStyle name="Percent 2 2 3 2 4 2 2" xfId="14090"/>
    <cellStyle name="Percent 2 2 3 2 4 2 3" xfId="19977"/>
    <cellStyle name="Percent 2 2 3 2 4 3" xfId="5668"/>
    <cellStyle name="Percent 2 2 3 2 4 3 2" xfId="14091"/>
    <cellStyle name="Percent 2 2 3 2 4 3 3" xfId="19978"/>
    <cellStyle name="Percent 2 2 3 2 4 4" xfId="5669"/>
    <cellStyle name="Percent 2 2 3 2 4 4 2" xfId="14092"/>
    <cellStyle name="Percent 2 2 3 2 4 4 3" xfId="19979"/>
    <cellStyle name="Percent 2 2 3 2 4 5" xfId="5670"/>
    <cellStyle name="Percent 2 2 3 2 4 5 2" xfId="14093"/>
    <cellStyle name="Percent 2 2 3 2 4 5 3" xfId="19980"/>
    <cellStyle name="Percent 2 2 3 2 4 6" xfId="14089"/>
    <cellStyle name="Percent 2 2 3 2 4 7" xfId="19976"/>
    <cellStyle name="Percent 2 2 3 2 4_LNG &amp; LPG rework" xfId="7643"/>
    <cellStyle name="Percent 2 2 3 2 5" xfId="5671"/>
    <cellStyle name="Percent 2 2 3 2 5 2" xfId="5672"/>
    <cellStyle name="Percent 2 2 3 2 5 2 2" xfId="14095"/>
    <cellStyle name="Percent 2 2 3 2 5 2 3" xfId="19982"/>
    <cellStyle name="Percent 2 2 3 2 5 3" xfId="5673"/>
    <cellStyle name="Percent 2 2 3 2 5 3 2" xfId="14096"/>
    <cellStyle name="Percent 2 2 3 2 5 3 3" xfId="19983"/>
    <cellStyle name="Percent 2 2 3 2 5 4" xfId="5674"/>
    <cellStyle name="Percent 2 2 3 2 5 4 2" xfId="14097"/>
    <cellStyle name="Percent 2 2 3 2 5 4 3" xfId="19984"/>
    <cellStyle name="Percent 2 2 3 2 5 5" xfId="5675"/>
    <cellStyle name="Percent 2 2 3 2 5 5 2" xfId="14098"/>
    <cellStyle name="Percent 2 2 3 2 5 5 3" xfId="19985"/>
    <cellStyle name="Percent 2 2 3 2 5 6" xfId="14094"/>
    <cellStyle name="Percent 2 2 3 2 5 7" xfId="19981"/>
    <cellStyle name="Percent 2 2 3 2 5_LNG &amp; LPG rework" xfId="7644"/>
    <cellStyle name="Percent 2 2 3 2 6" xfId="5676"/>
    <cellStyle name="Percent 2 2 3 2 6 2" xfId="14099"/>
    <cellStyle name="Percent 2 2 3 2 6 3" xfId="19986"/>
    <cellStyle name="Percent 2 2 3 2 7" xfId="5677"/>
    <cellStyle name="Percent 2 2 3 2 7 2" xfId="14100"/>
    <cellStyle name="Percent 2 2 3 2 7 3" xfId="19987"/>
    <cellStyle name="Percent 2 2 3 2 8" xfId="5678"/>
    <cellStyle name="Percent 2 2 3 2 8 2" xfId="14101"/>
    <cellStyle name="Percent 2 2 3 2 8 3" xfId="19988"/>
    <cellStyle name="Percent 2 2 3 2 9" xfId="5679"/>
    <cellStyle name="Percent 2 2 3 2 9 2" xfId="14102"/>
    <cellStyle name="Percent 2 2 3 2 9 3" xfId="19989"/>
    <cellStyle name="Percent 2 2 3 2_LNG &amp; LPG rework" xfId="7638"/>
    <cellStyle name="Percent 2 2 3 3" xfId="526"/>
    <cellStyle name="Percent 2 2 3 3 10" xfId="19990"/>
    <cellStyle name="Percent 2 2 3 3 2" xfId="527"/>
    <cellStyle name="Percent 2 2 3 3 2 2" xfId="5680"/>
    <cellStyle name="Percent 2 2 3 3 2 2 2" xfId="14103"/>
    <cellStyle name="Percent 2 2 3 3 2 2 3" xfId="19992"/>
    <cellStyle name="Percent 2 2 3 3 2 3" xfId="5681"/>
    <cellStyle name="Percent 2 2 3 3 2 3 2" xfId="14104"/>
    <cellStyle name="Percent 2 2 3 3 2 3 3" xfId="19993"/>
    <cellStyle name="Percent 2 2 3 3 2 4" xfId="5682"/>
    <cellStyle name="Percent 2 2 3 3 2 4 2" xfId="14105"/>
    <cellStyle name="Percent 2 2 3 3 2 4 3" xfId="19994"/>
    <cellStyle name="Percent 2 2 3 3 2 5" xfId="5683"/>
    <cellStyle name="Percent 2 2 3 3 2 5 2" xfId="14106"/>
    <cellStyle name="Percent 2 2 3 3 2 5 3" xfId="19995"/>
    <cellStyle name="Percent 2 2 3 3 2 6" xfId="5684"/>
    <cellStyle name="Percent 2 2 3 3 2 6 2" xfId="14107"/>
    <cellStyle name="Percent 2 2 3 3 2 6 3" xfId="19996"/>
    <cellStyle name="Percent 2 2 3 3 2 7" xfId="9346"/>
    <cellStyle name="Percent 2 2 3 3 2 8" xfId="19991"/>
    <cellStyle name="Percent 2 2 3 3 2_LNG &amp; LPG rework" xfId="7646"/>
    <cellStyle name="Percent 2 2 3 3 3" xfId="5685"/>
    <cellStyle name="Percent 2 2 3 3 3 2" xfId="5686"/>
    <cellStyle name="Percent 2 2 3 3 3 2 2" xfId="14109"/>
    <cellStyle name="Percent 2 2 3 3 3 2 3" xfId="19998"/>
    <cellStyle name="Percent 2 2 3 3 3 3" xfId="5687"/>
    <cellStyle name="Percent 2 2 3 3 3 3 2" xfId="14110"/>
    <cellStyle name="Percent 2 2 3 3 3 3 3" xfId="19999"/>
    <cellStyle name="Percent 2 2 3 3 3 4" xfId="5688"/>
    <cellStyle name="Percent 2 2 3 3 3 4 2" xfId="14111"/>
    <cellStyle name="Percent 2 2 3 3 3 4 3" xfId="20000"/>
    <cellStyle name="Percent 2 2 3 3 3 5" xfId="5689"/>
    <cellStyle name="Percent 2 2 3 3 3 5 2" xfId="14112"/>
    <cellStyle name="Percent 2 2 3 3 3 5 3" xfId="20001"/>
    <cellStyle name="Percent 2 2 3 3 3 6" xfId="14108"/>
    <cellStyle name="Percent 2 2 3 3 3 7" xfId="19997"/>
    <cellStyle name="Percent 2 2 3 3 3_LNG &amp; LPG rework" xfId="7647"/>
    <cellStyle name="Percent 2 2 3 3 4" xfId="5690"/>
    <cellStyle name="Percent 2 2 3 3 4 2" xfId="14113"/>
    <cellStyle name="Percent 2 2 3 3 4 3" xfId="20002"/>
    <cellStyle name="Percent 2 2 3 3 5" xfId="5691"/>
    <cellStyle name="Percent 2 2 3 3 5 2" xfId="14114"/>
    <cellStyle name="Percent 2 2 3 3 5 3" xfId="20003"/>
    <cellStyle name="Percent 2 2 3 3 6" xfId="5692"/>
    <cellStyle name="Percent 2 2 3 3 6 2" xfId="14115"/>
    <cellStyle name="Percent 2 2 3 3 6 3" xfId="20004"/>
    <cellStyle name="Percent 2 2 3 3 7" xfId="5693"/>
    <cellStyle name="Percent 2 2 3 3 7 2" xfId="14116"/>
    <cellStyle name="Percent 2 2 3 3 7 3" xfId="20005"/>
    <cellStyle name="Percent 2 2 3 3 8" xfId="5694"/>
    <cellStyle name="Percent 2 2 3 3 8 2" xfId="14117"/>
    <cellStyle name="Percent 2 2 3 3 8 3" xfId="20006"/>
    <cellStyle name="Percent 2 2 3 3 9" xfId="9345"/>
    <cellStyle name="Percent 2 2 3 3_LNG &amp; LPG rework" xfId="7645"/>
    <cellStyle name="Percent 2 2 3 4" xfId="528"/>
    <cellStyle name="Percent 2 2 3 4 2" xfId="5695"/>
    <cellStyle name="Percent 2 2 3 4 2 2" xfId="14118"/>
    <cellStyle name="Percent 2 2 3 4 2 3" xfId="20008"/>
    <cellStyle name="Percent 2 2 3 4 3" xfId="5696"/>
    <cellStyle name="Percent 2 2 3 4 3 2" xfId="14119"/>
    <cellStyle name="Percent 2 2 3 4 3 3" xfId="20009"/>
    <cellStyle name="Percent 2 2 3 4 4" xfId="5697"/>
    <cellStyle name="Percent 2 2 3 4 4 2" xfId="14120"/>
    <cellStyle name="Percent 2 2 3 4 4 3" xfId="20010"/>
    <cellStyle name="Percent 2 2 3 4 5" xfId="5698"/>
    <cellStyle name="Percent 2 2 3 4 5 2" xfId="14121"/>
    <cellStyle name="Percent 2 2 3 4 5 3" xfId="20011"/>
    <cellStyle name="Percent 2 2 3 4 6" xfId="5699"/>
    <cellStyle name="Percent 2 2 3 4 6 2" xfId="14122"/>
    <cellStyle name="Percent 2 2 3 4 6 3" xfId="20012"/>
    <cellStyle name="Percent 2 2 3 4 7" xfId="9347"/>
    <cellStyle name="Percent 2 2 3 4 8" xfId="20007"/>
    <cellStyle name="Percent 2 2 3 4_LNG &amp; LPG rework" xfId="7648"/>
    <cellStyle name="Percent 2 2 3 5" xfId="5700"/>
    <cellStyle name="Percent 2 2 3 5 2" xfId="5701"/>
    <cellStyle name="Percent 2 2 3 5 2 2" xfId="14124"/>
    <cellStyle name="Percent 2 2 3 5 2 3" xfId="20014"/>
    <cellStyle name="Percent 2 2 3 5 3" xfId="5702"/>
    <cellStyle name="Percent 2 2 3 5 3 2" xfId="14125"/>
    <cellStyle name="Percent 2 2 3 5 3 3" xfId="20015"/>
    <cellStyle name="Percent 2 2 3 5 4" xfId="5703"/>
    <cellStyle name="Percent 2 2 3 5 4 2" xfId="14126"/>
    <cellStyle name="Percent 2 2 3 5 4 3" xfId="20016"/>
    <cellStyle name="Percent 2 2 3 5 5" xfId="5704"/>
    <cellStyle name="Percent 2 2 3 5 5 2" xfId="14127"/>
    <cellStyle name="Percent 2 2 3 5 5 3" xfId="20017"/>
    <cellStyle name="Percent 2 2 3 5 6" xfId="14123"/>
    <cellStyle name="Percent 2 2 3 5 7" xfId="20013"/>
    <cellStyle name="Percent 2 2 3 5_LNG &amp; LPG rework" xfId="7649"/>
    <cellStyle name="Percent 2 2 3 6" xfId="5705"/>
    <cellStyle name="Percent 2 2 3 6 2" xfId="5706"/>
    <cellStyle name="Percent 2 2 3 6 2 2" xfId="14129"/>
    <cellStyle name="Percent 2 2 3 6 2 3" xfId="20019"/>
    <cellStyle name="Percent 2 2 3 6 3" xfId="5707"/>
    <cellStyle name="Percent 2 2 3 6 3 2" xfId="14130"/>
    <cellStyle name="Percent 2 2 3 6 3 3" xfId="20020"/>
    <cellStyle name="Percent 2 2 3 6 4" xfId="5708"/>
    <cellStyle name="Percent 2 2 3 6 4 2" xfId="14131"/>
    <cellStyle name="Percent 2 2 3 6 4 3" xfId="20021"/>
    <cellStyle name="Percent 2 2 3 6 5" xfId="5709"/>
    <cellStyle name="Percent 2 2 3 6 5 2" xfId="14132"/>
    <cellStyle name="Percent 2 2 3 6 5 3" xfId="20022"/>
    <cellStyle name="Percent 2 2 3 6 6" xfId="14128"/>
    <cellStyle name="Percent 2 2 3 6 7" xfId="20018"/>
    <cellStyle name="Percent 2 2 3 6_LNG &amp; LPG rework" xfId="7650"/>
    <cellStyle name="Percent 2 2 3 7" xfId="5710"/>
    <cellStyle name="Percent 2 2 3 7 2" xfId="14133"/>
    <cellStyle name="Percent 2 2 3 7 3" xfId="20023"/>
    <cellStyle name="Percent 2 2 3 8" xfId="5711"/>
    <cellStyle name="Percent 2 2 3 8 2" xfId="14134"/>
    <cellStyle name="Percent 2 2 3 8 3" xfId="20024"/>
    <cellStyle name="Percent 2 2 3 9" xfId="5712"/>
    <cellStyle name="Percent 2 2 3 9 2" xfId="14135"/>
    <cellStyle name="Percent 2 2 3 9 3" xfId="20025"/>
    <cellStyle name="Percent 2 2 3_LNG &amp; LPG rework" xfId="7637"/>
    <cellStyle name="Percent 2 2 4" xfId="529"/>
    <cellStyle name="Percent 2 2 4 10" xfId="5713"/>
    <cellStyle name="Percent 2 2 4 10 2" xfId="14136"/>
    <cellStyle name="Percent 2 2 4 10 3" xfId="20027"/>
    <cellStyle name="Percent 2 2 4 11" xfId="9348"/>
    <cellStyle name="Percent 2 2 4 12" xfId="20026"/>
    <cellStyle name="Percent 2 2 4 2" xfId="530"/>
    <cellStyle name="Percent 2 2 4 2 10" xfId="20028"/>
    <cellStyle name="Percent 2 2 4 2 2" xfId="531"/>
    <cellStyle name="Percent 2 2 4 2 2 2" xfId="5714"/>
    <cellStyle name="Percent 2 2 4 2 2 2 2" xfId="14137"/>
    <cellStyle name="Percent 2 2 4 2 2 2 3" xfId="20030"/>
    <cellStyle name="Percent 2 2 4 2 2 3" xfId="5715"/>
    <cellStyle name="Percent 2 2 4 2 2 3 2" xfId="14138"/>
    <cellStyle name="Percent 2 2 4 2 2 3 3" xfId="20031"/>
    <cellStyle name="Percent 2 2 4 2 2 4" xfId="5716"/>
    <cellStyle name="Percent 2 2 4 2 2 4 2" xfId="14139"/>
    <cellStyle name="Percent 2 2 4 2 2 4 3" xfId="20032"/>
    <cellStyle name="Percent 2 2 4 2 2 5" xfId="5717"/>
    <cellStyle name="Percent 2 2 4 2 2 5 2" xfId="14140"/>
    <cellStyle name="Percent 2 2 4 2 2 5 3" xfId="20033"/>
    <cellStyle name="Percent 2 2 4 2 2 6" xfId="5718"/>
    <cellStyle name="Percent 2 2 4 2 2 6 2" xfId="14141"/>
    <cellStyle name="Percent 2 2 4 2 2 6 3" xfId="20034"/>
    <cellStyle name="Percent 2 2 4 2 2 7" xfId="9350"/>
    <cellStyle name="Percent 2 2 4 2 2 8" xfId="20029"/>
    <cellStyle name="Percent 2 2 4 2 2_LNG &amp; LPG rework" xfId="7653"/>
    <cellStyle name="Percent 2 2 4 2 3" xfId="5719"/>
    <cellStyle name="Percent 2 2 4 2 3 2" xfId="5720"/>
    <cellStyle name="Percent 2 2 4 2 3 2 2" xfId="14143"/>
    <cellStyle name="Percent 2 2 4 2 3 2 3" xfId="20036"/>
    <cellStyle name="Percent 2 2 4 2 3 3" xfId="5721"/>
    <cellStyle name="Percent 2 2 4 2 3 3 2" xfId="14144"/>
    <cellStyle name="Percent 2 2 4 2 3 3 3" xfId="20037"/>
    <cellStyle name="Percent 2 2 4 2 3 4" xfId="5722"/>
    <cellStyle name="Percent 2 2 4 2 3 4 2" xfId="14145"/>
    <cellStyle name="Percent 2 2 4 2 3 4 3" xfId="20038"/>
    <cellStyle name="Percent 2 2 4 2 3 5" xfId="5723"/>
    <cellStyle name="Percent 2 2 4 2 3 5 2" xfId="14146"/>
    <cellStyle name="Percent 2 2 4 2 3 5 3" xfId="20039"/>
    <cellStyle name="Percent 2 2 4 2 3 6" xfId="14142"/>
    <cellStyle name="Percent 2 2 4 2 3 7" xfId="20035"/>
    <cellStyle name="Percent 2 2 4 2 3_LNG &amp; LPG rework" xfId="7654"/>
    <cellStyle name="Percent 2 2 4 2 4" xfId="5724"/>
    <cellStyle name="Percent 2 2 4 2 4 2" xfId="14147"/>
    <cellStyle name="Percent 2 2 4 2 4 3" xfId="20040"/>
    <cellStyle name="Percent 2 2 4 2 5" xfId="5725"/>
    <cellStyle name="Percent 2 2 4 2 5 2" xfId="14148"/>
    <cellStyle name="Percent 2 2 4 2 5 3" xfId="20041"/>
    <cellStyle name="Percent 2 2 4 2 6" xfId="5726"/>
    <cellStyle name="Percent 2 2 4 2 6 2" xfId="14149"/>
    <cellStyle name="Percent 2 2 4 2 6 3" xfId="20042"/>
    <cellStyle name="Percent 2 2 4 2 7" xfId="5727"/>
    <cellStyle name="Percent 2 2 4 2 7 2" xfId="14150"/>
    <cellStyle name="Percent 2 2 4 2 7 3" xfId="20043"/>
    <cellStyle name="Percent 2 2 4 2 8" xfId="5728"/>
    <cellStyle name="Percent 2 2 4 2 8 2" xfId="14151"/>
    <cellStyle name="Percent 2 2 4 2 8 3" xfId="20044"/>
    <cellStyle name="Percent 2 2 4 2 9" xfId="9349"/>
    <cellStyle name="Percent 2 2 4 2_LNG &amp; LPG rework" xfId="7652"/>
    <cellStyle name="Percent 2 2 4 3" xfId="532"/>
    <cellStyle name="Percent 2 2 4 3 2" xfId="5729"/>
    <cellStyle name="Percent 2 2 4 3 2 2" xfId="14152"/>
    <cellStyle name="Percent 2 2 4 3 2 3" xfId="20046"/>
    <cellStyle name="Percent 2 2 4 3 3" xfId="5730"/>
    <cellStyle name="Percent 2 2 4 3 3 2" xfId="14153"/>
    <cellStyle name="Percent 2 2 4 3 3 3" xfId="20047"/>
    <cellStyle name="Percent 2 2 4 3 4" xfId="5731"/>
    <cellStyle name="Percent 2 2 4 3 4 2" xfId="14154"/>
    <cellStyle name="Percent 2 2 4 3 4 3" xfId="20048"/>
    <cellStyle name="Percent 2 2 4 3 5" xfId="5732"/>
    <cellStyle name="Percent 2 2 4 3 5 2" xfId="14155"/>
    <cellStyle name="Percent 2 2 4 3 5 3" xfId="20049"/>
    <cellStyle name="Percent 2 2 4 3 6" xfId="5733"/>
    <cellStyle name="Percent 2 2 4 3 6 2" xfId="14156"/>
    <cellStyle name="Percent 2 2 4 3 6 3" xfId="20050"/>
    <cellStyle name="Percent 2 2 4 3 7" xfId="9351"/>
    <cellStyle name="Percent 2 2 4 3 8" xfId="20045"/>
    <cellStyle name="Percent 2 2 4 3_LNG &amp; LPG rework" xfId="7655"/>
    <cellStyle name="Percent 2 2 4 4" xfId="5734"/>
    <cellStyle name="Percent 2 2 4 4 2" xfId="5735"/>
    <cellStyle name="Percent 2 2 4 4 2 2" xfId="14158"/>
    <cellStyle name="Percent 2 2 4 4 2 3" xfId="20052"/>
    <cellStyle name="Percent 2 2 4 4 3" xfId="5736"/>
    <cellStyle name="Percent 2 2 4 4 3 2" xfId="14159"/>
    <cellStyle name="Percent 2 2 4 4 3 3" xfId="20053"/>
    <cellStyle name="Percent 2 2 4 4 4" xfId="5737"/>
    <cellStyle name="Percent 2 2 4 4 4 2" xfId="14160"/>
    <cellStyle name="Percent 2 2 4 4 4 3" xfId="20054"/>
    <cellStyle name="Percent 2 2 4 4 5" xfId="5738"/>
    <cellStyle name="Percent 2 2 4 4 5 2" xfId="14161"/>
    <cellStyle name="Percent 2 2 4 4 5 3" xfId="20055"/>
    <cellStyle name="Percent 2 2 4 4 6" xfId="14157"/>
    <cellStyle name="Percent 2 2 4 4 7" xfId="20051"/>
    <cellStyle name="Percent 2 2 4 4_LNG &amp; LPG rework" xfId="7656"/>
    <cellStyle name="Percent 2 2 4 5" xfId="5739"/>
    <cellStyle name="Percent 2 2 4 5 2" xfId="5740"/>
    <cellStyle name="Percent 2 2 4 5 2 2" xfId="14163"/>
    <cellStyle name="Percent 2 2 4 5 2 3" xfId="20057"/>
    <cellStyle name="Percent 2 2 4 5 3" xfId="5741"/>
    <cellStyle name="Percent 2 2 4 5 3 2" xfId="14164"/>
    <cellStyle name="Percent 2 2 4 5 3 3" xfId="20058"/>
    <cellStyle name="Percent 2 2 4 5 4" xfId="5742"/>
    <cellStyle name="Percent 2 2 4 5 4 2" xfId="14165"/>
    <cellStyle name="Percent 2 2 4 5 4 3" xfId="20059"/>
    <cellStyle name="Percent 2 2 4 5 5" xfId="5743"/>
    <cellStyle name="Percent 2 2 4 5 5 2" xfId="14166"/>
    <cellStyle name="Percent 2 2 4 5 5 3" xfId="20060"/>
    <cellStyle name="Percent 2 2 4 5 6" xfId="14162"/>
    <cellStyle name="Percent 2 2 4 5 7" xfId="20056"/>
    <cellStyle name="Percent 2 2 4 5_LNG &amp; LPG rework" xfId="7657"/>
    <cellStyle name="Percent 2 2 4 6" xfId="5744"/>
    <cellStyle name="Percent 2 2 4 6 2" xfId="14167"/>
    <cellStyle name="Percent 2 2 4 6 3" xfId="20061"/>
    <cellStyle name="Percent 2 2 4 7" xfId="5745"/>
    <cellStyle name="Percent 2 2 4 7 2" xfId="14168"/>
    <cellStyle name="Percent 2 2 4 7 3" xfId="20062"/>
    <cellStyle name="Percent 2 2 4 8" xfId="5746"/>
    <cellStyle name="Percent 2 2 4 8 2" xfId="14169"/>
    <cellStyle name="Percent 2 2 4 8 3" xfId="20063"/>
    <cellStyle name="Percent 2 2 4 9" xfId="5747"/>
    <cellStyle name="Percent 2 2 4 9 2" xfId="14170"/>
    <cellStyle name="Percent 2 2 4 9 3" xfId="20064"/>
    <cellStyle name="Percent 2 2 4_LNG &amp; LPG rework" xfId="7651"/>
    <cellStyle name="Percent 2 2 5" xfId="533"/>
    <cellStyle name="Percent 2 2 5 10" xfId="20065"/>
    <cellStyle name="Percent 2 2 5 2" xfId="534"/>
    <cellStyle name="Percent 2 2 5 2 2" xfId="5748"/>
    <cellStyle name="Percent 2 2 5 2 2 2" xfId="14171"/>
    <cellStyle name="Percent 2 2 5 2 2 3" xfId="20067"/>
    <cellStyle name="Percent 2 2 5 2 3" xfId="5749"/>
    <cellStyle name="Percent 2 2 5 2 3 2" xfId="14172"/>
    <cellStyle name="Percent 2 2 5 2 3 3" xfId="20068"/>
    <cellStyle name="Percent 2 2 5 2 4" xfId="5750"/>
    <cellStyle name="Percent 2 2 5 2 4 2" xfId="14173"/>
    <cellStyle name="Percent 2 2 5 2 4 3" xfId="20069"/>
    <cellStyle name="Percent 2 2 5 2 5" xfId="5751"/>
    <cellStyle name="Percent 2 2 5 2 5 2" xfId="14174"/>
    <cellStyle name="Percent 2 2 5 2 5 3" xfId="20070"/>
    <cellStyle name="Percent 2 2 5 2 6" xfId="5752"/>
    <cellStyle name="Percent 2 2 5 2 6 2" xfId="14175"/>
    <cellStyle name="Percent 2 2 5 2 6 3" xfId="20071"/>
    <cellStyle name="Percent 2 2 5 2 7" xfId="9353"/>
    <cellStyle name="Percent 2 2 5 2 8" xfId="20066"/>
    <cellStyle name="Percent 2 2 5 2_LNG &amp; LPG rework" xfId="7659"/>
    <cellStyle name="Percent 2 2 5 3" xfId="5753"/>
    <cellStyle name="Percent 2 2 5 3 2" xfId="5754"/>
    <cellStyle name="Percent 2 2 5 3 2 2" xfId="14177"/>
    <cellStyle name="Percent 2 2 5 3 2 3" xfId="20073"/>
    <cellStyle name="Percent 2 2 5 3 3" xfId="5755"/>
    <cellStyle name="Percent 2 2 5 3 3 2" xfId="14178"/>
    <cellStyle name="Percent 2 2 5 3 3 3" xfId="20074"/>
    <cellStyle name="Percent 2 2 5 3 4" xfId="5756"/>
    <cellStyle name="Percent 2 2 5 3 4 2" xfId="14179"/>
    <cellStyle name="Percent 2 2 5 3 4 3" xfId="20075"/>
    <cellStyle name="Percent 2 2 5 3 5" xfId="5757"/>
    <cellStyle name="Percent 2 2 5 3 5 2" xfId="14180"/>
    <cellStyle name="Percent 2 2 5 3 5 3" xfId="20076"/>
    <cellStyle name="Percent 2 2 5 3 6" xfId="14176"/>
    <cellStyle name="Percent 2 2 5 3 7" xfId="20072"/>
    <cellStyle name="Percent 2 2 5 3_LNG &amp; LPG rework" xfId="7660"/>
    <cellStyle name="Percent 2 2 5 4" xfId="5758"/>
    <cellStyle name="Percent 2 2 5 4 2" xfId="14181"/>
    <cellStyle name="Percent 2 2 5 4 3" xfId="20077"/>
    <cellStyle name="Percent 2 2 5 5" xfId="5759"/>
    <cellStyle name="Percent 2 2 5 5 2" xfId="14182"/>
    <cellStyle name="Percent 2 2 5 5 3" xfId="20078"/>
    <cellStyle name="Percent 2 2 5 6" xfId="5760"/>
    <cellStyle name="Percent 2 2 5 6 2" xfId="14183"/>
    <cellStyle name="Percent 2 2 5 6 3" xfId="20079"/>
    <cellStyle name="Percent 2 2 5 7" xfId="5761"/>
    <cellStyle name="Percent 2 2 5 7 2" xfId="14184"/>
    <cellStyle name="Percent 2 2 5 7 3" xfId="20080"/>
    <cellStyle name="Percent 2 2 5 8" xfId="5762"/>
    <cellStyle name="Percent 2 2 5 8 2" xfId="14185"/>
    <cellStyle name="Percent 2 2 5 8 3" xfId="20081"/>
    <cellStyle name="Percent 2 2 5 9" xfId="9352"/>
    <cellStyle name="Percent 2 2 5_LNG &amp; LPG rework" xfId="7658"/>
    <cellStyle name="Percent 2 2 6" xfId="535"/>
    <cellStyle name="Percent 2 2 6 2" xfId="5763"/>
    <cellStyle name="Percent 2 2 6 2 2" xfId="14186"/>
    <cellStyle name="Percent 2 2 6 2 3" xfId="20083"/>
    <cellStyle name="Percent 2 2 6 3" xfId="5764"/>
    <cellStyle name="Percent 2 2 6 3 2" xfId="14187"/>
    <cellStyle name="Percent 2 2 6 3 3" xfId="20084"/>
    <cellStyle name="Percent 2 2 6 4" xfId="9354"/>
    <cellStyle name="Percent 2 2 6 5" xfId="20082"/>
    <cellStyle name="Percent 2 2 6_LNG &amp; LPG rework" xfId="7661"/>
    <cellStyle name="Percent 2 2 7" xfId="504"/>
    <cellStyle name="Percent 2 2 7 2" xfId="5765"/>
    <cellStyle name="Percent 2 2 7 2 2" xfId="14188"/>
    <cellStyle name="Percent 2 2 7 2 3" xfId="20086"/>
    <cellStyle name="Percent 2 2 7 3" xfId="5766"/>
    <cellStyle name="Percent 2 2 7 3 2" xfId="14189"/>
    <cellStyle name="Percent 2 2 7 3 3" xfId="20087"/>
    <cellStyle name="Percent 2 2 7 4" xfId="5767"/>
    <cellStyle name="Percent 2 2 7 4 2" xfId="14190"/>
    <cellStyle name="Percent 2 2 7 4 3" xfId="20088"/>
    <cellStyle name="Percent 2 2 7 5" xfId="5768"/>
    <cellStyle name="Percent 2 2 7 5 2" xfId="14191"/>
    <cellStyle name="Percent 2 2 7 5 3" xfId="20089"/>
    <cellStyle name="Percent 2 2 7 6" xfId="9323"/>
    <cellStyle name="Percent 2 2 7 7" xfId="20085"/>
    <cellStyle name="Percent 2 2 7_LNG &amp; LPG rework" xfId="7662"/>
    <cellStyle name="Percent 2 2 8" xfId="5769"/>
    <cellStyle name="Percent 2 2 8 2" xfId="5770"/>
    <cellStyle name="Percent 2 2 8 2 2" xfId="14193"/>
    <cellStyle name="Percent 2 2 8 2 3" xfId="20091"/>
    <cellStyle name="Percent 2 2 8 3" xfId="5771"/>
    <cellStyle name="Percent 2 2 8 3 2" xfId="14194"/>
    <cellStyle name="Percent 2 2 8 3 3" xfId="20092"/>
    <cellStyle name="Percent 2 2 8 4" xfId="5772"/>
    <cellStyle name="Percent 2 2 8 4 2" xfId="14195"/>
    <cellStyle name="Percent 2 2 8 4 3" xfId="20093"/>
    <cellStyle name="Percent 2 2 8 5" xfId="5773"/>
    <cellStyle name="Percent 2 2 8 5 2" xfId="14196"/>
    <cellStyle name="Percent 2 2 8 5 3" xfId="20094"/>
    <cellStyle name="Percent 2 2 8 6" xfId="14192"/>
    <cellStyle name="Percent 2 2 8 7" xfId="20090"/>
    <cellStyle name="Percent 2 2 8_LNG &amp; LPG rework" xfId="7663"/>
    <cellStyle name="Percent 2 2 9" xfId="5774"/>
    <cellStyle name="Percent 2 2 9 2" xfId="5775"/>
    <cellStyle name="Percent 2 2 9 2 2" xfId="14198"/>
    <cellStyle name="Percent 2 2 9 2 3" xfId="20096"/>
    <cellStyle name="Percent 2 2 9 3" xfId="5776"/>
    <cellStyle name="Percent 2 2 9 3 2" xfId="14199"/>
    <cellStyle name="Percent 2 2 9 3 3" xfId="20097"/>
    <cellStyle name="Percent 2 2 9 4" xfId="5777"/>
    <cellStyle name="Percent 2 2 9 4 2" xfId="14200"/>
    <cellStyle name="Percent 2 2 9 4 3" xfId="20098"/>
    <cellStyle name="Percent 2 2 9 5" xfId="5778"/>
    <cellStyle name="Percent 2 2 9 5 2" xfId="14201"/>
    <cellStyle name="Percent 2 2 9 5 3" xfId="20099"/>
    <cellStyle name="Percent 2 2 9 6" xfId="14197"/>
    <cellStyle name="Percent 2 2 9 7" xfId="20095"/>
    <cellStyle name="Percent 2 2 9_LNG &amp; LPG rework" xfId="7664"/>
    <cellStyle name="Percent 2 2_LNG &amp; LPG rework" xfId="7608"/>
    <cellStyle name="Percent 2 3" xfId="536"/>
    <cellStyle name="Percent 2 3 10" xfId="5779"/>
    <cellStyle name="Percent 2 3 10 2" xfId="14202"/>
    <cellStyle name="Percent 2 3 10 3" xfId="20101"/>
    <cellStyle name="Percent 2 3 11" xfId="5780"/>
    <cellStyle name="Percent 2 3 11 2" xfId="14203"/>
    <cellStyle name="Percent 2 3 11 3" xfId="20102"/>
    <cellStyle name="Percent 2 3 12" xfId="5781"/>
    <cellStyle name="Percent 2 3 12 2" xfId="14204"/>
    <cellStyle name="Percent 2 3 12 3" xfId="20103"/>
    <cellStyle name="Percent 2 3 13" xfId="5782"/>
    <cellStyle name="Percent 2 3 13 2" xfId="14205"/>
    <cellStyle name="Percent 2 3 13 3" xfId="20104"/>
    <cellStyle name="Percent 2 3 14" xfId="9355"/>
    <cellStyle name="Percent 2 3 15" xfId="20100"/>
    <cellStyle name="Percent 2 3 2" xfId="537"/>
    <cellStyle name="Percent 2 3 2 10" xfId="5783"/>
    <cellStyle name="Percent 2 3 2 10 2" xfId="14206"/>
    <cellStyle name="Percent 2 3 2 10 3" xfId="20106"/>
    <cellStyle name="Percent 2 3 2 11" xfId="5784"/>
    <cellStyle name="Percent 2 3 2 11 2" xfId="14207"/>
    <cellStyle name="Percent 2 3 2 11 3" xfId="20107"/>
    <cellStyle name="Percent 2 3 2 12" xfId="5785"/>
    <cellStyle name="Percent 2 3 2 12 2" xfId="14208"/>
    <cellStyle name="Percent 2 3 2 12 3" xfId="20108"/>
    <cellStyle name="Percent 2 3 2 13" xfId="9356"/>
    <cellStyle name="Percent 2 3 2 14" xfId="20105"/>
    <cellStyle name="Percent 2 3 2 2" xfId="538"/>
    <cellStyle name="Percent 2 3 2 2 10" xfId="5786"/>
    <cellStyle name="Percent 2 3 2 2 10 2" xfId="14209"/>
    <cellStyle name="Percent 2 3 2 2 10 3" xfId="20110"/>
    <cellStyle name="Percent 2 3 2 2 11" xfId="5787"/>
    <cellStyle name="Percent 2 3 2 2 11 2" xfId="14210"/>
    <cellStyle name="Percent 2 3 2 2 11 3" xfId="20111"/>
    <cellStyle name="Percent 2 3 2 2 12" xfId="9357"/>
    <cellStyle name="Percent 2 3 2 2 13" xfId="20109"/>
    <cellStyle name="Percent 2 3 2 2 2" xfId="539"/>
    <cellStyle name="Percent 2 3 2 2 2 10" xfId="5788"/>
    <cellStyle name="Percent 2 3 2 2 2 10 2" xfId="14211"/>
    <cellStyle name="Percent 2 3 2 2 2 10 3" xfId="20113"/>
    <cellStyle name="Percent 2 3 2 2 2 11" xfId="9358"/>
    <cellStyle name="Percent 2 3 2 2 2 12" xfId="20112"/>
    <cellStyle name="Percent 2 3 2 2 2 2" xfId="540"/>
    <cellStyle name="Percent 2 3 2 2 2 2 10" xfId="20114"/>
    <cellStyle name="Percent 2 3 2 2 2 2 2" xfId="541"/>
    <cellStyle name="Percent 2 3 2 2 2 2 2 2" xfId="5789"/>
    <cellStyle name="Percent 2 3 2 2 2 2 2 2 2" xfId="14212"/>
    <cellStyle name="Percent 2 3 2 2 2 2 2 2 3" xfId="20116"/>
    <cellStyle name="Percent 2 3 2 2 2 2 2 3" xfId="5790"/>
    <cellStyle name="Percent 2 3 2 2 2 2 2 3 2" xfId="14213"/>
    <cellStyle name="Percent 2 3 2 2 2 2 2 3 3" xfId="20117"/>
    <cellStyle name="Percent 2 3 2 2 2 2 2 4" xfId="5791"/>
    <cellStyle name="Percent 2 3 2 2 2 2 2 4 2" xfId="14214"/>
    <cellStyle name="Percent 2 3 2 2 2 2 2 4 3" xfId="20118"/>
    <cellStyle name="Percent 2 3 2 2 2 2 2 5" xfId="5792"/>
    <cellStyle name="Percent 2 3 2 2 2 2 2 5 2" xfId="14215"/>
    <cellStyle name="Percent 2 3 2 2 2 2 2 5 3" xfId="20119"/>
    <cellStyle name="Percent 2 3 2 2 2 2 2 6" xfId="5793"/>
    <cellStyle name="Percent 2 3 2 2 2 2 2 6 2" xfId="14216"/>
    <cellStyle name="Percent 2 3 2 2 2 2 2 6 3" xfId="20120"/>
    <cellStyle name="Percent 2 3 2 2 2 2 2 7" xfId="9360"/>
    <cellStyle name="Percent 2 3 2 2 2 2 2 8" xfId="20115"/>
    <cellStyle name="Percent 2 3 2 2 2 2 2_LNG &amp; LPG rework" xfId="7670"/>
    <cellStyle name="Percent 2 3 2 2 2 2 3" xfId="5794"/>
    <cellStyle name="Percent 2 3 2 2 2 2 3 2" xfId="5795"/>
    <cellStyle name="Percent 2 3 2 2 2 2 3 2 2" xfId="14218"/>
    <cellStyle name="Percent 2 3 2 2 2 2 3 2 3" xfId="20122"/>
    <cellStyle name="Percent 2 3 2 2 2 2 3 3" xfId="5796"/>
    <cellStyle name="Percent 2 3 2 2 2 2 3 3 2" xfId="14219"/>
    <cellStyle name="Percent 2 3 2 2 2 2 3 3 3" xfId="20123"/>
    <cellStyle name="Percent 2 3 2 2 2 2 3 4" xfId="5797"/>
    <cellStyle name="Percent 2 3 2 2 2 2 3 4 2" xfId="14220"/>
    <cellStyle name="Percent 2 3 2 2 2 2 3 4 3" xfId="20124"/>
    <cellStyle name="Percent 2 3 2 2 2 2 3 5" xfId="5798"/>
    <cellStyle name="Percent 2 3 2 2 2 2 3 5 2" xfId="14221"/>
    <cellStyle name="Percent 2 3 2 2 2 2 3 5 3" xfId="20125"/>
    <cellStyle name="Percent 2 3 2 2 2 2 3 6" xfId="14217"/>
    <cellStyle name="Percent 2 3 2 2 2 2 3 7" xfId="20121"/>
    <cellStyle name="Percent 2 3 2 2 2 2 3_LNG &amp; LPG rework" xfId="7671"/>
    <cellStyle name="Percent 2 3 2 2 2 2 4" xfId="5799"/>
    <cellStyle name="Percent 2 3 2 2 2 2 4 2" xfId="14222"/>
    <cellStyle name="Percent 2 3 2 2 2 2 4 3" xfId="20126"/>
    <cellStyle name="Percent 2 3 2 2 2 2 5" xfId="5800"/>
    <cellStyle name="Percent 2 3 2 2 2 2 5 2" xfId="14223"/>
    <cellStyle name="Percent 2 3 2 2 2 2 5 3" xfId="20127"/>
    <cellStyle name="Percent 2 3 2 2 2 2 6" xfId="5801"/>
    <cellStyle name="Percent 2 3 2 2 2 2 6 2" xfId="14224"/>
    <cellStyle name="Percent 2 3 2 2 2 2 6 3" xfId="20128"/>
    <cellStyle name="Percent 2 3 2 2 2 2 7" xfId="5802"/>
    <cellStyle name="Percent 2 3 2 2 2 2 7 2" xfId="14225"/>
    <cellStyle name="Percent 2 3 2 2 2 2 7 3" xfId="20129"/>
    <cellStyle name="Percent 2 3 2 2 2 2 8" xfId="5803"/>
    <cellStyle name="Percent 2 3 2 2 2 2 8 2" xfId="14226"/>
    <cellStyle name="Percent 2 3 2 2 2 2 8 3" xfId="20130"/>
    <cellStyle name="Percent 2 3 2 2 2 2 9" xfId="9359"/>
    <cellStyle name="Percent 2 3 2 2 2 2_LNG &amp; LPG rework" xfId="7669"/>
    <cellStyle name="Percent 2 3 2 2 2 3" xfId="542"/>
    <cellStyle name="Percent 2 3 2 2 2 3 2" xfId="5804"/>
    <cellStyle name="Percent 2 3 2 2 2 3 2 2" xfId="14227"/>
    <cellStyle name="Percent 2 3 2 2 2 3 2 3" xfId="20132"/>
    <cellStyle name="Percent 2 3 2 2 2 3 3" xfId="5805"/>
    <cellStyle name="Percent 2 3 2 2 2 3 3 2" xfId="14228"/>
    <cellStyle name="Percent 2 3 2 2 2 3 3 3" xfId="20133"/>
    <cellStyle name="Percent 2 3 2 2 2 3 4" xfId="5806"/>
    <cellStyle name="Percent 2 3 2 2 2 3 4 2" xfId="14229"/>
    <cellStyle name="Percent 2 3 2 2 2 3 4 3" xfId="20134"/>
    <cellStyle name="Percent 2 3 2 2 2 3 5" xfId="5807"/>
    <cellStyle name="Percent 2 3 2 2 2 3 5 2" xfId="14230"/>
    <cellStyle name="Percent 2 3 2 2 2 3 5 3" xfId="20135"/>
    <cellStyle name="Percent 2 3 2 2 2 3 6" xfId="5808"/>
    <cellStyle name="Percent 2 3 2 2 2 3 6 2" xfId="14231"/>
    <cellStyle name="Percent 2 3 2 2 2 3 6 3" xfId="20136"/>
    <cellStyle name="Percent 2 3 2 2 2 3 7" xfId="9361"/>
    <cellStyle name="Percent 2 3 2 2 2 3 8" xfId="20131"/>
    <cellStyle name="Percent 2 3 2 2 2 3_LNG &amp; LPG rework" xfId="7672"/>
    <cellStyle name="Percent 2 3 2 2 2 4" xfId="5809"/>
    <cellStyle name="Percent 2 3 2 2 2 4 2" xfId="5810"/>
    <cellStyle name="Percent 2 3 2 2 2 4 2 2" xfId="14233"/>
    <cellStyle name="Percent 2 3 2 2 2 4 2 3" xfId="20138"/>
    <cellStyle name="Percent 2 3 2 2 2 4 3" xfId="5811"/>
    <cellStyle name="Percent 2 3 2 2 2 4 3 2" xfId="14234"/>
    <cellStyle name="Percent 2 3 2 2 2 4 3 3" xfId="20139"/>
    <cellStyle name="Percent 2 3 2 2 2 4 4" xfId="5812"/>
    <cellStyle name="Percent 2 3 2 2 2 4 4 2" xfId="14235"/>
    <cellStyle name="Percent 2 3 2 2 2 4 4 3" xfId="20140"/>
    <cellStyle name="Percent 2 3 2 2 2 4 5" xfId="5813"/>
    <cellStyle name="Percent 2 3 2 2 2 4 5 2" xfId="14236"/>
    <cellStyle name="Percent 2 3 2 2 2 4 5 3" xfId="20141"/>
    <cellStyle name="Percent 2 3 2 2 2 4 6" xfId="14232"/>
    <cellStyle name="Percent 2 3 2 2 2 4 7" xfId="20137"/>
    <cellStyle name="Percent 2 3 2 2 2 4_LNG &amp; LPG rework" xfId="7673"/>
    <cellStyle name="Percent 2 3 2 2 2 5" xfId="5814"/>
    <cellStyle name="Percent 2 3 2 2 2 5 2" xfId="5815"/>
    <cellStyle name="Percent 2 3 2 2 2 5 2 2" xfId="14238"/>
    <cellStyle name="Percent 2 3 2 2 2 5 2 3" xfId="20143"/>
    <cellStyle name="Percent 2 3 2 2 2 5 3" xfId="5816"/>
    <cellStyle name="Percent 2 3 2 2 2 5 3 2" xfId="14239"/>
    <cellStyle name="Percent 2 3 2 2 2 5 3 3" xfId="20144"/>
    <cellStyle name="Percent 2 3 2 2 2 5 4" xfId="5817"/>
    <cellStyle name="Percent 2 3 2 2 2 5 4 2" xfId="14240"/>
    <cellStyle name="Percent 2 3 2 2 2 5 4 3" xfId="20145"/>
    <cellStyle name="Percent 2 3 2 2 2 5 5" xfId="5818"/>
    <cellStyle name="Percent 2 3 2 2 2 5 5 2" xfId="14241"/>
    <cellStyle name="Percent 2 3 2 2 2 5 5 3" xfId="20146"/>
    <cellStyle name="Percent 2 3 2 2 2 5 6" xfId="14237"/>
    <cellStyle name="Percent 2 3 2 2 2 5 7" xfId="20142"/>
    <cellStyle name="Percent 2 3 2 2 2 5_LNG &amp; LPG rework" xfId="7674"/>
    <cellStyle name="Percent 2 3 2 2 2 6" xfId="5819"/>
    <cellStyle name="Percent 2 3 2 2 2 6 2" xfId="14242"/>
    <cellStyle name="Percent 2 3 2 2 2 6 3" xfId="20147"/>
    <cellStyle name="Percent 2 3 2 2 2 7" xfId="5820"/>
    <cellStyle name="Percent 2 3 2 2 2 7 2" xfId="14243"/>
    <cellStyle name="Percent 2 3 2 2 2 7 3" xfId="20148"/>
    <cellStyle name="Percent 2 3 2 2 2 8" xfId="5821"/>
    <cellStyle name="Percent 2 3 2 2 2 8 2" xfId="14244"/>
    <cellStyle name="Percent 2 3 2 2 2 8 3" xfId="20149"/>
    <cellStyle name="Percent 2 3 2 2 2 9" xfId="5822"/>
    <cellStyle name="Percent 2 3 2 2 2 9 2" xfId="14245"/>
    <cellStyle name="Percent 2 3 2 2 2 9 3" xfId="20150"/>
    <cellStyle name="Percent 2 3 2 2 2_LNG &amp; LPG rework" xfId="7668"/>
    <cellStyle name="Percent 2 3 2 2 3" xfId="543"/>
    <cellStyle name="Percent 2 3 2 2 3 10" xfId="20151"/>
    <cellStyle name="Percent 2 3 2 2 3 2" xfId="544"/>
    <cellStyle name="Percent 2 3 2 2 3 2 2" xfId="5823"/>
    <cellStyle name="Percent 2 3 2 2 3 2 2 2" xfId="14246"/>
    <cellStyle name="Percent 2 3 2 2 3 2 2 3" xfId="20153"/>
    <cellStyle name="Percent 2 3 2 2 3 2 3" xfId="5824"/>
    <cellStyle name="Percent 2 3 2 2 3 2 3 2" xfId="14247"/>
    <cellStyle name="Percent 2 3 2 2 3 2 3 3" xfId="20154"/>
    <cellStyle name="Percent 2 3 2 2 3 2 4" xfId="5825"/>
    <cellStyle name="Percent 2 3 2 2 3 2 4 2" xfId="14248"/>
    <cellStyle name="Percent 2 3 2 2 3 2 4 3" xfId="20155"/>
    <cellStyle name="Percent 2 3 2 2 3 2 5" xfId="5826"/>
    <cellStyle name="Percent 2 3 2 2 3 2 5 2" xfId="14249"/>
    <cellStyle name="Percent 2 3 2 2 3 2 5 3" xfId="20156"/>
    <cellStyle name="Percent 2 3 2 2 3 2 6" xfId="5827"/>
    <cellStyle name="Percent 2 3 2 2 3 2 6 2" xfId="14250"/>
    <cellStyle name="Percent 2 3 2 2 3 2 6 3" xfId="20157"/>
    <cellStyle name="Percent 2 3 2 2 3 2 7" xfId="9363"/>
    <cellStyle name="Percent 2 3 2 2 3 2 8" xfId="20152"/>
    <cellStyle name="Percent 2 3 2 2 3 2_LNG &amp; LPG rework" xfId="7676"/>
    <cellStyle name="Percent 2 3 2 2 3 3" xfId="5828"/>
    <cellStyle name="Percent 2 3 2 2 3 3 2" xfId="5829"/>
    <cellStyle name="Percent 2 3 2 2 3 3 2 2" xfId="14252"/>
    <cellStyle name="Percent 2 3 2 2 3 3 2 3" xfId="20159"/>
    <cellStyle name="Percent 2 3 2 2 3 3 3" xfId="5830"/>
    <cellStyle name="Percent 2 3 2 2 3 3 3 2" xfId="14253"/>
    <cellStyle name="Percent 2 3 2 2 3 3 3 3" xfId="20160"/>
    <cellStyle name="Percent 2 3 2 2 3 3 4" xfId="5831"/>
    <cellStyle name="Percent 2 3 2 2 3 3 4 2" xfId="14254"/>
    <cellStyle name="Percent 2 3 2 2 3 3 4 3" xfId="20161"/>
    <cellStyle name="Percent 2 3 2 2 3 3 5" xfId="5832"/>
    <cellStyle name="Percent 2 3 2 2 3 3 5 2" xfId="14255"/>
    <cellStyle name="Percent 2 3 2 2 3 3 5 3" xfId="20162"/>
    <cellStyle name="Percent 2 3 2 2 3 3 6" xfId="14251"/>
    <cellStyle name="Percent 2 3 2 2 3 3 7" xfId="20158"/>
    <cellStyle name="Percent 2 3 2 2 3 3_LNG &amp; LPG rework" xfId="7677"/>
    <cellStyle name="Percent 2 3 2 2 3 4" xfId="5833"/>
    <cellStyle name="Percent 2 3 2 2 3 4 2" xfId="14256"/>
    <cellStyle name="Percent 2 3 2 2 3 4 3" xfId="20163"/>
    <cellStyle name="Percent 2 3 2 2 3 5" xfId="5834"/>
    <cellStyle name="Percent 2 3 2 2 3 5 2" xfId="14257"/>
    <cellStyle name="Percent 2 3 2 2 3 5 3" xfId="20164"/>
    <cellStyle name="Percent 2 3 2 2 3 6" xfId="5835"/>
    <cellStyle name="Percent 2 3 2 2 3 6 2" xfId="14258"/>
    <cellStyle name="Percent 2 3 2 2 3 6 3" xfId="20165"/>
    <cellStyle name="Percent 2 3 2 2 3 7" xfId="5836"/>
    <cellStyle name="Percent 2 3 2 2 3 7 2" xfId="14259"/>
    <cellStyle name="Percent 2 3 2 2 3 7 3" xfId="20166"/>
    <cellStyle name="Percent 2 3 2 2 3 8" xfId="5837"/>
    <cellStyle name="Percent 2 3 2 2 3 8 2" xfId="14260"/>
    <cellStyle name="Percent 2 3 2 2 3 8 3" xfId="20167"/>
    <cellStyle name="Percent 2 3 2 2 3 9" xfId="9362"/>
    <cellStyle name="Percent 2 3 2 2 3_LNG &amp; LPG rework" xfId="7675"/>
    <cellStyle name="Percent 2 3 2 2 4" xfId="545"/>
    <cellStyle name="Percent 2 3 2 2 4 2" xfId="5838"/>
    <cellStyle name="Percent 2 3 2 2 4 2 2" xfId="14261"/>
    <cellStyle name="Percent 2 3 2 2 4 2 3" xfId="20169"/>
    <cellStyle name="Percent 2 3 2 2 4 3" xfId="5839"/>
    <cellStyle name="Percent 2 3 2 2 4 3 2" xfId="14262"/>
    <cellStyle name="Percent 2 3 2 2 4 3 3" xfId="20170"/>
    <cellStyle name="Percent 2 3 2 2 4 4" xfId="5840"/>
    <cellStyle name="Percent 2 3 2 2 4 4 2" xfId="14263"/>
    <cellStyle name="Percent 2 3 2 2 4 4 3" xfId="20171"/>
    <cellStyle name="Percent 2 3 2 2 4 5" xfId="5841"/>
    <cellStyle name="Percent 2 3 2 2 4 5 2" xfId="14264"/>
    <cellStyle name="Percent 2 3 2 2 4 5 3" xfId="20172"/>
    <cellStyle name="Percent 2 3 2 2 4 6" xfId="5842"/>
    <cellStyle name="Percent 2 3 2 2 4 6 2" xfId="14265"/>
    <cellStyle name="Percent 2 3 2 2 4 6 3" xfId="20173"/>
    <cellStyle name="Percent 2 3 2 2 4 7" xfId="9364"/>
    <cellStyle name="Percent 2 3 2 2 4 8" xfId="20168"/>
    <cellStyle name="Percent 2 3 2 2 4_LNG &amp; LPG rework" xfId="7678"/>
    <cellStyle name="Percent 2 3 2 2 5" xfId="5843"/>
    <cellStyle name="Percent 2 3 2 2 5 2" xfId="5844"/>
    <cellStyle name="Percent 2 3 2 2 5 2 2" xfId="14267"/>
    <cellStyle name="Percent 2 3 2 2 5 2 3" xfId="20175"/>
    <cellStyle name="Percent 2 3 2 2 5 3" xfId="5845"/>
    <cellStyle name="Percent 2 3 2 2 5 3 2" xfId="14268"/>
    <cellStyle name="Percent 2 3 2 2 5 3 3" xfId="20176"/>
    <cellStyle name="Percent 2 3 2 2 5 4" xfId="5846"/>
    <cellStyle name="Percent 2 3 2 2 5 4 2" xfId="14269"/>
    <cellStyle name="Percent 2 3 2 2 5 4 3" xfId="20177"/>
    <cellStyle name="Percent 2 3 2 2 5 5" xfId="5847"/>
    <cellStyle name="Percent 2 3 2 2 5 5 2" xfId="14270"/>
    <cellStyle name="Percent 2 3 2 2 5 5 3" xfId="20178"/>
    <cellStyle name="Percent 2 3 2 2 5 6" xfId="14266"/>
    <cellStyle name="Percent 2 3 2 2 5 7" xfId="20174"/>
    <cellStyle name="Percent 2 3 2 2 5_LNG &amp; LPG rework" xfId="7679"/>
    <cellStyle name="Percent 2 3 2 2 6" xfId="5848"/>
    <cellStyle name="Percent 2 3 2 2 6 2" xfId="5849"/>
    <cellStyle name="Percent 2 3 2 2 6 2 2" xfId="14272"/>
    <cellStyle name="Percent 2 3 2 2 6 2 3" xfId="20180"/>
    <cellStyle name="Percent 2 3 2 2 6 3" xfId="5850"/>
    <cellStyle name="Percent 2 3 2 2 6 3 2" xfId="14273"/>
    <cellStyle name="Percent 2 3 2 2 6 3 3" xfId="20181"/>
    <cellStyle name="Percent 2 3 2 2 6 4" xfId="5851"/>
    <cellStyle name="Percent 2 3 2 2 6 4 2" xfId="14274"/>
    <cellStyle name="Percent 2 3 2 2 6 4 3" xfId="20182"/>
    <cellStyle name="Percent 2 3 2 2 6 5" xfId="5852"/>
    <cellStyle name="Percent 2 3 2 2 6 5 2" xfId="14275"/>
    <cellStyle name="Percent 2 3 2 2 6 5 3" xfId="20183"/>
    <cellStyle name="Percent 2 3 2 2 6 6" xfId="14271"/>
    <cellStyle name="Percent 2 3 2 2 6 7" xfId="20179"/>
    <cellStyle name="Percent 2 3 2 2 6_LNG &amp; LPG rework" xfId="7680"/>
    <cellStyle name="Percent 2 3 2 2 7" xfId="5853"/>
    <cellStyle name="Percent 2 3 2 2 7 2" xfId="14276"/>
    <cellStyle name="Percent 2 3 2 2 7 3" xfId="20184"/>
    <cellStyle name="Percent 2 3 2 2 8" xfId="5854"/>
    <cellStyle name="Percent 2 3 2 2 8 2" xfId="14277"/>
    <cellStyle name="Percent 2 3 2 2 8 3" xfId="20185"/>
    <cellStyle name="Percent 2 3 2 2 9" xfId="5855"/>
    <cellStyle name="Percent 2 3 2 2 9 2" xfId="14278"/>
    <cellStyle name="Percent 2 3 2 2 9 3" xfId="20186"/>
    <cellStyle name="Percent 2 3 2 2_LNG &amp; LPG rework" xfId="7667"/>
    <cellStyle name="Percent 2 3 2 3" xfId="546"/>
    <cellStyle name="Percent 2 3 2 3 10" xfId="5856"/>
    <cellStyle name="Percent 2 3 2 3 10 2" xfId="14279"/>
    <cellStyle name="Percent 2 3 2 3 10 3" xfId="20188"/>
    <cellStyle name="Percent 2 3 2 3 11" xfId="9365"/>
    <cellStyle name="Percent 2 3 2 3 12" xfId="20187"/>
    <cellStyle name="Percent 2 3 2 3 2" xfId="547"/>
    <cellStyle name="Percent 2 3 2 3 2 10" xfId="20189"/>
    <cellStyle name="Percent 2 3 2 3 2 2" xfId="548"/>
    <cellStyle name="Percent 2 3 2 3 2 2 2" xfId="5857"/>
    <cellStyle name="Percent 2 3 2 3 2 2 2 2" xfId="14280"/>
    <cellStyle name="Percent 2 3 2 3 2 2 2 3" xfId="20191"/>
    <cellStyle name="Percent 2 3 2 3 2 2 3" xfId="5858"/>
    <cellStyle name="Percent 2 3 2 3 2 2 3 2" xfId="14281"/>
    <cellStyle name="Percent 2 3 2 3 2 2 3 3" xfId="20192"/>
    <cellStyle name="Percent 2 3 2 3 2 2 4" xfId="5859"/>
    <cellStyle name="Percent 2 3 2 3 2 2 4 2" xfId="14282"/>
    <cellStyle name="Percent 2 3 2 3 2 2 4 3" xfId="20193"/>
    <cellStyle name="Percent 2 3 2 3 2 2 5" xfId="5860"/>
    <cellStyle name="Percent 2 3 2 3 2 2 5 2" xfId="14283"/>
    <cellStyle name="Percent 2 3 2 3 2 2 5 3" xfId="20194"/>
    <cellStyle name="Percent 2 3 2 3 2 2 6" xfId="5861"/>
    <cellStyle name="Percent 2 3 2 3 2 2 6 2" xfId="14284"/>
    <cellStyle name="Percent 2 3 2 3 2 2 6 3" xfId="20195"/>
    <cellStyle name="Percent 2 3 2 3 2 2 7" xfId="9367"/>
    <cellStyle name="Percent 2 3 2 3 2 2 8" xfId="20190"/>
    <cellStyle name="Percent 2 3 2 3 2 2_LNG &amp; LPG rework" xfId="7683"/>
    <cellStyle name="Percent 2 3 2 3 2 3" xfId="5862"/>
    <cellStyle name="Percent 2 3 2 3 2 3 2" xfId="5863"/>
    <cellStyle name="Percent 2 3 2 3 2 3 2 2" xfId="14286"/>
    <cellStyle name="Percent 2 3 2 3 2 3 2 3" xfId="20197"/>
    <cellStyle name="Percent 2 3 2 3 2 3 3" xfId="5864"/>
    <cellStyle name="Percent 2 3 2 3 2 3 3 2" xfId="14287"/>
    <cellStyle name="Percent 2 3 2 3 2 3 3 3" xfId="20198"/>
    <cellStyle name="Percent 2 3 2 3 2 3 4" xfId="5865"/>
    <cellStyle name="Percent 2 3 2 3 2 3 4 2" xfId="14288"/>
    <cellStyle name="Percent 2 3 2 3 2 3 4 3" xfId="20199"/>
    <cellStyle name="Percent 2 3 2 3 2 3 5" xfId="5866"/>
    <cellStyle name="Percent 2 3 2 3 2 3 5 2" xfId="14289"/>
    <cellStyle name="Percent 2 3 2 3 2 3 5 3" xfId="20200"/>
    <cellStyle name="Percent 2 3 2 3 2 3 6" xfId="14285"/>
    <cellStyle name="Percent 2 3 2 3 2 3 7" xfId="20196"/>
    <cellStyle name="Percent 2 3 2 3 2 3_LNG &amp; LPG rework" xfId="7684"/>
    <cellStyle name="Percent 2 3 2 3 2 4" xfId="5867"/>
    <cellStyle name="Percent 2 3 2 3 2 4 2" xfId="14290"/>
    <cellStyle name="Percent 2 3 2 3 2 4 3" xfId="20201"/>
    <cellStyle name="Percent 2 3 2 3 2 5" xfId="5868"/>
    <cellStyle name="Percent 2 3 2 3 2 5 2" xfId="14291"/>
    <cellStyle name="Percent 2 3 2 3 2 5 3" xfId="20202"/>
    <cellStyle name="Percent 2 3 2 3 2 6" xfId="5869"/>
    <cellStyle name="Percent 2 3 2 3 2 6 2" xfId="14292"/>
    <cellStyle name="Percent 2 3 2 3 2 6 3" xfId="20203"/>
    <cellStyle name="Percent 2 3 2 3 2 7" xfId="5870"/>
    <cellStyle name="Percent 2 3 2 3 2 7 2" xfId="14293"/>
    <cellStyle name="Percent 2 3 2 3 2 7 3" xfId="20204"/>
    <cellStyle name="Percent 2 3 2 3 2 8" xfId="5871"/>
    <cellStyle name="Percent 2 3 2 3 2 8 2" xfId="14294"/>
    <cellStyle name="Percent 2 3 2 3 2 8 3" xfId="20205"/>
    <cellStyle name="Percent 2 3 2 3 2 9" xfId="9366"/>
    <cellStyle name="Percent 2 3 2 3 2_LNG &amp; LPG rework" xfId="7682"/>
    <cellStyle name="Percent 2 3 2 3 3" xfId="549"/>
    <cellStyle name="Percent 2 3 2 3 3 2" xfId="5872"/>
    <cellStyle name="Percent 2 3 2 3 3 2 2" xfId="14295"/>
    <cellStyle name="Percent 2 3 2 3 3 2 3" xfId="20207"/>
    <cellStyle name="Percent 2 3 2 3 3 3" xfId="5873"/>
    <cellStyle name="Percent 2 3 2 3 3 3 2" xfId="14296"/>
    <cellStyle name="Percent 2 3 2 3 3 3 3" xfId="20208"/>
    <cellStyle name="Percent 2 3 2 3 3 4" xfId="5874"/>
    <cellStyle name="Percent 2 3 2 3 3 4 2" xfId="14297"/>
    <cellStyle name="Percent 2 3 2 3 3 4 3" xfId="20209"/>
    <cellStyle name="Percent 2 3 2 3 3 5" xfId="5875"/>
    <cellStyle name="Percent 2 3 2 3 3 5 2" xfId="14298"/>
    <cellStyle name="Percent 2 3 2 3 3 5 3" xfId="20210"/>
    <cellStyle name="Percent 2 3 2 3 3 6" xfId="5876"/>
    <cellStyle name="Percent 2 3 2 3 3 6 2" xfId="14299"/>
    <cellStyle name="Percent 2 3 2 3 3 6 3" xfId="20211"/>
    <cellStyle name="Percent 2 3 2 3 3 7" xfId="9368"/>
    <cellStyle name="Percent 2 3 2 3 3 8" xfId="20206"/>
    <cellStyle name="Percent 2 3 2 3 3_LNG &amp; LPG rework" xfId="7685"/>
    <cellStyle name="Percent 2 3 2 3 4" xfId="5877"/>
    <cellStyle name="Percent 2 3 2 3 4 2" xfId="5878"/>
    <cellStyle name="Percent 2 3 2 3 4 2 2" xfId="14301"/>
    <cellStyle name="Percent 2 3 2 3 4 2 3" xfId="20213"/>
    <cellStyle name="Percent 2 3 2 3 4 3" xfId="5879"/>
    <cellStyle name="Percent 2 3 2 3 4 3 2" xfId="14302"/>
    <cellStyle name="Percent 2 3 2 3 4 3 3" xfId="20214"/>
    <cellStyle name="Percent 2 3 2 3 4 4" xfId="5880"/>
    <cellStyle name="Percent 2 3 2 3 4 4 2" xfId="14303"/>
    <cellStyle name="Percent 2 3 2 3 4 4 3" xfId="20215"/>
    <cellStyle name="Percent 2 3 2 3 4 5" xfId="5881"/>
    <cellStyle name="Percent 2 3 2 3 4 5 2" xfId="14304"/>
    <cellStyle name="Percent 2 3 2 3 4 5 3" xfId="20216"/>
    <cellStyle name="Percent 2 3 2 3 4 6" xfId="14300"/>
    <cellStyle name="Percent 2 3 2 3 4 7" xfId="20212"/>
    <cellStyle name="Percent 2 3 2 3 4_LNG &amp; LPG rework" xfId="7686"/>
    <cellStyle name="Percent 2 3 2 3 5" xfId="5882"/>
    <cellStyle name="Percent 2 3 2 3 5 2" xfId="5883"/>
    <cellStyle name="Percent 2 3 2 3 5 2 2" xfId="14306"/>
    <cellStyle name="Percent 2 3 2 3 5 2 3" xfId="20218"/>
    <cellStyle name="Percent 2 3 2 3 5 3" xfId="5884"/>
    <cellStyle name="Percent 2 3 2 3 5 3 2" xfId="14307"/>
    <cellStyle name="Percent 2 3 2 3 5 3 3" xfId="20219"/>
    <cellStyle name="Percent 2 3 2 3 5 4" xfId="5885"/>
    <cellStyle name="Percent 2 3 2 3 5 4 2" xfId="14308"/>
    <cellStyle name="Percent 2 3 2 3 5 4 3" xfId="20220"/>
    <cellStyle name="Percent 2 3 2 3 5 5" xfId="5886"/>
    <cellStyle name="Percent 2 3 2 3 5 5 2" xfId="14309"/>
    <cellStyle name="Percent 2 3 2 3 5 5 3" xfId="20221"/>
    <cellStyle name="Percent 2 3 2 3 5 6" xfId="14305"/>
    <cellStyle name="Percent 2 3 2 3 5 7" xfId="20217"/>
    <cellStyle name="Percent 2 3 2 3 5_LNG &amp; LPG rework" xfId="7687"/>
    <cellStyle name="Percent 2 3 2 3 6" xfId="5887"/>
    <cellStyle name="Percent 2 3 2 3 6 2" xfId="14310"/>
    <cellStyle name="Percent 2 3 2 3 6 3" xfId="20222"/>
    <cellStyle name="Percent 2 3 2 3 7" xfId="5888"/>
    <cellStyle name="Percent 2 3 2 3 7 2" xfId="14311"/>
    <cellStyle name="Percent 2 3 2 3 7 3" xfId="20223"/>
    <cellStyle name="Percent 2 3 2 3 8" xfId="5889"/>
    <cellStyle name="Percent 2 3 2 3 8 2" xfId="14312"/>
    <cellStyle name="Percent 2 3 2 3 8 3" xfId="20224"/>
    <cellStyle name="Percent 2 3 2 3 9" xfId="5890"/>
    <cellStyle name="Percent 2 3 2 3 9 2" xfId="14313"/>
    <cellStyle name="Percent 2 3 2 3 9 3" xfId="20225"/>
    <cellStyle name="Percent 2 3 2 3_LNG &amp; LPG rework" xfId="7681"/>
    <cellStyle name="Percent 2 3 2 4" xfId="550"/>
    <cellStyle name="Percent 2 3 2 4 10" xfId="20226"/>
    <cellStyle name="Percent 2 3 2 4 2" xfId="551"/>
    <cellStyle name="Percent 2 3 2 4 2 2" xfId="5891"/>
    <cellStyle name="Percent 2 3 2 4 2 2 2" xfId="14314"/>
    <cellStyle name="Percent 2 3 2 4 2 2 3" xfId="20228"/>
    <cellStyle name="Percent 2 3 2 4 2 3" xfId="5892"/>
    <cellStyle name="Percent 2 3 2 4 2 3 2" xfId="14315"/>
    <cellStyle name="Percent 2 3 2 4 2 3 3" xfId="20229"/>
    <cellStyle name="Percent 2 3 2 4 2 4" xfId="5893"/>
    <cellStyle name="Percent 2 3 2 4 2 4 2" xfId="14316"/>
    <cellStyle name="Percent 2 3 2 4 2 4 3" xfId="20230"/>
    <cellStyle name="Percent 2 3 2 4 2 5" xfId="5894"/>
    <cellStyle name="Percent 2 3 2 4 2 5 2" xfId="14317"/>
    <cellStyle name="Percent 2 3 2 4 2 5 3" xfId="20231"/>
    <cellStyle name="Percent 2 3 2 4 2 6" xfId="5895"/>
    <cellStyle name="Percent 2 3 2 4 2 6 2" xfId="14318"/>
    <cellStyle name="Percent 2 3 2 4 2 6 3" xfId="20232"/>
    <cellStyle name="Percent 2 3 2 4 2 7" xfId="9370"/>
    <cellStyle name="Percent 2 3 2 4 2 8" xfId="20227"/>
    <cellStyle name="Percent 2 3 2 4 2_LNG &amp; LPG rework" xfId="7689"/>
    <cellStyle name="Percent 2 3 2 4 3" xfId="5896"/>
    <cellStyle name="Percent 2 3 2 4 3 2" xfId="5897"/>
    <cellStyle name="Percent 2 3 2 4 3 2 2" xfId="14320"/>
    <cellStyle name="Percent 2 3 2 4 3 2 3" xfId="20234"/>
    <cellStyle name="Percent 2 3 2 4 3 3" xfId="5898"/>
    <cellStyle name="Percent 2 3 2 4 3 3 2" xfId="14321"/>
    <cellStyle name="Percent 2 3 2 4 3 3 3" xfId="20235"/>
    <cellStyle name="Percent 2 3 2 4 3 4" xfId="5899"/>
    <cellStyle name="Percent 2 3 2 4 3 4 2" xfId="14322"/>
    <cellStyle name="Percent 2 3 2 4 3 4 3" xfId="20236"/>
    <cellStyle name="Percent 2 3 2 4 3 5" xfId="5900"/>
    <cellStyle name="Percent 2 3 2 4 3 5 2" xfId="14323"/>
    <cellStyle name="Percent 2 3 2 4 3 5 3" xfId="20237"/>
    <cellStyle name="Percent 2 3 2 4 3 6" xfId="14319"/>
    <cellStyle name="Percent 2 3 2 4 3 7" xfId="20233"/>
    <cellStyle name="Percent 2 3 2 4 3_LNG &amp; LPG rework" xfId="7690"/>
    <cellStyle name="Percent 2 3 2 4 4" xfId="5901"/>
    <cellStyle name="Percent 2 3 2 4 4 2" xfId="14324"/>
    <cellStyle name="Percent 2 3 2 4 4 3" xfId="20238"/>
    <cellStyle name="Percent 2 3 2 4 5" xfId="5902"/>
    <cellStyle name="Percent 2 3 2 4 5 2" xfId="14325"/>
    <cellStyle name="Percent 2 3 2 4 5 3" xfId="20239"/>
    <cellStyle name="Percent 2 3 2 4 6" xfId="5903"/>
    <cellStyle name="Percent 2 3 2 4 6 2" xfId="14326"/>
    <cellStyle name="Percent 2 3 2 4 6 3" xfId="20240"/>
    <cellStyle name="Percent 2 3 2 4 7" xfId="5904"/>
    <cellStyle name="Percent 2 3 2 4 7 2" xfId="14327"/>
    <cellStyle name="Percent 2 3 2 4 7 3" xfId="20241"/>
    <cellStyle name="Percent 2 3 2 4 8" xfId="5905"/>
    <cellStyle name="Percent 2 3 2 4 8 2" xfId="14328"/>
    <cellStyle name="Percent 2 3 2 4 8 3" xfId="20242"/>
    <cellStyle name="Percent 2 3 2 4 9" xfId="9369"/>
    <cellStyle name="Percent 2 3 2 4_LNG &amp; LPG rework" xfId="7688"/>
    <cellStyle name="Percent 2 3 2 5" xfId="552"/>
    <cellStyle name="Percent 2 3 2 5 2" xfId="5906"/>
    <cellStyle name="Percent 2 3 2 5 2 2" xfId="14329"/>
    <cellStyle name="Percent 2 3 2 5 2 3" xfId="20244"/>
    <cellStyle name="Percent 2 3 2 5 3" xfId="5907"/>
    <cellStyle name="Percent 2 3 2 5 3 2" xfId="14330"/>
    <cellStyle name="Percent 2 3 2 5 3 3" xfId="20245"/>
    <cellStyle name="Percent 2 3 2 5 4" xfId="5908"/>
    <cellStyle name="Percent 2 3 2 5 4 2" xfId="14331"/>
    <cellStyle name="Percent 2 3 2 5 4 3" xfId="20246"/>
    <cellStyle name="Percent 2 3 2 5 5" xfId="5909"/>
    <cellStyle name="Percent 2 3 2 5 5 2" xfId="14332"/>
    <cellStyle name="Percent 2 3 2 5 5 3" xfId="20247"/>
    <cellStyle name="Percent 2 3 2 5 6" xfId="5910"/>
    <cellStyle name="Percent 2 3 2 5 6 2" xfId="14333"/>
    <cellStyle name="Percent 2 3 2 5 6 3" xfId="20248"/>
    <cellStyle name="Percent 2 3 2 5 7" xfId="9371"/>
    <cellStyle name="Percent 2 3 2 5 8" xfId="20243"/>
    <cellStyle name="Percent 2 3 2 5_LNG &amp; LPG rework" xfId="7691"/>
    <cellStyle name="Percent 2 3 2 6" xfId="5911"/>
    <cellStyle name="Percent 2 3 2 6 2" xfId="5912"/>
    <cellStyle name="Percent 2 3 2 6 2 2" xfId="14335"/>
    <cellStyle name="Percent 2 3 2 6 2 3" xfId="20250"/>
    <cellStyle name="Percent 2 3 2 6 3" xfId="5913"/>
    <cellStyle name="Percent 2 3 2 6 3 2" xfId="14336"/>
    <cellStyle name="Percent 2 3 2 6 3 3" xfId="20251"/>
    <cellStyle name="Percent 2 3 2 6 4" xfId="5914"/>
    <cellStyle name="Percent 2 3 2 6 4 2" xfId="14337"/>
    <cellStyle name="Percent 2 3 2 6 4 3" xfId="20252"/>
    <cellStyle name="Percent 2 3 2 6 5" xfId="5915"/>
    <cellStyle name="Percent 2 3 2 6 5 2" xfId="14338"/>
    <cellStyle name="Percent 2 3 2 6 5 3" xfId="20253"/>
    <cellStyle name="Percent 2 3 2 6 6" xfId="14334"/>
    <cellStyle name="Percent 2 3 2 6 7" xfId="20249"/>
    <cellStyle name="Percent 2 3 2 6_LNG &amp; LPG rework" xfId="7692"/>
    <cellStyle name="Percent 2 3 2 7" xfId="5916"/>
    <cellStyle name="Percent 2 3 2 7 2" xfId="5917"/>
    <cellStyle name="Percent 2 3 2 7 2 2" xfId="14340"/>
    <cellStyle name="Percent 2 3 2 7 2 3" xfId="20255"/>
    <cellStyle name="Percent 2 3 2 7 3" xfId="5918"/>
    <cellStyle name="Percent 2 3 2 7 3 2" xfId="14341"/>
    <cellStyle name="Percent 2 3 2 7 3 3" xfId="20256"/>
    <cellStyle name="Percent 2 3 2 7 4" xfId="5919"/>
    <cellStyle name="Percent 2 3 2 7 4 2" xfId="14342"/>
    <cellStyle name="Percent 2 3 2 7 4 3" xfId="20257"/>
    <cellStyle name="Percent 2 3 2 7 5" xfId="5920"/>
    <cellStyle name="Percent 2 3 2 7 5 2" xfId="14343"/>
    <cellStyle name="Percent 2 3 2 7 5 3" xfId="20258"/>
    <cellStyle name="Percent 2 3 2 7 6" xfId="14339"/>
    <cellStyle name="Percent 2 3 2 7 7" xfId="20254"/>
    <cellStyle name="Percent 2 3 2 7_LNG &amp; LPG rework" xfId="7693"/>
    <cellStyle name="Percent 2 3 2 8" xfId="5921"/>
    <cellStyle name="Percent 2 3 2 8 2" xfId="14344"/>
    <cellStyle name="Percent 2 3 2 8 3" xfId="20259"/>
    <cellStyle name="Percent 2 3 2 9" xfId="5922"/>
    <cellStyle name="Percent 2 3 2 9 2" xfId="14345"/>
    <cellStyle name="Percent 2 3 2 9 3" xfId="20260"/>
    <cellStyle name="Percent 2 3 2_LNG &amp; LPG rework" xfId="7666"/>
    <cellStyle name="Percent 2 3 3" xfId="553"/>
    <cellStyle name="Percent 2 3 3 10" xfId="5923"/>
    <cellStyle name="Percent 2 3 3 10 2" xfId="14346"/>
    <cellStyle name="Percent 2 3 3 10 3" xfId="20262"/>
    <cellStyle name="Percent 2 3 3 11" xfId="5924"/>
    <cellStyle name="Percent 2 3 3 11 2" xfId="14347"/>
    <cellStyle name="Percent 2 3 3 11 3" xfId="20263"/>
    <cellStyle name="Percent 2 3 3 12" xfId="9372"/>
    <cellStyle name="Percent 2 3 3 13" xfId="20261"/>
    <cellStyle name="Percent 2 3 3 2" xfId="554"/>
    <cellStyle name="Percent 2 3 3 2 10" xfId="5925"/>
    <cellStyle name="Percent 2 3 3 2 10 2" xfId="14348"/>
    <cellStyle name="Percent 2 3 3 2 10 3" xfId="20265"/>
    <cellStyle name="Percent 2 3 3 2 11" xfId="9373"/>
    <cellStyle name="Percent 2 3 3 2 12" xfId="20264"/>
    <cellStyle name="Percent 2 3 3 2 2" xfId="555"/>
    <cellStyle name="Percent 2 3 3 2 2 10" xfId="20266"/>
    <cellStyle name="Percent 2 3 3 2 2 2" xfId="556"/>
    <cellStyle name="Percent 2 3 3 2 2 2 2" xfId="5926"/>
    <cellStyle name="Percent 2 3 3 2 2 2 2 2" xfId="14349"/>
    <cellStyle name="Percent 2 3 3 2 2 2 2 3" xfId="20268"/>
    <cellStyle name="Percent 2 3 3 2 2 2 3" xfId="5927"/>
    <cellStyle name="Percent 2 3 3 2 2 2 3 2" xfId="14350"/>
    <cellStyle name="Percent 2 3 3 2 2 2 3 3" xfId="20269"/>
    <cellStyle name="Percent 2 3 3 2 2 2 4" xfId="5928"/>
    <cellStyle name="Percent 2 3 3 2 2 2 4 2" xfId="14351"/>
    <cellStyle name="Percent 2 3 3 2 2 2 4 3" xfId="20270"/>
    <cellStyle name="Percent 2 3 3 2 2 2 5" xfId="5929"/>
    <cellStyle name="Percent 2 3 3 2 2 2 5 2" xfId="14352"/>
    <cellStyle name="Percent 2 3 3 2 2 2 5 3" xfId="20271"/>
    <cellStyle name="Percent 2 3 3 2 2 2 6" xfId="5930"/>
    <cellStyle name="Percent 2 3 3 2 2 2 6 2" xfId="14353"/>
    <cellStyle name="Percent 2 3 3 2 2 2 6 3" xfId="20272"/>
    <cellStyle name="Percent 2 3 3 2 2 2 7" xfId="9375"/>
    <cellStyle name="Percent 2 3 3 2 2 2 8" xfId="20267"/>
    <cellStyle name="Percent 2 3 3 2 2 2_LNG &amp; LPG rework" xfId="7697"/>
    <cellStyle name="Percent 2 3 3 2 2 3" xfId="5931"/>
    <cellStyle name="Percent 2 3 3 2 2 3 2" xfId="5932"/>
    <cellStyle name="Percent 2 3 3 2 2 3 2 2" xfId="14355"/>
    <cellStyle name="Percent 2 3 3 2 2 3 2 3" xfId="20274"/>
    <cellStyle name="Percent 2 3 3 2 2 3 3" xfId="5933"/>
    <cellStyle name="Percent 2 3 3 2 2 3 3 2" xfId="14356"/>
    <cellStyle name="Percent 2 3 3 2 2 3 3 3" xfId="20275"/>
    <cellStyle name="Percent 2 3 3 2 2 3 4" xfId="5934"/>
    <cellStyle name="Percent 2 3 3 2 2 3 4 2" xfId="14357"/>
    <cellStyle name="Percent 2 3 3 2 2 3 4 3" xfId="20276"/>
    <cellStyle name="Percent 2 3 3 2 2 3 5" xfId="5935"/>
    <cellStyle name="Percent 2 3 3 2 2 3 5 2" xfId="14358"/>
    <cellStyle name="Percent 2 3 3 2 2 3 5 3" xfId="20277"/>
    <cellStyle name="Percent 2 3 3 2 2 3 6" xfId="14354"/>
    <cellStyle name="Percent 2 3 3 2 2 3 7" xfId="20273"/>
    <cellStyle name="Percent 2 3 3 2 2 3_LNG &amp; LPG rework" xfId="7698"/>
    <cellStyle name="Percent 2 3 3 2 2 4" xfId="5936"/>
    <cellStyle name="Percent 2 3 3 2 2 4 2" xfId="14359"/>
    <cellStyle name="Percent 2 3 3 2 2 4 3" xfId="20278"/>
    <cellStyle name="Percent 2 3 3 2 2 5" xfId="5937"/>
    <cellStyle name="Percent 2 3 3 2 2 5 2" xfId="14360"/>
    <cellStyle name="Percent 2 3 3 2 2 5 3" xfId="20279"/>
    <cellStyle name="Percent 2 3 3 2 2 6" xfId="5938"/>
    <cellStyle name="Percent 2 3 3 2 2 6 2" xfId="14361"/>
    <cellStyle name="Percent 2 3 3 2 2 6 3" xfId="20280"/>
    <cellStyle name="Percent 2 3 3 2 2 7" xfId="5939"/>
    <cellStyle name="Percent 2 3 3 2 2 7 2" xfId="14362"/>
    <cellStyle name="Percent 2 3 3 2 2 7 3" xfId="20281"/>
    <cellStyle name="Percent 2 3 3 2 2 8" xfId="5940"/>
    <cellStyle name="Percent 2 3 3 2 2 8 2" xfId="14363"/>
    <cellStyle name="Percent 2 3 3 2 2 8 3" xfId="20282"/>
    <cellStyle name="Percent 2 3 3 2 2 9" xfId="9374"/>
    <cellStyle name="Percent 2 3 3 2 2_LNG &amp; LPG rework" xfId="7696"/>
    <cellStyle name="Percent 2 3 3 2 3" xfId="557"/>
    <cellStyle name="Percent 2 3 3 2 3 2" xfId="5941"/>
    <cellStyle name="Percent 2 3 3 2 3 2 2" xfId="14364"/>
    <cellStyle name="Percent 2 3 3 2 3 2 3" xfId="20284"/>
    <cellStyle name="Percent 2 3 3 2 3 3" xfId="5942"/>
    <cellStyle name="Percent 2 3 3 2 3 3 2" xfId="14365"/>
    <cellStyle name="Percent 2 3 3 2 3 3 3" xfId="20285"/>
    <cellStyle name="Percent 2 3 3 2 3 4" xfId="5943"/>
    <cellStyle name="Percent 2 3 3 2 3 4 2" xfId="14366"/>
    <cellStyle name="Percent 2 3 3 2 3 4 3" xfId="20286"/>
    <cellStyle name="Percent 2 3 3 2 3 5" xfId="5944"/>
    <cellStyle name="Percent 2 3 3 2 3 5 2" xfId="14367"/>
    <cellStyle name="Percent 2 3 3 2 3 5 3" xfId="20287"/>
    <cellStyle name="Percent 2 3 3 2 3 6" xfId="5945"/>
    <cellStyle name="Percent 2 3 3 2 3 6 2" xfId="14368"/>
    <cellStyle name="Percent 2 3 3 2 3 6 3" xfId="20288"/>
    <cellStyle name="Percent 2 3 3 2 3 7" xfId="9376"/>
    <cellStyle name="Percent 2 3 3 2 3 8" xfId="20283"/>
    <cellStyle name="Percent 2 3 3 2 3_LNG &amp; LPG rework" xfId="7699"/>
    <cellStyle name="Percent 2 3 3 2 4" xfId="5946"/>
    <cellStyle name="Percent 2 3 3 2 4 2" xfId="5947"/>
    <cellStyle name="Percent 2 3 3 2 4 2 2" xfId="14370"/>
    <cellStyle name="Percent 2 3 3 2 4 2 3" xfId="20290"/>
    <cellStyle name="Percent 2 3 3 2 4 3" xfId="5948"/>
    <cellStyle name="Percent 2 3 3 2 4 3 2" xfId="14371"/>
    <cellStyle name="Percent 2 3 3 2 4 3 3" xfId="20291"/>
    <cellStyle name="Percent 2 3 3 2 4 4" xfId="5949"/>
    <cellStyle name="Percent 2 3 3 2 4 4 2" xfId="14372"/>
    <cellStyle name="Percent 2 3 3 2 4 4 3" xfId="20292"/>
    <cellStyle name="Percent 2 3 3 2 4 5" xfId="5950"/>
    <cellStyle name="Percent 2 3 3 2 4 5 2" xfId="14373"/>
    <cellStyle name="Percent 2 3 3 2 4 5 3" xfId="20293"/>
    <cellStyle name="Percent 2 3 3 2 4 6" xfId="14369"/>
    <cellStyle name="Percent 2 3 3 2 4 7" xfId="20289"/>
    <cellStyle name="Percent 2 3 3 2 4_LNG &amp; LPG rework" xfId="7700"/>
    <cellStyle name="Percent 2 3 3 2 5" xfId="5951"/>
    <cellStyle name="Percent 2 3 3 2 5 2" xfId="5952"/>
    <cellStyle name="Percent 2 3 3 2 5 2 2" xfId="14375"/>
    <cellStyle name="Percent 2 3 3 2 5 2 3" xfId="20295"/>
    <cellStyle name="Percent 2 3 3 2 5 3" xfId="5953"/>
    <cellStyle name="Percent 2 3 3 2 5 3 2" xfId="14376"/>
    <cellStyle name="Percent 2 3 3 2 5 3 3" xfId="20296"/>
    <cellStyle name="Percent 2 3 3 2 5 4" xfId="5954"/>
    <cellStyle name="Percent 2 3 3 2 5 4 2" xfId="14377"/>
    <cellStyle name="Percent 2 3 3 2 5 4 3" xfId="20297"/>
    <cellStyle name="Percent 2 3 3 2 5 5" xfId="5955"/>
    <cellStyle name="Percent 2 3 3 2 5 5 2" xfId="14378"/>
    <cellStyle name="Percent 2 3 3 2 5 5 3" xfId="20298"/>
    <cellStyle name="Percent 2 3 3 2 5 6" xfId="14374"/>
    <cellStyle name="Percent 2 3 3 2 5 7" xfId="20294"/>
    <cellStyle name="Percent 2 3 3 2 5_LNG &amp; LPG rework" xfId="7701"/>
    <cellStyle name="Percent 2 3 3 2 6" xfId="5956"/>
    <cellStyle name="Percent 2 3 3 2 6 2" xfId="14379"/>
    <cellStyle name="Percent 2 3 3 2 6 3" xfId="20299"/>
    <cellStyle name="Percent 2 3 3 2 7" xfId="5957"/>
    <cellStyle name="Percent 2 3 3 2 7 2" xfId="14380"/>
    <cellStyle name="Percent 2 3 3 2 7 3" xfId="20300"/>
    <cellStyle name="Percent 2 3 3 2 8" xfId="5958"/>
    <cellStyle name="Percent 2 3 3 2 8 2" xfId="14381"/>
    <cellStyle name="Percent 2 3 3 2 8 3" xfId="20301"/>
    <cellStyle name="Percent 2 3 3 2 9" xfId="5959"/>
    <cellStyle name="Percent 2 3 3 2 9 2" xfId="14382"/>
    <cellStyle name="Percent 2 3 3 2 9 3" xfId="20302"/>
    <cellStyle name="Percent 2 3 3 2_LNG &amp; LPG rework" xfId="7695"/>
    <cellStyle name="Percent 2 3 3 3" xfId="558"/>
    <cellStyle name="Percent 2 3 3 3 10" xfId="20303"/>
    <cellStyle name="Percent 2 3 3 3 2" xfId="559"/>
    <cellStyle name="Percent 2 3 3 3 2 2" xfId="5960"/>
    <cellStyle name="Percent 2 3 3 3 2 2 2" xfId="14383"/>
    <cellStyle name="Percent 2 3 3 3 2 2 3" xfId="20305"/>
    <cellStyle name="Percent 2 3 3 3 2 3" xfId="5961"/>
    <cellStyle name="Percent 2 3 3 3 2 3 2" xfId="14384"/>
    <cellStyle name="Percent 2 3 3 3 2 3 3" xfId="20306"/>
    <cellStyle name="Percent 2 3 3 3 2 4" xfId="5962"/>
    <cellStyle name="Percent 2 3 3 3 2 4 2" xfId="14385"/>
    <cellStyle name="Percent 2 3 3 3 2 4 3" xfId="20307"/>
    <cellStyle name="Percent 2 3 3 3 2 5" xfId="5963"/>
    <cellStyle name="Percent 2 3 3 3 2 5 2" xfId="14386"/>
    <cellStyle name="Percent 2 3 3 3 2 5 3" xfId="20308"/>
    <cellStyle name="Percent 2 3 3 3 2 6" xfId="5964"/>
    <cellStyle name="Percent 2 3 3 3 2 6 2" xfId="14387"/>
    <cellStyle name="Percent 2 3 3 3 2 6 3" xfId="20309"/>
    <cellStyle name="Percent 2 3 3 3 2 7" xfId="9378"/>
    <cellStyle name="Percent 2 3 3 3 2 8" xfId="20304"/>
    <cellStyle name="Percent 2 3 3 3 2_LNG &amp; LPG rework" xfId="7703"/>
    <cellStyle name="Percent 2 3 3 3 3" xfId="5965"/>
    <cellStyle name="Percent 2 3 3 3 3 2" xfId="5966"/>
    <cellStyle name="Percent 2 3 3 3 3 2 2" xfId="14389"/>
    <cellStyle name="Percent 2 3 3 3 3 2 3" xfId="20311"/>
    <cellStyle name="Percent 2 3 3 3 3 3" xfId="5967"/>
    <cellStyle name="Percent 2 3 3 3 3 3 2" xfId="14390"/>
    <cellStyle name="Percent 2 3 3 3 3 3 3" xfId="20312"/>
    <cellStyle name="Percent 2 3 3 3 3 4" xfId="5968"/>
    <cellStyle name="Percent 2 3 3 3 3 4 2" xfId="14391"/>
    <cellStyle name="Percent 2 3 3 3 3 4 3" xfId="20313"/>
    <cellStyle name="Percent 2 3 3 3 3 5" xfId="5969"/>
    <cellStyle name="Percent 2 3 3 3 3 5 2" xfId="14392"/>
    <cellStyle name="Percent 2 3 3 3 3 5 3" xfId="20314"/>
    <cellStyle name="Percent 2 3 3 3 3 6" xfId="14388"/>
    <cellStyle name="Percent 2 3 3 3 3 7" xfId="20310"/>
    <cellStyle name="Percent 2 3 3 3 3_LNG &amp; LPG rework" xfId="7704"/>
    <cellStyle name="Percent 2 3 3 3 4" xfId="5970"/>
    <cellStyle name="Percent 2 3 3 3 4 2" xfId="14393"/>
    <cellStyle name="Percent 2 3 3 3 4 3" xfId="20315"/>
    <cellStyle name="Percent 2 3 3 3 5" xfId="5971"/>
    <cellStyle name="Percent 2 3 3 3 5 2" xfId="14394"/>
    <cellStyle name="Percent 2 3 3 3 5 3" xfId="20316"/>
    <cellStyle name="Percent 2 3 3 3 6" xfId="5972"/>
    <cellStyle name="Percent 2 3 3 3 6 2" xfId="14395"/>
    <cellStyle name="Percent 2 3 3 3 6 3" xfId="20317"/>
    <cellStyle name="Percent 2 3 3 3 7" xfId="5973"/>
    <cellStyle name="Percent 2 3 3 3 7 2" xfId="14396"/>
    <cellStyle name="Percent 2 3 3 3 7 3" xfId="20318"/>
    <cellStyle name="Percent 2 3 3 3 8" xfId="5974"/>
    <cellStyle name="Percent 2 3 3 3 8 2" xfId="14397"/>
    <cellStyle name="Percent 2 3 3 3 8 3" xfId="20319"/>
    <cellStyle name="Percent 2 3 3 3 9" xfId="9377"/>
    <cellStyle name="Percent 2 3 3 3_LNG &amp; LPG rework" xfId="7702"/>
    <cellStyle name="Percent 2 3 3 4" xfId="560"/>
    <cellStyle name="Percent 2 3 3 4 2" xfId="5975"/>
    <cellStyle name="Percent 2 3 3 4 2 2" xfId="14398"/>
    <cellStyle name="Percent 2 3 3 4 2 3" xfId="20321"/>
    <cellStyle name="Percent 2 3 3 4 3" xfId="5976"/>
    <cellStyle name="Percent 2 3 3 4 3 2" xfId="14399"/>
    <cellStyle name="Percent 2 3 3 4 3 3" xfId="20322"/>
    <cellStyle name="Percent 2 3 3 4 4" xfId="5977"/>
    <cellStyle name="Percent 2 3 3 4 4 2" xfId="14400"/>
    <cellStyle name="Percent 2 3 3 4 4 3" xfId="20323"/>
    <cellStyle name="Percent 2 3 3 4 5" xfId="5978"/>
    <cellStyle name="Percent 2 3 3 4 5 2" xfId="14401"/>
    <cellStyle name="Percent 2 3 3 4 5 3" xfId="20324"/>
    <cellStyle name="Percent 2 3 3 4 6" xfId="5979"/>
    <cellStyle name="Percent 2 3 3 4 6 2" xfId="14402"/>
    <cellStyle name="Percent 2 3 3 4 6 3" xfId="20325"/>
    <cellStyle name="Percent 2 3 3 4 7" xfId="9379"/>
    <cellStyle name="Percent 2 3 3 4 8" xfId="20320"/>
    <cellStyle name="Percent 2 3 3 4_LNG &amp; LPG rework" xfId="7705"/>
    <cellStyle name="Percent 2 3 3 5" xfId="5980"/>
    <cellStyle name="Percent 2 3 3 5 2" xfId="5981"/>
    <cellStyle name="Percent 2 3 3 5 2 2" xfId="14404"/>
    <cellStyle name="Percent 2 3 3 5 2 3" xfId="20327"/>
    <cellStyle name="Percent 2 3 3 5 3" xfId="5982"/>
    <cellStyle name="Percent 2 3 3 5 3 2" xfId="14405"/>
    <cellStyle name="Percent 2 3 3 5 3 3" xfId="20328"/>
    <cellStyle name="Percent 2 3 3 5 4" xfId="5983"/>
    <cellStyle name="Percent 2 3 3 5 4 2" xfId="14406"/>
    <cellStyle name="Percent 2 3 3 5 4 3" xfId="20329"/>
    <cellStyle name="Percent 2 3 3 5 5" xfId="5984"/>
    <cellStyle name="Percent 2 3 3 5 5 2" xfId="14407"/>
    <cellStyle name="Percent 2 3 3 5 5 3" xfId="20330"/>
    <cellStyle name="Percent 2 3 3 5 6" xfId="14403"/>
    <cellStyle name="Percent 2 3 3 5 7" xfId="20326"/>
    <cellStyle name="Percent 2 3 3 5_LNG &amp; LPG rework" xfId="7706"/>
    <cellStyle name="Percent 2 3 3 6" xfId="5985"/>
    <cellStyle name="Percent 2 3 3 6 2" xfId="5986"/>
    <cellStyle name="Percent 2 3 3 6 2 2" xfId="14409"/>
    <cellStyle name="Percent 2 3 3 6 2 3" xfId="20332"/>
    <cellStyle name="Percent 2 3 3 6 3" xfId="5987"/>
    <cellStyle name="Percent 2 3 3 6 3 2" xfId="14410"/>
    <cellStyle name="Percent 2 3 3 6 3 3" xfId="20333"/>
    <cellStyle name="Percent 2 3 3 6 4" xfId="5988"/>
    <cellStyle name="Percent 2 3 3 6 4 2" xfId="14411"/>
    <cellStyle name="Percent 2 3 3 6 4 3" xfId="20334"/>
    <cellStyle name="Percent 2 3 3 6 5" xfId="5989"/>
    <cellStyle name="Percent 2 3 3 6 5 2" xfId="14412"/>
    <cellStyle name="Percent 2 3 3 6 5 3" xfId="20335"/>
    <cellStyle name="Percent 2 3 3 6 6" xfId="14408"/>
    <cellStyle name="Percent 2 3 3 6 7" xfId="20331"/>
    <cellStyle name="Percent 2 3 3 6_LNG &amp; LPG rework" xfId="7707"/>
    <cellStyle name="Percent 2 3 3 7" xfId="5990"/>
    <cellStyle name="Percent 2 3 3 7 2" xfId="14413"/>
    <cellStyle name="Percent 2 3 3 7 3" xfId="20336"/>
    <cellStyle name="Percent 2 3 3 8" xfId="5991"/>
    <cellStyle name="Percent 2 3 3 8 2" xfId="14414"/>
    <cellStyle name="Percent 2 3 3 8 3" xfId="20337"/>
    <cellStyle name="Percent 2 3 3 9" xfId="5992"/>
    <cellStyle name="Percent 2 3 3 9 2" xfId="14415"/>
    <cellStyle name="Percent 2 3 3 9 3" xfId="20338"/>
    <cellStyle name="Percent 2 3 3_LNG &amp; LPG rework" xfId="7694"/>
    <cellStyle name="Percent 2 3 4" xfId="561"/>
    <cellStyle name="Percent 2 3 4 10" xfId="5993"/>
    <cellStyle name="Percent 2 3 4 10 2" xfId="14416"/>
    <cellStyle name="Percent 2 3 4 10 3" xfId="20340"/>
    <cellStyle name="Percent 2 3 4 11" xfId="9380"/>
    <cellStyle name="Percent 2 3 4 12" xfId="20339"/>
    <cellStyle name="Percent 2 3 4 2" xfId="562"/>
    <cellStyle name="Percent 2 3 4 2 10" xfId="20341"/>
    <cellStyle name="Percent 2 3 4 2 2" xfId="563"/>
    <cellStyle name="Percent 2 3 4 2 2 2" xfId="5994"/>
    <cellStyle name="Percent 2 3 4 2 2 2 2" xfId="14417"/>
    <cellStyle name="Percent 2 3 4 2 2 2 3" xfId="20343"/>
    <cellStyle name="Percent 2 3 4 2 2 3" xfId="5995"/>
    <cellStyle name="Percent 2 3 4 2 2 3 2" xfId="14418"/>
    <cellStyle name="Percent 2 3 4 2 2 3 3" xfId="20344"/>
    <cellStyle name="Percent 2 3 4 2 2 4" xfId="5996"/>
    <cellStyle name="Percent 2 3 4 2 2 4 2" xfId="14419"/>
    <cellStyle name="Percent 2 3 4 2 2 4 3" xfId="20345"/>
    <cellStyle name="Percent 2 3 4 2 2 5" xfId="5997"/>
    <cellStyle name="Percent 2 3 4 2 2 5 2" xfId="14420"/>
    <cellStyle name="Percent 2 3 4 2 2 5 3" xfId="20346"/>
    <cellStyle name="Percent 2 3 4 2 2 6" xfId="5998"/>
    <cellStyle name="Percent 2 3 4 2 2 6 2" xfId="14421"/>
    <cellStyle name="Percent 2 3 4 2 2 6 3" xfId="20347"/>
    <cellStyle name="Percent 2 3 4 2 2 7" xfId="9382"/>
    <cellStyle name="Percent 2 3 4 2 2 8" xfId="20342"/>
    <cellStyle name="Percent 2 3 4 2 2_LNG &amp; LPG rework" xfId="7710"/>
    <cellStyle name="Percent 2 3 4 2 3" xfId="5999"/>
    <cellStyle name="Percent 2 3 4 2 3 2" xfId="6000"/>
    <cellStyle name="Percent 2 3 4 2 3 2 2" xfId="14423"/>
    <cellStyle name="Percent 2 3 4 2 3 2 3" xfId="20349"/>
    <cellStyle name="Percent 2 3 4 2 3 3" xfId="6001"/>
    <cellStyle name="Percent 2 3 4 2 3 3 2" xfId="14424"/>
    <cellStyle name="Percent 2 3 4 2 3 3 3" xfId="20350"/>
    <cellStyle name="Percent 2 3 4 2 3 4" xfId="6002"/>
    <cellStyle name="Percent 2 3 4 2 3 4 2" xfId="14425"/>
    <cellStyle name="Percent 2 3 4 2 3 4 3" xfId="20351"/>
    <cellStyle name="Percent 2 3 4 2 3 5" xfId="6003"/>
    <cellStyle name="Percent 2 3 4 2 3 5 2" xfId="14426"/>
    <cellStyle name="Percent 2 3 4 2 3 5 3" xfId="20352"/>
    <cellStyle name="Percent 2 3 4 2 3 6" xfId="14422"/>
    <cellStyle name="Percent 2 3 4 2 3 7" xfId="20348"/>
    <cellStyle name="Percent 2 3 4 2 3_LNG &amp; LPG rework" xfId="7711"/>
    <cellStyle name="Percent 2 3 4 2 4" xfId="6004"/>
    <cellStyle name="Percent 2 3 4 2 4 2" xfId="14427"/>
    <cellStyle name="Percent 2 3 4 2 4 3" xfId="20353"/>
    <cellStyle name="Percent 2 3 4 2 5" xfId="6005"/>
    <cellStyle name="Percent 2 3 4 2 5 2" xfId="14428"/>
    <cellStyle name="Percent 2 3 4 2 5 3" xfId="20354"/>
    <cellStyle name="Percent 2 3 4 2 6" xfId="6006"/>
    <cellStyle name="Percent 2 3 4 2 6 2" xfId="14429"/>
    <cellStyle name="Percent 2 3 4 2 6 3" xfId="20355"/>
    <cellStyle name="Percent 2 3 4 2 7" xfId="6007"/>
    <cellStyle name="Percent 2 3 4 2 7 2" xfId="14430"/>
    <cellStyle name="Percent 2 3 4 2 7 3" xfId="20356"/>
    <cellStyle name="Percent 2 3 4 2 8" xfId="6008"/>
    <cellStyle name="Percent 2 3 4 2 8 2" xfId="14431"/>
    <cellStyle name="Percent 2 3 4 2 8 3" xfId="20357"/>
    <cellStyle name="Percent 2 3 4 2 9" xfId="9381"/>
    <cellStyle name="Percent 2 3 4 2_LNG &amp; LPG rework" xfId="7709"/>
    <cellStyle name="Percent 2 3 4 3" xfId="564"/>
    <cellStyle name="Percent 2 3 4 3 2" xfId="6009"/>
    <cellStyle name="Percent 2 3 4 3 2 2" xfId="14432"/>
    <cellStyle name="Percent 2 3 4 3 2 3" xfId="20359"/>
    <cellStyle name="Percent 2 3 4 3 3" xfId="6010"/>
    <cellStyle name="Percent 2 3 4 3 3 2" xfId="14433"/>
    <cellStyle name="Percent 2 3 4 3 3 3" xfId="20360"/>
    <cellStyle name="Percent 2 3 4 3 4" xfId="6011"/>
    <cellStyle name="Percent 2 3 4 3 4 2" xfId="14434"/>
    <cellStyle name="Percent 2 3 4 3 4 3" xfId="20361"/>
    <cellStyle name="Percent 2 3 4 3 5" xfId="6012"/>
    <cellStyle name="Percent 2 3 4 3 5 2" xfId="14435"/>
    <cellStyle name="Percent 2 3 4 3 5 3" xfId="20362"/>
    <cellStyle name="Percent 2 3 4 3 6" xfId="6013"/>
    <cellStyle name="Percent 2 3 4 3 6 2" xfId="14436"/>
    <cellStyle name="Percent 2 3 4 3 6 3" xfId="20363"/>
    <cellStyle name="Percent 2 3 4 3 7" xfId="9383"/>
    <cellStyle name="Percent 2 3 4 3 8" xfId="20358"/>
    <cellStyle name="Percent 2 3 4 3_LNG &amp; LPG rework" xfId="7712"/>
    <cellStyle name="Percent 2 3 4 4" xfId="6014"/>
    <cellStyle name="Percent 2 3 4 4 2" xfId="6015"/>
    <cellStyle name="Percent 2 3 4 4 2 2" xfId="14438"/>
    <cellStyle name="Percent 2 3 4 4 2 3" xfId="20365"/>
    <cellStyle name="Percent 2 3 4 4 3" xfId="6016"/>
    <cellStyle name="Percent 2 3 4 4 3 2" xfId="14439"/>
    <cellStyle name="Percent 2 3 4 4 3 3" xfId="20366"/>
    <cellStyle name="Percent 2 3 4 4 4" xfId="6017"/>
    <cellStyle name="Percent 2 3 4 4 4 2" xfId="14440"/>
    <cellStyle name="Percent 2 3 4 4 4 3" xfId="20367"/>
    <cellStyle name="Percent 2 3 4 4 5" xfId="6018"/>
    <cellStyle name="Percent 2 3 4 4 5 2" xfId="14441"/>
    <cellStyle name="Percent 2 3 4 4 5 3" xfId="20368"/>
    <cellStyle name="Percent 2 3 4 4 6" xfId="14437"/>
    <cellStyle name="Percent 2 3 4 4 7" xfId="20364"/>
    <cellStyle name="Percent 2 3 4 4_LNG &amp; LPG rework" xfId="7713"/>
    <cellStyle name="Percent 2 3 4 5" xfId="6019"/>
    <cellStyle name="Percent 2 3 4 5 2" xfId="6020"/>
    <cellStyle name="Percent 2 3 4 5 2 2" xfId="14443"/>
    <cellStyle name="Percent 2 3 4 5 2 3" xfId="20370"/>
    <cellStyle name="Percent 2 3 4 5 3" xfId="6021"/>
    <cellStyle name="Percent 2 3 4 5 3 2" xfId="14444"/>
    <cellStyle name="Percent 2 3 4 5 3 3" xfId="20371"/>
    <cellStyle name="Percent 2 3 4 5 4" xfId="6022"/>
    <cellStyle name="Percent 2 3 4 5 4 2" xfId="14445"/>
    <cellStyle name="Percent 2 3 4 5 4 3" xfId="20372"/>
    <cellStyle name="Percent 2 3 4 5 5" xfId="6023"/>
    <cellStyle name="Percent 2 3 4 5 5 2" xfId="14446"/>
    <cellStyle name="Percent 2 3 4 5 5 3" xfId="20373"/>
    <cellStyle name="Percent 2 3 4 5 6" xfId="14442"/>
    <cellStyle name="Percent 2 3 4 5 7" xfId="20369"/>
    <cellStyle name="Percent 2 3 4 5_LNG &amp; LPG rework" xfId="7714"/>
    <cellStyle name="Percent 2 3 4 6" xfId="6024"/>
    <cellStyle name="Percent 2 3 4 6 2" xfId="14447"/>
    <cellStyle name="Percent 2 3 4 6 3" xfId="20374"/>
    <cellStyle name="Percent 2 3 4 7" xfId="6025"/>
    <cellStyle name="Percent 2 3 4 7 2" xfId="14448"/>
    <cellStyle name="Percent 2 3 4 7 3" xfId="20375"/>
    <cellStyle name="Percent 2 3 4 8" xfId="6026"/>
    <cellStyle name="Percent 2 3 4 8 2" xfId="14449"/>
    <cellStyle name="Percent 2 3 4 8 3" xfId="20376"/>
    <cellStyle name="Percent 2 3 4 9" xfId="6027"/>
    <cellStyle name="Percent 2 3 4 9 2" xfId="14450"/>
    <cellStyle name="Percent 2 3 4 9 3" xfId="20377"/>
    <cellStyle name="Percent 2 3 4_LNG &amp; LPG rework" xfId="7708"/>
    <cellStyle name="Percent 2 3 5" xfId="565"/>
    <cellStyle name="Percent 2 3 5 10" xfId="20378"/>
    <cellStyle name="Percent 2 3 5 2" xfId="566"/>
    <cellStyle name="Percent 2 3 5 2 2" xfId="6028"/>
    <cellStyle name="Percent 2 3 5 2 2 2" xfId="14451"/>
    <cellStyle name="Percent 2 3 5 2 2 3" xfId="20380"/>
    <cellStyle name="Percent 2 3 5 2 3" xfId="6029"/>
    <cellStyle name="Percent 2 3 5 2 3 2" xfId="14452"/>
    <cellStyle name="Percent 2 3 5 2 3 3" xfId="20381"/>
    <cellStyle name="Percent 2 3 5 2 4" xfId="6030"/>
    <cellStyle name="Percent 2 3 5 2 4 2" xfId="14453"/>
    <cellStyle name="Percent 2 3 5 2 4 3" xfId="20382"/>
    <cellStyle name="Percent 2 3 5 2 5" xfId="6031"/>
    <cellStyle name="Percent 2 3 5 2 5 2" xfId="14454"/>
    <cellStyle name="Percent 2 3 5 2 5 3" xfId="20383"/>
    <cellStyle name="Percent 2 3 5 2 6" xfId="6032"/>
    <cellStyle name="Percent 2 3 5 2 6 2" xfId="14455"/>
    <cellStyle name="Percent 2 3 5 2 6 3" xfId="20384"/>
    <cellStyle name="Percent 2 3 5 2 7" xfId="9385"/>
    <cellStyle name="Percent 2 3 5 2 8" xfId="20379"/>
    <cellStyle name="Percent 2 3 5 2_LNG &amp; LPG rework" xfId="7716"/>
    <cellStyle name="Percent 2 3 5 3" xfId="6033"/>
    <cellStyle name="Percent 2 3 5 3 2" xfId="6034"/>
    <cellStyle name="Percent 2 3 5 3 2 2" xfId="14457"/>
    <cellStyle name="Percent 2 3 5 3 2 3" xfId="20386"/>
    <cellStyle name="Percent 2 3 5 3 3" xfId="6035"/>
    <cellStyle name="Percent 2 3 5 3 3 2" xfId="14458"/>
    <cellStyle name="Percent 2 3 5 3 3 3" xfId="20387"/>
    <cellStyle name="Percent 2 3 5 3 4" xfId="6036"/>
    <cellStyle name="Percent 2 3 5 3 4 2" xfId="14459"/>
    <cellStyle name="Percent 2 3 5 3 4 3" xfId="20388"/>
    <cellStyle name="Percent 2 3 5 3 5" xfId="6037"/>
    <cellStyle name="Percent 2 3 5 3 5 2" xfId="14460"/>
    <cellStyle name="Percent 2 3 5 3 5 3" xfId="20389"/>
    <cellStyle name="Percent 2 3 5 3 6" xfId="14456"/>
    <cellStyle name="Percent 2 3 5 3 7" xfId="20385"/>
    <cellStyle name="Percent 2 3 5 3_LNG &amp; LPG rework" xfId="7717"/>
    <cellStyle name="Percent 2 3 5 4" xfId="6038"/>
    <cellStyle name="Percent 2 3 5 4 2" xfId="14461"/>
    <cellStyle name="Percent 2 3 5 4 3" xfId="20390"/>
    <cellStyle name="Percent 2 3 5 5" xfId="6039"/>
    <cellStyle name="Percent 2 3 5 5 2" xfId="14462"/>
    <cellStyle name="Percent 2 3 5 5 3" xfId="20391"/>
    <cellStyle name="Percent 2 3 5 6" xfId="6040"/>
    <cellStyle name="Percent 2 3 5 6 2" xfId="14463"/>
    <cellStyle name="Percent 2 3 5 6 3" xfId="20392"/>
    <cellStyle name="Percent 2 3 5 7" xfId="6041"/>
    <cellStyle name="Percent 2 3 5 7 2" xfId="14464"/>
    <cellStyle name="Percent 2 3 5 7 3" xfId="20393"/>
    <cellStyle name="Percent 2 3 5 8" xfId="6042"/>
    <cellStyle name="Percent 2 3 5 8 2" xfId="14465"/>
    <cellStyle name="Percent 2 3 5 8 3" xfId="20394"/>
    <cellStyle name="Percent 2 3 5 9" xfId="9384"/>
    <cellStyle name="Percent 2 3 5_LNG &amp; LPG rework" xfId="7715"/>
    <cellStyle name="Percent 2 3 6" xfId="567"/>
    <cellStyle name="Percent 2 3 6 2" xfId="6043"/>
    <cellStyle name="Percent 2 3 6 2 2" xfId="14466"/>
    <cellStyle name="Percent 2 3 6 2 3" xfId="20396"/>
    <cellStyle name="Percent 2 3 6 3" xfId="6044"/>
    <cellStyle name="Percent 2 3 6 3 2" xfId="14467"/>
    <cellStyle name="Percent 2 3 6 3 3" xfId="20397"/>
    <cellStyle name="Percent 2 3 6 4" xfId="6045"/>
    <cellStyle name="Percent 2 3 6 4 2" xfId="14468"/>
    <cellStyle name="Percent 2 3 6 4 3" xfId="20398"/>
    <cellStyle name="Percent 2 3 6 5" xfId="6046"/>
    <cellStyle name="Percent 2 3 6 5 2" xfId="14469"/>
    <cellStyle name="Percent 2 3 6 5 3" xfId="20399"/>
    <cellStyle name="Percent 2 3 6 6" xfId="6047"/>
    <cellStyle name="Percent 2 3 6 6 2" xfId="14470"/>
    <cellStyle name="Percent 2 3 6 6 3" xfId="20400"/>
    <cellStyle name="Percent 2 3 6 7" xfId="9386"/>
    <cellStyle name="Percent 2 3 6 8" xfId="20395"/>
    <cellStyle name="Percent 2 3 6_LNG &amp; LPG rework" xfId="7718"/>
    <cellStyle name="Percent 2 3 7" xfId="6048"/>
    <cellStyle name="Percent 2 3 7 2" xfId="6049"/>
    <cellStyle name="Percent 2 3 7 2 2" xfId="14472"/>
    <cellStyle name="Percent 2 3 7 2 3" xfId="20402"/>
    <cellStyle name="Percent 2 3 7 3" xfId="6050"/>
    <cellStyle name="Percent 2 3 7 3 2" xfId="14473"/>
    <cellStyle name="Percent 2 3 7 3 3" xfId="20403"/>
    <cellStyle name="Percent 2 3 7 4" xfId="6051"/>
    <cellStyle name="Percent 2 3 7 4 2" xfId="14474"/>
    <cellStyle name="Percent 2 3 7 4 3" xfId="20404"/>
    <cellStyle name="Percent 2 3 7 5" xfId="6052"/>
    <cellStyle name="Percent 2 3 7 5 2" xfId="14475"/>
    <cellStyle name="Percent 2 3 7 5 3" xfId="20405"/>
    <cellStyle name="Percent 2 3 7 6" xfId="14471"/>
    <cellStyle name="Percent 2 3 7 7" xfId="20401"/>
    <cellStyle name="Percent 2 3 7_LNG &amp; LPG rework" xfId="7719"/>
    <cellStyle name="Percent 2 3 8" xfId="6053"/>
    <cellStyle name="Percent 2 3 8 2" xfId="6054"/>
    <cellStyle name="Percent 2 3 8 2 2" xfId="14477"/>
    <cellStyle name="Percent 2 3 8 2 3" xfId="20407"/>
    <cellStyle name="Percent 2 3 8 3" xfId="6055"/>
    <cellStyle name="Percent 2 3 8 3 2" xfId="14478"/>
    <cellStyle name="Percent 2 3 8 3 3" xfId="20408"/>
    <cellStyle name="Percent 2 3 8 4" xfId="6056"/>
    <cellStyle name="Percent 2 3 8 4 2" xfId="14479"/>
    <cellStyle name="Percent 2 3 8 4 3" xfId="20409"/>
    <cellStyle name="Percent 2 3 8 5" xfId="6057"/>
    <cellStyle name="Percent 2 3 8 5 2" xfId="14480"/>
    <cellStyle name="Percent 2 3 8 5 3" xfId="20410"/>
    <cellStyle name="Percent 2 3 8 6" xfId="14476"/>
    <cellStyle name="Percent 2 3 8 7" xfId="20406"/>
    <cellStyle name="Percent 2 3 8_LNG &amp; LPG rework" xfId="7720"/>
    <cellStyle name="Percent 2 3 9" xfId="6058"/>
    <cellStyle name="Percent 2 3 9 2" xfId="14481"/>
    <cellStyle name="Percent 2 3 9 3" xfId="20411"/>
    <cellStyle name="Percent 2 3_LNG &amp; LPG rework" xfId="7665"/>
    <cellStyle name="Percent 2 4" xfId="568"/>
    <cellStyle name="Percent 2 4 10" xfId="6059"/>
    <cellStyle name="Percent 2 4 10 2" xfId="14482"/>
    <cellStyle name="Percent 2 4 10 3" xfId="20413"/>
    <cellStyle name="Percent 2 4 11" xfId="6060"/>
    <cellStyle name="Percent 2 4 11 2" xfId="14483"/>
    <cellStyle name="Percent 2 4 11 3" xfId="20414"/>
    <cellStyle name="Percent 2 4 12" xfId="6061"/>
    <cellStyle name="Percent 2 4 12 2" xfId="14484"/>
    <cellStyle name="Percent 2 4 12 3" xfId="20415"/>
    <cellStyle name="Percent 2 4 13" xfId="6062"/>
    <cellStyle name="Percent 2 4 13 2" xfId="14485"/>
    <cellStyle name="Percent 2 4 13 3" xfId="20416"/>
    <cellStyle name="Percent 2 4 14" xfId="9387"/>
    <cellStyle name="Percent 2 4 15" xfId="20412"/>
    <cellStyle name="Percent 2 4 2" xfId="569"/>
    <cellStyle name="Percent 2 4 2 10" xfId="6063"/>
    <cellStyle name="Percent 2 4 2 10 2" xfId="14486"/>
    <cellStyle name="Percent 2 4 2 10 3" xfId="20418"/>
    <cellStyle name="Percent 2 4 2 11" xfId="6064"/>
    <cellStyle name="Percent 2 4 2 11 2" xfId="14487"/>
    <cellStyle name="Percent 2 4 2 11 3" xfId="20419"/>
    <cellStyle name="Percent 2 4 2 12" xfId="6065"/>
    <cellStyle name="Percent 2 4 2 12 2" xfId="14488"/>
    <cellStyle name="Percent 2 4 2 12 3" xfId="20420"/>
    <cellStyle name="Percent 2 4 2 13" xfId="9388"/>
    <cellStyle name="Percent 2 4 2 14" xfId="20417"/>
    <cellStyle name="Percent 2 4 2 2" xfId="570"/>
    <cellStyle name="Percent 2 4 2 2 10" xfId="6066"/>
    <cellStyle name="Percent 2 4 2 2 10 2" xfId="14489"/>
    <cellStyle name="Percent 2 4 2 2 10 3" xfId="20422"/>
    <cellStyle name="Percent 2 4 2 2 11" xfId="6067"/>
    <cellStyle name="Percent 2 4 2 2 11 2" xfId="14490"/>
    <cellStyle name="Percent 2 4 2 2 11 3" xfId="20423"/>
    <cellStyle name="Percent 2 4 2 2 12" xfId="9389"/>
    <cellStyle name="Percent 2 4 2 2 13" xfId="20421"/>
    <cellStyle name="Percent 2 4 2 2 2" xfId="571"/>
    <cellStyle name="Percent 2 4 2 2 2 10" xfId="6068"/>
    <cellStyle name="Percent 2 4 2 2 2 10 2" xfId="14491"/>
    <cellStyle name="Percent 2 4 2 2 2 10 3" xfId="20425"/>
    <cellStyle name="Percent 2 4 2 2 2 11" xfId="9390"/>
    <cellStyle name="Percent 2 4 2 2 2 12" xfId="20424"/>
    <cellStyle name="Percent 2 4 2 2 2 2" xfId="572"/>
    <cellStyle name="Percent 2 4 2 2 2 2 10" xfId="20426"/>
    <cellStyle name="Percent 2 4 2 2 2 2 2" xfId="573"/>
    <cellStyle name="Percent 2 4 2 2 2 2 2 2" xfId="6069"/>
    <cellStyle name="Percent 2 4 2 2 2 2 2 2 2" xfId="14492"/>
    <cellStyle name="Percent 2 4 2 2 2 2 2 2 3" xfId="20428"/>
    <cellStyle name="Percent 2 4 2 2 2 2 2 3" xfId="6070"/>
    <cellStyle name="Percent 2 4 2 2 2 2 2 3 2" xfId="14493"/>
    <cellStyle name="Percent 2 4 2 2 2 2 2 3 3" xfId="20429"/>
    <cellStyle name="Percent 2 4 2 2 2 2 2 4" xfId="6071"/>
    <cellStyle name="Percent 2 4 2 2 2 2 2 4 2" xfId="14494"/>
    <cellStyle name="Percent 2 4 2 2 2 2 2 4 3" xfId="20430"/>
    <cellStyle name="Percent 2 4 2 2 2 2 2 5" xfId="6072"/>
    <cellStyle name="Percent 2 4 2 2 2 2 2 5 2" xfId="14495"/>
    <cellStyle name="Percent 2 4 2 2 2 2 2 5 3" xfId="20431"/>
    <cellStyle name="Percent 2 4 2 2 2 2 2 6" xfId="6073"/>
    <cellStyle name="Percent 2 4 2 2 2 2 2 6 2" xfId="14496"/>
    <cellStyle name="Percent 2 4 2 2 2 2 2 6 3" xfId="20432"/>
    <cellStyle name="Percent 2 4 2 2 2 2 2 7" xfId="9392"/>
    <cellStyle name="Percent 2 4 2 2 2 2 2 8" xfId="20427"/>
    <cellStyle name="Percent 2 4 2 2 2 2 2_LNG &amp; LPG rework" xfId="7726"/>
    <cellStyle name="Percent 2 4 2 2 2 2 3" xfId="6074"/>
    <cellStyle name="Percent 2 4 2 2 2 2 3 2" xfId="6075"/>
    <cellStyle name="Percent 2 4 2 2 2 2 3 2 2" xfId="14498"/>
    <cellStyle name="Percent 2 4 2 2 2 2 3 2 3" xfId="20434"/>
    <cellStyle name="Percent 2 4 2 2 2 2 3 3" xfId="6076"/>
    <cellStyle name="Percent 2 4 2 2 2 2 3 3 2" xfId="14499"/>
    <cellStyle name="Percent 2 4 2 2 2 2 3 3 3" xfId="20435"/>
    <cellStyle name="Percent 2 4 2 2 2 2 3 4" xfId="6077"/>
    <cellStyle name="Percent 2 4 2 2 2 2 3 4 2" xfId="14500"/>
    <cellStyle name="Percent 2 4 2 2 2 2 3 4 3" xfId="20436"/>
    <cellStyle name="Percent 2 4 2 2 2 2 3 5" xfId="6078"/>
    <cellStyle name="Percent 2 4 2 2 2 2 3 5 2" xfId="14501"/>
    <cellStyle name="Percent 2 4 2 2 2 2 3 5 3" xfId="20437"/>
    <cellStyle name="Percent 2 4 2 2 2 2 3 6" xfId="14497"/>
    <cellStyle name="Percent 2 4 2 2 2 2 3 7" xfId="20433"/>
    <cellStyle name="Percent 2 4 2 2 2 2 3_LNG &amp; LPG rework" xfId="7727"/>
    <cellStyle name="Percent 2 4 2 2 2 2 4" xfId="6079"/>
    <cellStyle name="Percent 2 4 2 2 2 2 4 2" xfId="14502"/>
    <cellStyle name="Percent 2 4 2 2 2 2 4 3" xfId="20438"/>
    <cellStyle name="Percent 2 4 2 2 2 2 5" xfId="6080"/>
    <cellStyle name="Percent 2 4 2 2 2 2 5 2" xfId="14503"/>
    <cellStyle name="Percent 2 4 2 2 2 2 5 3" xfId="20439"/>
    <cellStyle name="Percent 2 4 2 2 2 2 6" xfId="6081"/>
    <cellStyle name="Percent 2 4 2 2 2 2 6 2" xfId="14504"/>
    <cellStyle name="Percent 2 4 2 2 2 2 6 3" xfId="20440"/>
    <cellStyle name="Percent 2 4 2 2 2 2 7" xfId="6082"/>
    <cellStyle name="Percent 2 4 2 2 2 2 7 2" xfId="14505"/>
    <cellStyle name="Percent 2 4 2 2 2 2 7 3" xfId="20441"/>
    <cellStyle name="Percent 2 4 2 2 2 2 8" xfId="6083"/>
    <cellStyle name="Percent 2 4 2 2 2 2 8 2" xfId="14506"/>
    <cellStyle name="Percent 2 4 2 2 2 2 8 3" xfId="20442"/>
    <cellStyle name="Percent 2 4 2 2 2 2 9" xfId="9391"/>
    <cellStyle name="Percent 2 4 2 2 2 2_LNG &amp; LPG rework" xfId="7725"/>
    <cellStyle name="Percent 2 4 2 2 2 3" xfId="574"/>
    <cellStyle name="Percent 2 4 2 2 2 3 2" xfId="6084"/>
    <cellStyle name="Percent 2 4 2 2 2 3 2 2" xfId="14507"/>
    <cellStyle name="Percent 2 4 2 2 2 3 2 3" xfId="20444"/>
    <cellStyle name="Percent 2 4 2 2 2 3 3" xfId="6085"/>
    <cellStyle name="Percent 2 4 2 2 2 3 3 2" xfId="14508"/>
    <cellStyle name="Percent 2 4 2 2 2 3 3 3" xfId="20445"/>
    <cellStyle name="Percent 2 4 2 2 2 3 4" xfId="6086"/>
    <cellStyle name="Percent 2 4 2 2 2 3 4 2" xfId="14509"/>
    <cellStyle name="Percent 2 4 2 2 2 3 4 3" xfId="20446"/>
    <cellStyle name="Percent 2 4 2 2 2 3 5" xfId="6087"/>
    <cellStyle name="Percent 2 4 2 2 2 3 5 2" xfId="14510"/>
    <cellStyle name="Percent 2 4 2 2 2 3 5 3" xfId="20447"/>
    <cellStyle name="Percent 2 4 2 2 2 3 6" xfId="6088"/>
    <cellStyle name="Percent 2 4 2 2 2 3 6 2" xfId="14511"/>
    <cellStyle name="Percent 2 4 2 2 2 3 6 3" xfId="20448"/>
    <cellStyle name="Percent 2 4 2 2 2 3 7" xfId="9393"/>
    <cellStyle name="Percent 2 4 2 2 2 3 8" xfId="20443"/>
    <cellStyle name="Percent 2 4 2 2 2 3_LNG &amp; LPG rework" xfId="7728"/>
    <cellStyle name="Percent 2 4 2 2 2 4" xfId="6089"/>
    <cellStyle name="Percent 2 4 2 2 2 4 2" xfId="6090"/>
    <cellStyle name="Percent 2 4 2 2 2 4 2 2" xfId="14513"/>
    <cellStyle name="Percent 2 4 2 2 2 4 2 3" xfId="20450"/>
    <cellStyle name="Percent 2 4 2 2 2 4 3" xfId="6091"/>
    <cellStyle name="Percent 2 4 2 2 2 4 3 2" xfId="14514"/>
    <cellStyle name="Percent 2 4 2 2 2 4 3 3" xfId="20451"/>
    <cellStyle name="Percent 2 4 2 2 2 4 4" xfId="6092"/>
    <cellStyle name="Percent 2 4 2 2 2 4 4 2" xfId="14515"/>
    <cellStyle name="Percent 2 4 2 2 2 4 4 3" xfId="20452"/>
    <cellStyle name="Percent 2 4 2 2 2 4 5" xfId="6093"/>
    <cellStyle name="Percent 2 4 2 2 2 4 5 2" xfId="14516"/>
    <cellStyle name="Percent 2 4 2 2 2 4 5 3" xfId="20453"/>
    <cellStyle name="Percent 2 4 2 2 2 4 6" xfId="14512"/>
    <cellStyle name="Percent 2 4 2 2 2 4 7" xfId="20449"/>
    <cellStyle name="Percent 2 4 2 2 2 4_LNG &amp; LPG rework" xfId="7729"/>
    <cellStyle name="Percent 2 4 2 2 2 5" xfId="6094"/>
    <cellStyle name="Percent 2 4 2 2 2 5 2" xfId="6095"/>
    <cellStyle name="Percent 2 4 2 2 2 5 2 2" xfId="14518"/>
    <cellStyle name="Percent 2 4 2 2 2 5 2 3" xfId="20455"/>
    <cellStyle name="Percent 2 4 2 2 2 5 3" xfId="6096"/>
    <cellStyle name="Percent 2 4 2 2 2 5 3 2" xfId="14519"/>
    <cellStyle name="Percent 2 4 2 2 2 5 3 3" xfId="20456"/>
    <cellStyle name="Percent 2 4 2 2 2 5 4" xfId="6097"/>
    <cellStyle name="Percent 2 4 2 2 2 5 4 2" xfId="14520"/>
    <cellStyle name="Percent 2 4 2 2 2 5 4 3" xfId="20457"/>
    <cellStyle name="Percent 2 4 2 2 2 5 5" xfId="6098"/>
    <cellStyle name="Percent 2 4 2 2 2 5 5 2" xfId="14521"/>
    <cellStyle name="Percent 2 4 2 2 2 5 5 3" xfId="20458"/>
    <cellStyle name="Percent 2 4 2 2 2 5 6" xfId="14517"/>
    <cellStyle name="Percent 2 4 2 2 2 5 7" xfId="20454"/>
    <cellStyle name="Percent 2 4 2 2 2 5_LNG &amp; LPG rework" xfId="7730"/>
    <cellStyle name="Percent 2 4 2 2 2 6" xfId="6099"/>
    <cellStyle name="Percent 2 4 2 2 2 6 2" xfId="14522"/>
    <cellStyle name="Percent 2 4 2 2 2 6 3" xfId="20459"/>
    <cellStyle name="Percent 2 4 2 2 2 7" xfId="6100"/>
    <cellStyle name="Percent 2 4 2 2 2 7 2" xfId="14523"/>
    <cellStyle name="Percent 2 4 2 2 2 7 3" xfId="20460"/>
    <cellStyle name="Percent 2 4 2 2 2 8" xfId="6101"/>
    <cellStyle name="Percent 2 4 2 2 2 8 2" xfId="14524"/>
    <cellStyle name="Percent 2 4 2 2 2 8 3" xfId="20461"/>
    <cellStyle name="Percent 2 4 2 2 2 9" xfId="6102"/>
    <cellStyle name="Percent 2 4 2 2 2 9 2" xfId="14525"/>
    <cellStyle name="Percent 2 4 2 2 2 9 3" xfId="20462"/>
    <cellStyle name="Percent 2 4 2 2 2_LNG &amp; LPG rework" xfId="7724"/>
    <cellStyle name="Percent 2 4 2 2 3" xfId="575"/>
    <cellStyle name="Percent 2 4 2 2 3 10" xfId="20463"/>
    <cellStyle name="Percent 2 4 2 2 3 2" xfId="576"/>
    <cellStyle name="Percent 2 4 2 2 3 2 2" xfId="6103"/>
    <cellStyle name="Percent 2 4 2 2 3 2 2 2" xfId="14526"/>
    <cellStyle name="Percent 2 4 2 2 3 2 2 3" xfId="20465"/>
    <cellStyle name="Percent 2 4 2 2 3 2 3" xfId="6104"/>
    <cellStyle name="Percent 2 4 2 2 3 2 3 2" xfId="14527"/>
    <cellStyle name="Percent 2 4 2 2 3 2 3 3" xfId="20466"/>
    <cellStyle name="Percent 2 4 2 2 3 2 4" xfId="6105"/>
    <cellStyle name="Percent 2 4 2 2 3 2 4 2" xfId="14528"/>
    <cellStyle name="Percent 2 4 2 2 3 2 4 3" xfId="20467"/>
    <cellStyle name="Percent 2 4 2 2 3 2 5" xfId="6106"/>
    <cellStyle name="Percent 2 4 2 2 3 2 5 2" xfId="14529"/>
    <cellStyle name="Percent 2 4 2 2 3 2 5 3" xfId="20468"/>
    <cellStyle name="Percent 2 4 2 2 3 2 6" xfId="6107"/>
    <cellStyle name="Percent 2 4 2 2 3 2 6 2" xfId="14530"/>
    <cellStyle name="Percent 2 4 2 2 3 2 6 3" xfId="20469"/>
    <cellStyle name="Percent 2 4 2 2 3 2 7" xfId="9395"/>
    <cellStyle name="Percent 2 4 2 2 3 2 8" xfId="20464"/>
    <cellStyle name="Percent 2 4 2 2 3 2_LNG &amp; LPG rework" xfId="7732"/>
    <cellStyle name="Percent 2 4 2 2 3 3" xfId="6108"/>
    <cellStyle name="Percent 2 4 2 2 3 3 2" xfId="6109"/>
    <cellStyle name="Percent 2 4 2 2 3 3 2 2" xfId="14532"/>
    <cellStyle name="Percent 2 4 2 2 3 3 2 3" xfId="20471"/>
    <cellStyle name="Percent 2 4 2 2 3 3 3" xfId="6110"/>
    <cellStyle name="Percent 2 4 2 2 3 3 3 2" xfId="14533"/>
    <cellStyle name="Percent 2 4 2 2 3 3 3 3" xfId="20472"/>
    <cellStyle name="Percent 2 4 2 2 3 3 4" xfId="6111"/>
    <cellStyle name="Percent 2 4 2 2 3 3 4 2" xfId="14534"/>
    <cellStyle name="Percent 2 4 2 2 3 3 4 3" xfId="20473"/>
    <cellStyle name="Percent 2 4 2 2 3 3 5" xfId="6112"/>
    <cellStyle name="Percent 2 4 2 2 3 3 5 2" xfId="14535"/>
    <cellStyle name="Percent 2 4 2 2 3 3 5 3" xfId="20474"/>
    <cellStyle name="Percent 2 4 2 2 3 3 6" xfId="14531"/>
    <cellStyle name="Percent 2 4 2 2 3 3 7" xfId="20470"/>
    <cellStyle name="Percent 2 4 2 2 3 3_LNG &amp; LPG rework" xfId="7733"/>
    <cellStyle name="Percent 2 4 2 2 3 4" xfId="6113"/>
    <cellStyle name="Percent 2 4 2 2 3 4 2" xfId="14536"/>
    <cellStyle name="Percent 2 4 2 2 3 4 3" xfId="20475"/>
    <cellStyle name="Percent 2 4 2 2 3 5" xfId="6114"/>
    <cellStyle name="Percent 2 4 2 2 3 5 2" xfId="14537"/>
    <cellStyle name="Percent 2 4 2 2 3 5 3" xfId="20476"/>
    <cellStyle name="Percent 2 4 2 2 3 6" xfId="6115"/>
    <cellStyle name="Percent 2 4 2 2 3 6 2" xfId="14538"/>
    <cellStyle name="Percent 2 4 2 2 3 6 3" xfId="20477"/>
    <cellStyle name="Percent 2 4 2 2 3 7" xfId="6116"/>
    <cellStyle name="Percent 2 4 2 2 3 7 2" xfId="14539"/>
    <cellStyle name="Percent 2 4 2 2 3 7 3" xfId="20478"/>
    <cellStyle name="Percent 2 4 2 2 3 8" xfId="6117"/>
    <cellStyle name="Percent 2 4 2 2 3 8 2" xfId="14540"/>
    <cellStyle name="Percent 2 4 2 2 3 8 3" xfId="20479"/>
    <cellStyle name="Percent 2 4 2 2 3 9" xfId="9394"/>
    <cellStyle name="Percent 2 4 2 2 3_LNG &amp; LPG rework" xfId="7731"/>
    <cellStyle name="Percent 2 4 2 2 4" xfId="577"/>
    <cellStyle name="Percent 2 4 2 2 4 2" xfId="6118"/>
    <cellStyle name="Percent 2 4 2 2 4 2 2" xfId="14541"/>
    <cellStyle name="Percent 2 4 2 2 4 2 3" xfId="20481"/>
    <cellStyle name="Percent 2 4 2 2 4 3" xfId="6119"/>
    <cellStyle name="Percent 2 4 2 2 4 3 2" xfId="14542"/>
    <cellStyle name="Percent 2 4 2 2 4 3 3" xfId="20482"/>
    <cellStyle name="Percent 2 4 2 2 4 4" xfId="6120"/>
    <cellStyle name="Percent 2 4 2 2 4 4 2" xfId="14543"/>
    <cellStyle name="Percent 2 4 2 2 4 4 3" xfId="20483"/>
    <cellStyle name="Percent 2 4 2 2 4 5" xfId="6121"/>
    <cellStyle name="Percent 2 4 2 2 4 5 2" xfId="14544"/>
    <cellStyle name="Percent 2 4 2 2 4 5 3" xfId="20484"/>
    <cellStyle name="Percent 2 4 2 2 4 6" xfId="6122"/>
    <cellStyle name="Percent 2 4 2 2 4 6 2" xfId="14545"/>
    <cellStyle name="Percent 2 4 2 2 4 6 3" xfId="20485"/>
    <cellStyle name="Percent 2 4 2 2 4 7" xfId="9396"/>
    <cellStyle name="Percent 2 4 2 2 4 8" xfId="20480"/>
    <cellStyle name="Percent 2 4 2 2 4_LNG &amp; LPG rework" xfId="7734"/>
    <cellStyle name="Percent 2 4 2 2 5" xfId="6123"/>
    <cellStyle name="Percent 2 4 2 2 5 2" xfId="6124"/>
    <cellStyle name="Percent 2 4 2 2 5 2 2" xfId="14547"/>
    <cellStyle name="Percent 2 4 2 2 5 2 3" xfId="20487"/>
    <cellStyle name="Percent 2 4 2 2 5 3" xfId="6125"/>
    <cellStyle name="Percent 2 4 2 2 5 3 2" xfId="14548"/>
    <cellStyle name="Percent 2 4 2 2 5 3 3" xfId="20488"/>
    <cellStyle name="Percent 2 4 2 2 5 4" xfId="6126"/>
    <cellStyle name="Percent 2 4 2 2 5 4 2" xfId="14549"/>
    <cellStyle name="Percent 2 4 2 2 5 4 3" xfId="20489"/>
    <cellStyle name="Percent 2 4 2 2 5 5" xfId="6127"/>
    <cellStyle name="Percent 2 4 2 2 5 5 2" xfId="14550"/>
    <cellStyle name="Percent 2 4 2 2 5 5 3" xfId="20490"/>
    <cellStyle name="Percent 2 4 2 2 5 6" xfId="14546"/>
    <cellStyle name="Percent 2 4 2 2 5 7" xfId="20486"/>
    <cellStyle name="Percent 2 4 2 2 5_LNG &amp; LPG rework" xfId="7735"/>
    <cellStyle name="Percent 2 4 2 2 6" xfId="6128"/>
    <cellStyle name="Percent 2 4 2 2 6 2" xfId="6129"/>
    <cellStyle name="Percent 2 4 2 2 6 2 2" xfId="14552"/>
    <cellStyle name="Percent 2 4 2 2 6 2 3" xfId="20492"/>
    <cellStyle name="Percent 2 4 2 2 6 3" xfId="6130"/>
    <cellStyle name="Percent 2 4 2 2 6 3 2" xfId="14553"/>
    <cellStyle name="Percent 2 4 2 2 6 3 3" xfId="20493"/>
    <cellStyle name="Percent 2 4 2 2 6 4" xfId="6131"/>
    <cellStyle name="Percent 2 4 2 2 6 4 2" xfId="14554"/>
    <cellStyle name="Percent 2 4 2 2 6 4 3" xfId="20494"/>
    <cellStyle name="Percent 2 4 2 2 6 5" xfId="6132"/>
    <cellStyle name="Percent 2 4 2 2 6 5 2" xfId="14555"/>
    <cellStyle name="Percent 2 4 2 2 6 5 3" xfId="20495"/>
    <cellStyle name="Percent 2 4 2 2 6 6" xfId="14551"/>
    <cellStyle name="Percent 2 4 2 2 6 7" xfId="20491"/>
    <cellStyle name="Percent 2 4 2 2 6_LNG &amp; LPG rework" xfId="7736"/>
    <cellStyle name="Percent 2 4 2 2 7" xfId="6133"/>
    <cellStyle name="Percent 2 4 2 2 7 2" xfId="14556"/>
    <cellStyle name="Percent 2 4 2 2 7 3" xfId="20496"/>
    <cellStyle name="Percent 2 4 2 2 8" xfId="6134"/>
    <cellStyle name="Percent 2 4 2 2 8 2" xfId="14557"/>
    <cellStyle name="Percent 2 4 2 2 8 3" xfId="20497"/>
    <cellStyle name="Percent 2 4 2 2 9" xfId="6135"/>
    <cellStyle name="Percent 2 4 2 2 9 2" xfId="14558"/>
    <cellStyle name="Percent 2 4 2 2 9 3" xfId="20498"/>
    <cellStyle name="Percent 2 4 2 2_LNG &amp; LPG rework" xfId="7723"/>
    <cellStyle name="Percent 2 4 2 3" xfId="578"/>
    <cellStyle name="Percent 2 4 2 3 10" xfId="6136"/>
    <cellStyle name="Percent 2 4 2 3 10 2" xfId="14559"/>
    <cellStyle name="Percent 2 4 2 3 10 3" xfId="20500"/>
    <cellStyle name="Percent 2 4 2 3 11" xfId="9397"/>
    <cellStyle name="Percent 2 4 2 3 12" xfId="20499"/>
    <cellStyle name="Percent 2 4 2 3 2" xfId="579"/>
    <cellStyle name="Percent 2 4 2 3 2 10" xfId="20501"/>
    <cellStyle name="Percent 2 4 2 3 2 2" xfId="580"/>
    <cellStyle name="Percent 2 4 2 3 2 2 2" xfId="6137"/>
    <cellStyle name="Percent 2 4 2 3 2 2 2 2" xfId="14560"/>
    <cellStyle name="Percent 2 4 2 3 2 2 2 3" xfId="20503"/>
    <cellStyle name="Percent 2 4 2 3 2 2 3" xfId="6138"/>
    <cellStyle name="Percent 2 4 2 3 2 2 3 2" xfId="14561"/>
    <cellStyle name="Percent 2 4 2 3 2 2 3 3" xfId="20504"/>
    <cellStyle name="Percent 2 4 2 3 2 2 4" xfId="6139"/>
    <cellStyle name="Percent 2 4 2 3 2 2 4 2" xfId="14562"/>
    <cellStyle name="Percent 2 4 2 3 2 2 4 3" xfId="20505"/>
    <cellStyle name="Percent 2 4 2 3 2 2 5" xfId="6140"/>
    <cellStyle name="Percent 2 4 2 3 2 2 5 2" xfId="14563"/>
    <cellStyle name="Percent 2 4 2 3 2 2 5 3" xfId="20506"/>
    <cellStyle name="Percent 2 4 2 3 2 2 6" xfId="6141"/>
    <cellStyle name="Percent 2 4 2 3 2 2 6 2" xfId="14564"/>
    <cellStyle name="Percent 2 4 2 3 2 2 6 3" xfId="20507"/>
    <cellStyle name="Percent 2 4 2 3 2 2 7" xfId="9399"/>
    <cellStyle name="Percent 2 4 2 3 2 2 8" xfId="20502"/>
    <cellStyle name="Percent 2 4 2 3 2 2_LNG &amp; LPG rework" xfId="7739"/>
    <cellStyle name="Percent 2 4 2 3 2 3" xfId="6142"/>
    <cellStyle name="Percent 2 4 2 3 2 3 2" xfId="6143"/>
    <cellStyle name="Percent 2 4 2 3 2 3 2 2" xfId="14566"/>
    <cellStyle name="Percent 2 4 2 3 2 3 2 3" xfId="20509"/>
    <cellStyle name="Percent 2 4 2 3 2 3 3" xfId="6144"/>
    <cellStyle name="Percent 2 4 2 3 2 3 3 2" xfId="14567"/>
    <cellStyle name="Percent 2 4 2 3 2 3 3 3" xfId="20510"/>
    <cellStyle name="Percent 2 4 2 3 2 3 4" xfId="6145"/>
    <cellStyle name="Percent 2 4 2 3 2 3 4 2" xfId="14568"/>
    <cellStyle name="Percent 2 4 2 3 2 3 4 3" xfId="20511"/>
    <cellStyle name="Percent 2 4 2 3 2 3 5" xfId="6146"/>
    <cellStyle name="Percent 2 4 2 3 2 3 5 2" xfId="14569"/>
    <cellStyle name="Percent 2 4 2 3 2 3 5 3" xfId="20512"/>
    <cellStyle name="Percent 2 4 2 3 2 3 6" xfId="14565"/>
    <cellStyle name="Percent 2 4 2 3 2 3 7" xfId="20508"/>
    <cellStyle name="Percent 2 4 2 3 2 3_LNG &amp; LPG rework" xfId="7740"/>
    <cellStyle name="Percent 2 4 2 3 2 4" xfId="6147"/>
    <cellStyle name="Percent 2 4 2 3 2 4 2" xfId="14570"/>
    <cellStyle name="Percent 2 4 2 3 2 4 3" xfId="20513"/>
    <cellStyle name="Percent 2 4 2 3 2 5" xfId="6148"/>
    <cellStyle name="Percent 2 4 2 3 2 5 2" xfId="14571"/>
    <cellStyle name="Percent 2 4 2 3 2 5 3" xfId="20514"/>
    <cellStyle name="Percent 2 4 2 3 2 6" xfId="6149"/>
    <cellStyle name="Percent 2 4 2 3 2 6 2" xfId="14572"/>
    <cellStyle name="Percent 2 4 2 3 2 6 3" xfId="20515"/>
    <cellStyle name="Percent 2 4 2 3 2 7" xfId="6150"/>
    <cellStyle name="Percent 2 4 2 3 2 7 2" xfId="14573"/>
    <cellStyle name="Percent 2 4 2 3 2 7 3" xfId="20516"/>
    <cellStyle name="Percent 2 4 2 3 2 8" xfId="6151"/>
    <cellStyle name="Percent 2 4 2 3 2 8 2" xfId="14574"/>
    <cellStyle name="Percent 2 4 2 3 2 8 3" xfId="20517"/>
    <cellStyle name="Percent 2 4 2 3 2 9" xfId="9398"/>
    <cellStyle name="Percent 2 4 2 3 2_LNG &amp; LPG rework" xfId="7738"/>
    <cellStyle name="Percent 2 4 2 3 3" xfId="581"/>
    <cellStyle name="Percent 2 4 2 3 3 2" xfId="6152"/>
    <cellStyle name="Percent 2 4 2 3 3 2 2" xfId="14575"/>
    <cellStyle name="Percent 2 4 2 3 3 2 3" xfId="20519"/>
    <cellStyle name="Percent 2 4 2 3 3 3" xfId="6153"/>
    <cellStyle name="Percent 2 4 2 3 3 3 2" xfId="14576"/>
    <cellStyle name="Percent 2 4 2 3 3 3 3" xfId="20520"/>
    <cellStyle name="Percent 2 4 2 3 3 4" xfId="6154"/>
    <cellStyle name="Percent 2 4 2 3 3 4 2" xfId="14577"/>
    <cellStyle name="Percent 2 4 2 3 3 4 3" xfId="20521"/>
    <cellStyle name="Percent 2 4 2 3 3 5" xfId="6155"/>
    <cellStyle name="Percent 2 4 2 3 3 5 2" xfId="14578"/>
    <cellStyle name="Percent 2 4 2 3 3 5 3" xfId="20522"/>
    <cellStyle name="Percent 2 4 2 3 3 6" xfId="6156"/>
    <cellStyle name="Percent 2 4 2 3 3 6 2" xfId="14579"/>
    <cellStyle name="Percent 2 4 2 3 3 6 3" xfId="20523"/>
    <cellStyle name="Percent 2 4 2 3 3 7" xfId="9400"/>
    <cellStyle name="Percent 2 4 2 3 3 8" xfId="20518"/>
    <cellStyle name="Percent 2 4 2 3 3_LNG &amp; LPG rework" xfId="7741"/>
    <cellStyle name="Percent 2 4 2 3 4" xfId="6157"/>
    <cellStyle name="Percent 2 4 2 3 4 2" xfId="6158"/>
    <cellStyle name="Percent 2 4 2 3 4 2 2" xfId="14581"/>
    <cellStyle name="Percent 2 4 2 3 4 2 3" xfId="20525"/>
    <cellStyle name="Percent 2 4 2 3 4 3" xfId="6159"/>
    <cellStyle name="Percent 2 4 2 3 4 3 2" xfId="14582"/>
    <cellStyle name="Percent 2 4 2 3 4 3 3" xfId="20526"/>
    <cellStyle name="Percent 2 4 2 3 4 4" xfId="6160"/>
    <cellStyle name="Percent 2 4 2 3 4 4 2" xfId="14583"/>
    <cellStyle name="Percent 2 4 2 3 4 4 3" xfId="20527"/>
    <cellStyle name="Percent 2 4 2 3 4 5" xfId="6161"/>
    <cellStyle name="Percent 2 4 2 3 4 5 2" xfId="14584"/>
    <cellStyle name="Percent 2 4 2 3 4 5 3" xfId="20528"/>
    <cellStyle name="Percent 2 4 2 3 4 6" xfId="14580"/>
    <cellStyle name="Percent 2 4 2 3 4 7" xfId="20524"/>
    <cellStyle name="Percent 2 4 2 3 4_LNG &amp; LPG rework" xfId="7742"/>
    <cellStyle name="Percent 2 4 2 3 5" xfId="6162"/>
    <cellStyle name="Percent 2 4 2 3 5 2" xfId="6163"/>
    <cellStyle name="Percent 2 4 2 3 5 2 2" xfId="14586"/>
    <cellStyle name="Percent 2 4 2 3 5 2 3" xfId="20530"/>
    <cellStyle name="Percent 2 4 2 3 5 3" xfId="6164"/>
    <cellStyle name="Percent 2 4 2 3 5 3 2" xfId="14587"/>
    <cellStyle name="Percent 2 4 2 3 5 3 3" xfId="20531"/>
    <cellStyle name="Percent 2 4 2 3 5 4" xfId="6165"/>
    <cellStyle name="Percent 2 4 2 3 5 4 2" xfId="14588"/>
    <cellStyle name="Percent 2 4 2 3 5 4 3" xfId="20532"/>
    <cellStyle name="Percent 2 4 2 3 5 5" xfId="6166"/>
    <cellStyle name="Percent 2 4 2 3 5 5 2" xfId="14589"/>
    <cellStyle name="Percent 2 4 2 3 5 5 3" xfId="20533"/>
    <cellStyle name="Percent 2 4 2 3 5 6" xfId="14585"/>
    <cellStyle name="Percent 2 4 2 3 5 7" xfId="20529"/>
    <cellStyle name="Percent 2 4 2 3 5_LNG &amp; LPG rework" xfId="7743"/>
    <cellStyle name="Percent 2 4 2 3 6" xfId="6167"/>
    <cellStyle name="Percent 2 4 2 3 6 2" xfId="14590"/>
    <cellStyle name="Percent 2 4 2 3 6 3" xfId="20534"/>
    <cellStyle name="Percent 2 4 2 3 7" xfId="6168"/>
    <cellStyle name="Percent 2 4 2 3 7 2" xfId="14591"/>
    <cellStyle name="Percent 2 4 2 3 7 3" xfId="20535"/>
    <cellStyle name="Percent 2 4 2 3 8" xfId="6169"/>
    <cellStyle name="Percent 2 4 2 3 8 2" xfId="14592"/>
    <cellStyle name="Percent 2 4 2 3 8 3" xfId="20536"/>
    <cellStyle name="Percent 2 4 2 3 9" xfId="6170"/>
    <cellStyle name="Percent 2 4 2 3 9 2" xfId="14593"/>
    <cellStyle name="Percent 2 4 2 3 9 3" xfId="20537"/>
    <cellStyle name="Percent 2 4 2 3_LNG &amp; LPG rework" xfId="7737"/>
    <cellStyle name="Percent 2 4 2 4" xfId="582"/>
    <cellStyle name="Percent 2 4 2 4 10" xfId="20538"/>
    <cellStyle name="Percent 2 4 2 4 2" xfId="583"/>
    <cellStyle name="Percent 2 4 2 4 2 2" xfId="6171"/>
    <cellStyle name="Percent 2 4 2 4 2 2 2" xfId="14594"/>
    <cellStyle name="Percent 2 4 2 4 2 2 3" xfId="20540"/>
    <cellStyle name="Percent 2 4 2 4 2 3" xfId="6172"/>
    <cellStyle name="Percent 2 4 2 4 2 3 2" xfId="14595"/>
    <cellStyle name="Percent 2 4 2 4 2 3 3" xfId="20541"/>
    <cellStyle name="Percent 2 4 2 4 2 4" xfId="6173"/>
    <cellStyle name="Percent 2 4 2 4 2 4 2" xfId="14596"/>
    <cellStyle name="Percent 2 4 2 4 2 4 3" xfId="20542"/>
    <cellStyle name="Percent 2 4 2 4 2 5" xfId="6174"/>
    <cellStyle name="Percent 2 4 2 4 2 5 2" xfId="14597"/>
    <cellStyle name="Percent 2 4 2 4 2 5 3" xfId="20543"/>
    <cellStyle name="Percent 2 4 2 4 2 6" xfId="6175"/>
    <cellStyle name="Percent 2 4 2 4 2 6 2" xfId="14598"/>
    <cellStyle name="Percent 2 4 2 4 2 6 3" xfId="20544"/>
    <cellStyle name="Percent 2 4 2 4 2 7" xfId="9402"/>
    <cellStyle name="Percent 2 4 2 4 2 8" xfId="20539"/>
    <cellStyle name="Percent 2 4 2 4 2_LNG &amp; LPG rework" xfId="7745"/>
    <cellStyle name="Percent 2 4 2 4 3" xfId="6176"/>
    <cellStyle name="Percent 2 4 2 4 3 2" xfId="6177"/>
    <cellStyle name="Percent 2 4 2 4 3 2 2" xfId="14600"/>
    <cellStyle name="Percent 2 4 2 4 3 2 3" xfId="20546"/>
    <cellStyle name="Percent 2 4 2 4 3 3" xfId="6178"/>
    <cellStyle name="Percent 2 4 2 4 3 3 2" xfId="14601"/>
    <cellStyle name="Percent 2 4 2 4 3 3 3" xfId="20547"/>
    <cellStyle name="Percent 2 4 2 4 3 4" xfId="6179"/>
    <cellStyle name="Percent 2 4 2 4 3 4 2" xfId="14602"/>
    <cellStyle name="Percent 2 4 2 4 3 4 3" xfId="20548"/>
    <cellStyle name="Percent 2 4 2 4 3 5" xfId="6180"/>
    <cellStyle name="Percent 2 4 2 4 3 5 2" xfId="14603"/>
    <cellStyle name="Percent 2 4 2 4 3 5 3" xfId="20549"/>
    <cellStyle name="Percent 2 4 2 4 3 6" xfId="14599"/>
    <cellStyle name="Percent 2 4 2 4 3 7" xfId="20545"/>
    <cellStyle name="Percent 2 4 2 4 3_LNG &amp; LPG rework" xfId="7746"/>
    <cellStyle name="Percent 2 4 2 4 4" xfId="6181"/>
    <cellStyle name="Percent 2 4 2 4 4 2" xfId="14604"/>
    <cellStyle name="Percent 2 4 2 4 4 3" xfId="20550"/>
    <cellStyle name="Percent 2 4 2 4 5" xfId="6182"/>
    <cellStyle name="Percent 2 4 2 4 5 2" xfId="14605"/>
    <cellStyle name="Percent 2 4 2 4 5 3" xfId="20551"/>
    <cellStyle name="Percent 2 4 2 4 6" xfId="6183"/>
    <cellStyle name="Percent 2 4 2 4 6 2" xfId="14606"/>
    <cellStyle name="Percent 2 4 2 4 6 3" xfId="20552"/>
    <cellStyle name="Percent 2 4 2 4 7" xfId="6184"/>
    <cellStyle name="Percent 2 4 2 4 7 2" xfId="14607"/>
    <cellStyle name="Percent 2 4 2 4 7 3" xfId="20553"/>
    <cellStyle name="Percent 2 4 2 4 8" xfId="6185"/>
    <cellStyle name="Percent 2 4 2 4 8 2" xfId="14608"/>
    <cellStyle name="Percent 2 4 2 4 8 3" xfId="20554"/>
    <cellStyle name="Percent 2 4 2 4 9" xfId="9401"/>
    <cellStyle name="Percent 2 4 2 4_LNG &amp; LPG rework" xfId="7744"/>
    <cellStyle name="Percent 2 4 2 5" xfId="584"/>
    <cellStyle name="Percent 2 4 2 5 2" xfId="6186"/>
    <cellStyle name="Percent 2 4 2 5 2 2" xfId="14609"/>
    <cellStyle name="Percent 2 4 2 5 2 3" xfId="20556"/>
    <cellStyle name="Percent 2 4 2 5 3" xfId="6187"/>
    <cellStyle name="Percent 2 4 2 5 3 2" xfId="14610"/>
    <cellStyle name="Percent 2 4 2 5 3 3" xfId="20557"/>
    <cellStyle name="Percent 2 4 2 5 4" xfId="6188"/>
    <cellStyle name="Percent 2 4 2 5 4 2" xfId="14611"/>
    <cellStyle name="Percent 2 4 2 5 4 3" xfId="20558"/>
    <cellStyle name="Percent 2 4 2 5 5" xfId="6189"/>
    <cellStyle name="Percent 2 4 2 5 5 2" xfId="14612"/>
    <cellStyle name="Percent 2 4 2 5 5 3" xfId="20559"/>
    <cellStyle name="Percent 2 4 2 5 6" xfId="6190"/>
    <cellStyle name="Percent 2 4 2 5 6 2" xfId="14613"/>
    <cellStyle name="Percent 2 4 2 5 6 3" xfId="20560"/>
    <cellStyle name="Percent 2 4 2 5 7" xfId="9403"/>
    <cellStyle name="Percent 2 4 2 5 8" xfId="20555"/>
    <cellStyle name="Percent 2 4 2 5_LNG &amp; LPG rework" xfId="7747"/>
    <cellStyle name="Percent 2 4 2 6" xfId="6191"/>
    <cellStyle name="Percent 2 4 2 6 2" xfId="6192"/>
    <cellStyle name="Percent 2 4 2 6 2 2" xfId="14615"/>
    <cellStyle name="Percent 2 4 2 6 2 3" xfId="20562"/>
    <cellStyle name="Percent 2 4 2 6 3" xfId="6193"/>
    <cellStyle name="Percent 2 4 2 6 3 2" xfId="14616"/>
    <cellStyle name="Percent 2 4 2 6 3 3" xfId="20563"/>
    <cellStyle name="Percent 2 4 2 6 4" xfId="6194"/>
    <cellStyle name="Percent 2 4 2 6 4 2" xfId="14617"/>
    <cellStyle name="Percent 2 4 2 6 4 3" xfId="20564"/>
    <cellStyle name="Percent 2 4 2 6 5" xfId="6195"/>
    <cellStyle name="Percent 2 4 2 6 5 2" xfId="14618"/>
    <cellStyle name="Percent 2 4 2 6 5 3" xfId="20565"/>
    <cellStyle name="Percent 2 4 2 6 6" xfId="14614"/>
    <cellStyle name="Percent 2 4 2 6 7" xfId="20561"/>
    <cellStyle name="Percent 2 4 2 6_LNG &amp; LPG rework" xfId="7748"/>
    <cellStyle name="Percent 2 4 2 7" xfId="6196"/>
    <cellStyle name="Percent 2 4 2 7 2" xfId="6197"/>
    <cellStyle name="Percent 2 4 2 7 2 2" xfId="14620"/>
    <cellStyle name="Percent 2 4 2 7 2 3" xfId="20567"/>
    <cellStyle name="Percent 2 4 2 7 3" xfId="6198"/>
    <cellStyle name="Percent 2 4 2 7 3 2" xfId="14621"/>
    <cellStyle name="Percent 2 4 2 7 3 3" xfId="20568"/>
    <cellStyle name="Percent 2 4 2 7 4" xfId="6199"/>
    <cellStyle name="Percent 2 4 2 7 4 2" xfId="14622"/>
    <cellStyle name="Percent 2 4 2 7 4 3" xfId="20569"/>
    <cellStyle name="Percent 2 4 2 7 5" xfId="6200"/>
    <cellStyle name="Percent 2 4 2 7 5 2" xfId="14623"/>
    <cellStyle name="Percent 2 4 2 7 5 3" xfId="20570"/>
    <cellStyle name="Percent 2 4 2 7 6" xfId="14619"/>
    <cellStyle name="Percent 2 4 2 7 7" xfId="20566"/>
    <cellStyle name="Percent 2 4 2 7_LNG &amp; LPG rework" xfId="7749"/>
    <cellStyle name="Percent 2 4 2 8" xfId="6201"/>
    <cellStyle name="Percent 2 4 2 8 2" xfId="14624"/>
    <cellStyle name="Percent 2 4 2 8 3" xfId="20571"/>
    <cellStyle name="Percent 2 4 2 9" xfId="6202"/>
    <cellStyle name="Percent 2 4 2 9 2" xfId="14625"/>
    <cellStyle name="Percent 2 4 2 9 3" xfId="20572"/>
    <cellStyle name="Percent 2 4 2_LNG &amp; LPG rework" xfId="7722"/>
    <cellStyle name="Percent 2 4 3" xfId="585"/>
    <cellStyle name="Percent 2 4 3 10" xfId="6203"/>
    <cellStyle name="Percent 2 4 3 10 2" xfId="14626"/>
    <cellStyle name="Percent 2 4 3 10 3" xfId="20574"/>
    <cellStyle name="Percent 2 4 3 11" xfId="6204"/>
    <cellStyle name="Percent 2 4 3 11 2" xfId="14627"/>
    <cellStyle name="Percent 2 4 3 11 3" xfId="20575"/>
    <cellStyle name="Percent 2 4 3 12" xfId="9404"/>
    <cellStyle name="Percent 2 4 3 13" xfId="20573"/>
    <cellStyle name="Percent 2 4 3 2" xfId="586"/>
    <cellStyle name="Percent 2 4 3 2 10" xfId="6205"/>
    <cellStyle name="Percent 2 4 3 2 10 2" xfId="14628"/>
    <cellStyle name="Percent 2 4 3 2 10 3" xfId="20577"/>
    <cellStyle name="Percent 2 4 3 2 11" xfId="9405"/>
    <cellStyle name="Percent 2 4 3 2 12" xfId="20576"/>
    <cellStyle name="Percent 2 4 3 2 2" xfId="587"/>
    <cellStyle name="Percent 2 4 3 2 2 10" xfId="20578"/>
    <cellStyle name="Percent 2 4 3 2 2 2" xfId="588"/>
    <cellStyle name="Percent 2 4 3 2 2 2 2" xfId="6206"/>
    <cellStyle name="Percent 2 4 3 2 2 2 2 2" xfId="14629"/>
    <cellStyle name="Percent 2 4 3 2 2 2 2 3" xfId="20580"/>
    <cellStyle name="Percent 2 4 3 2 2 2 3" xfId="6207"/>
    <cellStyle name="Percent 2 4 3 2 2 2 3 2" xfId="14630"/>
    <cellStyle name="Percent 2 4 3 2 2 2 3 3" xfId="20581"/>
    <cellStyle name="Percent 2 4 3 2 2 2 4" xfId="6208"/>
    <cellStyle name="Percent 2 4 3 2 2 2 4 2" xfId="14631"/>
    <cellStyle name="Percent 2 4 3 2 2 2 4 3" xfId="20582"/>
    <cellStyle name="Percent 2 4 3 2 2 2 5" xfId="6209"/>
    <cellStyle name="Percent 2 4 3 2 2 2 5 2" xfId="14632"/>
    <cellStyle name="Percent 2 4 3 2 2 2 5 3" xfId="20583"/>
    <cellStyle name="Percent 2 4 3 2 2 2 6" xfId="6210"/>
    <cellStyle name="Percent 2 4 3 2 2 2 6 2" xfId="14633"/>
    <cellStyle name="Percent 2 4 3 2 2 2 6 3" xfId="20584"/>
    <cellStyle name="Percent 2 4 3 2 2 2 7" xfId="9407"/>
    <cellStyle name="Percent 2 4 3 2 2 2 8" xfId="20579"/>
    <cellStyle name="Percent 2 4 3 2 2 2_LNG &amp; LPG rework" xfId="7753"/>
    <cellStyle name="Percent 2 4 3 2 2 3" xfId="6211"/>
    <cellStyle name="Percent 2 4 3 2 2 3 2" xfId="6212"/>
    <cellStyle name="Percent 2 4 3 2 2 3 2 2" xfId="14635"/>
    <cellStyle name="Percent 2 4 3 2 2 3 2 3" xfId="20586"/>
    <cellStyle name="Percent 2 4 3 2 2 3 3" xfId="6213"/>
    <cellStyle name="Percent 2 4 3 2 2 3 3 2" xfId="14636"/>
    <cellStyle name="Percent 2 4 3 2 2 3 3 3" xfId="20587"/>
    <cellStyle name="Percent 2 4 3 2 2 3 4" xfId="6214"/>
    <cellStyle name="Percent 2 4 3 2 2 3 4 2" xfId="14637"/>
    <cellStyle name="Percent 2 4 3 2 2 3 4 3" xfId="20588"/>
    <cellStyle name="Percent 2 4 3 2 2 3 5" xfId="6215"/>
    <cellStyle name="Percent 2 4 3 2 2 3 5 2" xfId="14638"/>
    <cellStyle name="Percent 2 4 3 2 2 3 5 3" xfId="20589"/>
    <cellStyle name="Percent 2 4 3 2 2 3 6" xfId="14634"/>
    <cellStyle name="Percent 2 4 3 2 2 3 7" xfId="20585"/>
    <cellStyle name="Percent 2 4 3 2 2 3_LNG &amp; LPG rework" xfId="7754"/>
    <cellStyle name="Percent 2 4 3 2 2 4" xfId="6216"/>
    <cellStyle name="Percent 2 4 3 2 2 4 2" xfId="14639"/>
    <cellStyle name="Percent 2 4 3 2 2 4 3" xfId="20590"/>
    <cellStyle name="Percent 2 4 3 2 2 5" xfId="6217"/>
    <cellStyle name="Percent 2 4 3 2 2 5 2" xfId="14640"/>
    <cellStyle name="Percent 2 4 3 2 2 5 3" xfId="20591"/>
    <cellStyle name="Percent 2 4 3 2 2 6" xfId="6218"/>
    <cellStyle name="Percent 2 4 3 2 2 6 2" xfId="14641"/>
    <cellStyle name="Percent 2 4 3 2 2 6 3" xfId="20592"/>
    <cellStyle name="Percent 2 4 3 2 2 7" xfId="6219"/>
    <cellStyle name="Percent 2 4 3 2 2 7 2" xfId="14642"/>
    <cellStyle name="Percent 2 4 3 2 2 7 3" xfId="20593"/>
    <cellStyle name="Percent 2 4 3 2 2 8" xfId="6220"/>
    <cellStyle name="Percent 2 4 3 2 2 8 2" xfId="14643"/>
    <cellStyle name="Percent 2 4 3 2 2 8 3" xfId="20594"/>
    <cellStyle name="Percent 2 4 3 2 2 9" xfId="9406"/>
    <cellStyle name="Percent 2 4 3 2 2_LNG &amp; LPG rework" xfId="7752"/>
    <cellStyle name="Percent 2 4 3 2 3" xfId="589"/>
    <cellStyle name="Percent 2 4 3 2 3 2" xfId="6221"/>
    <cellStyle name="Percent 2 4 3 2 3 2 2" xfId="14644"/>
    <cellStyle name="Percent 2 4 3 2 3 2 3" xfId="20596"/>
    <cellStyle name="Percent 2 4 3 2 3 3" xfId="6222"/>
    <cellStyle name="Percent 2 4 3 2 3 3 2" xfId="14645"/>
    <cellStyle name="Percent 2 4 3 2 3 3 3" xfId="20597"/>
    <cellStyle name="Percent 2 4 3 2 3 4" xfId="6223"/>
    <cellStyle name="Percent 2 4 3 2 3 4 2" xfId="14646"/>
    <cellStyle name="Percent 2 4 3 2 3 4 3" xfId="20598"/>
    <cellStyle name="Percent 2 4 3 2 3 5" xfId="6224"/>
    <cellStyle name="Percent 2 4 3 2 3 5 2" xfId="14647"/>
    <cellStyle name="Percent 2 4 3 2 3 5 3" xfId="20599"/>
    <cellStyle name="Percent 2 4 3 2 3 6" xfId="6225"/>
    <cellStyle name="Percent 2 4 3 2 3 6 2" xfId="14648"/>
    <cellStyle name="Percent 2 4 3 2 3 6 3" xfId="20600"/>
    <cellStyle name="Percent 2 4 3 2 3 7" xfId="9408"/>
    <cellStyle name="Percent 2 4 3 2 3 8" xfId="20595"/>
    <cellStyle name="Percent 2 4 3 2 3_LNG &amp; LPG rework" xfId="7755"/>
    <cellStyle name="Percent 2 4 3 2 4" xfId="6226"/>
    <cellStyle name="Percent 2 4 3 2 4 2" xfId="6227"/>
    <cellStyle name="Percent 2 4 3 2 4 2 2" xfId="14650"/>
    <cellStyle name="Percent 2 4 3 2 4 2 3" xfId="20602"/>
    <cellStyle name="Percent 2 4 3 2 4 3" xfId="6228"/>
    <cellStyle name="Percent 2 4 3 2 4 3 2" xfId="14651"/>
    <cellStyle name="Percent 2 4 3 2 4 3 3" xfId="20603"/>
    <cellStyle name="Percent 2 4 3 2 4 4" xfId="6229"/>
    <cellStyle name="Percent 2 4 3 2 4 4 2" xfId="14652"/>
    <cellStyle name="Percent 2 4 3 2 4 4 3" xfId="20604"/>
    <cellStyle name="Percent 2 4 3 2 4 5" xfId="6230"/>
    <cellStyle name="Percent 2 4 3 2 4 5 2" xfId="14653"/>
    <cellStyle name="Percent 2 4 3 2 4 5 3" xfId="20605"/>
    <cellStyle name="Percent 2 4 3 2 4 6" xfId="14649"/>
    <cellStyle name="Percent 2 4 3 2 4 7" xfId="20601"/>
    <cellStyle name="Percent 2 4 3 2 4_LNG &amp; LPG rework" xfId="7756"/>
    <cellStyle name="Percent 2 4 3 2 5" xfId="6231"/>
    <cellStyle name="Percent 2 4 3 2 5 2" xfId="6232"/>
    <cellStyle name="Percent 2 4 3 2 5 2 2" xfId="14655"/>
    <cellStyle name="Percent 2 4 3 2 5 2 3" xfId="20607"/>
    <cellStyle name="Percent 2 4 3 2 5 3" xfId="6233"/>
    <cellStyle name="Percent 2 4 3 2 5 3 2" xfId="14656"/>
    <cellStyle name="Percent 2 4 3 2 5 3 3" xfId="20608"/>
    <cellStyle name="Percent 2 4 3 2 5 4" xfId="6234"/>
    <cellStyle name="Percent 2 4 3 2 5 4 2" xfId="14657"/>
    <cellStyle name="Percent 2 4 3 2 5 4 3" xfId="20609"/>
    <cellStyle name="Percent 2 4 3 2 5 5" xfId="6235"/>
    <cellStyle name="Percent 2 4 3 2 5 5 2" xfId="14658"/>
    <cellStyle name="Percent 2 4 3 2 5 5 3" xfId="20610"/>
    <cellStyle name="Percent 2 4 3 2 5 6" xfId="14654"/>
    <cellStyle name="Percent 2 4 3 2 5 7" xfId="20606"/>
    <cellStyle name="Percent 2 4 3 2 5_LNG &amp; LPG rework" xfId="7757"/>
    <cellStyle name="Percent 2 4 3 2 6" xfId="6236"/>
    <cellStyle name="Percent 2 4 3 2 6 2" xfId="14659"/>
    <cellStyle name="Percent 2 4 3 2 6 3" xfId="20611"/>
    <cellStyle name="Percent 2 4 3 2 7" xfId="6237"/>
    <cellStyle name="Percent 2 4 3 2 7 2" xfId="14660"/>
    <cellStyle name="Percent 2 4 3 2 7 3" xfId="20612"/>
    <cellStyle name="Percent 2 4 3 2 8" xfId="6238"/>
    <cellStyle name="Percent 2 4 3 2 8 2" xfId="14661"/>
    <cellStyle name="Percent 2 4 3 2 8 3" xfId="20613"/>
    <cellStyle name="Percent 2 4 3 2 9" xfId="6239"/>
    <cellStyle name="Percent 2 4 3 2 9 2" xfId="14662"/>
    <cellStyle name="Percent 2 4 3 2 9 3" xfId="20614"/>
    <cellStyle name="Percent 2 4 3 2_LNG &amp; LPG rework" xfId="7751"/>
    <cellStyle name="Percent 2 4 3 3" xfId="590"/>
    <cellStyle name="Percent 2 4 3 3 10" xfId="20615"/>
    <cellStyle name="Percent 2 4 3 3 2" xfId="591"/>
    <cellStyle name="Percent 2 4 3 3 2 2" xfId="6240"/>
    <cellStyle name="Percent 2 4 3 3 2 2 2" xfId="14663"/>
    <cellStyle name="Percent 2 4 3 3 2 2 3" xfId="20617"/>
    <cellStyle name="Percent 2 4 3 3 2 3" xfId="6241"/>
    <cellStyle name="Percent 2 4 3 3 2 3 2" xfId="14664"/>
    <cellStyle name="Percent 2 4 3 3 2 3 3" xfId="20618"/>
    <cellStyle name="Percent 2 4 3 3 2 4" xfId="6242"/>
    <cellStyle name="Percent 2 4 3 3 2 4 2" xfId="14665"/>
    <cellStyle name="Percent 2 4 3 3 2 4 3" xfId="20619"/>
    <cellStyle name="Percent 2 4 3 3 2 5" xfId="6243"/>
    <cellStyle name="Percent 2 4 3 3 2 5 2" xfId="14666"/>
    <cellStyle name="Percent 2 4 3 3 2 5 3" xfId="20620"/>
    <cellStyle name="Percent 2 4 3 3 2 6" xfId="6244"/>
    <cellStyle name="Percent 2 4 3 3 2 6 2" xfId="14667"/>
    <cellStyle name="Percent 2 4 3 3 2 6 3" xfId="20621"/>
    <cellStyle name="Percent 2 4 3 3 2 7" xfId="9410"/>
    <cellStyle name="Percent 2 4 3 3 2 8" xfId="20616"/>
    <cellStyle name="Percent 2 4 3 3 2_LNG &amp; LPG rework" xfId="7759"/>
    <cellStyle name="Percent 2 4 3 3 3" xfId="6245"/>
    <cellStyle name="Percent 2 4 3 3 3 2" xfId="6246"/>
    <cellStyle name="Percent 2 4 3 3 3 2 2" xfId="14669"/>
    <cellStyle name="Percent 2 4 3 3 3 2 3" xfId="20623"/>
    <cellStyle name="Percent 2 4 3 3 3 3" xfId="6247"/>
    <cellStyle name="Percent 2 4 3 3 3 3 2" xfId="14670"/>
    <cellStyle name="Percent 2 4 3 3 3 3 3" xfId="20624"/>
    <cellStyle name="Percent 2 4 3 3 3 4" xfId="6248"/>
    <cellStyle name="Percent 2 4 3 3 3 4 2" xfId="14671"/>
    <cellStyle name="Percent 2 4 3 3 3 4 3" xfId="20625"/>
    <cellStyle name="Percent 2 4 3 3 3 5" xfId="6249"/>
    <cellStyle name="Percent 2 4 3 3 3 5 2" xfId="14672"/>
    <cellStyle name="Percent 2 4 3 3 3 5 3" xfId="20626"/>
    <cellStyle name="Percent 2 4 3 3 3 6" xfId="14668"/>
    <cellStyle name="Percent 2 4 3 3 3 7" xfId="20622"/>
    <cellStyle name="Percent 2 4 3 3 3_LNG &amp; LPG rework" xfId="7760"/>
    <cellStyle name="Percent 2 4 3 3 4" xfId="6250"/>
    <cellStyle name="Percent 2 4 3 3 4 2" xfId="14673"/>
    <cellStyle name="Percent 2 4 3 3 4 3" xfId="20627"/>
    <cellStyle name="Percent 2 4 3 3 5" xfId="6251"/>
    <cellStyle name="Percent 2 4 3 3 5 2" xfId="14674"/>
    <cellStyle name="Percent 2 4 3 3 5 3" xfId="20628"/>
    <cellStyle name="Percent 2 4 3 3 6" xfId="6252"/>
    <cellStyle name="Percent 2 4 3 3 6 2" xfId="14675"/>
    <cellStyle name="Percent 2 4 3 3 6 3" xfId="20629"/>
    <cellStyle name="Percent 2 4 3 3 7" xfId="6253"/>
    <cellStyle name="Percent 2 4 3 3 7 2" xfId="14676"/>
    <cellStyle name="Percent 2 4 3 3 7 3" xfId="20630"/>
    <cellStyle name="Percent 2 4 3 3 8" xfId="6254"/>
    <cellStyle name="Percent 2 4 3 3 8 2" xfId="14677"/>
    <cellStyle name="Percent 2 4 3 3 8 3" xfId="20631"/>
    <cellStyle name="Percent 2 4 3 3 9" xfId="9409"/>
    <cellStyle name="Percent 2 4 3 3_LNG &amp; LPG rework" xfId="7758"/>
    <cellStyle name="Percent 2 4 3 4" xfId="592"/>
    <cellStyle name="Percent 2 4 3 4 2" xfId="6255"/>
    <cellStyle name="Percent 2 4 3 4 2 2" xfId="14678"/>
    <cellStyle name="Percent 2 4 3 4 2 3" xfId="20633"/>
    <cellStyle name="Percent 2 4 3 4 3" xfId="6256"/>
    <cellStyle name="Percent 2 4 3 4 3 2" xfId="14679"/>
    <cellStyle name="Percent 2 4 3 4 3 3" xfId="20634"/>
    <cellStyle name="Percent 2 4 3 4 4" xfId="6257"/>
    <cellStyle name="Percent 2 4 3 4 4 2" xfId="14680"/>
    <cellStyle name="Percent 2 4 3 4 4 3" xfId="20635"/>
    <cellStyle name="Percent 2 4 3 4 5" xfId="6258"/>
    <cellStyle name="Percent 2 4 3 4 5 2" xfId="14681"/>
    <cellStyle name="Percent 2 4 3 4 5 3" xfId="20636"/>
    <cellStyle name="Percent 2 4 3 4 6" xfId="6259"/>
    <cellStyle name="Percent 2 4 3 4 6 2" xfId="14682"/>
    <cellStyle name="Percent 2 4 3 4 6 3" xfId="20637"/>
    <cellStyle name="Percent 2 4 3 4 7" xfId="9411"/>
    <cellStyle name="Percent 2 4 3 4 8" xfId="20632"/>
    <cellStyle name="Percent 2 4 3 4_LNG &amp; LPG rework" xfId="7761"/>
    <cellStyle name="Percent 2 4 3 5" xfId="6260"/>
    <cellStyle name="Percent 2 4 3 5 2" xfId="6261"/>
    <cellStyle name="Percent 2 4 3 5 2 2" xfId="14684"/>
    <cellStyle name="Percent 2 4 3 5 2 3" xfId="20639"/>
    <cellStyle name="Percent 2 4 3 5 3" xfId="6262"/>
    <cellStyle name="Percent 2 4 3 5 3 2" xfId="14685"/>
    <cellStyle name="Percent 2 4 3 5 3 3" xfId="20640"/>
    <cellStyle name="Percent 2 4 3 5 4" xfId="6263"/>
    <cellStyle name="Percent 2 4 3 5 4 2" xfId="14686"/>
    <cellStyle name="Percent 2 4 3 5 4 3" xfId="20641"/>
    <cellStyle name="Percent 2 4 3 5 5" xfId="6264"/>
    <cellStyle name="Percent 2 4 3 5 5 2" xfId="14687"/>
    <cellStyle name="Percent 2 4 3 5 5 3" xfId="20642"/>
    <cellStyle name="Percent 2 4 3 5 6" xfId="14683"/>
    <cellStyle name="Percent 2 4 3 5 7" xfId="20638"/>
    <cellStyle name="Percent 2 4 3 5_LNG &amp; LPG rework" xfId="7762"/>
    <cellStyle name="Percent 2 4 3 6" xfId="6265"/>
    <cellStyle name="Percent 2 4 3 6 2" xfId="6266"/>
    <cellStyle name="Percent 2 4 3 6 2 2" xfId="14689"/>
    <cellStyle name="Percent 2 4 3 6 2 3" xfId="20644"/>
    <cellStyle name="Percent 2 4 3 6 3" xfId="6267"/>
    <cellStyle name="Percent 2 4 3 6 3 2" xfId="14690"/>
    <cellStyle name="Percent 2 4 3 6 3 3" xfId="20645"/>
    <cellStyle name="Percent 2 4 3 6 4" xfId="6268"/>
    <cellStyle name="Percent 2 4 3 6 4 2" xfId="14691"/>
    <cellStyle name="Percent 2 4 3 6 4 3" xfId="20646"/>
    <cellStyle name="Percent 2 4 3 6 5" xfId="6269"/>
    <cellStyle name="Percent 2 4 3 6 5 2" xfId="14692"/>
    <cellStyle name="Percent 2 4 3 6 5 3" xfId="20647"/>
    <cellStyle name="Percent 2 4 3 6 6" xfId="14688"/>
    <cellStyle name="Percent 2 4 3 6 7" xfId="20643"/>
    <cellStyle name="Percent 2 4 3 6_LNG &amp; LPG rework" xfId="7763"/>
    <cellStyle name="Percent 2 4 3 7" xfId="6270"/>
    <cellStyle name="Percent 2 4 3 7 2" xfId="14693"/>
    <cellStyle name="Percent 2 4 3 7 3" xfId="20648"/>
    <cellStyle name="Percent 2 4 3 8" xfId="6271"/>
    <cellStyle name="Percent 2 4 3 8 2" xfId="14694"/>
    <cellStyle name="Percent 2 4 3 8 3" xfId="20649"/>
    <cellStyle name="Percent 2 4 3 9" xfId="6272"/>
    <cellStyle name="Percent 2 4 3 9 2" xfId="14695"/>
    <cellStyle name="Percent 2 4 3 9 3" xfId="20650"/>
    <cellStyle name="Percent 2 4 3_LNG &amp; LPG rework" xfId="7750"/>
    <cellStyle name="Percent 2 4 4" xfId="593"/>
    <cellStyle name="Percent 2 4 4 10" xfId="6273"/>
    <cellStyle name="Percent 2 4 4 10 2" xfId="14696"/>
    <cellStyle name="Percent 2 4 4 10 3" xfId="20652"/>
    <cellStyle name="Percent 2 4 4 11" xfId="9412"/>
    <cellStyle name="Percent 2 4 4 12" xfId="20651"/>
    <cellStyle name="Percent 2 4 4 2" xfId="594"/>
    <cellStyle name="Percent 2 4 4 2 10" xfId="20653"/>
    <cellStyle name="Percent 2 4 4 2 2" xfId="595"/>
    <cellStyle name="Percent 2 4 4 2 2 2" xfId="6274"/>
    <cellStyle name="Percent 2 4 4 2 2 2 2" xfId="14697"/>
    <cellStyle name="Percent 2 4 4 2 2 2 3" xfId="20655"/>
    <cellStyle name="Percent 2 4 4 2 2 3" xfId="6275"/>
    <cellStyle name="Percent 2 4 4 2 2 3 2" xfId="14698"/>
    <cellStyle name="Percent 2 4 4 2 2 3 3" xfId="20656"/>
    <cellStyle name="Percent 2 4 4 2 2 4" xfId="6276"/>
    <cellStyle name="Percent 2 4 4 2 2 4 2" xfId="14699"/>
    <cellStyle name="Percent 2 4 4 2 2 4 3" xfId="20657"/>
    <cellStyle name="Percent 2 4 4 2 2 5" xfId="6277"/>
    <cellStyle name="Percent 2 4 4 2 2 5 2" xfId="14700"/>
    <cellStyle name="Percent 2 4 4 2 2 5 3" xfId="20658"/>
    <cellStyle name="Percent 2 4 4 2 2 6" xfId="6278"/>
    <cellStyle name="Percent 2 4 4 2 2 6 2" xfId="14701"/>
    <cellStyle name="Percent 2 4 4 2 2 6 3" xfId="20659"/>
    <cellStyle name="Percent 2 4 4 2 2 7" xfId="9414"/>
    <cellStyle name="Percent 2 4 4 2 2 8" xfId="20654"/>
    <cellStyle name="Percent 2 4 4 2 2_LNG &amp; LPG rework" xfId="7766"/>
    <cellStyle name="Percent 2 4 4 2 3" xfId="6279"/>
    <cellStyle name="Percent 2 4 4 2 3 2" xfId="6280"/>
    <cellStyle name="Percent 2 4 4 2 3 2 2" xfId="14703"/>
    <cellStyle name="Percent 2 4 4 2 3 2 3" xfId="20661"/>
    <cellStyle name="Percent 2 4 4 2 3 3" xfId="6281"/>
    <cellStyle name="Percent 2 4 4 2 3 3 2" xfId="14704"/>
    <cellStyle name="Percent 2 4 4 2 3 3 3" xfId="20662"/>
    <cellStyle name="Percent 2 4 4 2 3 4" xfId="6282"/>
    <cellStyle name="Percent 2 4 4 2 3 4 2" xfId="14705"/>
    <cellStyle name="Percent 2 4 4 2 3 4 3" xfId="20663"/>
    <cellStyle name="Percent 2 4 4 2 3 5" xfId="6283"/>
    <cellStyle name="Percent 2 4 4 2 3 5 2" xfId="14706"/>
    <cellStyle name="Percent 2 4 4 2 3 5 3" xfId="20664"/>
    <cellStyle name="Percent 2 4 4 2 3 6" xfId="14702"/>
    <cellStyle name="Percent 2 4 4 2 3 7" xfId="20660"/>
    <cellStyle name="Percent 2 4 4 2 3_LNG &amp; LPG rework" xfId="7767"/>
    <cellStyle name="Percent 2 4 4 2 4" xfId="6284"/>
    <cellStyle name="Percent 2 4 4 2 4 2" xfId="14707"/>
    <cellStyle name="Percent 2 4 4 2 4 3" xfId="20665"/>
    <cellStyle name="Percent 2 4 4 2 5" xfId="6285"/>
    <cellStyle name="Percent 2 4 4 2 5 2" xfId="14708"/>
    <cellStyle name="Percent 2 4 4 2 5 3" xfId="20666"/>
    <cellStyle name="Percent 2 4 4 2 6" xfId="6286"/>
    <cellStyle name="Percent 2 4 4 2 6 2" xfId="14709"/>
    <cellStyle name="Percent 2 4 4 2 6 3" xfId="20667"/>
    <cellStyle name="Percent 2 4 4 2 7" xfId="6287"/>
    <cellStyle name="Percent 2 4 4 2 7 2" xfId="14710"/>
    <cellStyle name="Percent 2 4 4 2 7 3" xfId="20668"/>
    <cellStyle name="Percent 2 4 4 2 8" xfId="6288"/>
    <cellStyle name="Percent 2 4 4 2 8 2" xfId="14711"/>
    <cellStyle name="Percent 2 4 4 2 8 3" xfId="20669"/>
    <cellStyle name="Percent 2 4 4 2 9" xfId="9413"/>
    <cellStyle name="Percent 2 4 4 2_LNG &amp; LPG rework" xfId="7765"/>
    <cellStyle name="Percent 2 4 4 3" xfId="596"/>
    <cellStyle name="Percent 2 4 4 3 2" xfId="6289"/>
    <cellStyle name="Percent 2 4 4 3 2 2" xfId="14712"/>
    <cellStyle name="Percent 2 4 4 3 2 3" xfId="20671"/>
    <cellStyle name="Percent 2 4 4 3 3" xfId="6290"/>
    <cellStyle name="Percent 2 4 4 3 3 2" xfId="14713"/>
    <cellStyle name="Percent 2 4 4 3 3 3" xfId="20672"/>
    <cellStyle name="Percent 2 4 4 3 4" xfId="6291"/>
    <cellStyle name="Percent 2 4 4 3 4 2" xfId="14714"/>
    <cellStyle name="Percent 2 4 4 3 4 3" xfId="20673"/>
    <cellStyle name="Percent 2 4 4 3 5" xfId="6292"/>
    <cellStyle name="Percent 2 4 4 3 5 2" xfId="14715"/>
    <cellStyle name="Percent 2 4 4 3 5 3" xfId="20674"/>
    <cellStyle name="Percent 2 4 4 3 6" xfId="6293"/>
    <cellStyle name="Percent 2 4 4 3 6 2" xfId="14716"/>
    <cellStyle name="Percent 2 4 4 3 6 3" xfId="20675"/>
    <cellStyle name="Percent 2 4 4 3 7" xfId="9415"/>
    <cellStyle name="Percent 2 4 4 3 8" xfId="20670"/>
    <cellStyle name="Percent 2 4 4 3_LNG &amp; LPG rework" xfId="7768"/>
    <cellStyle name="Percent 2 4 4 4" xfId="6294"/>
    <cellStyle name="Percent 2 4 4 4 2" xfId="6295"/>
    <cellStyle name="Percent 2 4 4 4 2 2" xfId="14718"/>
    <cellStyle name="Percent 2 4 4 4 2 3" xfId="20677"/>
    <cellStyle name="Percent 2 4 4 4 3" xfId="6296"/>
    <cellStyle name="Percent 2 4 4 4 3 2" xfId="14719"/>
    <cellStyle name="Percent 2 4 4 4 3 3" xfId="20678"/>
    <cellStyle name="Percent 2 4 4 4 4" xfId="6297"/>
    <cellStyle name="Percent 2 4 4 4 4 2" xfId="14720"/>
    <cellStyle name="Percent 2 4 4 4 4 3" xfId="20679"/>
    <cellStyle name="Percent 2 4 4 4 5" xfId="6298"/>
    <cellStyle name="Percent 2 4 4 4 5 2" xfId="14721"/>
    <cellStyle name="Percent 2 4 4 4 5 3" xfId="20680"/>
    <cellStyle name="Percent 2 4 4 4 6" xfId="14717"/>
    <cellStyle name="Percent 2 4 4 4 7" xfId="20676"/>
    <cellStyle name="Percent 2 4 4 4_LNG &amp; LPG rework" xfId="7769"/>
    <cellStyle name="Percent 2 4 4 5" xfId="6299"/>
    <cellStyle name="Percent 2 4 4 5 2" xfId="6300"/>
    <cellStyle name="Percent 2 4 4 5 2 2" xfId="14723"/>
    <cellStyle name="Percent 2 4 4 5 2 3" xfId="20682"/>
    <cellStyle name="Percent 2 4 4 5 3" xfId="6301"/>
    <cellStyle name="Percent 2 4 4 5 3 2" xfId="14724"/>
    <cellStyle name="Percent 2 4 4 5 3 3" xfId="20683"/>
    <cellStyle name="Percent 2 4 4 5 4" xfId="6302"/>
    <cellStyle name="Percent 2 4 4 5 4 2" xfId="14725"/>
    <cellStyle name="Percent 2 4 4 5 4 3" xfId="20684"/>
    <cellStyle name="Percent 2 4 4 5 5" xfId="6303"/>
    <cellStyle name="Percent 2 4 4 5 5 2" xfId="14726"/>
    <cellStyle name="Percent 2 4 4 5 5 3" xfId="20685"/>
    <cellStyle name="Percent 2 4 4 5 6" xfId="14722"/>
    <cellStyle name="Percent 2 4 4 5 7" xfId="20681"/>
    <cellStyle name="Percent 2 4 4 5_LNG &amp; LPG rework" xfId="7770"/>
    <cellStyle name="Percent 2 4 4 6" xfId="6304"/>
    <cellStyle name="Percent 2 4 4 6 2" xfId="14727"/>
    <cellStyle name="Percent 2 4 4 6 3" xfId="20686"/>
    <cellStyle name="Percent 2 4 4 7" xfId="6305"/>
    <cellStyle name="Percent 2 4 4 7 2" xfId="14728"/>
    <cellStyle name="Percent 2 4 4 7 3" xfId="20687"/>
    <cellStyle name="Percent 2 4 4 8" xfId="6306"/>
    <cellStyle name="Percent 2 4 4 8 2" xfId="14729"/>
    <cellStyle name="Percent 2 4 4 8 3" xfId="20688"/>
    <cellStyle name="Percent 2 4 4 9" xfId="6307"/>
    <cellStyle name="Percent 2 4 4 9 2" xfId="14730"/>
    <cellStyle name="Percent 2 4 4 9 3" xfId="20689"/>
    <cellStyle name="Percent 2 4 4_LNG &amp; LPG rework" xfId="7764"/>
    <cellStyle name="Percent 2 4 5" xfId="597"/>
    <cellStyle name="Percent 2 4 5 10" xfId="20690"/>
    <cellStyle name="Percent 2 4 5 2" xfId="598"/>
    <cellStyle name="Percent 2 4 5 2 2" xfId="6308"/>
    <cellStyle name="Percent 2 4 5 2 2 2" xfId="14731"/>
    <cellStyle name="Percent 2 4 5 2 2 3" xfId="20692"/>
    <cellStyle name="Percent 2 4 5 2 3" xfId="6309"/>
    <cellStyle name="Percent 2 4 5 2 3 2" xfId="14732"/>
    <cellStyle name="Percent 2 4 5 2 3 3" xfId="20693"/>
    <cellStyle name="Percent 2 4 5 2 4" xfId="6310"/>
    <cellStyle name="Percent 2 4 5 2 4 2" xfId="14733"/>
    <cellStyle name="Percent 2 4 5 2 4 3" xfId="20694"/>
    <cellStyle name="Percent 2 4 5 2 5" xfId="6311"/>
    <cellStyle name="Percent 2 4 5 2 5 2" xfId="14734"/>
    <cellStyle name="Percent 2 4 5 2 5 3" xfId="20695"/>
    <cellStyle name="Percent 2 4 5 2 6" xfId="6312"/>
    <cellStyle name="Percent 2 4 5 2 6 2" xfId="14735"/>
    <cellStyle name="Percent 2 4 5 2 6 3" xfId="20696"/>
    <cellStyle name="Percent 2 4 5 2 7" xfId="9417"/>
    <cellStyle name="Percent 2 4 5 2 8" xfId="20691"/>
    <cellStyle name="Percent 2 4 5 2_LNG &amp; LPG rework" xfId="7772"/>
    <cellStyle name="Percent 2 4 5 3" xfId="6313"/>
    <cellStyle name="Percent 2 4 5 3 2" xfId="6314"/>
    <cellStyle name="Percent 2 4 5 3 2 2" xfId="14737"/>
    <cellStyle name="Percent 2 4 5 3 2 3" xfId="20698"/>
    <cellStyle name="Percent 2 4 5 3 3" xfId="6315"/>
    <cellStyle name="Percent 2 4 5 3 3 2" xfId="14738"/>
    <cellStyle name="Percent 2 4 5 3 3 3" xfId="20699"/>
    <cellStyle name="Percent 2 4 5 3 4" xfId="6316"/>
    <cellStyle name="Percent 2 4 5 3 4 2" xfId="14739"/>
    <cellStyle name="Percent 2 4 5 3 4 3" xfId="20700"/>
    <cellStyle name="Percent 2 4 5 3 5" xfId="6317"/>
    <cellStyle name="Percent 2 4 5 3 5 2" xfId="14740"/>
    <cellStyle name="Percent 2 4 5 3 5 3" xfId="20701"/>
    <cellStyle name="Percent 2 4 5 3 6" xfId="14736"/>
    <cellStyle name="Percent 2 4 5 3 7" xfId="20697"/>
    <cellStyle name="Percent 2 4 5 3_LNG &amp; LPG rework" xfId="7773"/>
    <cellStyle name="Percent 2 4 5 4" xfId="6318"/>
    <cellStyle name="Percent 2 4 5 4 2" xfId="14741"/>
    <cellStyle name="Percent 2 4 5 4 3" xfId="20702"/>
    <cellStyle name="Percent 2 4 5 5" xfId="6319"/>
    <cellStyle name="Percent 2 4 5 5 2" xfId="14742"/>
    <cellStyle name="Percent 2 4 5 5 3" xfId="20703"/>
    <cellStyle name="Percent 2 4 5 6" xfId="6320"/>
    <cellStyle name="Percent 2 4 5 6 2" xfId="14743"/>
    <cellStyle name="Percent 2 4 5 6 3" xfId="20704"/>
    <cellStyle name="Percent 2 4 5 7" xfId="6321"/>
    <cellStyle name="Percent 2 4 5 7 2" xfId="14744"/>
    <cellStyle name="Percent 2 4 5 7 3" xfId="20705"/>
    <cellStyle name="Percent 2 4 5 8" xfId="6322"/>
    <cellStyle name="Percent 2 4 5 8 2" xfId="14745"/>
    <cellStyle name="Percent 2 4 5 8 3" xfId="20706"/>
    <cellStyle name="Percent 2 4 5 9" xfId="9416"/>
    <cellStyle name="Percent 2 4 5_LNG &amp; LPG rework" xfId="7771"/>
    <cellStyle name="Percent 2 4 6" xfId="599"/>
    <cellStyle name="Percent 2 4 6 2" xfId="6323"/>
    <cellStyle name="Percent 2 4 6 2 2" xfId="14746"/>
    <cellStyle name="Percent 2 4 6 2 3" xfId="20708"/>
    <cellStyle name="Percent 2 4 6 3" xfId="6324"/>
    <cellStyle name="Percent 2 4 6 3 2" xfId="14747"/>
    <cellStyle name="Percent 2 4 6 3 3" xfId="20709"/>
    <cellStyle name="Percent 2 4 6 4" xfId="6325"/>
    <cellStyle name="Percent 2 4 6 4 2" xfId="14748"/>
    <cellStyle name="Percent 2 4 6 4 3" xfId="20710"/>
    <cellStyle name="Percent 2 4 6 5" xfId="6326"/>
    <cellStyle name="Percent 2 4 6 5 2" xfId="14749"/>
    <cellStyle name="Percent 2 4 6 5 3" xfId="20711"/>
    <cellStyle name="Percent 2 4 6 6" xfId="6327"/>
    <cellStyle name="Percent 2 4 6 6 2" xfId="14750"/>
    <cellStyle name="Percent 2 4 6 6 3" xfId="20712"/>
    <cellStyle name="Percent 2 4 6 7" xfId="9418"/>
    <cellStyle name="Percent 2 4 6 8" xfId="20707"/>
    <cellStyle name="Percent 2 4 6_LNG &amp; LPG rework" xfId="7774"/>
    <cellStyle name="Percent 2 4 7" xfId="6328"/>
    <cellStyle name="Percent 2 4 7 2" xfId="6329"/>
    <cellStyle name="Percent 2 4 7 2 2" xfId="14752"/>
    <cellStyle name="Percent 2 4 7 2 3" xfId="20714"/>
    <cellStyle name="Percent 2 4 7 3" xfId="6330"/>
    <cellStyle name="Percent 2 4 7 3 2" xfId="14753"/>
    <cellStyle name="Percent 2 4 7 3 3" xfId="20715"/>
    <cellStyle name="Percent 2 4 7 4" xfId="6331"/>
    <cellStyle name="Percent 2 4 7 4 2" xfId="14754"/>
    <cellStyle name="Percent 2 4 7 4 3" xfId="20716"/>
    <cellStyle name="Percent 2 4 7 5" xfId="6332"/>
    <cellStyle name="Percent 2 4 7 5 2" xfId="14755"/>
    <cellStyle name="Percent 2 4 7 5 3" xfId="20717"/>
    <cellStyle name="Percent 2 4 7 6" xfId="14751"/>
    <cellStyle name="Percent 2 4 7 7" xfId="20713"/>
    <cellStyle name="Percent 2 4 7_LNG &amp; LPG rework" xfId="7775"/>
    <cellStyle name="Percent 2 4 8" xfId="6333"/>
    <cellStyle name="Percent 2 4 8 2" xfId="6334"/>
    <cellStyle name="Percent 2 4 8 2 2" xfId="14757"/>
    <cellStyle name="Percent 2 4 8 2 3" xfId="20719"/>
    <cellStyle name="Percent 2 4 8 3" xfId="6335"/>
    <cellStyle name="Percent 2 4 8 3 2" xfId="14758"/>
    <cellStyle name="Percent 2 4 8 3 3" xfId="20720"/>
    <cellStyle name="Percent 2 4 8 4" xfId="6336"/>
    <cellStyle name="Percent 2 4 8 4 2" xfId="14759"/>
    <cellStyle name="Percent 2 4 8 4 3" xfId="20721"/>
    <cellStyle name="Percent 2 4 8 5" xfId="6337"/>
    <cellStyle name="Percent 2 4 8 5 2" xfId="14760"/>
    <cellStyle name="Percent 2 4 8 5 3" xfId="20722"/>
    <cellStyle name="Percent 2 4 8 6" xfId="14756"/>
    <cellStyle name="Percent 2 4 8 7" xfId="20718"/>
    <cellStyle name="Percent 2 4 8_LNG &amp; LPG rework" xfId="7776"/>
    <cellStyle name="Percent 2 4 9" xfId="6338"/>
    <cellStyle name="Percent 2 4 9 2" xfId="14761"/>
    <cellStyle name="Percent 2 4 9 3" xfId="20723"/>
    <cellStyle name="Percent 2 4_LNG &amp; LPG rework" xfId="7721"/>
    <cellStyle name="Percent 2 5" xfId="238"/>
    <cellStyle name="Percent 2 5 2" xfId="6339"/>
    <cellStyle name="Percent 2 5 2 2" xfId="14762"/>
    <cellStyle name="Percent 2 5 2 3" xfId="20725"/>
    <cellStyle name="Percent 2 5 3" xfId="6340"/>
    <cellStyle name="Percent 2 5 3 2" xfId="14763"/>
    <cellStyle name="Percent 2 5 3 3" xfId="20726"/>
    <cellStyle name="Percent 2 5 4" xfId="6341"/>
    <cellStyle name="Percent 2 5 4 2" xfId="14764"/>
    <cellStyle name="Percent 2 5 4 3" xfId="20727"/>
    <cellStyle name="Percent 2 5 5" xfId="6342"/>
    <cellStyle name="Percent 2 5 5 2" xfId="14765"/>
    <cellStyle name="Percent 2 5 5 3" xfId="20728"/>
    <cellStyle name="Percent 2 5 6" xfId="9101"/>
    <cellStyle name="Percent 2 5 7" xfId="20724"/>
    <cellStyle name="Percent 2 5_LNG &amp; LPG rework" xfId="7777"/>
    <cellStyle name="Percent 2 6" xfId="6343"/>
    <cellStyle name="Percent 2 6 2" xfId="6344"/>
    <cellStyle name="Percent 2 6 2 2" xfId="14767"/>
    <cellStyle name="Percent 2 6 2 3" xfId="20730"/>
    <cellStyle name="Percent 2 6 3" xfId="6345"/>
    <cellStyle name="Percent 2 6 3 2" xfId="14768"/>
    <cellStyle name="Percent 2 6 3 3" xfId="20731"/>
    <cellStyle name="Percent 2 6 4" xfId="6346"/>
    <cellStyle name="Percent 2 6 4 2" xfId="14769"/>
    <cellStyle name="Percent 2 6 4 3" xfId="20732"/>
    <cellStyle name="Percent 2 6 5" xfId="6347"/>
    <cellStyle name="Percent 2 6 5 2" xfId="14770"/>
    <cellStyle name="Percent 2 6 5 3" xfId="20733"/>
    <cellStyle name="Percent 2 6 6" xfId="14766"/>
    <cellStyle name="Percent 2 6 7" xfId="20729"/>
    <cellStyle name="Percent 2 6_LNG &amp; LPG rework" xfId="7778"/>
    <cellStyle name="Percent 2 7" xfId="6348"/>
    <cellStyle name="Percent 2 7 2" xfId="6349"/>
    <cellStyle name="Percent 2 7 2 2" xfId="14772"/>
    <cellStyle name="Percent 2 7 2 3" xfId="20735"/>
    <cellStyle name="Percent 2 7 3" xfId="6350"/>
    <cellStyle name="Percent 2 7 3 2" xfId="14773"/>
    <cellStyle name="Percent 2 7 3 3" xfId="20736"/>
    <cellStyle name="Percent 2 7 4" xfId="6351"/>
    <cellStyle name="Percent 2 7 4 2" xfId="14774"/>
    <cellStyle name="Percent 2 7 4 3" xfId="20737"/>
    <cellStyle name="Percent 2 7 5" xfId="6352"/>
    <cellStyle name="Percent 2 7 5 2" xfId="14775"/>
    <cellStyle name="Percent 2 7 5 3" xfId="20738"/>
    <cellStyle name="Percent 2 7 6" xfId="14771"/>
    <cellStyle name="Percent 2 7 7" xfId="20734"/>
    <cellStyle name="Percent 2 7_LNG &amp; LPG rework" xfId="7779"/>
    <cellStyle name="Percent 2 8" xfId="6353"/>
    <cellStyle name="Percent 2 9" xfId="6354"/>
    <cellStyle name="Percent 2 9 2" xfId="14776"/>
    <cellStyle name="Percent 2 9 3" xfId="20739"/>
    <cellStyle name="Percent 2_LNG &amp; LPG rework" xfId="7607"/>
    <cellStyle name="Percent 3" xfId="93"/>
    <cellStyle name="Percent 3 2" xfId="6355"/>
    <cellStyle name="Percent 3 3" xfId="8987"/>
    <cellStyle name="Percent 3 4" xfId="14970"/>
    <cellStyle name="Percent 3 5" xfId="7810"/>
    <cellStyle name="Percent 3 6" xfId="26206"/>
    <cellStyle name="Percent 3_LNG &amp; LPG rework" xfId="7780"/>
    <cellStyle name="Percent 4" xfId="6356"/>
    <cellStyle name="Percent 4 2" xfId="6357"/>
    <cellStyle name="Percent 4_LNG &amp; LPG rework" xfId="7781"/>
    <cellStyle name="Percent 5" xfId="6358"/>
    <cellStyle name="Percent 5 2" xfId="6359"/>
    <cellStyle name="Percent 5_LNG &amp; LPG rework" xfId="7782"/>
    <cellStyle name="Percent 6" xfId="6360"/>
    <cellStyle name="Percent 7" xfId="6478"/>
    <cellStyle name="Percent 7 2" xfId="14821"/>
    <cellStyle name="Percent 7 3" xfId="20742"/>
    <cellStyle name="Percent 8" xfId="6481"/>
    <cellStyle name="Percent 8 2" xfId="14824"/>
    <cellStyle name="Percent 8 3" xfId="20745"/>
    <cellStyle name="Percent 8 4" xfId="26208"/>
    <cellStyle name="Percent 9" xfId="6535"/>
    <cellStyle name="Percent 9 2" xfId="14852"/>
    <cellStyle name="Percent 9 3" xfId="25100"/>
    <cellStyle name="Percent_LNG &amp; LPG rework" xfId="7606"/>
    <cellStyle name="Satisfaisant" xfId="600"/>
    <cellStyle name="Sortie" xfId="601"/>
    <cellStyle name="Style 26" xfId="232"/>
    <cellStyle name="Style 26 2" xfId="602"/>
    <cellStyle name="Style 26 2 2" xfId="6361"/>
    <cellStyle name="Style 26 2_LNG &amp; LPG rework" xfId="7784"/>
    <cellStyle name="Style 26_LNG &amp; LPG rework" xfId="7783"/>
    <cellStyle name="Style 34" xfId="224"/>
    <cellStyle name="Style 34 10" xfId="604"/>
    <cellStyle name="Style 34 11" xfId="605"/>
    <cellStyle name="Style 34 12" xfId="606"/>
    <cellStyle name="Style 34 13" xfId="607"/>
    <cellStyle name="Style 34 14" xfId="608"/>
    <cellStyle name="Style 34 15" xfId="609"/>
    <cellStyle name="Style 34 16" xfId="610"/>
    <cellStyle name="Style 34 17" xfId="611"/>
    <cellStyle name="Style 34 18" xfId="6362"/>
    <cellStyle name="Style 34 2" xfId="612"/>
    <cellStyle name="Style 34 3" xfId="613"/>
    <cellStyle name="Style 34 4" xfId="614"/>
    <cellStyle name="Style 34 5" xfId="615"/>
    <cellStyle name="Style 34 6" xfId="616"/>
    <cellStyle name="Style 34 7" xfId="617"/>
    <cellStyle name="Style 34 8" xfId="618"/>
    <cellStyle name="Style 34 9" xfId="619"/>
    <cellStyle name="Style 34_Gigajoule Data" xfId="603"/>
    <cellStyle name="Style 35" xfId="221"/>
    <cellStyle name="Style 35 10" xfId="621"/>
    <cellStyle name="Style 35 11" xfId="622"/>
    <cellStyle name="Style 35 12" xfId="623"/>
    <cellStyle name="Style 35 13" xfId="624"/>
    <cellStyle name="Style 35 14" xfId="625"/>
    <cellStyle name="Style 35 15" xfId="626"/>
    <cellStyle name="Style 35 16" xfId="627"/>
    <cellStyle name="Style 35 17" xfId="628"/>
    <cellStyle name="Style 35 18" xfId="6363"/>
    <cellStyle name="Style 35 2" xfId="629"/>
    <cellStyle name="Style 35 3" xfId="630"/>
    <cellStyle name="Style 35 4" xfId="631"/>
    <cellStyle name="Style 35 5" xfId="632"/>
    <cellStyle name="Style 35 6" xfId="633"/>
    <cellStyle name="Style 35 7" xfId="634"/>
    <cellStyle name="Style 35 8" xfId="635"/>
    <cellStyle name="Style 35 9" xfId="636"/>
    <cellStyle name="Style 35_Gigajoule Data" xfId="620"/>
    <cellStyle name="Texte explicatif" xfId="637"/>
    <cellStyle name="Title" xfId="2" builtinId="15" customBuiltin="1"/>
    <cellStyle name="Titre" xfId="638"/>
    <cellStyle name="Titre 1" xfId="639"/>
    <cellStyle name="Titre 2" xfId="640"/>
    <cellStyle name="Titre 3" xfId="641"/>
    <cellStyle name="Titre 4" xfId="642"/>
    <cellStyle name="Titre_LNG &amp; LPG rework" xfId="7785"/>
    <cellStyle name="Total" xfId="17" builtinId="25" customBuiltin="1"/>
    <cellStyle name="Total 2" xfId="643"/>
    <cellStyle name="Vérification" xfId="644"/>
    <cellStyle name="Warning Text" xfId="15" builtinId="11" customBuiltin="1"/>
  </cellStyles>
  <dxfs count="10">
    <dxf>
      <font>
        <b val="0"/>
        <i/>
        <color theme="5"/>
      </font>
      <fill>
        <patternFill>
          <bgColor theme="8" tint="0.79998168889431442"/>
        </patternFill>
      </fill>
    </dxf>
    <dxf>
      <font>
        <b val="0"/>
        <i/>
        <color theme="5"/>
      </font>
      <fill>
        <patternFill>
          <bgColor theme="4" tint="0.79998168889431442"/>
        </patternFill>
      </fill>
    </dxf>
    <dxf>
      <font>
        <b val="0"/>
        <i/>
        <color theme="5"/>
      </font>
      <fill>
        <patternFill>
          <bgColor theme="7" tint="0.79998168889431442"/>
        </patternFill>
      </fill>
    </dxf>
    <dxf>
      <font>
        <b val="0"/>
        <i/>
        <color theme="5"/>
      </font>
      <fill>
        <patternFill>
          <bgColor theme="5" tint="0.79998168889431442"/>
        </patternFill>
      </fill>
    </dxf>
    <dxf>
      <font>
        <b val="0"/>
        <i/>
        <color theme="5"/>
      </font>
      <fill>
        <patternFill patternType="solid">
          <bgColor rgb="FFFFFF99"/>
        </patternFill>
      </fill>
    </dxf>
    <dxf>
      <font>
        <b val="0"/>
        <i/>
        <color theme="5"/>
      </font>
      <fill>
        <patternFill>
          <bgColor theme="6" tint="0.79998168889431442"/>
        </patternFill>
      </fill>
    </dxf>
    <dxf>
      <font>
        <b val="0"/>
        <i/>
        <color theme="5"/>
      </font>
      <fill>
        <patternFill>
          <bgColor theme="6" tint="0.79998168889431442"/>
        </patternFill>
      </fill>
    </dxf>
    <dxf>
      <font>
        <color rgb="FF9C0006"/>
      </font>
      <fill>
        <patternFill>
          <bgColor rgb="FFFFC7CE"/>
        </patternFill>
      </fill>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9"/>
    </tableStyle>
    <tableStyle name="Table Style 3" pivot="0" count="1">
      <tableStyleElement type="secondRowStripe" dxfId="8"/>
    </tableStyle>
  </tableStyles>
  <colors>
    <mruColors>
      <color rgb="FF4BACC6"/>
      <color rgb="FF948A54"/>
      <color rgb="FF4F81BD"/>
      <color rgb="FF8064A2"/>
      <color rgb="FFC0504D"/>
      <color rgb="FFFF66CC"/>
      <color rgb="FF9BBB59"/>
      <color rgb="FFC89600"/>
      <color rgb="FFFF870F"/>
      <color rgb="FFFFE7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image" Target="../media/image5.png"/></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4.xml.rels><?xml version="1.0" encoding="UTF-8" standalone="yes"?>
<Relationships xmlns="http://schemas.openxmlformats.org/package/2006/relationships"><Relationship Id="rId1" Type="http://schemas.openxmlformats.org/officeDocument/2006/relationships/image" Target="../media/image6.png"/></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1.xml.rels><?xml version="1.0" encoding="UTF-8" standalone="yes"?>
<Relationships xmlns="http://schemas.openxmlformats.org/package/2006/relationships"><Relationship Id="rId1" Type="http://schemas.openxmlformats.org/officeDocument/2006/relationships/image" Target="../media/image7.png"/></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4.xml.rels><?xml version="1.0" encoding="UTF-8" standalone="yes"?>
<Relationships xmlns="http://schemas.openxmlformats.org/package/2006/relationships"><Relationship Id="rId1" Type="http://schemas.openxmlformats.org/officeDocument/2006/relationships/image" Target="../media/image8.png"/></Relationships>
</file>

<file path=xl/charts/_rels/chart57.xml.rels><?xml version="1.0" encoding="UTF-8" standalone="yes"?>
<Relationships xmlns="http://schemas.openxmlformats.org/package/2006/relationships"><Relationship Id="rId1" Type="http://schemas.openxmlformats.org/officeDocument/2006/relationships/image" Target="../media/image9.png"/></Relationships>
</file>

<file path=xl/charts/_rels/chart67.xml.rels><?xml version="1.0" encoding="UTF-8" standalone="yes"?>
<Relationships xmlns="http://schemas.openxmlformats.org/package/2006/relationships"><Relationship Id="rId1" Type="http://schemas.openxmlformats.org/officeDocument/2006/relationships/image" Target="../media/image10.png"/></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7.xml.rels><?xml version="1.0" encoding="UTF-8" standalone="yes"?>
<Relationships xmlns="http://schemas.openxmlformats.org/package/2006/relationships"><Relationship Id="rId1" Type="http://schemas.openxmlformats.org/officeDocument/2006/relationships/image" Target="../media/image4.png"/></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82.xml.rels><?xml version="1.0" encoding="UTF-8" standalone="yes"?>
<Relationships xmlns="http://schemas.openxmlformats.org/package/2006/relationships"><Relationship Id="rId1" Type="http://schemas.openxmlformats.org/officeDocument/2006/relationships/image" Target="../media/image10.png"/></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94.xml.rels><?xml version="1.0" encoding="UTF-8" standalone="yes"?>
<Relationships xmlns="http://schemas.openxmlformats.org/package/2006/relationships"><Relationship Id="rId1" Type="http://schemas.openxmlformats.org/officeDocument/2006/relationships/image" Target="../media/image6.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'Q&amp;V 2 Yr Summary'!$AM$2</c:f>
          <c:strCache>
            <c:ptCount val="1"/>
            <c:pt idx="0">
              <c:v>Calendar Year 2018 Mineral and Petroleum Summary</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ofPieChart>
        <c:ofPieType val="pie"/>
        <c:varyColors val="1"/>
        <c:ser>
          <c:idx val="0"/>
          <c:order val="0"/>
          <c:tx>
            <c:v>Total Petroleum</c:v>
          </c:tx>
          <c:dPt>
            <c:idx val="0"/>
            <c:bubble3D val="0"/>
            <c:spPr>
              <a:solidFill>
                <a:schemeClr val="accent5">
                  <a:shade val="42000"/>
                </a:schemeClr>
              </a:solidFill>
              <a:ln w="19050">
                <a:solidFill>
                  <a:schemeClr val="lt1"/>
                </a:solidFill>
              </a:ln>
              <a:effectLst/>
            </c:spPr>
            <c:extLst>
              <c:ext xmlns:c16="http://schemas.microsoft.com/office/drawing/2014/chart" uri="{C3380CC4-5D6E-409C-BE32-E72D297353CC}">
                <c16:uniqueId val="{00000001-74FD-4BED-9DB9-C254282A51A4}"/>
              </c:ext>
            </c:extLst>
          </c:dPt>
          <c:dPt>
            <c:idx val="1"/>
            <c:bubble3D val="0"/>
            <c:spPr>
              <a:solidFill>
                <a:schemeClr val="accent5">
                  <a:shade val="55000"/>
                </a:schemeClr>
              </a:solidFill>
              <a:ln w="19050">
                <a:solidFill>
                  <a:schemeClr val="lt1"/>
                </a:solidFill>
              </a:ln>
              <a:effectLst/>
            </c:spPr>
            <c:extLst>
              <c:ext xmlns:c16="http://schemas.microsoft.com/office/drawing/2014/chart" uri="{C3380CC4-5D6E-409C-BE32-E72D297353CC}">
                <c16:uniqueId val="{00000003-74FD-4BED-9DB9-C254282A51A4}"/>
              </c:ext>
            </c:extLst>
          </c:dPt>
          <c:dPt>
            <c:idx val="2"/>
            <c:bubble3D val="0"/>
            <c:spPr>
              <a:solidFill>
                <a:schemeClr val="accent5">
                  <a:shade val="68000"/>
                </a:schemeClr>
              </a:solidFill>
              <a:ln w="19050">
                <a:solidFill>
                  <a:schemeClr val="lt1"/>
                </a:solidFill>
              </a:ln>
              <a:effectLst/>
            </c:spPr>
            <c:extLst>
              <c:ext xmlns:c16="http://schemas.microsoft.com/office/drawing/2014/chart" uri="{C3380CC4-5D6E-409C-BE32-E72D297353CC}">
                <c16:uniqueId val="{00000001-2891-420D-8BB2-62B559A96D21}"/>
              </c:ext>
            </c:extLst>
          </c:dPt>
          <c:dPt>
            <c:idx val="3"/>
            <c:bubble3D val="0"/>
            <c:spPr>
              <a:solidFill>
                <a:schemeClr val="accent5">
                  <a:shade val="80000"/>
                </a:schemeClr>
              </a:solidFill>
              <a:ln w="19050">
                <a:solidFill>
                  <a:schemeClr val="lt1"/>
                </a:solidFill>
              </a:ln>
              <a:effectLst/>
            </c:spPr>
            <c:extLst>
              <c:ext xmlns:c16="http://schemas.microsoft.com/office/drawing/2014/chart" uri="{C3380CC4-5D6E-409C-BE32-E72D297353CC}">
                <c16:uniqueId val="{00000000-2891-420D-8BB2-62B559A96D21}"/>
              </c:ext>
            </c:extLst>
          </c:dPt>
          <c:dPt>
            <c:idx val="4"/>
            <c:bubble3D val="0"/>
            <c:spPr>
              <a:solidFill>
                <a:schemeClr val="accent5">
                  <a:shade val="93000"/>
                </a:schemeClr>
              </a:solidFill>
              <a:ln w="19050">
                <a:solidFill>
                  <a:schemeClr val="lt1"/>
                </a:solidFill>
              </a:ln>
              <a:effectLst/>
            </c:spPr>
            <c:extLst>
              <c:ext xmlns:c16="http://schemas.microsoft.com/office/drawing/2014/chart" uri="{C3380CC4-5D6E-409C-BE32-E72D297353CC}">
                <c16:uniqueId val="{00000000-1255-401C-A226-84FF9D98DB55}"/>
              </c:ext>
            </c:extLst>
          </c:dPt>
          <c:dPt>
            <c:idx val="5"/>
            <c:bubble3D val="0"/>
            <c:spPr>
              <a:solidFill>
                <a:schemeClr val="accent5">
                  <a:tint val="94000"/>
                </a:schemeClr>
              </a:solidFill>
              <a:ln w="19050">
                <a:solidFill>
                  <a:schemeClr val="lt1"/>
                </a:solidFill>
              </a:ln>
              <a:effectLst/>
            </c:spPr>
            <c:extLst>
              <c:ext xmlns:c16="http://schemas.microsoft.com/office/drawing/2014/chart" uri="{C3380CC4-5D6E-409C-BE32-E72D297353CC}">
                <c16:uniqueId val="{00000001-1255-401C-A226-84FF9D98DB55}"/>
              </c:ext>
            </c:extLst>
          </c:dPt>
          <c:dPt>
            <c:idx val="6"/>
            <c:bubble3D val="0"/>
            <c:spPr>
              <a:solidFill>
                <a:schemeClr val="accent5">
                  <a:tint val="81000"/>
                </a:schemeClr>
              </a:solidFill>
              <a:ln w="19050">
                <a:solidFill>
                  <a:schemeClr val="lt1"/>
                </a:solidFill>
              </a:ln>
              <a:effectLst/>
            </c:spPr>
            <c:extLst>
              <c:ext xmlns:c16="http://schemas.microsoft.com/office/drawing/2014/chart" uri="{C3380CC4-5D6E-409C-BE32-E72D297353CC}">
                <c16:uniqueId val="{00000002-1255-401C-A226-84FF9D98DB55}"/>
              </c:ext>
            </c:extLst>
          </c:dPt>
          <c:dPt>
            <c:idx val="7"/>
            <c:bubble3D val="0"/>
            <c:spPr>
              <a:solidFill>
                <a:schemeClr val="accent5">
                  <a:tint val="69000"/>
                </a:schemeClr>
              </a:solidFill>
              <a:ln w="19050">
                <a:solidFill>
                  <a:schemeClr val="lt1"/>
                </a:solidFill>
              </a:ln>
              <a:effectLst/>
            </c:spPr>
            <c:extLst>
              <c:ext xmlns:c16="http://schemas.microsoft.com/office/drawing/2014/chart" uri="{C3380CC4-5D6E-409C-BE32-E72D297353CC}">
                <c16:uniqueId val="{00000003-1255-401C-A226-84FF9D98DB55}"/>
              </c:ext>
            </c:extLst>
          </c:dPt>
          <c:dPt>
            <c:idx val="8"/>
            <c:bubble3D val="0"/>
            <c:spPr>
              <a:solidFill>
                <a:schemeClr val="accent5">
                  <a:tint val="56000"/>
                </a:schemeClr>
              </a:solidFill>
              <a:ln w="19050">
                <a:solidFill>
                  <a:schemeClr val="lt1"/>
                </a:solidFill>
              </a:ln>
              <a:effectLst/>
            </c:spPr>
            <c:extLst>
              <c:ext xmlns:c16="http://schemas.microsoft.com/office/drawing/2014/chart" uri="{C3380CC4-5D6E-409C-BE32-E72D297353CC}">
                <c16:uniqueId val="{00000004-1255-401C-A226-84FF9D98DB55}"/>
              </c:ext>
            </c:extLst>
          </c:dPt>
          <c:dPt>
            <c:idx val="9"/>
            <c:bubble3D val="0"/>
            <c:spPr>
              <a:solidFill>
                <a:schemeClr val="accent5">
                  <a:tint val="43000"/>
                </a:schemeClr>
              </a:solidFill>
              <a:ln w="19050">
                <a:solidFill>
                  <a:schemeClr val="lt1"/>
                </a:solidFill>
              </a:ln>
              <a:effectLst/>
            </c:spPr>
            <c:extLst>
              <c:ext xmlns:c16="http://schemas.microsoft.com/office/drawing/2014/chart" uri="{C3380CC4-5D6E-409C-BE32-E72D297353CC}">
                <c16:uniqueId val="{00000002-2891-420D-8BB2-62B559A96D21}"/>
              </c:ext>
            </c:extLst>
          </c:dPt>
          <c:dPt>
            <c:idx val="10"/>
            <c:bubble3D val="0"/>
            <c:spPr>
              <a:solidFill>
                <a:schemeClr val="accent5">
                  <a:tint val="30000"/>
                </a:schemeClr>
              </a:solidFill>
              <a:ln w="19050">
                <a:solidFill>
                  <a:schemeClr val="lt1"/>
                </a:solidFill>
              </a:ln>
              <a:effectLst/>
            </c:spPr>
            <c:extLst>
              <c:ext xmlns:c16="http://schemas.microsoft.com/office/drawing/2014/chart" uri="{C3380CC4-5D6E-409C-BE32-E72D297353CC}">
                <c16:uniqueId val="{00000005-1255-401C-A226-84FF9D98DB55}"/>
              </c:ext>
            </c:extLst>
          </c:dPt>
          <c:dLbls>
            <c:dLbl>
              <c:idx val="0"/>
              <c:layout>
                <c:manualLayout>
                  <c:x val="1.1539716159327983E-2"/>
                  <c:y val="2.798065589301254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D-4BED-9DB9-C254282A51A4}"/>
                </c:ext>
              </c:extLst>
            </c:dLbl>
            <c:dLbl>
              <c:idx val="1"/>
              <c:layout>
                <c:manualLayout>
                  <c:x val="2.4727963198560032E-2"/>
                  <c:y val="4.197098383951881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D-4BED-9DB9-C254282A51A4}"/>
                </c:ext>
              </c:extLst>
            </c:dLbl>
            <c:dLbl>
              <c:idx val="2"/>
              <c:layout>
                <c:manualLayout>
                  <c:x val="-1.6497510523662988E-2"/>
                  <c:y val="9.49451219288292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1-420D-8BB2-62B559A96D21}"/>
                </c:ext>
              </c:extLst>
            </c:dLbl>
            <c:dLbl>
              <c:idx val="3"/>
              <c:layout>
                <c:manualLayout>
                  <c:x val="0.13497456913957981"/>
                  <c:y val="7.224976223786494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91-420D-8BB2-62B559A96D21}"/>
                </c:ext>
              </c:extLst>
            </c:dLbl>
            <c:dLbl>
              <c:idx val="4"/>
              <c:layout>
                <c:manualLayout>
                  <c:x val="0"/>
                  <c:y val="-0.1289437585733881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55-401C-A226-84FF9D98DB55}"/>
                </c:ext>
              </c:extLst>
            </c:dLbl>
            <c:dLbl>
              <c:idx val="5"/>
              <c:layout>
                <c:manualLayout>
                  <c:x val="8.5630407310196121E-3"/>
                  <c:y val="5.764182618533939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55-401C-A226-84FF9D98DB55}"/>
                </c:ext>
              </c:extLst>
            </c:dLbl>
            <c:dLbl>
              <c:idx val="6"/>
              <c:layout>
                <c:manualLayout>
                  <c:x val="-4.9382716049382715E-3"/>
                  <c:y val="5.000032064054820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55-401C-A226-84FF9D98DB55}"/>
                </c:ext>
              </c:extLst>
            </c:dLbl>
            <c:dLbl>
              <c:idx val="7"/>
              <c:layout>
                <c:manualLayout>
                  <c:x val="-9.876543209876543E-3"/>
                  <c:y val="-7.900033438228513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55-401C-A226-84FF9D98DB55}"/>
                </c:ext>
              </c:extLst>
            </c:dLbl>
            <c:dLbl>
              <c:idx val="8"/>
              <c:layout>
                <c:manualLayout>
                  <c:x val="-2.3094100349319798E-2"/>
                  <c:y val="-5.835564074600394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55-401C-A226-84FF9D98DB55}"/>
                </c:ext>
              </c:extLst>
            </c:dLbl>
            <c:dLbl>
              <c:idx val="9"/>
              <c:layout>
                <c:manualLayout>
                  <c:x val="-1.1422631525180652E-2"/>
                  <c:y val="0.1419812654453587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91-420D-8BB2-62B559A96D21}"/>
                </c:ext>
              </c:extLst>
            </c:dLbl>
            <c:dLbl>
              <c:idx val="10"/>
              <c:layout>
                <c:manualLayout>
                  <c:x val="-0.17283950617283958"/>
                  <c:y val="2.7434005304310784E-3"/>
                </c:manualLayout>
              </c:layout>
              <c:dLblPos val="bestFi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1255-401C-A226-84FF9D98DB55}"/>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'Q&amp;V 2 Yr Summary'!$N$13:$N$22</c:f>
              <c:strCache>
                <c:ptCount val="10"/>
                <c:pt idx="0">
                  <c:v>Other Minerals</c:v>
                </c:pt>
                <c:pt idx="1">
                  <c:v>Alumina and Bauxite</c:v>
                </c:pt>
                <c:pt idx="2">
                  <c:v>Gold</c:v>
                </c:pt>
                <c:pt idx="3">
                  <c:v>Iron ore</c:v>
                </c:pt>
                <c:pt idx="4">
                  <c:v>Nickel</c:v>
                </c:pt>
                <c:pt idx="5">
                  <c:v>Condensate</c:v>
                </c:pt>
                <c:pt idx="6">
                  <c:v>Natural Gas</c:v>
                </c:pt>
                <c:pt idx="7">
                  <c:v>Crude Oil</c:v>
                </c:pt>
                <c:pt idx="8">
                  <c:v>LPG - Butane and Propane</c:v>
                </c:pt>
                <c:pt idx="9">
                  <c:v>LNG</c:v>
                </c:pt>
              </c:strCache>
            </c:strRef>
          </c:cat>
          <c:val>
            <c:numRef>
              <c:f>'Q&amp;V 2 Yr Summary'!$P$13:$P$22</c:f>
              <c:numCache>
                <c:formatCode>0.0%</c:formatCode>
                <c:ptCount val="10"/>
                <c:pt idx="0">
                  <c:v>5.0989256808008872E-2</c:v>
                </c:pt>
                <c:pt idx="1">
                  <c:v>6.0821293144202947E-2</c:v>
                </c:pt>
                <c:pt idx="2">
                  <c:v>8.83861433140887E-2</c:v>
                </c:pt>
                <c:pt idx="3">
                  <c:v>0.50067010285430003</c:v>
                </c:pt>
                <c:pt idx="4">
                  <c:v>2.0079173808129919E-2</c:v>
                </c:pt>
                <c:pt idx="5">
                  <c:v>4.0270538317010718E-2</c:v>
                </c:pt>
                <c:pt idx="6">
                  <c:v>1.2165003535004357E-2</c:v>
                </c:pt>
                <c:pt idx="7">
                  <c:v>1.6890922777814756E-2</c:v>
                </c:pt>
                <c:pt idx="8">
                  <c:v>2.6771406008825769E-3</c:v>
                </c:pt>
                <c:pt idx="9">
                  <c:v>0.20705042484055708</c:v>
                </c:pt>
              </c:numCache>
            </c:numRef>
          </c:val>
          <c:extLst>
            <c:ext xmlns:c16="http://schemas.microsoft.com/office/drawing/2014/chart" uri="{C3380CC4-5D6E-409C-BE32-E72D297353CC}">
              <c16:uniqueId val="{00000006-1255-401C-A226-84FF9D98DB55}"/>
            </c:ext>
          </c:extLst>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br>
              <a:rPr lang="en-AU"/>
            </a:br>
            <a:r>
              <a:rPr lang="en-AU" sz="1100"/>
              <a:t>Western</a:t>
            </a:r>
            <a:r>
              <a:rPr lang="en-AU" sz="1100" baseline="0"/>
              <a:t> Australia vs Rest of Australia</a:t>
            </a:r>
            <a:endParaRPr lang="en-AU"/>
          </a:p>
        </c:rich>
      </c:tx>
      <c:layout>
        <c:manualLayout>
          <c:xMode val="edge"/>
          <c:yMode val="edge"/>
          <c:x val="0.36170568344914344"/>
          <c:y val="2.523115121862568E-2"/>
        </c:manualLayout>
      </c:layout>
      <c:overlay val="0"/>
    </c:title>
    <c:autoTitleDeleted val="0"/>
    <c:plotArea>
      <c:layout>
        <c:manualLayout>
          <c:layoutTarget val="inner"/>
          <c:xMode val="edge"/>
          <c:yMode val="edge"/>
          <c:x val="8.2633123858902341E-2"/>
          <c:y val="0.22558777609810843"/>
          <c:w val="0.85154134417309546"/>
          <c:h val="0.62892485033438006"/>
        </c:manualLayout>
      </c:layout>
      <c:barChart>
        <c:barDir val="col"/>
        <c:grouping val="stacked"/>
        <c:varyColors val="0"/>
        <c:ser>
          <c:idx val="0"/>
          <c:order val="0"/>
          <c:tx>
            <c:strRef>
              <c:f>'Alumina - WA vs Australia'!$B$6</c:f>
              <c:strCache>
                <c:ptCount val="1"/>
                <c:pt idx="0">
                  <c:v>Western Australia (Mt)</c:v>
                </c:pt>
              </c:strCache>
            </c:strRef>
          </c:tx>
          <c:invertIfNegative val="0"/>
          <c:cat>
            <c:numRef>
              <c:extLst>
                <c:ext xmlns:c15="http://schemas.microsoft.com/office/drawing/2012/chart" uri="{02D57815-91ED-43cb-92C2-25804820EDAC}">
                  <c15:fullRef>
                    <c15:sqref>'Alumina - WA vs Australia'!$A$7:$A$66</c15:sqref>
                  </c15:fullRef>
                </c:ext>
              </c:extLst>
              <c:f>'Alumina - WA vs Australia'!$A$11:$A$66</c:f>
              <c:numCache>
                <c:formatCode>General</c:formatCode>
                <c:ptCount val="56"/>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numCache>
            </c:numRef>
          </c:cat>
          <c:val>
            <c:numRef>
              <c:extLst>
                <c:ext xmlns:c15="http://schemas.microsoft.com/office/drawing/2012/chart" uri="{02D57815-91ED-43cb-92C2-25804820EDAC}">
                  <c15:fullRef>
                    <c15:sqref>'Alumina - WA vs Australia'!$B$7:$B$66</c15:sqref>
                  </c15:fullRef>
                </c:ext>
              </c:extLst>
              <c:f>'Alumina - WA vs Australia'!$B$11:$B$66</c:f>
              <c:numCache>
                <c:formatCode>0.00</c:formatCode>
                <c:ptCount val="56"/>
                <c:pt idx="0">
                  <c:v>0.119613</c:v>
                </c:pt>
                <c:pt idx="1">
                  <c:v>0.1508504</c:v>
                </c:pt>
                <c:pt idx="2">
                  <c:v>0.24705370000000001</c:v>
                </c:pt>
                <c:pt idx="3">
                  <c:v>0.41172740000000002</c:v>
                </c:pt>
                <c:pt idx="4">
                  <c:v>0.4885832</c:v>
                </c:pt>
                <c:pt idx="5">
                  <c:v>0.77114260000000001</c:v>
                </c:pt>
                <c:pt idx="6">
                  <c:v>0.9652309</c:v>
                </c:pt>
                <c:pt idx="7">
                  <c:v>1.2753509999999999</c:v>
                </c:pt>
                <c:pt idx="8">
                  <c:v>1.435859</c:v>
                </c:pt>
                <c:pt idx="9">
                  <c:v>1.7291289999999999</c:v>
                </c:pt>
                <c:pt idx="10">
                  <c:v>1.9812050000000001</c:v>
                </c:pt>
                <c:pt idx="11">
                  <c:v>2.2302550000000001</c:v>
                </c:pt>
                <c:pt idx="12">
                  <c:v>3.1200570000000001</c:v>
                </c:pt>
                <c:pt idx="13">
                  <c:v>3.4569869999999998</c:v>
                </c:pt>
                <c:pt idx="14">
                  <c:v>3.47038</c:v>
                </c:pt>
                <c:pt idx="15">
                  <c:v>3.9454449999999999</c:v>
                </c:pt>
                <c:pt idx="16">
                  <c:v>3.6639889999999999</c:v>
                </c:pt>
                <c:pt idx="17">
                  <c:v>3.67848</c:v>
                </c:pt>
                <c:pt idx="18">
                  <c:v>3.6763849999999998</c:v>
                </c:pt>
                <c:pt idx="19">
                  <c:v>3.983098</c:v>
                </c:pt>
                <c:pt idx="20">
                  <c:v>5.004988</c:v>
                </c:pt>
                <c:pt idx="21">
                  <c:v>5.4196229999999996</c:v>
                </c:pt>
                <c:pt idx="22">
                  <c:v>5.4427899999999996</c:v>
                </c:pt>
                <c:pt idx="23">
                  <c:v>5.928763</c:v>
                </c:pt>
                <c:pt idx="24">
                  <c:v>6.1764140000000003</c:v>
                </c:pt>
                <c:pt idx="25">
                  <c:v>6.3847959999999997</c:v>
                </c:pt>
                <c:pt idx="26">
                  <c:v>6.7222920000000004</c:v>
                </c:pt>
                <c:pt idx="27">
                  <c:v>7.0091840000000003</c:v>
                </c:pt>
                <c:pt idx="28">
                  <c:v>7.0927569999999998</c:v>
                </c:pt>
                <c:pt idx="29">
                  <c:v>7.8012740000000003</c:v>
                </c:pt>
                <c:pt idx="30">
                  <c:v>7.9333210000000003</c:v>
                </c:pt>
                <c:pt idx="31">
                  <c:v>8.06738</c:v>
                </c:pt>
                <c:pt idx="32">
                  <c:v>8.2496600000000004</c:v>
                </c:pt>
                <c:pt idx="33">
                  <c:v>8.4818949999999997</c:v>
                </c:pt>
                <c:pt idx="34">
                  <c:v>8.7480000000000011</c:v>
                </c:pt>
                <c:pt idx="35">
                  <c:v>8.9310000000000009</c:v>
                </c:pt>
                <c:pt idx="36">
                  <c:v>10.001999999999999</c:v>
                </c:pt>
                <c:pt idx="37">
                  <c:v>10.758000000000001</c:v>
                </c:pt>
                <c:pt idx="38">
                  <c:v>11</c:v>
                </c:pt>
                <c:pt idx="39">
                  <c:v>11.227864</c:v>
                </c:pt>
                <c:pt idx="40">
                  <c:v>10.988386</c:v>
                </c:pt>
                <c:pt idx="41">
                  <c:v>11.352183</c:v>
                </c:pt>
                <c:pt idx="42">
                  <c:v>11.82174775</c:v>
                </c:pt>
                <c:pt idx="43">
                  <c:v>12.193625759000001</c:v>
                </c:pt>
                <c:pt idx="44">
                  <c:v>12.245763095999999</c:v>
                </c:pt>
                <c:pt idx="45">
                  <c:v>12.42197</c:v>
                </c:pt>
                <c:pt idx="46">
                  <c:v>12.563285</c:v>
                </c:pt>
                <c:pt idx="47">
                  <c:v>12.291484000000001</c:v>
                </c:pt>
                <c:pt idx="48">
                  <c:v>12.81154939</c:v>
                </c:pt>
                <c:pt idx="49">
                  <c:v>13.625703529999999</c:v>
                </c:pt>
                <c:pt idx="50">
                  <c:v>13.876846260000001</c:v>
                </c:pt>
                <c:pt idx="51">
                  <c:v>13.778493586</c:v>
                </c:pt>
                <c:pt idx="52">
                  <c:v>13.82977389</c:v>
                </c:pt>
                <c:pt idx="53">
                  <c:v>13.84700406</c:v>
                </c:pt>
                <c:pt idx="54">
                  <c:v>13.498431120000001</c:v>
                </c:pt>
                <c:pt idx="55">
                  <c:v>14.014424653000001</c:v>
                </c:pt>
              </c:numCache>
            </c:numRef>
          </c:val>
          <c:extLst>
            <c:ext xmlns:c16="http://schemas.microsoft.com/office/drawing/2014/chart" uri="{C3380CC4-5D6E-409C-BE32-E72D297353CC}">
              <c16:uniqueId val="{00000000-FE89-4352-92E3-13AC316F4EC8}"/>
            </c:ext>
          </c:extLst>
        </c:ser>
        <c:ser>
          <c:idx val="1"/>
          <c:order val="1"/>
          <c:tx>
            <c:strRef>
              <c:f>'Alumina - WA vs Australia'!$C$6</c:f>
              <c:strCache>
                <c:ptCount val="1"/>
                <c:pt idx="0">
                  <c:v>Rest of Australia (Mt)</c:v>
                </c:pt>
              </c:strCache>
            </c:strRef>
          </c:tx>
          <c:invertIfNegative val="0"/>
          <c:cat>
            <c:numRef>
              <c:extLst>
                <c:ext xmlns:c15="http://schemas.microsoft.com/office/drawing/2012/chart" uri="{02D57815-91ED-43cb-92C2-25804820EDAC}">
                  <c15:fullRef>
                    <c15:sqref>'Alumina - WA vs Australia'!$A$7:$A$66</c15:sqref>
                  </c15:fullRef>
                </c:ext>
              </c:extLst>
              <c:f>'Alumina - WA vs Australia'!$A$11:$A$66</c:f>
              <c:numCache>
                <c:formatCode>General</c:formatCode>
                <c:ptCount val="56"/>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numCache>
            </c:numRef>
          </c:cat>
          <c:val>
            <c:numRef>
              <c:extLst>
                <c:ext xmlns:c15="http://schemas.microsoft.com/office/drawing/2012/chart" uri="{02D57815-91ED-43cb-92C2-25804820EDAC}">
                  <c15:fullRef>
                    <c15:sqref>'Alumina - WA vs Australia'!$C$7:$C$66</c15:sqref>
                  </c15:fullRef>
                </c:ext>
              </c:extLst>
              <c:f>'Alumina - WA vs Australia'!$C$11:$C$66</c:f>
              <c:numCache>
                <c:formatCode>0.00</c:formatCode>
                <c:ptCount val="56"/>
                <c:pt idx="0">
                  <c:v>4.1045230000000002E-2</c:v>
                </c:pt>
                <c:pt idx="1">
                  <c:v>5.1594839999999996E-2</c:v>
                </c:pt>
                <c:pt idx="2">
                  <c:v>5.9915239999999995E-2</c:v>
                </c:pt>
                <c:pt idx="3">
                  <c:v>0.44268940000000001</c:v>
                </c:pt>
                <c:pt idx="4">
                  <c:v>0.82087299999999996</c:v>
                </c:pt>
                <c:pt idx="5">
                  <c:v>1.1598729999999999</c:v>
                </c:pt>
                <c:pt idx="6">
                  <c:v>1.186992</c:v>
                </c:pt>
                <c:pt idx="7">
                  <c:v>1.3944049999999999</c:v>
                </c:pt>
                <c:pt idx="8">
                  <c:v>1.6322190000000001</c:v>
                </c:pt>
                <c:pt idx="9">
                  <c:v>2.3597670000000002</c:v>
                </c:pt>
                <c:pt idx="10">
                  <c:v>2.9182839999999999</c:v>
                </c:pt>
                <c:pt idx="11">
                  <c:v>2.2837450000000001</c:v>
                </c:pt>
                <c:pt idx="12">
                  <c:v>2.7349429999999999</c:v>
                </c:pt>
                <c:pt idx="13">
                  <c:v>2.6140129999999999</c:v>
                </c:pt>
                <c:pt idx="14">
                  <c:v>2.77962</c:v>
                </c:pt>
                <c:pt idx="15">
                  <c:v>3.4691610000000002</c:v>
                </c:pt>
                <c:pt idx="16">
                  <c:v>3.5825100000000001</c:v>
                </c:pt>
                <c:pt idx="17">
                  <c:v>3.4005290000000001</c:v>
                </c:pt>
                <c:pt idx="18">
                  <c:v>2.9541219999999999</c:v>
                </c:pt>
                <c:pt idx="19">
                  <c:v>3.2474280000000002</c:v>
                </c:pt>
                <c:pt idx="20">
                  <c:v>3.7757139999999998</c:v>
                </c:pt>
                <c:pt idx="21">
                  <c:v>3.3718780000000002</c:v>
                </c:pt>
                <c:pt idx="22">
                  <c:v>3.9804300000000001</c:v>
                </c:pt>
                <c:pt idx="23">
                  <c:v>4.1805269999999997</c:v>
                </c:pt>
                <c:pt idx="24">
                  <c:v>4.3341000000000003</c:v>
                </c:pt>
                <c:pt idx="25">
                  <c:v>4.42</c:v>
                </c:pt>
                <c:pt idx="26">
                  <c:v>4.5090000000000003</c:v>
                </c:pt>
                <c:pt idx="27">
                  <c:v>4.7039999999999997</c:v>
                </c:pt>
                <c:pt idx="28">
                  <c:v>4.6892430000000003</c:v>
                </c:pt>
                <c:pt idx="29">
                  <c:v>4.7737259999999999</c:v>
                </c:pt>
                <c:pt idx="30">
                  <c:v>4.9586790000000001</c:v>
                </c:pt>
                <c:pt idx="31">
                  <c:v>5.0796200000000002</c:v>
                </c:pt>
                <c:pt idx="32">
                  <c:v>5.0683400000000001</c:v>
                </c:pt>
                <c:pt idx="33">
                  <c:v>4.9050000000000002</c:v>
                </c:pt>
                <c:pt idx="34">
                  <c:v>5.1029999999999998</c:v>
                </c:pt>
                <c:pt idx="35">
                  <c:v>5.6</c:v>
                </c:pt>
                <c:pt idx="36">
                  <c:v>5.681</c:v>
                </c:pt>
                <c:pt idx="37">
                  <c:v>5.35</c:v>
                </c:pt>
                <c:pt idx="38">
                  <c:v>5.3819860000000013</c:v>
                </c:pt>
                <c:pt idx="39">
                  <c:v>4.9242849999999994</c:v>
                </c:pt>
                <c:pt idx="40">
                  <c:v>5.5366139999999984</c:v>
                </c:pt>
                <c:pt idx="41">
                  <c:v>6.3500370000000004</c:v>
                </c:pt>
                <c:pt idx="42">
                  <c:v>6.708000000000002</c:v>
                </c:pt>
                <c:pt idx="43">
                  <c:v>6.6770000000000014</c:v>
                </c:pt>
                <c:pt idx="44">
                  <c:v>7.200489000000001</c:v>
                </c:pt>
                <c:pt idx="45">
                  <c:v>7.5180300000000013</c:v>
                </c:pt>
                <c:pt idx="46">
                  <c:v>7.426714999999998</c:v>
                </c:pt>
                <c:pt idx="47">
                  <c:v>7.1075160000000004</c:v>
                </c:pt>
                <c:pt idx="48">
                  <c:v>8.5454506099999996</c:v>
                </c:pt>
                <c:pt idx="49">
                  <c:v>7.9025564700000004</c:v>
                </c:pt>
                <c:pt idx="50">
                  <c:v>6.5986737399999988</c:v>
                </c:pt>
                <c:pt idx="51">
                  <c:v>6.3186864140000019</c:v>
                </c:pt>
                <c:pt idx="52">
                  <c:v>6.85105611</c:v>
                </c:pt>
                <c:pt idx="53">
                  <c:v>6.638765939999999</c:v>
                </c:pt>
                <c:pt idx="54">
                  <c:v>6.563368879999997</c:v>
                </c:pt>
                <c:pt idx="55">
                  <c:v>6.1779553469999993</c:v>
                </c:pt>
              </c:numCache>
            </c:numRef>
          </c:val>
          <c:extLst>
            <c:ext xmlns:c16="http://schemas.microsoft.com/office/drawing/2014/chart" uri="{C3380CC4-5D6E-409C-BE32-E72D297353CC}">
              <c16:uniqueId val="{00000001-FE89-4352-92E3-13AC316F4EC8}"/>
            </c:ext>
          </c:extLst>
        </c:ser>
        <c:dLbls>
          <c:showLegendKey val="0"/>
          <c:showVal val="0"/>
          <c:showCatName val="0"/>
          <c:showSerName val="0"/>
          <c:showPercent val="0"/>
          <c:showBubbleSize val="0"/>
        </c:dLbls>
        <c:gapWidth val="60"/>
        <c:overlap val="100"/>
        <c:axId val="118961664"/>
        <c:axId val="118963200"/>
      </c:barChart>
      <c:dateAx>
        <c:axId val="1189616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8963200"/>
        <c:crosses val="autoZero"/>
        <c:auto val="0"/>
        <c:lblOffset val="100"/>
        <c:baseTimeUnit val="days"/>
        <c:majorUnit val="5"/>
        <c:minorUnit val="5"/>
      </c:dateAx>
      <c:valAx>
        <c:axId val="118963200"/>
        <c:scaling>
          <c:orientation val="minMax"/>
          <c:max val="25"/>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8961664"/>
        <c:crossesAt val="1960"/>
        <c:crossBetween val="between"/>
        <c:majorUnit val="5"/>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Western Australia vs Rest of Australia</a:t>
            </a:r>
          </a:p>
          <a:p>
            <a:pPr>
              <a:defRPr/>
            </a:pPr>
            <a:r>
              <a:rPr lang="en-AU" sz="1100"/>
              <a:t>Past 10 years</a:t>
            </a:r>
          </a:p>
        </c:rich>
      </c:tx>
      <c:overlay val="0"/>
    </c:title>
    <c:autoTitleDeleted val="0"/>
    <c:plotArea>
      <c:layout/>
      <c:lineChart>
        <c:grouping val="standard"/>
        <c:varyColors val="0"/>
        <c:ser>
          <c:idx val="0"/>
          <c:order val="0"/>
          <c:tx>
            <c:strRef>
              <c:f>'Alumina - WA vs Australia'!$T$31</c:f>
              <c:strCache>
                <c:ptCount val="1"/>
                <c:pt idx="0">
                  <c:v>Western Australia (Mt)</c:v>
                </c:pt>
              </c:strCache>
            </c:strRef>
          </c:tx>
          <c:cat>
            <c:numRef>
              <c:f>'Alumina - WA vs Australia'!$S$32:$S$41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'Alumina - WA vs Australia'!$T$32:$T$41</c:f>
              <c:numCache>
                <c:formatCode>0.00</c:formatCode>
                <c:ptCount val="10"/>
                <c:pt idx="0">
                  <c:v>12.563285</c:v>
                </c:pt>
                <c:pt idx="1">
                  <c:v>12.291484000000001</c:v>
                </c:pt>
                <c:pt idx="2">
                  <c:v>12.81154939</c:v>
                </c:pt>
                <c:pt idx="3">
                  <c:v>13.625703529999999</c:v>
                </c:pt>
                <c:pt idx="4">
                  <c:v>13.876846260000001</c:v>
                </c:pt>
                <c:pt idx="5">
                  <c:v>13.778493586</c:v>
                </c:pt>
                <c:pt idx="6">
                  <c:v>13.82977389</c:v>
                </c:pt>
                <c:pt idx="7">
                  <c:v>13.84700406</c:v>
                </c:pt>
                <c:pt idx="8">
                  <c:v>13.498431120000001</c:v>
                </c:pt>
                <c:pt idx="9">
                  <c:v>14.014424653000001</c:v>
                </c:pt>
              </c:numCache>
            </c:numRef>
          </c:val>
          <c:smooth val="0"/>
          <c:extLst>
            <c:ext xmlns:c16="http://schemas.microsoft.com/office/drawing/2014/chart" uri="{C3380CC4-5D6E-409C-BE32-E72D297353CC}">
              <c16:uniqueId val="{00000000-979B-480A-B8DF-593FE033C93E}"/>
            </c:ext>
          </c:extLst>
        </c:ser>
        <c:ser>
          <c:idx val="1"/>
          <c:order val="1"/>
          <c:tx>
            <c:strRef>
              <c:f>'Alumina - WA vs Australia'!$U$31</c:f>
              <c:strCache>
                <c:ptCount val="1"/>
                <c:pt idx="0">
                  <c:v>Rest of Australia (Mt)</c:v>
                </c:pt>
              </c:strCache>
            </c:strRef>
          </c:tx>
          <c:cat>
            <c:numRef>
              <c:f>'Alumina - WA vs Australia'!$S$32:$S$41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'Alumina - WA vs Australia'!$U$32:$U$41</c:f>
              <c:numCache>
                <c:formatCode>0.00</c:formatCode>
                <c:ptCount val="10"/>
                <c:pt idx="0">
                  <c:v>7.426714999999998</c:v>
                </c:pt>
                <c:pt idx="1">
                  <c:v>7.1075160000000004</c:v>
                </c:pt>
                <c:pt idx="2">
                  <c:v>8.5454506099999996</c:v>
                </c:pt>
                <c:pt idx="3">
                  <c:v>7.9025564700000004</c:v>
                </c:pt>
                <c:pt idx="4">
                  <c:v>6.5986737399999988</c:v>
                </c:pt>
                <c:pt idx="5">
                  <c:v>6.3186864140000019</c:v>
                </c:pt>
                <c:pt idx="6">
                  <c:v>6.85105611</c:v>
                </c:pt>
                <c:pt idx="7">
                  <c:v>6.638765939999999</c:v>
                </c:pt>
                <c:pt idx="8">
                  <c:v>6.563368879999997</c:v>
                </c:pt>
                <c:pt idx="9">
                  <c:v>6.1779553469999993</c:v>
                </c:pt>
              </c:numCache>
            </c:numRef>
          </c:val>
          <c:smooth val="0"/>
          <c:extLst>
            <c:ext xmlns:c16="http://schemas.microsoft.com/office/drawing/2014/chart" uri="{C3380CC4-5D6E-409C-BE32-E72D297353CC}">
              <c16:uniqueId val="{00000001-979B-480A-B8DF-593FE033C93E}"/>
            </c:ext>
          </c:extLst>
        </c:ser>
        <c:dLbls>
          <c:showLegendKey val="0"/>
          <c:showVal val="0"/>
          <c:showCatName val="0"/>
          <c:showSerName val="0"/>
          <c:showPercent val="0"/>
          <c:showBubbleSize val="0"/>
        </c:dLbls>
        <c:marker val="1"/>
        <c:smooth val="0"/>
        <c:axId val="119016448"/>
        <c:axId val="119014912"/>
      </c:lineChart>
      <c:valAx>
        <c:axId val="119014912"/>
        <c:scaling>
          <c:orientation val="minMax"/>
        </c:scaling>
        <c:delete val="0"/>
        <c:axPos val="l"/>
        <c:majorGridlines/>
        <c:title>
          <c:tx>
            <c:rich>
              <a:bodyPr/>
              <a:lstStyle/>
              <a:p>
                <a:pPr>
                  <a:defRPr/>
                </a:pPr>
                <a:r>
                  <a:rPr lang="en-AU"/>
                  <a:t>Million tonnes</a:t>
                </a:r>
              </a:p>
            </c:rich>
          </c:tx>
          <c:overlay val="0"/>
        </c:title>
        <c:numFmt formatCode="0" sourceLinked="0"/>
        <c:majorTickMark val="out"/>
        <c:minorTickMark val="none"/>
        <c:tickLblPos val="nextTo"/>
        <c:crossAx val="119016448"/>
        <c:crosses val="autoZero"/>
        <c:crossBetween val="between"/>
      </c:valAx>
      <c:catAx>
        <c:axId val="119016448"/>
        <c:scaling>
          <c:orientation val="minMax"/>
        </c:scaling>
        <c:delete val="0"/>
        <c:axPos val="b"/>
        <c:title>
          <c:tx>
            <c:rich>
              <a:bodyPr/>
              <a:lstStyle/>
              <a:p>
                <a:pPr>
                  <a:defRPr/>
                </a:pPr>
                <a:r>
                  <a:rPr lang="en-AU" sz="900" b="1" i="0" baseline="0">
                    <a:effectLst/>
                  </a:rPr>
                  <a:t>Source:  DMIRS and OoCE</a:t>
                </a:r>
                <a:endParaRPr lang="en-AU" sz="900">
                  <a:effectLst/>
                </a:endParaRPr>
              </a:p>
            </c:rich>
          </c:tx>
          <c:layout>
            <c:manualLayout>
              <c:xMode val="edge"/>
              <c:yMode val="edge"/>
              <c:x val="5.6935972291324438E-3"/>
              <c:y val="0.95249078169778223"/>
            </c:manualLayout>
          </c:layout>
          <c:overlay val="0"/>
        </c:title>
        <c:numFmt formatCode="General" sourceLinked="1"/>
        <c:majorTickMark val="out"/>
        <c:minorTickMark val="none"/>
        <c:tickLblPos val="nextTo"/>
        <c:txPr>
          <a:bodyPr rot="-2700000"/>
          <a:lstStyle/>
          <a:p>
            <a:pPr>
              <a:defRPr/>
            </a:pPr>
            <a:endParaRPr lang="en-US"/>
          </a:p>
        </c:txPr>
        <c:crossAx val="1190149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alumina production 2019</a:t>
            </a:r>
          </a:p>
        </c:rich>
      </c:tx>
      <c:overlay val="0"/>
    </c:title>
    <c:autoTitleDeleted val="0"/>
    <c:plotArea>
      <c:layout/>
      <c:pieChart>
        <c:varyColors val="1"/>
        <c:ser>
          <c:idx val="0"/>
          <c:order val="0"/>
          <c:tx>
            <c:strRef>
              <c:f>'Alumina - WA vs Australia'!$S$29:$U$29</c:f>
              <c:strCache>
                <c:ptCount val="3"/>
                <c:pt idx="0">
                  <c:v>Australian and Western Australian alumina production</c:v>
                </c:pt>
              </c:strCache>
            </c:strRef>
          </c:tx>
          <c:dLbls>
            <c:dLbl>
              <c:idx val="0"/>
              <c:layout>
                <c:manualLayout>
                  <c:x val="3.1928634055743123E-2"/>
                  <c:y val="-0.26421270162688448"/>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014-4192-8276-E3D46FDAC20C}"/>
                </c:ext>
              </c:extLst>
            </c:dLbl>
            <c:spPr>
              <a:noFill/>
              <a:ln>
                <a:noFill/>
              </a:ln>
              <a:effectLst/>
            </c:spPr>
            <c:dLblPos val="outEnd"/>
            <c:showLegendKey val="0"/>
            <c:showVal val="1"/>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'Alumina - WA vs Australia'!$T$31:$U$31</c:f>
              <c:strCache>
                <c:ptCount val="2"/>
                <c:pt idx="0">
                  <c:v>Western Australia (Mt)</c:v>
                </c:pt>
                <c:pt idx="1">
                  <c:v>Rest of Australia (Mt)</c:v>
                </c:pt>
              </c:strCache>
            </c:strRef>
          </c:cat>
          <c:val>
            <c:numRef>
              <c:f>'Alumina - WA vs Australia'!$T$41:$U$41</c:f>
              <c:numCache>
                <c:formatCode>0.00</c:formatCode>
                <c:ptCount val="2"/>
                <c:pt idx="0">
                  <c:v>14.014424653000001</c:v>
                </c:pt>
                <c:pt idx="1">
                  <c:v>6.1779553469999993</c:v>
                </c:pt>
              </c:numCache>
            </c:numRef>
          </c:val>
          <c:extLst>
            <c:ext xmlns:c16="http://schemas.microsoft.com/office/drawing/2014/chart" uri="{C3380CC4-5D6E-409C-BE32-E72D297353CC}">
              <c16:uniqueId val="{00000000-CFEB-45B2-8FC5-2F9329A90093}"/>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 Q&amp;V'!$L$10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'Base Metals - Q&amp;V'!$L$11:$L$20</c:f>
              <c:numCache>
                <c:formatCode>0.00</c:formatCode>
                <c:ptCount val="10"/>
                <c:pt idx="0">
                  <c:v>37.138071000000004</c:v>
                </c:pt>
                <c:pt idx="1">
                  <c:v>47.778112</c:v>
                </c:pt>
                <c:pt idx="2">
                  <c:v>38.299224000000002</c:v>
                </c:pt>
                <c:pt idx="3">
                  <c:v>50.858215999999999</c:v>
                </c:pt>
                <c:pt idx="4">
                  <c:v>32.559367000000002</c:v>
                </c:pt>
                <c:pt idx="5">
                  <c:v>46.868195999999998</c:v>
                </c:pt>
                <c:pt idx="6">
                  <c:v>43.970934999999997</c:v>
                </c:pt>
                <c:pt idx="7">
                  <c:v>38.939019999999999</c:v>
                </c:pt>
                <c:pt idx="8">
                  <c:v>44.654243000000001</c:v>
                </c:pt>
                <c:pt idx="9">
                  <c:v>44.415087000000007</c:v>
                </c:pt>
              </c:numCache>
            </c:numRef>
          </c:val>
          <c:extLst>
            <c:ext xmlns:c16="http://schemas.microsoft.com/office/drawing/2014/chart" uri="{C3380CC4-5D6E-409C-BE32-E72D297353CC}">
              <c16:uniqueId val="{00000000-4463-489A-AFB2-3305A6557AB5}"/>
            </c:ext>
          </c:extLst>
        </c:ser>
        <c:dLbls>
          <c:showLegendKey val="0"/>
          <c:showVal val="0"/>
          <c:showCatName val="0"/>
          <c:showSerName val="0"/>
          <c:showPercent val="0"/>
          <c:showBubbleSize val="0"/>
        </c:dLbls>
        <c:gapWidth val="40"/>
        <c:axId val="117859072"/>
        <c:axId val="117848704"/>
      </c:barChart>
      <c:lineChart>
        <c:grouping val="standard"/>
        <c:varyColors val="0"/>
        <c:ser>
          <c:idx val="1"/>
          <c:order val="1"/>
          <c:tx>
            <c:strRef>
              <c:f>'Base Metals - Q&amp;V'!$M$10</c:f>
              <c:strCache>
                <c:ptCount val="1"/>
                <c:pt idx="0">
                  <c:v>Value ($ Million)</c:v>
                </c:pt>
              </c:strCache>
            </c:strRef>
          </c:tx>
          <c:spPr>
            <a:ln w="50800">
              <a:solidFill>
                <a:srgbClr val="F6B4E8"/>
              </a:solidFill>
            </a:ln>
          </c:spPr>
          <c:marker>
            <c:symbol val="none"/>
          </c:marker>
          <c:cat>
            <c:numRef>
              <c:f>'Base Metals - Q&amp;V'!$K$11:$K$20</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'Base Metals - Q&amp;V'!$M$11:$M$20</c:f>
              <c:numCache>
                <c:formatCode>0.00</c:formatCode>
                <c:ptCount val="10"/>
                <c:pt idx="0">
                  <c:v>293.21190100000001</c:v>
                </c:pt>
                <c:pt idx="1">
                  <c:v>341.89442000000003</c:v>
                </c:pt>
                <c:pt idx="2">
                  <c:v>319.68186700000001</c:v>
                </c:pt>
                <c:pt idx="3">
                  <c:v>393.01018299999998</c:v>
                </c:pt>
                <c:pt idx="4">
                  <c:v>256.02528999999998</c:v>
                </c:pt>
                <c:pt idx="5">
                  <c:v>380.98519399999998</c:v>
                </c:pt>
                <c:pt idx="6">
                  <c:v>365.21410900000001</c:v>
                </c:pt>
                <c:pt idx="7">
                  <c:v>317.37378799999999</c:v>
                </c:pt>
                <c:pt idx="8">
                  <c:v>355.04918199999997</c:v>
                </c:pt>
                <c:pt idx="9">
                  <c:v>351.15925099999998</c:v>
                </c:pt>
              </c:numCache>
            </c:numRef>
          </c:val>
          <c:smooth val="0"/>
          <c:extLst>
            <c:ext xmlns:c16="http://schemas.microsoft.com/office/drawing/2014/chart" uri="{C3380CC4-5D6E-409C-BE32-E72D297353CC}">
              <c16:uniqueId val="{00000001-4463-489A-AFB2-3305A6557AB5}"/>
            </c:ext>
          </c:extLst>
        </c:ser>
        <c:dLbls>
          <c:showLegendKey val="0"/>
          <c:showVal val="0"/>
          <c:showCatName val="0"/>
          <c:showSerName val="0"/>
          <c:showPercent val="0"/>
          <c:showBubbleSize val="0"/>
        </c:dLbls>
        <c:marker val="1"/>
        <c:smooth val="0"/>
        <c:axId val="117963392"/>
        <c:axId val="117846784"/>
      </c:lineChart>
      <c:catAx>
        <c:axId val="117963392"/>
        <c:scaling>
          <c:orientation val="minMax"/>
        </c:scaling>
        <c:delete val="0"/>
        <c:axPos val="b"/>
        <c:title>
          <c:tx>
            <c:rich>
              <a:bodyPr/>
              <a:lstStyle/>
              <a:p>
                <a:pPr>
                  <a:defRPr sz="900"/>
                </a:pPr>
                <a:r>
                  <a:rPr lang="en-AU" sz="900"/>
                  <a:t>Source: </a:t>
                </a:r>
                <a:r>
                  <a:rPr lang="en-AU" sz="900" b="1" i="0" u="none" strike="noStrike" baseline="0">
                    <a:effectLst/>
                  </a:rPr>
                  <a:t>DMIRS</a:t>
                </a:r>
                <a:endParaRPr lang="en-AU" sz="900"/>
              </a:p>
            </c:rich>
          </c:tx>
          <c:layout>
            <c:manualLayout>
              <c:xMode val="edge"/>
              <c:yMode val="edge"/>
              <c:x val="1.3584783123356384E-2"/>
              <c:y val="0.94360902433945948"/>
            </c:manualLayout>
          </c:layout>
          <c:overlay val="0"/>
        </c:title>
        <c:numFmt formatCode="mmm\-yy" sourceLinked="1"/>
        <c:majorTickMark val="out"/>
        <c:minorTickMark val="none"/>
        <c:tickLblPos val="nextTo"/>
        <c:crossAx val="117846784"/>
        <c:crosses val="autoZero"/>
        <c:auto val="0"/>
        <c:lblAlgn val="ctr"/>
        <c:lblOffset val="100"/>
        <c:noMultiLvlLbl val="0"/>
      </c:catAx>
      <c:valAx>
        <c:axId val="117846784"/>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963392"/>
        <c:crosses val="autoZero"/>
        <c:crossBetween val="between"/>
      </c:valAx>
      <c:valAx>
        <c:axId val="117848704"/>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7859072"/>
        <c:crosses val="max"/>
        <c:crossBetween val="between"/>
      </c:valAx>
      <c:dateAx>
        <c:axId val="117859072"/>
        <c:scaling>
          <c:orientation val="minMax"/>
        </c:scaling>
        <c:delete val="1"/>
        <c:axPos val="b"/>
        <c:numFmt formatCode="mmm\-yy" sourceLinked="1"/>
        <c:majorTickMark val="out"/>
        <c:minorTickMark val="none"/>
        <c:tickLblPos val="nextTo"/>
        <c:crossAx val="1178487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 Q&amp;V'!$N$10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'Base Metals - Q&amp;V'!$N$11:$N$20</c:f>
              <c:numCache>
                <c:formatCode>0.00</c:formatCode>
                <c:ptCount val="10"/>
                <c:pt idx="0">
                  <c:v>1.1292500000000001</c:v>
                </c:pt>
                <c:pt idx="1">
                  <c:v>3.5130400000000002</c:v>
                </c:pt>
                <c:pt idx="2">
                  <c:v>1.4896500000000001</c:v>
                </c:pt>
                <c:pt idx="3">
                  <c:v>1.2653399999999999</c:v>
                </c:pt>
                <c:pt idx="4">
                  <c:v>1.6848399999999999</c:v>
                </c:pt>
                <c:pt idx="5">
                  <c:v>1.65117</c:v>
                </c:pt>
                <c:pt idx="6">
                  <c:v>1.516</c:v>
                </c:pt>
                <c:pt idx="7">
                  <c:v>0</c:v>
                </c:pt>
                <c:pt idx="8">
                  <c:v>1.4008</c:v>
                </c:pt>
                <c:pt idx="9">
                  <c:v>0</c:v>
                </c:pt>
              </c:numCache>
            </c:numRef>
          </c:val>
          <c:extLst>
            <c:ext xmlns:c16="http://schemas.microsoft.com/office/drawing/2014/chart" uri="{C3380CC4-5D6E-409C-BE32-E72D297353CC}">
              <c16:uniqueId val="{00000000-15BC-429B-9C5B-C01001FE28BD}"/>
            </c:ext>
          </c:extLst>
        </c:ser>
        <c:dLbls>
          <c:showLegendKey val="0"/>
          <c:showVal val="0"/>
          <c:showCatName val="0"/>
          <c:showSerName val="0"/>
          <c:showPercent val="0"/>
          <c:showBubbleSize val="0"/>
        </c:dLbls>
        <c:gapWidth val="40"/>
        <c:axId val="117904896"/>
        <c:axId val="115871104"/>
      </c:barChart>
      <c:lineChart>
        <c:grouping val="standard"/>
        <c:varyColors val="0"/>
        <c:ser>
          <c:idx val="1"/>
          <c:order val="1"/>
          <c:tx>
            <c:strRef>
              <c:f>'Base Metals - Q&amp;V'!$O$10</c:f>
              <c:strCache>
                <c:ptCount val="1"/>
                <c:pt idx="0">
                  <c:v>Value ($ Million)</c:v>
                </c:pt>
              </c:strCache>
            </c:strRef>
          </c:tx>
          <c:spPr>
            <a:ln w="50800">
              <a:solidFill>
                <a:srgbClr val="F6B4E8"/>
              </a:solidFill>
            </a:ln>
          </c:spPr>
          <c:marker>
            <c:symbol val="none"/>
          </c:marker>
          <c:cat>
            <c:numRef>
              <c:f>'Base Metals - Q&amp;V'!$K$11:$K$20</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'Base Metals - Q&amp;V'!$O$11:$O$20</c:f>
              <c:numCache>
                <c:formatCode>0.00</c:formatCode>
                <c:ptCount val="10"/>
                <c:pt idx="0">
                  <c:v>3.5253899999999998</c:v>
                </c:pt>
                <c:pt idx="1">
                  <c:v>11.261267999999999</c:v>
                </c:pt>
                <c:pt idx="2">
                  <c:v>4.653346</c:v>
                </c:pt>
                <c:pt idx="3">
                  <c:v>3.359219</c:v>
                </c:pt>
                <c:pt idx="4">
                  <c:v>4.6596440000000001</c:v>
                </c:pt>
                <c:pt idx="5">
                  <c:v>4.4829829999999999</c:v>
                </c:pt>
                <c:pt idx="6">
                  <c:v>4.2015500000000001</c:v>
                </c:pt>
                <c:pt idx="7">
                  <c:v>0</c:v>
                </c:pt>
                <c:pt idx="8">
                  <c:v>4.1491009999999999</c:v>
                </c:pt>
                <c:pt idx="9">
                  <c:v>0</c:v>
                </c:pt>
              </c:numCache>
            </c:numRef>
          </c:val>
          <c:smooth val="0"/>
          <c:extLst>
            <c:ext xmlns:c16="http://schemas.microsoft.com/office/drawing/2014/chart" uri="{C3380CC4-5D6E-409C-BE32-E72D297353CC}">
              <c16:uniqueId val="{00000001-15BC-429B-9C5B-C01001FE28BD}"/>
            </c:ext>
          </c:extLst>
        </c:ser>
        <c:dLbls>
          <c:showLegendKey val="0"/>
          <c:showVal val="0"/>
          <c:showCatName val="0"/>
          <c:showSerName val="0"/>
          <c:showPercent val="0"/>
          <c:showBubbleSize val="0"/>
        </c:dLbls>
        <c:marker val="1"/>
        <c:smooth val="0"/>
        <c:axId val="115502464"/>
        <c:axId val="115869184"/>
      </c:lineChart>
      <c:catAx>
        <c:axId val="115502464"/>
        <c:scaling>
          <c:orientation val="minMax"/>
        </c:scaling>
        <c:delete val="0"/>
        <c:axPos val="b"/>
        <c:title>
          <c:tx>
            <c:rich>
              <a:bodyPr/>
              <a:lstStyle/>
              <a:p>
                <a:pPr>
                  <a:defRPr sz="900"/>
                </a:pPr>
                <a:r>
                  <a:rPr lang="en-AU" sz="900"/>
                  <a:t>Source: DMIRS</a:t>
                </a:r>
              </a:p>
            </c:rich>
          </c:tx>
          <c:layout>
            <c:manualLayout>
              <c:xMode val="edge"/>
              <c:yMode val="edge"/>
              <c:x val="1.3832669335422394E-2"/>
              <c:y val="0.94173703287089106"/>
            </c:manualLayout>
          </c:layout>
          <c:overlay val="0"/>
        </c:title>
        <c:numFmt formatCode="mmm\-yy" sourceLinked="1"/>
        <c:majorTickMark val="out"/>
        <c:minorTickMark val="none"/>
        <c:tickLblPos val="nextTo"/>
        <c:txPr>
          <a:bodyPr rot="-2700000"/>
          <a:lstStyle/>
          <a:p>
            <a:pPr>
              <a:defRPr/>
            </a:pPr>
            <a:endParaRPr lang="en-US"/>
          </a:p>
        </c:txPr>
        <c:crossAx val="115869184"/>
        <c:crosses val="autoZero"/>
        <c:auto val="0"/>
        <c:lblAlgn val="ctr"/>
        <c:lblOffset val="100"/>
        <c:noMultiLvlLbl val="0"/>
      </c:catAx>
      <c:valAx>
        <c:axId val="115869184"/>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5502464"/>
        <c:crosses val="autoZero"/>
        <c:crossBetween val="between"/>
      </c:valAx>
      <c:valAx>
        <c:axId val="115871104"/>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7904896"/>
        <c:crosses val="max"/>
        <c:crossBetween val="between"/>
      </c:valAx>
      <c:dateAx>
        <c:axId val="117904896"/>
        <c:scaling>
          <c:orientation val="minMax"/>
        </c:scaling>
        <c:delete val="1"/>
        <c:axPos val="b"/>
        <c:numFmt formatCode="mmm\-yy" sourceLinked="1"/>
        <c:majorTickMark val="out"/>
        <c:minorTickMark val="none"/>
        <c:tickLblPos val="nextTo"/>
        <c:crossAx val="1158711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 Q&amp;V'!$P$10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'Base Metals - Q&amp;V'!$P$11:$P$20</c:f>
              <c:numCache>
                <c:formatCode>0.000</c:formatCode>
                <c:ptCount val="10"/>
                <c:pt idx="0">
                  <c:v>16.669619999999998</c:v>
                </c:pt>
                <c:pt idx="1">
                  <c:v>42.342468000000004</c:v>
                </c:pt>
                <c:pt idx="2">
                  <c:v>13.238009999999999</c:v>
                </c:pt>
                <c:pt idx="3">
                  <c:v>21.123189</c:v>
                </c:pt>
                <c:pt idx="4">
                  <c:v>16.817429000000001</c:v>
                </c:pt>
                <c:pt idx="5">
                  <c:v>17.645365000000002</c:v>
                </c:pt>
                <c:pt idx="6">
                  <c:v>17.548237</c:v>
                </c:pt>
                <c:pt idx="7">
                  <c:v>19.393622000000001</c:v>
                </c:pt>
                <c:pt idx="8">
                  <c:v>12.946899000000002</c:v>
                </c:pt>
                <c:pt idx="9">
                  <c:v>26.970247000000001</c:v>
                </c:pt>
              </c:numCache>
            </c:numRef>
          </c:val>
          <c:extLst>
            <c:ext xmlns:c16="http://schemas.microsoft.com/office/drawing/2014/chart" uri="{C3380CC4-5D6E-409C-BE32-E72D297353CC}">
              <c16:uniqueId val="{00000000-CCC0-4ED9-A4DF-6A725995A8BD}"/>
            </c:ext>
          </c:extLst>
        </c:ser>
        <c:dLbls>
          <c:showLegendKey val="0"/>
          <c:showVal val="0"/>
          <c:showCatName val="0"/>
          <c:showSerName val="0"/>
          <c:showPercent val="0"/>
          <c:showBubbleSize val="0"/>
        </c:dLbls>
        <c:gapWidth val="40"/>
        <c:axId val="130128128"/>
        <c:axId val="130126208"/>
      </c:barChart>
      <c:lineChart>
        <c:grouping val="standard"/>
        <c:varyColors val="0"/>
        <c:ser>
          <c:idx val="1"/>
          <c:order val="1"/>
          <c:tx>
            <c:strRef>
              <c:f>'Base Metals - Q&amp;V'!$Q$10</c:f>
              <c:strCache>
                <c:ptCount val="1"/>
                <c:pt idx="0">
                  <c:v>Value ($ Million)</c:v>
                </c:pt>
              </c:strCache>
            </c:strRef>
          </c:tx>
          <c:spPr>
            <a:ln w="50800">
              <a:solidFill>
                <a:srgbClr val="F6B4E8"/>
              </a:solidFill>
            </a:ln>
          </c:spPr>
          <c:marker>
            <c:symbol val="none"/>
          </c:marker>
          <c:cat>
            <c:numRef>
              <c:f>'Base Metals - Q&amp;V'!$K$11:$K$20</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'Base Metals - Q&amp;V'!$Q$11:$Q$20</c:f>
              <c:numCache>
                <c:formatCode>0.00</c:formatCode>
                <c:ptCount val="10"/>
                <c:pt idx="0">
                  <c:v>68.630502000000007</c:v>
                </c:pt>
                <c:pt idx="1">
                  <c:v>128.275802</c:v>
                </c:pt>
                <c:pt idx="2">
                  <c:v>53.165086000000002</c:v>
                </c:pt>
                <c:pt idx="3">
                  <c:v>73.433008000000001</c:v>
                </c:pt>
                <c:pt idx="4">
                  <c:v>60.621699</c:v>
                </c:pt>
                <c:pt idx="5">
                  <c:v>69.712891999999997</c:v>
                </c:pt>
                <c:pt idx="6">
                  <c:v>68.160379000000006</c:v>
                </c:pt>
                <c:pt idx="7">
                  <c:v>64.667732999999998</c:v>
                </c:pt>
                <c:pt idx="8">
                  <c:v>44.009948000000001</c:v>
                </c:pt>
                <c:pt idx="9">
                  <c:v>87.817222000000001</c:v>
                </c:pt>
              </c:numCache>
            </c:numRef>
          </c:val>
          <c:smooth val="0"/>
          <c:extLst>
            <c:ext xmlns:c16="http://schemas.microsoft.com/office/drawing/2014/chart" uri="{C3380CC4-5D6E-409C-BE32-E72D297353CC}">
              <c16:uniqueId val="{00000001-CCC0-4ED9-A4DF-6A725995A8BD}"/>
            </c:ext>
          </c:extLst>
        </c:ser>
        <c:dLbls>
          <c:showLegendKey val="0"/>
          <c:showVal val="0"/>
          <c:showCatName val="0"/>
          <c:showSerName val="0"/>
          <c:showPercent val="0"/>
          <c:showBubbleSize val="0"/>
        </c:dLbls>
        <c:marker val="1"/>
        <c:smooth val="0"/>
        <c:axId val="130118016"/>
        <c:axId val="130119936"/>
      </c:lineChart>
      <c:catAx>
        <c:axId val="130118016"/>
        <c:scaling>
          <c:orientation val="minMax"/>
        </c:scaling>
        <c:delete val="0"/>
        <c:axPos val="b"/>
        <c:title>
          <c:tx>
            <c:rich>
              <a:bodyPr/>
              <a:lstStyle/>
              <a:p>
                <a:pPr>
                  <a:defRPr sz="900"/>
                </a:pPr>
                <a:r>
                  <a:rPr lang="en-AU" sz="900"/>
                  <a:t>Source: DMIRS</a:t>
                </a:r>
              </a:p>
            </c:rich>
          </c:tx>
          <c:layout>
            <c:manualLayout>
              <c:xMode val="edge"/>
              <c:yMode val="edge"/>
              <c:x val="1.0375097029371321E-2"/>
              <c:y val="0.93818890285773116"/>
            </c:manualLayout>
          </c:layout>
          <c:overlay val="0"/>
        </c:title>
        <c:numFmt formatCode="mmm\-yy" sourceLinked="1"/>
        <c:majorTickMark val="out"/>
        <c:minorTickMark val="none"/>
        <c:tickLblPos val="nextTo"/>
        <c:crossAx val="130119936"/>
        <c:crosses val="autoZero"/>
        <c:auto val="0"/>
        <c:lblAlgn val="ctr"/>
        <c:lblOffset val="100"/>
        <c:noMultiLvlLbl val="0"/>
      </c:catAx>
      <c:valAx>
        <c:axId val="13011993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118016"/>
        <c:crosses val="autoZero"/>
        <c:crossBetween val="between"/>
      </c:valAx>
      <c:valAx>
        <c:axId val="13012620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28128"/>
        <c:crosses val="max"/>
        <c:crossBetween val="between"/>
      </c:valAx>
      <c:dateAx>
        <c:axId val="130128128"/>
        <c:scaling>
          <c:orientation val="minMax"/>
        </c:scaling>
        <c:delete val="1"/>
        <c:axPos val="b"/>
        <c:numFmt formatCode="mmm\-yy" sourceLinked="1"/>
        <c:majorTickMark val="out"/>
        <c:minorTickMark val="none"/>
        <c:tickLblPos val="nextTo"/>
        <c:crossAx val="130126208"/>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 Q&amp;V'!$L$25</c:f>
              <c:strCache>
                <c:ptCount val="1"/>
                <c:pt idx="0">
                  <c:v>Quantity (Kt)</c:v>
                </c:pt>
              </c:strCache>
            </c:strRef>
          </c:tx>
          <c:spPr>
            <a:solidFill>
              <a:srgbClr val="FF66CC"/>
            </a:solidFill>
          </c:spPr>
          <c:invertIfNegative val="0"/>
          <c:cat>
            <c:numRef>
              <c:f>'Base Metals - Q&amp;V'!$K$26:$K$45</c:f>
              <c:numCache>
                <c:formatCode>@</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'Base Metals - Q&amp;V'!$L$26:$L$45</c:f>
              <c:numCache>
                <c:formatCode>0.00</c:formatCode>
                <c:ptCount val="20"/>
                <c:pt idx="0">
                  <c:v>34.037999999999997</c:v>
                </c:pt>
                <c:pt idx="1">
                  <c:v>50.237000000000002</c:v>
                </c:pt>
                <c:pt idx="2">
                  <c:v>64.286999999999992</c:v>
                </c:pt>
                <c:pt idx="3">
                  <c:v>60.176090000000002</c:v>
                </c:pt>
                <c:pt idx="4">
                  <c:v>42.260094000000002</c:v>
                </c:pt>
                <c:pt idx="5">
                  <c:v>85.220481000000007</c:v>
                </c:pt>
                <c:pt idx="6">
                  <c:v>99.242470999999995</c:v>
                </c:pt>
                <c:pt idx="7">
                  <c:v>105.40498599999999</c:v>
                </c:pt>
                <c:pt idx="8">
                  <c:v>119.055948</c:v>
                </c:pt>
                <c:pt idx="9">
                  <c:v>151.49643399999999</c:v>
                </c:pt>
                <c:pt idx="10">
                  <c:v>155.65068099999999</c:v>
                </c:pt>
                <c:pt idx="11">
                  <c:v>144.95804783199998</c:v>
                </c:pt>
                <c:pt idx="12">
                  <c:v>185.75001993699999</c:v>
                </c:pt>
                <c:pt idx="13">
                  <c:v>216.05661499999999</c:v>
                </c:pt>
                <c:pt idx="14">
                  <c:v>197.08071799999999</c:v>
                </c:pt>
                <c:pt idx="15">
                  <c:v>189.20602099999999</c:v>
                </c:pt>
                <c:pt idx="16">
                  <c:v>181.53603300000003</c:v>
                </c:pt>
                <c:pt idx="17">
                  <c:v>165.70184799999998</c:v>
                </c:pt>
                <c:pt idx="18">
                  <c:v>168.58500300000003</c:v>
                </c:pt>
                <c:pt idx="19">
                  <c:v>171.979285</c:v>
                </c:pt>
              </c:numCache>
            </c:numRef>
          </c:val>
          <c:extLst>
            <c:ext xmlns:c16="http://schemas.microsoft.com/office/drawing/2014/chart" uri="{C3380CC4-5D6E-409C-BE32-E72D297353CC}">
              <c16:uniqueId val="{00000000-F815-4D3A-A47B-7A0F08D71F48}"/>
            </c:ext>
          </c:extLst>
        </c:ser>
        <c:dLbls>
          <c:showLegendKey val="0"/>
          <c:showVal val="0"/>
          <c:showCatName val="0"/>
          <c:showSerName val="0"/>
          <c:showPercent val="0"/>
          <c:showBubbleSize val="0"/>
        </c:dLbls>
        <c:gapWidth val="40"/>
        <c:axId val="130178048"/>
        <c:axId val="130176128"/>
      </c:barChart>
      <c:lineChart>
        <c:grouping val="standard"/>
        <c:varyColors val="0"/>
        <c:ser>
          <c:idx val="1"/>
          <c:order val="1"/>
          <c:tx>
            <c:strRef>
              <c:f>'Base Metals - Q&amp;V'!$M$25</c:f>
              <c:strCache>
                <c:ptCount val="1"/>
                <c:pt idx="0">
                  <c:v>Value ($ Million)</c:v>
                </c:pt>
              </c:strCache>
            </c:strRef>
          </c:tx>
          <c:spPr>
            <a:ln w="50800">
              <a:solidFill>
                <a:srgbClr val="FAD6F2"/>
              </a:solidFill>
            </a:ln>
          </c:spPr>
          <c:marker>
            <c:symbol val="none"/>
          </c:marker>
          <c:cat>
            <c:strRef>
              <c:f>'Base Metals - Q&amp;V'!$K$26:$K$50</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f>'Base Metals - Q&amp;V'!$M$26:$M$45</c:f>
              <c:numCache>
                <c:formatCode>"$"#,##0.00</c:formatCode>
                <c:ptCount val="20"/>
                <c:pt idx="0">
                  <c:v>82.608861000000005</c:v>
                </c:pt>
                <c:pt idx="1">
                  <c:v>120.71054100000001</c:v>
                </c:pt>
                <c:pt idx="2">
                  <c:v>145.48984000000002</c:v>
                </c:pt>
                <c:pt idx="3">
                  <c:v>149.51022373999999</c:v>
                </c:pt>
                <c:pt idx="4">
                  <c:v>168.13437594999999</c:v>
                </c:pt>
                <c:pt idx="5">
                  <c:v>471.20839587999996</c:v>
                </c:pt>
                <c:pt idx="6">
                  <c:v>865.00019402999988</c:v>
                </c:pt>
                <c:pt idx="7">
                  <c:v>885.58278529999995</c:v>
                </c:pt>
                <c:pt idx="8">
                  <c:v>832.51515368000003</c:v>
                </c:pt>
                <c:pt idx="9">
                  <c:v>933.12328494000008</c:v>
                </c:pt>
                <c:pt idx="10">
                  <c:v>1302.14808608</c:v>
                </c:pt>
                <c:pt idx="11">
                  <c:v>1195.22360826</c:v>
                </c:pt>
                <c:pt idx="12">
                  <c:v>1370.4501023600001</c:v>
                </c:pt>
                <c:pt idx="13">
                  <c:v>1492.76443623</c:v>
                </c:pt>
                <c:pt idx="14">
                  <c:v>1401.6056509999999</c:v>
                </c:pt>
                <c:pt idx="15">
                  <c:v>1244.427187</c:v>
                </c:pt>
                <c:pt idx="16">
                  <c:v>1188.452888</c:v>
                </c:pt>
                <c:pt idx="17">
                  <c:v>1255.6392169999999</c:v>
                </c:pt>
                <c:pt idx="18">
                  <c:v>1349.702534</c:v>
                </c:pt>
                <c:pt idx="19">
                  <c:v>1388.7963300000001</c:v>
                </c:pt>
              </c:numCache>
            </c:numRef>
          </c:val>
          <c:smooth val="0"/>
          <c:extLst>
            <c:ext xmlns:c16="http://schemas.microsoft.com/office/drawing/2014/chart" uri="{C3380CC4-5D6E-409C-BE32-E72D297353CC}">
              <c16:uniqueId val="{00000001-F815-4D3A-A47B-7A0F08D71F48}"/>
            </c:ext>
          </c:extLst>
        </c:ser>
        <c:dLbls>
          <c:showLegendKey val="0"/>
          <c:showVal val="0"/>
          <c:showCatName val="0"/>
          <c:showSerName val="0"/>
          <c:showPercent val="0"/>
          <c:showBubbleSize val="0"/>
        </c:dLbls>
        <c:marker val="1"/>
        <c:smooth val="0"/>
        <c:axId val="130163840"/>
        <c:axId val="130165760"/>
      </c:lineChart>
      <c:dateAx>
        <c:axId val="130163840"/>
        <c:scaling>
          <c:orientation val="minMax"/>
        </c:scaling>
        <c:delete val="0"/>
        <c:axPos val="b"/>
        <c:title>
          <c:tx>
            <c:rich>
              <a:bodyPr/>
              <a:lstStyle/>
              <a:p>
                <a:pPr>
                  <a:defRPr/>
                </a:pPr>
                <a:r>
                  <a:rPr lang="en-AU" sz="900"/>
                  <a:t>Source: DMIRS</a:t>
                </a:r>
              </a:p>
            </c:rich>
          </c:tx>
          <c:layout>
            <c:manualLayout>
              <c:xMode val="edge"/>
              <c:yMode val="edge"/>
              <c:x val="6.7161628880478344E-3"/>
              <c:y val="0.95320166149312358"/>
            </c:manualLayout>
          </c:layout>
          <c:overlay val="0"/>
        </c:title>
        <c:numFmt formatCode="@@@@@@@@@" sourceLinked="0"/>
        <c:majorTickMark val="out"/>
        <c:minorTickMark val="none"/>
        <c:tickLblPos val="nextTo"/>
        <c:txPr>
          <a:bodyPr rot="-2700000"/>
          <a:lstStyle/>
          <a:p>
            <a:pPr>
              <a:defRPr/>
            </a:pPr>
            <a:endParaRPr lang="en-US"/>
          </a:p>
        </c:txPr>
        <c:crossAx val="130165760"/>
        <c:crosses val="autoZero"/>
        <c:auto val="0"/>
        <c:lblOffset val="100"/>
        <c:baseTimeUnit val="days"/>
        <c:majorUnit val="1"/>
      </c:dateAx>
      <c:valAx>
        <c:axId val="13016576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163840"/>
        <c:crosses val="autoZero"/>
        <c:crossBetween val="between"/>
      </c:valAx>
      <c:valAx>
        <c:axId val="13017612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78048"/>
        <c:crosses val="max"/>
        <c:crossBetween val="between"/>
      </c:valAx>
      <c:catAx>
        <c:axId val="130178048"/>
        <c:scaling>
          <c:orientation val="minMax"/>
        </c:scaling>
        <c:delete val="1"/>
        <c:axPos val="b"/>
        <c:numFmt formatCode="@" sourceLinked="1"/>
        <c:majorTickMark val="out"/>
        <c:minorTickMark val="none"/>
        <c:tickLblPos val="nextTo"/>
        <c:crossAx val="13017612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 Q&amp;V'!$N$25</c:f>
              <c:strCache>
                <c:ptCount val="1"/>
                <c:pt idx="0">
                  <c:v>Quantity (Kt)</c:v>
                </c:pt>
              </c:strCache>
            </c:strRef>
          </c:tx>
          <c:spPr>
            <a:solidFill>
              <a:srgbClr val="FF66CC"/>
            </a:solidFill>
          </c:spPr>
          <c:invertIfNegative val="0"/>
          <c:cat>
            <c:numRef>
              <c:f>'Base Metals - Q&amp;V'!$K$26:$K$45</c:f>
              <c:numCache>
                <c:formatCode>@</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'Base Metals - Q&amp;V'!$N$26:$N$45</c:f>
              <c:numCache>
                <c:formatCode>0.00</c:formatCode>
                <c:ptCount val="20"/>
                <c:pt idx="0">
                  <c:v>73.081000000000003</c:v>
                </c:pt>
                <c:pt idx="1">
                  <c:v>91.38300000000001</c:v>
                </c:pt>
                <c:pt idx="2">
                  <c:v>70.397000000000006</c:v>
                </c:pt>
                <c:pt idx="3">
                  <c:v>49.823</c:v>
                </c:pt>
                <c:pt idx="4">
                  <c:v>1.1747399999999999</c:v>
                </c:pt>
                <c:pt idx="5">
                  <c:v>28.595314999999999</c:v>
                </c:pt>
                <c:pt idx="6">
                  <c:v>70.95348899999999</c:v>
                </c:pt>
                <c:pt idx="7">
                  <c:v>37.091524999999997</c:v>
                </c:pt>
                <c:pt idx="8">
                  <c:v>18.538827999999999</c:v>
                </c:pt>
                <c:pt idx="9">
                  <c:v>22.755433000000004</c:v>
                </c:pt>
                <c:pt idx="10">
                  <c:v>52.922928999999996</c:v>
                </c:pt>
                <c:pt idx="11">
                  <c:v>8.3429219999999997</c:v>
                </c:pt>
                <c:pt idx="12">
                  <c:v>8.135294</c:v>
                </c:pt>
                <c:pt idx="13">
                  <c:v>52.261510000000001</c:v>
                </c:pt>
                <c:pt idx="14">
                  <c:v>80.888499999999993</c:v>
                </c:pt>
                <c:pt idx="15">
                  <c:v>20.259029999999999</c:v>
                </c:pt>
                <c:pt idx="16" formatCode="0.000">
                  <c:v>4.76091</c:v>
                </c:pt>
                <c:pt idx="17">
                  <c:v>5.9010800000000003</c:v>
                </c:pt>
                <c:pt idx="18" formatCode="0.000">
                  <c:v>6.0910000000000011</c:v>
                </c:pt>
                <c:pt idx="19" formatCode="0.000">
                  <c:v>2.9168000000000003</c:v>
                </c:pt>
              </c:numCache>
            </c:numRef>
          </c:val>
          <c:extLst>
            <c:ext xmlns:c16="http://schemas.microsoft.com/office/drawing/2014/chart" uri="{C3380CC4-5D6E-409C-BE32-E72D297353CC}">
              <c16:uniqueId val="{00000000-5455-4875-9638-0C7AF096BDFF}"/>
            </c:ext>
          </c:extLst>
        </c:ser>
        <c:dLbls>
          <c:showLegendKey val="0"/>
          <c:showVal val="0"/>
          <c:showCatName val="0"/>
          <c:showSerName val="0"/>
          <c:showPercent val="0"/>
          <c:showBubbleSize val="0"/>
        </c:dLbls>
        <c:gapWidth val="40"/>
        <c:axId val="130224128"/>
        <c:axId val="130221952"/>
      </c:barChart>
      <c:lineChart>
        <c:grouping val="standard"/>
        <c:varyColors val="0"/>
        <c:ser>
          <c:idx val="1"/>
          <c:order val="1"/>
          <c:tx>
            <c:strRef>
              <c:f>'Base Metals - Q&amp;V'!$O$25</c:f>
              <c:strCache>
                <c:ptCount val="1"/>
                <c:pt idx="0">
                  <c:v>Value ($ Million)</c:v>
                </c:pt>
              </c:strCache>
            </c:strRef>
          </c:tx>
          <c:spPr>
            <a:ln w="50800">
              <a:solidFill>
                <a:srgbClr val="FAD6F2"/>
              </a:solidFill>
            </a:ln>
          </c:spPr>
          <c:marker>
            <c:symbol val="none"/>
          </c:marker>
          <c:cat>
            <c:numRef>
              <c:f>'Base Metals - Q&amp;V'!$K$26:$K$45</c:f>
              <c:numCache>
                <c:formatCode>@</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'Base Metals - Q&amp;V'!$O$26:$O$45</c:f>
              <c:numCache>
                <c:formatCode>"$"#,##0.00</c:formatCode>
                <c:ptCount val="20"/>
                <c:pt idx="0">
                  <c:v>25.761448000000001</c:v>
                </c:pt>
                <c:pt idx="1">
                  <c:v>44.902919000000004</c:v>
                </c:pt>
                <c:pt idx="2">
                  <c:v>32.690022999999997</c:v>
                </c:pt>
                <c:pt idx="3">
                  <c:v>26.99168792</c:v>
                </c:pt>
                <c:pt idx="4">
                  <c:v>1.5446158400000001</c:v>
                </c:pt>
                <c:pt idx="5">
                  <c:v>39.773083839999998</c:v>
                </c:pt>
                <c:pt idx="6">
                  <c:v>127.85454053000001</c:v>
                </c:pt>
                <c:pt idx="7">
                  <c:v>96.781479340000004</c:v>
                </c:pt>
                <c:pt idx="8">
                  <c:v>28.815419949999999</c:v>
                </c:pt>
                <c:pt idx="9">
                  <c:v>48.874789219999997</c:v>
                </c:pt>
                <c:pt idx="10">
                  <c:v>126.64476232</c:v>
                </c:pt>
                <c:pt idx="11">
                  <c:v>19.57646712</c:v>
                </c:pt>
                <c:pt idx="12">
                  <c:v>16.53442321</c:v>
                </c:pt>
                <c:pt idx="13">
                  <c:v>116.05667827000002</c:v>
                </c:pt>
                <c:pt idx="14">
                  <c:v>184.66242500000001</c:v>
                </c:pt>
                <c:pt idx="15">
                  <c:v>48.685219000000004</c:v>
                </c:pt>
                <c:pt idx="16">
                  <c:v>12.78299</c:v>
                </c:pt>
                <c:pt idx="17">
                  <c:v>18.548734</c:v>
                </c:pt>
                <c:pt idx="18">
                  <c:v>17.155192</c:v>
                </c:pt>
                <c:pt idx="19">
                  <c:v>8.3506509999999992</c:v>
                </c:pt>
              </c:numCache>
            </c:numRef>
          </c:val>
          <c:smooth val="0"/>
          <c:extLst>
            <c:ext xmlns:c16="http://schemas.microsoft.com/office/drawing/2014/chart" uri="{C3380CC4-5D6E-409C-BE32-E72D297353CC}">
              <c16:uniqueId val="{00000001-5455-4875-9638-0C7AF096BDFF}"/>
            </c:ext>
          </c:extLst>
        </c:ser>
        <c:dLbls>
          <c:showLegendKey val="0"/>
          <c:showVal val="0"/>
          <c:showCatName val="0"/>
          <c:showSerName val="0"/>
          <c:showPercent val="0"/>
          <c:showBubbleSize val="0"/>
        </c:dLbls>
        <c:marker val="1"/>
        <c:smooth val="0"/>
        <c:axId val="130209664"/>
        <c:axId val="130220032"/>
      </c:lineChart>
      <c:dateAx>
        <c:axId val="130209664"/>
        <c:scaling>
          <c:orientation val="minMax"/>
        </c:scaling>
        <c:delete val="0"/>
        <c:axPos val="b"/>
        <c:title>
          <c:tx>
            <c:rich>
              <a:bodyPr/>
              <a:lstStyle/>
              <a:p>
                <a:pPr>
                  <a:defRPr/>
                </a:pPr>
                <a:r>
                  <a:rPr lang="en-AU" sz="900"/>
                  <a:t>Source: DMIRS</a:t>
                </a:r>
              </a:p>
            </c:rich>
          </c:tx>
          <c:layout>
            <c:manualLayout>
              <c:xMode val="edge"/>
              <c:yMode val="edge"/>
              <c:x val="6.7992013818785483E-3"/>
              <c:y val="0.94751233846965299"/>
            </c:manualLayout>
          </c:layout>
          <c:overlay val="0"/>
        </c:title>
        <c:numFmt formatCode="@@@@@@@@@" sourceLinked="0"/>
        <c:majorTickMark val="out"/>
        <c:minorTickMark val="none"/>
        <c:tickLblPos val="nextTo"/>
        <c:txPr>
          <a:bodyPr rot="-2700000"/>
          <a:lstStyle/>
          <a:p>
            <a:pPr>
              <a:defRPr/>
            </a:pPr>
            <a:endParaRPr lang="en-US"/>
          </a:p>
        </c:txPr>
        <c:crossAx val="130220032"/>
        <c:crosses val="autoZero"/>
        <c:auto val="0"/>
        <c:lblOffset val="100"/>
        <c:baseTimeUnit val="days"/>
        <c:majorUnit val="1"/>
      </c:dateAx>
      <c:valAx>
        <c:axId val="130220032"/>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209664"/>
        <c:crosses val="autoZero"/>
        <c:crossBetween val="between"/>
      </c:valAx>
      <c:valAx>
        <c:axId val="13022195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224128"/>
        <c:crosses val="max"/>
        <c:crossBetween val="between"/>
      </c:valAx>
      <c:catAx>
        <c:axId val="130224128"/>
        <c:scaling>
          <c:orientation val="minMax"/>
        </c:scaling>
        <c:delete val="1"/>
        <c:axPos val="b"/>
        <c:numFmt formatCode="@" sourceLinked="1"/>
        <c:majorTickMark val="out"/>
        <c:minorTickMark val="none"/>
        <c:tickLblPos val="nextTo"/>
        <c:crossAx val="130221952"/>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 Q&amp;V'!$P$25</c:f>
              <c:strCache>
                <c:ptCount val="1"/>
                <c:pt idx="0">
                  <c:v>Quantity (Kt)</c:v>
                </c:pt>
              </c:strCache>
            </c:strRef>
          </c:tx>
          <c:spPr>
            <a:solidFill>
              <a:srgbClr val="FF66CC"/>
            </a:solidFill>
          </c:spPr>
          <c:invertIfNegative val="0"/>
          <c:cat>
            <c:numRef>
              <c:f>'Base Metals - Q&amp;V'!$K$26:$K$44</c:f>
              <c:numCache>
                <c:formatCode>@</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'Base Metals - Q&amp;V'!$P$26:$P$45</c:f>
              <c:numCache>
                <c:formatCode>0.00</c:formatCode>
                <c:ptCount val="20"/>
                <c:pt idx="0">
                  <c:v>257.71199999999999</c:v>
                </c:pt>
                <c:pt idx="1">
                  <c:v>210.83700000000002</c:v>
                </c:pt>
                <c:pt idx="2">
                  <c:v>218.803</c:v>
                </c:pt>
                <c:pt idx="3">
                  <c:v>148.83994000000001</c:v>
                </c:pt>
                <c:pt idx="4">
                  <c:v>51.78387</c:v>
                </c:pt>
                <c:pt idx="5">
                  <c:v>59.104380000000006</c:v>
                </c:pt>
                <c:pt idx="6">
                  <c:v>109.06339100000001</c:v>
                </c:pt>
                <c:pt idx="7">
                  <c:v>173.33780000000002</c:v>
                </c:pt>
                <c:pt idx="8">
                  <c:v>189.81195299999999</c:v>
                </c:pt>
                <c:pt idx="9">
                  <c:v>99.811695999999984</c:v>
                </c:pt>
                <c:pt idx="10">
                  <c:v>81.515219999999999</c:v>
                </c:pt>
                <c:pt idx="11">
                  <c:v>74.400736999999992</c:v>
                </c:pt>
                <c:pt idx="12">
                  <c:v>57.112677000000005</c:v>
                </c:pt>
                <c:pt idx="13">
                  <c:v>47.985599999999998</c:v>
                </c:pt>
                <c:pt idx="14">
                  <c:v>72.763530000000003</c:v>
                </c:pt>
                <c:pt idx="15">
                  <c:v>77.178319999999999</c:v>
                </c:pt>
                <c:pt idx="16">
                  <c:v>94.963539999999995</c:v>
                </c:pt>
                <c:pt idx="17">
                  <c:v>84.653807999999998</c:v>
                </c:pt>
                <c:pt idx="18">
                  <c:v>68.823993000000002</c:v>
                </c:pt>
                <c:pt idx="19">
                  <c:v>76.859004999999996</c:v>
                </c:pt>
              </c:numCache>
            </c:numRef>
          </c:val>
          <c:extLst>
            <c:ext xmlns:c16="http://schemas.microsoft.com/office/drawing/2014/chart" uri="{C3380CC4-5D6E-409C-BE32-E72D297353CC}">
              <c16:uniqueId val="{00000000-F903-4AB3-BEBE-063F99617296}"/>
            </c:ext>
          </c:extLst>
        </c:ser>
        <c:dLbls>
          <c:showLegendKey val="0"/>
          <c:showVal val="0"/>
          <c:showCatName val="0"/>
          <c:showSerName val="0"/>
          <c:showPercent val="0"/>
          <c:showBubbleSize val="0"/>
        </c:dLbls>
        <c:gapWidth val="40"/>
        <c:axId val="130274048"/>
        <c:axId val="130271872"/>
      </c:barChart>
      <c:lineChart>
        <c:grouping val="standard"/>
        <c:varyColors val="0"/>
        <c:ser>
          <c:idx val="1"/>
          <c:order val="1"/>
          <c:tx>
            <c:strRef>
              <c:f>'Base Metals - Q&amp;V'!$Q$25</c:f>
              <c:strCache>
                <c:ptCount val="1"/>
                <c:pt idx="0">
                  <c:v>Value ($ Million)</c:v>
                </c:pt>
              </c:strCache>
            </c:strRef>
          </c:tx>
          <c:spPr>
            <a:ln w="50800">
              <a:solidFill>
                <a:srgbClr val="FAD6F2"/>
              </a:solidFill>
            </a:ln>
          </c:spPr>
          <c:marker>
            <c:symbol val="none"/>
          </c:marker>
          <c:cat>
            <c:numRef>
              <c:f>'Base Metals - Q&amp;V'!$K$26:$K$45</c:f>
              <c:numCache>
                <c:formatCode>@</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'Base Metals - Q&amp;V'!$Q$26:$Q$45</c:f>
              <c:numCache>
                <c:formatCode>"$"#,##0.00</c:formatCode>
                <c:ptCount val="20"/>
                <c:pt idx="0">
                  <c:v>290.114283</c:v>
                </c:pt>
                <c:pt idx="1">
                  <c:v>208.71751399999999</c:v>
                </c:pt>
                <c:pt idx="2">
                  <c:v>173.06411700000001</c:v>
                </c:pt>
                <c:pt idx="3">
                  <c:v>133.65453486000001</c:v>
                </c:pt>
                <c:pt idx="4">
                  <c:v>71.168342370000005</c:v>
                </c:pt>
                <c:pt idx="5">
                  <c:v>126.89531962000001</c:v>
                </c:pt>
                <c:pt idx="6">
                  <c:v>491.08046987</c:v>
                </c:pt>
                <c:pt idx="7">
                  <c:v>482.88467758000002</c:v>
                </c:pt>
                <c:pt idx="8">
                  <c:v>293.49248021000005</c:v>
                </c:pt>
                <c:pt idx="9">
                  <c:v>215.92451084000001</c:v>
                </c:pt>
                <c:pt idx="10">
                  <c:v>191.88413472000002</c:v>
                </c:pt>
                <c:pt idx="11">
                  <c:v>153.04113046000001</c:v>
                </c:pt>
                <c:pt idx="12">
                  <c:v>107.3024735</c:v>
                </c:pt>
                <c:pt idx="13">
                  <c:v>96.281335519999999</c:v>
                </c:pt>
                <c:pt idx="14">
                  <c:v>173.001879</c:v>
                </c:pt>
                <c:pt idx="15">
                  <c:v>185.219379</c:v>
                </c:pt>
                <c:pt idx="16">
                  <c:v>204.523976</c:v>
                </c:pt>
                <c:pt idx="17">
                  <c:v>292.12296500000002</c:v>
                </c:pt>
                <c:pt idx="18">
                  <c:v>256.93268499999999</c:v>
                </c:pt>
                <c:pt idx="19">
                  <c:v>264.655282</c:v>
                </c:pt>
              </c:numCache>
            </c:numRef>
          </c:val>
          <c:smooth val="0"/>
          <c:extLst>
            <c:ext xmlns:c16="http://schemas.microsoft.com/office/drawing/2014/chart" uri="{C3380CC4-5D6E-409C-BE32-E72D297353CC}">
              <c16:uniqueId val="{00000001-F903-4AB3-BEBE-063F99617296}"/>
            </c:ext>
          </c:extLst>
        </c:ser>
        <c:dLbls>
          <c:showLegendKey val="0"/>
          <c:showVal val="0"/>
          <c:showCatName val="0"/>
          <c:showSerName val="0"/>
          <c:showPercent val="0"/>
          <c:showBubbleSize val="0"/>
        </c:dLbls>
        <c:marker val="1"/>
        <c:smooth val="0"/>
        <c:axId val="130263680"/>
        <c:axId val="130269952"/>
      </c:lineChart>
      <c:dateAx>
        <c:axId val="130263680"/>
        <c:scaling>
          <c:orientation val="minMax"/>
        </c:scaling>
        <c:delete val="0"/>
        <c:axPos val="b"/>
        <c:title>
          <c:tx>
            <c:rich>
              <a:bodyPr/>
              <a:lstStyle/>
              <a:p>
                <a:pPr>
                  <a:defRPr/>
                </a:pPr>
                <a:r>
                  <a:rPr lang="en-AU" sz="900"/>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0269952"/>
        <c:crosses val="autoZero"/>
        <c:auto val="0"/>
        <c:lblOffset val="100"/>
        <c:baseTimeUnit val="days"/>
        <c:majorUnit val="1"/>
      </c:dateAx>
      <c:valAx>
        <c:axId val="130269952"/>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263680"/>
        <c:crosses val="autoZero"/>
        <c:crossBetween val="between"/>
      </c:valAx>
      <c:valAx>
        <c:axId val="13027187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274048"/>
        <c:crosses val="max"/>
        <c:crossBetween val="between"/>
      </c:valAx>
      <c:catAx>
        <c:axId val="130274048"/>
        <c:scaling>
          <c:orientation val="minMax"/>
        </c:scaling>
        <c:delete val="1"/>
        <c:axPos val="b"/>
        <c:numFmt formatCode="@" sourceLinked="1"/>
        <c:majorTickMark val="out"/>
        <c:minorTickMark val="none"/>
        <c:tickLblPos val="nextTo"/>
        <c:crossAx val="130271872"/>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800" b="1"/>
              <a:t>Base metals</a:t>
            </a:r>
          </a:p>
          <a:p>
            <a:pPr>
              <a:defRPr b="1"/>
            </a:pPr>
            <a:r>
              <a:rPr lang="en-US" sz="1100" b="1"/>
              <a:t>Historic avg. annual price</a:t>
            </a:r>
            <a:endParaRPr lang="en-AU" sz="1100"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'Base Metals - Prices'!$I$7</c:f>
              <c:strCache>
                <c:ptCount val="1"/>
                <c:pt idx="0">
                  <c:v>Copper</c:v>
                </c:pt>
              </c:strCache>
            </c:strRef>
          </c:tx>
          <c:spPr>
            <a:ln w="28575" cap="rnd">
              <a:solidFill>
                <a:srgbClr val="CC00CC"/>
              </a:solidFill>
              <a:round/>
            </a:ln>
            <a:effectLst/>
          </c:spPr>
          <c:marker>
            <c:symbol val="none"/>
          </c:marker>
          <c:cat>
            <c:numRef>
              <c:extLst>
                <c:ext xmlns:c15="http://schemas.microsoft.com/office/drawing/2012/chart" uri="{02D57815-91ED-43cb-92C2-25804820EDAC}">
                  <c15:fullRef>
                    <c15:sqref>'Base Metals - Prices'!$H$9:$H$42</c15:sqref>
                  </c15:fullRef>
                </c:ext>
              </c:extLst>
              <c:f>'Base Metals - Prices'!$H$10:$H$42</c:f>
              <c:numCache>
                <c:formatCode>General</c:formatCode>
                <c:ptCount val="33"/>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numCache>
            </c:numRef>
          </c:cat>
          <c:val>
            <c:numRef>
              <c:extLst>
                <c:ext xmlns:c15="http://schemas.microsoft.com/office/drawing/2012/chart" uri="{02D57815-91ED-43cb-92C2-25804820EDAC}">
                  <c15:fullRef>
                    <c15:sqref>'Base Metals - Prices'!$I$9:$I$42</c15:sqref>
                  </c15:fullRef>
                </c:ext>
              </c:extLst>
              <c:f>'Base Metals - Prices'!$I$10:$I$42</c:f>
              <c:numCache>
                <c:formatCode>"$"#,##0.00</c:formatCode>
                <c:ptCount val="33"/>
                <c:pt idx="0">
                  <c:v>2540.9474999999998</c:v>
                </c:pt>
                <c:pt idx="1">
                  <c:v>3267.8699999999994</c:v>
                </c:pt>
                <c:pt idx="2">
                  <c:v>3588.7449999999994</c:v>
                </c:pt>
                <c:pt idx="3">
                  <c:v>3412.6408333333334</c:v>
                </c:pt>
                <c:pt idx="4">
                  <c:v>2998.6533333333336</c:v>
                </c:pt>
                <c:pt idx="5">
                  <c:v>3153.8500000000008</c:v>
                </c:pt>
                <c:pt idx="6">
                  <c:v>2814.875</c:v>
                </c:pt>
                <c:pt idx="7">
                  <c:v>3129.7016666666664</c:v>
                </c:pt>
                <c:pt idx="8">
                  <c:v>3973.0408333333339</c:v>
                </c:pt>
                <c:pt idx="9">
                  <c:v>2928.3225000000002</c:v>
                </c:pt>
                <c:pt idx="10">
                  <c:v>3038.5116666666668</c:v>
                </c:pt>
                <c:pt idx="11">
                  <c:v>2628.6441666666674</c:v>
                </c:pt>
                <c:pt idx="12">
                  <c:v>2437.1574999999998</c:v>
                </c:pt>
                <c:pt idx="13">
                  <c:v>3132.9666666666667</c:v>
                </c:pt>
                <c:pt idx="14">
                  <c:v>3049.5208333333335</c:v>
                </c:pt>
                <c:pt idx="15">
                  <c:v>2869.5458333333336</c:v>
                </c:pt>
                <c:pt idx="16">
                  <c:v>2723.0658333333336</c:v>
                </c:pt>
                <c:pt idx="17">
                  <c:v>3903.8458333333328</c:v>
                </c:pt>
                <c:pt idx="18">
                  <c:v>4836.3725000000004</c:v>
                </c:pt>
                <c:pt idx="19">
                  <c:v>8911.814166666667</c:v>
                </c:pt>
                <c:pt idx="20">
                  <c:v>8478.7725000000009</c:v>
                </c:pt>
                <c:pt idx="21">
                  <c:v>7996.9733333333324</c:v>
                </c:pt>
                <c:pt idx="22">
                  <c:v>6404.551666666669</c:v>
                </c:pt>
                <c:pt idx="23">
                  <c:v>8168.600833333333</c:v>
                </c:pt>
                <c:pt idx="24">
                  <c:v>8558.7758333333331</c:v>
                </c:pt>
                <c:pt idx="25">
                  <c:v>7679.5333333333328</c:v>
                </c:pt>
                <c:pt idx="26">
                  <c:v>7580.8341666666665</c:v>
                </c:pt>
                <c:pt idx="27">
                  <c:v>7606.8916666666673</c:v>
                </c:pt>
                <c:pt idx="28">
                  <c:v>7301.1124999999984</c:v>
                </c:pt>
                <c:pt idx="29">
                  <c:v>6538.1141666666672</c:v>
                </c:pt>
                <c:pt idx="30">
                  <c:v>8031.5406926200221</c:v>
                </c:pt>
                <c:pt idx="31">
                  <c:v>8720.8933398289391</c:v>
                </c:pt>
                <c:pt idx="32">
                  <c:v>8627.7069911869021</c:v>
                </c:pt>
              </c:numCache>
            </c:numRef>
          </c:val>
          <c:smooth val="0"/>
          <c:extLst>
            <c:ext xmlns:c16="http://schemas.microsoft.com/office/drawing/2014/chart" uri="{C3380CC4-5D6E-409C-BE32-E72D297353CC}">
              <c16:uniqueId val="{00000000-ECF6-4626-B336-A032D403EE63}"/>
            </c:ext>
          </c:extLst>
        </c:ser>
        <c:ser>
          <c:idx val="1"/>
          <c:order val="1"/>
          <c:tx>
            <c:strRef>
              <c:f>'Base Metals - Prices'!$J$7</c:f>
              <c:strCache>
                <c:ptCount val="1"/>
                <c:pt idx="0">
                  <c:v>Lead</c:v>
                </c:pt>
              </c:strCache>
            </c:strRef>
          </c:tx>
          <c:spPr>
            <a:ln w="28575" cap="rnd">
              <a:solidFill>
                <a:srgbClr val="FF66FF"/>
              </a:solidFill>
              <a:round/>
            </a:ln>
            <a:effectLst/>
          </c:spPr>
          <c:marker>
            <c:symbol val="none"/>
          </c:marker>
          <c:cat>
            <c:numRef>
              <c:extLst>
                <c:ext xmlns:c15="http://schemas.microsoft.com/office/drawing/2012/chart" uri="{02D57815-91ED-43cb-92C2-25804820EDAC}">
                  <c15:fullRef>
                    <c15:sqref>'Base Metals - Prices'!$H$9:$H$42</c15:sqref>
                  </c15:fullRef>
                </c:ext>
              </c:extLst>
              <c:f>'Base Metals - Prices'!$H$10:$H$42</c:f>
              <c:numCache>
                <c:formatCode>General</c:formatCode>
                <c:ptCount val="33"/>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numCache>
            </c:numRef>
          </c:cat>
          <c:val>
            <c:numRef>
              <c:extLst>
                <c:ext xmlns:c15="http://schemas.microsoft.com/office/drawing/2012/chart" uri="{02D57815-91ED-43cb-92C2-25804820EDAC}">
                  <c15:fullRef>
                    <c15:sqref>'Base Metals - Prices'!$J$9:$J$42</c15:sqref>
                  </c15:fullRef>
                </c:ext>
              </c:extLst>
              <c:f>'Base Metals - Prices'!$J$10:$J$42</c:f>
              <c:numCache>
                <c:formatCode>"$"#,##0.00</c:formatCode>
                <c:ptCount val="33"/>
                <c:pt idx="0">
                  <c:v>849.90572624288404</c:v>
                </c:pt>
                <c:pt idx="1">
                  <c:v>827.05293282821594</c:v>
                </c:pt>
                <c:pt idx="2">
                  <c:v>857.68608882666706</c:v>
                </c:pt>
                <c:pt idx="3">
                  <c:v>1039.1253280689682</c:v>
                </c:pt>
                <c:pt idx="4">
                  <c:v>715.04919116531255</c:v>
                </c:pt>
                <c:pt idx="5">
                  <c:v>748.79074819767618</c:v>
                </c:pt>
                <c:pt idx="6">
                  <c:v>598.32515633513162</c:v>
                </c:pt>
                <c:pt idx="7">
                  <c:v>743.94341775956934</c:v>
                </c:pt>
                <c:pt idx="8">
                  <c:v>855.82665748868158</c:v>
                </c:pt>
                <c:pt idx="9">
                  <c:v>987.57408028541101</c:v>
                </c:pt>
                <c:pt idx="10">
                  <c:v>844.55609005935491</c:v>
                </c:pt>
                <c:pt idx="11">
                  <c:v>840.53550817404846</c:v>
                </c:pt>
                <c:pt idx="12">
                  <c:v>778.83591061927837</c:v>
                </c:pt>
                <c:pt idx="13">
                  <c:v>784.46002783922779</c:v>
                </c:pt>
                <c:pt idx="14">
                  <c:v>920.59695444629563</c:v>
                </c:pt>
                <c:pt idx="15">
                  <c:v>834.44410025010723</c:v>
                </c:pt>
                <c:pt idx="16">
                  <c:v>785.79468726520736</c:v>
                </c:pt>
                <c:pt idx="17">
                  <c:v>1208.5979818122817</c:v>
                </c:pt>
                <c:pt idx="18">
                  <c:v>1281.6855437886632</c:v>
                </c:pt>
                <c:pt idx="19">
                  <c:v>1716.1519319488098</c:v>
                </c:pt>
                <c:pt idx="20">
                  <c:v>3051.7350653466788</c:v>
                </c:pt>
                <c:pt idx="21">
                  <c:v>2414.2270092393737</c:v>
                </c:pt>
                <c:pt idx="22">
                  <c:v>2135.4022043598834</c:v>
                </c:pt>
                <c:pt idx="23">
                  <c:v>2329.6905966014042</c:v>
                </c:pt>
                <c:pt idx="24">
                  <c:v>2329.8378621782272</c:v>
                </c:pt>
                <c:pt idx="25">
                  <c:v>1991.7834570522039</c:v>
                </c:pt>
                <c:pt idx="26">
                  <c:v>2218.6377026810364</c:v>
                </c:pt>
                <c:pt idx="27">
                  <c:v>2322.8232805369121</c:v>
                </c:pt>
                <c:pt idx="28">
                  <c:v>2373.4146573480361</c:v>
                </c:pt>
                <c:pt idx="29">
                  <c:v>2514.0374999999999</c:v>
                </c:pt>
                <c:pt idx="30">
                  <c:v>3021.4802403735935</c:v>
                </c:pt>
                <c:pt idx="31">
                  <c:v>2994.2226489504687</c:v>
                </c:pt>
                <c:pt idx="32">
                  <c:v>2872.3040108946866</c:v>
                </c:pt>
              </c:numCache>
            </c:numRef>
          </c:val>
          <c:smooth val="0"/>
          <c:extLst>
            <c:ext xmlns:c16="http://schemas.microsoft.com/office/drawing/2014/chart" uri="{C3380CC4-5D6E-409C-BE32-E72D297353CC}">
              <c16:uniqueId val="{00000001-ECF6-4626-B336-A032D403EE63}"/>
            </c:ext>
          </c:extLst>
        </c:ser>
        <c:ser>
          <c:idx val="2"/>
          <c:order val="2"/>
          <c:tx>
            <c:strRef>
              <c:f>'Base Metals - Prices'!$K$7</c:f>
              <c:strCache>
                <c:ptCount val="1"/>
                <c:pt idx="0">
                  <c:v>Zinc</c:v>
                </c:pt>
              </c:strCache>
            </c:strRef>
          </c:tx>
          <c:spPr>
            <a:ln w="28575" cap="rnd">
              <a:solidFill>
                <a:srgbClr val="FFCCFF"/>
              </a:solidFill>
              <a:round/>
            </a:ln>
            <a:effectLst/>
          </c:spPr>
          <c:marker>
            <c:symbol val="none"/>
          </c:marker>
          <c:cat>
            <c:numRef>
              <c:extLst>
                <c:ext xmlns:c15="http://schemas.microsoft.com/office/drawing/2012/chart" uri="{02D57815-91ED-43cb-92C2-25804820EDAC}">
                  <c15:fullRef>
                    <c15:sqref>'Base Metals - Prices'!$H$9:$H$42</c15:sqref>
                  </c15:fullRef>
                </c:ext>
              </c:extLst>
              <c:f>'Base Metals - Prices'!$H$10:$H$42</c:f>
              <c:numCache>
                <c:formatCode>General</c:formatCode>
                <c:ptCount val="33"/>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numCache>
            </c:numRef>
          </c:cat>
          <c:val>
            <c:numRef>
              <c:extLst>
                <c:ext xmlns:c15="http://schemas.microsoft.com/office/drawing/2012/chart" uri="{02D57815-91ED-43cb-92C2-25804820EDAC}">
                  <c15:fullRef>
                    <c15:sqref>'Base Metals - Prices'!$K$9:$K$42</c15:sqref>
                  </c15:fullRef>
                </c:ext>
              </c:extLst>
              <c:f>'Base Metals - Prices'!$K$10:$K$42</c:f>
              <c:numCache>
                <c:formatCode>"$"#,##0.00</c:formatCode>
                <c:ptCount val="33"/>
                <c:pt idx="0">
                  <c:v>1139.579898484317</c:v>
                </c:pt>
                <c:pt idx="1">
                  <c:v>1572.2391979538695</c:v>
                </c:pt>
                <c:pt idx="2">
                  <c:v>2173.766731347107</c:v>
                </c:pt>
                <c:pt idx="3">
                  <c:v>1948.2287553650885</c:v>
                </c:pt>
                <c:pt idx="4">
                  <c:v>1432.2653715663976</c:v>
                </c:pt>
                <c:pt idx="5">
                  <c:v>1711.18948465463</c:v>
                </c:pt>
                <c:pt idx="6">
                  <c:v>1415.0408287352329</c:v>
                </c:pt>
                <c:pt idx="7">
                  <c:v>1357.824156508465</c:v>
                </c:pt>
                <c:pt idx="8">
                  <c:v>1395.6675075294304</c:v>
                </c:pt>
                <c:pt idx="9">
                  <c:v>1307.6936460669722</c:v>
                </c:pt>
                <c:pt idx="10">
                  <c:v>1786.5012236955479</c:v>
                </c:pt>
                <c:pt idx="11">
                  <c:v>1627.9267902112024</c:v>
                </c:pt>
                <c:pt idx="12">
                  <c:v>1668.0507290819969</c:v>
                </c:pt>
                <c:pt idx="13">
                  <c:v>1945.1321787546287</c:v>
                </c:pt>
                <c:pt idx="14">
                  <c:v>1712.9788603544469</c:v>
                </c:pt>
                <c:pt idx="15">
                  <c:v>1433.6326801489176</c:v>
                </c:pt>
                <c:pt idx="16">
                  <c:v>1268.5230433301185</c:v>
                </c:pt>
                <c:pt idx="17">
                  <c:v>1425.6711150904737</c:v>
                </c:pt>
                <c:pt idx="18">
                  <c:v>1815.947732845126</c:v>
                </c:pt>
                <c:pt idx="19">
                  <c:v>4333.6731233110368</c:v>
                </c:pt>
                <c:pt idx="20">
                  <c:v>3871.9478649250905</c:v>
                </c:pt>
                <c:pt idx="21">
                  <c:v>2170.9152073059377</c:v>
                </c:pt>
                <c:pt idx="22">
                  <c:v>2058.5754866787497</c:v>
                </c:pt>
                <c:pt idx="23">
                  <c:v>2345.4784790800163</c:v>
                </c:pt>
                <c:pt idx="24">
                  <c:v>2128.5352169830717</c:v>
                </c:pt>
                <c:pt idx="25">
                  <c:v>1881.7681458937525</c:v>
                </c:pt>
                <c:pt idx="26">
                  <c:v>1978.6760161367595</c:v>
                </c:pt>
                <c:pt idx="27">
                  <c:v>2399.2204521888934</c:v>
                </c:pt>
                <c:pt idx="28">
                  <c:v>2560.9185344740381</c:v>
                </c:pt>
                <c:pt idx="29">
                  <c:v>2805.5625</c:v>
                </c:pt>
                <c:pt idx="30">
                  <c:v>3771.270143738519</c:v>
                </c:pt>
                <c:pt idx="31">
                  <c:v>3900.3056748747126</c:v>
                </c:pt>
                <c:pt idx="32">
                  <c:v>3660.49064688523</c:v>
                </c:pt>
              </c:numCache>
            </c:numRef>
          </c:val>
          <c:smooth val="0"/>
          <c:extLst>
            <c:ext xmlns:c16="http://schemas.microsoft.com/office/drawing/2014/chart" uri="{C3380CC4-5D6E-409C-BE32-E72D297353CC}">
              <c16:uniqueId val="{00000002-ECF6-4626-B336-A032D403EE63}"/>
            </c:ext>
          </c:extLst>
        </c:ser>
        <c:dLbls>
          <c:showLegendKey val="0"/>
          <c:showVal val="0"/>
          <c:showCatName val="0"/>
          <c:showSerName val="0"/>
          <c:showPercent val="0"/>
          <c:showBubbleSize val="0"/>
        </c:dLbls>
        <c:smooth val="0"/>
        <c:axId val="130082304"/>
        <c:axId val="130084224"/>
      </c:lineChart>
      <c:catAx>
        <c:axId val="1300823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sz="900" b="1"/>
                  <a:t>Source: LME</a:t>
                </a:r>
              </a:p>
            </c:rich>
          </c:tx>
          <c:layout>
            <c:manualLayout>
              <c:xMode val="edge"/>
              <c:yMode val="edge"/>
              <c:x val="5.1828597251533572E-3"/>
              <c:y val="0.9559050733573624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30084224"/>
        <c:crosses val="autoZero"/>
        <c:auto val="0"/>
        <c:lblAlgn val="ctr"/>
        <c:lblOffset val="100"/>
        <c:noMultiLvlLbl val="1"/>
      </c:catAx>
      <c:valAx>
        <c:axId val="130084224"/>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A$/tonne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prstClr val="black"/>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082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'Q&amp;V 2 Yr Summary'!$AM$1</c:f>
          <c:strCache>
            <c:ptCount val="1"/>
            <c:pt idx="0">
              <c:v>Calendar Year 2019 Mineral and Petroleum Summary</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ofPieChart>
        <c:ofPieType val="pie"/>
        <c:varyColors val="1"/>
        <c:ser>
          <c:idx val="0"/>
          <c:order val="0"/>
          <c:tx>
            <c:v>Total Petroleum</c:v>
          </c:tx>
          <c:dPt>
            <c:idx val="0"/>
            <c:bubble3D val="0"/>
            <c:spPr>
              <a:solidFill>
                <a:schemeClr val="accent5">
                  <a:shade val="42000"/>
                </a:schemeClr>
              </a:solidFill>
              <a:ln w="19050">
                <a:solidFill>
                  <a:schemeClr val="lt1"/>
                </a:solidFill>
              </a:ln>
              <a:effectLst/>
            </c:spPr>
            <c:extLst>
              <c:ext xmlns:c16="http://schemas.microsoft.com/office/drawing/2014/chart" uri="{C3380CC4-5D6E-409C-BE32-E72D297353CC}">
                <c16:uniqueId val="{00000001-EB78-46BA-8844-1F3C1710C663}"/>
              </c:ext>
            </c:extLst>
          </c:dPt>
          <c:dPt>
            <c:idx val="1"/>
            <c:bubble3D val="0"/>
            <c:spPr>
              <a:solidFill>
                <a:schemeClr val="accent5">
                  <a:shade val="55000"/>
                </a:schemeClr>
              </a:solidFill>
              <a:ln w="19050">
                <a:solidFill>
                  <a:schemeClr val="lt1"/>
                </a:solidFill>
              </a:ln>
              <a:effectLst/>
            </c:spPr>
            <c:extLst>
              <c:ext xmlns:c16="http://schemas.microsoft.com/office/drawing/2014/chart" uri="{C3380CC4-5D6E-409C-BE32-E72D297353CC}">
                <c16:uniqueId val="{00000003-EB78-46BA-8844-1F3C1710C663}"/>
              </c:ext>
            </c:extLst>
          </c:dPt>
          <c:dPt>
            <c:idx val="2"/>
            <c:bubble3D val="0"/>
            <c:spPr>
              <a:solidFill>
                <a:schemeClr val="accent5">
                  <a:shade val="68000"/>
                </a:schemeClr>
              </a:solidFill>
              <a:ln w="19050">
                <a:solidFill>
                  <a:schemeClr val="lt1"/>
                </a:solidFill>
              </a:ln>
              <a:effectLst/>
            </c:spPr>
            <c:extLst>
              <c:ext xmlns:c16="http://schemas.microsoft.com/office/drawing/2014/chart" uri="{C3380CC4-5D6E-409C-BE32-E72D297353CC}">
                <c16:uniqueId val="{00000001-194E-42D6-A676-A8410A19E6C0}"/>
              </c:ext>
            </c:extLst>
          </c:dPt>
          <c:dPt>
            <c:idx val="3"/>
            <c:bubble3D val="0"/>
            <c:spPr>
              <a:solidFill>
                <a:schemeClr val="accent5">
                  <a:shade val="80000"/>
                </a:schemeClr>
              </a:solidFill>
              <a:ln w="19050">
                <a:solidFill>
                  <a:schemeClr val="lt1"/>
                </a:solidFill>
              </a:ln>
              <a:effectLst/>
            </c:spPr>
            <c:extLst>
              <c:ext xmlns:c16="http://schemas.microsoft.com/office/drawing/2014/chart" uri="{C3380CC4-5D6E-409C-BE32-E72D297353CC}">
                <c16:uniqueId val="{00000000-194E-42D6-A676-A8410A19E6C0}"/>
              </c:ext>
            </c:extLst>
          </c:dPt>
          <c:dPt>
            <c:idx val="4"/>
            <c:bubble3D val="0"/>
            <c:spPr>
              <a:solidFill>
                <a:schemeClr val="accent5">
                  <a:shade val="93000"/>
                </a:schemeClr>
              </a:solidFill>
              <a:ln w="19050">
                <a:solidFill>
                  <a:schemeClr val="lt1"/>
                </a:solidFill>
              </a:ln>
              <a:effectLst/>
            </c:spPr>
            <c:extLst>
              <c:ext xmlns:c16="http://schemas.microsoft.com/office/drawing/2014/chart" uri="{C3380CC4-5D6E-409C-BE32-E72D297353CC}">
                <c16:uniqueId val="{00000000-5248-457C-8F44-23AD43CA8019}"/>
              </c:ext>
            </c:extLst>
          </c:dPt>
          <c:dPt>
            <c:idx val="5"/>
            <c:bubble3D val="0"/>
            <c:spPr>
              <a:solidFill>
                <a:schemeClr val="accent5">
                  <a:tint val="94000"/>
                </a:schemeClr>
              </a:solidFill>
              <a:ln w="19050">
                <a:solidFill>
                  <a:schemeClr val="lt1"/>
                </a:solidFill>
              </a:ln>
              <a:effectLst/>
            </c:spPr>
            <c:extLst>
              <c:ext xmlns:c16="http://schemas.microsoft.com/office/drawing/2014/chart" uri="{C3380CC4-5D6E-409C-BE32-E72D297353CC}">
                <c16:uniqueId val="{00000001-5248-457C-8F44-23AD43CA8019}"/>
              </c:ext>
            </c:extLst>
          </c:dPt>
          <c:dPt>
            <c:idx val="6"/>
            <c:bubble3D val="0"/>
            <c:spPr>
              <a:solidFill>
                <a:schemeClr val="accent5">
                  <a:tint val="81000"/>
                </a:schemeClr>
              </a:solidFill>
              <a:ln w="19050">
                <a:solidFill>
                  <a:schemeClr val="lt1"/>
                </a:solidFill>
              </a:ln>
              <a:effectLst/>
            </c:spPr>
            <c:extLst>
              <c:ext xmlns:c16="http://schemas.microsoft.com/office/drawing/2014/chart" uri="{C3380CC4-5D6E-409C-BE32-E72D297353CC}">
                <c16:uniqueId val="{00000002-5248-457C-8F44-23AD43CA8019}"/>
              </c:ext>
            </c:extLst>
          </c:dPt>
          <c:dPt>
            <c:idx val="7"/>
            <c:bubble3D val="0"/>
            <c:spPr>
              <a:solidFill>
                <a:schemeClr val="accent5">
                  <a:tint val="69000"/>
                </a:schemeClr>
              </a:solidFill>
              <a:ln w="19050">
                <a:solidFill>
                  <a:schemeClr val="lt1"/>
                </a:solidFill>
              </a:ln>
              <a:effectLst/>
            </c:spPr>
            <c:extLst>
              <c:ext xmlns:c16="http://schemas.microsoft.com/office/drawing/2014/chart" uri="{C3380CC4-5D6E-409C-BE32-E72D297353CC}">
                <c16:uniqueId val="{00000003-5248-457C-8F44-23AD43CA8019}"/>
              </c:ext>
            </c:extLst>
          </c:dPt>
          <c:dPt>
            <c:idx val="8"/>
            <c:bubble3D val="0"/>
            <c:spPr>
              <a:solidFill>
                <a:schemeClr val="accent5">
                  <a:tint val="56000"/>
                </a:schemeClr>
              </a:solidFill>
              <a:ln w="19050">
                <a:solidFill>
                  <a:schemeClr val="lt1"/>
                </a:solidFill>
              </a:ln>
              <a:effectLst/>
            </c:spPr>
            <c:extLst>
              <c:ext xmlns:c16="http://schemas.microsoft.com/office/drawing/2014/chart" uri="{C3380CC4-5D6E-409C-BE32-E72D297353CC}">
                <c16:uniqueId val="{00000004-5248-457C-8F44-23AD43CA8019}"/>
              </c:ext>
            </c:extLst>
          </c:dPt>
          <c:dPt>
            <c:idx val="9"/>
            <c:bubble3D val="0"/>
            <c:spPr>
              <a:solidFill>
                <a:schemeClr val="accent5">
                  <a:tint val="43000"/>
                </a:schemeClr>
              </a:solidFill>
              <a:ln w="19050">
                <a:solidFill>
                  <a:schemeClr val="lt1"/>
                </a:solidFill>
              </a:ln>
              <a:effectLst/>
            </c:spPr>
            <c:extLst>
              <c:ext xmlns:c16="http://schemas.microsoft.com/office/drawing/2014/chart" uri="{C3380CC4-5D6E-409C-BE32-E72D297353CC}">
                <c16:uniqueId val="{00000013-EB78-46BA-8844-1F3C1710C663}"/>
              </c:ext>
            </c:extLst>
          </c:dPt>
          <c:dPt>
            <c:idx val="10"/>
            <c:bubble3D val="0"/>
            <c:spPr>
              <a:solidFill>
                <a:schemeClr val="accent5">
                  <a:tint val="30000"/>
                </a:schemeClr>
              </a:solidFill>
              <a:ln w="19050">
                <a:solidFill>
                  <a:schemeClr val="lt1"/>
                </a:solidFill>
              </a:ln>
              <a:effectLst/>
            </c:spPr>
            <c:extLst>
              <c:ext xmlns:c16="http://schemas.microsoft.com/office/drawing/2014/chart" uri="{C3380CC4-5D6E-409C-BE32-E72D297353CC}">
                <c16:uniqueId val="{00000005-5248-457C-8F44-23AD43CA8019}"/>
              </c:ext>
            </c:extLst>
          </c:dPt>
          <c:dLbls>
            <c:dLbl>
              <c:idx val="0"/>
              <c:layout>
                <c:manualLayout>
                  <c:x val="-3.2957710586146395E-3"/>
                  <c:y val="3.664410012856091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78-46BA-8844-1F3C1710C663}"/>
                </c:ext>
              </c:extLst>
            </c:dLbl>
            <c:dLbl>
              <c:idx val="1"/>
              <c:layout>
                <c:manualLayout>
                  <c:x val="-1.1535198705151298E-2"/>
                  <c:y val="7.099794399908661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78-46BA-8844-1F3C1710C663}"/>
                </c:ext>
              </c:extLst>
            </c:dLbl>
            <c:dLbl>
              <c:idx val="2"/>
              <c:layout>
                <c:manualLayout>
                  <c:x val="-1.6459132568627945E-2"/>
                  <c:y val="2.294512167301957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4E-42D6-A676-A8410A19E6C0}"/>
                </c:ext>
              </c:extLst>
            </c:dLbl>
            <c:dLbl>
              <c:idx val="3"/>
              <c:layout>
                <c:manualLayout>
                  <c:x val="0.13331899975683956"/>
                  <c:y val="9.960486767819050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4E-42D6-A676-A8410A19E6C0}"/>
                </c:ext>
              </c:extLst>
            </c:dLbl>
            <c:dLbl>
              <c:idx val="4"/>
              <c:layout>
                <c:manualLayout>
                  <c:x val="6.9211192230907492E-2"/>
                  <c:y val="-0.10146069658775266"/>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48-457C-8F44-23AD43CA8019}"/>
                </c:ext>
              </c:extLst>
            </c:dLbl>
            <c:dLbl>
              <c:idx val="5"/>
              <c:layout>
                <c:manualLayout>
                  <c:x val="2.2867697093417673E-3"/>
                  <c:y val="5.362265545683794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48-457C-8F44-23AD43CA8019}"/>
                </c:ext>
              </c:extLst>
            </c:dLbl>
            <c:dLbl>
              <c:idx val="6"/>
              <c:layout>
                <c:manualLayout>
                  <c:x val="-2.3077533922437273E-2"/>
                  <c:y val="9.367815335375569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48-457C-8F44-23AD43CA8019}"/>
                </c:ext>
              </c:extLst>
            </c:dLbl>
            <c:dLbl>
              <c:idx val="7"/>
              <c:layout>
                <c:manualLayout>
                  <c:x val="-1.9785395997273074E-2"/>
                  <c:y val="7.705179459611330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48-457C-8F44-23AD43CA8019}"/>
                </c:ext>
              </c:extLst>
            </c:dLbl>
            <c:dLbl>
              <c:idx val="8"/>
              <c:layout>
                <c:manualLayout>
                  <c:x val="-1.3181267667733337E-2"/>
                  <c:y val="5.461630002429114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48-457C-8F44-23AD43CA8019}"/>
                </c:ext>
              </c:extLst>
            </c:dLbl>
            <c:dLbl>
              <c:idx val="9"/>
              <c:layout>
                <c:manualLayout>
                  <c:x val="9.8873131758439065E-2"/>
                  <c:y val="-2.061230632231551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B78-46BA-8844-1F3C1710C663}"/>
                </c:ext>
              </c:extLst>
            </c:dLbl>
            <c:dLbl>
              <c:idx val="10"/>
              <c:layout>
                <c:manualLayout>
                  <c:x val="-0.1794238683127572"/>
                  <c:y val="3.6679906990235849E-4"/>
                </c:manualLayout>
              </c:layout>
              <c:dLblPos val="bestFi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5248-457C-8F44-23AD43CA8019}"/>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'Q&amp;V 2 Yr Summary'!$N$13:$N$22</c:f>
              <c:strCache>
                <c:ptCount val="10"/>
                <c:pt idx="0">
                  <c:v>Other Minerals</c:v>
                </c:pt>
                <c:pt idx="1">
                  <c:v>Alumina and Bauxite</c:v>
                </c:pt>
                <c:pt idx="2">
                  <c:v>Gold</c:v>
                </c:pt>
                <c:pt idx="3">
                  <c:v>Iron ore</c:v>
                </c:pt>
                <c:pt idx="4">
                  <c:v>Nickel</c:v>
                </c:pt>
                <c:pt idx="5">
                  <c:v>Condensate</c:v>
                </c:pt>
                <c:pt idx="6">
                  <c:v>Natural Gas</c:v>
                </c:pt>
                <c:pt idx="7">
                  <c:v>Crude Oil</c:v>
                </c:pt>
                <c:pt idx="8">
                  <c:v>LPG - Butane and Propane</c:v>
                </c:pt>
                <c:pt idx="9">
                  <c:v>LNG</c:v>
                </c:pt>
              </c:strCache>
            </c:strRef>
          </c:cat>
          <c:val>
            <c:numRef>
              <c:f>'Q&amp;V 2 Yr Summary'!$R$13:$R$22</c:f>
              <c:numCache>
                <c:formatCode>0.0%</c:formatCode>
                <c:ptCount val="10"/>
                <c:pt idx="0">
                  <c:v>3.540361552939171E-2</c:v>
                </c:pt>
                <c:pt idx="1">
                  <c:v>4.3974546039909711E-2</c:v>
                </c:pt>
                <c:pt idx="2">
                  <c:v>8.2388339436839458E-2</c:v>
                </c:pt>
                <c:pt idx="3">
                  <c:v>0.58367308069216395</c:v>
                </c:pt>
                <c:pt idx="4">
                  <c:v>1.8590981705651214E-2</c:v>
                </c:pt>
                <c:pt idx="5">
                  <c:v>4.4257771272201332E-2</c:v>
                </c:pt>
                <c:pt idx="6">
                  <c:v>1.0146638947014494E-2</c:v>
                </c:pt>
                <c:pt idx="7">
                  <c:v>1.622521615638128E-2</c:v>
                </c:pt>
                <c:pt idx="8">
                  <c:v>1.6387567741357001E-3</c:v>
                </c:pt>
                <c:pt idx="9">
                  <c:v>0.1637010534463112</c:v>
                </c:pt>
              </c:numCache>
            </c:numRef>
          </c:val>
          <c:extLst>
            <c:ext xmlns:c16="http://schemas.microsoft.com/office/drawing/2014/chart" uri="{C3380CC4-5D6E-409C-BE32-E72D297353CC}">
              <c16:uniqueId val="{00000006-5248-457C-8F44-23AD43CA8019}"/>
            </c:ext>
          </c:extLst>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Base metals</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v>Copper</c:v>
          </c:tx>
          <c:spPr>
            <a:ln>
              <a:solidFill>
                <a:srgbClr val="CC0099"/>
              </a:solidFill>
            </a:ln>
          </c:spPr>
          <c:marker>
            <c:symbol val="none"/>
          </c:marker>
          <c:cat>
            <c:numRef>
              <c:f>'Data - Monthly Commodity Prices'!$AY$9:$AY$68</c:f>
              <c:numCache>
                <c:formatCode>General</c:formatCode>
                <c:ptCount val="60"/>
                <c:pt idx="2" formatCode="mmm\-yy">
                  <c:v>42064</c:v>
                </c:pt>
                <c:pt idx="5" formatCode="mmm\-yy">
                  <c:v>42156</c:v>
                </c:pt>
                <c:pt idx="8" formatCode="mmm\-yy">
                  <c:v>42248</c:v>
                </c:pt>
                <c:pt idx="11" formatCode="mmm\-yy">
                  <c:v>42339</c:v>
                </c:pt>
                <c:pt idx="14" formatCode="mmm\-yy">
                  <c:v>42430</c:v>
                </c:pt>
                <c:pt idx="17" formatCode="mmm\-yy">
                  <c:v>42522</c:v>
                </c:pt>
                <c:pt idx="20" formatCode="mmm\-yy">
                  <c:v>42614</c:v>
                </c:pt>
                <c:pt idx="23" formatCode="mmm\-yy">
                  <c:v>42705</c:v>
                </c:pt>
                <c:pt idx="26" formatCode="mmm\-yy">
                  <c:v>42795</c:v>
                </c:pt>
                <c:pt idx="29" formatCode="mmm\-yy">
                  <c:v>42887</c:v>
                </c:pt>
                <c:pt idx="32" formatCode="mmm\-yy">
                  <c:v>42979</c:v>
                </c:pt>
                <c:pt idx="35" formatCode="mmm\-yy">
                  <c:v>43070</c:v>
                </c:pt>
                <c:pt idx="38" formatCode="mmm\-yy">
                  <c:v>43160</c:v>
                </c:pt>
                <c:pt idx="41" formatCode="mmm\-yy">
                  <c:v>43252</c:v>
                </c:pt>
                <c:pt idx="44" formatCode="mmm\-yy">
                  <c:v>43344</c:v>
                </c:pt>
                <c:pt idx="47" formatCode="mmm\-yy">
                  <c:v>43435</c:v>
                </c:pt>
                <c:pt idx="50" formatCode="mmm\-yy">
                  <c:v>43525</c:v>
                </c:pt>
                <c:pt idx="53" formatCode="mmm\-yy">
                  <c:v>43617</c:v>
                </c:pt>
                <c:pt idx="56" formatCode="mmm\-yy">
                  <c:v>43709</c:v>
                </c:pt>
                <c:pt idx="59" formatCode="mmm\-yy">
                  <c:v>43800</c:v>
                </c:pt>
              </c:numCache>
            </c:numRef>
          </c:cat>
          <c:val>
            <c:numRef>
              <c:f>'Base Metals - Prices'!$B$9:$B$68</c:f>
              <c:numCache>
                <c:formatCode>"$"#,##0.00</c:formatCode>
                <c:ptCount val="60"/>
                <c:pt idx="0">
                  <c:v>7215.67</c:v>
                </c:pt>
                <c:pt idx="1">
                  <c:v>7316.92</c:v>
                </c:pt>
                <c:pt idx="2">
                  <c:v>7666.03</c:v>
                </c:pt>
                <c:pt idx="3">
                  <c:v>7793.76</c:v>
                </c:pt>
                <c:pt idx="4">
                  <c:v>7989.61</c:v>
                </c:pt>
                <c:pt idx="5">
                  <c:v>7553.56</c:v>
                </c:pt>
                <c:pt idx="6">
                  <c:v>7365.25</c:v>
                </c:pt>
                <c:pt idx="7">
                  <c:v>6974.95</c:v>
                </c:pt>
                <c:pt idx="8">
                  <c:v>7382.13</c:v>
                </c:pt>
                <c:pt idx="9">
                  <c:v>7247.59</c:v>
                </c:pt>
                <c:pt idx="10">
                  <c:v>6724.81</c:v>
                </c:pt>
                <c:pt idx="11">
                  <c:v>6383.07</c:v>
                </c:pt>
                <c:pt idx="12">
                  <c:v>6361.72</c:v>
                </c:pt>
                <c:pt idx="13">
                  <c:v>6436.24</c:v>
                </c:pt>
                <c:pt idx="14">
                  <c:v>6587.95</c:v>
                </c:pt>
                <c:pt idx="15">
                  <c:v>6330.57</c:v>
                </c:pt>
                <c:pt idx="16">
                  <c:v>6430.42</c:v>
                </c:pt>
                <c:pt idx="17">
                  <c:v>6251.7</c:v>
                </c:pt>
                <c:pt idx="18">
                  <c:v>6448.59</c:v>
                </c:pt>
                <c:pt idx="19">
                  <c:v>6241.91</c:v>
                </c:pt>
                <c:pt idx="20">
                  <c:v>6200.19</c:v>
                </c:pt>
                <c:pt idx="21">
                  <c:v>6213.42</c:v>
                </c:pt>
                <c:pt idx="22">
                  <c:v>7229.71</c:v>
                </c:pt>
                <c:pt idx="23">
                  <c:v>7724.95</c:v>
                </c:pt>
                <c:pt idx="24">
                  <c:v>7691.95</c:v>
                </c:pt>
                <c:pt idx="25">
                  <c:v>7750.52</c:v>
                </c:pt>
                <c:pt idx="26">
                  <c:v>7635.78</c:v>
                </c:pt>
                <c:pt idx="27">
                  <c:v>7561.6</c:v>
                </c:pt>
                <c:pt idx="28">
                  <c:v>7519.5</c:v>
                </c:pt>
                <c:pt idx="29">
                  <c:v>7538.9911375661368</c:v>
                </c:pt>
                <c:pt idx="30">
                  <c:v>7659.955156950673</c:v>
                </c:pt>
                <c:pt idx="31">
                  <c:v>8183.6556571271076</c:v>
                </c:pt>
                <c:pt idx="32">
                  <c:v>8263.0739299610905</c:v>
                </c:pt>
                <c:pt idx="33">
                  <c:v>8729.1465262617185</c:v>
                </c:pt>
                <c:pt idx="34">
                  <c:v>8953.9134199134205</c:v>
                </c:pt>
                <c:pt idx="35">
                  <c:v>8890.4024836601311</c:v>
                </c:pt>
                <c:pt idx="36">
                  <c:v>8898.1978132461991</c:v>
                </c:pt>
                <c:pt idx="37">
                  <c:v>8899.0849008642599</c:v>
                </c:pt>
                <c:pt idx="38">
                  <c:v>8758.5513597113022</c:v>
                </c:pt>
                <c:pt idx="39">
                  <c:v>8900.8850709358321</c:v>
                </c:pt>
                <c:pt idx="40">
                  <c:v>9061.8516269419561</c:v>
                </c:pt>
                <c:pt idx="41">
                  <c:v>9284.1886454221258</c:v>
                </c:pt>
                <c:pt idx="42">
                  <c:v>8437.7877355595101</c:v>
                </c:pt>
                <c:pt idx="43">
                  <c:v>8244.2669942669945</c:v>
                </c:pt>
                <c:pt idx="44">
                  <c:v>8356.5033314825087</c:v>
                </c:pt>
                <c:pt idx="45">
                  <c:v>8752.3092086736124</c:v>
                </c:pt>
                <c:pt idx="46">
                  <c:v>8543.2473444613042</c:v>
                </c:pt>
                <c:pt idx="47">
                  <c:v>8513.8460463816718</c:v>
                </c:pt>
                <c:pt idx="48">
                  <c:v>8295.3712767445122</c:v>
                </c:pt>
                <c:pt idx="49">
                  <c:v>8795.460913421126</c:v>
                </c:pt>
                <c:pt idx="50">
                  <c:v>9107.7509529860235</c:v>
                </c:pt>
                <c:pt idx="51">
                  <c:v>9062.2890888638922</c:v>
                </c:pt>
                <c:pt idx="52">
                  <c:v>8681.3220046082952</c:v>
                </c:pt>
                <c:pt idx="53">
                  <c:v>8446.2147380541173</c:v>
                </c:pt>
                <c:pt idx="54">
                  <c:v>8511.0330992978943</c:v>
                </c:pt>
                <c:pt idx="55">
                  <c:v>8435.0229052756022</c:v>
                </c:pt>
                <c:pt idx="56">
                  <c:v>8365.5794991263829</c:v>
                </c:pt>
                <c:pt idx="57">
                  <c:v>8447.9111503383356</c:v>
                </c:pt>
                <c:pt idx="58">
                  <c:v>8584.3685906826831</c:v>
                </c:pt>
                <c:pt idx="59">
                  <c:v>8800.1596748439551</c:v>
                </c:pt>
              </c:numCache>
            </c:numRef>
          </c:val>
          <c:smooth val="0"/>
          <c:extLst>
            <c:ext xmlns:c16="http://schemas.microsoft.com/office/drawing/2014/chart" uri="{C3380CC4-5D6E-409C-BE32-E72D297353CC}">
              <c16:uniqueId val="{00000000-E1EF-446E-A42D-D6B31BCDF914}"/>
            </c:ext>
          </c:extLst>
        </c:ser>
        <c:ser>
          <c:idx val="1"/>
          <c:order val="1"/>
          <c:tx>
            <c:v>Lead</c:v>
          </c:tx>
          <c:spPr>
            <a:ln>
              <a:solidFill>
                <a:srgbClr val="FF66CC"/>
              </a:solidFill>
            </a:ln>
          </c:spPr>
          <c:marker>
            <c:symbol val="none"/>
          </c:marker>
          <c:cat>
            <c:numRef>
              <c:f>'Data - Monthly Commodity Prices'!$AY$9:$AY$68</c:f>
              <c:numCache>
                <c:formatCode>General</c:formatCode>
                <c:ptCount val="60"/>
                <c:pt idx="2" formatCode="mmm\-yy">
                  <c:v>42064</c:v>
                </c:pt>
                <c:pt idx="5" formatCode="mmm\-yy">
                  <c:v>42156</c:v>
                </c:pt>
                <c:pt idx="8" formatCode="mmm\-yy">
                  <c:v>42248</c:v>
                </c:pt>
                <c:pt idx="11" formatCode="mmm\-yy">
                  <c:v>42339</c:v>
                </c:pt>
                <c:pt idx="14" formatCode="mmm\-yy">
                  <c:v>42430</c:v>
                </c:pt>
                <c:pt idx="17" formatCode="mmm\-yy">
                  <c:v>42522</c:v>
                </c:pt>
                <c:pt idx="20" formatCode="mmm\-yy">
                  <c:v>42614</c:v>
                </c:pt>
                <c:pt idx="23" formatCode="mmm\-yy">
                  <c:v>42705</c:v>
                </c:pt>
                <c:pt idx="26" formatCode="mmm\-yy">
                  <c:v>42795</c:v>
                </c:pt>
                <c:pt idx="29" formatCode="mmm\-yy">
                  <c:v>42887</c:v>
                </c:pt>
                <c:pt idx="32" formatCode="mmm\-yy">
                  <c:v>42979</c:v>
                </c:pt>
                <c:pt idx="35" formatCode="mmm\-yy">
                  <c:v>43070</c:v>
                </c:pt>
                <c:pt idx="38" formatCode="mmm\-yy">
                  <c:v>43160</c:v>
                </c:pt>
                <c:pt idx="41" formatCode="mmm\-yy">
                  <c:v>43252</c:v>
                </c:pt>
                <c:pt idx="44" formatCode="mmm\-yy">
                  <c:v>43344</c:v>
                </c:pt>
                <c:pt idx="47" formatCode="mmm\-yy">
                  <c:v>43435</c:v>
                </c:pt>
                <c:pt idx="50" formatCode="mmm\-yy">
                  <c:v>43525</c:v>
                </c:pt>
                <c:pt idx="53" formatCode="mmm\-yy">
                  <c:v>43617</c:v>
                </c:pt>
                <c:pt idx="56" formatCode="mmm\-yy">
                  <c:v>43709</c:v>
                </c:pt>
                <c:pt idx="59" formatCode="mmm\-yy">
                  <c:v>43800</c:v>
                </c:pt>
              </c:numCache>
            </c:numRef>
          </c:cat>
          <c:val>
            <c:numRef>
              <c:f>'Base Metals - Prices'!$C$9:$C$68</c:f>
              <c:numCache>
                <c:formatCode>"$"#,##0.00</c:formatCode>
                <c:ptCount val="60"/>
                <c:pt idx="0">
                  <c:v>2269.4375930521092</c:v>
                </c:pt>
                <c:pt idx="1">
                  <c:v>2315.7641473116901</c:v>
                </c:pt>
                <c:pt idx="2">
                  <c:v>2309.1556274256145</c:v>
                </c:pt>
                <c:pt idx="3">
                  <c:v>2585.3910795087268</c:v>
                </c:pt>
                <c:pt idx="4">
                  <c:v>2541.012046664976</c:v>
                </c:pt>
                <c:pt idx="5">
                  <c:v>2377.7559238637837</c:v>
                </c:pt>
                <c:pt idx="6">
                  <c:v>2378.6581185045216</c:v>
                </c:pt>
                <c:pt idx="7">
                  <c:v>2320.3125</c:v>
                </c:pt>
                <c:pt idx="8">
                  <c:v>2384.1892274982279</c:v>
                </c:pt>
                <c:pt idx="9">
                  <c:v>2393.2392450735497</c:v>
                </c:pt>
                <c:pt idx="10">
                  <c:v>2260.1065734265735</c:v>
                </c:pt>
                <c:pt idx="11">
                  <c:v>2345.9538058466628</c:v>
                </c:pt>
                <c:pt idx="12">
                  <c:v>2347.75</c:v>
                </c:pt>
                <c:pt idx="13">
                  <c:v>2481.19</c:v>
                </c:pt>
                <c:pt idx="14">
                  <c:v>2407.4899999999998</c:v>
                </c:pt>
                <c:pt idx="15">
                  <c:v>2255.86</c:v>
                </c:pt>
                <c:pt idx="16">
                  <c:v>2341.4699999999998</c:v>
                </c:pt>
                <c:pt idx="17">
                  <c:v>2313.9</c:v>
                </c:pt>
                <c:pt idx="18">
                  <c:v>2436.7600000000002</c:v>
                </c:pt>
                <c:pt idx="19">
                  <c:v>2412.29</c:v>
                </c:pt>
                <c:pt idx="20">
                  <c:v>2557.9899999999998</c:v>
                </c:pt>
                <c:pt idx="21">
                  <c:v>2678.48</c:v>
                </c:pt>
                <c:pt idx="22">
                  <c:v>2893.93</c:v>
                </c:pt>
                <c:pt idx="23">
                  <c:v>3041.34</c:v>
                </c:pt>
                <c:pt idx="24">
                  <c:v>2998.65</c:v>
                </c:pt>
                <c:pt idx="25">
                  <c:v>3028.6</c:v>
                </c:pt>
                <c:pt idx="26">
                  <c:v>2987.02</c:v>
                </c:pt>
                <c:pt idx="27">
                  <c:v>2961.25</c:v>
                </c:pt>
                <c:pt idx="28">
                  <c:v>2866.68</c:v>
                </c:pt>
                <c:pt idx="29">
                  <c:v>2819.0235449735446</c:v>
                </c:pt>
                <c:pt idx="30">
                  <c:v>2903.7860345932099</c:v>
                </c:pt>
                <c:pt idx="31">
                  <c:v>2977.9158436308517</c:v>
                </c:pt>
                <c:pt idx="32">
                  <c:v>2983.9161541358103</c:v>
                </c:pt>
                <c:pt idx="33">
                  <c:v>3218.5636316938489</c:v>
                </c:pt>
                <c:pt idx="34">
                  <c:v>3232.8598976780795</c:v>
                </c:pt>
                <c:pt idx="35">
                  <c:v>3279.4977777777776</c:v>
                </c:pt>
                <c:pt idx="36">
                  <c:v>3254.7103179590299</c:v>
                </c:pt>
                <c:pt idx="37">
                  <c:v>3280.1537874936448</c:v>
                </c:pt>
                <c:pt idx="38">
                  <c:v>3089.3156334579198</c:v>
                </c:pt>
                <c:pt idx="39">
                  <c:v>3068.3001431732396</c:v>
                </c:pt>
                <c:pt idx="40">
                  <c:v>3140.1181620363341</c:v>
                </c:pt>
                <c:pt idx="41">
                  <c:v>3258.2273331172014</c:v>
                </c:pt>
                <c:pt idx="42">
                  <c:v>2988.3985022405009</c:v>
                </c:pt>
                <c:pt idx="43">
                  <c:v>2818.5416821780459</c:v>
                </c:pt>
                <c:pt idx="44">
                  <c:v>2815.415047196002</c:v>
                </c:pt>
                <c:pt idx="45">
                  <c:v>2795.1985356237678</c:v>
                </c:pt>
                <c:pt idx="46">
                  <c:v>2676.4506703118927</c:v>
                </c:pt>
                <c:pt idx="47">
                  <c:v>2745.84197261805</c:v>
                </c:pt>
                <c:pt idx="48">
                  <c:v>2788.6449447629707</c:v>
                </c:pt>
                <c:pt idx="49">
                  <c:v>2888.8764359764641</c:v>
                </c:pt>
                <c:pt idx="50">
                  <c:v>2900.7059155724978</c:v>
                </c:pt>
                <c:pt idx="51">
                  <c:v>2740.2277840269962</c:v>
                </c:pt>
                <c:pt idx="52">
                  <c:v>2616.9498847926266</c:v>
                </c:pt>
                <c:pt idx="53">
                  <c:v>2722.3661485319517</c:v>
                </c:pt>
                <c:pt idx="54">
                  <c:v>2828.5141137698811</c:v>
                </c:pt>
                <c:pt idx="55">
                  <c:v>3019.3438746859761</c:v>
                </c:pt>
                <c:pt idx="56">
                  <c:v>3015.2300524170068</c:v>
                </c:pt>
                <c:pt idx="57">
                  <c:v>3213.1509267431602</c:v>
                </c:pt>
                <c:pt idx="58">
                  <c:v>2976.7067096396136</c:v>
                </c:pt>
                <c:pt idx="59">
                  <c:v>2756.9313398170998</c:v>
                </c:pt>
              </c:numCache>
            </c:numRef>
          </c:val>
          <c:smooth val="0"/>
          <c:extLst>
            <c:ext xmlns:c16="http://schemas.microsoft.com/office/drawing/2014/chart" uri="{C3380CC4-5D6E-409C-BE32-E72D297353CC}">
              <c16:uniqueId val="{00000001-E1EF-446E-A42D-D6B31BCDF914}"/>
            </c:ext>
          </c:extLst>
        </c:ser>
        <c:ser>
          <c:idx val="2"/>
          <c:order val="2"/>
          <c:tx>
            <c:v>Zinc</c:v>
          </c:tx>
          <c:spPr>
            <a:ln>
              <a:solidFill>
                <a:srgbClr val="F6B4E8"/>
              </a:solidFill>
            </a:ln>
          </c:spPr>
          <c:marker>
            <c:symbol val="none"/>
          </c:marker>
          <c:cat>
            <c:numRef>
              <c:f>'Data - Monthly Commodity Prices'!$AY$9:$AY$68</c:f>
              <c:numCache>
                <c:formatCode>General</c:formatCode>
                <c:ptCount val="60"/>
                <c:pt idx="2" formatCode="mmm\-yy">
                  <c:v>42064</c:v>
                </c:pt>
                <c:pt idx="5" formatCode="mmm\-yy">
                  <c:v>42156</c:v>
                </c:pt>
                <c:pt idx="8" formatCode="mmm\-yy">
                  <c:v>42248</c:v>
                </c:pt>
                <c:pt idx="11" formatCode="mmm\-yy">
                  <c:v>42339</c:v>
                </c:pt>
                <c:pt idx="14" formatCode="mmm\-yy">
                  <c:v>42430</c:v>
                </c:pt>
                <c:pt idx="17" formatCode="mmm\-yy">
                  <c:v>42522</c:v>
                </c:pt>
                <c:pt idx="20" formatCode="mmm\-yy">
                  <c:v>42614</c:v>
                </c:pt>
                <c:pt idx="23" formatCode="mmm\-yy">
                  <c:v>42705</c:v>
                </c:pt>
                <c:pt idx="26" formatCode="mmm\-yy">
                  <c:v>42795</c:v>
                </c:pt>
                <c:pt idx="29" formatCode="mmm\-yy">
                  <c:v>42887</c:v>
                </c:pt>
                <c:pt idx="32" formatCode="mmm\-yy">
                  <c:v>42979</c:v>
                </c:pt>
                <c:pt idx="35" formatCode="mmm\-yy">
                  <c:v>43070</c:v>
                </c:pt>
                <c:pt idx="38" formatCode="mmm\-yy">
                  <c:v>43160</c:v>
                </c:pt>
                <c:pt idx="41" formatCode="mmm\-yy">
                  <c:v>43252</c:v>
                </c:pt>
                <c:pt idx="44" formatCode="mmm\-yy">
                  <c:v>43344</c:v>
                </c:pt>
                <c:pt idx="47" formatCode="mmm\-yy">
                  <c:v>43435</c:v>
                </c:pt>
                <c:pt idx="50" formatCode="mmm\-yy">
                  <c:v>43525</c:v>
                </c:pt>
                <c:pt idx="53" formatCode="mmm\-yy">
                  <c:v>43617</c:v>
                </c:pt>
                <c:pt idx="56" formatCode="mmm\-yy">
                  <c:v>43709</c:v>
                </c:pt>
                <c:pt idx="59" formatCode="mmm\-yy">
                  <c:v>43800</c:v>
                </c:pt>
              </c:numCache>
            </c:numRef>
          </c:cat>
          <c:val>
            <c:numRef>
              <c:f>'Base Metals - Prices'!$D$9:$D$68</c:f>
              <c:numCache>
                <c:formatCode>"$"#,##0.00</c:formatCode>
                <c:ptCount val="60"/>
                <c:pt idx="0">
                  <c:v>2618.6636476426797</c:v>
                </c:pt>
                <c:pt idx="1">
                  <c:v>2698.7360451687414</c:v>
                </c:pt>
                <c:pt idx="2">
                  <c:v>2624.8971539456661</c:v>
                </c:pt>
                <c:pt idx="3">
                  <c:v>2853.1351001939238</c:v>
                </c:pt>
                <c:pt idx="4">
                  <c:v>2903.4131372051738</c:v>
                </c:pt>
                <c:pt idx="5">
                  <c:v>2702.9062540463547</c:v>
                </c:pt>
                <c:pt idx="6">
                  <c:v>2702.2070454852205</c:v>
                </c:pt>
                <c:pt idx="7">
                  <c:v>2480.7086074561403</c:v>
                </c:pt>
                <c:pt idx="8">
                  <c:v>2436.4409638554216</c:v>
                </c:pt>
                <c:pt idx="9">
                  <c:v>2398.0648071051901</c:v>
                </c:pt>
                <c:pt idx="10">
                  <c:v>2212.9869930069931</c:v>
                </c:pt>
                <c:pt idx="11">
                  <c:v>2098.8626585769443</c:v>
                </c:pt>
                <c:pt idx="12">
                  <c:v>2155.67</c:v>
                </c:pt>
                <c:pt idx="13">
                  <c:v>2396.13</c:v>
                </c:pt>
                <c:pt idx="14">
                  <c:v>2402.9899999999998</c:v>
                </c:pt>
                <c:pt idx="15">
                  <c:v>2416.19</c:v>
                </c:pt>
                <c:pt idx="16">
                  <c:v>2555.59</c:v>
                </c:pt>
                <c:pt idx="17">
                  <c:v>2731.2</c:v>
                </c:pt>
                <c:pt idx="18">
                  <c:v>2901.51</c:v>
                </c:pt>
                <c:pt idx="19">
                  <c:v>2994.59</c:v>
                </c:pt>
                <c:pt idx="20">
                  <c:v>3020.02</c:v>
                </c:pt>
                <c:pt idx="21">
                  <c:v>3038.53</c:v>
                </c:pt>
                <c:pt idx="22">
                  <c:v>3411.93</c:v>
                </c:pt>
                <c:pt idx="23">
                  <c:v>3642.4</c:v>
                </c:pt>
                <c:pt idx="24">
                  <c:v>3637.22</c:v>
                </c:pt>
                <c:pt idx="25">
                  <c:v>3715.66</c:v>
                </c:pt>
                <c:pt idx="26">
                  <c:v>3648.66</c:v>
                </c:pt>
                <c:pt idx="27">
                  <c:v>3494.4</c:v>
                </c:pt>
                <c:pt idx="28">
                  <c:v>3483.38</c:v>
                </c:pt>
                <c:pt idx="29">
                  <c:v>3402.0261904761901</c:v>
                </c:pt>
                <c:pt idx="30">
                  <c:v>3568.3472133247915</c:v>
                </c:pt>
                <c:pt idx="31">
                  <c:v>3766.8530938490512</c:v>
                </c:pt>
                <c:pt idx="32">
                  <c:v>3915.8855278021842</c:v>
                </c:pt>
                <c:pt idx="33">
                  <c:v>4204.3848722229359</c:v>
                </c:pt>
                <c:pt idx="34">
                  <c:v>4245.2565918929558</c:v>
                </c:pt>
                <c:pt idx="35">
                  <c:v>4173.1682352941179</c:v>
                </c:pt>
                <c:pt idx="36">
                  <c:v>4332.2923212265932</c:v>
                </c:pt>
                <c:pt idx="37">
                  <c:v>4498.9514489069643</c:v>
                </c:pt>
                <c:pt idx="38">
                  <c:v>4227.9675215878333</c:v>
                </c:pt>
                <c:pt idx="39">
                  <c:v>4153.2279057659771</c:v>
                </c:pt>
                <c:pt idx="40">
                  <c:v>4061.9781387581597</c:v>
                </c:pt>
                <c:pt idx="41">
                  <c:v>4127.3019687116603</c:v>
                </c:pt>
                <c:pt idx="42">
                  <c:v>3590.4487140138722</c:v>
                </c:pt>
                <c:pt idx="43">
                  <c:v>3426.8669495942227</c:v>
                </c:pt>
                <c:pt idx="44">
                  <c:v>3377.5680177679064</c:v>
                </c:pt>
                <c:pt idx="45">
                  <c:v>3762.1374260771609</c:v>
                </c:pt>
                <c:pt idx="46">
                  <c:v>3576.8569959492847</c:v>
                </c:pt>
                <c:pt idx="47">
                  <c:v>3668.0706901369099</c:v>
                </c:pt>
                <c:pt idx="48">
                  <c:v>3578.7721996923506</c:v>
                </c:pt>
                <c:pt idx="49">
                  <c:v>3786.5648641075932</c:v>
                </c:pt>
                <c:pt idx="50">
                  <c:v>4025.6953268389098</c:v>
                </c:pt>
                <c:pt idx="51">
                  <c:v>4132.100674915635</c:v>
                </c:pt>
                <c:pt idx="52">
                  <c:v>3956.998847926267</c:v>
                </c:pt>
                <c:pt idx="53">
                  <c:v>3745.149683362119</c:v>
                </c:pt>
                <c:pt idx="54">
                  <c:v>3498.3235420547358</c:v>
                </c:pt>
                <c:pt idx="55">
                  <c:v>3362.1102408748338</c:v>
                </c:pt>
                <c:pt idx="56">
                  <c:v>3377.460687245195</c:v>
                </c:pt>
                <c:pt idx="57">
                  <c:v>3597.513974698441</c:v>
                </c:pt>
                <c:pt idx="58">
                  <c:v>3564.2396718429532</c:v>
                </c:pt>
                <c:pt idx="59">
                  <c:v>3300.9580490637254</c:v>
                </c:pt>
              </c:numCache>
            </c:numRef>
          </c:val>
          <c:smooth val="0"/>
          <c:extLst>
            <c:ext xmlns:c16="http://schemas.microsoft.com/office/drawing/2014/chart" uri="{C3380CC4-5D6E-409C-BE32-E72D297353CC}">
              <c16:uniqueId val="{00000002-E1EF-446E-A42D-D6B31BCDF914}"/>
            </c:ext>
          </c:extLst>
        </c:ser>
        <c:dLbls>
          <c:showLegendKey val="0"/>
          <c:showVal val="0"/>
          <c:showCatName val="0"/>
          <c:showSerName val="0"/>
          <c:showPercent val="0"/>
          <c:showBubbleSize val="0"/>
        </c:dLbls>
        <c:smooth val="0"/>
        <c:axId val="130587648"/>
        <c:axId val="130586112"/>
      </c:lineChart>
      <c:valAx>
        <c:axId val="130586112"/>
        <c:scaling>
          <c:orientation val="minMax"/>
        </c:scaling>
        <c:delete val="0"/>
        <c:axPos val="l"/>
        <c:majorGridlines/>
        <c:title>
          <c:tx>
            <c:rich>
              <a:bodyPr/>
              <a:lstStyle/>
              <a:p>
                <a:pPr>
                  <a:defRPr/>
                </a:pPr>
                <a:r>
                  <a:rPr lang="en-AU"/>
                  <a:t>A$/tonne</a:t>
                </a:r>
              </a:p>
            </c:rich>
          </c:tx>
          <c:overlay val="0"/>
        </c:title>
        <c:numFmt formatCode="#,##0" sourceLinked="0"/>
        <c:majorTickMark val="out"/>
        <c:minorTickMark val="none"/>
        <c:tickLblPos val="nextTo"/>
        <c:crossAx val="130587648"/>
        <c:crosses val="autoZero"/>
        <c:crossBetween val="between"/>
      </c:valAx>
      <c:catAx>
        <c:axId val="130587648"/>
        <c:scaling>
          <c:orientation val="minMax"/>
        </c:scaling>
        <c:delete val="0"/>
        <c:axPos val="b"/>
        <c:title>
          <c:tx>
            <c:rich>
              <a:bodyPr/>
              <a:lstStyle/>
              <a:p>
                <a:pPr>
                  <a:defRPr sz="900"/>
                </a:pPr>
                <a:r>
                  <a:rPr lang="en-AU" sz="900" b="1" i="0" baseline="0">
                    <a:effectLst/>
                    <a:latin typeface="+mn-lt"/>
                  </a:rPr>
                  <a:t>Source: LME</a:t>
                </a:r>
                <a:endParaRPr lang="en-AU" sz="900" b="1">
                  <a:effectLst/>
                  <a:latin typeface="+mn-lt"/>
                </a:endParaRPr>
              </a:p>
            </c:rich>
          </c:tx>
          <c:layout>
            <c:manualLayout>
              <c:xMode val="edge"/>
              <c:yMode val="edge"/>
              <c:x val="0"/>
              <c:y val="0.95241450584702547"/>
            </c:manualLayout>
          </c:layout>
          <c:overlay val="0"/>
        </c:title>
        <c:numFmt formatCode="General" sourceLinked="1"/>
        <c:majorTickMark val="out"/>
        <c:minorTickMark val="none"/>
        <c:tickLblPos val="nextTo"/>
        <c:crossAx val="130586112"/>
        <c:crosses val="autoZero"/>
        <c:auto val="0"/>
        <c:lblAlgn val="ctr"/>
        <c:lblOffset val="100"/>
        <c:tickMarkSkip val="3"/>
        <c:noMultiLvlLbl val="1"/>
      </c:cat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'Base Metals - Exports'!$W$1</c:f>
          <c:strCache>
            <c:ptCount val="1"/>
            <c:pt idx="0">
              <c:v>Western Australian Base Metals Exports 2019
Total Value: $4,335,030,720</c:v>
            </c:pt>
          </c:strCache>
        </c:strRef>
      </c:tx>
      <c:overlay val="0"/>
      <c:txPr>
        <a:bodyPr/>
        <a:lstStyle/>
        <a:p>
          <a:pPr>
            <a:defRPr/>
          </a:pPr>
          <a:endParaRPr lang="en-US"/>
        </a:p>
      </c:txPr>
    </c:title>
    <c:autoTitleDeleted val="0"/>
    <c:plotArea>
      <c:layout/>
      <c:pieChart>
        <c:varyColors val="1"/>
        <c:ser>
          <c:idx val="0"/>
          <c:order val="0"/>
          <c:dPt>
            <c:idx val="0"/>
            <c:bubble3D val="0"/>
            <c:spPr>
              <a:solidFill>
                <a:srgbClr val="B21698"/>
              </a:solidFill>
            </c:spPr>
            <c:extLst>
              <c:ext xmlns:c16="http://schemas.microsoft.com/office/drawing/2014/chart" uri="{C3380CC4-5D6E-409C-BE32-E72D297353CC}">
                <c16:uniqueId val="{00000001-3303-47B1-9F3B-AF6288FAD45F}"/>
              </c:ext>
            </c:extLst>
          </c:dPt>
          <c:dPt>
            <c:idx val="1"/>
            <c:bubble3D val="0"/>
            <c:spPr>
              <a:solidFill>
                <a:srgbClr val="CD23B1"/>
              </a:solidFill>
            </c:spPr>
            <c:extLst>
              <c:ext xmlns:c16="http://schemas.microsoft.com/office/drawing/2014/chart" uri="{C3380CC4-5D6E-409C-BE32-E72D297353CC}">
                <c16:uniqueId val="{00000003-3303-47B1-9F3B-AF6288FAD45F}"/>
              </c:ext>
            </c:extLst>
          </c:dPt>
          <c:dPt>
            <c:idx val="2"/>
            <c:bubble3D val="0"/>
            <c:spPr>
              <a:solidFill>
                <a:srgbClr val="D444BC"/>
              </a:solidFill>
            </c:spPr>
            <c:extLst>
              <c:ext xmlns:c16="http://schemas.microsoft.com/office/drawing/2014/chart" uri="{C3380CC4-5D6E-409C-BE32-E72D297353CC}">
                <c16:uniqueId val="{00000005-3303-47B1-9F3B-AF6288FAD45F}"/>
              </c:ext>
            </c:extLst>
          </c:dPt>
          <c:dPt>
            <c:idx val="3"/>
            <c:bubble3D val="0"/>
            <c:spPr>
              <a:solidFill>
                <a:srgbClr val="D46CC3"/>
              </a:solidFill>
            </c:spPr>
            <c:extLst>
              <c:ext xmlns:c16="http://schemas.microsoft.com/office/drawing/2014/chart" uri="{C3380CC4-5D6E-409C-BE32-E72D297353CC}">
                <c16:uniqueId val="{00000007-3303-47B1-9F3B-AF6288FAD45F}"/>
              </c:ext>
            </c:extLst>
          </c:dPt>
          <c:dPt>
            <c:idx val="4"/>
            <c:bubble3D val="0"/>
            <c:spPr>
              <a:solidFill>
                <a:srgbClr val="D791CB"/>
              </a:solidFill>
            </c:spPr>
            <c:extLst>
              <c:ext xmlns:c16="http://schemas.microsoft.com/office/drawing/2014/chart" uri="{C3380CC4-5D6E-409C-BE32-E72D297353CC}">
                <c16:uniqueId val="{00000009-3303-47B1-9F3B-AF6288FAD45F}"/>
              </c:ext>
            </c:extLst>
          </c:dPt>
          <c:dPt>
            <c:idx val="5"/>
            <c:bubble3D val="0"/>
            <c:spPr>
              <a:solidFill>
                <a:srgbClr val="DEB2D7"/>
              </a:solidFill>
            </c:spPr>
            <c:extLst>
              <c:ext xmlns:c16="http://schemas.microsoft.com/office/drawing/2014/chart" uri="{C3380CC4-5D6E-409C-BE32-E72D297353CC}">
                <c16:uniqueId val="{0000000B-3303-47B1-9F3B-AF6288FAD45F}"/>
              </c:ext>
            </c:extLst>
          </c:dPt>
          <c:dPt>
            <c:idx val="6"/>
            <c:bubble3D val="0"/>
            <c:spPr>
              <a:solidFill>
                <a:srgbClr val="EACEE5"/>
              </a:solidFill>
            </c:spPr>
            <c:extLst>
              <c:ext xmlns:c16="http://schemas.microsoft.com/office/drawing/2014/chart" uri="{C3380CC4-5D6E-409C-BE32-E72D297353CC}">
                <c16:uniqueId val="{0000000D-3303-47B1-9F3B-AF6288FAD45F}"/>
              </c:ext>
            </c:extLst>
          </c:dPt>
          <c:dPt>
            <c:idx val="7"/>
            <c:bubble3D val="0"/>
            <c:spPr>
              <a:solidFill>
                <a:srgbClr val="EFDDEC"/>
              </a:solidFill>
            </c:spPr>
            <c:extLst>
              <c:ext xmlns:c16="http://schemas.microsoft.com/office/drawing/2014/chart" uri="{C3380CC4-5D6E-409C-BE32-E72D297353CC}">
                <c16:uniqueId val="{0000000F-3303-47B1-9F3B-AF6288FAD45F}"/>
              </c:ext>
            </c:extLst>
          </c:dPt>
          <c:dPt>
            <c:idx val="8"/>
            <c:bubble3D val="0"/>
            <c:spPr>
              <a:solidFill>
                <a:srgbClr val="F1E5EF"/>
              </a:solidFill>
            </c:spPr>
            <c:extLst>
              <c:ext xmlns:c16="http://schemas.microsoft.com/office/drawing/2014/chart" uri="{C3380CC4-5D6E-409C-BE32-E72D297353CC}">
                <c16:uniqueId val="{00000011-3303-47B1-9F3B-AF6288FAD45F}"/>
              </c:ext>
            </c:extLst>
          </c:dPt>
          <c:dPt>
            <c:idx val="9"/>
            <c:bubble3D val="0"/>
            <c:spPr>
              <a:solidFill>
                <a:srgbClr val="F4ECF3"/>
              </a:solidFill>
            </c:spPr>
            <c:extLst>
              <c:ext xmlns:c16="http://schemas.microsoft.com/office/drawing/2014/chart" uri="{C3380CC4-5D6E-409C-BE32-E72D297353CC}">
                <c16:uniqueId val="{00000013-3303-47B1-9F3B-AF6288FAD45F}"/>
              </c:ext>
            </c:extLst>
          </c:dPt>
          <c:dPt>
            <c:idx val="10"/>
            <c:bubble3D val="0"/>
            <c:spPr>
              <a:solidFill>
                <a:srgbClr val="F8F2F7"/>
              </a:solidFill>
            </c:spPr>
            <c:extLst>
              <c:ext xmlns:c16="http://schemas.microsoft.com/office/drawing/2014/chart" uri="{C3380CC4-5D6E-409C-BE32-E72D297353CC}">
                <c16:uniqueId val="{00000015-3303-47B1-9F3B-AF6288FAD45F}"/>
              </c:ext>
            </c:extLst>
          </c:dPt>
          <c:dLbls>
            <c:dLbl>
              <c:idx val="0"/>
              <c:layout>
                <c:manualLayout>
                  <c:x val="7.3775256765890043E-2"/>
                  <c:y val="0.1767460090739745"/>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3-47B1-9F3B-AF6288FAD45F}"/>
                </c:ext>
              </c:extLst>
            </c:dLbl>
            <c:dLbl>
              <c:idx val="5"/>
              <c:layout>
                <c:manualLayout>
                  <c:x val="-2.157778855842072E-2"/>
                  <c:y val="3.175320780189681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303-47B1-9F3B-AF6288FAD45F}"/>
                </c:ext>
              </c:extLst>
            </c:dLbl>
            <c:dLbl>
              <c:idx val="6"/>
              <c:layout>
                <c:manualLayout>
                  <c:x val="-1.8429260323502217E-2"/>
                  <c:y val="1.225313184844772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303-47B1-9F3B-AF6288FAD45F}"/>
                </c:ext>
              </c:extLst>
            </c:dLbl>
            <c:dLbl>
              <c:idx val="7"/>
              <c:layout>
                <c:manualLayout>
                  <c:x val="-1.5128642095093564E-2"/>
                  <c:y val="-5.275291072799696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303-47B1-9F3B-AF6288FAD45F}"/>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'Base Metals - Exports'!$A$10:$A$17</c:f>
              <c:strCache>
                <c:ptCount val="8"/>
                <c:pt idx="0">
                  <c:v>China</c:v>
                </c:pt>
                <c:pt idx="1">
                  <c:v>Philippines</c:v>
                </c:pt>
                <c:pt idx="2">
                  <c:v>Korea, Republic Of</c:v>
                </c:pt>
                <c:pt idx="3">
                  <c:v>Japan</c:v>
                </c:pt>
                <c:pt idx="4">
                  <c:v>Germany</c:v>
                </c:pt>
                <c:pt idx="5">
                  <c:v>India</c:v>
                </c:pt>
                <c:pt idx="6">
                  <c:v>Taiwan, Province Of China</c:v>
                </c:pt>
                <c:pt idx="7">
                  <c:v>Malaysia</c:v>
                </c:pt>
              </c:strCache>
            </c:strRef>
          </c:cat>
          <c:val>
            <c:numRef>
              <c:f>'Base Metals - Exports'!$D$10:$D$17</c:f>
              <c:numCache>
                <c:formatCode>0.0%</c:formatCode>
                <c:ptCount val="8"/>
                <c:pt idx="0">
                  <c:v>0.31570715793888132</c:v>
                </c:pt>
                <c:pt idx="1">
                  <c:v>0.21325563936552572</c:v>
                </c:pt>
                <c:pt idx="2">
                  <c:v>0.18281794072522034</c:v>
                </c:pt>
                <c:pt idx="3">
                  <c:v>0.10492980678261395</c:v>
                </c:pt>
                <c:pt idx="4">
                  <c:v>8.6996590348319358E-2</c:v>
                </c:pt>
                <c:pt idx="5">
                  <c:v>3.571060737307593E-2</c:v>
                </c:pt>
                <c:pt idx="6">
                  <c:v>3.4823923036026251E-2</c:v>
                </c:pt>
                <c:pt idx="7">
                  <c:v>1.4287255895353202E-2</c:v>
                </c:pt>
              </c:numCache>
            </c:numRef>
          </c:val>
          <c:extLst>
            <c:ext xmlns:c16="http://schemas.microsoft.com/office/drawing/2014/chart" uri="{C3380CC4-5D6E-409C-BE32-E72D297353CC}">
              <c16:uniqueId val="{00000016-3303-47B1-9F3B-AF6288FAD45F}"/>
            </c:ext>
          </c:extLst>
        </c:ser>
        <c:dLbls>
          <c:showLegendKey val="0"/>
          <c:showVal val="1"/>
          <c:showCatName val="1"/>
          <c:showSerName val="0"/>
          <c:showPercent val="0"/>
          <c:showBubbleSize val="0"/>
          <c:showLeaderLines val="1"/>
        </c:dLbls>
        <c:firstSliceAng val="289"/>
      </c:pieChart>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br>
              <a:rPr lang="en-AU"/>
            </a:br>
            <a:r>
              <a:rPr lang="en-AU" sz="1100"/>
              <a:t>Western</a:t>
            </a:r>
            <a:r>
              <a:rPr lang="en-AU" sz="1100" baseline="0"/>
              <a:t> Australia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0.12594806716739121"/>
          <c:y val="0.28785520328354247"/>
          <c:w val="0.83421537657681499"/>
          <c:h val="0.52473206560524444"/>
        </c:manualLayout>
      </c:layout>
      <c:barChart>
        <c:barDir val="col"/>
        <c:grouping val="stacked"/>
        <c:varyColors val="0"/>
        <c:ser>
          <c:idx val="0"/>
          <c:order val="0"/>
          <c:tx>
            <c:strRef>
              <c:f>'Base Metals - WA vs Australia'!$B$7</c:f>
              <c:strCache>
                <c:ptCount val="1"/>
                <c:pt idx="0">
                  <c:v>Western Australia (Kt)</c:v>
                </c:pt>
              </c:strCache>
            </c:strRef>
          </c:tx>
          <c:spPr>
            <a:solidFill>
              <a:srgbClr val="FF66CC"/>
            </a:solidFill>
            <a:ln>
              <a:noFill/>
            </a:ln>
          </c:spPr>
          <c:invertIfNegative val="0"/>
          <c:cat>
            <c:numRef>
              <c:extLst>
                <c:ext xmlns:c15="http://schemas.microsoft.com/office/drawing/2012/chart" uri="{02D57815-91ED-43cb-92C2-25804820EDAC}">
                  <c15:fullRef>
                    <c15:sqref>'Base Metals - WA vs Australia'!$A$8:$A$47</c15:sqref>
                  </c15:fullRef>
                </c:ext>
              </c:extLst>
              <c:f>'Base Metals - WA vs Australia'!$A$12:$A$47</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extLst>
                <c:ext xmlns:c15="http://schemas.microsoft.com/office/drawing/2012/chart" uri="{02D57815-91ED-43cb-92C2-25804820EDAC}">
                  <c15:fullRef>
                    <c15:sqref>'Base Metals - WA vs Australia'!$B$8:$B$47</c15:sqref>
                  </c15:fullRef>
                </c:ext>
              </c:extLst>
              <c:f>'Base Metals - WA vs Australia'!$B$12:$B$47</c:f>
              <c:numCache>
                <c:formatCode>#,##0.00</c:formatCode>
                <c:ptCount val="36"/>
                <c:pt idx="0">
                  <c:v>12.005000000000001</c:v>
                </c:pt>
                <c:pt idx="1">
                  <c:v>10.403</c:v>
                </c:pt>
                <c:pt idx="2">
                  <c:v>7.774</c:v>
                </c:pt>
                <c:pt idx="3">
                  <c:v>2.91</c:v>
                </c:pt>
                <c:pt idx="4">
                  <c:v>7.4260000000000002</c:v>
                </c:pt>
                <c:pt idx="5">
                  <c:v>19.038</c:v>
                </c:pt>
                <c:pt idx="6">
                  <c:v>14.959</c:v>
                </c:pt>
                <c:pt idx="7">
                  <c:v>11.792999999999999</c:v>
                </c:pt>
                <c:pt idx="8">
                  <c:v>12.09362</c:v>
                </c:pt>
                <c:pt idx="9">
                  <c:v>28.98</c:v>
                </c:pt>
                <c:pt idx="10">
                  <c:v>35.109000000000002</c:v>
                </c:pt>
                <c:pt idx="11">
                  <c:v>24.312000000000001</c:v>
                </c:pt>
                <c:pt idx="12">
                  <c:v>23.071999999999999</c:v>
                </c:pt>
                <c:pt idx="13">
                  <c:v>28.318000000000001</c:v>
                </c:pt>
                <c:pt idx="14">
                  <c:v>28.24</c:v>
                </c:pt>
                <c:pt idx="15">
                  <c:v>26.228000000000002</c:v>
                </c:pt>
                <c:pt idx="16">
                  <c:v>34.037999999999997</c:v>
                </c:pt>
                <c:pt idx="17">
                  <c:v>50.237000000000002</c:v>
                </c:pt>
                <c:pt idx="18">
                  <c:v>64.286999999999992</c:v>
                </c:pt>
                <c:pt idx="19">
                  <c:v>60.176090000000002</c:v>
                </c:pt>
                <c:pt idx="20">
                  <c:v>42.260094000000002</c:v>
                </c:pt>
                <c:pt idx="21">
                  <c:v>85.220481000000007</c:v>
                </c:pt>
                <c:pt idx="22">
                  <c:v>99.242470999999995</c:v>
                </c:pt>
                <c:pt idx="23">
                  <c:v>105.40498599999999</c:v>
                </c:pt>
                <c:pt idx="24">
                  <c:v>119.055948</c:v>
                </c:pt>
                <c:pt idx="25">
                  <c:v>151.49643399999999</c:v>
                </c:pt>
                <c:pt idx="26">
                  <c:v>155.65068099999999</c:v>
                </c:pt>
                <c:pt idx="27">
                  <c:v>144.95804783199998</c:v>
                </c:pt>
                <c:pt idx="28">
                  <c:v>185.75001993699999</c:v>
                </c:pt>
                <c:pt idx="29">
                  <c:v>216.05661499999999</c:v>
                </c:pt>
                <c:pt idx="30">
                  <c:v>197.08071799999999</c:v>
                </c:pt>
                <c:pt idx="31">
                  <c:v>189.20602099999999</c:v>
                </c:pt>
                <c:pt idx="32">
                  <c:v>181.53603300000003</c:v>
                </c:pt>
                <c:pt idx="33">
                  <c:v>165.70184799999998</c:v>
                </c:pt>
                <c:pt idx="34">
                  <c:v>168.58500300000003</c:v>
                </c:pt>
                <c:pt idx="35">
                  <c:v>171.979285</c:v>
                </c:pt>
              </c:numCache>
            </c:numRef>
          </c:val>
          <c:extLst>
            <c:ext xmlns:c16="http://schemas.microsoft.com/office/drawing/2014/chart" uri="{C3380CC4-5D6E-409C-BE32-E72D297353CC}">
              <c16:uniqueId val="{00000000-528E-4483-8ABE-207F14A9165D}"/>
            </c:ext>
          </c:extLst>
        </c:ser>
        <c:ser>
          <c:idx val="1"/>
          <c:order val="1"/>
          <c:tx>
            <c:strRef>
              <c:f>'Base Metals - WA vs Australia'!$C$7</c:f>
              <c:strCache>
                <c:ptCount val="1"/>
                <c:pt idx="0">
                  <c:v>Rest of Australia (Kt)</c:v>
                </c:pt>
              </c:strCache>
            </c:strRef>
          </c:tx>
          <c:spPr>
            <a:solidFill>
              <a:srgbClr val="DEB2D7"/>
            </a:solidFill>
            <a:ln>
              <a:noFill/>
            </a:ln>
          </c:spPr>
          <c:invertIfNegative val="0"/>
          <c:cat>
            <c:numRef>
              <c:extLst>
                <c:ext xmlns:c15="http://schemas.microsoft.com/office/drawing/2012/chart" uri="{02D57815-91ED-43cb-92C2-25804820EDAC}">
                  <c15:fullRef>
                    <c15:sqref>'Base Metals - WA vs Australia'!$A$8:$A$47</c15:sqref>
                  </c15:fullRef>
                </c:ext>
              </c:extLst>
              <c:f>'Base Metals - WA vs Australia'!$A$12:$A$47</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extLst>
                <c:ext xmlns:c15="http://schemas.microsoft.com/office/drawing/2012/chart" uri="{02D57815-91ED-43cb-92C2-25804820EDAC}">
                  <c15:fullRef>
                    <c15:sqref>'Base Metals - WA vs Australia'!$C$8:$C$47</c15:sqref>
                  </c15:fullRef>
                </c:ext>
              </c:extLst>
              <c:f>'Base Metals - WA vs Australia'!$C$12:$C$47</c:f>
              <c:numCache>
                <c:formatCode>#,##0.00</c:formatCode>
                <c:ptCount val="36"/>
                <c:pt idx="0">
                  <c:v>236</c:v>
                </c:pt>
                <c:pt idx="1">
                  <c:v>260</c:v>
                </c:pt>
                <c:pt idx="2">
                  <c:v>248</c:v>
                </c:pt>
                <c:pt idx="3">
                  <c:v>233</c:v>
                </c:pt>
                <c:pt idx="4">
                  <c:v>238</c:v>
                </c:pt>
                <c:pt idx="5">
                  <c:v>296</c:v>
                </c:pt>
                <c:pt idx="6">
                  <c:v>314.11700000000002</c:v>
                </c:pt>
                <c:pt idx="7">
                  <c:v>315.83949999999999</c:v>
                </c:pt>
                <c:pt idx="8">
                  <c:v>369.25614999999999</c:v>
                </c:pt>
                <c:pt idx="9">
                  <c:v>392.97141999999997</c:v>
                </c:pt>
                <c:pt idx="10">
                  <c:v>383.27244780000001</c:v>
                </c:pt>
                <c:pt idx="11">
                  <c:v>326.44694399999997</c:v>
                </c:pt>
                <c:pt idx="12">
                  <c:v>509.58433325999999</c:v>
                </c:pt>
                <c:pt idx="13">
                  <c:v>520.75490000000002</c:v>
                </c:pt>
                <c:pt idx="14">
                  <c:v>589.6879899999999</c:v>
                </c:pt>
                <c:pt idx="15">
                  <c:v>711.61930000000007</c:v>
                </c:pt>
                <c:pt idx="16">
                  <c:v>804.81131599999992</c:v>
                </c:pt>
                <c:pt idx="17">
                  <c:v>848.10496999999998</c:v>
                </c:pt>
                <c:pt idx="18">
                  <c:v>807.99442999999997</c:v>
                </c:pt>
                <c:pt idx="19">
                  <c:v>770.21165999999994</c:v>
                </c:pt>
                <c:pt idx="20">
                  <c:v>833.115906</c:v>
                </c:pt>
                <c:pt idx="21">
                  <c:v>842.99651900000003</c:v>
                </c:pt>
                <c:pt idx="22">
                  <c:v>779.63111179999987</c:v>
                </c:pt>
                <c:pt idx="23">
                  <c:v>757.12953350999999</c:v>
                </c:pt>
                <c:pt idx="24">
                  <c:v>759.88395200000014</c:v>
                </c:pt>
                <c:pt idx="25">
                  <c:v>710</c:v>
                </c:pt>
                <c:pt idx="26">
                  <c:v>703</c:v>
                </c:pt>
                <c:pt idx="27">
                  <c:v>820</c:v>
                </c:pt>
                <c:pt idx="28">
                  <c:v>729</c:v>
                </c:pt>
                <c:pt idx="29">
                  <c:v>792</c:v>
                </c:pt>
                <c:pt idx="30">
                  <c:v>787</c:v>
                </c:pt>
                <c:pt idx="31">
                  <c:v>800</c:v>
                </c:pt>
                <c:pt idx="32">
                  <c:v>769</c:v>
                </c:pt>
                <c:pt idx="33">
                  <c:v>672</c:v>
                </c:pt>
                <c:pt idx="34">
                  <c:v>733</c:v>
                </c:pt>
                <c:pt idx="35">
                  <c:v>797</c:v>
                </c:pt>
              </c:numCache>
            </c:numRef>
          </c:val>
          <c:extLst>
            <c:ext xmlns:c16="http://schemas.microsoft.com/office/drawing/2014/chart" uri="{C3380CC4-5D6E-409C-BE32-E72D297353CC}">
              <c16:uniqueId val="{00000001-528E-4483-8ABE-207F14A9165D}"/>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5758208"/>
        <c:crosses val="autoZero"/>
        <c:auto val="0"/>
        <c:lblOffset val="100"/>
        <c:baseTimeUnit val="days"/>
        <c:majorUnit val="5"/>
        <c:minorUnit val="5"/>
      </c:dateAx>
      <c:valAx>
        <c:axId val="115758208"/>
        <c:scaling>
          <c:orientation val="minMax"/>
        </c:scaling>
        <c:delete val="0"/>
        <c:axPos val="l"/>
        <c:majorGridlines/>
        <c:title>
          <c:tx>
            <c:rich>
              <a:bodyPr rot="-5400000" vert="horz"/>
              <a:lstStyle/>
              <a:p>
                <a:pPr>
                  <a:defRPr/>
                </a:pPr>
                <a:r>
                  <a:rPr lang="en-AU"/>
                  <a:t>Thousand Tonnes</a:t>
                </a:r>
              </a:p>
            </c:rich>
          </c:tx>
          <c:layout>
            <c:manualLayout>
              <c:xMode val="edge"/>
              <c:yMode val="edge"/>
              <c:x val="2.3593136194934684E-2"/>
              <c:y val="0.43021228342944701"/>
            </c:manualLayout>
          </c:layout>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Western Australia vs Rest of Australia</a:t>
            </a:r>
          </a:p>
          <a:p>
            <a:pPr>
              <a:defRPr/>
            </a:pPr>
            <a:r>
              <a:rPr lang="en-AU" sz="1100"/>
              <a:t>Past 10 years</a:t>
            </a:r>
          </a:p>
        </c:rich>
      </c:tx>
      <c:overlay val="0"/>
    </c:title>
    <c:autoTitleDeleted val="0"/>
    <c:plotArea>
      <c:layout>
        <c:manualLayout>
          <c:layoutTarget val="inner"/>
          <c:xMode val="edge"/>
          <c:yMode val="edge"/>
          <c:x val="0.12530661116447425"/>
          <c:y val="0.32084381822535973"/>
          <c:w val="0.84012360738391478"/>
          <c:h val="0.48154014398750467"/>
        </c:manualLayout>
      </c:layout>
      <c:lineChart>
        <c:grouping val="standard"/>
        <c:varyColors val="0"/>
        <c:ser>
          <c:idx val="0"/>
          <c:order val="0"/>
          <c:tx>
            <c:strRef>
              <c:f>'Base Metals - WA vs Australia'!$T$58</c:f>
              <c:strCache>
                <c:ptCount val="1"/>
                <c:pt idx="0">
                  <c:v>Western Australia (Kt)</c:v>
                </c:pt>
              </c:strCache>
            </c:strRef>
          </c:tx>
          <c:spPr>
            <a:ln>
              <a:solidFill>
                <a:srgbClr val="FF66CC"/>
              </a:solidFill>
            </a:ln>
          </c:spPr>
          <c:marker>
            <c:symbol val="diamond"/>
            <c:size val="5"/>
            <c:spPr>
              <a:solidFill>
                <a:srgbClr val="FF00FF"/>
              </a:solidFill>
              <a:ln>
                <a:noFill/>
              </a:ln>
            </c:spPr>
          </c:marker>
          <c:cat>
            <c:numRef>
              <c:f>'Base Metals - WA vs Australia'!$S$59:$S$68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'Base Metals - WA vs Australia'!$T$59:$T$68</c:f>
              <c:numCache>
                <c:formatCode>#,##0.00</c:formatCode>
                <c:ptCount val="10"/>
                <c:pt idx="0">
                  <c:v>155.65068099999999</c:v>
                </c:pt>
                <c:pt idx="1">
                  <c:v>144.95804783199998</c:v>
                </c:pt>
                <c:pt idx="2">
                  <c:v>185.75001993699999</c:v>
                </c:pt>
                <c:pt idx="3">
                  <c:v>216.05661499999999</c:v>
                </c:pt>
                <c:pt idx="4">
                  <c:v>197.08071799999999</c:v>
                </c:pt>
                <c:pt idx="5">
                  <c:v>189.20602099999999</c:v>
                </c:pt>
                <c:pt idx="6">
                  <c:v>181.53603300000003</c:v>
                </c:pt>
                <c:pt idx="7">
                  <c:v>165.70184799999998</c:v>
                </c:pt>
                <c:pt idx="8">
                  <c:v>168.58500300000003</c:v>
                </c:pt>
                <c:pt idx="9">
                  <c:v>171.979285</c:v>
                </c:pt>
              </c:numCache>
            </c:numRef>
          </c:val>
          <c:smooth val="0"/>
          <c:extLst>
            <c:ext xmlns:c16="http://schemas.microsoft.com/office/drawing/2014/chart" uri="{C3380CC4-5D6E-409C-BE32-E72D297353CC}">
              <c16:uniqueId val="{00000000-1FB5-470E-8A06-DBA7FF6E09DB}"/>
            </c:ext>
          </c:extLst>
        </c:ser>
        <c:ser>
          <c:idx val="1"/>
          <c:order val="1"/>
          <c:tx>
            <c:strRef>
              <c:f>'Base Metals - WA vs Australia'!$U$58</c:f>
              <c:strCache>
                <c:ptCount val="1"/>
                <c:pt idx="0">
                  <c:v>Rest of Australia (Kt)</c:v>
                </c:pt>
              </c:strCache>
            </c:strRef>
          </c:tx>
          <c:spPr>
            <a:ln>
              <a:solidFill>
                <a:srgbClr val="FAD6F2"/>
              </a:solidFill>
            </a:ln>
          </c:spPr>
          <c:marker>
            <c:symbol val="square"/>
            <c:size val="5"/>
            <c:spPr>
              <a:solidFill>
                <a:srgbClr val="FFCCFF"/>
              </a:solidFill>
              <a:ln>
                <a:noFill/>
              </a:ln>
            </c:spPr>
          </c:marker>
          <c:cat>
            <c:numRef>
              <c:f>'Base Metals - WA vs Australia'!$S$59:$S$68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'Base Metals - WA vs Australia'!$U$59:$U$68</c:f>
              <c:numCache>
                <c:formatCode>#,##0.00</c:formatCode>
                <c:ptCount val="10"/>
                <c:pt idx="0">
                  <c:v>703</c:v>
                </c:pt>
                <c:pt idx="1">
                  <c:v>820</c:v>
                </c:pt>
                <c:pt idx="2">
                  <c:v>729</c:v>
                </c:pt>
                <c:pt idx="3">
                  <c:v>792</c:v>
                </c:pt>
                <c:pt idx="4">
                  <c:v>787</c:v>
                </c:pt>
                <c:pt idx="5">
                  <c:v>800</c:v>
                </c:pt>
                <c:pt idx="6">
                  <c:v>769</c:v>
                </c:pt>
                <c:pt idx="7">
                  <c:v>672</c:v>
                </c:pt>
                <c:pt idx="8">
                  <c:v>733</c:v>
                </c:pt>
                <c:pt idx="9">
                  <c:v>797</c:v>
                </c:pt>
              </c:numCache>
            </c:numRef>
          </c:val>
          <c:smooth val="0"/>
          <c:extLst>
            <c:ext xmlns:c16="http://schemas.microsoft.com/office/drawing/2014/chart" uri="{C3380CC4-5D6E-409C-BE32-E72D297353CC}">
              <c16:uniqueId val="{00000001-1FB5-470E-8A06-DBA7FF6E09DB}"/>
            </c:ext>
          </c:extLst>
        </c:ser>
        <c:dLbls>
          <c:showLegendKey val="0"/>
          <c:showVal val="0"/>
          <c:showCatName val="0"/>
          <c:showSerName val="0"/>
          <c:showPercent val="0"/>
          <c:showBubbleSize val="0"/>
        </c:dLbls>
        <c:marker val="1"/>
        <c:smooth val="0"/>
        <c:axId val="130634880"/>
        <c:axId val="115776512"/>
      </c:lineChart>
      <c:valAx>
        <c:axId val="115776512"/>
        <c:scaling>
          <c:orientation val="minMax"/>
        </c:scaling>
        <c:delete val="0"/>
        <c:axPos val="l"/>
        <c:majorGridlines/>
        <c:title>
          <c:tx>
            <c:rich>
              <a:bodyPr/>
              <a:lstStyle/>
              <a:p>
                <a:pPr>
                  <a:defRPr sz="1000"/>
                </a:pPr>
                <a:r>
                  <a:rPr lang="en-AU" sz="1000" b="1" i="0" baseline="0">
                    <a:effectLst/>
                  </a:rPr>
                  <a:t>Thousand Tonnes</a:t>
                </a:r>
                <a:endParaRPr lang="en-AU" sz="1000">
                  <a:effectLst/>
                </a:endParaRPr>
              </a:p>
            </c:rich>
          </c:tx>
          <c:layout>
            <c:manualLayout>
              <c:xMode val="edge"/>
              <c:yMode val="edge"/>
              <c:x val="1.743613351965629E-2"/>
              <c:y val="0.43675819715194408"/>
            </c:manualLayout>
          </c:layout>
          <c:overlay val="0"/>
        </c:title>
        <c:numFmt formatCode="0" sourceLinked="0"/>
        <c:majorTickMark val="out"/>
        <c:minorTickMark val="none"/>
        <c:tickLblPos val="nextTo"/>
        <c:crossAx val="130634880"/>
        <c:crosses val="autoZero"/>
        <c:crossBetween val="between"/>
      </c:valAx>
      <c:catAx>
        <c:axId val="130634880"/>
        <c:scaling>
          <c:orientation val="minMax"/>
        </c:scaling>
        <c:delete val="0"/>
        <c:axPos val="b"/>
        <c:title>
          <c:tx>
            <c:rich>
              <a:bodyPr/>
              <a:lstStyle/>
              <a:p>
                <a:pPr>
                  <a:defRPr sz="900"/>
                </a:pPr>
                <a:r>
                  <a:rPr lang="en-AU" sz="900" b="1" i="0" baseline="0">
                    <a:effectLst/>
                  </a:rPr>
                  <a:t>Source:  DM</a:t>
                </a:r>
                <a:r>
                  <a:rPr lang="en-AU" sz="900" b="1" i="0" u="none" strike="noStrike" baseline="0">
                    <a:effectLst/>
                  </a:rPr>
                  <a:t>IRS</a:t>
                </a:r>
                <a:r>
                  <a:rPr lang="en-AU" sz="900" b="1" i="0" baseline="0">
                    <a:effectLst/>
                  </a:rPr>
                  <a:t> and OoCE</a:t>
                </a:r>
                <a:endParaRPr lang="en-AU" sz="900">
                  <a:effectLst/>
                </a:endParaRPr>
              </a:p>
            </c:rich>
          </c:tx>
          <c:layout>
            <c:manualLayout>
              <c:xMode val="edge"/>
              <c:yMode val="edge"/>
              <c:x val="1.1167128220884573E-2"/>
              <c:y val="0.93921690848479655"/>
            </c:manualLayout>
          </c:layout>
          <c:overlay val="0"/>
        </c:title>
        <c:numFmt formatCode="General" sourceLinked="1"/>
        <c:majorTickMark val="out"/>
        <c:minorTickMark val="none"/>
        <c:tickLblPos val="nextTo"/>
        <c:txPr>
          <a:bodyPr rot="-2700000"/>
          <a:lstStyle/>
          <a:p>
            <a:pPr>
              <a:defRPr/>
            </a:pPr>
            <a:endParaRPr lang="en-US"/>
          </a:p>
        </c:txPr>
        <c:crossAx val="1157765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copper production 2019</a:t>
            </a:r>
          </a:p>
        </c:rich>
      </c:tx>
      <c:layout>
        <c:manualLayout>
          <c:xMode val="edge"/>
          <c:yMode val="edge"/>
          <c:x val="0.13416926703888524"/>
          <c:y val="5.1948051948051951E-2"/>
        </c:manualLayout>
      </c:layout>
      <c:overlay val="0"/>
    </c:title>
    <c:autoTitleDeleted val="0"/>
    <c:plotArea>
      <c:layout/>
      <c:pieChart>
        <c:varyColors val="1"/>
        <c:ser>
          <c:idx val="0"/>
          <c:order val="0"/>
          <c:tx>
            <c:v>Australian and Western Australian Copper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E91B-4A8D-BCC6-36F1F236AF77}"/>
              </c:ext>
            </c:extLst>
          </c:dPt>
          <c:dLbls>
            <c:dLbl>
              <c:idx val="0"/>
              <c:layout>
                <c:manualLayout>
                  <c:x val="4.9079127894276119E-2"/>
                  <c:y val="7.897612257927214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2493398019903641"/>
                      <c:h val="0.19037854862736753"/>
                    </c:manualLayout>
                  </c15:layout>
                </c:ext>
                <c:ext xmlns:c16="http://schemas.microsoft.com/office/drawing/2014/chart" uri="{C3380CC4-5D6E-409C-BE32-E72D297353CC}">
                  <c16:uniqueId val="{00000002-E91B-4A8D-BCC6-36F1F236AF77}"/>
                </c:ext>
              </c:extLst>
            </c:dLbl>
            <c:dLbl>
              <c:idx val="1"/>
              <c:layout>
                <c:manualLayout>
                  <c:x val="0.23112588054777183"/>
                  <c:y val="-0.15586771653543308"/>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4637945368450995"/>
                      <c:h val="0.22408648648648649"/>
                    </c:manualLayout>
                  </c15:layout>
                </c:ext>
                <c:ext xmlns:c16="http://schemas.microsoft.com/office/drawing/2014/chart" uri="{C3380CC4-5D6E-409C-BE32-E72D297353CC}">
                  <c16:uniqueId val="{00000001-E91B-4A8D-BCC6-36F1F236AF77}"/>
                </c:ext>
              </c:extLst>
            </c:dLbl>
            <c:spPr>
              <a:noFill/>
              <a:ln>
                <a:noFill/>
              </a:ln>
              <a:effectLst/>
            </c:spPr>
            <c:dLblPos val="outEnd"/>
            <c:showLegendKey val="0"/>
            <c:showVal val="1"/>
            <c:showCatName val="1"/>
            <c:showSerName val="0"/>
            <c:showPercent val="1"/>
            <c:showBubbleSize val="0"/>
            <c:showLeaderLines val="1"/>
            <c:leaderLines>
              <c:spPr>
                <a:ln>
                  <a:solidFill>
                    <a:sysClr val="windowText" lastClr="000000"/>
                  </a:solidFill>
                </a:ln>
              </c:spPr>
            </c:leaderLines>
            <c:extLst>
              <c:ext xmlns:c15="http://schemas.microsoft.com/office/drawing/2012/chart" uri="{CE6537A1-D6FC-4f65-9D91-7224C49458BB}"/>
            </c:extLst>
          </c:dLbls>
          <c:cat>
            <c:strRef>
              <c:f>'Base Metals - WA vs Australia'!$T$58:$U$58</c:f>
              <c:strCache>
                <c:ptCount val="2"/>
                <c:pt idx="0">
                  <c:v>Western Australia (Kt)</c:v>
                </c:pt>
                <c:pt idx="1">
                  <c:v>Rest of Australia (Kt)</c:v>
                </c:pt>
              </c:strCache>
            </c:strRef>
          </c:cat>
          <c:val>
            <c:numRef>
              <c:f>'Base Metals - WA vs Australia'!$T$68:$U$68</c:f>
              <c:numCache>
                <c:formatCode>#,##0.00</c:formatCode>
                <c:ptCount val="2"/>
                <c:pt idx="0">
                  <c:v>171.979285</c:v>
                </c:pt>
                <c:pt idx="1">
                  <c:v>797</c:v>
                </c:pt>
              </c:numCache>
            </c:numRef>
          </c:val>
          <c:extLst>
            <c:ext xmlns:c16="http://schemas.microsoft.com/office/drawing/2014/chart" uri="{C3380CC4-5D6E-409C-BE32-E72D297353CC}">
              <c16:uniqueId val="{00000003-E91B-4A8D-BCC6-36F1F236AF77}"/>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lead production 2019</a:t>
            </a:r>
          </a:p>
        </c:rich>
      </c:tx>
      <c:overlay val="0"/>
    </c:title>
    <c:autoTitleDeleted val="0"/>
    <c:plotArea>
      <c:layout/>
      <c:pieChart>
        <c:varyColors val="1"/>
        <c:ser>
          <c:idx val="0"/>
          <c:order val="0"/>
          <c:tx>
            <c:v>Australian and Western Australian Lead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B7D9-4C6B-810D-36263EEE97BA}"/>
              </c:ext>
            </c:extLst>
          </c:dPt>
          <c:dLbls>
            <c:dLbl>
              <c:idx val="0"/>
              <c:layout>
                <c:manualLayout>
                  <c:x val="0.26072088194224513"/>
                  <c:y val="5.2746043802021712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7D9-4C6B-810D-36263EEE97BA}"/>
                </c:ext>
              </c:extLst>
            </c:dLbl>
            <c:dLbl>
              <c:idx val="1"/>
              <c:layout>
                <c:manualLayout>
                  <c:x val="8.8989111745415052E-3"/>
                  <c:y val="-0.18231266949075126"/>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7351479361624803"/>
                      <c:h val="0.21471460302297113"/>
                    </c:manualLayout>
                  </c15:layout>
                </c:ext>
                <c:ext xmlns:c16="http://schemas.microsoft.com/office/drawing/2014/chart" uri="{C3380CC4-5D6E-409C-BE32-E72D297353CC}">
                  <c16:uniqueId val="{00000001-B7D9-4C6B-810D-36263EEE97BA}"/>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Australia'!$V$58:$W$58</c:f>
              <c:strCache>
                <c:ptCount val="2"/>
                <c:pt idx="0">
                  <c:v>Western Australia (Kt)</c:v>
                </c:pt>
                <c:pt idx="1">
                  <c:v>Rest of Australia (Kt)</c:v>
                </c:pt>
              </c:strCache>
            </c:strRef>
          </c:cat>
          <c:val>
            <c:numRef>
              <c:f>'Base Metals - WA vs Australia'!$V$68:$W$68</c:f>
              <c:numCache>
                <c:formatCode>#,##0.00</c:formatCode>
                <c:ptCount val="2"/>
                <c:pt idx="0">
                  <c:v>2.9168000000000003</c:v>
                </c:pt>
                <c:pt idx="1">
                  <c:v>463</c:v>
                </c:pt>
              </c:numCache>
            </c:numRef>
          </c:val>
          <c:extLst>
            <c:ext xmlns:c16="http://schemas.microsoft.com/office/drawing/2014/chart" uri="{C3380CC4-5D6E-409C-BE32-E72D297353CC}">
              <c16:uniqueId val="{00000003-B7D9-4C6B-810D-36263EEE97BA}"/>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zinc production 2019</a:t>
            </a:r>
          </a:p>
        </c:rich>
      </c:tx>
      <c:overlay val="0"/>
    </c:title>
    <c:autoTitleDeleted val="0"/>
    <c:plotArea>
      <c:layout/>
      <c:pieChart>
        <c:varyColors val="1"/>
        <c:ser>
          <c:idx val="0"/>
          <c:order val="0"/>
          <c:tx>
            <c:v>Australian and Western Australian Zinc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6F80-4E00-8EFF-F39FF6F40342}"/>
              </c:ext>
            </c:extLst>
          </c:dPt>
          <c:dLbls>
            <c:dLbl>
              <c:idx val="0"/>
              <c:layout>
                <c:manualLayout>
                  <c:x val="0.17000845112212418"/>
                  <c:y val="6.1967957343241648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F80-4E00-8EFF-F39FF6F40342}"/>
                </c:ext>
              </c:extLst>
            </c:dLbl>
            <c:dLbl>
              <c:idx val="1"/>
              <c:layout>
                <c:manualLayout>
                  <c:x val="0.11620895119520007"/>
                  <c:y val="-0.16107765292961132"/>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5688114098196202"/>
                      <c:h val="0.21397579110996809"/>
                    </c:manualLayout>
                  </c15:layout>
                </c:ext>
                <c:ext xmlns:c16="http://schemas.microsoft.com/office/drawing/2014/chart" uri="{C3380CC4-5D6E-409C-BE32-E72D297353CC}">
                  <c16:uniqueId val="{00000001-6F80-4E00-8EFF-F39FF6F40342}"/>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Australia'!$X$58:$Y$58</c:f>
              <c:strCache>
                <c:ptCount val="2"/>
                <c:pt idx="0">
                  <c:v>Western Australia (Kt)</c:v>
                </c:pt>
                <c:pt idx="1">
                  <c:v>Rest of Australia (Kt)</c:v>
                </c:pt>
              </c:strCache>
            </c:strRef>
          </c:cat>
          <c:val>
            <c:numRef>
              <c:f>'Base Metals - WA vs Australia'!$X$68:$Y$68</c:f>
              <c:numCache>
                <c:formatCode>#,##0.00</c:formatCode>
                <c:ptCount val="2"/>
                <c:pt idx="0">
                  <c:v>76.859004999999996</c:v>
                </c:pt>
                <c:pt idx="1">
                  <c:v>1194</c:v>
                </c:pt>
              </c:numCache>
            </c:numRef>
          </c:val>
          <c:extLst>
            <c:ext xmlns:c16="http://schemas.microsoft.com/office/drawing/2014/chart" uri="{C3380CC4-5D6E-409C-BE32-E72D297353CC}">
              <c16:uniqueId val="{00000003-6F80-4E00-8EFF-F39FF6F40342}"/>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br>
              <a:rPr lang="en-AU"/>
            </a:br>
            <a:r>
              <a:rPr lang="en-AU" sz="1100"/>
              <a:t>Western</a:t>
            </a:r>
            <a:r>
              <a:rPr lang="en-AU" sz="1100" baseline="0"/>
              <a:t> Australian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0.11723502005953151"/>
          <c:y val="0.28080177095816755"/>
          <c:w val="0.83640311144108492"/>
          <c:h val="0.5358432496713107"/>
        </c:manualLayout>
      </c:layout>
      <c:barChart>
        <c:barDir val="col"/>
        <c:grouping val="stacked"/>
        <c:varyColors val="0"/>
        <c:ser>
          <c:idx val="0"/>
          <c:order val="0"/>
          <c:tx>
            <c:strRef>
              <c:f>'Base Metals - WA vs Australia'!$D$7</c:f>
              <c:strCache>
                <c:ptCount val="1"/>
                <c:pt idx="0">
                  <c:v>Western Australia (Kt)</c:v>
                </c:pt>
              </c:strCache>
            </c:strRef>
          </c:tx>
          <c:spPr>
            <a:solidFill>
              <a:srgbClr val="FF66CC"/>
            </a:solidFill>
            <a:ln>
              <a:noFill/>
            </a:ln>
          </c:spPr>
          <c:invertIfNegative val="0"/>
          <c:cat>
            <c:numRef>
              <c:extLst>
                <c:ext xmlns:c15="http://schemas.microsoft.com/office/drawing/2012/chart" uri="{02D57815-91ED-43cb-92C2-25804820EDAC}">
                  <c15:fullRef>
                    <c15:sqref>'Base Metals - WA vs Australia'!$A$8:$A$47</c15:sqref>
                  </c15:fullRef>
                </c:ext>
              </c:extLst>
              <c:f>'Base Metals - WA vs Australia'!$A$12:$A$47</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extLst>
                <c:ext xmlns:c15="http://schemas.microsoft.com/office/drawing/2012/chart" uri="{02D57815-91ED-43cb-92C2-25804820EDAC}">
                  <c15:fullRef>
                    <c15:sqref>'Base Metals - WA vs Australia'!$D$8:$D$47</c15:sqref>
                  </c15:fullRef>
                </c:ext>
              </c:extLst>
              <c:f>'Base Metals - WA vs Australia'!$D$12:$D$47</c:f>
              <c:numCache>
                <c:formatCode>#,##0.00</c:formatCode>
                <c:ptCount val="36"/>
                <c:pt idx="0">
                  <c:v>0</c:v>
                </c:pt>
                <c:pt idx="1">
                  <c:v>0</c:v>
                </c:pt>
                <c:pt idx="2">
                  <c:v>0</c:v>
                </c:pt>
                <c:pt idx="3">
                  <c:v>0</c:v>
                </c:pt>
                <c:pt idx="4">
                  <c:v>0</c:v>
                </c:pt>
                <c:pt idx="5">
                  <c:v>7.8460000000000001</c:v>
                </c:pt>
                <c:pt idx="6">
                  <c:v>13.606</c:v>
                </c:pt>
                <c:pt idx="7">
                  <c:v>10.698</c:v>
                </c:pt>
                <c:pt idx="8">
                  <c:v>20.963999999999999</c:v>
                </c:pt>
                <c:pt idx="9">
                  <c:v>32.276000000000003</c:v>
                </c:pt>
                <c:pt idx="10">
                  <c:v>20.286999999999999</c:v>
                </c:pt>
                <c:pt idx="11">
                  <c:v>15.641999999999999</c:v>
                </c:pt>
                <c:pt idx="12">
                  <c:v>17.080275999999998</c:v>
                </c:pt>
                <c:pt idx="13">
                  <c:v>23.201461999999999</c:v>
                </c:pt>
                <c:pt idx="14">
                  <c:v>39.518000000000001</c:v>
                </c:pt>
                <c:pt idx="15">
                  <c:v>55.280813999999999</c:v>
                </c:pt>
                <c:pt idx="16">
                  <c:v>73.081000000000003</c:v>
                </c:pt>
                <c:pt idx="17">
                  <c:v>91.38300000000001</c:v>
                </c:pt>
                <c:pt idx="18">
                  <c:v>70.397000000000006</c:v>
                </c:pt>
                <c:pt idx="19">
                  <c:v>49.823</c:v>
                </c:pt>
                <c:pt idx="20">
                  <c:v>1.1747399999999999</c:v>
                </c:pt>
                <c:pt idx="21">
                  <c:v>28.595314999999999</c:v>
                </c:pt>
                <c:pt idx="22">
                  <c:v>70.95348899999999</c:v>
                </c:pt>
                <c:pt idx="23">
                  <c:v>37.091524999999997</c:v>
                </c:pt>
                <c:pt idx="24">
                  <c:v>18.538827999999999</c:v>
                </c:pt>
                <c:pt idx="25">
                  <c:v>22.755433000000004</c:v>
                </c:pt>
                <c:pt idx="26">
                  <c:v>52.922928999999996</c:v>
                </c:pt>
                <c:pt idx="27">
                  <c:v>8.3429219999999997</c:v>
                </c:pt>
                <c:pt idx="28">
                  <c:v>8.135294</c:v>
                </c:pt>
                <c:pt idx="29">
                  <c:v>52.261510000000001</c:v>
                </c:pt>
                <c:pt idx="30">
                  <c:v>80.888499999999993</c:v>
                </c:pt>
                <c:pt idx="31">
                  <c:v>20.259029999999999</c:v>
                </c:pt>
                <c:pt idx="32">
                  <c:v>4.76091</c:v>
                </c:pt>
                <c:pt idx="33">
                  <c:v>5.9010800000000003</c:v>
                </c:pt>
                <c:pt idx="34">
                  <c:v>6.0910000000000011</c:v>
                </c:pt>
                <c:pt idx="35">
                  <c:v>2.9168000000000003</c:v>
                </c:pt>
              </c:numCache>
            </c:numRef>
          </c:val>
          <c:extLst>
            <c:ext xmlns:c16="http://schemas.microsoft.com/office/drawing/2014/chart" uri="{C3380CC4-5D6E-409C-BE32-E72D297353CC}">
              <c16:uniqueId val="{00000000-8618-436C-8D6A-4DF04DC472E5}"/>
            </c:ext>
          </c:extLst>
        </c:ser>
        <c:ser>
          <c:idx val="1"/>
          <c:order val="1"/>
          <c:tx>
            <c:strRef>
              <c:f>'Base Metals - WA vs Australia'!$E$7</c:f>
              <c:strCache>
                <c:ptCount val="1"/>
                <c:pt idx="0">
                  <c:v>Rest of Australia (Kt)</c:v>
                </c:pt>
              </c:strCache>
            </c:strRef>
          </c:tx>
          <c:spPr>
            <a:solidFill>
              <a:srgbClr val="DEB2D7"/>
            </a:solidFill>
            <a:ln>
              <a:noFill/>
            </a:ln>
          </c:spPr>
          <c:invertIfNegative val="0"/>
          <c:cat>
            <c:numRef>
              <c:extLst>
                <c:ext xmlns:c15="http://schemas.microsoft.com/office/drawing/2012/chart" uri="{02D57815-91ED-43cb-92C2-25804820EDAC}">
                  <c15:fullRef>
                    <c15:sqref>'Base Metals - WA vs Australia'!$A$8:$A$47</c15:sqref>
                  </c15:fullRef>
                </c:ext>
              </c:extLst>
              <c:f>'Base Metals - WA vs Australia'!$A$12:$A$47</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extLst>
                <c:ext xmlns:c15="http://schemas.microsoft.com/office/drawing/2012/chart" uri="{02D57815-91ED-43cb-92C2-25804820EDAC}">
                  <c15:fullRef>
                    <c15:sqref>'Base Metals - WA vs Australia'!$E$8:$E$47</c15:sqref>
                  </c15:fullRef>
                </c:ext>
              </c:extLst>
              <c:f>'Base Metals - WA vs Australia'!$E$12:$E$47</c:f>
              <c:numCache>
                <c:formatCode>#,##0.00</c:formatCode>
                <c:ptCount val="36"/>
                <c:pt idx="0">
                  <c:v>441</c:v>
                </c:pt>
                <c:pt idx="1">
                  <c:v>498</c:v>
                </c:pt>
                <c:pt idx="2">
                  <c:v>445</c:v>
                </c:pt>
                <c:pt idx="3">
                  <c:v>489</c:v>
                </c:pt>
                <c:pt idx="4">
                  <c:v>462</c:v>
                </c:pt>
                <c:pt idx="5">
                  <c:v>495</c:v>
                </c:pt>
                <c:pt idx="6">
                  <c:v>564.69900000000007</c:v>
                </c:pt>
                <c:pt idx="7">
                  <c:v>565.72300000000007</c:v>
                </c:pt>
                <c:pt idx="8">
                  <c:v>565.00263450000011</c:v>
                </c:pt>
                <c:pt idx="9">
                  <c:v>508.07449600000001</c:v>
                </c:pt>
                <c:pt idx="10">
                  <c:v>491.67572100000001</c:v>
                </c:pt>
                <c:pt idx="11">
                  <c:v>449.36164880000001</c:v>
                </c:pt>
                <c:pt idx="12">
                  <c:v>509.97193960000004</c:v>
                </c:pt>
                <c:pt idx="13">
                  <c:v>506.69124799999997</c:v>
                </c:pt>
                <c:pt idx="14">
                  <c:v>580.16828559999999</c:v>
                </c:pt>
                <c:pt idx="15">
                  <c:v>621.56818600000008</c:v>
                </c:pt>
                <c:pt idx="16">
                  <c:v>626.2713</c:v>
                </c:pt>
                <c:pt idx="17">
                  <c:v>667.72134999999992</c:v>
                </c:pt>
                <c:pt idx="18">
                  <c:v>623.45499999999993</c:v>
                </c:pt>
                <c:pt idx="19">
                  <c:v>637.91300000000001</c:v>
                </c:pt>
                <c:pt idx="20">
                  <c:v>672.41225999999995</c:v>
                </c:pt>
                <c:pt idx="21">
                  <c:v>737.619685</c:v>
                </c:pt>
                <c:pt idx="22">
                  <c:v>597.06951099999992</c:v>
                </c:pt>
                <c:pt idx="23">
                  <c:v>603.55647499999986</c:v>
                </c:pt>
                <c:pt idx="24">
                  <c:v>631.2851720000001</c:v>
                </c:pt>
                <c:pt idx="25">
                  <c:v>561</c:v>
                </c:pt>
                <c:pt idx="26">
                  <c:v>616</c:v>
                </c:pt>
                <c:pt idx="27">
                  <c:v>604</c:v>
                </c:pt>
                <c:pt idx="28">
                  <c:v>613</c:v>
                </c:pt>
                <c:pt idx="29">
                  <c:v>664</c:v>
                </c:pt>
                <c:pt idx="30">
                  <c:v>642</c:v>
                </c:pt>
                <c:pt idx="31">
                  <c:v>634</c:v>
                </c:pt>
                <c:pt idx="32">
                  <c:v>436</c:v>
                </c:pt>
                <c:pt idx="33">
                  <c:v>385</c:v>
                </c:pt>
                <c:pt idx="34">
                  <c:v>423</c:v>
                </c:pt>
                <c:pt idx="35">
                  <c:v>463</c:v>
                </c:pt>
              </c:numCache>
            </c:numRef>
          </c:val>
          <c:extLst>
            <c:ext xmlns:c16="http://schemas.microsoft.com/office/drawing/2014/chart" uri="{C3380CC4-5D6E-409C-BE32-E72D297353CC}">
              <c16:uniqueId val="{00000001-8618-436C-8D6A-4DF04DC472E5}"/>
            </c:ext>
          </c:extLst>
        </c:ser>
        <c:dLbls>
          <c:showLegendKey val="0"/>
          <c:showVal val="0"/>
          <c:showCatName val="0"/>
          <c:showSerName val="0"/>
          <c:showPercent val="0"/>
          <c:showBubbleSize val="0"/>
        </c:dLbls>
        <c:gapWidth val="60"/>
        <c:overlap val="100"/>
        <c:axId val="118886784"/>
        <c:axId val="118888320"/>
      </c:barChart>
      <c:dateAx>
        <c:axId val="11888678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8888320"/>
        <c:crosses val="autoZero"/>
        <c:auto val="0"/>
        <c:lblOffset val="100"/>
        <c:baseTimeUnit val="days"/>
        <c:majorUnit val="5"/>
        <c:majorTimeUnit val="days"/>
      </c:dateAx>
      <c:valAx>
        <c:axId val="118888320"/>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18886784"/>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Western Australia vs Rest of Australia</a:t>
            </a:r>
          </a:p>
          <a:p>
            <a:pPr>
              <a:defRPr/>
            </a:pPr>
            <a:r>
              <a:rPr lang="en-AU" sz="1100"/>
              <a:t>Past 10 years</a:t>
            </a:r>
          </a:p>
        </c:rich>
      </c:tx>
      <c:layout>
        <c:manualLayout>
          <c:xMode val="edge"/>
          <c:yMode val="edge"/>
          <c:x val="0.32240163840586161"/>
          <c:y val="2.0628877558948641E-2"/>
        </c:manualLayout>
      </c:layout>
      <c:overlay val="0"/>
    </c:title>
    <c:autoTitleDeleted val="0"/>
    <c:plotArea>
      <c:layout/>
      <c:lineChart>
        <c:grouping val="standard"/>
        <c:varyColors val="0"/>
        <c:ser>
          <c:idx val="0"/>
          <c:order val="0"/>
          <c:tx>
            <c:strRef>
              <c:f>'Base Metals - WA vs Australia'!$V$58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'Base Metals - WA vs Australia'!$V$59:$V$68</c:f>
              <c:numCache>
                <c:formatCode>#,##0.00</c:formatCode>
                <c:ptCount val="10"/>
                <c:pt idx="0">
                  <c:v>52.922928999999996</c:v>
                </c:pt>
                <c:pt idx="1">
                  <c:v>8.3429219999999997</c:v>
                </c:pt>
                <c:pt idx="2">
                  <c:v>8.135294</c:v>
                </c:pt>
                <c:pt idx="3">
                  <c:v>52.261510000000001</c:v>
                </c:pt>
                <c:pt idx="4">
                  <c:v>80.888499999999993</c:v>
                </c:pt>
                <c:pt idx="5">
                  <c:v>20.259029999999999</c:v>
                </c:pt>
                <c:pt idx="6">
                  <c:v>4.76091</c:v>
                </c:pt>
                <c:pt idx="7">
                  <c:v>5.9010800000000003</c:v>
                </c:pt>
                <c:pt idx="8">
                  <c:v>6.0910000000000011</c:v>
                </c:pt>
                <c:pt idx="9">
                  <c:v>2.9168000000000003</c:v>
                </c:pt>
              </c:numCache>
            </c:numRef>
          </c:val>
          <c:smooth val="0"/>
          <c:extLst>
            <c:ext xmlns:c16="http://schemas.microsoft.com/office/drawing/2014/chart" uri="{C3380CC4-5D6E-409C-BE32-E72D297353CC}">
              <c16:uniqueId val="{00000000-2B7F-41E7-B800-C499B72DC950}"/>
            </c:ext>
          </c:extLst>
        </c:ser>
        <c:ser>
          <c:idx val="1"/>
          <c:order val="1"/>
          <c:tx>
            <c:strRef>
              <c:f>'Base Metals - WA vs Australia'!$W$58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'Base Metals - WA vs Australia'!$W$59:$W$68</c:f>
              <c:numCache>
                <c:formatCode>#,##0.00</c:formatCode>
                <c:ptCount val="10"/>
                <c:pt idx="0">
                  <c:v>616</c:v>
                </c:pt>
                <c:pt idx="1">
                  <c:v>604</c:v>
                </c:pt>
                <c:pt idx="2">
                  <c:v>613</c:v>
                </c:pt>
                <c:pt idx="3">
                  <c:v>664</c:v>
                </c:pt>
                <c:pt idx="4">
                  <c:v>642</c:v>
                </c:pt>
                <c:pt idx="5">
                  <c:v>634</c:v>
                </c:pt>
                <c:pt idx="6">
                  <c:v>436</c:v>
                </c:pt>
                <c:pt idx="7">
                  <c:v>385</c:v>
                </c:pt>
                <c:pt idx="8">
                  <c:v>423</c:v>
                </c:pt>
                <c:pt idx="9">
                  <c:v>463</c:v>
                </c:pt>
              </c:numCache>
            </c:numRef>
          </c:val>
          <c:smooth val="0"/>
          <c:extLst>
            <c:ext xmlns:c16="http://schemas.microsoft.com/office/drawing/2014/chart" uri="{C3380CC4-5D6E-409C-BE32-E72D297353CC}">
              <c16:uniqueId val="{00000001-2B7F-41E7-B800-C499B72DC950}"/>
            </c:ext>
          </c:extLst>
        </c:ser>
        <c:dLbls>
          <c:showLegendKey val="0"/>
          <c:showVal val="0"/>
          <c:showCatName val="0"/>
          <c:showSerName val="0"/>
          <c:showPercent val="0"/>
          <c:showBubbleSize val="0"/>
        </c:dLbls>
        <c:marker val="1"/>
        <c:smooth val="0"/>
        <c:axId val="130488192"/>
        <c:axId val="130486272"/>
      </c:lineChart>
      <c:valAx>
        <c:axId val="130486272"/>
        <c:scaling>
          <c:orientation val="minMax"/>
        </c:scaling>
        <c:delete val="0"/>
        <c:axPos val="l"/>
        <c:majorGridlines/>
        <c:title>
          <c:tx>
            <c:rich>
              <a:bodyPr/>
              <a:lstStyle/>
              <a:p>
                <a:pPr>
                  <a:defRPr/>
                </a:pPr>
                <a:r>
                  <a:rPr lang="en-AU"/>
                  <a:t>Thousand Tonnes</a:t>
                </a:r>
              </a:p>
            </c:rich>
          </c:tx>
          <c:overlay val="0"/>
        </c:title>
        <c:numFmt formatCode="0" sourceLinked="0"/>
        <c:majorTickMark val="out"/>
        <c:minorTickMark val="none"/>
        <c:tickLblPos val="nextTo"/>
        <c:crossAx val="130488192"/>
        <c:crosses val="autoZero"/>
        <c:crossBetween val="between"/>
      </c:valAx>
      <c:catAx>
        <c:axId val="130488192"/>
        <c:scaling>
          <c:orientation val="minMax"/>
        </c:scaling>
        <c:delete val="0"/>
        <c:axPos val="b"/>
        <c:title>
          <c:tx>
            <c:rich>
              <a:bodyPr/>
              <a:lstStyle/>
              <a:p>
                <a:pPr>
                  <a:defRPr/>
                </a:pPr>
                <a:r>
                  <a:rPr lang="en-AU" sz="900" b="1" i="0" baseline="0">
                    <a:effectLst/>
                  </a:rPr>
                  <a:t>Source:  DMIRS and OoCE</a:t>
                </a:r>
                <a:endParaRPr lang="en-AU" sz="900">
                  <a:effectLst/>
                </a:endParaRPr>
              </a:p>
            </c:rich>
          </c:tx>
          <c:layout>
            <c:manualLayout>
              <c:xMode val="edge"/>
              <c:yMode val="edge"/>
              <c:x val="6.9910404979668331E-3"/>
              <c:y val="0.94555844293665325"/>
            </c:manualLayout>
          </c:layout>
          <c:overlay val="0"/>
        </c:title>
        <c:numFmt formatCode="General" sourceLinked="1"/>
        <c:majorTickMark val="out"/>
        <c:minorTickMark val="none"/>
        <c:tickLblPos val="nextTo"/>
        <c:txPr>
          <a:bodyPr rot="-2700000"/>
          <a:lstStyle/>
          <a:p>
            <a:pPr>
              <a:defRPr/>
            </a:pPr>
            <a:endParaRPr lang="en-US"/>
          </a:p>
        </c:txPr>
        <c:crossAx val="13048627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br>
              <a:rPr lang="en-AU"/>
            </a:br>
            <a:r>
              <a:rPr lang="en-AU" sz="1100"/>
              <a:t>Western</a:t>
            </a:r>
            <a:r>
              <a:rPr lang="en-AU" sz="1100" baseline="0"/>
              <a:t> Australia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0.12159632471160682"/>
          <c:y val="0.26124669888827301"/>
          <c:w val="0.81257822251182332"/>
          <c:h val="0.53389075756208038"/>
        </c:manualLayout>
      </c:layout>
      <c:barChart>
        <c:barDir val="col"/>
        <c:grouping val="stacked"/>
        <c:varyColors val="0"/>
        <c:ser>
          <c:idx val="0"/>
          <c:order val="0"/>
          <c:tx>
            <c:strRef>
              <c:f>'Base Metals - WA vs Australia'!$F$7</c:f>
              <c:strCache>
                <c:ptCount val="1"/>
                <c:pt idx="0">
                  <c:v>Western Australia (Kt)</c:v>
                </c:pt>
              </c:strCache>
            </c:strRef>
          </c:tx>
          <c:spPr>
            <a:solidFill>
              <a:srgbClr val="FF66CC"/>
            </a:solidFill>
            <a:ln>
              <a:noFill/>
            </a:ln>
          </c:spPr>
          <c:invertIfNegative val="0"/>
          <c:cat>
            <c:numRef>
              <c:extLst>
                <c:ext xmlns:c15="http://schemas.microsoft.com/office/drawing/2012/chart" uri="{02D57815-91ED-43cb-92C2-25804820EDAC}">
                  <c15:fullRef>
                    <c15:sqref>'Base Metals - WA vs Australia'!$A$8:$A$47</c15:sqref>
                  </c15:fullRef>
                </c:ext>
              </c:extLst>
              <c:f>'Base Metals - WA vs Australia'!$A$12:$A$47</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extLst>
                <c:ext xmlns:c15="http://schemas.microsoft.com/office/drawing/2012/chart" uri="{02D57815-91ED-43cb-92C2-25804820EDAC}">
                  <c15:fullRef>
                    <c15:sqref>'Base Metals - WA vs Australia'!$F$8:$F$47</c15:sqref>
                  </c15:fullRef>
                </c:ext>
              </c:extLst>
              <c:f>'Base Metals - WA vs Australia'!$F$12:$F$47</c:f>
              <c:numCache>
                <c:formatCode>#,##0.00</c:formatCode>
                <c:ptCount val="36"/>
                <c:pt idx="0">
                  <c:v>35.64</c:v>
                </c:pt>
                <c:pt idx="1">
                  <c:v>51.976999999999997</c:v>
                </c:pt>
                <c:pt idx="2">
                  <c:v>23.969000000000001</c:v>
                </c:pt>
                <c:pt idx="3">
                  <c:v>0</c:v>
                </c:pt>
                <c:pt idx="4">
                  <c:v>20.25</c:v>
                </c:pt>
                <c:pt idx="5">
                  <c:v>38.064</c:v>
                </c:pt>
                <c:pt idx="6">
                  <c:v>51.704000000000001</c:v>
                </c:pt>
                <c:pt idx="7">
                  <c:v>112.015</c:v>
                </c:pt>
                <c:pt idx="8">
                  <c:v>141.38499999999999</c:v>
                </c:pt>
                <c:pt idx="9">
                  <c:v>141.096</c:v>
                </c:pt>
                <c:pt idx="10">
                  <c:v>123.621</c:v>
                </c:pt>
                <c:pt idx="11">
                  <c:v>126.336</c:v>
                </c:pt>
                <c:pt idx="12">
                  <c:v>106.85529852100001</c:v>
                </c:pt>
                <c:pt idx="13">
                  <c:v>117.198171</c:v>
                </c:pt>
                <c:pt idx="14">
                  <c:v>149.33000000000001</c:v>
                </c:pt>
                <c:pt idx="15">
                  <c:v>222.53985500000002</c:v>
                </c:pt>
                <c:pt idx="16">
                  <c:v>257.71199999999999</c:v>
                </c:pt>
                <c:pt idx="17">
                  <c:v>210.83700000000002</c:v>
                </c:pt>
                <c:pt idx="18">
                  <c:v>218.803</c:v>
                </c:pt>
                <c:pt idx="19">
                  <c:v>148.83994000000001</c:v>
                </c:pt>
                <c:pt idx="20">
                  <c:v>51.78387</c:v>
                </c:pt>
                <c:pt idx="21">
                  <c:v>59.104380000000006</c:v>
                </c:pt>
                <c:pt idx="22">
                  <c:v>109.06339100000001</c:v>
                </c:pt>
                <c:pt idx="23">
                  <c:v>173.33780000000002</c:v>
                </c:pt>
                <c:pt idx="24">
                  <c:v>189.81195299999999</c:v>
                </c:pt>
                <c:pt idx="25">
                  <c:v>99.811695999999984</c:v>
                </c:pt>
                <c:pt idx="26">
                  <c:v>81.515219999999999</c:v>
                </c:pt>
                <c:pt idx="27">
                  <c:v>74.400736999999992</c:v>
                </c:pt>
                <c:pt idx="28">
                  <c:v>57.112677000000005</c:v>
                </c:pt>
                <c:pt idx="29">
                  <c:v>47.985599999999998</c:v>
                </c:pt>
                <c:pt idx="30">
                  <c:v>72.763530000000003</c:v>
                </c:pt>
                <c:pt idx="31">
                  <c:v>77.178319999999999</c:v>
                </c:pt>
                <c:pt idx="32">
                  <c:v>94.963539999999995</c:v>
                </c:pt>
                <c:pt idx="33">
                  <c:v>84.653807999999998</c:v>
                </c:pt>
                <c:pt idx="34">
                  <c:v>68.823993000000002</c:v>
                </c:pt>
                <c:pt idx="35">
                  <c:v>76.859004999999996</c:v>
                </c:pt>
              </c:numCache>
            </c:numRef>
          </c:val>
          <c:extLst>
            <c:ext xmlns:c16="http://schemas.microsoft.com/office/drawing/2014/chart" uri="{C3380CC4-5D6E-409C-BE32-E72D297353CC}">
              <c16:uniqueId val="{00000000-B061-4293-A8EE-659EC05F201D}"/>
            </c:ext>
          </c:extLst>
        </c:ser>
        <c:ser>
          <c:idx val="1"/>
          <c:order val="1"/>
          <c:tx>
            <c:strRef>
              <c:f>'Base Metals - WA vs Australia'!$G$7</c:f>
              <c:strCache>
                <c:ptCount val="1"/>
                <c:pt idx="0">
                  <c:v>Rest of Australia (Kt)</c:v>
                </c:pt>
              </c:strCache>
            </c:strRef>
          </c:tx>
          <c:spPr>
            <a:solidFill>
              <a:srgbClr val="DEB2D7"/>
            </a:solidFill>
            <a:ln>
              <a:noFill/>
            </a:ln>
          </c:spPr>
          <c:invertIfNegative val="0"/>
          <c:cat>
            <c:numRef>
              <c:extLst>
                <c:ext xmlns:c15="http://schemas.microsoft.com/office/drawing/2012/chart" uri="{02D57815-91ED-43cb-92C2-25804820EDAC}">
                  <c15:fullRef>
                    <c15:sqref>'Base Metals - WA vs Australia'!$A$8:$A$47</c15:sqref>
                  </c15:fullRef>
                </c:ext>
              </c:extLst>
              <c:f>'Base Metals - WA vs Australia'!$A$12:$A$47</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extLst>
                <c:ext xmlns:c15="http://schemas.microsoft.com/office/drawing/2012/chart" uri="{02D57815-91ED-43cb-92C2-25804820EDAC}">
                  <c15:fullRef>
                    <c15:sqref>'Base Metals - WA vs Australia'!$G$8:$G$47</c15:sqref>
                  </c15:fullRef>
                </c:ext>
              </c:extLst>
              <c:f>'Base Metals - WA vs Australia'!$G$12:$G$47</c:f>
              <c:numCache>
                <c:formatCode>#,##0.00</c:formatCode>
                <c:ptCount val="36"/>
                <c:pt idx="0">
                  <c:v>677</c:v>
                </c:pt>
                <c:pt idx="1">
                  <c:v>759</c:v>
                </c:pt>
                <c:pt idx="2">
                  <c:v>712</c:v>
                </c:pt>
                <c:pt idx="3">
                  <c:v>778</c:v>
                </c:pt>
                <c:pt idx="4">
                  <c:v>760</c:v>
                </c:pt>
                <c:pt idx="5">
                  <c:v>803</c:v>
                </c:pt>
                <c:pt idx="6">
                  <c:v>882.57560000000012</c:v>
                </c:pt>
                <c:pt idx="7">
                  <c:v>900.30520000000001</c:v>
                </c:pt>
                <c:pt idx="8">
                  <c:v>923.9254406</c:v>
                </c:pt>
                <c:pt idx="9">
                  <c:v>880.42057299999999</c:v>
                </c:pt>
                <c:pt idx="10">
                  <c:v>845.69662699999992</c:v>
                </c:pt>
                <c:pt idx="11">
                  <c:v>817.34446200000002</c:v>
                </c:pt>
                <c:pt idx="12">
                  <c:v>907.12170147899997</c:v>
                </c:pt>
                <c:pt idx="13">
                  <c:v>840.23782899999992</c:v>
                </c:pt>
                <c:pt idx="14">
                  <c:v>870.02799999999991</c:v>
                </c:pt>
                <c:pt idx="15">
                  <c:v>897.12634500000013</c:v>
                </c:pt>
                <c:pt idx="16">
                  <c:v>1121.9626999999998</c:v>
                </c:pt>
                <c:pt idx="17">
                  <c:v>1265.751859</c:v>
                </c:pt>
                <c:pt idx="18">
                  <c:v>1221.1280000000002</c:v>
                </c:pt>
                <c:pt idx="19">
                  <c:v>1293.2950599999999</c:v>
                </c:pt>
                <c:pt idx="20">
                  <c:v>1245.47513</c:v>
                </c:pt>
                <c:pt idx="21">
                  <c:v>1269.63562</c:v>
                </c:pt>
                <c:pt idx="22">
                  <c:v>1217.611609</c:v>
                </c:pt>
                <c:pt idx="23">
                  <c:v>1307.9872</c:v>
                </c:pt>
                <c:pt idx="24">
                  <c:v>1292.7660470000001</c:v>
                </c:pt>
                <c:pt idx="25">
                  <c:v>1166</c:v>
                </c:pt>
                <c:pt idx="26">
                  <c:v>1346</c:v>
                </c:pt>
                <c:pt idx="27">
                  <c:v>1387</c:v>
                </c:pt>
                <c:pt idx="28">
                  <c:v>1428</c:v>
                </c:pt>
                <c:pt idx="29">
                  <c:v>1419</c:v>
                </c:pt>
                <c:pt idx="30">
                  <c:v>1421</c:v>
                </c:pt>
                <c:pt idx="31">
                  <c:v>1508</c:v>
                </c:pt>
                <c:pt idx="32">
                  <c:v>806</c:v>
                </c:pt>
                <c:pt idx="33">
                  <c:v>767</c:v>
                </c:pt>
                <c:pt idx="34">
                  <c:v>1021</c:v>
                </c:pt>
                <c:pt idx="35">
                  <c:v>1194</c:v>
                </c:pt>
              </c:numCache>
            </c:numRef>
          </c:val>
          <c:extLst>
            <c:ext xmlns:c16="http://schemas.microsoft.com/office/drawing/2014/chart" uri="{C3380CC4-5D6E-409C-BE32-E72D297353CC}">
              <c16:uniqueId val="{00000001-B061-4293-A8EE-659EC05F201D}"/>
            </c:ext>
          </c:extLst>
        </c:ser>
        <c:dLbls>
          <c:showLegendKey val="0"/>
          <c:showVal val="0"/>
          <c:showCatName val="0"/>
          <c:showSerName val="0"/>
          <c:showPercent val="0"/>
          <c:showBubbleSize val="0"/>
        </c:dLbls>
        <c:gapWidth val="60"/>
        <c:overlap val="100"/>
        <c:axId val="130510848"/>
        <c:axId val="130512384"/>
      </c:barChart>
      <c:dateAx>
        <c:axId val="130510848"/>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512384"/>
        <c:crosses val="autoZero"/>
        <c:auto val="0"/>
        <c:lblOffset val="100"/>
        <c:baseTimeUnit val="days"/>
        <c:majorUnit val="5"/>
        <c:majorTimeUnit val="days"/>
      </c:dateAx>
      <c:valAx>
        <c:axId val="130512384"/>
        <c:scaling>
          <c:orientation val="minMax"/>
        </c:scaling>
        <c:delete val="0"/>
        <c:axPos val="l"/>
        <c:majorGridlines/>
        <c:title>
          <c:tx>
            <c:rich>
              <a:bodyPr rot="-5400000" vert="horz"/>
              <a:lstStyle/>
              <a:p>
                <a:pPr>
                  <a:defRPr/>
                </a:pPr>
                <a:r>
                  <a:rPr lang="en-AU"/>
                  <a:t>Thousand Tonnes</a:t>
                </a:r>
              </a:p>
            </c:rich>
          </c:tx>
          <c:layout>
            <c:manualLayout>
              <c:xMode val="edge"/>
              <c:yMode val="edge"/>
              <c:x val="1.2800581959295915E-2"/>
              <c:y val="0.34292459407770776"/>
            </c:manualLayout>
          </c:layout>
          <c:overlay val="0"/>
        </c:title>
        <c:numFmt formatCode="0" sourceLinked="0"/>
        <c:majorTickMark val="out"/>
        <c:minorTickMark val="none"/>
        <c:tickLblPos val="nextTo"/>
        <c:txPr>
          <a:bodyPr rot="0" vert="horz"/>
          <a:lstStyle/>
          <a:p>
            <a:pPr>
              <a:defRPr/>
            </a:pPr>
            <a:endParaRPr lang="en-US"/>
          </a:p>
        </c:txPr>
        <c:crossAx val="130510848"/>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Major Commodities by Value (Last 2 years)</a:t>
            </a:r>
          </a:p>
        </c:rich>
      </c:tx>
      <c:layout>
        <c:manualLayout>
          <c:xMode val="edge"/>
          <c:yMode val="edge"/>
          <c:x val="0.30998384817282454"/>
          <c:y val="4.7781505030231292E-2"/>
        </c:manualLayout>
      </c:layout>
      <c:overlay val="0"/>
    </c:title>
    <c:autoTitleDeleted val="0"/>
    <c:plotArea>
      <c:layout>
        <c:manualLayout>
          <c:layoutTarget val="inner"/>
          <c:xMode val="edge"/>
          <c:yMode val="edge"/>
          <c:x val="0.19705584678447841"/>
          <c:y val="0.19278460086589028"/>
          <c:w val="0.76444078493978662"/>
          <c:h val="0.67917111722608048"/>
        </c:manualLayout>
      </c:layout>
      <c:barChart>
        <c:barDir val="bar"/>
        <c:grouping val="clustered"/>
        <c:varyColors val="0"/>
        <c:ser>
          <c:idx val="1"/>
          <c:order val="0"/>
          <c:tx>
            <c:strRef>
              <c:f>'Major Commodity Summary'!$R$73</c:f>
              <c:strCache>
                <c:ptCount val="1"/>
                <c:pt idx="0">
                  <c:v>2018</c:v>
                </c:pt>
              </c:strCache>
            </c:strRef>
          </c:tx>
          <c:invertIfNegative val="0"/>
          <c:cat>
            <c:strRef>
              <c:f>'Major Commodity Summary'!$T$74:$T$83</c:f>
              <c:strCache>
                <c:ptCount val="10"/>
                <c:pt idx="0">
                  <c:v>Lithium</c:v>
                </c:pt>
                <c:pt idx="1">
                  <c:v>Mineral Sands</c:v>
                </c:pt>
                <c:pt idx="2">
                  <c:v>Base Metals</c:v>
                </c:pt>
                <c:pt idx="3">
                  <c:v>Natural Gas and LPG</c:v>
                </c:pt>
                <c:pt idx="4">
                  <c:v>Nickel Industry</c:v>
                </c:pt>
                <c:pt idx="5">
                  <c:v>Alumina and Bauxite</c:v>
                </c:pt>
                <c:pt idx="6">
                  <c:v>Gold</c:v>
                </c:pt>
                <c:pt idx="7">
                  <c:v>Crude Oil and Condensate</c:v>
                </c:pt>
                <c:pt idx="8">
                  <c:v>LNG</c:v>
                </c:pt>
                <c:pt idx="9">
                  <c:v>Iron Ore</c:v>
                </c:pt>
              </c:strCache>
            </c:strRef>
          </c:cat>
          <c:val>
            <c:numRef>
              <c:f>'Major Commodity Summary'!$R$74:$R$83</c:f>
              <c:numCache>
                <c:formatCode>General</c:formatCode>
                <c:ptCount val="10"/>
                <c:pt idx="0">
                  <c:v>1862.9575689999999</c:v>
                </c:pt>
                <c:pt idx="1">
                  <c:v>628.09778739685089</c:v>
                </c:pt>
                <c:pt idx="2">
                  <c:v>1623.7904109999999</c:v>
                </c:pt>
                <c:pt idx="3">
                  <c:v>1933.8924281366226</c:v>
                </c:pt>
                <c:pt idx="4">
                  <c:v>3143.3057869999998</c:v>
                </c:pt>
                <c:pt idx="5">
                  <c:v>7924.8548730000002</c:v>
                </c:pt>
                <c:pt idx="6">
                  <c:v>11516.482507000001</c:v>
                </c:pt>
                <c:pt idx="7">
                  <c:v>7447.9883620873643</c:v>
                </c:pt>
                <c:pt idx="8">
                  <c:v>26978.126958992532</c:v>
                </c:pt>
                <c:pt idx="9">
                  <c:v>65236.000407999993</c:v>
                </c:pt>
              </c:numCache>
            </c:numRef>
          </c:val>
          <c:extLst>
            <c:ext xmlns:c16="http://schemas.microsoft.com/office/drawing/2014/chart" uri="{C3380CC4-5D6E-409C-BE32-E72D297353CC}">
              <c16:uniqueId val="{00000000-A639-4C8E-BEC2-90F9F28F8AE9}"/>
            </c:ext>
          </c:extLst>
        </c:ser>
        <c:ser>
          <c:idx val="0"/>
          <c:order val="1"/>
          <c:tx>
            <c:strRef>
              <c:f>'Major Commodity Summary'!$S$73</c:f>
              <c:strCache>
                <c:ptCount val="1"/>
                <c:pt idx="0">
                  <c:v>2019</c:v>
                </c:pt>
              </c:strCache>
            </c:strRef>
          </c:tx>
          <c:invertIfNegative val="0"/>
          <c:cat>
            <c:strRef>
              <c:f>'Major Commodity Summary'!$T$74:$T$83</c:f>
              <c:strCache>
                <c:ptCount val="10"/>
                <c:pt idx="0">
                  <c:v>Lithium</c:v>
                </c:pt>
                <c:pt idx="1">
                  <c:v>Mineral Sands</c:v>
                </c:pt>
                <c:pt idx="2">
                  <c:v>Base Metals</c:v>
                </c:pt>
                <c:pt idx="3">
                  <c:v>Natural Gas and LPG</c:v>
                </c:pt>
                <c:pt idx="4">
                  <c:v>Nickel Industry</c:v>
                </c:pt>
                <c:pt idx="5">
                  <c:v>Alumina and Bauxite</c:v>
                </c:pt>
                <c:pt idx="6">
                  <c:v>Gold</c:v>
                </c:pt>
                <c:pt idx="7">
                  <c:v>Crude Oil and Condensate</c:v>
                </c:pt>
                <c:pt idx="8">
                  <c:v>LNG</c:v>
                </c:pt>
                <c:pt idx="9">
                  <c:v>Iron Ore</c:v>
                </c:pt>
              </c:strCache>
            </c:strRef>
          </c:cat>
          <c:val>
            <c:numRef>
              <c:f>'Major Commodity Summary'!$S$74:$S$83</c:f>
              <c:numCache>
                <c:formatCode>General</c:formatCode>
                <c:ptCount val="10"/>
                <c:pt idx="0">
                  <c:v>1345.7890170000001</c:v>
                </c:pt>
                <c:pt idx="1">
                  <c:v>668.67931226340795</c:v>
                </c:pt>
                <c:pt idx="2">
                  <c:v>1661.8022630000003</c:v>
                </c:pt>
                <c:pt idx="3">
                  <c:v>1972.2443453218998</c:v>
                </c:pt>
                <c:pt idx="4">
                  <c:v>3403.2250650000001</c:v>
                </c:pt>
                <c:pt idx="5">
                  <c:v>7358.9849519999998</c:v>
                </c:pt>
                <c:pt idx="6">
                  <c:v>13787.397590999997</c:v>
                </c:pt>
                <c:pt idx="7">
                  <c:v>10121.61430694461</c:v>
                </c:pt>
                <c:pt idx="8">
                  <c:v>27394.793066075847</c:v>
                </c:pt>
                <c:pt idx="9">
                  <c:v>97675.628391999999</c:v>
                </c:pt>
              </c:numCache>
            </c:numRef>
          </c:val>
          <c:extLst>
            <c:ext xmlns:c16="http://schemas.microsoft.com/office/drawing/2014/chart" uri="{C3380CC4-5D6E-409C-BE32-E72D297353CC}">
              <c16:uniqueId val="{00000001-A639-4C8E-BEC2-90F9F28F8AE9}"/>
            </c:ext>
          </c:extLst>
        </c:ser>
        <c:dLbls>
          <c:showLegendKey val="0"/>
          <c:showVal val="0"/>
          <c:showCatName val="0"/>
          <c:showSerName val="0"/>
          <c:showPercent val="0"/>
          <c:showBubbleSize val="0"/>
        </c:dLbls>
        <c:gapWidth val="150"/>
        <c:axId val="116648960"/>
        <c:axId val="116470528"/>
      </c:barChart>
      <c:catAx>
        <c:axId val="116648960"/>
        <c:scaling>
          <c:orientation val="minMax"/>
        </c:scaling>
        <c:delete val="0"/>
        <c:axPos val="l"/>
        <c:numFmt formatCode="General" sourceLinked="1"/>
        <c:majorTickMark val="out"/>
        <c:minorTickMark val="none"/>
        <c:tickLblPos val="nextTo"/>
        <c:txPr>
          <a:bodyPr rot="0" vert="horz"/>
          <a:lstStyle/>
          <a:p>
            <a:pPr>
              <a:defRPr/>
            </a:pPr>
            <a:endParaRPr lang="en-US"/>
          </a:p>
        </c:txPr>
        <c:crossAx val="116470528"/>
        <c:crossesAt val="0"/>
        <c:auto val="1"/>
        <c:lblAlgn val="ctr"/>
        <c:lblOffset val="100"/>
        <c:tickLblSkip val="1"/>
        <c:tickMarkSkip val="1"/>
        <c:noMultiLvlLbl val="0"/>
      </c:catAx>
      <c:valAx>
        <c:axId val="116470528"/>
        <c:scaling>
          <c:orientation val="minMax"/>
          <c:min val="0"/>
        </c:scaling>
        <c:delete val="0"/>
        <c:axPos val="b"/>
        <c:majorGridlines/>
        <c:title>
          <c:tx>
            <c:rich>
              <a:bodyPr/>
              <a:lstStyle/>
              <a:p>
                <a:pPr>
                  <a:defRPr/>
                </a:pPr>
                <a:r>
                  <a:rPr lang="en-AU"/>
                  <a:t>$ Million</a:t>
                </a:r>
              </a:p>
            </c:rich>
          </c:tx>
          <c:layout>
            <c:manualLayout>
              <c:xMode val="edge"/>
              <c:yMode val="edge"/>
              <c:x val="0.10419044772512674"/>
              <c:y val="0.88505796799679359"/>
            </c:manualLayout>
          </c:layout>
          <c:overlay val="0"/>
        </c:title>
        <c:numFmt formatCode="#,##0_ ;\-#,##0\ " sourceLinked="0"/>
        <c:majorTickMark val="out"/>
        <c:minorTickMark val="none"/>
        <c:tickLblPos val="nextTo"/>
        <c:txPr>
          <a:bodyPr rot="0" vert="horz"/>
          <a:lstStyle/>
          <a:p>
            <a:pPr>
              <a:defRPr/>
            </a:pPr>
            <a:endParaRPr lang="en-US"/>
          </a:p>
        </c:txPr>
        <c:crossAx val="116648960"/>
        <c:crosses val="autoZero"/>
        <c:crossBetween val="between"/>
      </c:valAx>
    </c:plotArea>
    <c:legend>
      <c:legendPos val="t"/>
      <c:overlay val="0"/>
    </c:legend>
    <c:plotVisOnly val="1"/>
    <c:dispBlanksAs val="gap"/>
    <c:showDLblsOverMax val="0"/>
  </c:chart>
  <c:printSettings>
    <c:headerFooter alignWithMargins="0"/>
    <c:pageMargins b="1" l="0.75000000000000178" r="0.75000000000000178" t="1" header="0.5" footer="0.5"/>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Western Australia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Australia'!$X$58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'Base Metals - WA vs Australia'!$X$59:$X$68</c:f>
              <c:numCache>
                <c:formatCode>#,##0.00</c:formatCode>
                <c:ptCount val="10"/>
                <c:pt idx="0">
                  <c:v>81.515219999999999</c:v>
                </c:pt>
                <c:pt idx="1">
                  <c:v>74.400736999999992</c:v>
                </c:pt>
                <c:pt idx="2">
                  <c:v>57.112677000000005</c:v>
                </c:pt>
                <c:pt idx="3">
                  <c:v>47.985599999999998</c:v>
                </c:pt>
                <c:pt idx="4">
                  <c:v>72.763530000000003</c:v>
                </c:pt>
                <c:pt idx="5">
                  <c:v>77.178319999999999</c:v>
                </c:pt>
                <c:pt idx="6">
                  <c:v>94.963539999999995</c:v>
                </c:pt>
                <c:pt idx="7">
                  <c:v>84.653807999999998</c:v>
                </c:pt>
                <c:pt idx="8">
                  <c:v>68.823993000000002</c:v>
                </c:pt>
                <c:pt idx="9">
                  <c:v>76.859004999999996</c:v>
                </c:pt>
              </c:numCache>
            </c:numRef>
          </c:val>
          <c:smooth val="0"/>
          <c:extLst>
            <c:ext xmlns:c16="http://schemas.microsoft.com/office/drawing/2014/chart" uri="{C3380CC4-5D6E-409C-BE32-E72D297353CC}">
              <c16:uniqueId val="{00000000-671C-45F4-904A-7460F2410EC0}"/>
            </c:ext>
          </c:extLst>
        </c:ser>
        <c:ser>
          <c:idx val="1"/>
          <c:order val="1"/>
          <c:tx>
            <c:strRef>
              <c:f>'Base Metals - WA vs Australia'!$Y$58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'Base Metals - WA vs Australia'!$Y$59:$Y$68</c:f>
              <c:numCache>
                <c:formatCode>#,##0.00</c:formatCode>
                <c:ptCount val="10"/>
                <c:pt idx="0">
                  <c:v>1346</c:v>
                </c:pt>
                <c:pt idx="1">
                  <c:v>1387</c:v>
                </c:pt>
                <c:pt idx="2">
                  <c:v>1428</c:v>
                </c:pt>
                <c:pt idx="3">
                  <c:v>1419</c:v>
                </c:pt>
                <c:pt idx="4">
                  <c:v>1421</c:v>
                </c:pt>
                <c:pt idx="5">
                  <c:v>1508</c:v>
                </c:pt>
                <c:pt idx="6">
                  <c:v>806</c:v>
                </c:pt>
                <c:pt idx="7">
                  <c:v>767</c:v>
                </c:pt>
                <c:pt idx="8">
                  <c:v>1021</c:v>
                </c:pt>
                <c:pt idx="9">
                  <c:v>1194</c:v>
                </c:pt>
              </c:numCache>
            </c:numRef>
          </c:val>
          <c:smooth val="0"/>
          <c:extLst>
            <c:ext xmlns:c16="http://schemas.microsoft.com/office/drawing/2014/chart" uri="{C3380CC4-5D6E-409C-BE32-E72D297353CC}">
              <c16:uniqueId val="{00000001-671C-45F4-904A-7460F2410EC0}"/>
            </c:ext>
          </c:extLst>
        </c:ser>
        <c:dLbls>
          <c:showLegendKey val="0"/>
          <c:showVal val="0"/>
          <c:showCatName val="0"/>
          <c:showSerName val="0"/>
          <c:showPercent val="0"/>
          <c:showBubbleSize val="0"/>
        </c:dLbls>
        <c:marker val="1"/>
        <c:smooth val="0"/>
        <c:axId val="131274240"/>
        <c:axId val="130547072"/>
      </c:lineChart>
      <c:valAx>
        <c:axId val="130547072"/>
        <c:scaling>
          <c:orientation val="minMax"/>
        </c:scaling>
        <c:delete val="0"/>
        <c:axPos val="l"/>
        <c:majorGridlines/>
        <c:title>
          <c:tx>
            <c:rich>
              <a:bodyPr/>
              <a:lstStyle/>
              <a:p>
                <a:pPr>
                  <a:defRPr/>
                </a:pPr>
                <a:r>
                  <a:rPr lang="en-AU"/>
                  <a:t>Thousand Tonnes</a:t>
                </a:r>
              </a:p>
            </c:rich>
          </c:tx>
          <c:overlay val="0"/>
        </c:title>
        <c:numFmt formatCode="0" sourceLinked="0"/>
        <c:majorTickMark val="out"/>
        <c:minorTickMark val="none"/>
        <c:tickLblPos val="nextTo"/>
        <c:crossAx val="131274240"/>
        <c:crosses val="autoZero"/>
        <c:crossBetween val="between"/>
      </c:valAx>
      <c:catAx>
        <c:axId val="131274240"/>
        <c:scaling>
          <c:orientation val="minMax"/>
        </c:scaling>
        <c:delete val="0"/>
        <c:axPos val="b"/>
        <c:title>
          <c:tx>
            <c:rich>
              <a:bodyPr/>
              <a:lstStyle/>
              <a:p>
                <a:pPr>
                  <a:defRPr/>
                </a:pPr>
                <a:r>
                  <a:rPr lang="en-AU" sz="900" b="1" i="0" baseline="0">
                    <a:effectLst/>
                  </a:rPr>
                  <a:t>Source:  DMIRS and OoCE</a:t>
                </a:r>
                <a:endParaRPr lang="en-AU" sz="900">
                  <a:effectLst/>
                </a:endParaRPr>
              </a:p>
            </c:rich>
          </c:tx>
          <c:layout>
            <c:manualLayout>
              <c:xMode val="edge"/>
              <c:yMode val="edge"/>
              <c:x val="6.7933445082519238E-3"/>
              <c:y val="0.95147395944337287"/>
            </c:manualLayout>
          </c:layout>
          <c:overlay val="0"/>
        </c:title>
        <c:numFmt formatCode="General" sourceLinked="1"/>
        <c:majorTickMark val="out"/>
        <c:minorTickMark val="none"/>
        <c:tickLblPos val="nextTo"/>
        <c:txPr>
          <a:bodyPr rot="-2700000"/>
          <a:lstStyle/>
          <a:p>
            <a:pPr>
              <a:defRPr/>
            </a:pPr>
            <a:endParaRPr lang="en-US"/>
          </a:p>
        </c:txPr>
        <c:crossAx val="13054707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Quarter</a:t>
            </a:r>
          </a:p>
        </c:rich>
      </c:tx>
      <c:overlay val="0"/>
    </c:title>
    <c:autoTitleDeleted val="0"/>
    <c:plotArea>
      <c:layout/>
      <c:barChart>
        <c:barDir val="col"/>
        <c:grouping val="clustered"/>
        <c:varyColors val="0"/>
        <c:ser>
          <c:idx val="0"/>
          <c:order val="0"/>
          <c:tx>
            <c:strRef>
              <c:f>'Gold - Q&amp;V'!$R$9</c:f>
              <c:strCache>
                <c:ptCount val="1"/>
                <c:pt idx="0">
                  <c:v>Quantity (tonnes)</c:v>
                </c:pt>
              </c:strCache>
            </c:strRef>
          </c:tx>
          <c:spPr>
            <a:solidFill>
              <a:srgbClr val="FFC000"/>
            </a:solidFill>
          </c:spPr>
          <c:invertIfNegative val="0"/>
          <c:cat>
            <c:numRef>
              <c:f>'Gold - Q&amp;V'!$Q$10:$Q$19</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'Gold - Q&amp;V'!$R$10:$R$19</c:f>
              <c:numCache>
                <c:formatCode>0.00</c:formatCode>
                <c:ptCount val="10"/>
                <c:pt idx="0">
                  <c:v>61.923837663640299</c:v>
                </c:pt>
                <c:pt idx="1">
                  <c:v>54.527467582354362</c:v>
                </c:pt>
                <c:pt idx="2">
                  <c:v>48.261774238196978</c:v>
                </c:pt>
                <c:pt idx="3">
                  <c:v>56.329034671095798</c:v>
                </c:pt>
                <c:pt idx="4">
                  <c:v>52.161586963891914</c:v>
                </c:pt>
                <c:pt idx="5">
                  <c:v>55.363435040126674</c:v>
                </c:pt>
                <c:pt idx="6">
                  <c:v>52.10808094380527</c:v>
                </c:pt>
                <c:pt idx="7">
                  <c:v>51.900464220063618</c:v>
                </c:pt>
                <c:pt idx="8">
                  <c:v>57.448625784197539</c:v>
                </c:pt>
                <c:pt idx="9">
                  <c:v>57.369655435184931</c:v>
                </c:pt>
              </c:numCache>
            </c:numRef>
          </c:val>
          <c:extLst>
            <c:ext xmlns:c16="http://schemas.microsoft.com/office/drawing/2014/chart" uri="{C3380CC4-5D6E-409C-BE32-E72D297353CC}">
              <c16:uniqueId val="{00000000-BD88-40A5-9134-89B96FB2A28D}"/>
            </c:ext>
          </c:extLst>
        </c:ser>
        <c:dLbls>
          <c:showLegendKey val="0"/>
          <c:showVal val="0"/>
          <c:showCatName val="0"/>
          <c:showSerName val="0"/>
          <c:showPercent val="0"/>
          <c:showBubbleSize val="0"/>
        </c:dLbls>
        <c:gapWidth val="40"/>
        <c:axId val="118701440"/>
        <c:axId val="118699520"/>
      </c:barChart>
      <c:lineChart>
        <c:grouping val="standard"/>
        <c:varyColors val="0"/>
        <c:ser>
          <c:idx val="1"/>
          <c:order val="1"/>
          <c:tx>
            <c:strRef>
              <c:f>'Gold - Q&amp;V'!$S$9</c:f>
              <c:strCache>
                <c:ptCount val="1"/>
                <c:pt idx="0">
                  <c:v>Value ($ Million)</c:v>
                </c:pt>
              </c:strCache>
            </c:strRef>
          </c:tx>
          <c:spPr>
            <a:ln>
              <a:solidFill>
                <a:srgbClr val="FFFF00"/>
              </a:solidFill>
            </a:ln>
          </c:spPr>
          <c:marker>
            <c:symbol val="none"/>
          </c:marker>
          <c:cat>
            <c:numRef>
              <c:f>'Nickel - Q&amp;V'!$R$10:$R$19</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'Gold - Q&amp;V'!$S$10:$S$19</c:f>
              <c:numCache>
                <c:formatCode>0.00</c:formatCode>
                <c:ptCount val="10"/>
                <c:pt idx="0">
                  <c:v>2778.87113</c:v>
                </c:pt>
                <c:pt idx="1">
                  <c:v>2908.9766020000002</c:v>
                </c:pt>
                <c:pt idx="2">
                  <c:v>2623.0905389999998</c:v>
                </c:pt>
                <c:pt idx="3">
                  <c:v>3124.627978</c:v>
                </c:pt>
                <c:pt idx="4">
                  <c:v>2780.8612419999999</c:v>
                </c:pt>
                <c:pt idx="5">
                  <c:v>2987.902748</c:v>
                </c:pt>
                <c:pt idx="6">
                  <c:v>3065.565396</c:v>
                </c:pt>
                <c:pt idx="7">
                  <c:v>3123.4105679999998</c:v>
                </c:pt>
                <c:pt idx="8">
                  <c:v>3598.3352810000001</c:v>
                </c:pt>
                <c:pt idx="9">
                  <c:v>4000.086346</c:v>
                </c:pt>
              </c:numCache>
            </c:numRef>
          </c:val>
          <c:smooth val="0"/>
          <c:extLst>
            <c:ext xmlns:c16="http://schemas.microsoft.com/office/drawing/2014/chart" uri="{C3380CC4-5D6E-409C-BE32-E72D297353CC}">
              <c16:uniqueId val="{00000001-BD88-40A5-9134-89B96FB2A28D}"/>
            </c:ext>
          </c:extLst>
        </c:ser>
        <c:dLbls>
          <c:showLegendKey val="0"/>
          <c:showVal val="0"/>
          <c:showCatName val="0"/>
          <c:showSerName val="0"/>
          <c:showPercent val="0"/>
          <c:showBubbleSize val="0"/>
        </c:dLbls>
        <c:marker val="1"/>
        <c:smooth val="0"/>
        <c:axId val="118695424"/>
        <c:axId val="118697344"/>
      </c:lineChart>
      <c:catAx>
        <c:axId val="118695424"/>
        <c:scaling>
          <c:orientation val="minMax"/>
        </c:scaling>
        <c:delete val="0"/>
        <c:axPos val="b"/>
        <c:title>
          <c:tx>
            <c:rich>
              <a:bodyPr/>
              <a:lstStyle/>
              <a:p>
                <a:pPr>
                  <a:defRPr sz="900"/>
                </a:pPr>
                <a:r>
                  <a:rPr lang="en-AU" sz="900"/>
                  <a:t>Source: DM</a:t>
                </a:r>
                <a:r>
                  <a:rPr lang="en-AU" sz="900" b="1" i="0" u="none" strike="noStrike" baseline="0">
                    <a:effectLst/>
                  </a:rPr>
                  <a:t>IRS</a:t>
                </a:r>
                <a:endParaRPr lang="en-AU" sz="900"/>
              </a:p>
            </c:rich>
          </c:tx>
          <c:layout>
            <c:manualLayout>
              <c:xMode val="edge"/>
              <c:yMode val="edge"/>
              <c:x val="6.828030912650258E-3"/>
              <c:y val="0.94429725109716078"/>
            </c:manualLayout>
          </c:layout>
          <c:overlay val="0"/>
        </c:title>
        <c:numFmt formatCode="mmm\-yy" sourceLinked="1"/>
        <c:majorTickMark val="out"/>
        <c:minorTickMark val="none"/>
        <c:tickLblPos val="nextTo"/>
        <c:crossAx val="118697344"/>
        <c:crosses val="autoZero"/>
        <c:auto val="0"/>
        <c:lblAlgn val="ctr"/>
        <c:lblOffset val="100"/>
        <c:noMultiLvlLbl val="0"/>
      </c:catAx>
      <c:valAx>
        <c:axId val="118697344"/>
        <c:scaling>
          <c:orientation val="minMax"/>
          <c:min val="1800"/>
        </c:scaling>
        <c:delete val="0"/>
        <c:axPos val="l"/>
        <c:majorGridlines/>
        <c:title>
          <c:tx>
            <c:rich>
              <a:bodyPr rot="-5400000" vert="horz"/>
              <a:lstStyle/>
              <a:p>
                <a:pPr>
                  <a:defRPr/>
                </a:pPr>
                <a:r>
                  <a:rPr lang="en-AU"/>
                  <a:t>$Million</a:t>
                </a:r>
              </a:p>
            </c:rich>
          </c:tx>
          <c:layout>
            <c:manualLayout>
              <c:xMode val="edge"/>
              <c:yMode val="edge"/>
              <c:x val="1.9667392643814421E-2"/>
              <c:y val="0.46485182229212479"/>
            </c:manualLayout>
          </c:layout>
          <c:overlay val="0"/>
        </c:title>
        <c:numFmt formatCode="#,##0" sourceLinked="0"/>
        <c:majorTickMark val="out"/>
        <c:minorTickMark val="none"/>
        <c:tickLblPos val="nextTo"/>
        <c:crossAx val="118695424"/>
        <c:crosses val="autoZero"/>
        <c:crossBetween val="between"/>
      </c:valAx>
      <c:valAx>
        <c:axId val="118699520"/>
        <c:scaling>
          <c:orientation val="minMax"/>
          <c:min val="40"/>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701440"/>
        <c:crosses val="max"/>
        <c:crossBetween val="between"/>
      </c:valAx>
      <c:catAx>
        <c:axId val="118701440"/>
        <c:scaling>
          <c:orientation val="minMax"/>
        </c:scaling>
        <c:delete val="1"/>
        <c:axPos val="b"/>
        <c:numFmt formatCode="mmm\-yy" sourceLinked="1"/>
        <c:majorTickMark val="out"/>
        <c:minorTickMark val="none"/>
        <c:tickLblPos val="nextTo"/>
        <c:crossAx val="118699520"/>
        <c:crosses val="autoZero"/>
        <c:auto val="0"/>
        <c:lblAlgn val="ctr"/>
        <c:lblOffset val="100"/>
        <c:noMultiLvlLbl val="1"/>
      </c:catAx>
    </c:plotArea>
    <c:legend>
      <c:legendPos val="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Year</a:t>
            </a:r>
          </a:p>
        </c:rich>
      </c:tx>
      <c:overlay val="0"/>
    </c:title>
    <c:autoTitleDeleted val="0"/>
    <c:plotArea>
      <c:layout/>
      <c:barChart>
        <c:barDir val="col"/>
        <c:grouping val="clustered"/>
        <c:varyColors val="0"/>
        <c:ser>
          <c:idx val="0"/>
          <c:order val="0"/>
          <c:tx>
            <c:strRef>
              <c:f>'Gold - Q&amp;V'!$R$35</c:f>
              <c:strCache>
                <c:ptCount val="1"/>
                <c:pt idx="0">
                  <c:v>Quantity (tonnes)</c:v>
                </c:pt>
              </c:strCache>
            </c:strRef>
          </c:tx>
          <c:spPr>
            <a:solidFill>
              <a:srgbClr val="FFC000"/>
            </a:solidFill>
            <a:ln>
              <a:noFill/>
            </a:ln>
          </c:spPr>
          <c:invertIfNegative val="0"/>
          <c:cat>
            <c:strRef>
              <c:extLst>
                <c:ext xmlns:c15="http://schemas.microsoft.com/office/drawing/2012/chart" uri="{02D57815-91ED-43cb-92C2-25804820EDAC}">
                  <c15:fullRef>
                    <c15:sqref>'Gold - Q&amp;V'!$Q$36:$Q$60</c15:sqref>
                  </c15:fullRef>
                </c:ext>
              </c:extLst>
              <c:f>'Gold - Q&amp;V'!$Q$37:$Q$60</c:f>
              <c:strCach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strCache>
            </c:strRef>
          </c:cat>
          <c:val>
            <c:numRef>
              <c:extLst>
                <c:ext xmlns:c15="http://schemas.microsoft.com/office/drawing/2012/chart" uri="{02D57815-91ED-43cb-92C2-25804820EDAC}">
                  <c15:fullRef>
                    <c15:sqref>'Gold - Q&amp;V'!$R$37:$R$56</c15:sqref>
                  </c15:fullRef>
                </c:ext>
              </c:extLst>
              <c:f>'Gold - Q&amp;V'!$R$38:$R$56</c:f>
              <c:numCache>
                <c:formatCode>0.00</c:formatCode>
                <c:ptCount val="19"/>
                <c:pt idx="0">
                  <c:v>192.20000000000002</c:v>
                </c:pt>
                <c:pt idx="1">
                  <c:v>188.75</c:v>
                </c:pt>
                <c:pt idx="2">
                  <c:v>187.59</c:v>
                </c:pt>
                <c:pt idx="3">
                  <c:v>163.88</c:v>
                </c:pt>
                <c:pt idx="4">
                  <c:v>167.28532349</c:v>
                </c:pt>
                <c:pt idx="5">
                  <c:v>162.96909348999998</c:v>
                </c:pt>
                <c:pt idx="6">
                  <c:v>151.44883905999998</c:v>
                </c:pt>
                <c:pt idx="7">
                  <c:v>132.07425353000002</c:v>
                </c:pt>
                <c:pt idx="8">
                  <c:v>146.42791006000002</c:v>
                </c:pt>
                <c:pt idx="9">
                  <c:v>182.89955302999999</c:v>
                </c:pt>
                <c:pt idx="10">
                  <c:v>179.60817457000002</c:v>
                </c:pt>
                <c:pt idx="11">
                  <c:v>181.28663516</c:v>
                </c:pt>
                <c:pt idx="12">
                  <c:v>187.45436469999999</c:v>
                </c:pt>
                <c:pt idx="13">
                  <c:v>194.73649055852593</c:v>
                </c:pt>
                <c:pt idx="14">
                  <c:v>194.46998849169691</c:v>
                </c:pt>
                <c:pt idx="15">
                  <c:v>197.02509114887081</c:v>
                </c:pt>
                <c:pt idx="16">
                  <c:v>219.84579538151269</c:v>
                </c:pt>
                <c:pt idx="17">
                  <c:v>212.11583091331136</c:v>
                </c:pt>
                <c:pt idx="18">
                  <c:v>218.82682638325136</c:v>
                </c:pt>
              </c:numCache>
            </c:numRef>
          </c:val>
          <c:extLst>
            <c:ext xmlns:c16="http://schemas.microsoft.com/office/drawing/2014/chart" uri="{C3380CC4-5D6E-409C-BE32-E72D297353CC}">
              <c16:uniqueId val="{00000000-E3E0-4460-B96C-FB116939821E}"/>
            </c:ext>
          </c:extLst>
        </c:ser>
        <c:dLbls>
          <c:showLegendKey val="0"/>
          <c:showVal val="0"/>
          <c:showCatName val="0"/>
          <c:showSerName val="0"/>
          <c:showPercent val="0"/>
          <c:showBubbleSize val="0"/>
        </c:dLbls>
        <c:gapWidth val="40"/>
        <c:axId val="118829440"/>
        <c:axId val="118749440"/>
      </c:barChart>
      <c:lineChart>
        <c:grouping val="standard"/>
        <c:varyColors val="0"/>
        <c:ser>
          <c:idx val="1"/>
          <c:order val="1"/>
          <c:tx>
            <c:strRef>
              <c:f>'Gold - Q&amp;V'!$S$35</c:f>
              <c:strCache>
                <c:ptCount val="1"/>
                <c:pt idx="0">
                  <c:v>Value ($ Million)</c:v>
                </c:pt>
              </c:strCache>
            </c:strRef>
          </c:tx>
          <c:spPr>
            <a:ln>
              <a:solidFill>
                <a:srgbClr val="FFFF00"/>
              </a:solidFill>
            </a:ln>
          </c:spPr>
          <c:marker>
            <c:symbol val="none"/>
          </c:marker>
          <c:cat>
            <c:numRef>
              <c:extLst>
                <c:ext xmlns:c15="http://schemas.microsoft.com/office/drawing/2012/chart" uri="{02D57815-91ED-43cb-92C2-25804820EDAC}">
                  <c15:fullRef>
                    <c15:sqref>'Gold - Q&amp;V'!$Q$37:$Q$56</c15:sqref>
                  </c15:fullRef>
                </c:ext>
              </c:extLst>
              <c:f>'Gold - Q&amp;V'!$Q$38:$Q$56</c:f>
              <c:numCache>
                <c:formatCode>@</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extLst>
                <c:ext xmlns:c15="http://schemas.microsoft.com/office/drawing/2012/chart" uri="{02D57815-91ED-43cb-92C2-25804820EDAC}">
                  <c15:fullRef>
                    <c15:sqref>'Gold - Q&amp;V'!$S$37:$S$56</c15:sqref>
                  </c15:fullRef>
                </c:ext>
              </c:extLst>
              <c:f>'Gold - Q&amp;V'!$S$38:$S$56</c:f>
              <c:numCache>
                <c:formatCode>0.00</c:formatCode>
                <c:ptCount val="19"/>
                <c:pt idx="0">
                  <c:v>3236.2</c:v>
                </c:pt>
                <c:pt idx="1">
                  <c:v>3457.2299999999996</c:v>
                </c:pt>
                <c:pt idx="2">
                  <c:v>3366.08</c:v>
                </c:pt>
                <c:pt idx="3">
                  <c:v>2931.38</c:v>
                </c:pt>
                <c:pt idx="4">
                  <c:v>3144.134798</c:v>
                </c:pt>
                <c:pt idx="5">
                  <c:v>4208.3325700000005</c:v>
                </c:pt>
                <c:pt idx="6">
                  <c:v>4039.0577290000001</c:v>
                </c:pt>
                <c:pt idx="7">
                  <c:v>4399.5130680000002</c:v>
                </c:pt>
                <c:pt idx="8">
                  <c:v>5814.4216130000004</c:v>
                </c:pt>
                <c:pt idx="9">
                  <c:v>7849.1314590000002</c:v>
                </c:pt>
                <c:pt idx="10">
                  <c:v>8793.8925789999994</c:v>
                </c:pt>
                <c:pt idx="11">
                  <c:v>9380.3064720000002</c:v>
                </c:pt>
                <c:pt idx="12">
                  <c:v>8742.6774399999995</c:v>
                </c:pt>
                <c:pt idx="13">
                  <c:v>8786.1091640000013</c:v>
                </c:pt>
                <c:pt idx="14">
                  <c:v>9627.6532069999994</c:v>
                </c:pt>
                <c:pt idx="15">
                  <c:v>10627.038843</c:v>
                </c:pt>
                <c:pt idx="16">
                  <c:v>11144.525042000001</c:v>
                </c:pt>
                <c:pt idx="17">
                  <c:v>11516.482507000001</c:v>
                </c:pt>
                <c:pt idx="18">
                  <c:v>13787.397590999999</c:v>
                </c:pt>
              </c:numCache>
            </c:numRef>
          </c:val>
          <c:smooth val="0"/>
          <c:extLst>
            <c:ext xmlns:c16="http://schemas.microsoft.com/office/drawing/2014/chart" uri="{C3380CC4-5D6E-409C-BE32-E72D297353CC}">
              <c16:uniqueId val="{00000001-E3E0-4460-B96C-FB116939821E}"/>
            </c:ext>
          </c:extLst>
        </c:ser>
        <c:dLbls>
          <c:showLegendKey val="0"/>
          <c:showVal val="0"/>
          <c:showCatName val="0"/>
          <c:showSerName val="0"/>
          <c:showPercent val="0"/>
          <c:showBubbleSize val="0"/>
        </c:dLbls>
        <c:marker val="1"/>
        <c:smooth val="0"/>
        <c:axId val="118745344"/>
        <c:axId val="118747520"/>
      </c:lineChart>
      <c:catAx>
        <c:axId val="118745344"/>
        <c:scaling>
          <c:orientation val="minMax"/>
        </c:scaling>
        <c:delete val="0"/>
        <c:axPos val="b"/>
        <c:title>
          <c:tx>
            <c:rich>
              <a:bodyPr/>
              <a:lstStyle/>
              <a:p>
                <a:pPr>
                  <a:defRPr/>
                </a:pPr>
                <a:r>
                  <a:rPr lang="en-AU" sz="900"/>
                  <a:t>Source</a:t>
                </a:r>
                <a:r>
                  <a:rPr lang="en-AU"/>
                  <a:t>: DM</a:t>
                </a:r>
                <a:r>
                  <a:rPr lang="en-AU" sz="1000" b="1" i="0" u="none" strike="noStrike" baseline="0">
                    <a:effectLst/>
                  </a:rPr>
                  <a:t>IRS</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sz="900"/>
            </a:pPr>
            <a:endParaRPr lang="en-US"/>
          </a:p>
        </c:txPr>
        <c:crossAx val="118747520"/>
        <c:crosses val="autoZero"/>
        <c:auto val="0"/>
        <c:lblAlgn val="ctr"/>
        <c:lblOffset val="100"/>
        <c:tickLblSkip val="1"/>
        <c:noMultiLvlLbl val="0"/>
      </c:catAx>
      <c:valAx>
        <c:axId val="118747520"/>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18745344"/>
        <c:crosses val="autoZero"/>
        <c:crossBetween val="between"/>
      </c:valAx>
      <c:valAx>
        <c:axId val="118749440"/>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829440"/>
        <c:crosses val="max"/>
        <c:crossBetween val="between"/>
      </c:valAx>
      <c:catAx>
        <c:axId val="118829440"/>
        <c:scaling>
          <c:orientation val="minMax"/>
        </c:scaling>
        <c:delete val="1"/>
        <c:axPos val="b"/>
        <c:numFmt formatCode="General" sourceLinked="1"/>
        <c:majorTickMark val="out"/>
        <c:minorTickMark val="none"/>
        <c:tickLblPos val="nextTo"/>
        <c:crossAx val="11874944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Gold</a:t>
            </a:r>
          </a:p>
          <a:p>
            <a:pPr>
              <a:defRPr/>
            </a:pPr>
            <a:r>
              <a:rPr lang="en-US" sz="1100"/>
              <a:t>Historic Avg. Annual Price</a:t>
            </a:r>
            <a:endParaRPr lang="en-AU" sz="1100"/>
          </a:p>
        </c:rich>
      </c:tx>
      <c:overlay val="0"/>
    </c:title>
    <c:autoTitleDeleted val="0"/>
    <c:plotArea>
      <c:layout>
        <c:manualLayout>
          <c:layoutTarget val="inner"/>
          <c:xMode val="edge"/>
          <c:yMode val="edge"/>
          <c:x val="9.7556572820006349E-2"/>
          <c:y val="0.21594454486890244"/>
          <c:w val="0.88859506976667646"/>
          <c:h val="0.61106575482014525"/>
        </c:manualLayout>
      </c:layout>
      <c:lineChart>
        <c:grouping val="standard"/>
        <c:varyColors val="0"/>
        <c:ser>
          <c:idx val="0"/>
          <c:order val="0"/>
          <c:tx>
            <c:strRef>
              <c:f>'Gold - Prices'!$H$7</c:f>
              <c:strCache>
                <c:ptCount val="1"/>
                <c:pt idx="0">
                  <c:v>Avg. Price (US$/oz)</c:v>
                </c:pt>
              </c:strCache>
            </c:strRef>
          </c:tx>
          <c:spPr>
            <a:ln>
              <a:solidFill>
                <a:srgbClr val="FFFF00"/>
              </a:solidFill>
            </a:ln>
          </c:spPr>
          <c:marker>
            <c:symbol val="none"/>
          </c:marker>
          <c:cat>
            <c:numRef>
              <c:f>'Gold - Prices'!$G$8:$G$56</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'Gold - Prices'!$H$8:$H$56</c:f>
              <c:numCache>
                <c:formatCode>"$"#,##0.00</c:formatCode>
                <c:ptCount val="49"/>
                <c:pt idx="0">
                  <c:v>35.706835625000004</c:v>
                </c:pt>
                <c:pt idx="1">
                  <c:v>48.537630145000001</c:v>
                </c:pt>
                <c:pt idx="2">
                  <c:v>67.983213187027317</c:v>
                </c:pt>
                <c:pt idx="3">
                  <c:v>112.09585983443016</c:v>
                </c:pt>
                <c:pt idx="4">
                  <c:v>122.9133828900956</c:v>
                </c:pt>
                <c:pt idx="5">
                  <c:v>103.75646281980045</c:v>
                </c:pt>
                <c:pt idx="6">
                  <c:v>132.87159356359371</c:v>
                </c:pt>
                <c:pt idx="7">
                  <c:v>168.26940290151194</c:v>
                </c:pt>
                <c:pt idx="8">
                  <c:v>275.6130443156224</c:v>
                </c:pt>
                <c:pt idx="9">
                  <c:v>536.39079665008728</c:v>
                </c:pt>
                <c:pt idx="10">
                  <c:v>399.94802762718473</c:v>
                </c:pt>
                <c:pt idx="11">
                  <c:v>373.89996587284605</c:v>
                </c:pt>
                <c:pt idx="12">
                  <c:v>447.83279001100169</c:v>
                </c:pt>
                <c:pt idx="13">
                  <c:v>360.68333333333334</c:v>
                </c:pt>
                <c:pt idx="14">
                  <c:v>317.22499999999997</c:v>
                </c:pt>
                <c:pt idx="15">
                  <c:v>367.38749999999999</c:v>
                </c:pt>
                <c:pt idx="16">
                  <c:v>446.80166666666668</c:v>
                </c:pt>
                <c:pt idx="17">
                  <c:v>437.51499999999993</c:v>
                </c:pt>
                <c:pt idx="18">
                  <c:v>381.83166666666665</c:v>
                </c:pt>
                <c:pt idx="19">
                  <c:v>383.67083333333329</c:v>
                </c:pt>
                <c:pt idx="20">
                  <c:v>362.57666666666665</c:v>
                </c:pt>
                <c:pt idx="21">
                  <c:v>343.83916666666664</c:v>
                </c:pt>
                <c:pt idx="22">
                  <c:v>359.80916666666661</c:v>
                </c:pt>
                <c:pt idx="23">
                  <c:v>384.08416666666659</c:v>
                </c:pt>
                <c:pt idx="24">
                  <c:v>384.23499999999996</c:v>
                </c:pt>
                <c:pt idx="25">
                  <c:v>387.79999999999995</c:v>
                </c:pt>
                <c:pt idx="26">
                  <c:v>331.16833333333335</c:v>
                </c:pt>
                <c:pt idx="27">
                  <c:v>294.31824074074069</c:v>
                </c:pt>
                <c:pt idx="28">
                  <c:v>279.16701118326114</c:v>
                </c:pt>
                <c:pt idx="29">
                  <c:v>278.8533333333333</c:v>
                </c:pt>
                <c:pt idx="30">
                  <c:v>270.68416666666667</c:v>
                </c:pt>
                <c:pt idx="31">
                  <c:v>309.98083333333335</c:v>
                </c:pt>
                <c:pt idx="32">
                  <c:v>363.57916666666665</c:v>
                </c:pt>
                <c:pt idx="33">
                  <c:v>409.3416666666667</c:v>
                </c:pt>
                <c:pt idx="34">
                  <c:v>444.88249999999999</c:v>
                </c:pt>
                <c:pt idx="35">
                  <c:v>604.33416666666665</c:v>
                </c:pt>
                <c:pt idx="36">
                  <c:v>696.58750000000009</c:v>
                </c:pt>
                <c:pt idx="37">
                  <c:v>872.07833333333338</c:v>
                </c:pt>
                <c:pt idx="38">
                  <c:v>972.97416666666641</c:v>
                </c:pt>
                <c:pt idx="39">
                  <c:v>1224.4741666666666</c:v>
                </c:pt>
                <c:pt idx="40">
                  <c:v>1568.6191666666666</c:v>
                </c:pt>
                <c:pt idx="41">
                  <c:v>1668.8283333333331</c:v>
                </c:pt>
                <c:pt idx="42">
                  <c:v>1409.875</c:v>
                </c:pt>
                <c:pt idx="43">
                  <c:v>1266.1958333333332</c:v>
                </c:pt>
                <c:pt idx="44">
                  <c:v>1160.1458333333333</c:v>
                </c:pt>
                <c:pt idx="45">
                  <c:v>1248.3425</c:v>
                </c:pt>
                <c:pt idx="46">
                  <c:v>1257.1099999999999</c:v>
                </c:pt>
                <c:pt idx="47">
                  <c:v>1269.3205853174602</c:v>
                </c:pt>
                <c:pt idx="48">
                  <c:v>1392.1753000000001</c:v>
                </c:pt>
              </c:numCache>
            </c:numRef>
          </c:val>
          <c:smooth val="0"/>
          <c:extLst>
            <c:ext xmlns:c16="http://schemas.microsoft.com/office/drawing/2014/chart" uri="{C3380CC4-5D6E-409C-BE32-E72D297353CC}">
              <c16:uniqueId val="{00000000-376A-432B-8AB2-6469BA6F3769}"/>
            </c:ext>
          </c:extLst>
        </c:ser>
        <c:ser>
          <c:idx val="1"/>
          <c:order val="1"/>
          <c:tx>
            <c:strRef>
              <c:f>'Gold - Prices'!$I$7</c:f>
              <c:strCache>
                <c:ptCount val="1"/>
                <c:pt idx="0">
                  <c:v>Avg. Price (A$/oz)</c:v>
                </c:pt>
              </c:strCache>
            </c:strRef>
          </c:tx>
          <c:spPr>
            <a:ln>
              <a:solidFill>
                <a:srgbClr val="FFC000"/>
              </a:solidFill>
            </a:ln>
          </c:spPr>
          <c:marker>
            <c:symbol val="none"/>
          </c:marker>
          <c:cat>
            <c:numRef>
              <c:f>'Gold - Prices'!$G$8:$G$56</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'Gold - Prices'!$I$8:$I$56</c:f>
              <c:numCache>
                <c:formatCode>"$"#,##0.00</c:formatCode>
                <c:ptCount val="49"/>
                <c:pt idx="0">
                  <c:v>40.804166666666667</c:v>
                </c:pt>
                <c:pt idx="1">
                  <c:v>58.159166666666657</c:v>
                </c:pt>
                <c:pt idx="2">
                  <c:v>97.35802890547501</c:v>
                </c:pt>
                <c:pt idx="3">
                  <c:v>159.438611728875</c:v>
                </c:pt>
                <c:pt idx="4">
                  <c:v>160.96236135876666</c:v>
                </c:pt>
                <c:pt idx="5">
                  <c:v>124.81329892480835</c:v>
                </c:pt>
                <c:pt idx="6">
                  <c:v>147.75641759620834</c:v>
                </c:pt>
                <c:pt idx="7">
                  <c:v>193.25000246828333</c:v>
                </c:pt>
                <c:pt idx="8">
                  <c:v>307.16288279422503</c:v>
                </c:pt>
                <c:pt idx="9">
                  <c:v>612.62523050664993</c:v>
                </c:pt>
                <c:pt idx="10">
                  <c:v>459.40341630442504</c:v>
                </c:pt>
                <c:pt idx="11">
                  <c:v>375.89852143419165</c:v>
                </c:pt>
                <c:pt idx="12">
                  <c:v>447.93605702293326</c:v>
                </c:pt>
                <c:pt idx="13">
                  <c:v>410.15416666666664</c:v>
                </c:pt>
                <c:pt idx="14">
                  <c:v>453.74583333333339</c:v>
                </c:pt>
                <c:pt idx="15">
                  <c:v>553.46249999999998</c:v>
                </c:pt>
                <c:pt idx="16">
                  <c:v>639.26249999999993</c:v>
                </c:pt>
                <c:pt idx="17">
                  <c:v>562.99249999999995</c:v>
                </c:pt>
                <c:pt idx="18">
                  <c:v>483.81833333333338</c:v>
                </c:pt>
                <c:pt idx="19">
                  <c:v>493.27333333333331</c:v>
                </c:pt>
                <c:pt idx="20">
                  <c:v>467.42333333333335</c:v>
                </c:pt>
                <c:pt idx="21">
                  <c:v>469.76500000000004</c:v>
                </c:pt>
                <c:pt idx="22">
                  <c:v>530.61</c:v>
                </c:pt>
                <c:pt idx="23">
                  <c:v>497.79778317167546</c:v>
                </c:pt>
                <c:pt idx="24">
                  <c:v>519.79613105296096</c:v>
                </c:pt>
                <c:pt idx="25">
                  <c:v>494.79666666666662</c:v>
                </c:pt>
                <c:pt idx="26">
                  <c:v>447.61416666666668</c:v>
                </c:pt>
                <c:pt idx="27">
                  <c:v>469.56999999999994</c:v>
                </c:pt>
                <c:pt idx="28">
                  <c:v>433.45000000000005</c:v>
                </c:pt>
                <c:pt idx="29">
                  <c:v>479.93333333333339</c:v>
                </c:pt>
                <c:pt idx="30">
                  <c:v>525.91416666666669</c:v>
                </c:pt>
                <c:pt idx="31">
                  <c:v>571.49833333333333</c:v>
                </c:pt>
                <c:pt idx="32">
                  <c:v>560.54750000000001</c:v>
                </c:pt>
                <c:pt idx="33">
                  <c:v>557.0533333333334</c:v>
                </c:pt>
                <c:pt idx="34">
                  <c:v>584.83499999999992</c:v>
                </c:pt>
                <c:pt idx="35">
                  <c:v>802.76083333333338</c:v>
                </c:pt>
                <c:pt idx="36">
                  <c:v>830.21083333333343</c:v>
                </c:pt>
                <c:pt idx="37">
                  <c:v>1029.3374999999999</c:v>
                </c:pt>
                <c:pt idx="38">
                  <c:v>1235.6508333333334</c:v>
                </c:pt>
                <c:pt idx="39">
                  <c:v>1335.4691666666668</c:v>
                </c:pt>
                <c:pt idx="40">
                  <c:v>1535.4658333333334</c:v>
                </c:pt>
                <c:pt idx="41">
                  <c:v>1619.6091666666669</c:v>
                </c:pt>
                <c:pt idx="42">
                  <c:v>1465.1966666666665</c:v>
                </c:pt>
                <c:pt idx="43">
                  <c:v>1413.0983333333334</c:v>
                </c:pt>
                <c:pt idx="44">
                  <c:v>1554.5133333333331</c:v>
                </c:pt>
                <c:pt idx="45">
                  <c:v>1687.5441666666668</c:v>
                </c:pt>
                <c:pt idx="46">
                  <c:v>1645.8166666666666</c:v>
                </c:pt>
                <c:pt idx="47">
                  <c:v>1700.585</c:v>
                </c:pt>
                <c:pt idx="48">
                  <c:v>2009.4724999999996</c:v>
                </c:pt>
              </c:numCache>
            </c:numRef>
          </c:val>
          <c:smooth val="0"/>
          <c:extLst>
            <c:ext xmlns:c16="http://schemas.microsoft.com/office/drawing/2014/chart" uri="{C3380CC4-5D6E-409C-BE32-E72D297353CC}">
              <c16:uniqueId val="{00000001-376A-432B-8AB2-6469BA6F3769}"/>
            </c:ext>
          </c:extLst>
        </c:ser>
        <c:dLbls>
          <c:showLegendKey val="0"/>
          <c:showVal val="0"/>
          <c:showCatName val="0"/>
          <c:showSerName val="0"/>
          <c:showPercent val="0"/>
          <c:showBubbleSize val="0"/>
        </c:dLbls>
        <c:smooth val="0"/>
        <c:axId val="132144512"/>
        <c:axId val="132150784"/>
      </c:lineChart>
      <c:dateAx>
        <c:axId val="132144512"/>
        <c:scaling>
          <c:orientation val="minMax"/>
        </c:scaling>
        <c:delete val="0"/>
        <c:axPos val="b"/>
        <c:title>
          <c:tx>
            <c:rich>
              <a:bodyPr/>
              <a:lstStyle/>
              <a:p>
                <a:pPr>
                  <a:defRPr/>
                </a:pPr>
                <a:r>
                  <a:rPr lang="en-AU"/>
                  <a:t>Source: Perth Mint and Kitco</a:t>
                </a:r>
              </a:p>
            </c:rich>
          </c:tx>
          <c:layout>
            <c:manualLayout>
              <c:xMode val="edge"/>
              <c:yMode val="edge"/>
              <c:x val="0"/>
              <c:y val="0.9369522893360468"/>
            </c:manualLayout>
          </c:layout>
          <c:overlay val="0"/>
        </c:title>
        <c:numFmt formatCode="General" sourceLinked="1"/>
        <c:majorTickMark val="out"/>
        <c:minorTickMark val="none"/>
        <c:tickLblPos val="nextTo"/>
        <c:spPr>
          <a:ln/>
        </c:spPr>
        <c:txPr>
          <a:bodyPr rot="-2700000"/>
          <a:lstStyle/>
          <a:p>
            <a:pPr>
              <a:defRPr/>
            </a:pPr>
            <a:endParaRPr lang="en-US"/>
          </a:p>
        </c:txPr>
        <c:crossAx val="132150784"/>
        <c:crosses val="autoZero"/>
        <c:auto val="0"/>
        <c:lblOffset val="100"/>
        <c:baseTimeUnit val="days"/>
        <c:majorUnit val="1"/>
      </c:dateAx>
      <c:valAx>
        <c:axId val="132150784"/>
        <c:scaling>
          <c:orientation val="minMax"/>
        </c:scaling>
        <c:delete val="0"/>
        <c:axPos val="l"/>
        <c:majorGridlines/>
        <c:title>
          <c:tx>
            <c:rich>
              <a:bodyPr rot="-5400000" vert="horz"/>
              <a:lstStyle/>
              <a:p>
                <a:pPr>
                  <a:defRPr/>
                </a:pPr>
                <a:r>
                  <a:rPr lang="en-AU"/>
                  <a:t>$/oz</a:t>
                </a:r>
              </a:p>
            </c:rich>
          </c:tx>
          <c:layout>
            <c:manualLayout>
              <c:xMode val="edge"/>
              <c:yMode val="edge"/>
              <c:x val="1.5645369135377327E-2"/>
              <c:y val="0.48332098172364102"/>
            </c:manualLayout>
          </c:layout>
          <c:overlay val="0"/>
        </c:title>
        <c:numFmt formatCode="#,##0" sourceLinked="0"/>
        <c:majorTickMark val="out"/>
        <c:minorTickMark val="none"/>
        <c:tickLblPos val="nextTo"/>
        <c:spPr>
          <a:ln/>
        </c:spPr>
        <c:crossAx val="13214451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Monthly Price, Past 5 years</a:t>
            </a:r>
          </a:p>
        </c:rich>
      </c:tx>
      <c:overlay val="0"/>
    </c:title>
    <c:autoTitleDeleted val="0"/>
    <c:plotArea>
      <c:layout/>
      <c:lineChart>
        <c:grouping val="standard"/>
        <c:varyColors val="0"/>
        <c:ser>
          <c:idx val="0"/>
          <c:order val="0"/>
          <c:tx>
            <c:strRef>
              <c:f>'Gold - Prices'!$B$7</c:f>
              <c:strCache>
                <c:ptCount val="1"/>
                <c:pt idx="0">
                  <c:v>Price (US$/oz)</c:v>
                </c:pt>
              </c:strCache>
            </c:strRef>
          </c:tx>
          <c:spPr>
            <a:ln>
              <a:solidFill>
                <a:srgbClr val="FFFF00"/>
              </a:solidFill>
            </a:ln>
          </c:spPr>
          <c:marker>
            <c:symbol val="none"/>
          </c:marker>
          <c:cat>
            <c:numRef>
              <c:f>'Data - Monthly Commodity Prices'!$AY$9:$AY$68</c:f>
              <c:numCache>
                <c:formatCode>General</c:formatCode>
                <c:ptCount val="60"/>
                <c:pt idx="2" formatCode="mmm\-yy">
                  <c:v>42064</c:v>
                </c:pt>
                <c:pt idx="5" formatCode="mmm\-yy">
                  <c:v>42156</c:v>
                </c:pt>
                <c:pt idx="8" formatCode="mmm\-yy">
                  <c:v>42248</c:v>
                </c:pt>
                <c:pt idx="11" formatCode="mmm\-yy">
                  <c:v>42339</c:v>
                </c:pt>
                <c:pt idx="14" formatCode="mmm\-yy">
                  <c:v>42430</c:v>
                </c:pt>
                <c:pt idx="17" formatCode="mmm\-yy">
                  <c:v>42522</c:v>
                </c:pt>
                <c:pt idx="20" formatCode="mmm\-yy">
                  <c:v>42614</c:v>
                </c:pt>
                <c:pt idx="23" formatCode="mmm\-yy">
                  <c:v>42705</c:v>
                </c:pt>
                <c:pt idx="26" formatCode="mmm\-yy">
                  <c:v>42795</c:v>
                </c:pt>
                <c:pt idx="29" formatCode="mmm\-yy">
                  <c:v>42887</c:v>
                </c:pt>
                <c:pt idx="32" formatCode="mmm\-yy">
                  <c:v>42979</c:v>
                </c:pt>
                <c:pt idx="35" formatCode="mmm\-yy">
                  <c:v>43070</c:v>
                </c:pt>
                <c:pt idx="38" formatCode="mmm\-yy">
                  <c:v>43160</c:v>
                </c:pt>
                <c:pt idx="41" formatCode="mmm\-yy">
                  <c:v>43252</c:v>
                </c:pt>
                <c:pt idx="44" formatCode="mmm\-yy">
                  <c:v>43344</c:v>
                </c:pt>
                <c:pt idx="47" formatCode="mmm\-yy">
                  <c:v>43435</c:v>
                </c:pt>
                <c:pt idx="50" formatCode="mmm\-yy">
                  <c:v>43525</c:v>
                </c:pt>
                <c:pt idx="53" formatCode="mmm\-yy">
                  <c:v>43617</c:v>
                </c:pt>
                <c:pt idx="56" formatCode="mmm\-yy">
                  <c:v>43709</c:v>
                </c:pt>
                <c:pt idx="59" formatCode="mmm\-yy">
                  <c:v>43800</c:v>
                </c:pt>
              </c:numCache>
            </c:numRef>
          </c:cat>
          <c:val>
            <c:numRef>
              <c:f>'Gold - Prices'!$B$8:$B$67</c:f>
              <c:numCache>
                <c:formatCode>"$"#,##0.00</c:formatCode>
                <c:ptCount val="60"/>
                <c:pt idx="0">
                  <c:v>1251.8499999999999</c:v>
                </c:pt>
                <c:pt idx="1">
                  <c:v>1227.19</c:v>
                </c:pt>
                <c:pt idx="2">
                  <c:v>1178.6300000000001</c:v>
                </c:pt>
                <c:pt idx="3">
                  <c:v>1197.9100000000001</c:v>
                </c:pt>
                <c:pt idx="4">
                  <c:v>1199.05</c:v>
                </c:pt>
                <c:pt idx="5">
                  <c:v>1181.5</c:v>
                </c:pt>
                <c:pt idx="6">
                  <c:v>1130.04</c:v>
                </c:pt>
                <c:pt idx="7">
                  <c:v>1117.48</c:v>
                </c:pt>
                <c:pt idx="8">
                  <c:v>1124.9000000000001</c:v>
                </c:pt>
                <c:pt idx="9">
                  <c:v>1159.25</c:v>
                </c:pt>
                <c:pt idx="10">
                  <c:v>1085.7</c:v>
                </c:pt>
                <c:pt idx="11">
                  <c:v>1068.25</c:v>
                </c:pt>
                <c:pt idx="12">
                  <c:v>1097.3800000000001</c:v>
                </c:pt>
                <c:pt idx="13">
                  <c:v>1199.9100000000001</c:v>
                </c:pt>
                <c:pt idx="14">
                  <c:v>1246.3399999999999</c:v>
                </c:pt>
                <c:pt idx="15">
                  <c:v>1242.26</c:v>
                </c:pt>
                <c:pt idx="16">
                  <c:v>1259.4000000000001</c:v>
                </c:pt>
                <c:pt idx="17">
                  <c:v>1276.4000000000001</c:v>
                </c:pt>
                <c:pt idx="18">
                  <c:v>1337.33</c:v>
                </c:pt>
                <c:pt idx="19">
                  <c:v>1341.09</c:v>
                </c:pt>
                <c:pt idx="20">
                  <c:v>1326.03</c:v>
                </c:pt>
                <c:pt idx="21">
                  <c:v>1266.5899999999999</c:v>
                </c:pt>
                <c:pt idx="22">
                  <c:v>1235.98</c:v>
                </c:pt>
                <c:pt idx="23">
                  <c:v>1151.4000000000001</c:v>
                </c:pt>
                <c:pt idx="24">
                  <c:v>1192.6199999999999</c:v>
                </c:pt>
                <c:pt idx="25">
                  <c:v>1234.3599999999999</c:v>
                </c:pt>
                <c:pt idx="26">
                  <c:v>1231.0899999999999</c:v>
                </c:pt>
                <c:pt idx="27">
                  <c:v>1265.6300000000001</c:v>
                </c:pt>
                <c:pt idx="28">
                  <c:v>1245</c:v>
                </c:pt>
                <c:pt idx="29">
                  <c:v>1260.26</c:v>
                </c:pt>
                <c:pt idx="30">
                  <c:v>1236.22</c:v>
                </c:pt>
                <c:pt idx="31">
                  <c:v>1282.32</c:v>
                </c:pt>
                <c:pt idx="32">
                  <c:v>1314.98</c:v>
                </c:pt>
                <c:pt idx="33">
                  <c:v>1279.51</c:v>
                </c:pt>
                <c:pt idx="34">
                  <c:v>1282.28</c:v>
                </c:pt>
                <c:pt idx="35">
                  <c:v>1261.05</c:v>
                </c:pt>
                <c:pt idx="36">
                  <c:v>1332.2375000000002</c:v>
                </c:pt>
                <c:pt idx="37">
                  <c:v>1332.65</c:v>
                </c:pt>
                <c:pt idx="38">
                  <c:v>1325.109523809524</c:v>
                </c:pt>
                <c:pt idx="39">
                  <c:v>1334.74</c:v>
                </c:pt>
                <c:pt idx="40">
                  <c:v>1303.03</c:v>
                </c:pt>
                <c:pt idx="41">
                  <c:v>1281.57</c:v>
                </c:pt>
                <c:pt idx="42">
                  <c:v>1238.53</c:v>
                </c:pt>
                <c:pt idx="43">
                  <c:v>1201.25</c:v>
                </c:pt>
                <c:pt idx="44">
                  <c:v>1198.47</c:v>
                </c:pt>
                <c:pt idx="45">
                  <c:v>1215.3900000000001</c:v>
                </c:pt>
                <c:pt idx="46">
                  <c:v>1220.95</c:v>
                </c:pt>
                <c:pt idx="47">
                  <c:v>1247.92</c:v>
                </c:pt>
                <c:pt idx="48">
                  <c:v>1291.75</c:v>
                </c:pt>
                <c:pt idx="49">
                  <c:v>1320.07</c:v>
                </c:pt>
                <c:pt idx="50">
                  <c:v>1300.9000000000001</c:v>
                </c:pt>
                <c:pt idx="51">
                  <c:v>1286.44</c:v>
                </c:pt>
                <c:pt idx="52">
                  <c:v>1283.95</c:v>
                </c:pt>
                <c:pt idx="53">
                  <c:v>1359.0409999999999</c:v>
                </c:pt>
                <c:pt idx="54">
                  <c:v>1412.98</c:v>
                </c:pt>
                <c:pt idx="55">
                  <c:v>1498.798</c:v>
                </c:pt>
                <c:pt idx="56">
                  <c:v>1511.3140000000001</c:v>
                </c:pt>
                <c:pt idx="57">
                  <c:v>1494.8</c:v>
                </c:pt>
                <c:pt idx="58">
                  <c:v>1470.0165999999999</c:v>
                </c:pt>
                <c:pt idx="59">
                  <c:v>1476.0440000000001</c:v>
                </c:pt>
              </c:numCache>
            </c:numRef>
          </c:val>
          <c:smooth val="0"/>
          <c:extLst>
            <c:ext xmlns:c16="http://schemas.microsoft.com/office/drawing/2014/chart" uri="{C3380CC4-5D6E-409C-BE32-E72D297353CC}">
              <c16:uniqueId val="{00000000-E307-4EF4-A21C-A0FCAF78F29E}"/>
            </c:ext>
          </c:extLst>
        </c:ser>
        <c:ser>
          <c:idx val="1"/>
          <c:order val="1"/>
          <c:tx>
            <c:strRef>
              <c:f>'Gold - Prices'!$C$7</c:f>
              <c:strCache>
                <c:ptCount val="1"/>
                <c:pt idx="0">
                  <c:v>Price (A$/oz)</c:v>
                </c:pt>
              </c:strCache>
            </c:strRef>
          </c:tx>
          <c:spPr>
            <a:ln>
              <a:solidFill>
                <a:srgbClr val="FFC000"/>
              </a:solidFill>
            </a:ln>
          </c:spPr>
          <c:marker>
            <c:symbol val="none"/>
          </c:marker>
          <c:cat>
            <c:numRef>
              <c:f>'Data - Monthly Commodity Prices'!$AY$9:$AY$68</c:f>
              <c:numCache>
                <c:formatCode>General</c:formatCode>
                <c:ptCount val="60"/>
                <c:pt idx="2" formatCode="mmm\-yy">
                  <c:v>42064</c:v>
                </c:pt>
                <c:pt idx="5" formatCode="mmm\-yy">
                  <c:v>42156</c:v>
                </c:pt>
                <c:pt idx="8" formatCode="mmm\-yy">
                  <c:v>42248</c:v>
                </c:pt>
                <c:pt idx="11" formatCode="mmm\-yy">
                  <c:v>42339</c:v>
                </c:pt>
                <c:pt idx="14" formatCode="mmm\-yy">
                  <c:v>42430</c:v>
                </c:pt>
                <c:pt idx="17" formatCode="mmm\-yy">
                  <c:v>42522</c:v>
                </c:pt>
                <c:pt idx="20" formatCode="mmm\-yy">
                  <c:v>42614</c:v>
                </c:pt>
                <c:pt idx="23" formatCode="mmm\-yy">
                  <c:v>42705</c:v>
                </c:pt>
                <c:pt idx="26" formatCode="mmm\-yy">
                  <c:v>42795</c:v>
                </c:pt>
                <c:pt idx="29" formatCode="mmm\-yy">
                  <c:v>42887</c:v>
                </c:pt>
                <c:pt idx="32" formatCode="mmm\-yy">
                  <c:v>42979</c:v>
                </c:pt>
                <c:pt idx="35" formatCode="mmm\-yy">
                  <c:v>43070</c:v>
                </c:pt>
                <c:pt idx="38" formatCode="mmm\-yy">
                  <c:v>43160</c:v>
                </c:pt>
                <c:pt idx="41" formatCode="mmm\-yy">
                  <c:v>43252</c:v>
                </c:pt>
                <c:pt idx="44" formatCode="mmm\-yy">
                  <c:v>43344</c:v>
                </c:pt>
                <c:pt idx="47" formatCode="mmm\-yy">
                  <c:v>43435</c:v>
                </c:pt>
                <c:pt idx="50" formatCode="mmm\-yy">
                  <c:v>43525</c:v>
                </c:pt>
                <c:pt idx="53" formatCode="mmm\-yy">
                  <c:v>43617</c:v>
                </c:pt>
                <c:pt idx="56" formatCode="mmm\-yy">
                  <c:v>43709</c:v>
                </c:pt>
                <c:pt idx="59" formatCode="mmm\-yy">
                  <c:v>43800</c:v>
                </c:pt>
              </c:numCache>
            </c:numRef>
          </c:cat>
          <c:val>
            <c:numRef>
              <c:f>'Gold - Prices'!$C$8:$C$67</c:f>
              <c:numCache>
                <c:formatCode>"$"#,##0.00</c:formatCode>
                <c:ptCount val="60"/>
                <c:pt idx="0">
                  <c:v>1559.8</c:v>
                </c:pt>
                <c:pt idx="1">
                  <c:v>1590.3</c:v>
                </c:pt>
                <c:pt idx="2">
                  <c:v>1536.21</c:v>
                </c:pt>
                <c:pt idx="3">
                  <c:v>1565.5</c:v>
                </c:pt>
                <c:pt idx="4">
                  <c:v>1529.37</c:v>
                </c:pt>
                <c:pt idx="5">
                  <c:v>1544.61</c:v>
                </c:pt>
                <c:pt idx="6">
                  <c:v>1539.17</c:v>
                </c:pt>
                <c:pt idx="7">
                  <c:v>1542.91</c:v>
                </c:pt>
                <c:pt idx="8">
                  <c:v>1605.71</c:v>
                </c:pt>
                <c:pt idx="9">
                  <c:v>1618.18</c:v>
                </c:pt>
                <c:pt idx="10">
                  <c:v>1536.07</c:v>
                </c:pt>
                <c:pt idx="11">
                  <c:v>1486.33</c:v>
                </c:pt>
                <c:pt idx="12">
                  <c:v>1574.65</c:v>
                </c:pt>
                <c:pt idx="13">
                  <c:v>1686.71</c:v>
                </c:pt>
                <c:pt idx="14">
                  <c:v>1677.74</c:v>
                </c:pt>
                <c:pt idx="15">
                  <c:v>1631.08</c:v>
                </c:pt>
                <c:pt idx="16">
                  <c:v>1729.64</c:v>
                </c:pt>
                <c:pt idx="17">
                  <c:v>1731.45</c:v>
                </c:pt>
                <c:pt idx="18">
                  <c:v>1789.93</c:v>
                </c:pt>
                <c:pt idx="19">
                  <c:v>1770.59</c:v>
                </c:pt>
                <c:pt idx="20">
                  <c:v>1758.83</c:v>
                </c:pt>
                <c:pt idx="21">
                  <c:v>1675.91</c:v>
                </c:pt>
                <c:pt idx="22">
                  <c:v>1653.24</c:v>
                </c:pt>
                <c:pt idx="23">
                  <c:v>1570.76</c:v>
                </c:pt>
                <c:pt idx="24">
                  <c:v>1602.86</c:v>
                </c:pt>
                <c:pt idx="25">
                  <c:v>1614.24</c:v>
                </c:pt>
                <c:pt idx="26">
                  <c:v>1618.35</c:v>
                </c:pt>
                <c:pt idx="27">
                  <c:v>1687.57</c:v>
                </c:pt>
                <c:pt idx="28">
                  <c:v>1679.56</c:v>
                </c:pt>
                <c:pt idx="29">
                  <c:v>1677.15</c:v>
                </c:pt>
                <c:pt idx="30">
                  <c:v>1592.74</c:v>
                </c:pt>
                <c:pt idx="31">
                  <c:v>1623.19</c:v>
                </c:pt>
                <c:pt idx="32">
                  <c:v>1657.81</c:v>
                </c:pt>
                <c:pt idx="33">
                  <c:v>1647.23</c:v>
                </c:pt>
                <c:pt idx="34">
                  <c:v>1686.71</c:v>
                </c:pt>
                <c:pt idx="35">
                  <c:v>1662.39</c:v>
                </c:pt>
                <c:pt idx="36">
                  <c:v>1679.27</c:v>
                </c:pt>
                <c:pt idx="37">
                  <c:v>1695.77</c:v>
                </c:pt>
                <c:pt idx="38">
                  <c:v>1712.39</c:v>
                </c:pt>
                <c:pt idx="39">
                  <c:v>1741.12</c:v>
                </c:pt>
                <c:pt idx="40">
                  <c:v>1721.78</c:v>
                </c:pt>
                <c:pt idx="41">
                  <c:v>1714.33</c:v>
                </c:pt>
                <c:pt idx="42">
                  <c:v>1677.03</c:v>
                </c:pt>
                <c:pt idx="43">
                  <c:v>1642.36</c:v>
                </c:pt>
                <c:pt idx="44">
                  <c:v>1669.31</c:v>
                </c:pt>
                <c:pt idx="45">
                  <c:v>1714.3</c:v>
                </c:pt>
                <c:pt idx="46">
                  <c:v>1691.04</c:v>
                </c:pt>
                <c:pt idx="47">
                  <c:v>1748.32</c:v>
                </c:pt>
                <c:pt idx="48">
                  <c:v>1811.23</c:v>
                </c:pt>
                <c:pt idx="49">
                  <c:v>1849.13</c:v>
                </c:pt>
                <c:pt idx="50">
                  <c:v>1841.84</c:v>
                </c:pt>
                <c:pt idx="51">
                  <c:v>1812.21</c:v>
                </c:pt>
                <c:pt idx="52">
                  <c:v>1850.4</c:v>
                </c:pt>
                <c:pt idx="53">
                  <c:v>1958.23</c:v>
                </c:pt>
                <c:pt idx="54">
                  <c:v>2029.59</c:v>
                </c:pt>
                <c:pt idx="55">
                  <c:v>2218.41</c:v>
                </c:pt>
                <c:pt idx="56">
                  <c:v>2221.84</c:v>
                </c:pt>
                <c:pt idx="57">
                  <c:v>2203.9299999999998</c:v>
                </c:pt>
                <c:pt idx="58">
                  <c:v>2160.4899999999998</c:v>
                </c:pt>
                <c:pt idx="59">
                  <c:v>2156.37</c:v>
                </c:pt>
              </c:numCache>
            </c:numRef>
          </c:val>
          <c:smooth val="0"/>
          <c:extLst>
            <c:ext xmlns:c16="http://schemas.microsoft.com/office/drawing/2014/chart" uri="{C3380CC4-5D6E-409C-BE32-E72D297353CC}">
              <c16:uniqueId val="{00000001-E307-4EF4-A21C-A0FCAF78F29E}"/>
            </c:ext>
          </c:extLst>
        </c:ser>
        <c:dLbls>
          <c:showLegendKey val="0"/>
          <c:showVal val="0"/>
          <c:showCatName val="0"/>
          <c:showSerName val="0"/>
          <c:showPercent val="0"/>
          <c:showBubbleSize val="0"/>
        </c:dLbls>
        <c:smooth val="0"/>
        <c:axId val="132174976"/>
        <c:axId val="132173184"/>
      </c:lineChart>
      <c:valAx>
        <c:axId val="132173184"/>
        <c:scaling>
          <c:orientation val="minMax"/>
          <c:min val="800"/>
        </c:scaling>
        <c:delete val="0"/>
        <c:axPos val="l"/>
        <c:majorGridlines/>
        <c:title>
          <c:tx>
            <c:rich>
              <a:bodyPr/>
              <a:lstStyle/>
              <a:p>
                <a:pPr>
                  <a:defRPr/>
                </a:pPr>
                <a:r>
                  <a:rPr lang="en-AU"/>
                  <a:t>$/oz</a:t>
                </a:r>
              </a:p>
            </c:rich>
          </c:tx>
          <c:layout>
            <c:manualLayout>
              <c:xMode val="edge"/>
              <c:yMode val="edge"/>
              <c:x val="1.4023586125956727E-2"/>
              <c:y val="0.4867510879617582"/>
            </c:manualLayout>
          </c:layout>
          <c:overlay val="0"/>
        </c:title>
        <c:numFmt formatCode="#,##0" sourceLinked="0"/>
        <c:majorTickMark val="out"/>
        <c:minorTickMark val="none"/>
        <c:tickLblPos val="nextTo"/>
        <c:crossAx val="132174976"/>
        <c:crosses val="autoZero"/>
        <c:crossBetween val="between"/>
      </c:valAx>
      <c:catAx>
        <c:axId val="132174976"/>
        <c:scaling>
          <c:orientation val="minMax"/>
        </c:scaling>
        <c:delete val="0"/>
        <c:axPos val="b"/>
        <c:title>
          <c:tx>
            <c:rich>
              <a:bodyPr/>
              <a:lstStyle/>
              <a:p>
                <a:pPr>
                  <a:defRPr sz="900"/>
                </a:pPr>
                <a:r>
                  <a:rPr lang="en-AU" sz="900"/>
                  <a:t>Source: Perth</a:t>
                </a:r>
                <a:r>
                  <a:rPr lang="en-AU" sz="900" baseline="0"/>
                  <a:t> Mint </a:t>
                </a:r>
                <a:r>
                  <a:rPr lang="en-AU" sz="900"/>
                  <a:t>and Kitco</a:t>
                </a:r>
              </a:p>
            </c:rich>
          </c:tx>
          <c:layout>
            <c:manualLayout>
              <c:xMode val="edge"/>
              <c:yMode val="edge"/>
              <c:x val="0"/>
              <c:y val="0.94531619284781088"/>
            </c:manualLayout>
          </c:layout>
          <c:overlay val="0"/>
        </c:title>
        <c:numFmt formatCode="General" sourceLinked="1"/>
        <c:majorTickMark val="out"/>
        <c:minorTickMark val="none"/>
        <c:tickLblPos val="nextTo"/>
        <c:crossAx val="13217318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'Gold - Exports'!$W$1</c:f>
          <c:strCache>
            <c:ptCount val="1"/>
            <c:pt idx="0">
              <c:v>Western Australian Gold Exports 2019
Total Value: $20,603,838,000</c:v>
            </c:pt>
          </c:strCache>
        </c:strRef>
      </c:tx>
      <c:overlay val="0"/>
      <c:txPr>
        <a:bodyPr/>
        <a:lstStyle/>
        <a:p>
          <a:pPr>
            <a:defRPr/>
          </a:pPr>
          <a:endParaRPr lang="en-US"/>
        </a:p>
      </c:txPr>
    </c:title>
    <c:autoTitleDeleted val="0"/>
    <c:plotArea>
      <c:layout>
        <c:manualLayout>
          <c:layoutTarget val="inner"/>
          <c:xMode val="edge"/>
          <c:yMode val="edge"/>
          <c:x val="0.30992292895025642"/>
          <c:y val="0.31560212366141038"/>
          <c:w val="0.38015397518871347"/>
          <c:h val="0.63358995864785583"/>
        </c:manualLayout>
      </c:layout>
      <c:pieChart>
        <c:varyColors val="1"/>
        <c:ser>
          <c:idx val="0"/>
          <c:order val="0"/>
          <c:dPt>
            <c:idx val="0"/>
            <c:bubble3D val="0"/>
            <c:spPr>
              <a:solidFill>
                <a:srgbClr val="828200"/>
              </a:solidFill>
            </c:spPr>
            <c:extLst>
              <c:ext xmlns:c16="http://schemas.microsoft.com/office/drawing/2014/chart" uri="{C3380CC4-5D6E-409C-BE32-E72D297353CC}">
                <c16:uniqueId val="{00000001-5793-4BE9-9FAB-E40A3A339E56}"/>
              </c:ext>
            </c:extLst>
          </c:dPt>
          <c:dPt>
            <c:idx val="1"/>
            <c:bubble3D val="0"/>
            <c:spPr>
              <a:solidFill>
                <a:srgbClr val="9B9B00"/>
              </a:solidFill>
            </c:spPr>
            <c:extLst>
              <c:ext xmlns:c16="http://schemas.microsoft.com/office/drawing/2014/chart" uri="{C3380CC4-5D6E-409C-BE32-E72D297353CC}">
                <c16:uniqueId val="{00000003-5793-4BE9-9FAB-E40A3A339E56}"/>
              </c:ext>
            </c:extLst>
          </c:dPt>
          <c:dPt>
            <c:idx val="2"/>
            <c:bubble3D val="0"/>
            <c:spPr>
              <a:solidFill>
                <a:srgbClr val="AAAA00"/>
              </a:solidFill>
            </c:spPr>
            <c:extLst>
              <c:ext xmlns:c16="http://schemas.microsoft.com/office/drawing/2014/chart" uri="{C3380CC4-5D6E-409C-BE32-E72D297353CC}">
                <c16:uniqueId val="{00000005-5793-4BE9-9FAB-E40A3A339E56}"/>
              </c:ext>
            </c:extLst>
          </c:dPt>
          <c:dPt>
            <c:idx val="3"/>
            <c:bubble3D val="0"/>
            <c:spPr>
              <a:solidFill>
                <a:srgbClr val="C3C300"/>
              </a:solidFill>
            </c:spPr>
            <c:extLst>
              <c:ext xmlns:c16="http://schemas.microsoft.com/office/drawing/2014/chart" uri="{C3380CC4-5D6E-409C-BE32-E72D297353CC}">
                <c16:uniqueId val="{00000007-5793-4BE9-9FAB-E40A3A339E56}"/>
              </c:ext>
            </c:extLst>
          </c:dPt>
          <c:dPt>
            <c:idx val="4"/>
            <c:bubble3D val="0"/>
            <c:spPr>
              <a:solidFill>
                <a:srgbClr val="DCDC00"/>
              </a:solidFill>
            </c:spPr>
            <c:extLst>
              <c:ext xmlns:c16="http://schemas.microsoft.com/office/drawing/2014/chart" uri="{C3380CC4-5D6E-409C-BE32-E72D297353CC}">
                <c16:uniqueId val="{00000009-5793-4BE9-9FAB-E40A3A339E56}"/>
              </c:ext>
            </c:extLst>
          </c:dPt>
          <c:dPt>
            <c:idx val="5"/>
            <c:bubble3D val="0"/>
            <c:spPr>
              <a:solidFill>
                <a:srgbClr val="F0F000"/>
              </a:solidFill>
            </c:spPr>
            <c:extLst>
              <c:ext xmlns:c16="http://schemas.microsoft.com/office/drawing/2014/chart" uri="{C3380CC4-5D6E-409C-BE32-E72D297353CC}">
                <c16:uniqueId val="{0000000B-5793-4BE9-9FAB-E40A3A339E56}"/>
              </c:ext>
            </c:extLst>
          </c:dPt>
          <c:dPt>
            <c:idx val="6"/>
            <c:bubble3D val="0"/>
            <c:spPr>
              <a:solidFill>
                <a:srgbClr val="FFFF00"/>
              </a:solidFill>
            </c:spPr>
            <c:extLst>
              <c:ext xmlns:c16="http://schemas.microsoft.com/office/drawing/2014/chart" uri="{C3380CC4-5D6E-409C-BE32-E72D297353CC}">
                <c16:uniqueId val="{0000000D-5793-4BE9-9FAB-E40A3A339E56}"/>
              </c:ext>
            </c:extLst>
          </c:dPt>
          <c:dPt>
            <c:idx val="7"/>
            <c:bubble3D val="0"/>
            <c:spPr>
              <a:solidFill>
                <a:srgbClr val="FFFF3C"/>
              </a:solidFill>
            </c:spPr>
            <c:extLst>
              <c:ext xmlns:c16="http://schemas.microsoft.com/office/drawing/2014/chart" uri="{C3380CC4-5D6E-409C-BE32-E72D297353CC}">
                <c16:uniqueId val="{0000000F-5793-4BE9-9FAB-E40A3A339E56}"/>
              </c:ext>
            </c:extLst>
          </c:dPt>
          <c:dPt>
            <c:idx val="8"/>
            <c:bubble3D val="0"/>
            <c:spPr>
              <a:solidFill>
                <a:srgbClr val="FFFF64"/>
              </a:solidFill>
            </c:spPr>
            <c:extLst>
              <c:ext xmlns:c16="http://schemas.microsoft.com/office/drawing/2014/chart" uri="{C3380CC4-5D6E-409C-BE32-E72D297353CC}">
                <c16:uniqueId val="{00000011-5793-4BE9-9FAB-E40A3A339E56}"/>
              </c:ext>
            </c:extLst>
          </c:dPt>
          <c:dPt>
            <c:idx val="9"/>
            <c:bubble3D val="0"/>
            <c:spPr>
              <a:solidFill>
                <a:srgbClr val="FFFF8C"/>
              </a:solidFill>
            </c:spPr>
            <c:extLst>
              <c:ext xmlns:c16="http://schemas.microsoft.com/office/drawing/2014/chart" uri="{C3380CC4-5D6E-409C-BE32-E72D297353CC}">
                <c16:uniqueId val="{00000013-5793-4BE9-9FAB-E40A3A339E56}"/>
              </c:ext>
            </c:extLst>
          </c:dPt>
          <c:dPt>
            <c:idx val="10"/>
            <c:bubble3D val="0"/>
            <c:spPr>
              <a:solidFill>
                <a:srgbClr val="FFFFB4"/>
              </a:solidFill>
            </c:spPr>
            <c:extLst>
              <c:ext xmlns:c16="http://schemas.microsoft.com/office/drawing/2014/chart" uri="{C3380CC4-5D6E-409C-BE32-E72D297353CC}">
                <c16:uniqueId val="{00000015-5793-4BE9-9FAB-E40A3A339E56}"/>
              </c:ext>
            </c:extLst>
          </c:dPt>
          <c:dLbls>
            <c:dLbl>
              <c:idx val="0"/>
              <c:layout>
                <c:manualLayout>
                  <c:x val="9.1517979190908164E-2"/>
                  <c:y val="-0.213708775533493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93-4BE9-9FAB-E40A3A339E56}"/>
                </c:ext>
              </c:extLst>
            </c:dLbl>
            <c:dLbl>
              <c:idx val="1"/>
              <c:layout>
                <c:manualLayout>
                  <c:x val="-5.5209577340193369E-2"/>
                  <c:y val="-5.574653168353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93-4BE9-9FAB-E40A3A339E56}"/>
                </c:ext>
              </c:extLst>
            </c:dLbl>
            <c:dLbl>
              <c:idx val="2"/>
              <c:layout>
                <c:manualLayout>
                  <c:x val="-1.374017630866443E-3"/>
                  <c:y val="-9.491292936209061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93-4BE9-9FAB-E40A3A339E56}"/>
                </c:ext>
              </c:extLst>
            </c:dLbl>
            <c:dLbl>
              <c:idx val="3"/>
              <c:layout>
                <c:manualLayout>
                  <c:x val="6.38032512793862E-2"/>
                  <c:y val="-0.2253091407052379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93-4BE9-9FAB-E40A3A339E56}"/>
                </c:ext>
              </c:extLst>
            </c:dLbl>
            <c:dLbl>
              <c:idx val="4"/>
              <c:layout>
                <c:manualLayout>
                  <c:x val="9.3132246561001969E-2"/>
                  <c:y val="-0.2304788314504165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93-4BE9-9FAB-E40A3A339E56}"/>
                </c:ext>
              </c:extLst>
            </c:dLbl>
            <c:dLbl>
              <c:idx val="5"/>
              <c:layout>
                <c:manualLayout>
                  <c:x val="0.10244632775434072"/>
                  <c:y val="-0.1596427946506687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793-4BE9-9FAB-E40A3A339E56}"/>
                </c:ext>
              </c:extLst>
            </c:dLbl>
            <c:dLbl>
              <c:idx val="6"/>
              <c:layout>
                <c:manualLayout>
                  <c:x val="9.9265844997495828E-2"/>
                  <c:y val="-9.26084674198333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793-4BE9-9FAB-E40A3A339E56}"/>
                </c:ext>
              </c:extLst>
            </c:dLbl>
            <c:dLbl>
              <c:idx val="7"/>
              <c:layout>
                <c:manualLayout>
                  <c:x val="0.10291093814134052"/>
                  <c:y val="-1.534839666780782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793-4BE9-9FAB-E40A3A339E56}"/>
                </c:ext>
              </c:extLst>
            </c:dLbl>
            <c:dLbl>
              <c:idx val="8"/>
              <c:layout>
                <c:manualLayout>
                  <c:x val="0.10085834679560321"/>
                  <c:y val="4.60070752025562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793-4BE9-9FAB-E40A3A339E56}"/>
                </c:ext>
              </c:extLst>
            </c:dLbl>
            <c:dLbl>
              <c:idx val="9"/>
              <c:layout>
                <c:manualLayout>
                  <c:x val="0.10762804219056549"/>
                  <c:y val="9.96603902773022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793-4BE9-9FAB-E40A3A339E56}"/>
                </c:ext>
              </c:extLst>
            </c:dLbl>
            <c:dLbl>
              <c:idx val="10"/>
              <c:layout>
                <c:manualLayout>
                  <c:x val="8.2355049951611137E-2"/>
                  <c:y val="0.1679525276731712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793-4BE9-9FAB-E40A3A339E56}"/>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'Gold - Exports'!$A$10:$A$20</c:f>
              <c:strCache>
                <c:ptCount val="11"/>
                <c:pt idx="0">
                  <c:v>  United Kingdom</c:v>
                </c:pt>
                <c:pt idx="1">
                  <c:v>  Hong Kong (SAR of China)</c:v>
                </c:pt>
                <c:pt idx="2">
                  <c:v>  China</c:v>
                </c:pt>
                <c:pt idx="3">
                  <c:v>  Singapore</c:v>
                </c:pt>
                <c:pt idx="4">
                  <c:v>  India</c:v>
                </c:pt>
                <c:pt idx="5">
                  <c:v>  Switzerland</c:v>
                </c:pt>
                <c:pt idx="6">
                  <c:v>  United States of America</c:v>
                </c:pt>
                <c:pt idx="7">
                  <c:v>  Korea, Republic of</c:v>
                </c:pt>
                <c:pt idx="8">
                  <c:v>  Thailand</c:v>
                </c:pt>
                <c:pt idx="9">
                  <c:v>  Turkey</c:v>
                </c:pt>
                <c:pt idx="10">
                  <c:v>Other</c:v>
                </c:pt>
              </c:strCache>
            </c:strRef>
          </c:cat>
          <c:val>
            <c:numRef>
              <c:f>'Gold - Exports'!$D$10:$D$20</c:f>
              <c:numCache>
                <c:formatCode>0.0%</c:formatCode>
                <c:ptCount val="11"/>
                <c:pt idx="0">
                  <c:v>0.58163745997226346</c:v>
                </c:pt>
                <c:pt idx="1">
                  <c:v>0.16482982442397381</c:v>
                </c:pt>
                <c:pt idx="2">
                  <c:v>0.14516343993774364</c:v>
                </c:pt>
                <c:pt idx="3">
                  <c:v>6.6172331582106211E-2</c:v>
                </c:pt>
                <c:pt idx="4">
                  <c:v>1.290133420773353E-2</c:v>
                </c:pt>
                <c:pt idx="5">
                  <c:v>7.3709082744680869E-3</c:v>
                </c:pt>
                <c:pt idx="6">
                  <c:v>5.6555482527090341E-3</c:v>
                </c:pt>
                <c:pt idx="7">
                  <c:v>5.4820854250552734E-3</c:v>
                </c:pt>
                <c:pt idx="8">
                  <c:v>4.5047432424968588E-3</c:v>
                </c:pt>
                <c:pt idx="9">
                  <c:v>2.643682211052135E-3</c:v>
                </c:pt>
                <c:pt idx="10">
                  <c:v>3.6386424703979911E-3</c:v>
                </c:pt>
              </c:numCache>
            </c:numRef>
          </c:val>
          <c:extLst>
            <c:ext xmlns:c16="http://schemas.microsoft.com/office/drawing/2014/chart" uri="{C3380CC4-5D6E-409C-BE32-E72D297353CC}">
              <c16:uniqueId val="{00000016-5793-4BE9-9FAB-E40A3A339E56}"/>
            </c:ext>
          </c:extLst>
        </c:ser>
        <c:dLbls>
          <c:showLegendKey val="0"/>
          <c:showVal val="1"/>
          <c:showCatName val="1"/>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br>
              <a:rPr lang="en-AU"/>
            </a:br>
            <a:r>
              <a:rPr lang="en-AU" sz="1100"/>
              <a:t>Western Australia vs Rest of Australia</a:t>
            </a:r>
          </a:p>
        </c:rich>
      </c:tx>
      <c:layout>
        <c:manualLayout>
          <c:xMode val="edge"/>
          <c:yMode val="edge"/>
          <c:x val="0.29717709499360584"/>
          <c:y val="3.7220828955003456E-2"/>
        </c:manualLayout>
      </c:layout>
      <c:overlay val="0"/>
    </c:title>
    <c:autoTitleDeleted val="0"/>
    <c:plotArea>
      <c:layout>
        <c:manualLayout>
          <c:layoutTarget val="inner"/>
          <c:xMode val="edge"/>
          <c:yMode val="edge"/>
          <c:x val="0.13242720559261792"/>
          <c:y val="0.23384037935530555"/>
          <c:w val="0.79759776331876764"/>
          <c:h val="0.6236357157049498"/>
        </c:manualLayout>
      </c:layout>
      <c:barChart>
        <c:barDir val="col"/>
        <c:grouping val="stacked"/>
        <c:varyColors val="0"/>
        <c:ser>
          <c:idx val="0"/>
          <c:order val="0"/>
          <c:tx>
            <c:strRef>
              <c:f>'Gold - WA vs Australia'!$B$6</c:f>
              <c:strCache>
                <c:ptCount val="1"/>
                <c:pt idx="0">
                  <c:v>Western Australia (Tonnes)</c:v>
                </c:pt>
              </c:strCache>
            </c:strRef>
          </c:tx>
          <c:spPr>
            <a:solidFill>
              <a:srgbClr val="FFFF00"/>
            </a:solidFill>
          </c:spPr>
          <c:invertIfNegative val="0"/>
          <c:cat>
            <c:numRef>
              <c:extLst>
                <c:ext xmlns:c15="http://schemas.microsoft.com/office/drawing/2012/chart" uri="{02D57815-91ED-43cb-92C2-25804820EDAC}">
                  <c15:fullRef>
                    <c15:sqref>'Gold - WA vs Australia'!$A$7:$A$136</c15:sqref>
                  </c15:fullRef>
                </c:ext>
              </c:extLst>
              <c:f>'Gold - WA vs Australia'!$A$16:$A$136</c:f>
              <c:numCache>
                <c:formatCode>General</c:formatCode>
                <c:ptCount val="121"/>
                <c:pt idx="0">
                  <c:v>1899</c:v>
                </c:pt>
                <c:pt idx="1">
                  <c:v>1900</c:v>
                </c:pt>
                <c:pt idx="2">
                  <c:v>1901</c:v>
                </c:pt>
                <c:pt idx="3">
                  <c:v>1902</c:v>
                </c:pt>
                <c:pt idx="4">
                  <c:v>1903</c:v>
                </c:pt>
                <c:pt idx="5">
                  <c:v>1904</c:v>
                </c:pt>
                <c:pt idx="6">
                  <c:v>1905</c:v>
                </c:pt>
                <c:pt idx="7">
                  <c:v>1906</c:v>
                </c:pt>
                <c:pt idx="8">
                  <c:v>1907</c:v>
                </c:pt>
                <c:pt idx="9">
                  <c:v>1908</c:v>
                </c:pt>
                <c:pt idx="10">
                  <c:v>1909</c:v>
                </c:pt>
                <c:pt idx="11">
                  <c:v>1910</c:v>
                </c:pt>
                <c:pt idx="12">
                  <c:v>1911</c:v>
                </c:pt>
                <c:pt idx="13">
                  <c:v>1912</c:v>
                </c:pt>
                <c:pt idx="14">
                  <c:v>1913</c:v>
                </c:pt>
                <c:pt idx="15">
                  <c:v>1914</c:v>
                </c:pt>
                <c:pt idx="16">
                  <c:v>1915</c:v>
                </c:pt>
                <c:pt idx="17">
                  <c:v>1916</c:v>
                </c:pt>
                <c:pt idx="18">
                  <c:v>1917</c:v>
                </c:pt>
                <c:pt idx="19">
                  <c:v>1918</c:v>
                </c:pt>
                <c:pt idx="20">
                  <c:v>1919</c:v>
                </c:pt>
                <c:pt idx="21">
                  <c:v>1920</c:v>
                </c:pt>
                <c:pt idx="22">
                  <c:v>1921</c:v>
                </c:pt>
                <c:pt idx="23">
                  <c:v>1922</c:v>
                </c:pt>
                <c:pt idx="24">
                  <c:v>1923</c:v>
                </c:pt>
                <c:pt idx="25">
                  <c:v>1924</c:v>
                </c:pt>
                <c:pt idx="26">
                  <c:v>1925</c:v>
                </c:pt>
                <c:pt idx="27">
                  <c:v>1926</c:v>
                </c:pt>
                <c:pt idx="28">
                  <c:v>1927</c:v>
                </c:pt>
                <c:pt idx="29">
                  <c:v>1928</c:v>
                </c:pt>
                <c:pt idx="30">
                  <c:v>1929</c:v>
                </c:pt>
                <c:pt idx="31">
                  <c:v>1930</c:v>
                </c:pt>
                <c:pt idx="32">
                  <c:v>1931</c:v>
                </c:pt>
                <c:pt idx="33">
                  <c:v>1932</c:v>
                </c:pt>
                <c:pt idx="34">
                  <c:v>1933</c:v>
                </c:pt>
                <c:pt idx="35">
                  <c:v>1934</c:v>
                </c:pt>
                <c:pt idx="36">
                  <c:v>1935</c:v>
                </c:pt>
                <c:pt idx="37">
                  <c:v>1936</c:v>
                </c:pt>
                <c:pt idx="38">
                  <c:v>1937</c:v>
                </c:pt>
                <c:pt idx="39">
                  <c:v>1938</c:v>
                </c:pt>
                <c:pt idx="40">
                  <c:v>1939</c:v>
                </c:pt>
                <c:pt idx="41">
                  <c:v>1940</c:v>
                </c:pt>
                <c:pt idx="42">
                  <c:v>1941</c:v>
                </c:pt>
                <c:pt idx="43">
                  <c:v>1942</c:v>
                </c:pt>
                <c:pt idx="44">
                  <c:v>1943</c:v>
                </c:pt>
                <c:pt idx="45">
                  <c:v>1944</c:v>
                </c:pt>
                <c:pt idx="46">
                  <c:v>1945</c:v>
                </c:pt>
                <c:pt idx="47">
                  <c:v>1946</c:v>
                </c:pt>
                <c:pt idx="48">
                  <c:v>1947</c:v>
                </c:pt>
                <c:pt idx="49">
                  <c:v>1948</c:v>
                </c:pt>
                <c:pt idx="50">
                  <c:v>1949</c:v>
                </c:pt>
                <c:pt idx="51">
                  <c:v>1950</c:v>
                </c:pt>
                <c:pt idx="52">
                  <c:v>1951</c:v>
                </c:pt>
                <c:pt idx="53">
                  <c:v>1952</c:v>
                </c:pt>
                <c:pt idx="54">
                  <c:v>1953</c:v>
                </c:pt>
                <c:pt idx="55">
                  <c:v>1954</c:v>
                </c:pt>
                <c:pt idx="56">
                  <c:v>1955</c:v>
                </c:pt>
                <c:pt idx="57">
                  <c:v>1956</c:v>
                </c:pt>
                <c:pt idx="58">
                  <c:v>1957</c:v>
                </c:pt>
                <c:pt idx="59">
                  <c:v>1958</c:v>
                </c:pt>
                <c:pt idx="60">
                  <c:v>1959</c:v>
                </c:pt>
                <c:pt idx="61">
                  <c:v>1960</c:v>
                </c:pt>
                <c:pt idx="62">
                  <c:v>1961</c:v>
                </c:pt>
                <c:pt idx="63">
                  <c:v>1962</c:v>
                </c:pt>
                <c:pt idx="64">
                  <c:v>1963</c:v>
                </c:pt>
                <c:pt idx="65">
                  <c:v>1964</c:v>
                </c:pt>
                <c:pt idx="66">
                  <c:v>1965</c:v>
                </c:pt>
                <c:pt idx="67">
                  <c:v>1966</c:v>
                </c:pt>
                <c:pt idx="68">
                  <c:v>1967</c:v>
                </c:pt>
                <c:pt idx="69">
                  <c:v>1968</c:v>
                </c:pt>
                <c:pt idx="70">
                  <c:v>1969</c:v>
                </c:pt>
                <c:pt idx="71">
                  <c:v>1970</c:v>
                </c:pt>
                <c:pt idx="72">
                  <c:v>1971</c:v>
                </c:pt>
                <c:pt idx="73">
                  <c:v>1972</c:v>
                </c:pt>
                <c:pt idx="74">
                  <c:v>1973</c:v>
                </c:pt>
                <c:pt idx="75">
                  <c:v>1974</c:v>
                </c:pt>
                <c:pt idx="76">
                  <c:v>1975</c:v>
                </c:pt>
                <c:pt idx="77">
                  <c:v>1976</c:v>
                </c:pt>
                <c:pt idx="78">
                  <c:v>1977</c:v>
                </c:pt>
                <c:pt idx="79">
                  <c:v>1978</c:v>
                </c:pt>
                <c:pt idx="80">
                  <c:v>1979</c:v>
                </c:pt>
                <c:pt idx="81">
                  <c:v>1980</c:v>
                </c:pt>
                <c:pt idx="82">
                  <c:v>1981</c:v>
                </c:pt>
                <c:pt idx="83">
                  <c:v>1982</c:v>
                </c:pt>
                <c:pt idx="84">
                  <c:v>1983</c:v>
                </c:pt>
                <c:pt idx="85">
                  <c:v>1984</c:v>
                </c:pt>
                <c:pt idx="86">
                  <c:v>1985</c:v>
                </c:pt>
                <c:pt idx="87">
                  <c:v>1986</c:v>
                </c:pt>
                <c:pt idx="88">
                  <c:v>1987</c:v>
                </c:pt>
                <c:pt idx="89">
                  <c:v>1988</c:v>
                </c:pt>
                <c:pt idx="90">
                  <c:v>1989</c:v>
                </c:pt>
                <c:pt idx="91">
                  <c:v>1990</c:v>
                </c:pt>
                <c:pt idx="92">
                  <c:v>1991</c:v>
                </c:pt>
                <c:pt idx="93">
                  <c:v>1992</c:v>
                </c:pt>
                <c:pt idx="94">
                  <c:v>1993</c:v>
                </c:pt>
                <c:pt idx="95">
                  <c:v>1994</c:v>
                </c:pt>
                <c:pt idx="96">
                  <c:v>1995</c:v>
                </c:pt>
                <c:pt idx="97">
                  <c:v>1996</c:v>
                </c:pt>
                <c:pt idx="98">
                  <c:v>1997</c:v>
                </c:pt>
                <c:pt idx="99">
                  <c:v>1998</c:v>
                </c:pt>
                <c:pt idx="100">
                  <c:v>1999</c:v>
                </c:pt>
                <c:pt idx="101">
                  <c:v>2000</c:v>
                </c:pt>
                <c:pt idx="102">
                  <c:v>2001</c:v>
                </c:pt>
                <c:pt idx="103">
                  <c:v>2002</c:v>
                </c:pt>
                <c:pt idx="104">
                  <c:v>2003</c:v>
                </c:pt>
                <c:pt idx="105">
                  <c:v>2004</c:v>
                </c:pt>
                <c:pt idx="106">
                  <c:v>2005</c:v>
                </c:pt>
                <c:pt idx="107">
                  <c:v>2006</c:v>
                </c:pt>
                <c:pt idx="108">
                  <c:v>2007</c:v>
                </c:pt>
                <c:pt idx="109">
                  <c:v>2008</c:v>
                </c:pt>
                <c:pt idx="110">
                  <c:v>2009</c:v>
                </c:pt>
                <c:pt idx="111">
                  <c:v>2010</c:v>
                </c:pt>
                <c:pt idx="112">
                  <c:v>2011</c:v>
                </c:pt>
                <c:pt idx="113">
                  <c:v>2012</c:v>
                </c:pt>
                <c:pt idx="114">
                  <c:v>2013</c:v>
                </c:pt>
                <c:pt idx="115">
                  <c:v>2014</c:v>
                </c:pt>
                <c:pt idx="116">
                  <c:v>2015</c:v>
                </c:pt>
                <c:pt idx="117">
                  <c:v>2016</c:v>
                </c:pt>
                <c:pt idx="118">
                  <c:v>2017</c:v>
                </c:pt>
                <c:pt idx="119">
                  <c:v>2018</c:v>
                </c:pt>
                <c:pt idx="120">
                  <c:v>2019</c:v>
                </c:pt>
              </c:numCache>
            </c:numRef>
          </c:cat>
          <c:val>
            <c:numRef>
              <c:extLst>
                <c:ext xmlns:c15="http://schemas.microsoft.com/office/drawing/2012/chart" uri="{02D57815-91ED-43cb-92C2-25804820EDAC}">
                  <c15:fullRef>
                    <c15:sqref>'Gold - WA vs Australia'!$B$7:$B$136</c15:sqref>
                  </c15:fullRef>
                </c:ext>
              </c:extLst>
              <c:f>'Gold - WA vs Australia'!$B$16:$B$136</c:f>
              <c:numCache>
                <c:formatCode>0.00</c:formatCode>
                <c:ptCount val="121"/>
                <c:pt idx="0">
                  <c:v>44.892300000000006</c:v>
                </c:pt>
                <c:pt idx="1">
                  <c:v>41.324719999999999</c:v>
                </c:pt>
                <c:pt idx="2">
                  <c:v>49.205489999999998</c:v>
                </c:pt>
                <c:pt idx="3">
                  <c:v>55.71705</c:v>
                </c:pt>
                <c:pt idx="4">
                  <c:v>61.036239999999999</c:v>
                </c:pt>
                <c:pt idx="5">
                  <c:v>59.52693</c:v>
                </c:pt>
                <c:pt idx="6">
                  <c:v>57.250809999999994</c:v>
                </c:pt>
                <c:pt idx="7">
                  <c:v>54.004820000000002</c:v>
                </c:pt>
                <c:pt idx="8">
                  <c:v>52.00479</c:v>
                </c:pt>
                <c:pt idx="9">
                  <c:v>49.031699999999994</c:v>
                </c:pt>
                <c:pt idx="10">
                  <c:v>49.031699999999994</c:v>
                </c:pt>
                <c:pt idx="11">
                  <c:v>44.236339999999998</c:v>
                </c:pt>
                <c:pt idx="12">
                  <c:v>41.647150000000003</c:v>
                </c:pt>
                <c:pt idx="13">
                  <c:v>39.434379999999997</c:v>
                </c:pt>
                <c:pt idx="14">
                  <c:v>40.406179999999999</c:v>
                </c:pt>
                <c:pt idx="15">
                  <c:v>37.767060000000001</c:v>
                </c:pt>
                <c:pt idx="16">
                  <c:v>37.184160000000006</c:v>
                </c:pt>
                <c:pt idx="17">
                  <c:v>32.090290000000003</c:v>
                </c:pt>
                <c:pt idx="18">
                  <c:v>29.77908</c:v>
                </c:pt>
                <c:pt idx="19">
                  <c:v>26.625990000000002</c:v>
                </c:pt>
                <c:pt idx="20">
                  <c:v>21.40588</c:v>
                </c:pt>
                <c:pt idx="21">
                  <c:v>19.491289999999999</c:v>
                </c:pt>
                <c:pt idx="22">
                  <c:v>16.346629999999998</c:v>
                </c:pt>
                <c:pt idx="23">
                  <c:v>16.68824</c:v>
                </c:pt>
                <c:pt idx="24">
                  <c:v>15.41714</c:v>
                </c:pt>
                <c:pt idx="25">
                  <c:v>14.251860000000001</c:v>
                </c:pt>
                <c:pt idx="26">
                  <c:v>13.51549</c:v>
                </c:pt>
                <c:pt idx="27">
                  <c:v>13.322559999999999</c:v>
                </c:pt>
                <c:pt idx="28">
                  <c:v>12.64264</c:v>
                </c:pt>
                <c:pt idx="29">
                  <c:v>12.19501</c:v>
                </c:pt>
                <c:pt idx="30">
                  <c:v>11.57249</c:v>
                </c:pt>
                <c:pt idx="31">
                  <c:v>13.05622</c:v>
                </c:pt>
                <c:pt idx="32">
                  <c:v>16.113</c:v>
                </c:pt>
                <c:pt idx="33">
                  <c:v>18.644069999999999</c:v>
                </c:pt>
                <c:pt idx="34">
                  <c:v>19.810680000000001</c:v>
                </c:pt>
                <c:pt idx="35">
                  <c:v>19.90222</c:v>
                </c:pt>
                <c:pt idx="36">
                  <c:v>20.09751</c:v>
                </c:pt>
                <c:pt idx="37">
                  <c:v>26.513279999999998</c:v>
                </c:pt>
                <c:pt idx="38">
                  <c:v>31.330179999999999</c:v>
                </c:pt>
                <c:pt idx="39">
                  <c:v>36.482810000000001</c:v>
                </c:pt>
                <c:pt idx="40">
                  <c:v>36.959809999999997</c:v>
                </c:pt>
                <c:pt idx="41">
                  <c:v>35.919629999999998</c:v>
                </c:pt>
                <c:pt idx="42">
                  <c:v>34.384169999999997</c:v>
                </c:pt>
                <c:pt idx="43">
                  <c:v>26.306450000000002</c:v>
                </c:pt>
                <c:pt idx="44">
                  <c:v>16.539189999999998</c:v>
                </c:pt>
                <c:pt idx="45">
                  <c:v>14.69914</c:v>
                </c:pt>
                <c:pt idx="46">
                  <c:v>14.61572</c:v>
                </c:pt>
                <c:pt idx="47">
                  <c:v>19.240839999999999</c:v>
                </c:pt>
                <c:pt idx="48">
                  <c:v>21.82694</c:v>
                </c:pt>
                <c:pt idx="49">
                  <c:v>20.61354</c:v>
                </c:pt>
                <c:pt idx="50">
                  <c:v>20.203949999999999</c:v>
                </c:pt>
                <c:pt idx="51">
                  <c:v>18.930610000000001</c:v>
                </c:pt>
                <c:pt idx="52">
                  <c:v>20.162669999999999</c:v>
                </c:pt>
                <c:pt idx="53">
                  <c:v>22.62678</c:v>
                </c:pt>
                <c:pt idx="54">
                  <c:v>25.608460000000001</c:v>
                </c:pt>
                <c:pt idx="55">
                  <c:v>26.810950000000002</c:v>
                </c:pt>
                <c:pt idx="56">
                  <c:v>25.950430000000001</c:v>
                </c:pt>
                <c:pt idx="57">
                  <c:v>25.306330000000003</c:v>
                </c:pt>
                <c:pt idx="58">
                  <c:v>26.42989</c:v>
                </c:pt>
                <c:pt idx="59">
                  <c:v>27.209910000000001</c:v>
                </c:pt>
                <c:pt idx="60">
                  <c:v>26.779130000000002</c:v>
                </c:pt>
                <c:pt idx="61">
                  <c:v>27.058979999999998</c:v>
                </c:pt>
                <c:pt idx="62">
                  <c:v>27.080490000000001</c:v>
                </c:pt>
                <c:pt idx="63">
                  <c:v>26.750209999999999</c:v>
                </c:pt>
                <c:pt idx="64">
                  <c:v>24.971730000000001</c:v>
                </c:pt>
                <c:pt idx="65">
                  <c:v>22.25395</c:v>
                </c:pt>
                <c:pt idx="66">
                  <c:v>20.414930000000002</c:v>
                </c:pt>
                <c:pt idx="67">
                  <c:v>19.503490000000003</c:v>
                </c:pt>
                <c:pt idx="68">
                  <c:v>17.845759999999999</c:v>
                </c:pt>
                <c:pt idx="69">
                  <c:v>16.047840000000001</c:v>
                </c:pt>
                <c:pt idx="70">
                  <c:v>13.68755</c:v>
                </c:pt>
                <c:pt idx="71">
                  <c:v>10.89833</c:v>
                </c:pt>
                <c:pt idx="72">
                  <c:v>10.73376</c:v>
                </c:pt>
                <c:pt idx="73">
                  <c:v>10.47786</c:v>
                </c:pt>
                <c:pt idx="74">
                  <c:v>8.5868889999999993</c:v>
                </c:pt>
                <c:pt idx="75">
                  <c:v>6.5834330000000003</c:v>
                </c:pt>
                <c:pt idx="76">
                  <c:v>7.1049750000000005</c:v>
                </c:pt>
                <c:pt idx="77">
                  <c:v>7.0914160000000006</c:v>
                </c:pt>
                <c:pt idx="78">
                  <c:v>10.74737</c:v>
                </c:pt>
                <c:pt idx="79">
                  <c:v>13.332420000000001</c:v>
                </c:pt>
                <c:pt idx="80">
                  <c:v>11.581989999999999</c:v>
                </c:pt>
                <c:pt idx="81">
                  <c:v>11.232940000000001</c:v>
                </c:pt>
                <c:pt idx="82">
                  <c:v>12.046629999999999</c:v>
                </c:pt>
                <c:pt idx="83">
                  <c:v>20.75675</c:v>
                </c:pt>
                <c:pt idx="84">
                  <c:v>23.88092</c:v>
                </c:pt>
                <c:pt idx="85">
                  <c:v>32.110979999999998</c:v>
                </c:pt>
                <c:pt idx="86">
                  <c:v>41.195999999999998</c:v>
                </c:pt>
                <c:pt idx="87">
                  <c:v>53.639470000000003</c:v>
                </c:pt>
                <c:pt idx="88">
                  <c:v>79.164000000000001</c:v>
                </c:pt>
                <c:pt idx="89">
                  <c:v>108.133</c:v>
                </c:pt>
                <c:pt idx="90">
                  <c:v>150.459</c:v>
                </c:pt>
                <c:pt idx="91">
                  <c:v>187.744</c:v>
                </c:pt>
                <c:pt idx="92">
                  <c:v>184.41</c:v>
                </c:pt>
                <c:pt idx="93">
                  <c:v>182.45</c:v>
                </c:pt>
                <c:pt idx="94">
                  <c:v>182.154</c:v>
                </c:pt>
                <c:pt idx="95">
                  <c:v>192.953</c:v>
                </c:pt>
                <c:pt idx="96">
                  <c:v>196.791</c:v>
                </c:pt>
                <c:pt idx="97">
                  <c:v>228.005</c:v>
                </c:pt>
                <c:pt idx="98">
                  <c:v>238.33535699999999</c:v>
                </c:pt>
                <c:pt idx="99">
                  <c:v>231.375</c:v>
                </c:pt>
                <c:pt idx="100">
                  <c:v>211.70000000000002</c:v>
                </c:pt>
                <c:pt idx="101">
                  <c:v>199.62</c:v>
                </c:pt>
                <c:pt idx="102">
                  <c:v>192.20000000000002</c:v>
                </c:pt>
                <c:pt idx="103">
                  <c:v>188.75</c:v>
                </c:pt>
                <c:pt idx="104">
                  <c:v>187.59</c:v>
                </c:pt>
                <c:pt idx="105">
                  <c:v>163.88</c:v>
                </c:pt>
                <c:pt idx="106">
                  <c:v>167.28532349</c:v>
                </c:pt>
                <c:pt idx="107">
                  <c:v>162.96909348999998</c:v>
                </c:pt>
                <c:pt idx="108">
                  <c:v>151.44883905999998</c:v>
                </c:pt>
                <c:pt idx="109">
                  <c:v>132.07425353000002</c:v>
                </c:pt>
                <c:pt idx="110">
                  <c:v>146.42791006000002</c:v>
                </c:pt>
                <c:pt idx="111">
                  <c:v>182.89955302999999</c:v>
                </c:pt>
                <c:pt idx="112">
                  <c:v>179.60817457000002</c:v>
                </c:pt>
                <c:pt idx="113">
                  <c:v>181.28663516</c:v>
                </c:pt>
                <c:pt idx="114">
                  <c:v>187.45436469999999</c:v>
                </c:pt>
                <c:pt idx="115">
                  <c:v>194.73649055852593</c:v>
                </c:pt>
                <c:pt idx="116">
                  <c:v>194.46998849169691</c:v>
                </c:pt>
                <c:pt idx="117">
                  <c:v>197.02509114887081</c:v>
                </c:pt>
                <c:pt idx="118">
                  <c:v>219.84579538151269</c:v>
                </c:pt>
                <c:pt idx="119">
                  <c:v>212.11583091331136</c:v>
                </c:pt>
                <c:pt idx="120">
                  <c:v>218.82682638325136</c:v>
                </c:pt>
              </c:numCache>
            </c:numRef>
          </c:val>
          <c:extLst>
            <c:ext xmlns:c16="http://schemas.microsoft.com/office/drawing/2014/chart" uri="{C3380CC4-5D6E-409C-BE32-E72D297353CC}">
              <c16:uniqueId val="{00000000-8E2A-472E-B9EC-499BBBB08CD1}"/>
            </c:ext>
          </c:extLst>
        </c:ser>
        <c:ser>
          <c:idx val="1"/>
          <c:order val="1"/>
          <c:tx>
            <c:strRef>
              <c:f>'Gold - WA vs Australia'!$C$6</c:f>
              <c:strCache>
                <c:ptCount val="1"/>
                <c:pt idx="0">
                  <c:v>Rest of Australia (Tonnes)</c:v>
                </c:pt>
              </c:strCache>
            </c:strRef>
          </c:tx>
          <c:spPr>
            <a:solidFill>
              <a:srgbClr val="C89600"/>
            </a:solidFill>
          </c:spPr>
          <c:invertIfNegative val="0"/>
          <c:cat>
            <c:numRef>
              <c:extLst>
                <c:ext xmlns:c15="http://schemas.microsoft.com/office/drawing/2012/chart" uri="{02D57815-91ED-43cb-92C2-25804820EDAC}">
                  <c15:fullRef>
                    <c15:sqref>'Gold - WA vs Australia'!$A$7:$A$136</c15:sqref>
                  </c15:fullRef>
                </c:ext>
              </c:extLst>
              <c:f>'Gold - WA vs Australia'!$A$16:$A$136</c:f>
              <c:numCache>
                <c:formatCode>General</c:formatCode>
                <c:ptCount val="121"/>
                <c:pt idx="0">
                  <c:v>1899</c:v>
                </c:pt>
                <c:pt idx="1">
                  <c:v>1900</c:v>
                </c:pt>
                <c:pt idx="2">
                  <c:v>1901</c:v>
                </c:pt>
                <c:pt idx="3">
                  <c:v>1902</c:v>
                </c:pt>
                <c:pt idx="4">
                  <c:v>1903</c:v>
                </c:pt>
                <c:pt idx="5">
                  <c:v>1904</c:v>
                </c:pt>
                <c:pt idx="6">
                  <c:v>1905</c:v>
                </c:pt>
                <c:pt idx="7">
                  <c:v>1906</c:v>
                </c:pt>
                <c:pt idx="8">
                  <c:v>1907</c:v>
                </c:pt>
                <c:pt idx="9">
                  <c:v>1908</c:v>
                </c:pt>
                <c:pt idx="10">
                  <c:v>1909</c:v>
                </c:pt>
                <c:pt idx="11">
                  <c:v>1910</c:v>
                </c:pt>
                <c:pt idx="12">
                  <c:v>1911</c:v>
                </c:pt>
                <c:pt idx="13">
                  <c:v>1912</c:v>
                </c:pt>
                <c:pt idx="14">
                  <c:v>1913</c:v>
                </c:pt>
                <c:pt idx="15">
                  <c:v>1914</c:v>
                </c:pt>
                <c:pt idx="16">
                  <c:v>1915</c:v>
                </c:pt>
                <c:pt idx="17">
                  <c:v>1916</c:v>
                </c:pt>
                <c:pt idx="18">
                  <c:v>1917</c:v>
                </c:pt>
                <c:pt idx="19">
                  <c:v>1918</c:v>
                </c:pt>
                <c:pt idx="20">
                  <c:v>1919</c:v>
                </c:pt>
                <c:pt idx="21">
                  <c:v>1920</c:v>
                </c:pt>
                <c:pt idx="22">
                  <c:v>1921</c:v>
                </c:pt>
                <c:pt idx="23">
                  <c:v>1922</c:v>
                </c:pt>
                <c:pt idx="24">
                  <c:v>1923</c:v>
                </c:pt>
                <c:pt idx="25">
                  <c:v>1924</c:v>
                </c:pt>
                <c:pt idx="26">
                  <c:v>1925</c:v>
                </c:pt>
                <c:pt idx="27">
                  <c:v>1926</c:v>
                </c:pt>
                <c:pt idx="28">
                  <c:v>1927</c:v>
                </c:pt>
                <c:pt idx="29">
                  <c:v>1928</c:v>
                </c:pt>
                <c:pt idx="30">
                  <c:v>1929</c:v>
                </c:pt>
                <c:pt idx="31">
                  <c:v>1930</c:v>
                </c:pt>
                <c:pt idx="32">
                  <c:v>1931</c:v>
                </c:pt>
                <c:pt idx="33">
                  <c:v>1932</c:v>
                </c:pt>
                <c:pt idx="34">
                  <c:v>1933</c:v>
                </c:pt>
                <c:pt idx="35">
                  <c:v>1934</c:v>
                </c:pt>
                <c:pt idx="36">
                  <c:v>1935</c:v>
                </c:pt>
                <c:pt idx="37">
                  <c:v>1936</c:v>
                </c:pt>
                <c:pt idx="38">
                  <c:v>1937</c:v>
                </c:pt>
                <c:pt idx="39">
                  <c:v>1938</c:v>
                </c:pt>
                <c:pt idx="40">
                  <c:v>1939</c:v>
                </c:pt>
                <c:pt idx="41">
                  <c:v>1940</c:v>
                </c:pt>
                <c:pt idx="42">
                  <c:v>1941</c:v>
                </c:pt>
                <c:pt idx="43">
                  <c:v>1942</c:v>
                </c:pt>
                <c:pt idx="44">
                  <c:v>1943</c:v>
                </c:pt>
                <c:pt idx="45">
                  <c:v>1944</c:v>
                </c:pt>
                <c:pt idx="46">
                  <c:v>1945</c:v>
                </c:pt>
                <c:pt idx="47">
                  <c:v>1946</c:v>
                </c:pt>
                <c:pt idx="48">
                  <c:v>1947</c:v>
                </c:pt>
                <c:pt idx="49">
                  <c:v>1948</c:v>
                </c:pt>
                <c:pt idx="50">
                  <c:v>1949</c:v>
                </c:pt>
                <c:pt idx="51">
                  <c:v>1950</c:v>
                </c:pt>
                <c:pt idx="52">
                  <c:v>1951</c:v>
                </c:pt>
                <c:pt idx="53">
                  <c:v>1952</c:v>
                </c:pt>
                <c:pt idx="54">
                  <c:v>1953</c:v>
                </c:pt>
                <c:pt idx="55">
                  <c:v>1954</c:v>
                </c:pt>
                <c:pt idx="56">
                  <c:v>1955</c:v>
                </c:pt>
                <c:pt idx="57">
                  <c:v>1956</c:v>
                </c:pt>
                <c:pt idx="58">
                  <c:v>1957</c:v>
                </c:pt>
                <c:pt idx="59">
                  <c:v>1958</c:v>
                </c:pt>
                <c:pt idx="60">
                  <c:v>1959</c:v>
                </c:pt>
                <c:pt idx="61">
                  <c:v>1960</c:v>
                </c:pt>
                <c:pt idx="62">
                  <c:v>1961</c:v>
                </c:pt>
                <c:pt idx="63">
                  <c:v>1962</c:v>
                </c:pt>
                <c:pt idx="64">
                  <c:v>1963</c:v>
                </c:pt>
                <c:pt idx="65">
                  <c:v>1964</c:v>
                </c:pt>
                <c:pt idx="66">
                  <c:v>1965</c:v>
                </c:pt>
                <c:pt idx="67">
                  <c:v>1966</c:v>
                </c:pt>
                <c:pt idx="68">
                  <c:v>1967</c:v>
                </c:pt>
                <c:pt idx="69">
                  <c:v>1968</c:v>
                </c:pt>
                <c:pt idx="70">
                  <c:v>1969</c:v>
                </c:pt>
                <c:pt idx="71">
                  <c:v>1970</c:v>
                </c:pt>
                <c:pt idx="72">
                  <c:v>1971</c:v>
                </c:pt>
                <c:pt idx="73">
                  <c:v>1972</c:v>
                </c:pt>
                <c:pt idx="74">
                  <c:v>1973</c:v>
                </c:pt>
                <c:pt idx="75">
                  <c:v>1974</c:v>
                </c:pt>
                <c:pt idx="76">
                  <c:v>1975</c:v>
                </c:pt>
                <c:pt idx="77">
                  <c:v>1976</c:v>
                </c:pt>
                <c:pt idx="78">
                  <c:v>1977</c:v>
                </c:pt>
                <c:pt idx="79">
                  <c:v>1978</c:v>
                </c:pt>
                <c:pt idx="80">
                  <c:v>1979</c:v>
                </c:pt>
                <c:pt idx="81">
                  <c:v>1980</c:v>
                </c:pt>
                <c:pt idx="82">
                  <c:v>1981</c:v>
                </c:pt>
                <c:pt idx="83">
                  <c:v>1982</c:v>
                </c:pt>
                <c:pt idx="84">
                  <c:v>1983</c:v>
                </c:pt>
                <c:pt idx="85">
                  <c:v>1984</c:v>
                </c:pt>
                <c:pt idx="86">
                  <c:v>1985</c:v>
                </c:pt>
                <c:pt idx="87">
                  <c:v>1986</c:v>
                </c:pt>
                <c:pt idx="88">
                  <c:v>1987</c:v>
                </c:pt>
                <c:pt idx="89">
                  <c:v>1988</c:v>
                </c:pt>
                <c:pt idx="90">
                  <c:v>1989</c:v>
                </c:pt>
                <c:pt idx="91">
                  <c:v>1990</c:v>
                </c:pt>
                <c:pt idx="92">
                  <c:v>1991</c:v>
                </c:pt>
                <c:pt idx="93">
                  <c:v>1992</c:v>
                </c:pt>
                <c:pt idx="94">
                  <c:v>1993</c:v>
                </c:pt>
                <c:pt idx="95">
                  <c:v>1994</c:v>
                </c:pt>
                <c:pt idx="96">
                  <c:v>1995</c:v>
                </c:pt>
                <c:pt idx="97">
                  <c:v>1996</c:v>
                </c:pt>
                <c:pt idx="98">
                  <c:v>1997</c:v>
                </c:pt>
                <c:pt idx="99">
                  <c:v>1998</c:v>
                </c:pt>
                <c:pt idx="100">
                  <c:v>1999</c:v>
                </c:pt>
                <c:pt idx="101">
                  <c:v>2000</c:v>
                </c:pt>
                <c:pt idx="102">
                  <c:v>2001</c:v>
                </c:pt>
                <c:pt idx="103">
                  <c:v>2002</c:v>
                </c:pt>
                <c:pt idx="104">
                  <c:v>2003</c:v>
                </c:pt>
                <c:pt idx="105">
                  <c:v>2004</c:v>
                </c:pt>
                <c:pt idx="106">
                  <c:v>2005</c:v>
                </c:pt>
                <c:pt idx="107">
                  <c:v>2006</c:v>
                </c:pt>
                <c:pt idx="108">
                  <c:v>2007</c:v>
                </c:pt>
                <c:pt idx="109">
                  <c:v>2008</c:v>
                </c:pt>
                <c:pt idx="110">
                  <c:v>2009</c:v>
                </c:pt>
                <c:pt idx="111">
                  <c:v>2010</c:v>
                </c:pt>
                <c:pt idx="112">
                  <c:v>2011</c:v>
                </c:pt>
                <c:pt idx="113">
                  <c:v>2012</c:v>
                </c:pt>
                <c:pt idx="114">
                  <c:v>2013</c:v>
                </c:pt>
                <c:pt idx="115">
                  <c:v>2014</c:v>
                </c:pt>
                <c:pt idx="116">
                  <c:v>2015</c:v>
                </c:pt>
                <c:pt idx="117">
                  <c:v>2016</c:v>
                </c:pt>
                <c:pt idx="118">
                  <c:v>2017</c:v>
                </c:pt>
                <c:pt idx="119">
                  <c:v>2018</c:v>
                </c:pt>
                <c:pt idx="120">
                  <c:v>2019</c:v>
                </c:pt>
              </c:numCache>
            </c:numRef>
          </c:cat>
          <c:val>
            <c:numRef>
              <c:extLst>
                <c:ext xmlns:c15="http://schemas.microsoft.com/office/drawing/2012/chart" uri="{02D57815-91ED-43cb-92C2-25804820EDAC}">
                  <c15:fullRef>
                    <c15:sqref>'Gold - WA vs Australia'!$C$7:$C$136</c15:sqref>
                  </c15:fullRef>
                </c:ext>
              </c:extLst>
              <c:f>'Gold - WA vs Australia'!$C$16:$C$136</c:f>
              <c:numCache>
                <c:formatCode>0.00</c:formatCode>
                <c:ptCount val="121"/>
                <c:pt idx="0">
                  <c:v>61.525300000000001</c:v>
                </c:pt>
                <c:pt idx="1">
                  <c:v>58.101740000000007</c:v>
                </c:pt>
                <c:pt idx="2">
                  <c:v>53.436310000000006</c:v>
                </c:pt>
                <c:pt idx="3">
                  <c:v>52.741749999999996</c:v>
                </c:pt>
                <c:pt idx="4">
                  <c:v>58.338259999999998</c:v>
                </c:pt>
                <c:pt idx="5">
                  <c:v>57.158269999999995</c:v>
                </c:pt>
                <c:pt idx="6">
                  <c:v>56.770389999999999</c:v>
                </c:pt>
                <c:pt idx="7">
                  <c:v>53.096979999999995</c:v>
                </c:pt>
                <c:pt idx="8">
                  <c:v>46.95617</c:v>
                </c:pt>
                <c:pt idx="9">
                  <c:v>46.601350000000004</c:v>
                </c:pt>
                <c:pt idx="10">
                  <c:v>43.31427</c:v>
                </c:pt>
                <c:pt idx="11">
                  <c:v>40.393820000000005</c:v>
                </c:pt>
                <c:pt idx="12">
                  <c:v>35.615839999999999</c:v>
                </c:pt>
                <c:pt idx="13">
                  <c:v>32.910220000000002</c:v>
                </c:pt>
                <c:pt idx="14">
                  <c:v>28.25262</c:v>
                </c:pt>
                <c:pt idx="15">
                  <c:v>26.1569</c:v>
                </c:pt>
                <c:pt idx="16">
                  <c:v>23.371409999999997</c:v>
                </c:pt>
                <c:pt idx="17">
                  <c:v>19.722379999999994</c:v>
                </c:pt>
                <c:pt idx="18">
                  <c:v>15.512810000000002</c:v>
                </c:pt>
                <c:pt idx="19">
                  <c:v>12.974579999999996</c:v>
                </c:pt>
                <c:pt idx="20">
                  <c:v>11.815799999999999</c:v>
                </c:pt>
                <c:pt idx="21">
                  <c:v>9.8596299999999992</c:v>
                </c:pt>
                <c:pt idx="22">
                  <c:v>7.2299600000000019</c:v>
                </c:pt>
                <c:pt idx="23">
                  <c:v>6.8094999999999999</c:v>
                </c:pt>
                <c:pt idx="24">
                  <c:v>6.7370599999999996</c:v>
                </c:pt>
                <c:pt idx="25">
                  <c:v>6.7721300000000006</c:v>
                </c:pt>
                <c:pt idx="26">
                  <c:v>3.8771999999999984</c:v>
                </c:pt>
                <c:pt idx="27">
                  <c:v>2.8921799999999998</c:v>
                </c:pt>
                <c:pt idx="28">
                  <c:v>3.1669800000000006</c:v>
                </c:pt>
                <c:pt idx="29">
                  <c:v>2.0400900000000011</c:v>
                </c:pt>
                <c:pt idx="30">
                  <c:v>1.7136700000000005</c:v>
                </c:pt>
                <c:pt idx="31">
                  <c:v>1.4921799999999994</c:v>
                </c:pt>
                <c:pt idx="32">
                  <c:v>2.3973900000000015</c:v>
                </c:pt>
                <c:pt idx="33">
                  <c:v>3.568010000000001</c:v>
                </c:pt>
                <c:pt idx="34">
                  <c:v>6.0135099999999966</c:v>
                </c:pt>
                <c:pt idx="35">
                  <c:v>7.6743999999999986</c:v>
                </c:pt>
                <c:pt idx="36">
                  <c:v>8.2219499999999996</c:v>
                </c:pt>
                <c:pt idx="37">
                  <c:v>10.181080000000005</c:v>
                </c:pt>
                <c:pt idx="38">
                  <c:v>11.759949999999996</c:v>
                </c:pt>
                <c:pt idx="39">
                  <c:v>13.034979999999997</c:v>
                </c:pt>
                <c:pt idx="40">
                  <c:v>14.227080000000001</c:v>
                </c:pt>
                <c:pt idx="41">
                  <c:v>15.214450000000006</c:v>
                </c:pt>
                <c:pt idx="42">
                  <c:v>12.168340000000008</c:v>
                </c:pt>
                <c:pt idx="43">
                  <c:v>9.5803399999999961</c:v>
                </c:pt>
                <c:pt idx="44">
                  <c:v>6.8282000000000025</c:v>
                </c:pt>
                <c:pt idx="45">
                  <c:v>5.7317099999999996</c:v>
                </c:pt>
                <c:pt idx="46">
                  <c:v>5.8258900000000011</c:v>
                </c:pt>
                <c:pt idx="47">
                  <c:v>6.4033499999999997</c:v>
                </c:pt>
                <c:pt idx="48">
                  <c:v>7.3373600000000003</c:v>
                </c:pt>
                <c:pt idx="49">
                  <c:v>6.9288099999999986</c:v>
                </c:pt>
                <c:pt idx="50">
                  <c:v>7.4488400000000006</c:v>
                </c:pt>
                <c:pt idx="51">
                  <c:v>8.1150099999999981</c:v>
                </c:pt>
                <c:pt idx="52">
                  <c:v>7.6920800000000007</c:v>
                </c:pt>
                <c:pt idx="53">
                  <c:v>7.8681599999999996</c:v>
                </c:pt>
                <c:pt idx="54">
                  <c:v>7.8334100000000007</c:v>
                </c:pt>
                <c:pt idx="55">
                  <c:v>7.9547100000000022</c:v>
                </c:pt>
                <c:pt idx="56">
                  <c:v>6.678329999999999</c:v>
                </c:pt>
                <c:pt idx="57">
                  <c:v>6.7246799999999922</c:v>
                </c:pt>
                <c:pt idx="58">
                  <c:v>7.2844400000000036</c:v>
                </c:pt>
                <c:pt idx="59">
                  <c:v>7.1276999999999973</c:v>
                </c:pt>
                <c:pt idx="60">
                  <c:v>6.9713700000000003</c:v>
                </c:pt>
                <c:pt idx="61">
                  <c:v>6.7414500000000004</c:v>
                </c:pt>
                <c:pt idx="62">
                  <c:v>6.3959299999999963</c:v>
                </c:pt>
                <c:pt idx="63">
                  <c:v>6.4943300000000015</c:v>
                </c:pt>
                <c:pt idx="64">
                  <c:v>6.8772999999999982</c:v>
                </c:pt>
                <c:pt idx="65">
                  <c:v>7.7246400000000008</c:v>
                </c:pt>
                <c:pt idx="66">
                  <c:v>6.8828199999999988</c:v>
                </c:pt>
                <c:pt idx="67">
                  <c:v>9.0179299999999962</c:v>
                </c:pt>
                <c:pt idx="68">
                  <c:v>7.2029899999999998</c:v>
                </c:pt>
                <c:pt idx="69">
                  <c:v>8.2683</c:v>
                </c:pt>
                <c:pt idx="70">
                  <c:v>8.1438199999999998</c:v>
                </c:pt>
                <c:pt idx="71">
                  <c:v>8.3834</c:v>
                </c:pt>
                <c:pt idx="72">
                  <c:v>10.184239999999999</c:v>
                </c:pt>
                <c:pt idx="73">
                  <c:v>12.883140000000001</c:v>
                </c:pt>
                <c:pt idx="74">
                  <c:v>8.5871110000000002</c:v>
                </c:pt>
                <c:pt idx="75">
                  <c:v>9.3605669999999996</c:v>
                </c:pt>
                <c:pt idx="76">
                  <c:v>9.2810249999999996</c:v>
                </c:pt>
                <c:pt idx="77">
                  <c:v>8.5455839999999998</c:v>
                </c:pt>
                <c:pt idx="78">
                  <c:v>8.6696300000000015</c:v>
                </c:pt>
                <c:pt idx="79">
                  <c:v>6.8095799999999986</c:v>
                </c:pt>
                <c:pt idx="80">
                  <c:v>8.9840099999999996</c:v>
                </c:pt>
                <c:pt idx="81">
                  <c:v>5.8020599999999991</c:v>
                </c:pt>
                <c:pt idx="82">
                  <c:v>6.3273700000000002</c:v>
                </c:pt>
                <c:pt idx="83">
                  <c:v>6.2042499999999983</c:v>
                </c:pt>
                <c:pt idx="84">
                  <c:v>6.7100800000000014</c:v>
                </c:pt>
                <c:pt idx="85">
                  <c:v>8.1980199999999996</c:v>
                </c:pt>
                <c:pt idx="86">
                  <c:v>17.258720000000004</c:v>
                </c:pt>
                <c:pt idx="87">
                  <c:v>21.439529999999991</c:v>
                </c:pt>
                <c:pt idx="88">
                  <c:v>32.257660000000001</c:v>
                </c:pt>
                <c:pt idx="89">
                  <c:v>46.432700000000011</c:v>
                </c:pt>
                <c:pt idx="90">
                  <c:v>56.530500000000018</c:v>
                </c:pt>
                <c:pt idx="91">
                  <c:v>65.951999999999998</c:v>
                </c:pt>
                <c:pt idx="92">
                  <c:v>55.257999999999981</c:v>
                </c:pt>
                <c:pt idx="93">
                  <c:v>58.68</c:v>
                </c:pt>
                <c:pt idx="94">
                  <c:v>63.709000000000003</c:v>
                </c:pt>
                <c:pt idx="95">
                  <c:v>62.046999999999997</c:v>
                </c:pt>
                <c:pt idx="96">
                  <c:v>56.308999999999997</c:v>
                </c:pt>
                <c:pt idx="97">
                  <c:v>60.875</c:v>
                </c:pt>
                <c:pt idx="98">
                  <c:v>75.114643000000001</c:v>
                </c:pt>
                <c:pt idx="99">
                  <c:v>78.225000000000023</c:v>
                </c:pt>
                <c:pt idx="100">
                  <c:v>87.765999999999991</c:v>
                </c:pt>
                <c:pt idx="101">
                  <c:v>96.00800000000001</c:v>
                </c:pt>
                <c:pt idx="102">
                  <c:v>92.826310999999976</c:v>
                </c:pt>
                <c:pt idx="103">
                  <c:v>77.281331999999992</c:v>
                </c:pt>
                <c:pt idx="104">
                  <c:v>96.716024000000004</c:v>
                </c:pt>
                <c:pt idx="105">
                  <c:v>94.578000000000003</c:v>
                </c:pt>
                <c:pt idx="106">
                  <c:v>92.165999999999997</c:v>
                </c:pt>
                <c:pt idx="107">
                  <c:v>80.349999999999994</c:v>
                </c:pt>
                <c:pt idx="108">
                  <c:v>92.31</c:v>
                </c:pt>
                <c:pt idx="109">
                  <c:v>83.175999999999988</c:v>
                </c:pt>
                <c:pt idx="110">
                  <c:v>71.5</c:v>
                </c:pt>
                <c:pt idx="111">
                  <c:v>77.5</c:v>
                </c:pt>
                <c:pt idx="112">
                  <c:v>78.400000000000006</c:v>
                </c:pt>
                <c:pt idx="113">
                  <c:v>69.5</c:v>
                </c:pt>
                <c:pt idx="114">
                  <c:v>81.7</c:v>
                </c:pt>
                <c:pt idx="115">
                  <c:v>85.5</c:v>
                </c:pt>
                <c:pt idx="116">
                  <c:v>89.7</c:v>
                </c:pt>
                <c:pt idx="117">
                  <c:v>94.1</c:v>
                </c:pt>
                <c:pt idx="118">
                  <c:v>87.5</c:v>
                </c:pt>
                <c:pt idx="119">
                  <c:v>96.2</c:v>
                </c:pt>
                <c:pt idx="120">
                  <c:v>105.4</c:v>
                </c:pt>
              </c:numCache>
            </c:numRef>
          </c:val>
          <c:extLst>
            <c:ext xmlns:c16="http://schemas.microsoft.com/office/drawing/2014/chart" uri="{C3380CC4-5D6E-409C-BE32-E72D297353CC}">
              <c16:uniqueId val="{00000001-8E2A-472E-B9EC-499BBBB08CD1}"/>
            </c:ext>
          </c:extLst>
        </c:ser>
        <c:dLbls>
          <c:showLegendKey val="0"/>
          <c:showVal val="0"/>
          <c:showCatName val="0"/>
          <c:showSerName val="0"/>
          <c:showPercent val="0"/>
          <c:showBubbleSize val="0"/>
        </c:dLbls>
        <c:gapWidth val="60"/>
        <c:overlap val="100"/>
        <c:axId val="116122752"/>
        <c:axId val="116124288"/>
      </c:barChart>
      <c:dateAx>
        <c:axId val="11612275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6124288"/>
        <c:crosses val="autoZero"/>
        <c:auto val="0"/>
        <c:lblOffset val="100"/>
        <c:baseTimeUnit val="days"/>
        <c:majorUnit val="10"/>
        <c:majorTimeUnit val="days"/>
      </c:dateAx>
      <c:valAx>
        <c:axId val="116124288"/>
        <c:scaling>
          <c:orientation val="minMax"/>
        </c:scaling>
        <c:delete val="0"/>
        <c:axPos val="l"/>
        <c:majorGridlines/>
        <c:title>
          <c:tx>
            <c:rich>
              <a:bodyPr rot="-5400000" vert="horz"/>
              <a:lstStyle/>
              <a:p>
                <a:pPr>
                  <a:defRPr/>
                </a:pPr>
                <a:r>
                  <a:rPr lang="en-AU"/>
                  <a:t>Tonnes</a:t>
                </a:r>
              </a:p>
            </c:rich>
          </c:tx>
          <c:layout>
            <c:manualLayout>
              <c:xMode val="edge"/>
              <c:yMode val="edge"/>
              <c:x val="1.5845064670199301E-2"/>
              <c:y val="0.5032092375428896"/>
            </c:manualLayout>
          </c:layout>
          <c:overlay val="0"/>
        </c:title>
        <c:numFmt formatCode="#,##0" sourceLinked="0"/>
        <c:majorTickMark val="out"/>
        <c:minorTickMark val="none"/>
        <c:tickLblPos val="nextTo"/>
        <c:txPr>
          <a:bodyPr rot="0" vert="horz"/>
          <a:lstStyle/>
          <a:p>
            <a:pPr>
              <a:defRPr/>
            </a:pPr>
            <a:endParaRPr lang="en-US"/>
          </a:p>
        </c:txPr>
        <c:crossAx val="116122752"/>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Western Australia vs Rest of Australia</a:t>
            </a:r>
          </a:p>
          <a:p>
            <a:pPr>
              <a:defRPr/>
            </a:pPr>
            <a:r>
              <a:rPr lang="en-AU" sz="1100"/>
              <a:t>Past 10 years</a:t>
            </a:r>
          </a:p>
        </c:rich>
      </c:tx>
      <c:overlay val="0"/>
    </c:title>
    <c:autoTitleDeleted val="0"/>
    <c:plotArea>
      <c:layout>
        <c:manualLayout>
          <c:layoutTarget val="inner"/>
          <c:xMode val="edge"/>
          <c:yMode val="edge"/>
          <c:x val="0.13237463663652563"/>
          <c:y val="0.28259493425390797"/>
          <c:w val="0.83230932076895714"/>
          <c:h val="0.5548036667830315"/>
        </c:manualLayout>
      </c:layout>
      <c:barChart>
        <c:barDir val="col"/>
        <c:grouping val="stacked"/>
        <c:varyColors val="0"/>
        <c:ser>
          <c:idx val="0"/>
          <c:order val="0"/>
          <c:tx>
            <c:strRef>
              <c:f>'Gold - WA vs Australia'!$Q$7</c:f>
              <c:strCache>
                <c:ptCount val="1"/>
                <c:pt idx="0">
                  <c:v>Western Australia (Tonnes)</c:v>
                </c:pt>
              </c:strCache>
            </c:strRef>
          </c:tx>
          <c:spPr>
            <a:solidFill>
              <a:srgbClr val="FFFF99"/>
            </a:solidFill>
            <a:ln>
              <a:solidFill>
                <a:srgbClr val="FFFF00"/>
              </a:solidFill>
            </a:ln>
          </c:spPr>
          <c:invertIfNegative val="0"/>
          <c:cat>
            <c:numRef>
              <c:f>'Gold - WA vs Australia'!$P$8:$P$17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'Gold - WA vs Australia'!$Q$8:$Q$17</c:f>
              <c:numCache>
                <c:formatCode>#,##0.00</c:formatCode>
                <c:ptCount val="10"/>
                <c:pt idx="0">
                  <c:v>182.89955302999999</c:v>
                </c:pt>
                <c:pt idx="1">
                  <c:v>179.60817457000002</c:v>
                </c:pt>
                <c:pt idx="2">
                  <c:v>181.28663516</c:v>
                </c:pt>
                <c:pt idx="3">
                  <c:v>187.45436469999999</c:v>
                </c:pt>
                <c:pt idx="4">
                  <c:v>194.73649055852593</c:v>
                </c:pt>
                <c:pt idx="5">
                  <c:v>194.46998849169691</c:v>
                </c:pt>
                <c:pt idx="6">
                  <c:v>197.02509114887081</c:v>
                </c:pt>
                <c:pt idx="7">
                  <c:v>219.84579538151269</c:v>
                </c:pt>
                <c:pt idx="8">
                  <c:v>212.11583091331136</c:v>
                </c:pt>
                <c:pt idx="9">
                  <c:v>218.82682638325136</c:v>
                </c:pt>
              </c:numCache>
            </c:numRef>
          </c:val>
          <c:extLst>
            <c:ext xmlns:c16="http://schemas.microsoft.com/office/drawing/2014/chart" uri="{C3380CC4-5D6E-409C-BE32-E72D297353CC}">
              <c16:uniqueId val="{00000000-B811-4E33-84A2-3F1B1950E0FE}"/>
            </c:ext>
          </c:extLst>
        </c:ser>
        <c:ser>
          <c:idx val="1"/>
          <c:order val="1"/>
          <c:tx>
            <c:strRef>
              <c:f>'Gold - WA vs Australia'!$R$7</c:f>
              <c:strCache>
                <c:ptCount val="1"/>
                <c:pt idx="0">
                  <c:v>Rest of Australia (Tonnes)</c:v>
                </c:pt>
              </c:strCache>
            </c:strRef>
          </c:tx>
          <c:spPr>
            <a:solidFill>
              <a:srgbClr val="C89600"/>
            </a:solidFill>
            <a:ln>
              <a:solidFill>
                <a:srgbClr val="FFC000"/>
              </a:solidFill>
            </a:ln>
          </c:spPr>
          <c:invertIfNegative val="0"/>
          <c:cat>
            <c:numRef>
              <c:f>'Gold - WA vs Australia'!$P$8:$P$17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'Gold - WA vs Australia'!$R$8:$R$17</c:f>
              <c:numCache>
                <c:formatCode>#,##0.00</c:formatCode>
                <c:ptCount val="10"/>
                <c:pt idx="0">
                  <c:v>77.5</c:v>
                </c:pt>
                <c:pt idx="1">
                  <c:v>78.400000000000006</c:v>
                </c:pt>
                <c:pt idx="2">
                  <c:v>69.5</c:v>
                </c:pt>
                <c:pt idx="3">
                  <c:v>81.7</c:v>
                </c:pt>
                <c:pt idx="4">
                  <c:v>85.5</c:v>
                </c:pt>
                <c:pt idx="5">
                  <c:v>89.7</c:v>
                </c:pt>
                <c:pt idx="6">
                  <c:v>94.1</c:v>
                </c:pt>
                <c:pt idx="7">
                  <c:v>87.5</c:v>
                </c:pt>
                <c:pt idx="8">
                  <c:v>96.2</c:v>
                </c:pt>
                <c:pt idx="9">
                  <c:v>105.4</c:v>
                </c:pt>
              </c:numCache>
            </c:numRef>
          </c:val>
          <c:extLst>
            <c:ext xmlns:c16="http://schemas.microsoft.com/office/drawing/2014/chart" uri="{C3380CC4-5D6E-409C-BE32-E72D297353CC}">
              <c16:uniqueId val="{00000001-B811-4E33-84A2-3F1B1950E0FE}"/>
            </c:ext>
          </c:extLst>
        </c:ser>
        <c:dLbls>
          <c:showLegendKey val="0"/>
          <c:showVal val="0"/>
          <c:showCatName val="0"/>
          <c:showSerName val="0"/>
          <c:showPercent val="0"/>
          <c:showBubbleSize val="0"/>
        </c:dLbls>
        <c:gapWidth val="150"/>
        <c:overlap val="100"/>
        <c:axId val="118454912"/>
        <c:axId val="118453376"/>
      </c:barChart>
      <c:valAx>
        <c:axId val="118453376"/>
        <c:scaling>
          <c:orientation val="minMax"/>
        </c:scaling>
        <c:delete val="0"/>
        <c:axPos val="l"/>
        <c:majorGridlines/>
        <c:title>
          <c:tx>
            <c:rich>
              <a:bodyPr/>
              <a:lstStyle/>
              <a:p>
                <a:pPr>
                  <a:defRPr/>
                </a:pPr>
                <a:r>
                  <a:rPr lang="en-AU"/>
                  <a:t>Tonnes</a:t>
                </a:r>
              </a:p>
            </c:rich>
          </c:tx>
          <c:layout>
            <c:manualLayout>
              <c:xMode val="edge"/>
              <c:yMode val="edge"/>
              <c:x val="1.8416195717942105E-2"/>
              <c:y val="0.51968415777041566"/>
            </c:manualLayout>
          </c:layout>
          <c:overlay val="0"/>
        </c:title>
        <c:numFmt formatCode="0" sourceLinked="0"/>
        <c:majorTickMark val="out"/>
        <c:minorTickMark val="none"/>
        <c:tickLblPos val="nextTo"/>
        <c:crossAx val="118454912"/>
        <c:crosses val="autoZero"/>
        <c:crossBetween val="between"/>
      </c:valAx>
      <c:catAx>
        <c:axId val="118454912"/>
        <c:scaling>
          <c:orientation val="minMax"/>
        </c:scaling>
        <c:delete val="0"/>
        <c:axPos val="b"/>
        <c:title>
          <c:tx>
            <c:rich>
              <a:bodyPr/>
              <a:lstStyle/>
              <a:p>
                <a:pPr>
                  <a:defRPr/>
                </a:pPr>
                <a:r>
                  <a:rPr lang="en-AU"/>
                  <a:t>Source:  DMIRS and OoCE</a:t>
                </a:r>
              </a:p>
            </c:rich>
          </c:tx>
          <c:layout>
            <c:manualLayout>
              <c:xMode val="edge"/>
              <c:yMode val="edge"/>
              <c:x val="6.5988164627392874E-3"/>
              <c:y val="0.94184575244415314"/>
            </c:manualLayout>
          </c:layout>
          <c:overlay val="0"/>
        </c:title>
        <c:numFmt formatCode="General" sourceLinked="1"/>
        <c:majorTickMark val="out"/>
        <c:minorTickMark val="none"/>
        <c:tickLblPos val="nextTo"/>
        <c:txPr>
          <a:bodyPr rot="-2700000"/>
          <a:lstStyle/>
          <a:p>
            <a:pPr>
              <a:defRPr/>
            </a:pPr>
            <a:endParaRPr lang="en-US"/>
          </a:p>
        </c:txPr>
        <c:crossAx val="118453376"/>
        <c:crosses val="autoZero"/>
        <c:auto val="0"/>
        <c:lblAlgn val="ctr"/>
        <c:lblOffset val="100"/>
        <c:noMultiLvlLbl val="0"/>
      </c:catAx>
    </c:plotArea>
    <c:legend>
      <c:legendPos val="t"/>
      <c:layout>
        <c:manualLayout>
          <c:xMode val="edge"/>
          <c:yMode val="edge"/>
          <c:x val="0.20638865411199622"/>
          <c:y val="0.20472777109757831"/>
          <c:w val="0.59137752031653901"/>
          <c:h val="6.0930509350117547E-2"/>
        </c:manualLayout>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Quarter</a:t>
            </a:r>
          </a:p>
        </c:rich>
      </c:tx>
      <c:overlay val="0"/>
    </c:title>
    <c:autoTitleDeleted val="0"/>
    <c:plotArea>
      <c:layout/>
      <c:barChart>
        <c:barDir val="col"/>
        <c:grouping val="clustered"/>
        <c:varyColors val="0"/>
        <c:ser>
          <c:idx val="0"/>
          <c:order val="0"/>
          <c:tx>
            <c:strRef>
              <c:f>'Iron Ore - Q&amp;V'!$T$9</c:f>
              <c:strCache>
                <c:ptCount val="1"/>
                <c:pt idx="0">
                  <c:v>Quantity (Mt)</c:v>
                </c:pt>
              </c:strCache>
            </c:strRef>
          </c:tx>
          <c:invertIfNegative val="0"/>
          <c:cat>
            <c:numRef>
              <c:f>'Iron Ore - Q&amp;V'!$S$10:$S$19</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'Iron Ore - Q&amp;V'!$T$10:$T$19</c:f>
              <c:numCache>
                <c:formatCode>0.00</c:formatCode>
                <c:ptCount val="10"/>
                <c:pt idx="0">
                  <c:v>216.23917943100005</c:v>
                </c:pt>
                <c:pt idx="1">
                  <c:v>210.987711461</c:v>
                </c:pt>
                <c:pt idx="2">
                  <c:v>196.12663024499997</c:v>
                </c:pt>
                <c:pt idx="3">
                  <c:v>216.07066898799999</c:v>
                </c:pt>
                <c:pt idx="4">
                  <c:v>200.76104890500002</c:v>
                </c:pt>
                <c:pt idx="5">
                  <c:v>200.619472019</c:v>
                </c:pt>
                <c:pt idx="6">
                  <c:v>182.084543002</c:v>
                </c:pt>
                <c:pt idx="7">
                  <c:v>211.18708263799999</c:v>
                </c:pt>
                <c:pt idx="8">
                  <c:v>206.07564458099998</c:v>
                </c:pt>
                <c:pt idx="9">
                  <c:v>210.96552251599999</c:v>
                </c:pt>
              </c:numCache>
            </c:numRef>
          </c:val>
          <c:extLst>
            <c:ext xmlns:c16="http://schemas.microsoft.com/office/drawing/2014/chart" uri="{C3380CC4-5D6E-409C-BE32-E72D297353CC}">
              <c16:uniqueId val="{00000000-7AE0-4FB8-B5C4-7B76040156BC}"/>
            </c:ext>
          </c:extLst>
        </c:ser>
        <c:dLbls>
          <c:showLegendKey val="0"/>
          <c:showVal val="0"/>
          <c:showCatName val="0"/>
          <c:showSerName val="0"/>
          <c:showPercent val="0"/>
          <c:showBubbleSize val="0"/>
        </c:dLbls>
        <c:gapWidth val="40"/>
        <c:axId val="133384832"/>
        <c:axId val="133382912"/>
      </c:barChart>
      <c:lineChart>
        <c:grouping val="standard"/>
        <c:varyColors val="0"/>
        <c:ser>
          <c:idx val="1"/>
          <c:order val="1"/>
          <c:tx>
            <c:strRef>
              <c:f>'Iron Ore - Q&amp;V'!$U$9</c:f>
              <c:strCache>
                <c:ptCount val="1"/>
                <c:pt idx="0">
                  <c:v>Value ($ Million)</c:v>
                </c:pt>
              </c:strCache>
            </c:strRef>
          </c:tx>
          <c:marker>
            <c:symbol val="none"/>
          </c:marker>
          <c:cat>
            <c:numRef>
              <c:f>'Alumina - Q&amp;V'!$S$11:$S$20</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'Iron Ore - Q&amp;V'!$U$10:$U$19</c:f>
              <c:numCache>
                <c:formatCode>0.00</c:formatCode>
                <c:ptCount val="10"/>
                <c:pt idx="0">
                  <c:v>15795.866168</c:v>
                </c:pt>
                <c:pt idx="1">
                  <c:v>15113.749841000001</c:v>
                </c:pt>
                <c:pt idx="2">
                  <c:v>15473.545389999999</c:v>
                </c:pt>
                <c:pt idx="3">
                  <c:v>15691.011538999999</c:v>
                </c:pt>
                <c:pt idx="4">
                  <c:v>16129.191709999999</c:v>
                </c:pt>
                <c:pt idx="5">
                  <c:v>17942.251768999999</c:v>
                </c:pt>
                <c:pt idx="6">
                  <c:v>19132.98691</c:v>
                </c:pt>
                <c:pt idx="7">
                  <c:v>27340.203566</c:v>
                </c:pt>
                <c:pt idx="8">
                  <c:v>27549.539171</c:v>
                </c:pt>
                <c:pt idx="9">
                  <c:v>23652.898744999999</c:v>
                </c:pt>
              </c:numCache>
            </c:numRef>
          </c:val>
          <c:smooth val="0"/>
          <c:extLst>
            <c:ext xmlns:c16="http://schemas.microsoft.com/office/drawing/2014/chart" uri="{C3380CC4-5D6E-409C-BE32-E72D297353CC}">
              <c16:uniqueId val="{00000001-7AE0-4FB8-B5C4-7B76040156BC}"/>
            </c:ext>
          </c:extLst>
        </c:ser>
        <c:dLbls>
          <c:showLegendKey val="0"/>
          <c:showVal val="0"/>
          <c:showCatName val="0"/>
          <c:showSerName val="0"/>
          <c:showPercent val="0"/>
          <c:showBubbleSize val="0"/>
        </c:dLbls>
        <c:marker val="1"/>
        <c:smooth val="0"/>
        <c:axId val="133374720"/>
        <c:axId val="133376640"/>
      </c:lineChart>
      <c:catAx>
        <c:axId val="133374720"/>
        <c:scaling>
          <c:orientation val="minMax"/>
        </c:scaling>
        <c:delete val="0"/>
        <c:axPos val="b"/>
        <c:title>
          <c:tx>
            <c:rich>
              <a:bodyPr/>
              <a:lstStyle/>
              <a:p>
                <a:pPr>
                  <a:defRPr/>
                </a:pPr>
                <a:r>
                  <a:rPr lang="en-AU"/>
                  <a:t>Source: DMIRS</a:t>
                </a:r>
              </a:p>
            </c:rich>
          </c:tx>
          <c:layout>
            <c:manualLayout>
              <c:xMode val="edge"/>
              <c:yMode val="edge"/>
              <c:x val="7.9457071860773165E-3"/>
              <c:y val="0.94411571923668369"/>
            </c:manualLayout>
          </c:layout>
          <c:overlay val="0"/>
        </c:title>
        <c:numFmt formatCode="mmm\-yy" sourceLinked="1"/>
        <c:majorTickMark val="out"/>
        <c:minorTickMark val="none"/>
        <c:tickLblPos val="nextTo"/>
        <c:txPr>
          <a:bodyPr rot="-2700000"/>
          <a:lstStyle/>
          <a:p>
            <a:pPr>
              <a:defRPr/>
            </a:pPr>
            <a:endParaRPr lang="en-US"/>
          </a:p>
        </c:txPr>
        <c:crossAx val="133376640"/>
        <c:crosses val="autoZero"/>
        <c:auto val="0"/>
        <c:lblAlgn val="ctr"/>
        <c:lblOffset val="100"/>
        <c:noMultiLvlLbl val="0"/>
      </c:catAx>
      <c:valAx>
        <c:axId val="133376640"/>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3374720"/>
        <c:crosses val="autoZero"/>
        <c:crossBetween val="between"/>
      </c:valAx>
      <c:valAx>
        <c:axId val="133382912"/>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384832"/>
        <c:crosses val="max"/>
        <c:crossBetween val="between"/>
      </c:valAx>
      <c:dateAx>
        <c:axId val="133384832"/>
        <c:scaling>
          <c:orientation val="minMax"/>
        </c:scaling>
        <c:delete val="1"/>
        <c:axPos val="b"/>
        <c:numFmt formatCode="mmm\-yy" sourceLinked="1"/>
        <c:majorTickMark val="out"/>
        <c:minorTickMark val="none"/>
        <c:tickLblPos val="nextTo"/>
        <c:crossAx val="13338291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Year</a:t>
            </a:r>
          </a:p>
        </c:rich>
      </c:tx>
      <c:overlay val="0"/>
    </c:title>
    <c:autoTitleDeleted val="0"/>
    <c:plotArea>
      <c:layout/>
      <c:barChart>
        <c:barDir val="col"/>
        <c:grouping val="clustered"/>
        <c:varyColors val="0"/>
        <c:ser>
          <c:idx val="0"/>
          <c:order val="0"/>
          <c:tx>
            <c:strRef>
              <c:f>'Iron Ore - Q&amp;V'!$T$35</c:f>
              <c:strCache>
                <c:ptCount val="1"/>
                <c:pt idx="0">
                  <c:v>Quantity (Mt)</c:v>
                </c:pt>
              </c:strCache>
            </c:strRef>
          </c:tx>
          <c:invertIfNegative val="0"/>
          <c:cat>
            <c:numRef>
              <c:f>'Iron Ore - Q&amp;V'!$S$37:$S$56</c:f>
              <c:numCache>
                <c:formatCode>@</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'Iron Ore - Q&amp;V'!$T$37:$T$56</c:f>
              <c:numCache>
                <c:formatCode>0.000</c:formatCode>
                <c:ptCount val="20"/>
                <c:pt idx="0">
                  <c:v>158.86599999999999</c:v>
                </c:pt>
                <c:pt idx="1">
                  <c:v>166.01499999999999</c:v>
                </c:pt>
                <c:pt idx="2">
                  <c:v>171.767</c:v>
                </c:pt>
                <c:pt idx="3">
                  <c:v>194.59400316</c:v>
                </c:pt>
                <c:pt idx="4">
                  <c:v>213.53162907000001</c:v>
                </c:pt>
                <c:pt idx="5">
                  <c:v>240.50167369000002</c:v>
                </c:pt>
                <c:pt idx="6">
                  <c:v>250.325766362</c:v>
                </c:pt>
                <c:pt idx="7">
                  <c:v>264.44915205099994</c:v>
                </c:pt>
                <c:pt idx="8">
                  <c:v>305.88447268200002</c:v>
                </c:pt>
                <c:pt idx="9">
                  <c:v>356.06964630899995</c:v>
                </c:pt>
                <c:pt idx="10">
                  <c:v>393.85115706600004</c:v>
                </c:pt>
                <c:pt idx="11">
                  <c:v>426.67287969500001</c:v>
                </c:pt>
                <c:pt idx="12">
                  <c:v>478.32621689000001</c:v>
                </c:pt>
                <c:pt idx="13">
                  <c:v>554.93783338100002</c:v>
                </c:pt>
                <c:pt idx="14">
                  <c:v>686.23425861200008</c:v>
                </c:pt>
                <c:pt idx="15">
                  <c:v>742.39410678800004</c:v>
                </c:pt>
                <c:pt idx="16">
                  <c:v>769.27752114500004</c:v>
                </c:pt>
                <c:pt idx="17">
                  <c:v>814.119534714</c:v>
                </c:pt>
                <c:pt idx="18">
                  <c:v>813.57782015700002</c:v>
                </c:pt>
                <c:pt idx="19">
                  <c:v>810.312792737</c:v>
                </c:pt>
              </c:numCache>
            </c:numRef>
          </c:val>
          <c:extLst>
            <c:ext xmlns:c16="http://schemas.microsoft.com/office/drawing/2014/chart" uri="{C3380CC4-5D6E-409C-BE32-E72D297353CC}">
              <c16:uniqueId val="{00000000-2B8A-4C31-A15E-A4074B3D37DD}"/>
            </c:ext>
          </c:extLst>
        </c:ser>
        <c:dLbls>
          <c:showLegendKey val="0"/>
          <c:showVal val="0"/>
          <c:showCatName val="0"/>
          <c:showSerName val="0"/>
          <c:showPercent val="0"/>
          <c:showBubbleSize val="0"/>
        </c:dLbls>
        <c:gapWidth val="40"/>
        <c:axId val="133430656"/>
        <c:axId val="133428736"/>
      </c:barChart>
      <c:lineChart>
        <c:grouping val="standard"/>
        <c:varyColors val="0"/>
        <c:ser>
          <c:idx val="1"/>
          <c:order val="1"/>
          <c:tx>
            <c:strRef>
              <c:f>'Iron Ore - Q&amp;V'!$U$35</c:f>
              <c:strCache>
                <c:ptCount val="1"/>
                <c:pt idx="0">
                  <c:v>Value ($ Million)</c:v>
                </c:pt>
              </c:strCache>
            </c:strRef>
          </c:tx>
          <c:marker>
            <c:symbol val="none"/>
          </c:marker>
          <c:cat>
            <c:numRef>
              <c:f>'Iron Ore - Q&amp;V'!$S$37:$S$56</c:f>
              <c:numCache>
                <c:formatCode>@</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'Iron Ore - Q&amp;V'!$U$37:$U$56</c:f>
              <c:numCache>
                <c:formatCode>"$"#,##0.00</c:formatCode>
                <c:ptCount val="20"/>
                <c:pt idx="0">
                  <c:v>4365.1900000000005</c:v>
                </c:pt>
                <c:pt idx="1">
                  <c:v>5369.71</c:v>
                </c:pt>
                <c:pt idx="2">
                  <c:v>5064.63</c:v>
                </c:pt>
                <c:pt idx="3">
                  <c:v>5056.8011609699997</c:v>
                </c:pt>
                <c:pt idx="4">
                  <c:v>6192.9763191399998</c:v>
                </c:pt>
                <c:pt idx="5">
                  <c:v>11308.71794499</c:v>
                </c:pt>
                <c:pt idx="6">
                  <c:v>14780.092745670001</c:v>
                </c:pt>
                <c:pt idx="7">
                  <c:v>16135.90395344</c:v>
                </c:pt>
                <c:pt idx="8">
                  <c:v>31909.855018219998</c:v>
                </c:pt>
                <c:pt idx="9">
                  <c:v>28133.427135669997</c:v>
                </c:pt>
                <c:pt idx="10">
                  <c:v>50262.149327229999</c:v>
                </c:pt>
                <c:pt idx="11">
                  <c:v>62863.290517729998</c:v>
                </c:pt>
                <c:pt idx="12">
                  <c:v>52823.916640019997</c:v>
                </c:pt>
                <c:pt idx="13">
                  <c:v>70384.424735239998</c:v>
                </c:pt>
                <c:pt idx="14">
                  <c:v>65053.440010000006</c:v>
                </c:pt>
                <c:pt idx="15">
                  <c:v>49630.774950999999</c:v>
                </c:pt>
                <c:pt idx="16">
                  <c:v>55609.172696999995</c:v>
                </c:pt>
                <c:pt idx="17">
                  <c:v>63829.415271999998</c:v>
                </c:pt>
                <c:pt idx="18">
                  <c:v>65236.000407999993</c:v>
                </c:pt>
                <c:pt idx="19">
                  <c:v>97675.628391999999</c:v>
                </c:pt>
              </c:numCache>
            </c:numRef>
          </c:val>
          <c:smooth val="0"/>
          <c:extLst>
            <c:ext xmlns:c16="http://schemas.microsoft.com/office/drawing/2014/chart" uri="{C3380CC4-5D6E-409C-BE32-E72D297353CC}">
              <c16:uniqueId val="{00000001-2B8A-4C31-A15E-A4074B3D37DD}"/>
            </c:ext>
          </c:extLst>
        </c:ser>
        <c:dLbls>
          <c:showLegendKey val="0"/>
          <c:showVal val="0"/>
          <c:showCatName val="0"/>
          <c:showSerName val="0"/>
          <c:showPercent val="0"/>
          <c:showBubbleSize val="0"/>
        </c:dLbls>
        <c:marker val="1"/>
        <c:smooth val="0"/>
        <c:axId val="133424640"/>
        <c:axId val="133426560"/>
      </c:lineChart>
      <c:dateAx>
        <c:axId val="13342464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3426560"/>
        <c:crosses val="autoZero"/>
        <c:auto val="0"/>
        <c:lblOffset val="100"/>
        <c:baseTimeUnit val="days"/>
        <c:majorUnit val="1"/>
        <c:majorTimeUnit val="days"/>
      </c:dateAx>
      <c:valAx>
        <c:axId val="133426560"/>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3424640"/>
        <c:crosses val="autoZero"/>
        <c:crossBetween val="between"/>
      </c:valAx>
      <c:valAx>
        <c:axId val="133428736"/>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430656"/>
        <c:crosses val="max"/>
        <c:crossBetween val="between"/>
      </c:valAx>
      <c:catAx>
        <c:axId val="133430656"/>
        <c:scaling>
          <c:orientation val="minMax"/>
        </c:scaling>
        <c:delete val="1"/>
        <c:axPos val="b"/>
        <c:numFmt formatCode="@" sourceLinked="1"/>
        <c:majorTickMark val="out"/>
        <c:minorTickMark val="none"/>
        <c:tickLblPos val="nextTo"/>
        <c:crossAx val="13342873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Major Commodities by Value (Historic)</a:t>
            </a:r>
          </a:p>
        </c:rich>
      </c:tx>
      <c:overlay val="0"/>
    </c:title>
    <c:autoTitleDeleted val="0"/>
    <c:plotArea>
      <c:layout>
        <c:manualLayout>
          <c:layoutTarget val="inner"/>
          <c:xMode val="edge"/>
          <c:yMode val="edge"/>
          <c:x val="9.6527841458669758E-2"/>
          <c:y val="8.7617214454051004E-2"/>
          <c:w val="0.88110236220472438"/>
          <c:h val="0.69932377274133506"/>
        </c:manualLayout>
      </c:layout>
      <c:barChart>
        <c:barDir val="col"/>
        <c:grouping val="stacked"/>
        <c:varyColors val="0"/>
        <c:ser>
          <c:idx val="1"/>
          <c:order val="0"/>
          <c:tx>
            <c:strRef>
              <c:f>'Major Commodity Summary'!$T$77</c:f>
              <c:strCache>
                <c:ptCount val="1"/>
                <c:pt idx="0">
                  <c:v>Natural Gas and LPG</c:v>
                </c:pt>
              </c:strCache>
            </c:strRef>
          </c:tx>
          <c:spPr>
            <a:solidFill>
              <a:schemeClr val="accent5">
                <a:lumMod val="75000"/>
              </a:schemeClr>
            </a:solidFill>
          </c:spPr>
          <c:invertIfNegative val="0"/>
          <c:cat>
            <c:numRef>
              <c:f>'Major Commodity Summary'!$J$73:$S$73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'Major Commodity Summary'!$J$77:$S$77</c:f>
              <c:numCache>
                <c:formatCode>General</c:formatCode>
                <c:ptCount val="10"/>
                <c:pt idx="0">
                  <c:v>2154.4981140157179</c:v>
                </c:pt>
                <c:pt idx="1">
                  <c:v>2167.006065945493</c:v>
                </c:pt>
                <c:pt idx="2">
                  <c:v>2199.6976601907572</c:v>
                </c:pt>
                <c:pt idx="3">
                  <c:v>2159.5916312923355</c:v>
                </c:pt>
                <c:pt idx="4">
                  <c:v>1800.2671767128513</c:v>
                </c:pt>
                <c:pt idx="5">
                  <c:v>2115.6317266012284</c:v>
                </c:pt>
                <c:pt idx="6">
                  <c:v>2204.2453767012025</c:v>
                </c:pt>
                <c:pt idx="7">
                  <c:v>2034.3022590324654</c:v>
                </c:pt>
                <c:pt idx="8">
                  <c:v>1933.8924281366226</c:v>
                </c:pt>
                <c:pt idx="9">
                  <c:v>1972.2443453218998</c:v>
                </c:pt>
              </c:numCache>
            </c:numRef>
          </c:val>
          <c:extLst>
            <c:ext xmlns:c16="http://schemas.microsoft.com/office/drawing/2014/chart" uri="{C3380CC4-5D6E-409C-BE32-E72D297353CC}">
              <c16:uniqueId val="{00000000-72C1-4258-9A3E-DB4E13786627}"/>
            </c:ext>
          </c:extLst>
        </c:ser>
        <c:ser>
          <c:idx val="8"/>
          <c:order val="1"/>
          <c:tx>
            <c:strRef>
              <c:f>'Major Commodity Summary'!$T$81</c:f>
              <c:strCache>
                <c:ptCount val="1"/>
                <c:pt idx="0">
                  <c:v>Crude Oil and Condensate</c:v>
                </c:pt>
              </c:strCache>
            </c:strRef>
          </c:tx>
          <c:spPr>
            <a:solidFill>
              <a:schemeClr val="accent5"/>
            </a:solidFill>
          </c:spPr>
          <c:invertIfNegative val="0"/>
          <c:cat>
            <c:numRef>
              <c:f>'Major Commodity Summary'!$J$73:$S$73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'Major Commodity Summary'!$J$81:$S$81</c:f>
              <c:numCache>
                <c:formatCode>General</c:formatCode>
                <c:ptCount val="10"/>
                <c:pt idx="0">
                  <c:v>11952.743108999999</c:v>
                </c:pt>
                <c:pt idx="1">
                  <c:v>12119.3411</c:v>
                </c:pt>
                <c:pt idx="2">
                  <c:v>10961.89465</c:v>
                </c:pt>
                <c:pt idx="3">
                  <c:v>9228.0147099999995</c:v>
                </c:pt>
                <c:pt idx="4">
                  <c:v>8573.8743172239065</c:v>
                </c:pt>
                <c:pt idx="5">
                  <c:v>6237.2813595666757</c:v>
                </c:pt>
                <c:pt idx="6">
                  <c:v>4333.7899959443494</c:v>
                </c:pt>
                <c:pt idx="7">
                  <c:v>4922.6482332484156</c:v>
                </c:pt>
                <c:pt idx="8">
                  <c:v>7447.9883620873643</c:v>
                </c:pt>
                <c:pt idx="9">
                  <c:v>10121.61430694461</c:v>
                </c:pt>
              </c:numCache>
            </c:numRef>
          </c:val>
          <c:extLst>
            <c:ext xmlns:c16="http://schemas.microsoft.com/office/drawing/2014/chart" uri="{C3380CC4-5D6E-409C-BE32-E72D297353CC}">
              <c16:uniqueId val="{00000001-72C1-4258-9A3E-DB4E13786627}"/>
            </c:ext>
          </c:extLst>
        </c:ser>
        <c:ser>
          <c:idx val="5"/>
          <c:order val="2"/>
          <c:tx>
            <c:strRef>
              <c:f>'Major Commodity Summary'!$T$82</c:f>
              <c:strCache>
                <c:ptCount val="1"/>
                <c:pt idx="0">
                  <c:v>LNG</c:v>
                </c:pt>
              </c:strCache>
            </c:strRef>
          </c:tx>
          <c:spPr>
            <a:solidFill>
              <a:schemeClr val="accent5">
                <a:lumMod val="60000"/>
                <a:lumOff val="40000"/>
              </a:schemeClr>
            </a:solidFill>
          </c:spPr>
          <c:invertIfNegative val="0"/>
          <c:cat>
            <c:numRef>
              <c:f>'Major Commodity Summary'!$J$73:$S$73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'Major Commodity Summary'!$J$82:$S$82</c:f>
              <c:numCache>
                <c:formatCode>General</c:formatCode>
                <c:ptCount val="10"/>
                <c:pt idx="0">
                  <c:v>8754.6824736822291</c:v>
                </c:pt>
                <c:pt idx="1">
                  <c:v>8552.0712839999997</c:v>
                </c:pt>
                <c:pt idx="2">
                  <c:v>11271.620675400678</c:v>
                </c:pt>
                <c:pt idx="3">
                  <c:v>13287.960818379126</c:v>
                </c:pt>
                <c:pt idx="4">
                  <c:v>15487.317250651384</c:v>
                </c:pt>
                <c:pt idx="5">
                  <c:v>11554.349752904898</c:v>
                </c:pt>
                <c:pt idx="6">
                  <c:v>10620.614121943227</c:v>
                </c:pt>
                <c:pt idx="7">
                  <c:v>14921.887350350875</c:v>
                </c:pt>
                <c:pt idx="8">
                  <c:v>26978.126958992532</c:v>
                </c:pt>
                <c:pt idx="9">
                  <c:v>27394.793066075847</c:v>
                </c:pt>
              </c:numCache>
            </c:numRef>
          </c:val>
          <c:extLst>
            <c:ext xmlns:c16="http://schemas.microsoft.com/office/drawing/2014/chart" uri="{C3380CC4-5D6E-409C-BE32-E72D297353CC}">
              <c16:uniqueId val="{00000002-72C1-4258-9A3E-DB4E13786627}"/>
            </c:ext>
          </c:extLst>
        </c:ser>
        <c:ser>
          <c:idx val="0"/>
          <c:order val="3"/>
          <c:tx>
            <c:strRef>
              <c:f>'Major Commodity Summary'!$T$74</c:f>
              <c:strCache>
                <c:ptCount val="1"/>
                <c:pt idx="0">
                  <c:v>Lithium</c:v>
                </c:pt>
              </c:strCache>
            </c:strRef>
          </c:tx>
          <c:spPr>
            <a:solidFill>
              <a:schemeClr val="tx1">
                <a:lumMod val="65000"/>
                <a:lumOff val="35000"/>
              </a:schemeClr>
            </a:solidFill>
          </c:spPr>
          <c:invertIfNegative val="0"/>
          <c:cat>
            <c:numRef>
              <c:f>'Major Commodity Summary'!$J$73:$S$73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'Major Commodity Summary'!$J$74:$S$74</c:f>
              <c:numCache>
                <c:formatCode>General</c:formatCode>
                <c:ptCount val="10"/>
                <c:pt idx="0">
                  <c:v>92.182259810000005</c:v>
                </c:pt>
                <c:pt idx="1">
                  <c:v>117.3272889</c:v>
                </c:pt>
                <c:pt idx="2">
                  <c:v>162.18938188999999</c:v>
                </c:pt>
                <c:pt idx="3">
                  <c:v>169.28654441999998</c:v>
                </c:pt>
                <c:pt idx="4">
                  <c:v>201.517762</c:v>
                </c:pt>
                <c:pt idx="5">
                  <c:v>240.17827200000002</c:v>
                </c:pt>
                <c:pt idx="6">
                  <c:v>293.85964200000001</c:v>
                </c:pt>
                <c:pt idx="7">
                  <c:v>1198.5285669999998</c:v>
                </c:pt>
                <c:pt idx="8">
                  <c:v>1862.9575689999999</c:v>
                </c:pt>
                <c:pt idx="9">
                  <c:v>1345.7890170000001</c:v>
                </c:pt>
              </c:numCache>
            </c:numRef>
          </c:val>
          <c:extLst>
            <c:ext xmlns:c16="http://schemas.microsoft.com/office/drawing/2014/chart" uri="{C3380CC4-5D6E-409C-BE32-E72D297353CC}">
              <c16:uniqueId val="{00000003-72C1-4258-9A3E-DB4E13786627}"/>
            </c:ext>
          </c:extLst>
        </c:ser>
        <c:ser>
          <c:idx val="2"/>
          <c:order val="4"/>
          <c:tx>
            <c:strRef>
              <c:f>'Major Commodity Summary'!$T$75</c:f>
              <c:strCache>
                <c:ptCount val="1"/>
                <c:pt idx="0">
                  <c:v>Mineral Sands</c:v>
                </c:pt>
              </c:strCache>
            </c:strRef>
          </c:tx>
          <c:spPr>
            <a:solidFill>
              <a:schemeClr val="accent4"/>
            </a:solidFill>
          </c:spPr>
          <c:invertIfNegative val="0"/>
          <c:cat>
            <c:numRef>
              <c:f>'Major Commodity Summary'!$J$73:$S$73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'Major Commodity Summary'!$J$75:$S$75</c:f>
              <c:numCache>
                <c:formatCode>General</c:formatCode>
                <c:ptCount val="10"/>
                <c:pt idx="0">
                  <c:v>526.47051544375756</c:v>
                </c:pt>
                <c:pt idx="1">
                  <c:v>591.6221046056703</c:v>
                </c:pt>
                <c:pt idx="2">
                  <c:v>970.8070320666061</c:v>
                </c:pt>
                <c:pt idx="3">
                  <c:v>645.16523759951519</c:v>
                </c:pt>
                <c:pt idx="4">
                  <c:v>405.23803386666663</c:v>
                </c:pt>
                <c:pt idx="5">
                  <c:v>586.41359736441711</c:v>
                </c:pt>
                <c:pt idx="6">
                  <c:v>612.46402801084832</c:v>
                </c:pt>
                <c:pt idx="7">
                  <c:v>513.50916281765262</c:v>
                </c:pt>
                <c:pt idx="8">
                  <c:v>628.09778739685089</c:v>
                </c:pt>
                <c:pt idx="9">
                  <c:v>668.67931226340795</c:v>
                </c:pt>
              </c:numCache>
            </c:numRef>
          </c:val>
          <c:extLst>
            <c:ext xmlns:c16="http://schemas.microsoft.com/office/drawing/2014/chart" uri="{C3380CC4-5D6E-409C-BE32-E72D297353CC}">
              <c16:uniqueId val="{00000004-72C1-4258-9A3E-DB4E13786627}"/>
            </c:ext>
          </c:extLst>
        </c:ser>
        <c:ser>
          <c:idx val="3"/>
          <c:order val="5"/>
          <c:tx>
            <c:strRef>
              <c:f>'Major Commodity Summary'!$T$76</c:f>
              <c:strCache>
                <c:ptCount val="1"/>
                <c:pt idx="0">
                  <c:v>Base Metals</c:v>
                </c:pt>
              </c:strCache>
            </c:strRef>
          </c:tx>
          <c:spPr>
            <a:solidFill>
              <a:srgbClr val="FF66CC"/>
            </a:solidFill>
          </c:spPr>
          <c:invertIfNegative val="0"/>
          <c:cat>
            <c:numRef>
              <c:f>'Major Commodity Summary'!$J$73:$S$73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'Major Commodity Summary'!$J$76:$S$76</c:f>
              <c:numCache>
                <c:formatCode>General</c:formatCode>
                <c:ptCount val="10"/>
                <c:pt idx="0">
                  <c:v>1620.6769831199999</c:v>
                </c:pt>
                <c:pt idx="1">
                  <c:v>1367.8412058399999</c:v>
                </c:pt>
                <c:pt idx="2">
                  <c:v>1494.2869990700001</c:v>
                </c:pt>
                <c:pt idx="3">
                  <c:v>1705.1024500199999</c:v>
                </c:pt>
                <c:pt idx="4">
                  <c:v>1759.2699549999998</c:v>
                </c:pt>
                <c:pt idx="5">
                  <c:v>1478.4855849999999</c:v>
                </c:pt>
                <c:pt idx="6">
                  <c:v>1405.7598539999999</c:v>
                </c:pt>
                <c:pt idx="7">
                  <c:v>1566.3109159999999</c:v>
                </c:pt>
                <c:pt idx="8">
                  <c:v>1623.7904109999999</c:v>
                </c:pt>
                <c:pt idx="9">
                  <c:v>1661.8022630000003</c:v>
                </c:pt>
              </c:numCache>
            </c:numRef>
          </c:val>
          <c:extLst>
            <c:ext xmlns:c16="http://schemas.microsoft.com/office/drawing/2014/chart" uri="{C3380CC4-5D6E-409C-BE32-E72D297353CC}">
              <c16:uniqueId val="{00000005-72C1-4258-9A3E-DB4E13786627}"/>
            </c:ext>
          </c:extLst>
        </c:ser>
        <c:ser>
          <c:idx val="4"/>
          <c:order val="6"/>
          <c:tx>
            <c:strRef>
              <c:f>'Major Commodity Summary'!$T$79</c:f>
              <c:strCache>
                <c:ptCount val="1"/>
                <c:pt idx="0">
                  <c:v>Alumina and Bauxite</c:v>
                </c:pt>
              </c:strCache>
            </c:strRef>
          </c:tx>
          <c:spPr>
            <a:solidFill>
              <a:schemeClr val="accent3"/>
            </a:solidFill>
          </c:spPr>
          <c:invertIfNegative val="0"/>
          <c:cat>
            <c:numRef>
              <c:f>'Major Commodity Summary'!$J$73:$S$73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'Major Commodity Summary'!$J$79:$S$79</c:f>
              <c:numCache>
                <c:formatCode>General</c:formatCode>
                <c:ptCount val="10"/>
                <c:pt idx="0">
                  <c:v>3959.4147508300002</c:v>
                </c:pt>
                <c:pt idx="1">
                  <c:v>4189.4656789399996</c:v>
                </c:pt>
                <c:pt idx="2">
                  <c:v>3831.1474728899998</c:v>
                </c:pt>
                <c:pt idx="3">
                  <c:v>4147.0508934999998</c:v>
                </c:pt>
                <c:pt idx="4">
                  <c:v>4561.7391589999997</c:v>
                </c:pt>
                <c:pt idx="5">
                  <c:v>5290.3826120000003</c:v>
                </c:pt>
                <c:pt idx="6">
                  <c:v>4590.6042449999986</c:v>
                </c:pt>
                <c:pt idx="7">
                  <c:v>5878.7310669999997</c:v>
                </c:pt>
                <c:pt idx="8">
                  <c:v>7924.8548730000002</c:v>
                </c:pt>
                <c:pt idx="9">
                  <c:v>7358.9849519999998</c:v>
                </c:pt>
              </c:numCache>
            </c:numRef>
          </c:val>
          <c:extLst>
            <c:ext xmlns:c16="http://schemas.microsoft.com/office/drawing/2014/chart" uri="{C3380CC4-5D6E-409C-BE32-E72D297353CC}">
              <c16:uniqueId val="{00000006-72C1-4258-9A3E-DB4E13786627}"/>
            </c:ext>
          </c:extLst>
        </c:ser>
        <c:ser>
          <c:idx val="6"/>
          <c:order val="7"/>
          <c:tx>
            <c:strRef>
              <c:f>'Major Commodity Summary'!$T$78</c:f>
              <c:strCache>
                <c:ptCount val="1"/>
                <c:pt idx="0">
                  <c:v>Nickel Industry</c:v>
                </c:pt>
              </c:strCache>
            </c:strRef>
          </c:tx>
          <c:spPr>
            <a:solidFill>
              <a:schemeClr val="accent1"/>
            </a:solidFill>
          </c:spPr>
          <c:invertIfNegative val="0"/>
          <c:cat>
            <c:numRef>
              <c:f>'Major Commodity Summary'!$J$73:$S$73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'Major Commodity Summary'!$J$78:$S$78</c:f>
              <c:numCache>
                <c:formatCode>General</c:formatCode>
                <c:ptCount val="10"/>
                <c:pt idx="0">
                  <c:v>4732.3475070000004</c:v>
                </c:pt>
                <c:pt idx="1">
                  <c:v>4090.1816960000001</c:v>
                </c:pt>
                <c:pt idx="2">
                  <c:v>3972.3238646999998</c:v>
                </c:pt>
                <c:pt idx="3">
                  <c:v>3572.7518341</c:v>
                </c:pt>
                <c:pt idx="4">
                  <c:v>3792.2851679999999</c:v>
                </c:pt>
                <c:pt idx="5">
                  <c:v>2771.3924899999997</c:v>
                </c:pt>
                <c:pt idx="6">
                  <c:v>2310.2483969999998</c:v>
                </c:pt>
                <c:pt idx="7">
                  <c:v>2665.4837330000005</c:v>
                </c:pt>
                <c:pt idx="8">
                  <c:v>3143.3057869999998</c:v>
                </c:pt>
                <c:pt idx="9">
                  <c:v>3403.2250650000001</c:v>
                </c:pt>
              </c:numCache>
            </c:numRef>
          </c:val>
          <c:extLst>
            <c:ext xmlns:c16="http://schemas.microsoft.com/office/drawing/2014/chart" uri="{C3380CC4-5D6E-409C-BE32-E72D297353CC}">
              <c16:uniqueId val="{00000007-72C1-4258-9A3E-DB4E13786627}"/>
            </c:ext>
          </c:extLst>
        </c:ser>
        <c:ser>
          <c:idx val="7"/>
          <c:order val="8"/>
          <c:tx>
            <c:strRef>
              <c:f>'Major Commodity Summary'!$T$80</c:f>
              <c:strCache>
                <c:ptCount val="1"/>
                <c:pt idx="0">
                  <c:v>Gold</c:v>
                </c:pt>
              </c:strCache>
            </c:strRef>
          </c:tx>
          <c:spPr>
            <a:solidFill>
              <a:srgbClr val="FFC000"/>
            </a:solidFill>
          </c:spPr>
          <c:invertIfNegative val="0"/>
          <c:cat>
            <c:numRef>
              <c:f>'Major Commodity Summary'!$J$73:$S$73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'Major Commodity Summary'!$J$80:$S$80</c:f>
              <c:numCache>
                <c:formatCode>General</c:formatCode>
                <c:ptCount val="10"/>
                <c:pt idx="0">
                  <c:v>7849.1314590000002</c:v>
                </c:pt>
                <c:pt idx="1">
                  <c:v>8793.8925789999994</c:v>
                </c:pt>
                <c:pt idx="2">
                  <c:v>9380.3064720000002</c:v>
                </c:pt>
                <c:pt idx="3">
                  <c:v>8742.6774399999995</c:v>
                </c:pt>
                <c:pt idx="4">
                  <c:v>8786.1091640000013</c:v>
                </c:pt>
                <c:pt idx="5">
                  <c:v>9618.6134880000009</c:v>
                </c:pt>
                <c:pt idx="6">
                  <c:v>10627.038843</c:v>
                </c:pt>
                <c:pt idx="7">
                  <c:v>11144.525042000001</c:v>
                </c:pt>
                <c:pt idx="8">
                  <c:v>11516.482507000001</c:v>
                </c:pt>
                <c:pt idx="9">
                  <c:v>13787.397590999997</c:v>
                </c:pt>
              </c:numCache>
            </c:numRef>
          </c:val>
          <c:extLst>
            <c:ext xmlns:c16="http://schemas.microsoft.com/office/drawing/2014/chart" uri="{C3380CC4-5D6E-409C-BE32-E72D297353CC}">
              <c16:uniqueId val="{00000008-72C1-4258-9A3E-DB4E13786627}"/>
            </c:ext>
          </c:extLst>
        </c:ser>
        <c:ser>
          <c:idx val="9"/>
          <c:order val="9"/>
          <c:tx>
            <c:strRef>
              <c:f>'Major Commodity Summary'!$T$83</c:f>
              <c:strCache>
                <c:ptCount val="1"/>
                <c:pt idx="0">
                  <c:v>Iron Ore</c:v>
                </c:pt>
              </c:strCache>
            </c:strRef>
          </c:tx>
          <c:spPr>
            <a:solidFill>
              <a:schemeClr val="accent2"/>
            </a:solidFill>
          </c:spPr>
          <c:invertIfNegative val="0"/>
          <c:cat>
            <c:numRef>
              <c:f>'Major Commodity Summary'!$J$73:$S$73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'Major Commodity Summary'!$J$83:$S$83</c:f>
              <c:numCache>
                <c:formatCode>General</c:formatCode>
                <c:ptCount val="10"/>
                <c:pt idx="0">
                  <c:v>50262.149327229992</c:v>
                </c:pt>
                <c:pt idx="1">
                  <c:v>62863.290517729998</c:v>
                </c:pt>
                <c:pt idx="2">
                  <c:v>52823.916640019997</c:v>
                </c:pt>
                <c:pt idx="3">
                  <c:v>70384.424735240013</c:v>
                </c:pt>
                <c:pt idx="4">
                  <c:v>65053.440010000006</c:v>
                </c:pt>
                <c:pt idx="5">
                  <c:v>49630.774950999999</c:v>
                </c:pt>
                <c:pt idx="6">
                  <c:v>55609.172696999995</c:v>
                </c:pt>
                <c:pt idx="7">
                  <c:v>63829.415271999998</c:v>
                </c:pt>
                <c:pt idx="8">
                  <c:v>65236.000407999993</c:v>
                </c:pt>
                <c:pt idx="9">
                  <c:v>97675.628391999999</c:v>
                </c:pt>
              </c:numCache>
            </c:numRef>
          </c:val>
          <c:extLst>
            <c:ext xmlns:c16="http://schemas.microsoft.com/office/drawing/2014/chart" uri="{C3380CC4-5D6E-409C-BE32-E72D297353CC}">
              <c16:uniqueId val="{00000009-72C1-4258-9A3E-DB4E13786627}"/>
            </c:ext>
          </c:extLst>
        </c:ser>
        <c:dLbls>
          <c:showLegendKey val="0"/>
          <c:showVal val="0"/>
          <c:showCatName val="0"/>
          <c:showSerName val="0"/>
          <c:showPercent val="0"/>
          <c:showBubbleSize val="0"/>
        </c:dLbls>
        <c:gapWidth val="150"/>
        <c:overlap val="100"/>
        <c:axId val="116744576"/>
        <c:axId val="116746112"/>
      </c:barChart>
      <c:catAx>
        <c:axId val="11674457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6746112"/>
        <c:crosses val="autoZero"/>
        <c:auto val="1"/>
        <c:lblAlgn val="ctr"/>
        <c:lblOffset val="100"/>
        <c:tickLblSkip val="1"/>
        <c:tickMarkSkip val="1"/>
        <c:noMultiLvlLbl val="0"/>
      </c:catAx>
      <c:valAx>
        <c:axId val="116746112"/>
        <c:scaling>
          <c:orientation val="minMax"/>
        </c:scaling>
        <c:delete val="0"/>
        <c:axPos val="l"/>
        <c:majorGridlines/>
        <c:title>
          <c:tx>
            <c:rich>
              <a:bodyPr rot="-5400000" vert="horz"/>
              <a:lstStyle/>
              <a:p>
                <a:pPr>
                  <a:defRPr/>
                </a:pPr>
                <a:r>
                  <a:rPr lang="en-AU"/>
                  <a:t>A$ million</a:t>
                </a:r>
              </a:p>
            </c:rich>
          </c:tx>
          <c:overlay val="0"/>
        </c:title>
        <c:numFmt formatCode="#,##0" sourceLinked="0"/>
        <c:majorTickMark val="out"/>
        <c:minorTickMark val="none"/>
        <c:tickLblPos val="nextTo"/>
        <c:txPr>
          <a:bodyPr rot="0" vert="horz"/>
          <a:lstStyle/>
          <a:p>
            <a:pPr>
              <a:defRPr/>
            </a:pPr>
            <a:endParaRPr lang="en-US"/>
          </a:p>
        </c:txPr>
        <c:crossAx val="116744576"/>
        <c:crosses val="autoZero"/>
        <c:crossBetween val="between"/>
      </c:valAx>
    </c:plotArea>
    <c:legend>
      <c:legendPos val="b"/>
      <c:layout>
        <c:manualLayout>
          <c:xMode val="edge"/>
          <c:yMode val="edge"/>
          <c:x val="0.1194773124194059"/>
          <c:y val="0.89087627616821474"/>
          <c:w val="0.83013133805235928"/>
          <c:h val="8.7872818179096437E-2"/>
        </c:manualLayout>
      </c:layout>
      <c:overlay val="0"/>
    </c:legend>
    <c:plotVisOnly val="1"/>
    <c:dispBlanksAs val="gap"/>
    <c:showDLblsOverMax val="0"/>
  </c:chart>
  <c:printSettings>
    <c:headerFooter alignWithMargins="0"/>
    <c:pageMargins b="1" l="0.75000000000000178" r="0.75000000000000178" t="1" header="0.5" footer="0.5"/>
    <c:pageSetup paperSize="9"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Iron Ore</a:t>
            </a:r>
          </a:p>
          <a:p>
            <a:pPr>
              <a:defRPr/>
            </a:pPr>
            <a:r>
              <a:rPr lang="en-US" sz="1100"/>
              <a:t>Historic Avg. Annual Price</a:t>
            </a:r>
            <a:endParaRPr lang="en-AU" sz="1100"/>
          </a:p>
        </c:rich>
      </c:tx>
      <c:overlay val="0"/>
    </c:title>
    <c:autoTitleDeleted val="0"/>
    <c:plotArea>
      <c:layout/>
      <c:barChart>
        <c:barDir val="col"/>
        <c:grouping val="clustered"/>
        <c:varyColors val="0"/>
        <c:ser>
          <c:idx val="0"/>
          <c:order val="0"/>
          <c:tx>
            <c:strRef>
              <c:f>'Iron Ore - Prices'!$J$7</c:f>
              <c:strCache>
                <c:ptCount val="1"/>
                <c:pt idx="0">
                  <c:v>Avg. Price (A$/tonne)</c:v>
                </c:pt>
              </c:strCache>
            </c:strRef>
          </c:tx>
          <c:invertIfNegative val="0"/>
          <c:cat>
            <c:numRef>
              <c:f>'Iron Ore - Prices'!$I$8:$I$28</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'Iron Ore - Prices'!$J$8:$J$28</c:f>
              <c:numCache>
                <c:formatCode>"$"#,##0.00</c:formatCode>
                <c:ptCount val="21"/>
                <c:pt idx="0">
                  <c:v>24.593793267415354</c:v>
                </c:pt>
                <c:pt idx="1">
                  <c:v>27.477182027620767</c:v>
                </c:pt>
                <c:pt idx="2">
                  <c:v>32.344727886034399</c:v>
                </c:pt>
                <c:pt idx="3">
                  <c:v>29.485465776313262</c:v>
                </c:pt>
                <c:pt idx="4">
                  <c:v>25.986418280383351</c:v>
                </c:pt>
                <c:pt idx="5">
                  <c:v>29.002618235586148</c:v>
                </c:pt>
                <c:pt idx="6">
                  <c:v>47.02136900538423</c:v>
                </c:pt>
                <c:pt idx="7">
                  <c:v>59.043433524522918</c:v>
                </c:pt>
                <c:pt idx="8">
                  <c:v>61.017037976087494</c:v>
                </c:pt>
                <c:pt idx="9">
                  <c:v>104.31995693810107</c:v>
                </c:pt>
                <c:pt idx="10">
                  <c:v>79.011023341359447</c:v>
                </c:pt>
                <c:pt idx="11">
                  <c:v>127.6171173436651</c:v>
                </c:pt>
                <c:pt idx="12">
                  <c:v>162.58758075113141</c:v>
                </c:pt>
                <c:pt idx="13">
                  <c:v>124.10477008029886</c:v>
                </c:pt>
                <c:pt idx="14">
                  <c:v>139.87724804092917</c:v>
                </c:pt>
                <c:pt idx="15">
                  <c:v>106.88603516746586</c:v>
                </c:pt>
                <c:pt idx="16">
                  <c:v>72.031211357016048</c:v>
                </c:pt>
                <c:pt idx="17">
                  <c:v>77.489999999999995</c:v>
                </c:pt>
                <c:pt idx="18">
                  <c:v>93.28703937731278</c:v>
                </c:pt>
                <c:pt idx="19">
                  <c:v>92.846522982264503</c:v>
                </c:pt>
                <c:pt idx="20">
                  <c:v>134.21428413801101</c:v>
                </c:pt>
              </c:numCache>
            </c:numRef>
          </c:val>
          <c:extLst>
            <c:ext xmlns:c16="http://schemas.microsoft.com/office/drawing/2014/chart" uri="{C3380CC4-5D6E-409C-BE32-E72D297353CC}">
              <c16:uniqueId val="{00000000-4DF9-411D-B7DB-FD2721FC6A0C}"/>
            </c:ext>
          </c:extLst>
        </c:ser>
        <c:dLbls>
          <c:showLegendKey val="0"/>
          <c:showVal val="0"/>
          <c:showCatName val="0"/>
          <c:showSerName val="0"/>
          <c:showPercent val="0"/>
          <c:showBubbleSize val="0"/>
        </c:dLbls>
        <c:gapWidth val="75"/>
        <c:overlap val="-25"/>
        <c:axId val="132711168"/>
        <c:axId val="132713088"/>
      </c:barChart>
      <c:catAx>
        <c:axId val="132711168"/>
        <c:scaling>
          <c:orientation val="minMax"/>
        </c:scaling>
        <c:delete val="0"/>
        <c:axPos val="b"/>
        <c:title>
          <c:tx>
            <c:rich>
              <a:bodyPr/>
              <a:lstStyle/>
              <a:p>
                <a:pPr>
                  <a:defRPr/>
                </a:pPr>
                <a:r>
                  <a:rPr lang="en-AU"/>
                  <a:t>Source: DMIRS and Argus Metals</a:t>
                </a:r>
              </a:p>
            </c:rich>
          </c:tx>
          <c:layout>
            <c:manualLayout>
              <c:xMode val="edge"/>
              <c:yMode val="edge"/>
              <c:x val="6.687098883763478E-3"/>
              <c:y val="0.93218607003636755"/>
            </c:manualLayout>
          </c:layout>
          <c:overlay val="0"/>
        </c:title>
        <c:numFmt formatCode="General" sourceLinked="1"/>
        <c:majorTickMark val="out"/>
        <c:minorTickMark val="none"/>
        <c:tickLblPos val="nextTo"/>
        <c:spPr>
          <a:ln/>
        </c:spPr>
        <c:txPr>
          <a:bodyPr rot="-2700000"/>
          <a:lstStyle/>
          <a:p>
            <a:pPr>
              <a:defRPr/>
            </a:pPr>
            <a:endParaRPr lang="en-US"/>
          </a:p>
        </c:txPr>
        <c:crossAx val="132713088"/>
        <c:crosses val="autoZero"/>
        <c:auto val="0"/>
        <c:lblAlgn val="ctr"/>
        <c:lblOffset val="100"/>
        <c:noMultiLvlLbl val="0"/>
      </c:catAx>
      <c:valAx>
        <c:axId val="132713088"/>
        <c:scaling>
          <c:orientation val="minMax"/>
        </c:scaling>
        <c:delete val="0"/>
        <c:axPos val="l"/>
        <c:majorGridlines/>
        <c:title>
          <c:tx>
            <c:rich>
              <a:bodyPr rot="-5400000" vert="horz"/>
              <a:lstStyle/>
              <a:p>
                <a:pPr>
                  <a:defRPr/>
                </a:pPr>
                <a:r>
                  <a:rPr lang="en-AU"/>
                  <a:t>A$/tonne</a:t>
                </a:r>
              </a:p>
            </c:rich>
          </c:tx>
          <c:layout>
            <c:manualLayout>
              <c:xMode val="edge"/>
              <c:yMode val="edge"/>
              <c:x val="1.7832263690035943E-2"/>
              <c:y val="0.4111179575832104"/>
            </c:manualLayout>
          </c:layout>
          <c:overlay val="0"/>
        </c:title>
        <c:numFmt formatCode="#,##0" sourceLinked="0"/>
        <c:majorTickMark val="out"/>
        <c:minorTickMark val="none"/>
        <c:tickLblPos val="nextTo"/>
        <c:spPr>
          <a:ln/>
        </c:spPr>
        <c:crossAx val="132711168"/>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Monthly Price, Past 5 years</a:t>
            </a:r>
          </a:p>
        </c:rich>
      </c:tx>
      <c:overlay val="0"/>
    </c:title>
    <c:autoTitleDeleted val="0"/>
    <c:plotArea>
      <c:layout>
        <c:manualLayout>
          <c:layoutTarget val="inner"/>
          <c:xMode val="edge"/>
          <c:yMode val="edge"/>
          <c:x val="8.5343062949245208E-2"/>
          <c:y val="0.25001563920758818"/>
          <c:w val="0.8884584796625089"/>
          <c:h val="0.58750805392862149"/>
        </c:manualLayout>
      </c:layout>
      <c:lineChart>
        <c:grouping val="standard"/>
        <c:varyColors val="0"/>
        <c:ser>
          <c:idx val="0"/>
          <c:order val="0"/>
          <c:tx>
            <c:v>62% Fines CFR China US$/t</c:v>
          </c:tx>
          <c:spPr>
            <a:ln>
              <a:solidFill>
                <a:srgbClr val="C00000"/>
              </a:solidFill>
            </a:ln>
          </c:spPr>
          <c:marker>
            <c:symbol val="none"/>
          </c:marker>
          <c:cat>
            <c:numRef>
              <c:f>'Data - Monthly Commodity Prices'!$AY$9:$AY$68</c:f>
              <c:numCache>
                <c:formatCode>General</c:formatCode>
                <c:ptCount val="60"/>
                <c:pt idx="2" formatCode="mmm\-yy">
                  <c:v>42064</c:v>
                </c:pt>
                <c:pt idx="5" formatCode="mmm\-yy">
                  <c:v>42156</c:v>
                </c:pt>
                <c:pt idx="8" formatCode="mmm\-yy">
                  <c:v>42248</c:v>
                </c:pt>
                <c:pt idx="11" formatCode="mmm\-yy">
                  <c:v>42339</c:v>
                </c:pt>
                <c:pt idx="14" formatCode="mmm\-yy">
                  <c:v>42430</c:v>
                </c:pt>
                <c:pt idx="17" formatCode="mmm\-yy">
                  <c:v>42522</c:v>
                </c:pt>
                <c:pt idx="20" formatCode="mmm\-yy">
                  <c:v>42614</c:v>
                </c:pt>
                <c:pt idx="23" formatCode="mmm\-yy">
                  <c:v>42705</c:v>
                </c:pt>
                <c:pt idx="26" formatCode="mmm\-yy">
                  <c:v>42795</c:v>
                </c:pt>
                <c:pt idx="29" formatCode="mmm\-yy">
                  <c:v>42887</c:v>
                </c:pt>
                <c:pt idx="32" formatCode="mmm\-yy">
                  <c:v>42979</c:v>
                </c:pt>
                <c:pt idx="35" formatCode="mmm\-yy">
                  <c:v>43070</c:v>
                </c:pt>
                <c:pt idx="38" formatCode="mmm\-yy">
                  <c:v>43160</c:v>
                </c:pt>
                <c:pt idx="41" formatCode="mmm\-yy">
                  <c:v>43252</c:v>
                </c:pt>
                <c:pt idx="44" formatCode="mmm\-yy">
                  <c:v>43344</c:v>
                </c:pt>
                <c:pt idx="47" formatCode="mmm\-yy">
                  <c:v>43435</c:v>
                </c:pt>
                <c:pt idx="50" formatCode="mmm\-yy">
                  <c:v>43525</c:v>
                </c:pt>
                <c:pt idx="53" formatCode="mmm\-yy">
                  <c:v>43617</c:v>
                </c:pt>
                <c:pt idx="56" formatCode="mmm\-yy">
                  <c:v>43709</c:v>
                </c:pt>
                <c:pt idx="59" formatCode="mmm\-yy">
                  <c:v>43800</c:v>
                </c:pt>
              </c:numCache>
            </c:numRef>
          </c:cat>
          <c:val>
            <c:numRef>
              <c:f>'Iron Ore - Prices'!$B$9:$B$68</c:f>
              <c:numCache>
                <c:formatCode>"$"#,##0.00</c:formatCode>
                <c:ptCount val="60"/>
                <c:pt idx="0">
                  <c:v>66.55</c:v>
                </c:pt>
                <c:pt idx="1">
                  <c:v>61.43</c:v>
                </c:pt>
                <c:pt idx="2">
                  <c:v>56.38</c:v>
                </c:pt>
                <c:pt idx="3">
                  <c:v>48.78</c:v>
                </c:pt>
                <c:pt idx="4">
                  <c:v>58.41</c:v>
                </c:pt>
                <c:pt idx="5">
                  <c:v>61.3</c:v>
                </c:pt>
                <c:pt idx="6">
                  <c:v>51.08</c:v>
                </c:pt>
                <c:pt idx="7">
                  <c:v>54.36</c:v>
                </c:pt>
                <c:pt idx="8">
                  <c:v>55.79</c:v>
                </c:pt>
                <c:pt idx="9">
                  <c:v>52.83</c:v>
                </c:pt>
                <c:pt idx="10">
                  <c:v>45.73</c:v>
                </c:pt>
                <c:pt idx="11">
                  <c:v>38.97</c:v>
                </c:pt>
                <c:pt idx="12">
                  <c:v>40.97</c:v>
                </c:pt>
                <c:pt idx="13">
                  <c:v>45.57</c:v>
                </c:pt>
                <c:pt idx="14">
                  <c:v>55.22</c:v>
                </c:pt>
                <c:pt idx="15">
                  <c:v>58.05</c:v>
                </c:pt>
                <c:pt idx="16">
                  <c:v>53.64</c:v>
                </c:pt>
                <c:pt idx="17">
                  <c:v>52.72</c:v>
                </c:pt>
                <c:pt idx="18">
                  <c:v>56.83</c:v>
                </c:pt>
                <c:pt idx="19">
                  <c:v>60.63</c:v>
                </c:pt>
                <c:pt idx="20">
                  <c:v>57.11</c:v>
                </c:pt>
                <c:pt idx="21">
                  <c:v>58.54</c:v>
                </c:pt>
                <c:pt idx="22">
                  <c:v>73.67</c:v>
                </c:pt>
                <c:pt idx="23">
                  <c:v>80</c:v>
                </c:pt>
                <c:pt idx="24">
                  <c:v>81</c:v>
                </c:pt>
                <c:pt idx="25">
                  <c:v>89</c:v>
                </c:pt>
                <c:pt idx="26">
                  <c:v>88</c:v>
                </c:pt>
                <c:pt idx="27">
                  <c:v>71</c:v>
                </c:pt>
                <c:pt idx="28">
                  <c:v>61.68</c:v>
                </c:pt>
                <c:pt idx="29">
                  <c:v>57.15</c:v>
                </c:pt>
                <c:pt idx="30">
                  <c:v>67.209999999999994</c:v>
                </c:pt>
                <c:pt idx="31">
                  <c:v>75.849999999999994</c:v>
                </c:pt>
                <c:pt idx="32">
                  <c:v>70.599999999999994</c:v>
                </c:pt>
                <c:pt idx="33">
                  <c:v>61.96</c:v>
                </c:pt>
                <c:pt idx="34">
                  <c:v>64.17</c:v>
                </c:pt>
                <c:pt idx="35">
                  <c:v>71.61</c:v>
                </c:pt>
                <c:pt idx="36">
                  <c:v>75.78</c:v>
                </c:pt>
                <c:pt idx="37">
                  <c:v>77.48</c:v>
                </c:pt>
                <c:pt idx="38">
                  <c:v>70.010000000000005</c:v>
                </c:pt>
                <c:pt idx="39">
                  <c:v>65.430000000000007</c:v>
                </c:pt>
                <c:pt idx="40">
                  <c:v>66</c:v>
                </c:pt>
                <c:pt idx="41">
                  <c:v>64.45</c:v>
                </c:pt>
                <c:pt idx="42">
                  <c:v>64.09</c:v>
                </c:pt>
                <c:pt idx="43">
                  <c:v>66.81</c:v>
                </c:pt>
                <c:pt idx="44">
                  <c:v>68.34</c:v>
                </c:pt>
                <c:pt idx="45">
                  <c:v>72.56</c:v>
                </c:pt>
                <c:pt idx="46">
                  <c:v>72.290000000000006</c:v>
                </c:pt>
                <c:pt idx="47">
                  <c:v>69.319999999999993</c:v>
                </c:pt>
                <c:pt idx="48">
                  <c:v>76.11</c:v>
                </c:pt>
                <c:pt idx="49">
                  <c:v>87.12</c:v>
                </c:pt>
                <c:pt idx="50">
                  <c:v>85.75</c:v>
                </c:pt>
                <c:pt idx="51">
                  <c:v>93.54</c:v>
                </c:pt>
                <c:pt idx="52">
                  <c:v>99.06</c:v>
                </c:pt>
                <c:pt idx="53">
                  <c:v>108.69</c:v>
                </c:pt>
                <c:pt idx="54">
                  <c:v>119.96</c:v>
                </c:pt>
                <c:pt idx="55">
                  <c:v>91.19</c:v>
                </c:pt>
                <c:pt idx="56">
                  <c:v>93.3</c:v>
                </c:pt>
                <c:pt idx="57">
                  <c:v>89.61</c:v>
                </c:pt>
                <c:pt idx="58">
                  <c:v>84.25</c:v>
                </c:pt>
                <c:pt idx="59">
                  <c:v>91.4</c:v>
                </c:pt>
              </c:numCache>
            </c:numRef>
          </c:val>
          <c:smooth val="0"/>
          <c:extLst>
            <c:ext xmlns:c16="http://schemas.microsoft.com/office/drawing/2014/chart" uri="{C3380CC4-5D6E-409C-BE32-E72D297353CC}">
              <c16:uniqueId val="{00000000-5602-4F8B-8ABB-96E33CFE038E}"/>
            </c:ext>
          </c:extLst>
        </c:ser>
        <c:ser>
          <c:idx val="1"/>
          <c:order val="1"/>
          <c:tx>
            <c:v>62% Fines CFR China A$/t</c:v>
          </c:tx>
          <c:spPr>
            <a:ln>
              <a:solidFill>
                <a:srgbClr val="0070C0"/>
              </a:solidFill>
            </a:ln>
          </c:spPr>
          <c:marker>
            <c:symbol val="none"/>
          </c:marker>
          <c:cat>
            <c:numRef>
              <c:f>'Data - Monthly Commodity Prices'!$AY$9:$AY$68</c:f>
              <c:numCache>
                <c:formatCode>General</c:formatCode>
                <c:ptCount val="60"/>
                <c:pt idx="2" formatCode="mmm\-yy">
                  <c:v>42064</c:v>
                </c:pt>
                <c:pt idx="5" formatCode="mmm\-yy">
                  <c:v>42156</c:v>
                </c:pt>
                <c:pt idx="8" formatCode="mmm\-yy">
                  <c:v>42248</c:v>
                </c:pt>
                <c:pt idx="11" formatCode="mmm\-yy">
                  <c:v>42339</c:v>
                </c:pt>
                <c:pt idx="14" formatCode="mmm\-yy">
                  <c:v>42430</c:v>
                </c:pt>
                <c:pt idx="17" formatCode="mmm\-yy">
                  <c:v>42522</c:v>
                </c:pt>
                <c:pt idx="20" formatCode="mmm\-yy">
                  <c:v>42614</c:v>
                </c:pt>
                <c:pt idx="23" formatCode="mmm\-yy">
                  <c:v>42705</c:v>
                </c:pt>
                <c:pt idx="26" formatCode="mmm\-yy">
                  <c:v>42795</c:v>
                </c:pt>
                <c:pt idx="29" formatCode="mmm\-yy">
                  <c:v>42887</c:v>
                </c:pt>
                <c:pt idx="32" formatCode="mmm\-yy">
                  <c:v>42979</c:v>
                </c:pt>
                <c:pt idx="35" formatCode="mmm\-yy">
                  <c:v>43070</c:v>
                </c:pt>
                <c:pt idx="38" formatCode="mmm\-yy">
                  <c:v>43160</c:v>
                </c:pt>
                <c:pt idx="41" formatCode="mmm\-yy">
                  <c:v>43252</c:v>
                </c:pt>
                <c:pt idx="44" formatCode="mmm\-yy">
                  <c:v>43344</c:v>
                </c:pt>
                <c:pt idx="47" formatCode="mmm\-yy">
                  <c:v>43435</c:v>
                </c:pt>
                <c:pt idx="50" formatCode="mmm\-yy">
                  <c:v>43525</c:v>
                </c:pt>
                <c:pt idx="53" formatCode="mmm\-yy">
                  <c:v>43617</c:v>
                </c:pt>
                <c:pt idx="56" formatCode="mmm\-yy">
                  <c:v>43709</c:v>
                </c:pt>
                <c:pt idx="59" formatCode="mmm\-yy">
                  <c:v>43800</c:v>
                </c:pt>
              </c:numCache>
            </c:numRef>
          </c:cat>
          <c:val>
            <c:numRef>
              <c:f>'Iron Ore - Prices'!$C$9:$C$68</c:f>
              <c:numCache>
                <c:formatCode>"$"#,##0.00</c:formatCode>
                <c:ptCount val="60"/>
                <c:pt idx="0">
                  <c:v>82.568238213399496</c:v>
                </c:pt>
                <c:pt idx="1">
                  <c:v>78.82715257282176</c:v>
                </c:pt>
                <c:pt idx="2">
                  <c:v>72.9366106080207</c:v>
                </c:pt>
                <c:pt idx="3">
                  <c:v>63.063994828700714</c:v>
                </c:pt>
                <c:pt idx="4">
                  <c:v>74.067968551864055</c:v>
                </c:pt>
                <c:pt idx="5">
                  <c:v>79.373300530881778</c:v>
                </c:pt>
                <c:pt idx="6">
                  <c:v>68.943177216898363</c:v>
                </c:pt>
                <c:pt idx="7">
                  <c:v>74.506578947368411</c:v>
                </c:pt>
                <c:pt idx="8">
                  <c:v>79.078667611622961</c:v>
                </c:pt>
                <c:pt idx="9">
                  <c:v>73.313905079100749</c:v>
                </c:pt>
                <c:pt idx="10">
                  <c:v>63.958041958041953</c:v>
                </c:pt>
                <c:pt idx="11">
                  <c:v>53.736900165471596</c:v>
                </c:pt>
                <c:pt idx="12">
                  <c:v>58.4</c:v>
                </c:pt>
                <c:pt idx="13">
                  <c:v>63.82</c:v>
                </c:pt>
                <c:pt idx="14">
                  <c:v>73.53</c:v>
                </c:pt>
                <c:pt idx="15">
                  <c:v>75.75</c:v>
                </c:pt>
                <c:pt idx="16">
                  <c:v>73.260000000000005</c:v>
                </c:pt>
                <c:pt idx="17">
                  <c:v>71.180000000000007</c:v>
                </c:pt>
                <c:pt idx="18">
                  <c:v>75.47</c:v>
                </c:pt>
                <c:pt idx="19">
                  <c:v>79.540000000000006</c:v>
                </c:pt>
                <c:pt idx="20">
                  <c:v>75.22</c:v>
                </c:pt>
                <c:pt idx="21">
                  <c:v>76.86</c:v>
                </c:pt>
                <c:pt idx="22">
                  <c:v>97.85</c:v>
                </c:pt>
                <c:pt idx="23">
                  <c:v>109</c:v>
                </c:pt>
                <c:pt idx="24">
                  <c:v>108</c:v>
                </c:pt>
                <c:pt idx="25">
                  <c:v>116</c:v>
                </c:pt>
                <c:pt idx="26">
                  <c:v>115</c:v>
                </c:pt>
                <c:pt idx="27">
                  <c:v>94</c:v>
                </c:pt>
                <c:pt idx="28">
                  <c:v>82.947821409359861</c:v>
                </c:pt>
                <c:pt idx="29">
                  <c:v>75.595238095238088</c:v>
                </c:pt>
                <c:pt idx="30">
                  <c:v>86.111467008327992</c:v>
                </c:pt>
                <c:pt idx="31">
                  <c:v>95.818595250126322</c:v>
                </c:pt>
                <c:pt idx="32">
                  <c:v>88.615539098782477</c:v>
                </c:pt>
                <c:pt idx="33">
                  <c:v>79.568511621933993</c:v>
                </c:pt>
                <c:pt idx="34">
                  <c:v>84.179456906729641</c:v>
                </c:pt>
                <c:pt idx="35">
                  <c:v>93.607843137254903</c:v>
                </c:pt>
                <c:pt idx="36">
                  <c:v>95.236898328515778</c:v>
                </c:pt>
                <c:pt idx="37">
                  <c:v>98.474834773767157</c:v>
                </c:pt>
                <c:pt idx="38">
                  <c:v>90.230699832452643</c:v>
                </c:pt>
                <c:pt idx="39">
                  <c:v>85.162046075751675</c:v>
                </c:pt>
                <c:pt idx="40">
                  <c:v>87.672688629117957</c:v>
                </c:pt>
                <c:pt idx="41">
                  <c:v>86.036577226004539</c:v>
                </c:pt>
                <c:pt idx="42">
                  <c:v>86.549628629304522</c:v>
                </c:pt>
                <c:pt idx="43">
                  <c:v>91.195741195741192</c:v>
                </c:pt>
                <c:pt idx="44">
                  <c:v>94.863964464186566</c:v>
                </c:pt>
                <c:pt idx="45">
                  <c:v>102.16840326668543</c:v>
                </c:pt>
                <c:pt idx="46">
                  <c:v>99.724099875844956</c:v>
                </c:pt>
                <c:pt idx="47">
                  <c:v>96.842693489801619</c:v>
                </c:pt>
                <c:pt idx="48">
                  <c:v>106.43266675989372</c:v>
                </c:pt>
                <c:pt idx="49">
                  <c:v>122.05099467637994</c:v>
                </c:pt>
                <c:pt idx="50">
                  <c:v>121.06452068332626</c:v>
                </c:pt>
                <c:pt idx="51">
                  <c:v>131.52418447694038</c:v>
                </c:pt>
                <c:pt idx="52">
                  <c:v>142.65552995391704</c:v>
                </c:pt>
                <c:pt idx="53">
                  <c:v>156.43350604490502</c:v>
                </c:pt>
                <c:pt idx="54">
                  <c:v>171.88708984095143</c:v>
                </c:pt>
                <c:pt idx="55">
                  <c:v>134.75690852667356</c:v>
                </c:pt>
                <c:pt idx="56">
                  <c:v>135.84740827023879</c:v>
                </c:pt>
                <c:pt idx="57">
                  <c:v>131.81818181818181</c:v>
                </c:pt>
                <c:pt idx="58">
                  <c:v>123.42513917374744</c:v>
                </c:pt>
                <c:pt idx="59">
                  <c:v>132.67527943097693</c:v>
                </c:pt>
              </c:numCache>
            </c:numRef>
          </c:val>
          <c:smooth val="0"/>
          <c:extLst>
            <c:ext xmlns:c16="http://schemas.microsoft.com/office/drawing/2014/chart" uri="{C3380CC4-5D6E-409C-BE32-E72D297353CC}">
              <c16:uniqueId val="{00000001-5602-4F8B-8ABB-96E33CFE038E}"/>
            </c:ext>
          </c:extLst>
        </c:ser>
        <c:ser>
          <c:idx val="2"/>
          <c:order val="2"/>
          <c:tx>
            <c:v>58% Fines CFR China US$/t</c:v>
          </c:tx>
          <c:spPr>
            <a:ln>
              <a:solidFill>
                <a:schemeClr val="accent2">
                  <a:lumMod val="75000"/>
                </a:schemeClr>
              </a:solidFill>
            </a:ln>
          </c:spPr>
          <c:marker>
            <c:symbol val="none"/>
          </c:marker>
          <c:cat>
            <c:numRef>
              <c:f>'Data - Monthly Commodity Prices'!$AY$9:$AY$68</c:f>
              <c:numCache>
                <c:formatCode>General</c:formatCode>
                <c:ptCount val="60"/>
                <c:pt idx="2" formatCode="mmm\-yy">
                  <c:v>42064</c:v>
                </c:pt>
                <c:pt idx="5" formatCode="mmm\-yy">
                  <c:v>42156</c:v>
                </c:pt>
                <c:pt idx="8" formatCode="mmm\-yy">
                  <c:v>42248</c:v>
                </c:pt>
                <c:pt idx="11" formatCode="mmm\-yy">
                  <c:v>42339</c:v>
                </c:pt>
                <c:pt idx="14" formatCode="mmm\-yy">
                  <c:v>42430</c:v>
                </c:pt>
                <c:pt idx="17" formatCode="mmm\-yy">
                  <c:v>42522</c:v>
                </c:pt>
                <c:pt idx="20" formatCode="mmm\-yy">
                  <c:v>42614</c:v>
                </c:pt>
                <c:pt idx="23" formatCode="mmm\-yy">
                  <c:v>42705</c:v>
                </c:pt>
                <c:pt idx="26" formatCode="mmm\-yy">
                  <c:v>42795</c:v>
                </c:pt>
                <c:pt idx="29" formatCode="mmm\-yy">
                  <c:v>42887</c:v>
                </c:pt>
                <c:pt idx="32" formatCode="mmm\-yy">
                  <c:v>42979</c:v>
                </c:pt>
                <c:pt idx="35" formatCode="mmm\-yy">
                  <c:v>43070</c:v>
                </c:pt>
                <c:pt idx="38" formatCode="mmm\-yy">
                  <c:v>43160</c:v>
                </c:pt>
                <c:pt idx="41" formatCode="mmm\-yy">
                  <c:v>43252</c:v>
                </c:pt>
                <c:pt idx="44" formatCode="mmm\-yy">
                  <c:v>43344</c:v>
                </c:pt>
                <c:pt idx="47" formatCode="mmm\-yy">
                  <c:v>43435</c:v>
                </c:pt>
                <c:pt idx="50" formatCode="mmm\-yy">
                  <c:v>43525</c:v>
                </c:pt>
                <c:pt idx="53" formatCode="mmm\-yy">
                  <c:v>43617</c:v>
                </c:pt>
                <c:pt idx="56" formatCode="mmm\-yy">
                  <c:v>43709</c:v>
                </c:pt>
                <c:pt idx="59" formatCode="mmm\-yy">
                  <c:v>43800</c:v>
                </c:pt>
              </c:numCache>
            </c:numRef>
          </c:cat>
          <c:val>
            <c:numRef>
              <c:f>'Iron Ore - Prices'!$D$9:$D$68</c:f>
              <c:numCache>
                <c:formatCode>"$"#,##0.00</c:formatCode>
                <c:ptCount val="60"/>
                <c:pt idx="0">
                  <c:v>58.93</c:v>
                </c:pt>
                <c:pt idx="1">
                  <c:v>53.16</c:v>
                </c:pt>
                <c:pt idx="2">
                  <c:v>48.32</c:v>
                </c:pt>
                <c:pt idx="3">
                  <c:v>42.41</c:v>
                </c:pt>
                <c:pt idx="4">
                  <c:v>52.11</c:v>
                </c:pt>
                <c:pt idx="5">
                  <c:v>55.76</c:v>
                </c:pt>
                <c:pt idx="6">
                  <c:v>46.39</c:v>
                </c:pt>
                <c:pt idx="7">
                  <c:v>49.56</c:v>
                </c:pt>
                <c:pt idx="8">
                  <c:v>51.41</c:v>
                </c:pt>
                <c:pt idx="9">
                  <c:v>48.2</c:v>
                </c:pt>
                <c:pt idx="10">
                  <c:v>42.04</c:v>
                </c:pt>
                <c:pt idx="11">
                  <c:v>35.659999999999997</c:v>
                </c:pt>
                <c:pt idx="12">
                  <c:v>36.630000000000003</c:v>
                </c:pt>
                <c:pt idx="13">
                  <c:v>40.479999999999997</c:v>
                </c:pt>
                <c:pt idx="14">
                  <c:v>49.94</c:v>
                </c:pt>
                <c:pt idx="15">
                  <c:v>51.85</c:v>
                </c:pt>
                <c:pt idx="16">
                  <c:v>46.19</c:v>
                </c:pt>
                <c:pt idx="17">
                  <c:v>43.6</c:v>
                </c:pt>
                <c:pt idx="18">
                  <c:v>47.22</c:v>
                </c:pt>
                <c:pt idx="19">
                  <c:v>50.47</c:v>
                </c:pt>
                <c:pt idx="20">
                  <c:v>47.81</c:v>
                </c:pt>
                <c:pt idx="21">
                  <c:v>50.38</c:v>
                </c:pt>
                <c:pt idx="22">
                  <c:v>62.16</c:v>
                </c:pt>
                <c:pt idx="23">
                  <c:v>69</c:v>
                </c:pt>
                <c:pt idx="24">
                  <c:v>69</c:v>
                </c:pt>
                <c:pt idx="25">
                  <c:v>76</c:v>
                </c:pt>
                <c:pt idx="26">
                  <c:v>75</c:v>
                </c:pt>
                <c:pt idx="27">
                  <c:v>59</c:v>
                </c:pt>
                <c:pt idx="28">
                  <c:v>50.29</c:v>
                </c:pt>
                <c:pt idx="29">
                  <c:v>45.33</c:v>
                </c:pt>
                <c:pt idx="30">
                  <c:v>52.67</c:v>
                </c:pt>
                <c:pt idx="31">
                  <c:v>60.32</c:v>
                </c:pt>
                <c:pt idx="32">
                  <c:v>55.71</c:v>
                </c:pt>
                <c:pt idx="33">
                  <c:v>47.34</c:v>
                </c:pt>
                <c:pt idx="34">
                  <c:v>50.06</c:v>
                </c:pt>
                <c:pt idx="35">
                  <c:v>56.33</c:v>
                </c:pt>
                <c:pt idx="36">
                  <c:v>60.75</c:v>
                </c:pt>
                <c:pt idx="37">
                  <c:v>62.98</c:v>
                </c:pt>
                <c:pt idx="38">
                  <c:v>57.18</c:v>
                </c:pt>
                <c:pt idx="39">
                  <c:v>52.55</c:v>
                </c:pt>
                <c:pt idx="40">
                  <c:v>53.95</c:v>
                </c:pt>
                <c:pt idx="41">
                  <c:v>53.44</c:v>
                </c:pt>
                <c:pt idx="42">
                  <c:v>53.85</c:v>
                </c:pt>
                <c:pt idx="43">
                  <c:v>55.25</c:v>
                </c:pt>
                <c:pt idx="44">
                  <c:v>55.74</c:v>
                </c:pt>
                <c:pt idx="45">
                  <c:v>59.87</c:v>
                </c:pt>
                <c:pt idx="46">
                  <c:v>63.24</c:v>
                </c:pt>
                <c:pt idx="47">
                  <c:v>60.98</c:v>
                </c:pt>
                <c:pt idx="48">
                  <c:v>66.88</c:v>
                </c:pt>
                <c:pt idx="49">
                  <c:v>77.89</c:v>
                </c:pt>
                <c:pt idx="50">
                  <c:v>76.75</c:v>
                </c:pt>
                <c:pt idx="51">
                  <c:v>84.51</c:v>
                </c:pt>
                <c:pt idx="52">
                  <c:v>91.09</c:v>
                </c:pt>
                <c:pt idx="53">
                  <c:v>101.44</c:v>
                </c:pt>
                <c:pt idx="54">
                  <c:v>110.77</c:v>
                </c:pt>
                <c:pt idx="55">
                  <c:v>80.77</c:v>
                </c:pt>
                <c:pt idx="56">
                  <c:v>80.64</c:v>
                </c:pt>
                <c:pt idx="57">
                  <c:v>78.599999999999994</c:v>
                </c:pt>
                <c:pt idx="58">
                  <c:v>75.55</c:v>
                </c:pt>
                <c:pt idx="59">
                  <c:v>80.650000000000006</c:v>
                </c:pt>
              </c:numCache>
            </c:numRef>
          </c:val>
          <c:smooth val="0"/>
          <c:extLst>
            <c:ext xmlns:c16="http://schemas.microsoft.com/office/drawing/2014/chart" uri="{C3380CC4-5D6E-409C-BE32-E72D297353CC}">
              <c16:uniqueId val="{00000002-5602-4F8B-8ABB-96E33CFE038E}"/>
            </c:ext>
          </c:extLst>
        </c:ser>
        <c:ser>
          <c:idx val="3"/>
          <c:order val="3"/>
          <c:tx>
            <c:v>58% Fines CFR China A$/t</c:v>
          </c:tx>
          <c:spPr>
            <a:ln>
              <a:solidFill>
                <a:schemeClr val="accent5">
                  <a:lumMod val="75000"/>
                </a:schemeClr>
              </a:solidFill>
            </a:ln>
          </c:spPr>
          <c:marker>
            <c:symbol val="none"/>
          </c:marker>
          <c:cat>
            <c:numRef>
              <c:f>'Data - Monthly Commodity Prices'!$AY$9:$AY$68</c:f>
              <c:numCache>
                <c:formatCode>General</c:formatCode>
                <c:ptCount val="60"/>
                <c:pt idx="2" formatCode="mmm\-yy">
                  <c:v>42064</c:v>
                </c:pt>
                <c:pt idx="5" formatCode="mmm\-yy">
                  <c:v>42156</c:v>
                </c:pt>
                <c:pt idx="8" formatCode="mmm\-yy">
                  <c:v>42248</c:v>
                </c:pt>
                <c:pt idx="11" formatCode="mmm\-yy">
                  <c:v>42339</c:v>
                </c:pt>
                <c:pt idx="14" formatCode="mmm\-yy">
                  <c:v>42430</c:v>
                </c:pt>
                <c:pt idx="17" formatCode="mmm\-yy">
                  <c:v>42522</c:v>
                </c:pt>
                <c:pt idx="20" formatCode="mmm\-yy">
                  <c:v>42614</c:v>
                </c:pt>
                <c:pt idx="23" formatCode="mmm\-yy">
                  <c:v>42705</c:v>
                </c:pt>
                <c:pt idx="26" formatCode="mmm\-yy">
                  <c:v>42795</c:v>
                </c:pt>
                <c:pt idx="29" formatCode="mmm\-yy">
                  <c:v>42887</c:v>
                </c:pt>
                <c:pt idx="32" formatCode="mmm\-yy">
                  <c:v>42979</c:v>
                </c:pt>
                <c:pt idx="35" formatCode="mmm\-yy">
                  <c:v>43070</c:v>
                </c:pt>
                <c:pt idx="38" formatCode="mmm\-yy">
                  <c:v>43160</c:v>
                </c:pt>
                <c:pt idx="41" formatCode="mmm\-yy">
                  <c:v>43252</c:v>
                </c:pt>
                <c:pt idx="44" formatCode="mmm\-yy">
                  <c:v>43344</c:v>
                </c:pt>
                <c:pt idx="47" formatCode="mmm\-yy">
                  <c:v>43435</c:v>
                </c:pt>
                <c:pt idx="50" formatCode="mmm\-yy">
                  <c:v>43525</c:v>
                </c:pt>
                <c:pt idx="53" formatCode="mmm\-yy">
                  <c:v>43617</c:v>
                </c:pt>
                <c:pt idx="56" formatCode="mmm\-yy">
                  <c:v>43709</c:v>
                </c:pt>
                <c:pt idx="59" formatCode="mmm\-yy">
                  <c:v>43800</c:v>
                </c:pt>
              </c:numCache>
            </c:numRef>
          </c:cat>
          <c:val>
            <c:numRef>
              <c:f>'Iron Ore - Prices'!$E$9:$E$68</c:f>
              <c:numCache>
                <c:formatCode>"$"#,##0.00</c:formatCode>
                <c:ptCount val="60"/>
                <c:pt idx="0">
                  <c:v>73.114143920595524</c:v>
                </c:pt>
                <c:pt idx="1">
                  <c:v>68.215064801745157</c:v>
                </c:pt>
                <c:pt idx="2">
                  <c:v>62.509702457956017</c:v>
                </c:pt>
                <c:pt idx="3">
                  <c:v>54.828700711053649</c:v>
                </c:pt>
                <c:pt idx="4">
                  <c:v>66.079127567841752</c:v>
                </c:pt>
                <c:pt idx="5">
                  <c:v>72.199922309983165</c:v>
                </c:pt>
                <c:pt idx="6">
                  <c:v>62.613038196787691</c:v>
                </c:pt>
                <c:pt idx="7">
                  <c:v>67.92763157894737</c:v>
                </c:pt>
                <c:pt idx="8">
                  <c:v>72.870304748405374</c:v>
                </c:pt>
                <c:pt idx="9">
                  <c:v>66.888703857896203</c:v>
                </c:pt>
                <c:pt idx="10">
                  <c:v>58.7972027972028</c:v>
                </c:pt>
                <c:pt idx="11">
                  <c:v>49.172642029784882</c:v>
                </c:pt>
                <c:pt idx="12">
                  <c:v>52.22</c:v>
                </c:pt>
                <c:pt idx="13">
                  <c:v>56.69</c:v>
                </c:pt>
                <c:pt idx="14">
                  <c:v>66.5</c:v>
                </c:pt>
                <c:pt idx="15">
                  <c:v>67.66</c:v>
                </c:pt>
                <c:pt idx="16">
                  <c:v>63.08</c:v>
                </c:pt>
                <c:pt idx="17">
                  <c:v>58.86</c:v>
                </c:pt>
                <c:pt idx="18">
                  <c:v>62.71</c:v>
                </c:pt>
                <c:pt idx="19">
                  <c:v>66.209999999999994</c:v>
                </c:pt>
                <c:pt idx="20">
                  <c:v>62.97</c:v>
                </c:pt>
                <c:pt idx="21">
                  <c:v>66.150000000000006</c:v>
                </c:pt>
                <c:pt idx="22">
                  <c:v>82.56</c:v>
                </c:pt>
                <c:pt idx="23">
                  <c:v>94</c:v>
                </c:pt>
                <c:pt idx="24">
                  <c:v>93</c:v>
                </c:pt>
                <c:pt idx="25">
                  <c:v>99</c:v>
                </c:pt>
                <c:pt idx="26">
                  <c:v>98</c:v>
                </c:pt>
                <c:pt idx="27">
                  <c:v>78</c:v>
                </c:pt>
                <c:pt idx="28">
                  <c:v>67.630446476600312</c:v>
                </c:pt>
                <c:pt idx="29">
                  <c:v>59.960317460317455</c:v>
                </c:pt>
                <c:pt idx="30">
                  <c:v>67.482383087764262</c:v>
                </c:pt>
                <c:pt idx="31">
                  <c:v>76.200101061141993</c:v>
                </c:pt>
                <c:pt idx="32">
                  <c:v>69.925944521149745</c:v>
                </c:pt>
                <c:pt idx="33">
                  <c:v>60.793630409657126</c:v>
                </c:pt>
                <c:pt idx="34">
                  <c:v>65.669683851502043</c:v>
                </c:pt>
                <c:pt idx="35">
                  <c:v>73.633986928104576</c:v>
                </c:pt>
                <c:pt idx="36">
                  <c:v>76.347869800175943</c:v>
                </c:pt>
                <c:pt idx="37">
                  <c:v>80.045754956786979</c:v>
                </c:pt>
                <c:pt idx="38">
                  <c:v>73.695063796881044</c:v>
                </c:pt>
                <c:pt idx="39">
                  <c:v>68.397761291162311</c:v>
                </c:pt>
                <c:pt idx="40">
                  <c:v>71.665781083953249</c:v>
                </c:pt>
                <c:pt idx="41">
                  <c:v>71.338940061407015</c:v>
                </c:pt>
                <c:pt idx="42">
                  <c:v>72.721134368669809</c:v>
                </c:pt>
                <c:pt idx="43">
                  <c:v>75.416325416325407</c:v>
                </c:pt>
                <c:pt idx="44">
                  <c:v>77.373681288173231</c:v>
                </c:pt>
                <c:pt idx="45">
                  <c:v>84.300197127569689</c:v>
                </c:pt>
                <c:pt idx="46">
                  <c:v>87.239619257828664</c:v>
                </c:pt>
                <c:pt idx="47">
                  <c:v>85.191394244202286</c:v>
                </c:pt>
                <c:pt idx="48">
                  <c:v>93.525381065585236</c:v>
                </c:pt>
                <c:pt idx="49">
                  <c:v>109.12020173718129</c:v>
                </c:pt>
                <c:pt idx="50">
                  <c:v>108.35804037837075</c:v>
                </c:pt>
                <c:pt idx="51">
                  <c:v>118.82733408323959</c:v>
                </c:pt>
                <c:pt idx="52">
                  <c:v>131.17799539170508</c:v>
                </c:pt>
                <c:pt idx="53">
                  <c:v>145.99884858952217</c:v>
                </c:pt>
                <c:pt idx="54">
                  <c:v>158.71901418541339</c:v>
                </c:pt>
                <c:pt idx="55">
                  <c:v>119.35865228313877</c:v>
                </c:pt>
                <c:pt idx="56">
                  <c:v>117.41409435061153</c:v>
                </c:pt>
                <c:pt idx="57">
                  <c:v>116.99029126213593</c:v>
                </c:pt>
                <c:pt idx="58">
                  <c:v>110.67975388221505</c:v>
                </c:pt>
                <c:pt idx="59">
                  <c:v>117.07069240818699</c:v>
                </c:pt>
              </c:numCache>
            </c:numRef>
          </c:val>
          <c:smooth val="0"/>
          <c:extLst>
            <c:ext xmlns:c16="http://schemas.microsoft.com/office/drawing/2014/chart" uri="{C3380CC4-5D6E-409C-BE32-E72D297353CC}">
              <c16:uniqueId val="{00000003-5602-4F8B-8ABB-96E33CFE038E}"/>
            </c:ext>
          </c:extLst>
        </c:ser>
        <c:dLbls>
          <c:showLegendKey val="0"/>
          <c:showVal val="0"/>
          <c:showCatName val="0"/>
          <c:showSerName val="0"/>
          <c:showPercent val="0"/>
          <c:showBubbleSize val="0"/>
        </c:dLbls>
        <c:smooth val="0"/>
        <c:axId val="131174784"/>
        <c:axId val="131164800"/>
      </c:lineChart>
      <c:valAx>
        <c:axId val="131164800"/>
        <c:scaling>
          <c:orientation val="minMax"/>
        </c:scaling>
        <c:delete val="0"/>
        <c:axPos val="l"/>
        <c:majorGridlines/>
        <c:title>
          <c:tx>
            <c:rich>
              <a:bodyPr/>
              <a:lstStyle/>
              <a:p>
                <a:pPr>
                  <a:defRPr/>
                </a:pPr>
                <a:r>
                  <a:rPr lang="en-AU"/>
                  <a:t>$/tonne</a:t>
                </a:r>
              </a:p>
            </c:rich>
          </c:tx>
          <c:overlay val="0"/>
        </c:title>
        <c:numFmt formatCode="#,##0" sourceLinked="0"/>
        <c:majorTickMark val="out"/>
        <c:minorTickMark val="none"/>
        <c:tickLblPos val="nextTo"/>
        <c:crossAx val="131174784"/>
        <c:crosses val="autoZero"/>
        <c:crossBetween val="between"/>
      </c:valAx>
      <c:catAx>
        <c:axId val="131174784"/>
        <c:scaling>
          <c:orientation val="minMax"/>
        </c:scaling>
        <c:delete val="0"/>
        <c:axPos val="b"/>
        <c:title>
          <c:tx>
            <c:rich>
              <a:bodyPr/>
              <a:lstStyle/>
              <a:p>
                <a:pPr>
                  <a:defRPr/>
                </a:pPr>
                <a:r>
                  <a:rPr lang="en-AU"/>
                  <a:t>Source:</a:t>
                </a:r>
                <a:r>
                  <a:rPr lang="en-AU" baseline="0"/>
                  <a:t> Argus Metals and TSI</a:t>
                </a:r>
                <a:endParaRPr lang="en-AU"/>
              </a:p>
            </c:rich>
          </c:tx>
          <c:layout>
            <c:manualLayout>
              <c:xMode val="edge"/>
              <c:yMode val="edge"/>
              <c:x val="1.058748730884026E-2"/>
              <c:y val="0.95356965921428494"/>
            </c:manualLayout>
          </c:layout>
          <c:overlay val="0"/>
        </c:title>
        <c:numFmt formatCode="General" sourceLinked="1"/>
        <c:majorTickMark val="out"/>
        <c:minorTickMark val="none"/>
        <c:tickLblPos val="nextTo"/>
        <c:crossAx val="131164800"/>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strRef>
          <c:f>'Iron Ore - Exports'!$W$1</c:f>
          <c:strCache>
            <c:ptCount val="1"/>
            <c:pt idx="0">
              <c:v>Western Australian Iron Ore Exports 2019
Total Value: $95,807,277,000</c:v>
            </c:pt>
          </c:strCache>
        </c:strRef>
      </c:tx>
      <c:overlay val="0"/>
    </c:title>
    <c:autoTitleDeleted val="0"/>
    <c:plotArea>
      <c:layout>
        <c:manualLayout>
          <c:layoutTarget val="inner"/>
          <c:xMode val="edge"/>
          <c:yMode val="edge"/>
          <c:x val="0.27751052581066477"/>
          <c:y val="0.21545783192195317"/>
          <c:w val="0.44497894837867047"/>
          <c:h val="0.66012207200515027"/>
        </c:manualLayout>
      </c:layout>
      <c:pieChart>
        <c:varyColors val="1"/>
        <c:ser>
          <c:idx val="0"/>
          <c:order val="0"/>
          <c:tx>
            <c:v>Exports</c:v>
          </c:tx>
          <c:dPt>
            <c:idx val="0"/>
            <c:bubble3D val="0"/>
            <c:extLst>
              <c:ext xmlns:c16="http://schemas.microsoft.com/office/drawing/2014/chart" uri="{C3380CC4-5D6E-409C-BE32-E72D297353CC}">
                <c16:uniqueId val="{00000000-0A70-4ACE-9B88-BBE6D33169FE}"/>
              </c:ext>
            </c:extLst>
          </c:dPt>
          <c:dPt>
            <c:idx val="1"/>
            <c:bubble3D val="0"/>
            <c:extLst>
              <c:ext xmlns:c16="http://schemas.microsoft.com/office/drawing/2014/chart" uri="{C3380CC4-5D6E-409C-BE32-E72D297353CC}">
                <c16:uniqueId val="{00000001-0A70-4ACE-9B88-BBE6D33169FE}"/>
              </c:ext>
            </c:extLst>
          </c:dPt>
          <c:dPt>
            <c:idx val="2"/>
            <c:bubble3D val="0"/>
            <c:extLst>
              <c:ext xmlns:c16="http://schemas.microsoft.com/office/drawing/2014/chart" uri="{C3380CC4-5D6E-409C-BE32-E72D297353CC}">
                <c16:uniqueId val="{00000002-0A70-4ACE-9B88-BBE6D33169FE}"/>
              </c:ext>
            </c:extLst>
          </c:dPt>
          <c:dPt>
            <c:idx val="3"/>
            <c:bubble3D val="0"/>
            <c:extLst>
              <c:ext xmlns:c16="http://schemas.microsoft.com/office/drawing/2014/chart" uri="{C3380CC4-5D6E-409C-BE32-E72D297353CC}">
                <c16:uniqueId val="{00000003-0A70-4ACE-9B88-BBE6D33169FE}"/>
              </c:ext>
            </c:extLst>
          </c:dPt>
          <c:dPt>
            <c:idx val="4"/>
            <c:bubble3D val="0"/>
            <c:extLst>
              <c:ext xmlns:c16="http://schemas.microsoft.com/office/drawing/2014/chart" uri="{C3380CC4-5D6E-409C-BE32-E72D297353CC}">
                <c16:uniqueId val="{00000004-0A70-4ACE-9B88-BBE6D33169FE}"/>
              </c:ext>
            </c:extLst>
          </c:dPt>
          <c:dPt>
            <c:idx val="5"/>
            <c:bubble3D val="0"/>
            <c:extLst>
              <c:ext xmlns:c16="http://schemas.microsoft.com/office/drawing/2014/chart" uri="{C3380CC4-5D6E-409C-BE32-E72D297353CC}">
                <c16:uniqueId val="{00000005-0A70-4ACE-9B88-BBE6D33169FE}"/>
              </c:ext>
            </c:extLst>
          </c:dPt>
          <c:dPt>
            <c:idx val="6"/>
            <c:bubble3D val="0"/>
            <c:extLst>
              <c:ext xmlns:c16="http://schemas.microsoft.com/office/drawing/2014/chart" uri="{C3380CC4-5D6E-409C-BE32-E72D297353CC}">
                <c16:uniqueId val="{00000006-0A70-4ACE-9B88-BBE6D33169FE}"/>
              </c:ext>
            </c:extLst>
          </c:dPt>
          <c:dPt>
            <c:idx val="7"/>
            <c:bubble3D val="0"/>
            <c:extLst>
              <c:ext xmlns:c16="http://schemas.microsoft.com/office/drawing/2014/chart" uri="{C3380CC4-5D6E-409C-BE32-E72D297353CC}">
                <c16:uniqueId val="{00000007-0A70-4ACE-9B88-BBE6D33169FE}"/>
              </c:ext>
            </c:extLst>
          </c:dPt>
          <c:dPt>
            <c:idx val="8"/>
            <c:bubble3D val="0"/>
            <c:extLst>
              <c:ext xmlns:c16="http://schemas.microsoft.com/office/drawing/2014/chart" uri="{C3380CC4-5D6E-409C-BE32-E72D297353CC}">
                <c16:uniqueId val="{00000008-0A70-4ACE-9B88-BBE6D33169FE}"/>
              </c:ext>
            </c:extLst>
          </c:dPt>
          <c:dPt>
            <c:idx val="9"/>
            <c:bubble3D val="0"/>
            <c:extLst>
              <c:ext xmlns:c16="http://schemas.microsoft.com/office/drawing/2014/chart" uri="{C3380CC4-5D6E-409C-BE32-E72D297353CC}">
                <c16:uniqueId val="{00000009-0A70-4ACE-9B88-BBE6D33169FE}"/>
              </c:ext>
            </c:extLst>
          </c:dPt>
          <c:dPt>
            <c:idx val="10"/>
            <c:bubble3D val="0"/>
            <c:extLst>
              <c:ext xmlns:c16="http://schemas.microsoft.com/office/drawing/2014/chart" uri="{C3380CC4-5D6E-409C-BE32-E72D297353CC}">
                <c16:uniqueId val="{0000000A-0A70-4ACE-9B88-BBE6D33169FE}"/>
              </c:ext>
            </c:extLst>
          </c:dPt>
          <c:dLbls>
            <c:dLbl>
              <c:idx val="0"/>
              <c:layout>
                <c:manualLayout>
                  <c:x val="-4.2493646958677085E-2"/>
                  <c:y val="-8.26878126083296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70-4ACE-9B88-BBE6D33169FE}"/>
                </c:ext>
              </c:extLst>
            </c:dLbl>
            <c:dLbl>
              <c:idx val="1"/>
              <c:layout>
                <c:manualLayout>
                  <c:x val="8.7484112180730988E-2"/>
                  <c:y val="-2.91338582677165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70-4ACE-9B88-BBE6D33169FE}"/>
                </c:ext>
              </c:extLst>
            </c:dLbl>
            <c:dLbl>
              <c:idx val="2"/>
              <c:layout>
                <c:manualLayout>
                  <c:x val="6.2585197518036789E-2"/>
                  <c:y val="-8.864210369930174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70-4ACE-9B88-BBE6D33169FE}"/>
                </c:ext>
              </c:extLst>
            </c:dLbl>
            <c:dLbl>
              <c:idx val="3"/>
              <c:layout>
                <c:manualLayout>
                  <c:x val="0.12380272815659568"/>
                  <c:y val="6.9875699499826675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70-4ACE-9B88-BBE6D33169FE}"/>
                </c:ext>
              </c:extLst>
            </c:dLbl>
            <c:dLbl>
              <c:idx val="4"/>
              <c:layout>
                <c:manualLayout>
                  <c:x val="9.1219241473988882E-2"/>
                  <c:y val="4.178799584014250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70-4ACE-9B88-BBE6D33169FE}"/>
                </c:ext>
              </c:extLst>
            </c:dLbl>
            <c:dLbl>
              <c:idx val="5"/>
              <c:layout>
                <c:manualLayout>
                  <c:x val="3.5420969835050276E-2"/>
                  <c:y val="7.77118308324667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70-4ACE-9B88-BBE6D33169F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'Iron Ore - Exports'!$A$10:$A$15</c:f>
              <c:strCache>
                <c:ptCount val="6"/>
                <c:pt idx="0">
                  <c:v>  China</c:v>
                </c:pt>
                <c:pt idx="1">
                  <c:v>  Japan</c:v>
                </c:pt>
                <c:pt idx="2">
                  <c:v>  Korea, Republic of</c:v>
                </c:pt>
                <c:pt idx="3">
                  <c:v>  Taiwan</c:v>
                </c:pt>
                <c:pt idx="4">
                  <c:v>  Viet Nam</c:v>
                </c:pt>
                <c:pt idx="5">
                  <c:v>Other</c:v>
                </c:pt>
              </c:strCache>
            </c:strRef>
          </c:cat>
          <c:val>
            <c:numRef>
              <c:f>'Iron Ore - Exports'!$D$10:$D$15</c:f>
              <c:numCache>
                <c:formatCode>0.0%</c:formatCode>
                <c:ptCount val="6"/>
                <c:pt idx="0">
                  <c:v>0.82164233725168911</c:v>
                </c:pt>
                <c:pt idx="1">
                  <c:v>7.4723478468133486E-2</c:v>
                </c:pt>
                <c:pt idx="2">
                  <c:v>6.2544434907590582E-2</c:v>
                </c:pt>
                <c:pt idx="3">
                  <c:v>1.975751800147707E-2</c:v>
                </c:pt>
                <c:pt idx="4">
                  <c:v>7.3960770224165747E-3</c:v>
                </c:pt>
                <c:pt idx="5">
                  <c:v>1.3936154348693159E-2</c:v>
                </c:pt>
              </c:numCache>
            </c:numRef>
          </c:val>
          <c:extLst>
            <c:ext xmlns:c16="http://schemas.microsoft.com/office/drawing/2014/chart" uri="{C3380CC4-5D6E-409C-BE32-E72D297353CC}">
              <c16:uniqueId val="{0000000B-0A70-4ACE-9B88-BBE6D33169FE}"/>
            </c:ext>
          </c:extLst>
        </c:ser>
        <c:dLbls>
          <c:showLegendKey val="0"/>
          <c:showVal val="1"/>
          <c:showCatName val="1"/>
          <c:showSerName val="0"/>
          <c:showPercent val="0"/>
          <c:showBubbleSize val="0"/>
          <c:showLeaderLines val="1"/>
        </c:dLbls>
        <c:firstSliceAng val="135"/>
      </c:pieChart>
    </c:plotArea>
    <c:plotVisOnly val="1"/>
    <c:dispBlanksAs val="gap"/>
    <c:showDLblsOverMax val="0"/>
  </c:chart>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br>
              <a:rPr lang="en-AU"/>
            </a:br>
            <a:r>
              <a:rPr lang="en-AU" sz="1100"/>
              <a:t>Western Australia vs Rest of Australia</a:t>
            </a:r>
          </a:p>
        </c:rich>
      </c:tx>
      <c:layout>
        <c:manualLayout>
          <c:xMode val="edge"/>
          <c:yMode val="edge"/>
          <c:x val="0.35468054820784511"/>
          <c:y val="3.7221056945985806E-2"/>
        </c:manualLayout>
      </c:layout>
      <c:overlay val="0"/>
    </c:title>
    <c:autoTitleDeleted val="0"/>
    <c:plotArea>
      <c:layout>
        <c:manualLayout>
          <c:layoutTarget val="inner"/>
          <c:xMode val="edge"/>
          <c:yMode val="edge"/>
          <c:x val="9.4604368327705232E-2"/>
          <c:y val="0.25900505993451844"/>
          <c:w val="0.85154134417309546"/>
          <c:h val="0.57949828045542451"/>
        </c:manualLayout>
      </c:layout>
      <c:barChart>
        <c:barDir val="col"/>
        <c:grouping val="stacked"/>
        <c:varyColors val="0"/>
        <c:ser>
          <c:idx val="0"/>
          <c:order val="0"/>
          <c:tx>
            <c:strRef>
              <c:f>'Iron Ore - WA vs Australia'!$B$6</c:f>
              <c:strCache>
                <c:ptCount val="1"/>
                <c:pt idx="0">
                  <c:v>Western Australia (Mt)</c:v>
                </c:pt>
              </c:strCache>
            </c:strRef>
          </c:tx>
          <c:invertIfNegative val="0"/>
          <c:cat>
            <c:numRef>
              <c:f>'Iron Ore - WA vs Australia'!$A$19:$A$76</c:f>
              <c:numCache>
                <c:formatCode>General</c:formatCode>
                <c:ptCount val="58"/>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pt idx="57">
                  <c:v>2019</c:v>
                </c:pt>
              </c:numCache>
            </c:numRef>
          </c:cat>
          <c:val>
            <c:numRef>
              <c:f>'Iron Ore - WA vs Australia'!$B$19:$B$76</c:f>
              <c:numCache>
                <c:formatCode>0.00</c:formatCode>
                <c:ptCount val="58"/>
                <c:pt idx="0">
                  <c:v>1.4537100000000001</c:v>
                </c:pt>
                <c:pt idx="1">
                  <c:v>1.35453</c:v>
                </c:pt>
                <c:pt idx="2">
                  <c:v>1.3795010000000001</c:v>
                </c:pt>
                <c:pt idx="3">
                  <c:v>2.2768980000000001</c:v>
                </c:pt>
                <c:pt idx="4">
                  <c:v>4.2331849999999998</c:v>
                </c:pt>
                <c:pt idx="5">
                  <c:v>10.13655</c:v>
                </c:pt>
                <c:pt idx="6">
                  <c:v>23.25123</c:v>
                </c:pt>
                <c:pt idx="7">
                  <c:v>25.077760000000001</c:v>
                </c:pt>
                <c:pt idx="8">
                  <c:v>43.188070000000003</c:v>
                </c:pt>
                <c:pt idx="9">
                  <c:v>52.025660000000002</c:v>
                </c:pt>
                <c:pt idx="10">
                  <c:v>56.121499999999997</c:v>
                </c:pt>
                <c:pt idx="11">
                  <c:v>75.896479999999997</c:v>
                </c:pt>
                <c:pt idx="12">
                  <c:v>87.000810000000001</c:v>
                </c:pt>
                <c:pt idx="13">
                  <c:v>85.190029999999993</c:v>
                </c:pt>
                <c:pt idx="14">
                  <c:v>85.572789999999998</c:v>
                </c:pt>
                <c:pt idx="15">
                  <c:v>83.517189999999999</c:v>
                </c:pt>
                <c:pt idx="16">
                  <c:v>82.498580000000004</c:v>
                </c:pt>
                <c:pt idx="17">
                  <c:v>85.171980000000005</c:v>
                </c:pt>
                <c:pt idx="18">
                  <c:v>84.971620000000001</c:v>
                </c:pt>
                <c:pt idx="19">
                  <c:v>75.302639999999997</c:v>
                </c:pt>
                <c:pt idx="20">
                  <c:v>78.182389999999998</c:v>
                </c:pt>
                <c:pt idx="21">
                  <c:v>74.983540000000005</c:v>
                </c:pt>
                <c:pt idx="22">
                  <c:v>90.907129999999995</c:v>
                </c:pt>
                <c:pt idx="23">
                  <c:v>88.768079999999998</c:v>
                </c:pt>
                <c:pt idx="24">
                  <c:v>81.290940000000006</c:v>
                </c:pt>
                <c:pt idx="25">
                  <c:v>89.122739999999993</c:v>
                </c:pt>
                <c:pt idx="26">
                  <c:v>98.319090000000003</c:v>
                </c:pt>
                <c:pt idx="27">
                  <c:v>106</c:v>
                </c:pt>
                <c:pt idx="28">
                  <c:v>105</c:v>
                </c:pt>
                <c:pt idx="29">
                  <c:v>113.687</c:v>
                </c:pt>
                <c:pt idx="30">
                  <c:v>108</c:v>
                </c:pt>
                <c:pt idx="31">
                  <c:v>116</c:v>
                </c:pt>
                <c:pt idx="32">
                  <c:v>124.172</c:v>
                </c:pt>
                <c:pt idx="33">
                  <c:v>135.9659</c:v>
                </c:pt>
                <c:pt idx="34">
                  <c:v>133.651298</c:v>
                </c:pt>
                <c:pt idx="35">
                  <c:v>151.718593</c:v>
                </c:pt>
                <c:pt idx="36">
                  <c:v>143.75200000000001</c:v>
                </c:pt>
                <c:pt idx="37">
                  <c:v>143.006</c:v>
                </c:pt>
                <c:pt idx="38">
                  <c:v>158.86599999999999</c:v>
                </c:pt>
                <c:pt idx="39">
                  <c:v>166.01499999999999</c:v>
                </c:pt>
                <c:pt idx="40">
                  <c:v>171.767</c:v>
                </c:pt>
                <c:pt idx="41">
                  <c:v>194.59400316</c:v>
                </c:pt>
                <c:pt idx="42">
                  <c:v>213.53162907000001</c:v>
                </c:pt>
                <c:pt idx="43">
                  <c:v>240.50167369000002</c:v>
                </c:pt>
                <c:pt idx="44">
                  <c:v>250.325766362</c:v>
                </c:pt>
                <c:pt idx="45">
                  <c:v>264.44915205099994</c:v>
                </c:pt>
                <c:pt idx="46">
                  <c:v>305.88447268200002</c:v>
                </c:pt>
                <c:pt idx="47">
                  <c:v>356.06964630899995</c:v>
                </c:pt>
                <c:pt idx="48">
                  <c:v>393.85115706600004</c:v>
                </c:pt>
                <c:pt idx="49">
                  <c:v>426.67287969500001</c:v>
                </c:pt>
                <c:pt idx="50">
                  <c:v>478.32621689000001</c:v>
                </c:pt>
                <c:pt idx="51">
                  <c:v>554.93783338100002</c:v>
                </c:pt>
                <c:pt idx="52">
                  <c:v>686.23425861200008</c:v>
                </c:pt>
                <c:pt idx="53">
                  <c:v>742.39410678800004</c:v>
                </c:pt>
                <c:pt idx="54">
                  <c:v>769.27752114500004</c:v>
                </c:pt>
                <c:pt idx="55">
                  <c:v>814.119534714</c:v>
                </c:pt>
                <c:pt idx="56">
                  <c:v>813.57782015700002</c:v>
                </c:pt>
                <c:pt idx="57">
                  <c:v>810.312792737</c:v>
                </c:pt>
              </c:numCache>
            </c:numRef>
          </c:val>
          <c:extLst>
            <c:ext xmlns:c16="http://schemas.microsoft.com/office/drawing/2014/chart" uri="{C3380CC4-5D6E-409C-BE32-E72D297353CC}">
              <c16:uniqueId val="{00000000-E376-493C-8972-340C0178EA88}"/>
            </c:ext>
          </c:extLst>
        </c:ser>
        <c:ser>
          <c:idx val="1"/>
          <c:order val="1"/>
          <c:tx>
            <c:strRef>
              <c:f>'Iron Ore - WA vs Australia'!$C$6</c:f>
              <c:strCache>
                <c:ptCount val="1"/>
                <c:pt idx="0">
                  <c:v>Rest of Australia (Mt)</c:v>
                </c:pt>
              </c:strCache>
            </c:strRef>
          </c:tx>
          <c:invertIfNegative val="0"/>
          <c:cat>
            <c:numRef>
              <c:f>'Iron Ore - WA vs Australia'!$A$19:$A$76</c:f>
              <c:numCache>
                <c:formatCode>General</c:formatCode>
                <c:ptCount val="58"/>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pt idx="57">
                  <c:v>2019</c:v>
                </c:pt>
              </c:numCache>
            </c:numRef>
          </c:cat>
          <c:val>
            <c:numRef>
              <c:f>'Iron Ore - WA vs Australia'!$C$19:$C$76</c:f>
              <c:numCache>
                <c:formatCode>0.00</c:formatCode>
                <c:ptCount val="58"/>
                <c:pt idx="0">
                  <c:v>3.593019</c:v>
                </c:pt>
                <c:pt idx="1">
                  <c:v>4.3329839999999997</c:v>
                </c:pt>
                <c:pt idx="2">
                  <c:v>4.4646119999999998</c:v>
                </c:pt>
                <c:pt idx="3">
                  <c:v>4.5258060000000002</c:v>
                </c:pt>
                <c:pt idx="4">
                  <c:v>6.8346090000000004</c:v>
                </c:pt>
                <c:pt idx="5">
                  <c:v>7.0214290000000004</c:v>
                </c:pt>
                <c:pt idx="6">
                  <c:v>3.3736510000000002</c:v>
                </c:pt>
                <c:pt idx="7">
                  <c:v>13.497769999999999</c:v>
                </c:pt>
                <c:pt idx="8">
                  <c:v>8.0000599999999995</c:v>
                </c:pt>
                <c:pt idx="9">
                  <c:v>10.037330000000001</c:v>
                </c:pt>
                <c:pt idx="10">
                  <c:v>8.2794930000000004</c:v>
                </c:pt>
                <c:pt idx="11">
                  <c:v>8.9315189999999998</c:v>
                </c:pt>
                <c:pt idx="12">
                  <c:v>9.9491879999999995</c:v>
                </c:pt>
                <c:pt idx="13">
                  <c:v>12.46097</c:v>
                </c:pt>
                <c:pt idx="14">
                  <c:v>7.682334</c:v>
                </c:pt>
                <c:pt idx="15">
                  <c:v>12.406219999999999</c:v>
                </c:pt>
                <c:pt idx="16">
                  <c:v>10.635450000000001</c:v>
                </c:pt>
                <c:pt idx="17">
                  <c:v>6.5450290000000004</c:v>
                </c:pt>
                <c:pt idx="18">
                  <c:v>10.562340000000001</c:v>
                </c:pt>
                <c:pt idx="19">
                  <c:v>9.358727</c:v>
                </c:pt>
                <c:pt idx="20">
                  <c:v>9.5113850000000006</c:v>
                </c:pt>
                <c:pt idx="21">
                  <c:v>6.0537559999999999</c:v>
                </c:pt>
                <c:pt idx="22">
                  <c:v>4.13896</c:v>
                </c:pt>
                <c:pt idx="23">
                  <c:v>8.7090270000000007</c:v>
                </c:pt>
                <c:pt idx="24">
                  <c:v>1.2723880000000001</c:v>
                </c:pt>
                <c:pt idx="25">
                  <c:v>1.25919</c:v>
                </c:pt>
                <c:pt idx="26">
                  <c:v>1.6129899999999999</c:v>
                </c:pt>
                <c:pt idx="27">
                  <c:v>4.5</c:v>
                </c:pt>
                <c:pt idx="28">
                  <c:v>6.3490000000000002</c:v>
                </c:pt>
                <c:pt idx="29">
                  <c:v>3.4470000000000001</c:v>
                </c:pt>
                <c:pt idx="30">
                  <c:v>3.9369999999999998</c:v>
                </c:pt>
                <c:pt idx="31">
                  <c:v>4.1459999999999999</c:v>
                </c:pt>
                <c:pt idx="32">
                  <c:v>4.2309999999999999</c:v>
                </c:pt>
                <c:pt idx="33">
                  <c:v>6.9700949999999997</c:v>
                </c:pt>
                <c:pt idx="34">
                  <c:v>4.2309999999999901</c:v>
                </c:pt>
                <c:pt idx="35">
                  <c:v>6.05</c:v>
                </c:pt>
                <c:pt idx="36">
                  <c:v>9.49</c:v>
                </c:pt>
                <c:pt idx="37">
                  <c:v>8.5527019999999823</c:v>
                </c:pt>
                <c:pt idx="38">
                  <c:v>4.9779999999999998</c:v>
                </c:pt>
                <c:pt idx="39">
                  <c:v>5.202</c:v>
                </c:pt>
                <c:pt idx="40">
                  <c:v>5.202</c:v>
                </c:pt>
                <c:pt idx="41">
                  <c:v>5.7729999999999997</c:v>
                </c:pt>
                <c:pt idx="42">
                  <c:v>5.6210000000000004</c:v>
                </c:pt>
                <c:pt idx="43">
                  <c:v>5.508</c:v>
                </c:pt>
                <c:pt idx="44">
                  <c:v>5.5949999999999998</c:v>
                </c:pt>
                <c:pt idx="45">
                  <c:v>9.2279999999999998</c:v>
                </c:pt>
                <c:pt idx="46">
                  <c:v>11.244000000000002</c:v>
                </c:pt>
                <c:pt idx="47">
                  <c:v>12.558</c:v>
                </c:pt>
                <c:pt idx="48">
                  <c:v>13.754</c:v>
                </c:pt>
                <c:pt idx="49">
                  <c:v>14.381</c:v>
                </c:pt>
                <c:pt idx="50">
                  <c:v>14.849</c:v>
                </c:pt>
                <c:pt idx="51">
                  <c:v>16.393000000000001</c:v>
                </c:pt>
                <c:pt idx="52">
                  <c:v>15.496</c:v>
                </c:pt>
                <c:pt idx="53">
                  <c:v>12.045</c:v>
                </c:pt>
                <c:pt idx="54">
                  <c:v>11.536</c:v>
                </c:pt>
                <c:pt idx="55">
                  <c:v>8.06</c:v>
                </c:pt>
                <c:pt idx="56">
                  <c:v>8.6999999999999993</c:v>
                </c:pt>
                <c:pt idx="57">
                  <c:v>8.6720000000000006</c:v>
                </c:pt>
              </c:numCache>
            </c:numRef>
          </c:val>
          <c:extLst>
            <c:ext xmlns:c16="http://schemas.microsoft.com/office/drawing/2014/chart" uri="{C3380CC4-5D6E-409C-BE32-E72D297353CC}">
              <c16:uniqueId val="{00000001-E376-493C-8972-340C0178EA88}"/>
            </c:ext>
          </c:extLst>
        </c:ser>
        <c:dLbls>
          <c:showLegendKey val="0"/>
          <c:showVal val="0"/>
          <c:showCatName val="0"/>
          <c:showSerName val="0"/>
          <c:showPercent val="0"/>
          <c:showBubbleSize val="0"/>
        </c:dLbls>
        <c:gapWidth val="60"/>
        <c:overlap val="100"/>
        <c:axId val="130864640"/>
        <c:axId val="130866176"/>
      </c:barChart>
      <c:catAx>
        <c:axId val="13086464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866176"/>
        <c:crosses val="autoZero"/>
        <c:auto val="1"/>
        <c:lblAlgn val="ctr"/>
        <c:lblOffset val="100"/>
        <c:noMultiLvlLbl val="0"/>
      </c:catAx>
      <c:valAx>
        <c:axId val="130866176"/>
        <c:scaling>
          <c:orientation val="minMax"/>
        </c:scaling>
        <c:delete val="0"/>
        <c:axPos val="l"/>
        <c:majorGridlines/>
        <c:title>
          <c:tx>
            <c:rich>
              <a:bodyPr rot="-5400000" vert="horz"/>
              <a:lstStyle/>
              <a:p>
                <a:pPr>
                  <a:defRPr/>
                </a:pPr>
                <a:r>
                  <a:rPr lang="en-AU"/>
                  <a:t>Million tonnes</a:t>
                </a:r>
              </a:p>
            </c:rich>
          </c:tx>
          <c:layout>
            <c:manualLayout>
              <c:xMode val="edge"/>
              <c:yMode val="edge"/>
              <c:x val="7.8266278894163262E-3"/>
              <c:y val="0.44912393375357934"/>
            </c:manualLayout>
          </c:layout>
          <c:overlay val="0"/>
        </c:title>
        <c:numFmt formatCode="0" sourceLinked="0"/>
        <c:majorTickMark val="out"/>
        <c:minorTickMark val="none"/>
        <c:tickLblPos val="nextTo"/>
        <c:txPr>
          <a:bodyPr rot="0" vert="horz"/>
          <a:lstStyle/>
          <a:p>
            <a:pPr>
              <a:defRPr/>
            </a:pPr>
            <a:endParaRPr lang="en-US"/>
          </a:p>
        </c:txPr>
        <c:crossAx val="130864640"/>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Western Australia vs Rest of Australia</a:t>
            </a:r>
          </a:p>
          <a:p>
            <a:pPr>
              <a:defRPr/>
            </a:pPr>
            <a:r>
              <a:rPr lang="en-AU" sz="1100"/>
              <a:t>Past 10 years</a:t>
            </a:r>
          </a:p>
        </c:rich>
      </c:tx>
      <c:layout>
        <c:manualLayout>
          <c:xMode val="edge"/>
          <c:yMode val="edge"/>
          <c:x val="0.35734434490875011"/>
          <c:y val="2.5012390438394004E-2"/>
        </c:manualLayout>
      </c:layout>
      <c:overlay val="0"/>
    </c:title>
    <c:autoTitleDeleted val="0"/>
    <c:plotArea>
      <c:layout>
        <c:manualLayout>
          <c:layoutTarget val="inner"/>
          <c:xMode val="edge"/>
          <c:yMode val="edge"/>
          <c:x val="0.11131812925752956"/>
          <c:y val="0.36321509432105931"/>
          <c:w val="0.86980156351108306"/>
          <c:h val="0.49130947564156646"/>
        </c:manualLayout>
      </c:layout>
      <c:lineChart>
        <c:grouping val="standard"/>
        <c:varyColors val="0"/>
        <c:ser>
          <c:idx val="0"/>
          <c:order val="0"/>
          <c:tx>
            <c:strRef>
              <c:f>'Iron Ore - WA vs Australia'!$F$47</c:f>
              <c:strCache>
                <c:ptCount val="1"/>
                <c:pt idx="0">
                  <c:v>Western Australia (Mt)</c:v>
                </c:pt>
              </c:strCache>
            </c:strRef>
          </c:tx>
          <c:cat>
            <c:numRef>
              <c:f>'Iron Ore - WA vs Australia'!$E$48:$E$57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'Iron Ore - WA vs Australia'!$F$48:$F$57</c:f>
              <c:numCache>
                <c:formatCode>0.00</c:formatCode>
                <c:ptCount val="10"/>
                <c:pt idx="0">
                  <c:v>393.85115706600004</c:v>
                </c:pt>
                <c:pt idx="1">
                  <c:v>426.67287969500001</c:v>
                </c:pt>
                <c:pt idx="2">
                  <c:v>478.32621689000001</c:v>
                </c:pt>
                <c:pt idx="3">
                  <c:v>554.93783338100002</c:v>
                </c:pt>
                <c:pt idx="4">
                  <c:v>686.23425861200008</c:v>
                </c:pt>
                <c:pt idx="5">
                  <c:v>742.39410678800004</c:v>
                </c:pt>
                <c:pt idx="6">
                  <c:v>769.27752114500004</c:v>
                </c:pt>
                <c:pt idx="7">
                  <c:v>814.119534714</c:v>
                </c:pt>
                <c:pt idx="8">
                  <c:v>813.57782015700002</c:v>
                </c:pt>
                <c:pt idx="9">
                  <c:v>810.312792737</c:v>
                </c:pt>
              </c:numCache>
            </c:numRef>
          </c:val>
          <c:smooth val="0"/>
          <c:extLst>
            <c:ext xmlns:c16="http://schemas.microsoft.com/office/drawing/2014/chart" uri="{C3380CC4-5D6E-409C-BE32-E72D297353CC}">
              <c16:uniqueId val="{00000000-61F0-469A-B468-30EBFCC42890}"/>
            </c:ext>
          </c:extLst>
        </c:ser>
        <c:ser>
          <c:idx val="1"/>
          <c:order val="1"/>
          <c:tx>
            <c:strRef>
              <c:f>'Iron Ore - WA vs Australia'!$G$47</c:f>
              <c:strCache>
                <c:ptCount val="1"/>
                <c:pt idx="0">
                  <c:v>Rest of Australia (Mt)</c:v>
                </c:pt>
              </c:strCache>
            </c:strRef>
          </c:tx>
          <c:cat>
            <c:numRef>
              <c:f>'Iron Ore - WA vs Australia'!$E$48:$E$57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'Iron Ore - WA vs Australia'!$G$48:$G$57</c:f>
              <c:numCache>
                <c:formatCode>0.00</c:formatCode>
                <c:ptCount val="10"/>
                <c:pt idx="0">
                  <c:v>13.754</c:v>
                </c:pt>
                <c:pt idx="1">
                  <c:v>14.381</c:v>
                </c:pt>
                <c:pt idx="2">
                  <c:v>14.849</c:v>
                </c:pt>
                <c:pt idx="3">
                  <c:v>16.393000000000001</c:v>
                </c:pt>
                <c:pt idx="4">
                  <c:v>15.496</c:v>
                </c:pt>
                <c:pt idx="5">
                  <c:v>12.045</c:v>
                </c:pt>
                <c:pt idx="6">
                  <c:v>11.536</c:v>
                </c:pt>
                <c:pt idx="7">
                  <c:v>8.06</c:v>
                </c:pt>
                <c:pt idx="8">
                  <c:v>8.6999999999999993</c:v>
                </c:pt>
                <c:pt idx="9">
                  <c:v>8.6720000000000006</c:v>
                </c:pt>
              </c:numCache>
            </c:numRef>
          </c:val>
          <c:smooth val="0"/>
          <c:extLst>
            <c:ext xmlns:c16="http://schemas.microsoft.com/office/drawing/2014/chart" uri="{C3380CC4-5D6E-409C-BE32-E72D297353CC}">
              <c16:uniqueId val="{00000001-61F0-469A-B468-30EBFCC42890}"/>
            </c:ext>
          </c:extLst>
        </c:ser>
        <c:dLbls>
          <c:showLegendKey val="0"/>
          <c:showVal val="0"/>
          <c:showCatName val="0"/>
          <c:showSerName val="0"/>
          <c:showPercent val="0"/>
          <c:showBubbleSize val="0"/>
        </c:dLbls>
        <c:marker val="1"/>
        <c:smooth val="0"/>
        <c:axId val="130907136"/>
        <c:axId val="130905600"/>
      </c:lineChart>
      <c:valAx>
        <c:axId val="130905600"/>
        <c:scaling>
          <c:orientation val="minMax"/>
        </c:scaling>
        <c:delete val="0"/>
        <c:axPos val="l"/>
        <c:majorGridlines/>
        <c:title>
          <c:tx>
            <c:rich>
              <a:bodyPr/>
              <a:lstStyle/>
              <a:p>
                <a:pPr>
                  <a:defRPr/>
                </a:pPr>
                <a:r>
                  <a:rPr lang="en-AU"/>
                  <a:t>Million tonnes</a:t>
                </a:r>
              </a:p>
            </c:rich>
          </c:tx>
          <c:layout>
            <c:manualLayout>
              <c:xMode val="edge"/>
              <c:yMode val="edge"/>
              <c:x val="2.6887341463533304E-2"/>
              <c:y val="0.4797125787238648"/>
            </c:manualLayout>
          </c:layout>
          <c:overlay val="0"/>
        </c:title>
        <c:numFmt formatCode="0" sourceLinked="0"/>
        <c:majorTickMark val="out"/>
        <c:minorTickMark val="none"/>
        <c:tickLblPos val="nextTo"/>
        <c:crossAx val="130907136"/>
        <c:crosses val="autoZero"/>
        <c:crossBetween val="between"/>
      </c:valAx>
      <c:catAx>
        <c:axId val="130907136"/>
        <c:scaling>
          <c:orientation val="minMax"/>
        </c:scaling>
        <c:delete val="0"/>
        <c:axPos val="b"/>
        <c:title>
          <c:tx>
            <c:rich>
              <a:bodyPr/>
              <a:lstStyle/>
              <a:p>
                <a:pPr>
                  <a:defRPr/>
                </a:pPr>
                <a:r>
                  <a:rPr lang="en-AU"/>
                  <a:t>Source:  DMIRS and OoCE</a:t>
                </a:r>
              </a:p>
            </c:rich>
          </c:tx>
          <c:layout>
            <c:manualLayout>
              <c:xMode val="edge"/>
              <c:yMode val="edge"/>
              <c:x val="2.8875922999701052E-3"/>
              <c:y val="0.94008193062092393"/>
            </c:manualLayout>
          </c:layout>
          <c:overlay val="0"/>
        </c:title>
        <c:numFmt formatCode="General" sourceLinked="1"/>
        <c:majorTickMark val="out"/>
        <c:minorTickMark val="none"/>
        <c:tickLblPos val="nextTo"/>
        <c:crossAx val="130905600"/>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barChart>
        <c:barDir val="col"/>
        <c:grouping val="clustered"/>
        <c:varyColors val="0"/>
        <c:ser>
          <c:idx val="0"/>
          <c:order val="0"/>
          <c:tx>
            <c:strRef>
              <c:f>'China Steel Prod &amp; Iron Ore CY'!$B$6</c:f>
              <c:strCache>
                <c:ptCount val="1"/>
                <c:pt idx="0">
                  <c:v>China Crude Steel Production, 000s t</c:v>
                </c:pt>
              </c:strCache>
            </c:strRef>
          </c:tx>
          <c:invertIfNegative val="0"/>
          <c:cat>
            <c:numRef>
              <c:extLst>
                <c:ext xmlns:c15="http://schemas.microsoft.com/office/drawing/2012/chart" uri="{02D57815-91ED-43cb-92C2-25804820EDAC}">
                  <c15:fullRef>
                    <c15:sqref>'China Steel Prod &amp; Iron Ore CY'!$A$7:$A$46</c15:sqref>
                  </c15:fullRef>
                </c:ext>
              </c:extLst>
              <c:f>'China Steel Prod &amp; Iron Ore CY'!$A$10:$A$46</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extLst>
                <c:ext xmlns:c15="http://schemas.microsoft.com/office/drawing/2012/chart" uri="{02D57815-91ED-43cb-92C2-25804820EDAC}">
                  <c15:fullRef>
                    <c15:sqref>'China Steel Prod &amp; Iron Ore CY'!$B$7:$B$46</c15:sqref>
                  </c15:fullRef>
                </c:ext>
              </c:extLst>
              <c:f>'China Steel Prod &amp; Iron Ore CY'!$B$10:$B$46</c:f>
              <c:numCache>
                <c:formatCode>#,##0</c:formatCode>
                <c:ptCount val="37"/>
                <c:pt idx="0">
                  <c:v>40021</c:v>
                </c:pt>
                <c:pt idx="1">
                  <c:v>43475</c:v>
                </c:pt>
                <c:pt idx="2">
                  <c:v>46794</c:v>
                </c:pt>
                <c:pt idx="3">
                  <c:v>52208</c:v>
                </c:pt>
                <c:pt idx="4">
                  <c:v>56280</c:v>
                </c:pt>
                <c:pt idx="5">
                  <c:v>59430</c:v>
                </c:pt>
                <c:pt idx="6">
                  <c:v>61587</c:v>
                </c:pt>
                <c:pt idx="7">
                  <c:v>66350</c:v>
                </c:pt>
                <c:pt idx="8">
                  <c:v>71000</c:v>
                </c:pt>
                <c:pt idx="9">
                  <c:v>80940</c:v>
                </c:pt>
                <c:pt idx="10">
                  <c:v>89560</c:v>
                </c:pt>
                <c:pt idx="11">
                  <c:v>92610</c:v>
                </c:pt>
                <c:pt idx="12">
                  <c:v>95360</c:v>
                </c:pt>
                <c:pt idx="13">
                  <c:v>101237</c:v>
                </c:pt>
                <c:pt idx="14">
                  <c:v>108911</c:v>
                </c:pt>
                <c:pt idx="15">
                  <c:v>114588</c:v>
                </c:pt>
                <c:pt idx="16">
                  <c:v>123954</c:v>
                </c:pt>
                <c:pt idx="17">
                  <c:v>128500</c:v>
                </c:pt>
                <c:pt idx="18">
                  <c:v>151634</c:v>
                </c:pt>
                <c:pt idx="19">
                  <c:v>182249</c:v>
                </c:pt>
                <c:pt idx="20">
                  <c:v>222336</c:v>
                </c:pt>
                <c:pt idx="21">
                  <c:v>272798</c:v>
                </c:pt>
                <c:pt idx="22">
                  <c:v>355790</c:v>
                </c:pt>
                <c:pt idx="23">
                  <c:v>421024</c:v>
                </c:pt>
                <c:pt idx="24">
                  <c:v>489712</c:v>
                </c:pt>
                <c:pt idx="25">
                  <c:v>512339</c:v>
                </c:pt>
                <c:pt idx="26">
                  <c:v>577070</c:v>
                </c:pt>
                <c:pt idx="27">
                  <c:v>638743</c:v>
                </c:pt>
                <c:pt idx="28">
                  <c:v>701968</c:v>
                </c:pt>
                <c:pt idx="29">
                  <c:v>731040</c:v>
                </c:pt>
                <c:pt idx="30">
                  <c:v>822000</c:v>
                </c:pt>
                <c:pt idx="31">
                  <c:v>822698</c:v>
                </c:pt>
                <c:pt idx="32">
                  <c:v>803800</c:v>
                </c:pt>
                <c:pt idx="33">
                  <c:v>808370</c:v>
                </c:pt>
                <c:pt idx="34">
                  <c:v>831852</c:v>
                </c:pt>
                <c:pt idx="35">
                  <c:v>920027</c:v>
                </c:pt>
                <c:pt idx="36">
                  <c:v>996342</c:v>
                </c:pt>
              </c:numCache>
            </c:numRef>
          </c:val>
          <c:extLst>
            <c:ext xmlns:c16="http://schemas.microsoft.com/office/drawing/2014/chart" uri="{C3380CC4-5D6E-409C-BE32-E72D297353CC}">
              <c16:uniqueId val="{00000000-CC32-422C-A07A-B645FAEAECF9}"/>
            </c:ext>
          </c:extLst>
        </c:ser>
        <c:ser>
          <c:idx val="1"/>
          <c:order val="1"/>
          <c:tx>
            <c:strRef>
              <c:f>'China Steel Prod &amp; Iron Ore CY'!$C$6</c:f>
              <c:strCache>
                <c:ptCount val="1"/>
                <c:pt idx="0">
                  <c:v>China Iron Ore Imports, 000s t</c:v>
                </c:pt>
              </c:strCache>
            </c:strRef>
          </c:tx>
          <c:invertIfNegative val="0"/>
          <c:cat>
            <c:numRef>
              <c:extLst>
                <c:ext xmlns:c15="http://schemas.microsoft.com/office/drawing/2012/chart" uri="{02D57815-91ED-43cb-92C2-25804820EDAC}">
                  <c15:fullRef>
                    <c15:sqref>'China Steel Prod &amp; Iron Ore CY'!$A$7:$A$46</c15:sqref>
                  </c15:fullRef>
                </c:ext>
              </c:extLst>
              <c:f>'China Steel Prod &amp; Iron Ore CY'!$A$10:$A$46</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extLst>
                <c:ext xmlns:c15="http://schemas.microsoft.com/office/drawing/2012/chart" uri="{02D57815-91ED-43cb-92C2-25804820EDAC}">
                  <c15:fullRef>
                    <c15:sqref>'China Steel Prod &amp; Iron Ore CY'!$C$7:$C$46</c15:sqref>
                  </c15:fullRef>
                </c:ext>
              </c:extLst>
              <c:f>'China Steel Prod &amp; Iron Ore CY'!$C$10:$C$46</c:f>
              <c:numCache>
                <c:formatCode>#,##0</c:formatCode>
                <c:ptCount val="37"/>
                <c:pt idx="0">
                  <c:v>4385</c:v>
                </c:pt>
                <c:pt idx="1">
                  <c:v>5970</c:v>
                </c:pt>
                <c:pt idx="2">
                  <c:v>10114</c:v>
                </c:pt>
                <c:pt idx="3">
                  <c:v>12005</c:v>
                </c:pt>
                <c:pt idx="4">
                  <c:v>12098</c:v>
                </c:pt>
                <c:pt idx="5">
                  <c:v>10756</c:v>
                </c:pt>
                <c:pt idx="6">
                  <c:v>12414</c:v>
                </c:pt>
                <c:pt idx="7">
                  <c:v>14191</c:v>
                </c:pt>
                <c:pt idx="8">
                  <c:v>19035</c:v>
                </c:pt>
                <c:pt idx="9">
                  <c:v>25172</c:v>
                </c:pt>
                <c:pt idx="10">
                  <c:v>33020</c:v>
                </c:pt>
                <c:pt idx="11">
                  <c:v>37343</c:v>
                </c:pt>
                <c:pt idx="12">
                  <c:v>41150</c:v>
                </c:pt>
                <c:pt idx="13">
                  <c:v>43874</c:v>
                </c:pt>
                <c:pt idx="14">
                  <c:v>55106</c:v>
                </c:pt>
                <c:pt idx="15">
                  <c:v>52030</c:v>
                </c:pt>
                <c:pt idx="16">
                  <c:v>55390</c:v>
                </c:pt>
                <c:pt idx="17">
                  <c:v>69990</c:v>
                </c:pt>
                <c:pt idx="18">
                  <c:v>92480</c:v>
                </c:pt>
                <c:pt idx="19">
                  <c:v>114599</c:v>
                </c:pt>
                <c:pt idx="20">
                  <c:v>148196</c:v>
                </c:pt>
                <c:pt idx="21">
                  <c:v>208089</c:v>
                </c:pt>
                <c:pt idx="22">
                  <c:v>275260</c:v>
                </c:pt>
                <c:pt idx="23">
                  <c:v>327311.821</c:v>
                </c:pt>
                <c:pt idx="24">
                  <c:v>383672</c:v>
                </c:pt>
                <c:pt idx="25">
                  <c:v>444134</c:v>
                </c:pt>
                <c:pt idx="26">
                  <c:v>628190</c:v>
                </c:pt>
                <c:pt idx="27">
                  <c:v>616354</c:v>
                </c:pt>
                <c:pt idx="28">
                  <c:v>686700</c:v>
                </c:pt>
                <c:pt idx="29">
                  <c:v>745493.19700000004</c:v>
                </c:pt>
                <c:pt idx="30">
                  <c:v>820115</c:v>
                </c:pt>
                <c:pt idx="31">
                  <c:v>933097</c:v>
                </c:pt>
                <c:pt idx="32">
                  <c:v>953320</c:v>
                </c:pt>
                <c:pt idx="33">
                  <c:v>1024722</c:v>
                </c:pt>
                <c:pt idx="34">
                  <c:v>1074689.9701640001</c:v>
                </c:pt>
                <c:pt idx="35">
                  <c:v>1063004.6196299999</c:v>
                </c:pt>
                <c:pt idx="36">
                  <c:v>1068949.0834240001</c:v>
                </c:pt>
              </c:numCache>
            </c:numRef>
          </c:val>
          <c:extLst>
            <c:ext xmlns:c16="http://schemas.microsoft.com/office/drawing/2014/chart" uri="{C3380CC4-5D6E-409C-BE32-E72D297353CC}">
              <c16:uniqueId val="{00000001-CC32-422C-A07A-B645FAEAECF9}"/>
            </c:ext>
          </c:extLst>
        </c:ser>
        <c:dLbls>
          <c:showLegendKey val="0"/>
          <c:showVal val="0"/>
          <c:showCatName val="0"/>
          <c:showSerName val="0"/>
          <c:showPercent val="0"/>
          <c:showBubbleSize val="0"/>
        </c:dLbls>
        <c:gapWidth val="150"/>
        <c:axId val="131028864"/>
        <c:axId val="131031040"/>
      </c:barChart>
      <c:catAx>
        <c:axId val="131028864"/>
        <c:scaling>
          <c:orientation val="minMax"/>
        </c:scaling>
        <c:delete val="0"/>
        <c:axPos val="b"/>
        <c:title>
          <c:tx>
            <c:rich>
              <a:bodyPr/>
              <a:lstStyle/>
              <a:p>
                <a:pPr>
                  <a:defRPr/>
                </a:pPr>
                <a:r>
                  <a:rPr lang="en-AU"/>
                  <a:t>Source: World Steel Association and China Customs</a:t>
                </a:r>
              </a:p>
            </c:rich>
          </c:tx>
          <c:layout>
            <c:manualLayout>
              <c:xMode val="edge"/>
              <c:yMode val="edge"/>
              <c:x val="4.6619739607250349E-3"/>
              <c:y val="0.94898058597806489"/>
            </c:manualLayout>
          </c:layout>
          <c:overlay val="0"/>
        </c:title>
        <c:numFmt formatCode="General" sourceLinked="1"/>
        <c:majorTickMark val="none"/>
        <c:minorTickMark val="none"/>
        <c:tickLblPos val="nextTo"/>
        <c:txPr>
          <a:bodyPr rot="-2700000"/>
          <a:lstStyle/>
          <a:p>
            <a:pPr>
              <a:defRPr/>
            </a:pPr>
            <a:endParaRPr lang="en-US"/>
          </a:p>
        </c:txPr>
        <c:crossAx val="131031040"/>
        <c:crosses val="autoZero"/>
        <c:auto val="1"/>
        <c:lblAlgn val="ctr"/>
        <c:lblOffset val="100"/>
        <c:noMultiLvlLbl val="0"/>
      </c:catAx>
      <c:valAx>
        <c:axId val="131031040"/>
        <c:scaling>
          <c:orientation val="minMax"/>
        </c:scaling>
        <c:delete val="0"/>
        <c:axPos val="l"/>
        <c:majorGridlines/>
        <c:title>
          <c:tx>
            <c:rich>
              <a:bodyPr rot="-5400000" vert="horz"/>
              <a:lstStyle/>
              <a:p>
                <a:pPr>
                  <a:defRPr/>
                </a:pPr>
                <a:r>
                  <a:rPr lang="en-AU"/>
                  <a:t>'000 Tonnes</a:t>
                </a:r>
              </a:p>
            </c:rich>
          </c:tx>
          <c:overlay val="0"/>
        </c:title>
        <c:numFmt formatCode="#,##0" sourceLinked="1"/>
        <c:majorTickMark val="out"/>
        <c:minorTickMark val="none"/>
        <c:tickLblPos val="nextTo"/>
        <c:spPr>
          <a:ln/>
        </c:spPr>
        <c:crossAx val="13102886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a:t>
            </a:r>
          </a:p>
        </c:rich>
      </c:tx>
      <c:overlay val="0"/>
    </c:title>
    <c:autoTitleDeleted val="0"/>
    <c:plotArea>
      <c:layout>
        <c:manualLayout>
          <c:layoutTarget val="inner"/>
          <c:xMode val="edge"/>
          <c:yMode val="edge"/>
          <c:x val="0.33502382265911029"/>
          <c:y val="0.12050674186818459"/>
          <c:w val="0.45564237591320195"/>
          <c:h val="0.73961800060352256"/>
        </c:manualLayout>
      </c:layout>
      <c:pieChart>
        <c:varyColors val="1"/>
        <c:ser>
          <c:idx val="0"/>
          <c:order val="0"/>
          <c:tx>
            <c:strRef>
              <c:f>'China Steel Prod &amp; Iron Ore CY'!$J$54</c:f>
              <c:strCache>
                <c:ptCount val="1"/>
                <c:pt idx="0">
                  <c:v>% Of Total by Volume</c:v>
                </c:pt>
              </c:strCache>
            </c:strRef>
          </c:tx>
          <c:dLbls>
            <c:dLbl>
              <c:idx val="0"/>
              <c:layout>
                <c:manualLayout>
                  <c:x val="0.17057010548840623"/>
                  <c:y val="-0.138958033471622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9C-474A-A573-05CD193537A8}"/>
                </c:ext>
              </c:extLst>
            </c:dLbl>
            <c:dLbl>
              <c:idx val="1"/>
              <c:layout>
                <c:manualLayout>
                  <c:x val="-0.12178658240968286"/>
                  <c:y val="9.292510892714092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9C-474A-A573-05CD193537A8}"/>
                </c:ext>
              </c:extLst>
            </c:dLbl>
            <c:dLbl>
              <c:idx val="2"/>
              <c:layout>
                <c:manualLayout>
                  <c:x val="2.3753581757694302E-2"/>
                  <c:y val="-3.559893102692188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9C-474A-A573-05CD193537A8}"/>
                </c:ext>
              </c:extLst>
            </c:dLbl>
            <c:dLbl>
              <c:idx val="3"/>
              <c:layout>
                <c:manualLayout>
                  <c:x val="6.4680141097012561E-2"/>
                  <c:y val="-5.302271459243772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9C-474A-A573-05CD193537A8}"/>
                </c:ext>
              </c:extLst>
            </c:dLbl>
            <c:dLbl>
              <c:idx val="4"/>
              <c:layout>
                <c:manualLayout>
                  <c:x val="9.6510356587592036E-2"/>
                  <c:y val="-4.417242509698694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9C-474A-A573-05CD193537A8}"/>
                </c:ext>
              </c:extLst>
            </c:dLbl>
            <c:dLbl>
              <c:idx val="5"/>
              <c:layout>
                <c:manualLayout>
                  <c:x val="0.10553441329387966"/>
                  <c:y val="-2.29384168170045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9C-474A-A573-05CD193537A8}"/>
                </c:ext>
              </c:extLst>
            </c:dLbl>
            <c:dLbl>
              <c:idx val="6"/>
              <c:layout>
                <c:manualLayout>
                  <c:x val="0.10660347392881622"/>
                  <c:y val="-2.6303163717438546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9C-474A-A573-05CD193537A8}"/>
                </c:ext>
              </c:extLst>
            </c:dLbl>
            <c:dLbl>
              <c:idx val="7"/>
              <c:layout>
                <c:manualLayout>
                  <c:x val="8.5089656786532131E-2"/>
                  <c:y val="3.427791129086521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9C-474A-A573-05CD193537A8}"/>
                </c:ext>
              </c:extLst>
            </c:dLbl>
            <c:dLbl>
              <c:idx val="8"/>
              <c:layout>
                <c:manualLayout>
                  <c:x val="4.1099754250463791E-2"/>
                  <c:y val="7.371746025543332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9C-474A-A573-05CD193537A8}"/>
                </c:ext>
              </c:extLst>
            </c:dLbl>
            <c:dLbl>
              <c:idx val="9"/>
              <c:layout>
                <c:manualLayout>
                  <c:x val="3.7512412859220623E-3"/>
                  <c:y val="0.1110685605986596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9C-474A-A573-05CD193537A8}"/>
                </c:ext>
              </c:extLst>
            </c:dLbl>
            <c:dLbl>
              <c:idx val="10"/>
              <c:layout>
                <c:manualLayout>
                  <c:x val="-0.1206475751040674"/>
                  <c:y val="0.1045900279834747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9C-474A-A573-05CD193537A8}"/>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'China Steel Prod &amp; Iron Ore CY'!$E$55:$E$65</c:f>
              <c:strCache>
                <c:ptCount val="11"/>
                <c:pt idx="0">
                  <c:v>Australia</c:v>
                </c:pt>
                <c:pt idx="1">
                  <c:v>Brazil</c:v>
                </c:pt>
                <c:pt idx="2">
                  <c:v>South Africa</c:v>
                </c:pt>
                <c:pt idx="3">
                  <c:v>India</c:v>
                </c:pt>
                <c:pt idx="4">
                  <c:v>Peru</c:v>
                </c:pt>
                <c:pt idx="5">
                  <c:v>Ukraine</c:v>
                </c:pt>
                <c:pt idx="6">
                  <c:v>Iran</c:v>
                </c:pt>
                <c:pt idx="7">
                  <c:v>Canada</c:v>
                </c:pt>
                <c:pt idx="8">
                  <c:v>Russian Federation</c:v>
                </c:pt>
                <c:pt idx="9">
                  <c:v>Mongolia</c:v>
                </c:pt>
                <c:pt idx="10">
                  <c:v>All Others</c:v>
                </c:pt>
              </c:strCache>
            </c:strRef>
          </c:cat>
          <c:val>
            <c:numRef>
              <c:f>'China Steel Prod &amp; Iron Ore CY'!$J$55:$J$65</c:f>
              <c:numCache>
                <c:formatCode>0.0%</c:formatCode>
                <c:ptCount val="11"/>
                <c:pt idx="0">
                  <c:v>0.62172460160109211</c:v>
                </c:pt>
                <c:pt idx="1">
                  <c:v>0.21290540182097961</c:v>
                </c:pt>
                <c:pt idx="2">
                  <c:v>4.0104559699944996E-2</c:v>
                </c:pt>
                <c:pt idx="3">
                  <c:v>2.227020260289287E-2</c:v>
                </c:pt>
                <c:pt idx="4">
                  <c:v>1.402275216330009E-2</c:v>
                </c:pt>
                <c:pt idx="5">
                  <c:v>1.3044752051907881E-2</c:v>
                </c:pt>
                <c:pt idx="6">
                  <c:v>1.1902929417258235E-2</c:v>
                </c:pt>
                <c:pt idx="7">
                  <c:v>1.0583520050918746E-2</c:v>
                </c:pt>
                <c:pt idx="8">
                  <c:v>7.8590163265970982E-3</c:v>
                </c:pt>
                <c:pt idx="9">
                  <c:v>7.7710633273787213E-3</c:v>
                </c:pt>
                <c:pt idx="10">
                  <c:v>3.7811200937729703E-2</c:v>
                </c:pt>
              </c:numCache>
            </c:numRef>
          </c:val>
          <c:extLst>
            <c:ext xmlns:c16="http://schemas.microsoft.com/office/drawing/2014/chart" uri="{C3380CC4-5D6E-409C-BE32-E72D297353CC}">
              <c16:uniqueId val="{00000000-DF19-46EB-8FD2-3E7DAF11D8A8}"/>
            </c:ext>
          </c:extLst>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sz="1100"/>
              <a:t>Avg Price (US$/t)</a:t>
            </a:r>
          </a:p>
        </c:rich>
      </c:tx>
      <c:overlay val="0"/>
    </c:title>
    <c:autoTitleDeleted val="0"/>
    <c:plotArea>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'China Steel Prod &amp; Iron Ore CY'!$E$55:$E$65</c:f>
              <c:strCache>
                <c:ptCount val="11"/>
                <c:pt idx="0">
                  <c:v>Australia</c:v>
                </c:pt>
                <c:pt idx="1">
                  <c:v>Brazil</c:v>
                </c:pt>
                <c:pt idx="2">
                  <c:v>South Africa</c:v>
                </c:pt>
                <c:pt idx="3">
                  <c:v>India</c:v>
                </c:pt>
                <c:pt idx="4">
                  <c:v>Peru</c:v>
                </c:pt>
                <c:pt idx="5">
                  <c:v>Ukraine</c:v>
                </c:pt>
                <c:pt idx="6">
                  <c:v>Iran</c:v>
                </c:pt>
                <c:pt idx="7">
                  <c:v>Canada</c:v>
                </c:pt>
                <c:pt idx="8">
                  <c:v>Russian Federation</c:v>
                </c:pt>
                <c:pt idx="9">
                  <c:v>Mongolia</c:v>
                </c:pt>
                <c:pt idx="10">
                  <c:v>All Others</c:v>
                </c:pt>
              </c:strCache>
            </c:strRef>
          </c:cat>
          <c:val>
            <c:numRef>
              <c:f>'China Steel Prod &amp; Iron Ore CY'!$I$55:$I$65</c:f>
              <c:numCache>
                <c:formatCode>"$"#,##0</c:formatCode>
                <c:ptCount val="11"/>
                <c:pt idx="0">
                  <c:v>93.539971680994753</c:v>
                </c:pt>
                <c:pt idx="1">
                  <c:v>97.835499782187711</c:v>
                </c:pt>
                <c:pt idx="2">
                  <c:v>102.34243928668016</c:v>
                </c:pt>
                <c:pt idx="3">
                  <c:v>94.251326249592296</c:v>
                </c:pt>
                <c:pt idx="4">
                  <c:v>98.470600429936141</c:v>
                </c:pt>
                <c:pt idx="5">
                  <c:v>113.68575580938746</c:v>
                </c:pt>
                <c:pt idx="6">
                  <c:v>102.20250869474407</c:v>
                </c:pt>
                <c:pt idx="7">
                  <c:v>111.27014283582594</c:v>
                </c:pt>
                <c:pt idx="8">
                  <c:v>98.273087843478024</c:v>
                </c:pt>
                <c:pt idx="9">
                  <c:v>51.30455987969335</c:v>
                </c:pt>
                <c:pt idx="10">
                  <c:v>85.585862751605347</c:v>
                </c:pt>
              </c:numCache>
            </c:numRef>
          </c:val>
          <c:extLst>
            <c:ext xmlns:c16="http://schemas.microsoft.com/office/drawing/2014/chart" uri="{C3380CC4-5D6E-409C-BE32-E72D297353CC}">
              <c16:uniqueId val="{00000000-7C26-4E3A-8E3F-7F883F8B0C1B}"/>
            </c:ext>
          </c:extLst>
        </c:ser>
        <c:dLbls>
          <c:dLblPos val="outEnd"/>
          <c:showLegendKey val="0"/>
          <c:showVal val="1"/>
          <c:showCatName val="0"/>
          <c:showSerName val="0"/>
          <c:showPercent val="0"/>
          <c:showBubbleSize val="0"/>
        </c:dLbls>
        <c:gapWidth val="150"/>
        <c:axId val="131070592"/>
        <c:axId val="133719552"/>
      </c:barChart>
      <c:catAx>
        <c:axId val="131070592"/>
        <c:scaling>
          <c:orientation val="minMax"/>
        </c:scaling>
        <c:delete val="0"/>
        <c:axPos val="b"/>
        <c:numFmt formatCode="General" sourceLinked="0"/>
        <c:majorTickMark val="out"/>
        <c:minorTickMark val="none"/>
        <c:tickLblPos val="nextTo"/>
        <c:txPr>
          <a:bodyPr rot="-2700000"/>
          <a:lstStyle/>
          <a:p>
            <a:pPr>
              <a:defRPr sz="800"/>
            </a:pPr>
            <a:endParaRPr lang="en-US"/>
          </a:p>
        </c:txPr>
        <c:crossAx val="133719552"/>
        <c:crosses val="autoZero"/>
        <c:auto val="1"/>
        <c:lblAlgn val="ctr"/>
        <c:lblOffset val="100"/>
        <c:tickLblSkip val="1"/>
        <c:noMultiLvlLbl val="0"/>
      </c:catAx>
      <c:valAx>
        <c:axId val="133719552"/>
        <c:scaling>
          <c:orientation val="minMax"/>
          <c:max val="120"/>
          <c:min val="40"/>
        </c:scaling>
        <c:delete val="0"/>
        <c:axPos val="l"/>
        <c:numFmt formatCode="&quot;$&quot;#,##0" sourceLinked="1"/>
        <c:majorTickMark val="out"/>
        <c:minorTickMark val="none"/>
        <c:tickLblPos val="nextTo"/>
        <c:crossAx val="13107059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manualLayout>
          <c:layoutTarget val="inner"/>
          <c:xMode val="edge"/>
          <c:yMode val="edge"/>
          <c:x val="0.12458533988262241"/>
          <c:y val="0.19859131640668673"/>
          <c:w val="0.85289757410692135"/>
          <c:h val="0.59249617671710575"/>
        </c:manualLayout>
      </c:layout>
      <c:barChart>
        <c:barDir val="col"/>
        <c:grouping val="clustered"/>
        <c:varyColors val="0"/>
        <c:ser>
          <c:idx val="0"/>
          <c:order val="0"/>
          <c:tx>
            <c:strRef>
              <c:f>'China Steel Prod &amp; Iron Ore FY'!$B$6</c:f>
              <c:strCache>
                <c:ptCount val="1"/>
                <c:pt idx="0">
                  <c:v>China Crude Steel Production, 000s t</c:v>
                </c:pt>
              </c:strCache>
            </c:strRef>
          </c:tx>
          <c:invertIfNegative val="0"/>
          <c:cat>
            <c:strRef>
              <c:f>'China Steel Prod &amp; Iron Ore FY'!$A$7:$A$35</c:f>
              <c:strCache>
                <c:ptCount val="29"/>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pt idx="28">
                  <c:v>2018-19</c:v>
                </c:pt>
              </c:strCache>
            </c:strRef>
          </c:cat>
          <c:val>
            <c:numRef>
              <c:f>'China Steel Prod &amp; Iron Ore FY'!$B$7:$B$35</c:f>
              <c:numCache>
                <c:formatCode>#,##0</c:formatCode>
                <c:ptCount val="29"/>
                <c:pt idx="0">
                  <c:v>68599</c:v>
                </c:pt>
                <c:pt idx="1">
                  <c:v>75768</c:v>
                </c:pt>
                <c:pt idx="2">
                  <c:v>85059</c:v>
                </c:pt>
                <c:pt idx="3">
                  <c:v>92194</c:v>
                </c:pt>
                <c:pt idx="4">
                  <c:v>93482</c:v>
                </c:pt>
                <c:pt idx="5">
                  <c:v>95740</c:v>
                </c:pt>
                <c:pt idx="6">
                  <c:v>103514</c:v>
                </c:pt>
                <c:pt idx="7">
                  <c:v>110778</c:v>
                </c:pt>
                <c:pt idx="8">
                  <c:v>118218</c:v>
                </c:pt>
                <c:pt idx="9">
                  <c:v>125495</c:v>
                </c:pt>
                <c:pt idx="10">
                  <c:v>133533</c:v>
                </c:pt>
                <c:pt idx="11">
                  <c:v>162240</c:v>
                </c:pt>
                <c:pt idx="12">
                  <c:v>197475</c:v>
                </c:pt>
                <c:pt idx="13">
                  <c:v>245395</c:v>
                </c:pt>
                <c:pt idx="14">
                  <c:v>317055</c:v>
                </c:pt>
                <c:pt idx="15">
                  <c:v>386601</c:v>
                </c:pt>
                <c:pt idx="16">
                  <c:v>464094</c:v>
                </c:pt>
                <c:pt idx="17">
                  <c:v>515959</c:v>
                </c:pt>
                <c:pt idx="18">
                  <c:v>502098</c:v>
                </c:pt>
                <c:pt idx="19">
                  <c:v>622958</c:v>
                </c:pt>
                <c:pt idx="20">
                  <c:v>656143</c:v>
                </c:pt>
                <c:pt idx="21">
                  <c:v>687691</c:v>
                </c:pt>
                <c:pt idx="22">
                  <c:v>752285</c:v>
                </c:pt>
                <c:pt idx="23">
                  <c:v>814148</c:v>
                </c:pt>
                <c:pt idx="24">
                  <c:v>814817</c:v>
                </c:pt>
                <c:pt idx="25">
                  <c:v>793820</c:v>
                </c:pt>
                <c:pt idx="26">
                  <c:v>824621.35867446393</c:v>
                </c:pt>
                <c:pt idx="27">
                  <c:v>872113.3</c:v>
                </c:pt>
                <c:pt idx="28">
                  <c:v>968251.5</c:v>
                </c:pt>
              </c:numCache>
            </c:numRef>
          </c:val>
          <c:extLst>
            <c:ext xmlns:c16="http://schemas.microsoft.com/office/drawing/2014/chart" uri="{C3380CC4-5D6E-409C-BE32-E72D297353CC}">
              <c16:uniqueId val="{00000000-16DD-4CD9-AB89-D523BEB7F3E4}"/>
            </c:ext>
          </c:extLst>
        </c:ser>
        <c:ser>
          <c:idx val="1"/>
          <c:order val="1"/>
          <c:tx>
            <c:strRef>
              <c:f>'China Steel Prod &amp; Iron Ore FY'!$C$6</c:f>
              <c:strCache>
                <c:ptCount val="1"/>
                <c:pt idx="0">
                  <c:v>China Iron Ore Imports, 000s t</c:v>
                </c:pt>
              </c:strCache>
            </c:strRef>
          </c:tx>
          <c:invertIfNegative val="0"/>
          <c:cat>
            <c:strRef>
              <c:f>'China Steel Prod &amp; Iron Ore FY'!$A$7:$A$35</c:f>
              <c:strCache>
                <c:ptCount val="29"/>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pt idx="28">
                  <c:v>2018-19</c:v>
                </c:pt>
              </c:strCache>
            </c:strRef>
          </c:cat>
          <c:val>
            <c:numRef>
              <c:f>'China Steel Prod &amp; Iron Ore FY'!$C$7:$C$35</c:f>
              <c:numCache>
                <c:formatCode>#,##0</c:formatCode>
                <c:ptCount val="29"/>
                <c:pt idx="7">
                  <c:v>57166</c:v>
                </c:pt>
                <c:pt idx="8">
                  <c:v>51360</c:v>
                </c:pt>
                <c:pt idx="9">
                  <c:v>65820</c:v>
                </c:pt>
                <c:pt idx="10">
                  <c:v>77830</c:v>
                </c:pt>
                <c:pt idx="11">
                  <c:v>101486</c:v>
                </c:pt>
                <c:pt idx="12">
                  <c:v>136012</c:v>
                </c:pt>
                <c:pt idx="13">
                  <c:v>173468.54</c:v>
                </c:pt>
                <c:pt idx="14">
                  <c:v>241353.51899999997</c:v>
                </c:pt>
                <c:pt idx="15">
                  <c:v>305706.255</c:v>
                </c:pt>
                <c:pt idx="16">
                  <c:v>353941.50699999998</c:v>
                </c:pt>
                <c:pt idx="17">
                  <c:v>425804</c:v>
                </c:pt>
                <c:pt idx="18">
                  <c:v>511080</c:v>
                </c:pt>
                <c:pt idx="19">
                  <c:v>640420</c:v>
                </c:pt>
                <c:pt idx="20">
                  <c:v>641204</c:v>
                </c:pt>
                <c:pt idx="21">
                  <c:v>719450</c:v>
                </c:pt>
                <c:pt idx="22">
                  <c:v>762985.19699999993</c:v>
                </c:pt>
                <c:pt idx="23">
                  <c:v>892986</c:v>
                </c:pt>
                <c:pt idx="24">
                  <c:v>928784</c:v>
                </c:pt>
                <c:pt idx="25">
                  <c:v>994144</c:v>
                </c:pt>
                <c:pt idx="26">
                  <c:v>1069907.3536100001</c:v>
                </c:pt>
                <c:pt idx="27">
                  <c:v>1064958.34779</c:v>
                </c:pt>
                <c:pt idx="28">
                  <c:v>1032526.294388</c:v>
                </c:pt>
              </c:numCache>
            </c:numRef>
          </c:val>
          <c:extLst>
            <c:ext xmlns:c16="http://schemas.microsoft.com/office/drawing/2014/chart" uri="{C3380CC4-5D6E-409C-BE32-E72D297353CC}">
              <c16:uniqueId val="{00000001-16DD-4CD9-AB89-D523BEB7F3E4}"/>
            </c:ext>
          </c:extLst>
        </c:ser>
        <c:dLbls>
          <c:showLegendKey val="0"/>
          <c:showVal val="0"/>
          <c:showCatName val="0"/>
          <c:showSerName val="0"/>
          <c:showPercent val="0"/>
          <c:showBubbleSize val="0"/>
        </c:dLbls>
        <c:gapWidth val="150"/>
        <c:axId val="134513024"/>
        <c:axId val="134514944"/>
      </c:barChart>
      <c:catAx>
        <c:axId val="134513024"/>
        <c:scaling>
          <c:orientation val="minMax"/>
        </c:scaling>
        <c:delete val="0"/>
        <c:axPos val="b"/>
        <c:title>
          <c:tx>
            <c:rich>
              <a:bodyPr/>
              <a:lstStyle/>
              <a:p>
                <a:pPr>
                  <a:defRPr/>
                </a:pPr>
                <a:r>
                  <a:rPr lang="en-AU"/>
                  <a:t>Source: World Steel Association and China Customs</a:t>
                </a:r>
              </a:p>
            </c:rich>
          </c:tx>
          <c:layout>
            <c:manualLayout>
              <c:xMode val="edge"/>
              <c:yMode val="edge"/>
              <c:x val="4.6619739607250349E-3"/>
              <c:y val="0.94268385162811474"/>
            </c:manualLayout>
          </c:layout>
          <c:overlay val="0"/>
        </c:title>
        <c:numFmt formatCode="General" sourceLinked="1"/>
        <c:majorTickMark val="none"/>
        <c:minorTickMark val="none"/>
        <c:tickLblPos val="nextTo"/>
        <c:crossAx val="134514944"/>
        <c:crosses val="autoZero"/>
        <c:auto val="1"/>
        <c:lblAlgn val="ctr"/>
        <c:lblOffset val="100"/>
        <c:noMultiLvlLbl val="0"/>
      </c:catAx>
      <c:valAx>
        <c:axId val="134514944"/>
        <c:scaling>
          <c:orientation val="minMax"/>
        </c:scaling>
        <c:delete val="0"/>
        <c:axPos val="l"/>
        <c:majorGridlines/>
        <c:title>
          <c:tx>
            <c:rich>
              <a:bodyPr rot="-5400000" vert="horz"/>
              <a:lstStyle/>
              <a:p>
                <a:pPr>
                  <a:defRPr/>
                </a:pPr>
                <a:r>
                  <a:rPr lang="en-AU"/>
                  <a:t>'000 Tonnes</a:t>
                </a:r>
              </a:p>
            </c:rich>
          </c:tx>
          <c:overlay val="0"/>
        </c:title>
        <c:numFmt formatCode="#,##0" sourceLinked="1"/>
        <c:majorTickMark val="none"/>
        <c:minorTickMark val="none"/>
        <c:tickLblPos val="nextTo"/>
        <c:crossAx val="13451302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a:t>
            </a:r>
          </a:p>
        </c:rich>
      </c:tx>
      <c:overlay val="0"/>
    </c:title>
    <c:autoTitleDeleted val="0"/>
    <c:plotArea>
      <c:layout>
        <c:manualLayout>
          <c:layoutTarget val="inner"/>
          <c:xMode val="edge"/>
          <c:yMode val="edge"/>
          <c:x val="0.34879769965060098"/>
          <c:y val="0.12866218714337282"/>
          <c:w val="0.47904990220171523"/>
          <c:h val="0.74525202780092437"/>
        </c:manualLayout>
      </c:layout>
      <c:pieChart>
        <c:varyColors val="1"/>
        <c:ser>
          <c:idx val="0"/>
          <c:order val="0"/>
          <c:tx>
            <c:strRef>
              <c:f>'China Steel Prod &amp; Iron Ore FY'!$J$55</c:f>
              <c:strCache>
                <c:ptCount val="1"/>
                <c:pt idx="0">
                  <c:v>% Of Total by Volume</c:v>
                </c:pt>
              </c:strCache>
            </c:strRef>
          </c:tx>
          <c:dLbls>
            <c:dLbl>
              <c:idx val="0"/>
              <c:layout>
                <c:manualLayout>
                  <c:x val="0.17784629787518599"/>
                  <c:y val="-0.1363029680742938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1D-4C45-B7BA-4FE24B2608A7}"/>
                </c:ext>
              </c:extLst>
            </c:dLbl>
            <c:dLbl>
              <c:idx val="1"/>
              <c:layout>
                <c:manualLayout>
                  <c:x val="-0.13085771603390339"/>
                  <c:y val="0.1251805177147149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1D-4C45-B7BA-4FE24B2608A7}"/>
                </c:ext>
              </c:extLst>
            </c:dLbl>
            <c:dLbl>
              <c:idx val="3"/>
              <c:layout>
                <c:manualLayout>
                  <c:x val="4.6275540398214556E-2"/>
                  <c:y val="-7.767634872038141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1D-4C45-B7BA-4FE24B2608A7}"/>
                </c:ext>
              </c:extLst>
            </c:dLbl>
            <c:dLbl>
              <c:idx val="4"/>
              <c:layout>
                <c:manualLayout>
                  <c:x val="5.9361318688667099E-2"/>
                  <c:y val="-5.451869051445858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1D-4C45-B7BA-4FE24B2608A7}"/>
                </c:ext>
              </c:extLst>
            </c:dLbl>
            <c:dLbl>
              <c:idx val="5"/>
              <c:layout>
                <c:manualLayout>
                  <c:x val="6.7439089222127491E-2"/>
                  <c:y val="-3.704605295325004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1D-4C45-B7BA-4FE24B2608A7}"/>
                </c:ext>
              </c:extLst>
            </c:dLbl>
            <c:dLbl>
              <c:idx val="6"/>
              <c:layout>
                <c:manualLayout>
                  <c:x val="7.6547068559105272E-2"/>
                  <c:y val="-5.0030012598009082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1D-4C45-B7BA-4FE24B2608A7}"/>
                </c:ext>
              </c:extLst>
            </c:dLbl>
            <c:dLbl>
              <c:idx val="7"/>
              <c:layout>
                <c:manualLayout>
                  <c:x val="4.7881104033970279E-2"/>
                  <c:y val="1.517732399977945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1D-4C45-B7BA-4FE24B2608A7}"/>
                </c:ext>
              </c:extLst>
            </c:dLbl>
            <c:dLbl>
              <c:idx val="8"/>
              <c:layout>
                <c:manualLayout>
                  <c:x val="3.7857866492803052E-2"/>
                  <c:y val="4.061469129676269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1D-4C45-B7BA-4FE24B2608A7}"/>
                </c:ext>
              </c:extLst>
            </c:dLbl>
            <c:dLbl>
              <c:idx val="10"/>
              <c:layout>
                <c:manualLayout>
                  <c:x val="-9.867877024926025E-2"/>
                  <c:y val="8.970697925541709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1D-4C45-B7BA-4FE24B2608A7}"/>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'China Steel Prod &amp; Iron Ore FY'!$E$56:$E$66</c:f>
              <c:strCache>
                <c:ptCount val="11"/>
                <c:pt idx="0">
                  <c:v>Australia</c:v>
                </c:pt>
                <c:pt idx="1">
                  <c:v>Brazil</c:v>
                </c:pt>
                <c:pt idx="2">
                  <c:v>South Africa</c:v>
                </c:pt>
                <c:pt idx="3">
                  <c:v>Peru</c:v>
                </c:pt>
                <c:pt idx="4">
                  <c:v>India</c:v>
                </c:pt>
                <c:pt idx="5">
                  <c:v>Iran</c:v>
                </c:pt>
                <c:pt idx="6">
                  <c:v>Ukraine</c:v>
                </c:pt>
                <c:pt idx="7">
                  <c:v>Canada</c:v>
                </c:pt>
                <c:pt idx="8">
                  <c:v>Chile</c:v>
                </c:pt>
                <c:pt idx="9">
                  <c:v>Mongolia</c:v>
                </c:pt>
                <c:pt idx="10">
                  <c:v>All Others</c:v>
                </c:pt>
              </c:strCache>
            </c:strRef>
          </c:cat>
          <c:val>
            <c:numRef>
              <c:f>'China Steel Prod &amp; Iron Ore FY'!$J$56:$J$66</c:f>
              <c:numCache>
                <c:formatCode>0.0%</c:formatCode>
                <c:ptCount val="11"/>
                <c:pt idx="0">
                  <c:v>0.63641954581871185</c:v>
                </c:pt>
                <c:pt idx="1">
                  <c:v>0.21845947570548993</c:v>
                </c:pt>
                <c:pt idx="2">
                  <c:v>3.8585385486073605E-2</c:v>
                </c:pt>
                <c:pt idx="3">
                  <c:v>1.3205770346885984E-2</c:v>
                </c:pt>
                <c:pt idx="4">
                  <c:v>1.315379723369956E-2</c:v>
                </c:pt>
                <c:pt idx="5">
                  <c:v>1.1770291519209886E-2</c:v>
                </c:pt>
                <c:pt idx="6">
                  <c:v>9.4366667835493433E-3</c:v>
                </c:pt>
                <c:pt idx="7">
                  <c:v>8.7495631500313174E-3</c:v>
                </c:pt>
                <c:pt idx="8">
                  <c:v>8.0417088523089871E-3</c:v>
                </c:pt>
                <c:pt idx="9">
                  <c:v>8.0361127703598937E-3</c:v>
                </c:pt>
                <c:pt idx="10">
                  <c:v>3.4141682333679584E-2</c:v>
                </c:pt>
              </c:numCache>
            </c:numRef>
          </c:val>
          <c:extLst>
            <c:ext xmlns:c16="http://schemas.microsoft.com/office/drawing/2014/chart" uri="{C3380CC4-5D6E-409C-BE32-E72D297353CC}">
              <c16:uniqueId val="{00000000-86CD-4F45-B592-0FB1B089341B}"/>
            </c:ext>
          </c:extLst>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quarter</a:t>
            </a:r>
          </a:p>
        </c:rich>
      </c:tx>
      <c:overlay val="0"/>
    </c:title>
    <c:autoTitleDeleted val="0"/>
    <c:plotArea>
      <c:layout/>
      <c:barChart>
        <c:barDir val="col"/>
        <c:grouping val="clustered"/>
        <c:varyColors val="0"/>
        <c:ser>
          <c:idx val="0"/>
          <c:order val="0"/>
          <c:tx>
            <c:strRef>
              <c:f>'Alumina - Q&amp;V'!$U$10</c:f>
              <c:strCache>
                <c:ptCount val="1"/>
                <c:pt idx="0">
                  <c:v>Quantity (Mt)</c:v>
                </c:pt>
              </c:strCache>
            </c:strRef>
          </c:tx>
          <c:invertIfNegative val="0"/>
          <c:cat>
            <c:numRef>
              <c:f>'Alumina - Q&amp;V'!$S$11:$S$20</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'Alumina - Q&amp;V'!$U$11:$U$20</c:f>
              <c:numCache>
                <c:formatCode>0.00</c:formatCode>
                <c:ptCount val="10"/>
                <c:pt idx="0">
                  <c:v>3.6511741</c:v>
                </c:pt>
                <c:pt idx="1">
                  <c:v>3.8227887299999996</c:v>
                </c:pt>
                <c:pt idx="2">
                  <c:v>3.5716880500000001</c:v>
                </c:pt>
                <c:pt idx="3">
                  <c:v>3.7411387600000001</c:v>
                </c:pt>
                <c:pt idx="4">
                  <c:v>3.61341701</c:v>
                </c:pt>
                <c:pt idx="5">
                  <c:v>4.0531499800000006</c:v>
                </c:pt>
                <c:pt idx="6">
                  <c:v>3.7422468100000001</c:v>
                </c:pt>
                <c:pt idx="7">
                  <c:v>4.0186727900000001</c:v>
                </c:pt>
                <c:pt idx="8">
                  <c:v>3.9426910290000001</c:v>
                </c:pt>
                <c:pt idx="9">
                  <c:v>4.1769800539999995</c:v>
                </c:pt>
              </c:numCache>
            </c:numRef>
          </c:val>
          <c:extLst>
            <c:ext xmlns:c16="http://schemas.microsoft.com/office/drawing/2014/chart" uri="{C3380CC4-5D6E-409C-BE32-E72D297353CC}">
              <c16:uniqueId val="{00000000-242F-4D7D-AB60-DAF45BC8E835}"/>
            </c:ext>
          </c:extLst>
        </c:ser>
        <c:dLbls>
          <c:showLegendKey val="0"/>
          <c:showVal val="0"/>
          <c:showCatName val="0"/>
          <c:showSerName val="0"/>
          <c:showPercent val="0"/>
          <c:showBubbleSize val="0"/>
        </c:dLbls>
        <c:gapWidth val="40"/>
        <c:axId val="117297536"/>
        <c:axId val="117283072"/>
      </c:barChart>
      <c:lineChart>
        <c:grouping val="standard"/>
        <c:varyColors val="0"/>
        <c:ser>
          <c:idx val="1"/>
          <c:order val="1"/>
          <c:tx>
            <c:strRef>
              <c:f>'Alumina - Q&amp;V'!$V$10</c:f>
              <c:strCache>
                <c:ptCount val="1"/>
                <c:pt idx="0">
                  <c:v>Value ($ Million)</c:v>
                </c:pt>
              </c:strCache>
            </c:strRef>
          </c:tx>
          <c:spPr>
            <a:ln w="50800"/>
          </c:spPr>
          <c:marker>
            <c:symbol val="none"/>
          </c:marker>
          <c:cat>
            <c:numRef>
              <c:f>'Alumina - Q&amp;V'!$S$11:$S$20</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'Alumina - Q&amp;V'!$V$11:$V$20</c:f>
              <c:numCache>
                <c:formatCode>0.00</c:formatCode>
                <c:ptCount val="10"/>
                <c:pt idx="0">
                  <c:v>1349.965363</c:v>
                </c:pt>
                <c:pt idx="1">
                  <c:v>1735.1655370000001</c:v>
                </c:pt>
                <c:pt idx="2">
                  <c:v>1605.5047509999999</c:v>
                </c:pt>
                <c:pt idx="3">
                  <c:v>1952.8876250000001</c:v>
                </c:pt>
                <c:pt idx="4">
                  <c:v>2068.177647</c:v>
                </c:pt>
                <c:pt idx="5">
                  <c:v>2298.28485</c:v>
                </c:pt>
                <c:pt idx="6">
                  <c:v>1923.249951</c:v>
                </c:pt>
                <c:pt idx="7">
                  <c:v>1989.702497</c:v>
                </c:pt>
                <c:pt idx="8">
                  <c:v>1757.022465</c:v>
                </c:pt>
                <c:pt idx="9">
                  <c:v>1689.010039</c:v>
                </c:pt>
              </c:numCache>
            </c:numRef>
          </c:val>
          <c:smooth val="0"/>
          <c:extLst>
            <c:ext xmlns:c16="http://schemas.microsoft.com/office/drawing/2014/chart" uri="{C3380CC4-5D6E-409C-BE32-E72D297353CC}">
              <c16:uniqueId val="{00000001-242F-4D7D-AB60-DAF45BC8E835}"/>
            </c:ext>
          </c:extLst>
        </c:ser>
        <c:dLbls>
          <c:showLegendKey val="0"/>
          <c:showVal val="0"/>
          <c:showCatName val="0"/>
          <c:showSerName val="0"/>
          <c:showPercent val="0"/>
          <c:showBubbleSize val="0"/>
        </c:dLbls>
        <c:marker val="1"/>
        <c:smooth val="0"/>
        <c:axId val="116906240"/>
        <c:axId val="117281152"/>
      </c:lineChart>
      <c:catAx>
        <c:axId val="116906240"/>
        <c:scaling>
          <c:orientation val="minMax"/>
        </c:scaling>
        <c:delete val="0"/>
        <c:axPos val="b"/>
        <c:title>
          <c:tx>
            <c:rich>
              <a:bodyPr/>
              <a:lstStyle/>
              <a:p>
                <a:pPr>
                  <a:defRPr/>
                </a:pPr>
                <a:r>
                  <a:rPr lang="en-AU" sz="900"/>
                  <a:t>Source: DMIRS</a:t>
                </a:r>
              </a:p>
            </c:rich>
          </c:tx>
          <c:layout>
            <c:manualLayout>
              <c:xMode val="edge"/>
              <c:yMode val="edge"/>
              <c:x val="1.2497141312288814E-2"/>
              <c:y val="0.94716822365917297"/>
            </c:manualLayout>
          </c:layout>
          <c:overlay val="0"/>
        </c:title>
        <c:numFmt formatCode="mmm\-yy" sourceLinked="1"/>
        <c:majorTickMark val="out"/>
        <c:minorTickMark val="none"/>
        <c:tickLblPos val="nextTo"/>
        <c:crossAx val="117281152"/>
        <c:crosses val="autoZero"/>
        <c:auto val="0"/>
        <c:lblAlgn val="ctr"/>
        <c:lblOffset val="100"/>
        <c:noMultiLvlLbl val="0"/>
      </c:catAx>
      <c:valAx>
        <c:axId val="117281152"/>
        <c:scaling>
          <c:orientation val="minMax"/>
          <c:min val="800"/>
        </c:scaling>
        <c:delete val="0"/>
        <c:axPos val="l"/>
        <c:majorGridlines/>
        <c:title>
          <c:tx>
            <c:rich>
              <a:bodyPr rot="-5400000" vert="horz"/>
              <a:lstStyle/>
              <a:p>
                <a:pPr>
                  <a:defRPr/>
                </a:pPr>
                <a:r>
                  <a:rPr lang="en-AU"/>
                  <a:t>$</a:t>
                </a:r>
                <a:r>
                  <a:rPr lang="en-AU" baseline="0"/>
                  <a:t> </a:t>
                </a:r>
                <a:r>
                  <a:rPr lang="en-AU"/>
                  <a:t>Million</a:t>
                </a:r>
              </a:p>
            </c:rich>
          </c:tx>
          <c:overlay val="0"/>
        </c:title>
        <c:numFmt formatCode="#,##0" sourceLinked="0"/>
        <c:majorTickMark val="out"/>
        <c:minorTickMark val="none"/>
        <c:tickLblPos val="nextTo"/>
        <c:crossAx val="116906240"/>
        <c:crosses val="autoZero"/>
        <c:crossBetween val="between"/>
      </c:valAx>
      <c:valAx>
        <c:axId val="117283072"/>
        <c:scaling>
          <c:orientation val="minMax"/>
          <c:min val="2"/>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17297536"/>
        <c:crosses val="max"/>
        <c:crossBetween val="between"/>
      </c:valAx>
      <c:dateAx>
        <c:axId val="117297536"/>
        <c:scaling>
          <c:orientation val="minMax"/>
        </c:scaling>
        <c:delete val="1"/>
        <c:axPos val="b"/>
        <c:numFmt formatCode="mmm\-yy" sourceLinked="1"/>
        <c:majorTickMark val="out"/>
        <c:minorTickMark val="none"/>
        <c:tickLblPos val="nextTo"/>
        <c:crossAx val="117283072"/>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sz="1100"/>
              <a:t>Avg Price (US$/t)</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'China Steel Prod &amp; Iron Ore FY'!$E$56:$E$66</c:f>
              <c:strCache>
                <c:ptCount val="11"/>
                <c:pt idx="0">
                  <c:v>Australia</c:v>
                </c:pt>
                <c:pt idx="1">
                  <c:v>Brazil</c:v>
                </c:pt>
                <c:pt idx="2">
                  <c:v>South Africa</c:v>
                </c:pt>
                <c:pt idx="3">
                  <c:v>Peru</c:v>
                </c:pt>
                <c:pt idx="4">
                  <c:v>India</c:v>
                </c:pt>
                <c:pt idx="5">
                  <c:v>Iran</c:v>
                </c:pt>
                <c:pt idx="6">
                  <c:v>Ukraine</c:v>
                </c:pt>
                <c:pt idx="7">
                  <c:v>Canada</c:v>
                </c:pt>
                <c:pt idx="8">
                  <c:v>Chile</c:v>
                </c:pt>
                <c:pt idx="9">
                  <c:v>Mongolia</c:v>
                </c:pt>
                <c:pt idx="10">
                  <c:v>All Others</c:v>
                </c:pt>
              </c:strCache>
            </c:strRef>
          </c:cat>
          <c:val>
            <c:numRef>
              <c:f>'China Steel Prod &amp; Iron Ore FY'!$I$56:$I$66</c:f>
              <c:numCache>
                <c:formatCode>"$"#,##0</c:formatCode>
                <c:ptCount val="11"/>
                <c:pt idx="0">
                  <c:v>77.427830543750758</c:v>
                </c:pt>
                <c:pt idx="1">
                  <c:v>84.367896433331339</c:v>
                </c:pt>
                <c:pt idx="2">
                  <c:v>91.635607671416537</c:v>
                </c:pt>
                <c:pt idx="3">
                  <c:v>84.999774037212816</c:v>
                </c:pt>
                <c:pt idx="4">
                  <c:v>101.40556223431174</c:v>
                </c:pt>
                <c:pt idx="5">
                  <c:v>91.192905173224034</c:v>
                </c:pt>
                <c:pt idx="6">
                  <c:v>111.79248431602825</c:v>
                </c:pt>
                <c:pt idx="7">
                  <c:v>103.14495560503055</c:v>
                </c:pt>
                <c:pt idx="8">
                  <c:v>100.0129094161187</c:v>
                </c:pt>
                <c:pt idx="9">
                  <c:v>48.175276538704608</c:v>
                </c:pt>
                <c:pt idx="10">
                  <c:v>77.992333235150355</c:v>
                </c:pt>
              </c:numCache>
            </c:numRef>
          </c:val>
          <c:extLst>
            <c:ext xmlns:c16="http://schemas.microsoft.com/office/drawing/2014/chart" uri="{C3380CC4-5D6E-409C-BE32-E72D297353CC}">
              <c16:uniqueId val="{00000000-194F-48C2-A6B8-14274B6849BC}"/>
            </c:ext>
          </c:extLst>
        </c:ser>
        <c:dLbls>
          <c:dLblPos val="outEnd"/>
          <c:showLegendKey val="0"/>
          <c:showVal val="1"/>
          <c:showCatName val="0"/>
          <c:showSerName val="0"/>
          <c:showPercent val="0"/>
          <c:showBubbleSize val="0"/>
        </c:dLbls>
        <c:gapWidth val="150"/>
        <c:axId val="135119232"/>
        <c:axId val="135121920"/>
      </c:barChart>
      <c:catAx>
        <c:axId val="135119232"/>
        <c:scaling>
          <c:orientation val="minMax"/>
        </c:scaling>
        <c:delete val="0"/>
        <c:axPos val="b"/>
        <c:numFmt formatCode="General" sourceLinked="0"/>
        <c:majorTickMark val="out"/>
        <c:minorTickMark val="none"/>
        <c:tickLblPos val="nextTo"/>
        <c:txPr>
          <a:bodyPr rot="-2700000"/>
          <a:lstStyle/>
          <a:p>
            <a:pPr>
              <a:defRPr/>
            </a:pPr>
            <a:endParaRPr lang="en-US"/>
          </a:p>
        </c:txPr>
        <c:crossAx val="135121920"/>
        <c:crosses val="autoZero"/>
        <c:auto val="1"/>
        <c:lblAlgn val="ctr"/>
        <c:lblOffset val="100"/>
        <c:tickLblSkip val="1"/>
        <c:noMultiLvlLbl val="0"/>
      </c:catAx>
      <c:valAx>
        <c:axId val="135121920"/>
        <c:scaling>
          <c:orientation val="minMax"/>
          <c:min val="40"/>
        </c:scaling>
        <c:delete val="0"/>
        <c:axPos val="l"/>
        <c:numFmt formatCode="&quot;$&quot;#,##0" sourceLinked="1"/>
        <c:majorTickMark val="out"/>
        <c:minorTickMark val="none"/>
        <c:tickLblPos val="nextTo"/>
        <c:crossAx val="13511923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'Lithium - Q&amp;V'!$G$16</c:f>
          <c:strCache>
            <c:ptCount val="1"/>
            <c:pt idx="0">
              <c:v>Spodumene Concentrate
Quantity and Value by Quarter</c:v>
            </c:pt>
          </c:strCache>
        </c:strRef>
      </c:tx>
      <c:overlay val="0"/>
    </c:title>
    <c:autoTitleDeleted val="0"/>
    <c:plotArea>
      <c:layout/>
      <c:barChart>
        <c:barDir val="col"/>
        <c:grouping val="clustered"/>
        <c:varyColors val="0"/>
        <c:ser>
          <c:idx val="0"/>
          <c:order val="0"/>
          <c:tx>
            <c:strRef>
              <c:f>'Lithium - Q&amp;V'!$Q$9</c:f>
              <c:strCache>
                <c:ptCount val="1"/>
                <c:pt idx="0">
                  <c:v>Quantity (Kt)</c:v>
                </c:pt>
              </c:strCache>
            </c:strRef>
          </c:tx>
          <c:invertIfNegative val="0"/>
          <c:cat>
            <c:numRef>
              <c:f>'Iron Ore - Q&amp;V'!$S$10:$S$19</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'Lithium - Q&amp;V'!$Q$10:$Q$19</c:f>
              <c:numCache>
                <c:formatCode>0.000</c:formatCode>
                <c:ptCount val="10"/>
                <c:pt idx="0">
                  <c:v>443.59343750000005</c:v>
                </c:pt>
                <c:pt idx="1">
                  <c:v>621.07889750000004</c:v>
                </c:pt>
                <c:pt idx="2">
                  <c:v>535.00334250000003</c:v>
                </c:pt>
                <c:pt idx="3">
                  <c:v>538.55783999999994</c:v>
                </c:pt>
                <c:pt idx="4">
                  <c:v>472.02602750000005</c:v>
                </c:pt>
                <c:pt idx="5">
                  <c:v>420.35648999999995</c:v>
                </c:pt>
                <c:pt idx="6">
                  <c:v>405.89135299999998</c:v>
                </c:pt>
                <c:pt idx="7">
                  <c:v>389.71409500000004</c:v>
                </c:pt>
                <c:pt idx="8">
                  <c:v>411.5684205</c:v>
                </c:pt>
                <c:pt idx="9">
                  <c:v>409.589652</c:v>
                </c:pt>
              </c:numCache>
            </c:numRef>
          </c:val>
          <c:extLst>
            <c:ext xmlns:c16="http://schemas.microsoft.com/office/drawing/2014/chart" uri="{C3380CC4-5D6E-409C-BE32-E72D297353CC}">
              <c16:uniqueId val="{00000000-0ABF-41DC-8AC6-6ADAA2A53DFC}"/>
            </c:ext>
          </c:extLst>
        </c:ser>
        <c:dLbls>
          <c:showLegendKey val="0"/>
          <c:showVal val="0"/>
          <c:showCatName val="0"/>
          <c:showSerName val="0"/>
          <c:showPercent val="0"/>
          <c:showBubbleSize val="0"/>
        </c:dLbls>
        <c:gapWidth val="40"/>
        <c:axId val="135059328"/>
        <c:axId val="135057408"/>
      </c:barChart>
      <c:lineChart>
        <c:grouping val="standard"/>
        <c:varyColors val="0"/>
        <c:ser>
          <c:idx val="1"/>
          <c:order val="1"/>
          <c:tx>
            <c:strRef>
              <c:f>'Lithium - Q&amp;V'!$R$9</c:f>
              <c:strCache>
                <c:ptCount val="1"/>
                <c:pt idx="0">
                  <c:v>Value ($ Million)</c:v>
                </c:pt>
              </c:strCache>
            </c:strRef>
          </c:tx>
          <c:marker>
            <c:symbol val="none"/>
          </c:marker>
          <c:cat>
            <c:numRef>
              <c:f>'Lithium - Q&amp;V'!$P$10:$P$19</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'Lithium - Q&amp;V'!$R$10:$R$19</c:f>
              <c:numCache>
                <c:formatCode>"$"#,##0.000</c:formatCode>
                <c:ptCount val="10"/>
                <c:pt idx="0">
                  <c:v>305.88752999999997</c:v>
                </c:pt>
                <c:pt idx="1">
                  <c:v>448.23720900000001</c:v>
                </c:pt>
                <c:pt idx="2">
                  <c:v>448.96411000000001</c:v>
                </c:pt>
                <c:pt idx="3">
                  <c:v>495.61739299999999</c:v>
                </c:pt>
                <c:pt idx="4">
                  <c:v>461.06052900000003</c:v>
                </c:pt>
                <c:pt idx="5">
                  <c:v>457.31553700000001</c:v>
                </c:pt>
                <c:pt idx="6">
                  <c:v>391.29296499999998</c:v>
                </c:pt>
                <c:pt idx="7">
                  <c:v>343.62799699999999</c:v>
                </c:pt>
                <c:pt idx="8">
                  <c:v>316.54083400000002</c:v>
                </c:pt>
                <c:pt idx="9">
                  <c:v>294.32722100000001</c:v>
                </c:pt>
              </c:numCache>
            </c:numRef>
          </c:val>
          <c:smooth val="0"/>
          <c:extLst>
            <c:ext xmlns:c16="http://schemas.microsoft.com/office/drawing/2014/chart" uri="{C3380CC4-5D6E-409C-BE32-E72D297353CC}">
              <c16:uniqueId val="{00000001-0ABF-41DC-8AC6-6ADAA2A53DFC}"/>
            </c:ext>
          </c:extLst>
        </c:ser>
        <c:dLbls>
          <c:showLegendKey val="0"/>
          <c:showVal val="0"/>
          <c:showCatName val="0"/>
          <c:showSerName val="0"/>
          <c:showPercent val="0"/>
          <c:showBubbleSize val="0"/>
        </c:dLbls>
        <c:marker val="1"/>
        <c:smooth val="0"/>
        <c:axId val="135036928"/>
        <c:axId val="135038848"/>
      </c:lineChart>
      <c:catAx>
        <c:axId val="135036928"/>
        <c:scaling>
          <c:orientation val="minMax"/>
        </c:scaling>
        <c:delete val="0"/>
        <c:axPos val="b"/>
        <c:title>
          <c:tx>
            <c:rich>
              <a:bodyPr/>
              <a:lstStyle/>
              <a:p>
                <a:pPr>
                  <a:defRPr sz="900"/>
                </a:pPr>
                <a:r>
                  <a:rPr lang="en-AU" sz="900"/>
                  <a:t>Source: DMIRS</a:t>
                </a:r>
              </a:p>
            </c:rich>
          </c:tx>
          <c:layout>
            <c:manualLayout>
              <c:xMode val="edge"/>
              <c:yMode val="edge"/>
              <c:x val="0"/>
              <c:y val="0.94405902037274514"/>
            </c:manualLayout>
          </c:layout>
          <c:overlay val="0"/>
        </c:title>
        <c:numFmt formatCode="mmm\-yy" sourceLinked="1"/>
        <c:majorTickMark val="out"/>
        <c:minorTickMark val="none"/>
        <c:tickLblPos val="nextTo"/>
        <c:txPr>
          <a:bodyPr rot="-2700000"/>
          <a:lstStyle/>
          <a:p>
            <a:pPr>
              <a:defRPr/>
            </a:pPr>
            <a:endParaRPr lang="en-US"/>
          </a:p>
        </c:txPr>
        <c:crossAx val="135038848"/>
        <c:crosses val="autoZero"/>
        <c:auto val="0"/>
        <c:lblAlgn val="ctr"/>
        <c:lblOffset val="100"/>
        <c:noMultiLvlLbl val="0"/>
      </c:catAx>
      <c:valAx>
        <c:axId val="135038848"/>
        <c:scaling>
          <c:orientation val="minMax"/>
        </c:scaling>
        <c:delete val="0"/>
        <c:axPos val="l"/>
        <c:majorGridlines/>
        <c:title>
          <c:tx>
            <c:rich>
              <a:bodyPr rot="-5400000" vert="horz"/>
              <a:lstStyle/>
              <a:p>
                <a:pPr>
                  <a:defRPr/>
                </a:pPr>
                <a:r>
                  <a:rPr lang="en-AU"/>
                  <a:t>$ Million</a:t>
                </a:r>
              </a:p>
            </c:rich>
          </c:tx>
          <c:layout>
            <c:manualLayout>
              <c:xMode val="edge"/>
              <c:yMode val="edge"/>
              <c:x val="1.5211761754722063E-2"/>
              <c:y val="0.50071893574318538"/>
            </c:manualLayout>
          </c:layout>
          <c:overlay val="0"/>
        </c:title>
        <c:numFmt formatCode="#,##0" sourceLinked="0"/>
        <c:majorTickMark val="out"/>
        <c:minorTickMark val="none"/>
        <c:tickLblPos val="nextTo"/>
        <c:crossAx val="135036928"/>
        <c:crosses val="autoZero"/>
        <c:crossBetween val="between"/>
      </c:valAx>
      <c:valAx>
        <c:axId val="135057408"/>
        <c:scaling>
          <c:orientation val="minMax"/>
        </c:scaling>
        <c:delete val="0"/>
        <c:axPos val="r"/>
        <c:title>
          <c:tx>
            <c:rich>
              <a:bodyPr rot="-5400000" vert="horz"/>
              <a:lstStyle/>
              <a:p>
                <a:pPr>
                  <a:defRPr/>
                </a:pPr>
                <a:r>
                  <a:rPr lang="en-AU"/>
                  <a:t>Thousand tonnes</a:t>
                </a:r>
              </a:p>
            </c:rich>
          </c:tx>
          <c:layout>
            <c:manualLayout>
              <c:xMode val="edge"/>
              <c:yMode val="edge"/>
              <c:x val="0.94957292422763095"/>
              <c:y val="0.44712802564204152"/>
            </c:manualLayout>
          </c:layout>
          <c:overlay val="0"/>
        </c:title>
        <c:numFmt formatCode="#,##0" sourceLinked="0"/>
        <c:majorTickMark val="out"/>
        <c:minorTickMark val="none"/>
        <c:tickLblPos val="nextTo"/>
        <c:crossAx val="135059328"/>
        <c:crosses val="max"/>
        <c:crossBetween val="between"/>
      </c:valAx>
      <c:dateAx>
        <c:axId val="135059328"/>
        <c:scaling>
          <c:orientation val="minMax"/>
        </c:scaling>
        <c:delete val="1"/>
        <c:axPos val="b"/>
        <c:numFmt formatCode="mmm\-yy" sourceLinked="1"/>
        <c:majorTickMark val="out"/>
        <c:minorTickMark val="none"/>
        <c:tickLblPos val="nextTo"/>
        <c:crossAx val="13505740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'Lithium - Q&amp;V'!$M$44</c:f>
          <c:strCache>
            <c:ptCount val="1"/>
            <c:pt idx="0">
              <c:v>Spodumene Concentrate
Quantity and Value by Calendar Year</c:v>
            </c:pt>
          </c:strCache>
        </c:strRef>
      </c:tx>
      <c:overlay val="0"/>
    </c:title>
    <c:autoTitleDeleted val="0"/>
    <c:plotArea>
      <c:layout/>
      <c:barChart>
        <c:barDir val="col"/>
        <c:grouping val="clustered"/>
        <c:varyColors val="0"/>
        <c:ser>
          <c:idx val="0"/>
          <c:order val="0"/>
          <c:tx>
            <c:strRef>
              <c:f>'Lithium - Q&amp;V'!$Q$26</c:f>
              <c:strCache>
                <c:ptCount val="1"/>
                <c:pt idx="0">
                  <c:v>Quantity (Kt)</c:v>
                </c:pt>
              </c:strCache>
            </c:strRef>
          </c:tx>
          <c:invertIfNegative val="0"/>
          <c:cat>
            <c:numRef>
              <c:f>'Lithium - Q&amp;V'!$P$27:$P$43</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'Lithium - Q&amp;V'!$Q$27:$Q$43</c:f>
              <c:numCache>
                <c:formatCode>0.000</c:formatCode>
                <c:ptCount val="17"/>
                <c:pt idx="0">
                  <c:v>55.573999999999998</c:v>
                </c:pt>
                <c:pt idx="1">
                  <c:v>110.256</c:v>
                </c:pt>
                <c:pt idx="2">
                  <c:v>173.63499999999999</c:v>
                </c:pt>
                <c:pt idx="3">
                  <c:v>222.101</c:v>
                </c:pt>
                <c:pt idx="4">
                  <c:v>245.279</c:v>
                </c:pt>
                <c:pt idx="5">
                  <c:v>239.52800000000002</c:v>
                </c:pt>
                <c:pt idx="6">
                  <c:v>197.48214999999999</c:v>
                </c:pt>
                <c:pt idx="7">
                  <c:v>326.86499999999995</c:v>
                </c:pt>
                <c:pt idx="8">
                  <c:v>401.53584999999998</c:v>
                </c:pt>
                <c:pt idx="9">
                  <c:v>500.89855</c:v>
                </c:pt>
                <c:pt idx="10">
                  <c:v>405.11900000000003</c:v>
                </c:pt>
                <c:pt idx="11">
                  <c:v>444.54599999999999</c:v>
                </c:pt>
                <c:pt idx="12">
                  <c:v>439.51400000000001</c:v>
                </c:pt>
                <c:pt idx="13">
                  <c:v>522.18100000000004</c:v>
                </c:pt>
                <c:pt idx="14">
                  <c:v>1706.61861</c:v>
                </c:pt>
                <c:pt idx="15">
                  <c:v>1965.9437</c:v>
                </c:pt>
                <c:pt idx="16">
                  <c:v>1616.7635205000001</c:v>
                </c:pt>
              </c:numCache>
            </c:numRef>
          </c:val>
          <c:extLst>
            <c:ext xmlns:c16="http://schemas.microsoft.com/office/drawing/2014/chart" uri="{C3380CC4-5D6E-409C-BE32-E72D297353CC}">
              <c16:uniqueId val="{00000000-CA73-4EFC-8B98-B24A26028273}"/>
            </c:ext>
          </c:extLst>
        </c:ser>
        <c:dLbls>
          <c:showLegendKey val="0"/>
          <c:showVal val="0"/>
          <c:showCatName val="0"/>
          <c:showSerName val="0"/>
          <c:showPercent val="0"/>
          <c:showBubbleSize val="0"/>
        </c:dLbls>
        <c:gapWidth val="40"/>
        <c:axId val="135764608"/>
        <c:axId val="135762688"/>
      </c:barChart>
      <c:lineChart>
        <c:grouping val="standard"/>
        <c:varyColors val="0"/>
        <c:ser>
          <c:idx val="1"/>
          <c:order val="1"/>
          <c:tx>
            <c:strRef>
              <c:f>'Lithium - Q&amp;V'!$R$26</c:f>
              <c:strCache>
                <c:ptCount val="1"/>
                <c:pt idx="0">
                  <c:v>Value ($ Million)</c:v>
                </c:pt>
              </c:strCache>
            </c:strRef>
          </c:tx>
          <c:marker>
            <c:symbol val="none"/>
          </c:marker>
          <c:cat>
            <c:numRef>
              <c:f>'Lithium - Q&amp;V'!$P$27:$P$43</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'Lithium - Q&amp;V'!$R$27:$R$43</c:f>
              <c:numCache>
                <c:formatCode>0.000</c:formatCode>
                <c:ptCount val="17"/>
                <c:pt idx="0">
                  <c:v>10.118620999999999</c:v>
                </c:pt>
                <c:pt idx="1">
                  <c:v>24.199351</c:v>
                </c:pt>
                <c:pt idx="2">
                  <c:v>30.318278999999997</c:v>
                </c:pt>
                <c:pt idx="3">
                  <c:v>51.784586000000004</c:v>
                </c:pt>
                <c:pt idx="4">
                  <c:v>67.904724999999999</c:v>
                </c:pt>
                <c:pt idx="5">
                  <c:v>73.33752733</c:v>
                </c:pt>
                <c:pt idx="6">
                  <c:v>71.703547</c:v>
                </c:pt>
                <c:pt idx="7">
                  <c:v>92.182259810000005</c:v>
                </c:pt>
                <c:pt idx="8">
                  <c:v>117.3272889</c:v>
                </c:pt>
                <c:pt idx="9">
                  <c:v>162.18938188999999</c:v>
                </c:pt>
                <c:pt idx="10">
                  <c:v>169.28654441999998</c:v>
                </c:pt>
                <c:pt idx="11">
                  <c:v>201.517762</c:v>
                </c:pt>
                <c:pt idx="12">
                  <c:v>240.17827200000002</c:v>
                </c:pt>
                <c:pt idx="13">
                  <c:v>293.85964200000001</c:v>
                </c:pt>
                <c:pt idx="14">
                  <c:v>1198.5285669999998</c:v>
                </c:pt>
                <c:pt idx="15">
                  <c:v>1862.9575689999999</c:v>
                </c:pt>
                <c:pt idx="16">
                  <c:v>1345.7890170000001</c:v>
                </c:pt>
              </c:numCache>
            </c:numRef>
          </c:val>
          <c:smooth val="0"/>
          <c:extLst>
            <c:ext xmlns:c16="http://schemas.microsoft.com/office/drawing/2014/chart" uri="{C3380CC4-5D6E-409C-BE32-E72D297353CC}">
              <c16:uniqueId val="{00000001-CA73-4EFC-8B98-B24A26028273}"/>
            </c:ext>
          </c:extLst>
        </c:ser>
        <c:dLbls>
          <c:showLegendKey val="0"/>
          <c:showVal val="0"/>
          <c:showCatName val="0"/>
          <c:showSerName val="0"/>
          <c:showPercent val="0"/>
          <c:showBubbleSize val="0"/>
        </c:dLbls>
        <c:marker val="1"/>
        <c:smooth val="0"/>
        <c:axId val="135750400"/>
        <c:axId val="135752320"/>
      </c:lineChart>
      <c:dateAx>
        <c:axId val="135750400"/>
        <c:scaling>
          <c:orientation val="minMax"/>
        </c:scaling>
        <c:delete val="0"/>
        <c:axPos val="b"/>
        <c:title>
          <c:tx>
            <c:rich>
              <a:bodyPr/>
              <a:lstStyle/>
              <a:p>
                <a:pPr>
                  <a:defRPr sz="900"/>
                </a:pPr>
                <a:r>
                  <a:rPr lang="en-AU" sz="900"/>
                  <a:t>Source: DMIRS</a:t>
                </a:r>
              </a:p>
            </c:rich>
          </c:tx>
          <c:layout>
            <c:manualLayout>
              <c:xMode val="edge"/>
              <c:yMode val="edge"/>
              <c:x val="9.3738967744948706E-3"/>
              <c:y val="0.95020412084185546"/>
            </c:manualLayout>
          </c:layout>
          <c:overlay val="0"/>
        </c:title>
        <c:numFmt formatCode="@@@@@@@@@" sourceLinked="0"/>
        <c:majorTickMark val="out"/>
        <c:minorTickMark val="none"/>
        <c:tickLblPos val="nextTo"/>
        <c:txPr>
          <a:bodyPr rot="-2700000"/>
          <a:lstStyle/>
          <a:p>
            <a:pPr>
              <a:defRPr/>
            </a:pPr>
            <a:endParaRPr lang="en-US"/>
          </a:p>
        </c:txPr>
        <c:crossAx val="135752320"/>
        <c:crosses val="autoZero"/>
        <c:auto val="0"/>
        <c:lblOffset val="100"/>
        <c:baseTimeUnit val="days"/>
        <c:majorUnit val="1"/>
        <c:majorTimeUnit val="days"/>
      </c:dateAx>
      <c:valAx>
        <c:axId val="135752320"/>
        <c:scaling>
          <c:orientation val="minMax"/>
        </c:scaling>
        <c:delete val="0"/>
        <c:axPos val="l"/>
        <c:majorGridlines/>
        <c:title>
          <c:tx>
            <c:rich>
              <a:bodyPr rot="-5400000" vert="horz"/>
              <a:lstStyle/>
              <a:p>
                <a:pPr>
                  <a:defRPr/>
                </a:pPr>
                <a:r>
                  <a:rPr lang="en-AU"/>
                  <a:t>$ Million</a:t>
                </a:r>
              </a:p>
            </c:rich>
          </c:tx>
          <c:layout>
            <c:manualLayout>
              <c:xMode val="edge"/>
              <c:yMode val="edge"/>
              <c:x val="1.7445558182310205E-2"/>
              <c:y val="0.45892408983151406"/>
            </c:manualLayout>
          </c:layout>
          <c:overlay val="0"/>
        </c:title>
        <c:numFmt formatCode="#,##0" sourceLinked="0"/>
        <c:majorTickMark val="out"/>
        <c:minorTickMark val="none"/>
        <c:tickLblPos val="nextTo"/>
        <c:crossAx val="135750400"/>
        <c:crosses val="autoZero"/>
        <c:crossBetween val="between"/>
      </c:valAx>
      <c:valAx>
        <c:axId val="13576268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5764608"/>
        <c:crosses val="max"/>
        <c:crossBetween val="between"/>
      </c:valAx>
      <c:catAx>
        <c:axId val="135764608"/>
        <c:scaling>
          <c:orientation val="minMax"/>
        </c:scaling>
        <c:delete val="1"/>
        <c:axPos val="b"/>
        <c:numFmt formatCode="General" sourceLinked="1"/>
        <c:majorTickMark val="out"/>
        <c:minorTickMark val="none"/>
        <c:tickLblPos val="nextTo"/>
        <c:crossAx val="13576268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'Lithium - Prices'!$Q$19</c:f>
          <c:strCache>
            <c:ptCount val="1"/>
            <c:pt idx="0">
              <c:v>Lithium Average Annual Price
Historic Calendar Year</c:v>
            </c:pt>
          </c:strCache>
        </c:strRef>
      </c:tx>
      <c:overlay val="0"/>
      <c:txPr>
        <a:bodyPr/>
        <a:lstStyle/>
        <a:p>
          <a:pPr>
            <a:defRPr/>
          </a:pPr>
          <a:endParaRPr lang="en-US"/>
        </a:p>
      </c:txPr>
    </c:title>
    <c:autoTitleDeleted val="0"/>
    <c:plotArea>
      <c:layout/>
      <c:lineChart>
        <c:grouping val="standard"/>
        <c:varyColors val="0"/>
        <c:ser>
          <c:idx val="2"/>
          <c:order val="0"/>
          <c:tx>
            <c:strRef>
              <c:f>'Lithium - Prices'!$H$8</c:f>
              <c:strCache>
                <c:ptCount val="1"/>
                <c:pt idx="0">
                  <c:v>Lithium Hydroxide</c:v>
                </c:pt>
              </c:strCache>
            </c:strRef>
          </c:tx>
          <c:spPr>
            <a:ln>
              <a:solidFill>
                <a:srgbClr val="F69240"/>
              </a:solidFill>
            </a:ln>
          </c:spPr>
          <c:marker>
            <c:symbol val="none"/>
          </c:marker>
          <c:cat>
            <c:numRef>
              <c:f>'Lithium - Prices'!$G$10:$G$17</c:f>
              <c:numCache>
                <c:formatCode>General</c:formatCode>
                <c:ptCount val="8"/>
                <c:pt idx="0">
                  <c:v>2012</c:v>
                </c:pt>
                <c:pt idx="1">
                  <c:v>2013</c:v>
                </c:pt>
                <c:pt idx="2">
                  <c:v>2014</c:v>
                </c:pt>
                <c:pt idx="3">
                  <c:v>2015</c:v>
                </c:pt>
                <c:pt idx="4">
                  <c:v>2016</c:v>
                </c:pt>
                <c:pt idx="5">
                  <c:v>2017</c:v>
                </c:pt>
                <c:pt idx="6">
                  <c:v>2018</c:v>
                </c:pt>
                <c:pt idx="7">
                  <c:v>2019</c:v>
                </c:pt>
              </c:numCache>
            </c:numRef>
          </c:cat>
          <c:val>
            <c:numRef>
              <c:f>'Lithium - Prices'!$H$10:$H$17</c:f>
              <c:numCache>
                <c:formatCode>"$"#,##0.00</c:formatCode>
                <c:ptCount val="8"/>
                <c:pt idx="0">
                  <c:v>4742.1872409914713</c:v>
                </c:pt>
                <c:pt idx="1">
                  <c:v>7246.0567696968874</c:v>
                </c:pt>
                <c:pt idx="2">
                  <c:v>7252.3475940525495</c:v>
                </c:pt>
                <c:pt idx="3">
                  <c:v>10592.898410335083</c:v>
                </c:pt>
                <c:pt idx="4">
                  <c:v>31323.431477300426</c:v>
                </c:pt>
                <c:pt idx="5">
                  <c:v>27058.252463651137</c:v>
                </c:pt>
                <c:pt idx="6">
                  <c:v>25362.47020519467</c:v>
                </c:pt>
                <c:pt idx="7">
                  <c:v>15166.282997586071</c:v>
                </c:pt>
              </c:numCache>
            </c:numRef>
          </c:val>
          <c:smooth val="0"/>
          <c:extLst>
            <c:ext xmlns:c16="http://schemas.microsoft.com/office/drawing/2014/chart" uri="{C3380CC4-5D6E-409C-BE32-E72D297353CC}">
              <c16:uniqueId val="{00000001-F35B-4763-8709-6C63FDDDF978}"/>
            </c:ext>
          </c:extLst>
        </c:ser>
        <c:dLbls>
          <c:showLegendKey val="0"/>
          <c:showVal val="0"/>
          <c:showCatName val="0"/>
          <c:showSerName val="0"/>
          <c:showPercent val="0"/>
          <c:showBubbleSize val="0"/>
        </c:dLbls>
        <c:marker val="1"/>
        <c:smooth val="0"/>
        <c:axId val="135248128"/>
        <c:axId val="135254400"/>
      </c:lineChart>
      <c:lineChart>
        <c:grouping val="standard"/>
        <c:varyColors val="0"/>
        <c:ser>
          <c:idx val="1"/>
          <c:order val="1"/>
          <c:tx>
            <c:strRef>
              <c:f>'Lithium - Prices'!$I$8</c:f>
              <c:strCache>
                <c:ptCount val="1"/>
                <c:pt idx="0">
                  <c:v>Spodumene Concentrate</c:v>
                </c:pt>
              </c:strCache>
            </c:strRef>
          </c:tx>
          <c:spPr>
            <a:ln>
              <a:solidFill>
                <a:srgbClr val="F6BEA2"/>
              </a:solidFill>
            </a:ln>
          </c:spPr>
          <c:marker>
            <c:symbol val="none"/>
          </c:marker>
          <c:cat>
            <c:numRef>
              <c:f>'Lithium - Prices'!$G$10:$G$17</c:f>
              <c:numCache>
                <c:formatCode>General</c:formatCode>
                <c:ptCount val="8"/>
                <c:pt idx="0">
                  <c:v>2012</c:v>
                </c:pt>
                <c:pt idx="1">
                  <c:v>2013</c:v>
                </c:pt>
                <c:pt idx="2">
                  <c:v>2014</c:v>
                </c:pt>
                <c:pt idx="3">
                  <c:v>2015</c:v>
                </c:pt>
                <c:pt idx="4">
                  <c:v>2016</c:v>
                </c:pt>
                <c:pt idx="5">
                  <c:v>2017</c:v>
                </c:pt>
                <c:pt idx="6">
                  <c:v>2018</c:v>
                </c:pt>
                <c:pt idx="7">
                  <c:v>2019</c:v>
                </c:pt>
              </c:numCache>
            </c:numRef>
          </c:cat>
          <c:val>
            <c:numRef>
              <c:f>'Lithium - Prices'!$I$10:$I$17</c:f>
              <c:numCache>
                <c:formatCode>"$"#,##0.00</c:formatCode>
                <c:ptCount val="8"/>
                <c:pt idx="6">
                  <c:v>1161.8668484023792</c:v>
                </c:pt>
                <c:pt idx="7">
                  <c:v>882.26513885108386</c:v>
                </c:pt>
              </c:numCache>
            </c:numRef>
          </c:val>
          <c:smooth val="0"/>
          <c:extLst>
            <c:ext xmlns:c16="http://schemas.microsoft.com/office/drawing/2014/chart" uri="{C3380CC4-5D6E-409C-BE32-E72D297353CC}">
              <c16:uniqueId val="{00000000-0F54-4B3B-9DA5-92398638C323}"/>
            </c:ext>
          </c:extLst>
        </c:ser>
        <c:dLbls>
          <c:showLegendKey val="0"/>
          <c:showVal val="0"/>
          <c:showCatName val="0"/>
          <c:showSerName val="0"/>
          <c:showPercent val="0"/>
          <c:showBubbleSize val="0"/>
        </c:dLbls>
        <c:marker val="1"/>
        <c:smooth val="0"/>
        <c:axId val="1398461832"/>
        <c:axId val="1398464456"/>
      </c:lineChart>
      <c:catAx>
        <c:axId val="135248128"/>
        <c:scaling>
          <c:orientation val="minMax"/>
        </c:scaling>
        <c:delete val="0"/>
        <c:axPos val="b"/>
        <c:title>
          <c:tx>
            <c:rich>
              <a:bodyPr/>
              <a:lstStyle/>
              <a:p>
                <a:pPr>
                  <a:defRPr sz="900"/>
                </a:pPr>
                <a:r>
                  <a:rPr lang="en-AU" sz="900"/>
                  <a:t>Source: </a:t>
                </a:r>
                <a:r>
                  <a:rPr lang="en-AU" sz="900" baseline="0"/>
                  <a:t>Asian Metal</a:t>
                </a:r>
                <a:endParaRPr lang="en-AU" sz="900"/>
              </a:p>
            </c:rich>
          </c:tx>
          <c:layout>
            <c:manualLayout>
              <c:xMode val="edge"/>
              <c:yMode val="edge"/>
              <c:x val="0"/>
              <c:y val="0.94853749173154456"/>
            </c:manualLayout>
          </c:layout>
          <c:overlay val="0"/>
        </c:title>
        <c:numFmt formatCode="General" sourceLinked="1"/>
        <c:majorTickMark val="out"/>
        <c:minorTickMark val="none"/>
        <c:tickLblPos val="nextTo"/>
        <c:spPr>
          <a:ln/>
        </c:spPr>
        <c:txPr>
          <a:bodyPr rot="-2700000"/>
          <a:lstStyle/>
          <a:p>
            <a:pPr>
              <a:defRPr/>
            </a:pPr>
            <a:endParaRPr lang="en-US"/>
          </a:p>
        </c:txPr>
        <c:crossAx val="135254400"/>
        <c:crosses val="autoZero"/>
        <c:auto val="0"/>
        <c:lblAlgn val="ctr"/>
        <c:lblOffset val="100"/>
        <c:tickLblSkip val="1"/>
        <c:noMultiLvlLbl val="1"/>
      </c:catAx>
      <c:valAx>
        <c:axId val="135254400"/>
        <c:scaling>
          <c:orientation val="minMax"/>
        </c:scaling>
        <c:delete val="0"/>
        <c:axPos val="l"/>
        <c:majorGridlines/>
        <c:title>
          <c:tx>
            <c:rich>
              <a:bodyPr rot="-5400000" vert="horz"/>
              <a:lstStyle/>
              <a:p>
                <a:pPr>
                  <a:defRPr/>
                </a:pPr>
                <a:r>
                  <a:rPr lang="en-AU"/>
                  <a:t>A$/tonne</a:t>
                </a:r>
              </a:p>
            </c:rich>
          </c:tx>
          <c:layout>
            <c:manualLayout>
              <c:xMode val="edge"/>
              <c:yMode val="edge"/>
              <c:x val="1.3820959267075618E-2"/>
              <c:y val="0.43328951222985174"/>
            </c:manualLayout>
          </c:layout>
          <c:overlay val="0"/>
        </c:title>
        <c:numFmt formatCode="#,##0" sourceLinked="0"/>
        <c:majorTickMark val="out"/>
        <c:minorTickMark val="none"/>
        <c:tickLblPos val="nextTo"/>
        <c:spPr>
          <a:ln/>
        </c:spPr>
        <c:crossAx val="135248128"/>
        <c:crosses val="autoZero"/>
        <c:crossBetween val="between"/>
      </c:valAx>
      <c:valAx>
        <c:axId val="1398464456"/>
        <c:scaling>
          <c:orientation val="minMax"/>
        </c:scaling>
        <c:delete val="0"/>
        <c:axPos val="r"/>
        <c:title>
          <c:tx>
            <c:rich>
              <a:bodyPr/>
              <a:lstStyle/>
              <a:p>
                <a:pPr>
                  <a:defRPr/>
                </a:pPr>
                <a:r>
                  <a:rPr lang="en-AU"/>
                  <a:t>A$/tonne</a:t>
                </a:r>
              </a:p>
            </c:rich>
          </c:tx>
          <c:overlay val="0"/>
        </c:title>
        <c:numFmt formatCode="#,##0" sourceLinked="0"/>
        <c:majorTickMark val="out"/>
        <c:minorTickMark val="none"/>
        <c:tickLblPos val="nextTo"/>
        <c:crossAx val="1398461832"/>
        <c:crosses val="max"/>
        <c:crossBetween val="between"/>
      </c:valAx>
      <c:catAx>
        <c:axId val="1398461832"/>
        <c:scaling>
          <c:orientation val="minMax"/>
        </c:scaling>
        <c:delete val="1"/>
        <c:axPos val="b"/>
        <c:numFmt formatCode="General" sourceLinked="1"/>
        <c:majorTickMark val="out"/>
        <c:minorTickMark val="none"/>
        <c:tickLblPos val="nextTo"/>
        <c:crossAx val="1398464456"/>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Lithium</a:t>
            </a:r>
          </a:p>
          <a:p>
            <a:pPr>
              <a:defRPr/>
            </a:pPr>
            <a:r>
              <a:rPr lang="en-AU" sz="1100"/>
              <a:t>Monthly</a:t>
            </a:r>
            <a:r>
              <a:rPr lang="en-AU" sz="1100" baseline="0"/>
              <a:t> Price, P</a:t>
            </a:r>
            <a:r>
              <a:rPr lang="en-AU" sz="1100"/>
              <a:t>ast 5 years</a:t>
            </a:r>
          </a:p>
        </c:rich>
      </c:tx>
      <c:overlay val="0"/>
    </c:title>
    <c:autoTitleDeleted val="0"/>
    <c:plotArea>
      <c:layout>
        <c:manualLayout>
          <c:layoutTarget val="inner"/>
          <c:xMode val="edge"/>
          <c:yMode val="edge"/>
          <c:x val="0.10929442393276532"/>
          <c:y val="0.22143143358003156"/>
          <c:w val="0.79592158613476638"/>
          <c:h val="0.5567030776847548"/>
        </c:manualLayout>
      </c:layout>
      <c:lineChart>
        <c:grouping val="standard"/>
        <c:varyColors val="0"/>
        <c:ser>
          <c:idx val="2"/>
          <c:order val="0"/>
          <c:tx>
            <c:v>Lithium Carbonate</c:v>
          </c:tx>
          <c:spPr>
            <a:ln>
              <a:solidFill>
                <a:srgbClr val="F69240"/>
              </a:solidFill>
            </a:ln>
          </c:spPr>
          <c:marker>
            <c:symbol val="none"/>
          </c:marker>
          <c:cat>
            <c:numRef>
              <c:f>'Data - Monthly Commodity Prices'!$AY$9:$AY$68</c:f>
              <c:numCache>
                <c:formatCode>General</c:formatCode>
                <c:ptCount val="60"/>
                <c:pt idx="2" formatCode="mmm\-yy">
                  <c:v>42064</c:v>
                </c:pt>
                <c:pt idx="5" formatCode="mmm\-yy">
                  <c:v>42156</c:v>
                </c:pt>
                <c:pt idx="8" formatCode="mmm\-yy">
                  <c:v>42248</c:v>
                </c:pt>
                <c:pt idx="11" formatCode="mmm\-yy">
                  <c:v>42339</c:v>
                </c:pt>
                <c:pt idx="14" formatCode="mmm\-yy">
                  <c:v>42430</c:v>
                </c:pt>
                <c:pt idx="17" formatCode="mmm\-yy">
                  <c:v>42522</c:v>
                </c:pt>
                <c:pt idx="20" formatCode="mmm\-yy">
                  <c:v>42614</c:v>
                </c:pt>
                <c:pt idx="23" formatCode="mmm\-yy">
                  <c:v>42705</c:v>
                </c:pt>
                <c:pt idx="26" formatCode="mmm\-yy">
                  <c:v>42795</c:v>
                </c:pt>
                <c:pt idx="29" formatCode="mmm\-yy">
                  <c:v>42887</c:v>
                </c:pt>
                <c:pt idx="32" formatCode="mmm\-yy">
                  <c:v>42979</c:v>
                </c:pt>
                <c:pt idx="35" formatCode="mmm\-yy">
                  <c:v>43070</c:v>
                </c:pt>
                <c:pt idx="38" formatCode="mmm\-yy">
                  <c:v>43160</c:v>
                </c:pt>
                <c:pt idx="41" formatCode="mmm\-yy">
                  <c:v>43252</c:v>
                </c:pt>
                <c:pt idx="44" formatCode="mmm\-yy">
                  <c:v>43344</c:v>
                </c:pt>
                <c:pt idx="47" formatCode="mmm\-yy">
                  <c:v>43435</c:v>
                </c:pt>
                <c:pt idx="50" formatCode="mmm\-yy">
                  <c:v>43525</c:v>
                </c:pt>
                <c:pt idx="53" formatCode="mmm\-yy">
                  <c:v>43617</c:v>
                </c:pt>
                <c:pt idx="56" formatCode="mmm\-yy">
                  <c:v>43709</c:v>
                </c:pt>
                <c:pt idx="59" formatCode="mmm\-yy">
                  <c:v>43800</c:v>
                </c:pt>
              </c:numCache>
            </c:numRef>
          </c:cat>
          <c:val>
            <c:numRef>
              <c:f>'Lithium - Prices'!$B$10:$B$69</c:f>
              <c:numCache>
                <c:formatCode>"$"#,##0.00</c:formatCode>
                <c:ptCount val="60"/>
                <c:pt idx="0">
                  <c:v>8666.4215691145291</c:v>
                </c:pt>
                <c:pt idx="1">
                  <c:v>9136.7233656814387</c:v>
                </c:pt>
                <c:pt idx="2">
                  <c:v>9158.6398854981599</c:v>
                </c:pt>
                <c:pt idx="3">
                  <c:v>9424.7514284077351</c:v>
                </c:pt>
                <c:pt idx="4">
                  <c:v>9311.4038836611144</c:v>
                </c:pt>
                <c:pt idx="5">
                  <c:v>9572.1107324875557</c:v>
                </c:pt>
                <c:pt idx="6">
                  <c:v>9884.1012844521374</c:v>
                </c:pt>
                <c:pt idx="7">
                  <c:v>9927.8484947926572</c:v>
                </c:pt>
                <c:pt idx="8">
                  <c:v>10434.83218366616</c:v>
                </c:pt>
                <c:pt idx="9">
                  <c:v>10865.37131541973</c:v>
                </c:pt>
                <c:pt idx="10">
                  <c:v>12098.733812197988</c:v>
                </c:pt>
                <c:pt idx="11">
                  <c:v>18633.842968641795</c:v>
                </c:pt>
                <c:pt idx="12">
                  <c:v>24998.00221468772</c:v>
                </c:pt>
                <c:pt idx="13">
                  <c:v>29336.775032058711</c:v>
                </c:pt>
                <c:pt idx="14">
                  <c:v>33040.997713993936</c:v>
                </c:pt>
                <c:pt idx="15">
                  <c:v>34648.477643218408</c:v>
                </c:pt>
                <c:pt idx="16">
                  <c:v>35659.055974712384</c:v>
                </c:pt>
                <c:pt idx="17">
                  <c:v>33507.502302023539</c:v>
                </c:pt>
                <c:pt idx="18">
                  <c:v>31772.784374804603</c:v>
                </c:pt>
                <c:pt idx="19">
                  <c:v>31236.982724255471</c:v>
                </c:pt>
                <c:pt idx="20">
                  <c:v>31107.406002190342</c:v>
                </c:pt>
                <c:pt idx="21">
                  <c:v>30635.27369370688</c:v>
                </c:pt>
                <c:pt idx="22">
                  <c:v>29782.53545770916</c:v>
                </c:pt>
                <c:pt idx="23">
                  <c:v>30155.384594243897</c:v>
                </c:pt>
                <c:pt idx="24">
                  <c:v>27899.47047746514</c:v>
                </c:pt>
                <c:pt idx="25">
                  <c:v>26466.294367801813</c:v>
                </c:pt>
                <c:pt idx="26">
                  <c:v>26555.367219024934</c:v>
                </c:pt>
                <c:pt idx="27">
                  <c:v>27066.351940765649</c:v>
                </c:pt>
                <c:pt idx="28">
                  <c:v>27443.713423597947</c:v>
                </c:pt>
                <c:pt idx="29">
                  <c:v>27300.132128753361</c:v>
                </c:pt>
                <c:pt idx="30">
                  <c:v>26062.485179978667</c:v>
                </c:pt>
                <c:pt idx="31">
                  <c:v>25606.338943652878</c:v>
                </c:pt>
                <c:pt idx="32">
                  <c:v>25933.760090656757</c:v>
                </c:pt>
                <c:pt idx="33">
                  <c:v>27463.954277295663</c:v>
                </c:pt>
                <c:pt idx="34">
                  <c:v>28421.623120454744</c:v>
                </c:pt>
                <c:pt idx="35">
                  <c:v>28479.538394366144</c:v>
                </c:pt>
                <c:pt idx="36">
                  <c:v>27702.474712042906</c:v>
                </c:pt>
                <c:pt idx="37">
                  <c:v>27812.026844128144</c:v>
                </c:pt>
                <c:pt idx="38">
                  <c:v>28394.32199082875</c:v>
                </c:pt>
                <c:pt idx="39">
                  <c:v>29606.263301915478</c:v>
                </c:pt>
                <c:pt idx="40">
                  <c:v>28935.019304984304</c:v>
                </c:pt>
                <c:pt idx="41">
                  <c:v>28071.768779445687</c:v>
                </c:pt>
                <c:pt idx="42">
                  <c:v>26068.921037309086</c:v>
                </c:pt>
                <c:pt idx="43">
                  <c:v>22659.945202005336</c:v>
                </c:pt>
                <c:pt idx="44">
                  <c:v>22784.394816094496</c:v>
                </c:pt>
                <c:pt idx="45">
                  <c:v>22679.112287955384</c:v>
                </c:pt>
                <c:pt idx="46">
                  <c:v>20695.663671067283</c:v>
                </c:pt>
                <c:pt idx="47">
                  <c:v>18939.730514559233</c:v>
                </c:pt>
                <c:pt idx="48">
                  <c:v>18656.295186666022</c:v>
                </c:pt>
                <c:pt idx="49">
                  <c:v>18524.309259695921</c:v>
                </c:pt>
                <c:pt idx="50">
                  <c:v>17581.147038310763</c:v>
                </c:pt>
                <c:pt idx="51">
                  <c:v>17407.996343169332</c:v>
                </c:pt>
                <c:pt idx="52">
                  <c:v>16905.788691794187</c:v>
                </c:pt>
                <c:pt idx="53">
                  <c:v>16245.717547572425</c:v>
                </c:pt>
                <c:pt idx="54">
                  <c:v>15191.188206064531</c:v>
                </c:pt>
                <c:pt idx="55">
                  <c:v>14305.463591486414</c:v>
                </c:pt>
                <c:pt idx="56">
                  <c:v>12876.336263444689</c:v>
                </c:pt>
                <c:pt idx="57">
                  <c:v>12374.576592392568</c:v>
                </c:pt>
                <c:pt idx="58">
                  <c:v>11560.590007240267</c:v>
                </c:pt>
                <c:pt idx="59">
                  <c:v>10365.987243195748</c:v>
                </c:pt>
              </c:numCache>
            </c:numRef>
          </c:val>
          <c:smooth val="0"/>
          <c:extLst>
            <c:ext xmlns:c16="http://schemas.microsoft.com/office/drawing/2014/chart" uri="{C3380CC4-5D6E-409C-BE32-E72D297353CC}">
              <c16:uniqueId val="{00000001-6784-4963-9DC9-D520D2C38029}"/>
            </c:ext>
          </c:extLst>
        </c:ser>
        <c:dLbls>
          <c:showLegendKey val="0"/>
          <c:showVal val="0"/>
          <c:showCatName val="0"/>
          <c:showSerName val="0"/>
          <c:showPercent val="0"/>
          <c:showBubbleSize val="0"/>
        </c:dLbls>
        <c:marker val="1"/>
        <c:smooth val="0"/>
        <c:axId val="135298048"/>
        <c:axId val="135296512"/>
      </c:lineChart>
      <c:lineChart>
        <c:grouping val="standard"/>
        <c:varyColors val="0"/>
        <c:ser>
          <c:idx val="1"/>
          <c:order val="1"/>
          <c:tx>
            <c:v>Lithium Hydroxide</c:v>
          </c:tx>
          <c:spPr>
            <a:ln>
              <a:solidFill>
                <a:srgbClr val="F6BEA2"/>
              </a:solidFill>
            </a:ln>
          </c:spPr>
          <c:marker>
            <c:symbol val="none"/>
          </c:marker>
          <c:val>
            <c:numRef>
              <c:f>'Lithium - Prices'!$C$10:$C$69</c:f>
              <c:numCache>
                <c:formatCode>"$"#,##0.00</c:formatCode>
                <c:ptCount val="60"/>
                <c:pt idx="36">
                  <c:v>1212.7686313937413</c:v>
                </c:pt>
                <c:pt idx="37">
                  <c:v>1226.487036095577</c:v>
                </c:pt>
                <c:pt idx="38">
                  <c:v>1243.7169738368345</c:v>
                </c:pt>
                <c:pt idx="39">
                  <c:v>1256.0197839385658</c:v>
                </c:pt>
                <c:pt idx="40">
                  <c:v>1253.9851222104144</c:v>
                </c:pt>
                <c:pt idx="41">
                  <c:v>1223.801895608063</c:v>
                </c:pt>
                <c:pt idx="42">
                  <c:v>1174.2741390952058</c:v>
                </c:pt>
                <c:pt idx="43">
                  <c:v>1108.3265083265082</c:v>
                </c:pt>
                <c:pt idx="44">
                  <c:v>1117.4347584675179</c:v>
                </c:pt>
                <c:pt idx="45">
                  <c:v>1075.5984229794424</c:v>
                </c:pt>
                <c:pt idx="46">
                  <c:v>1037.1361567112706</c:v>
                </c:pt>
                <c:pt idx="47">
                  <c:v>1012.8527521654094</c:v>
                </c:pt>
                <c:pt idx="48">
                  <c:v>986.82701720039154</c:v>
                </c:pt>
                <c:pt idx="49">
                  <c:v>967.1196413561222</c:v>
                </c:pt>
                <c:pt idx="50">
                  <c:v>973.16108993364378</c:v>
                </c:pt>
                <c:pt idx="51">
                  <c:v>947.82058492688407</c:v>
                </c:pt>
                <c:pt idx="52">
                  <c:v>924.53917050691246</c:v>
                </c:pt>
                <c:pt idx="53">
                  <c:v>895.37996545768567</c:v>
                </c:pt>
                <c:pt idx="54">
                  <c:v>878.85083822897275</c:v>
                </c:pt>
                <c:pt idx="55">
                  <c:v>882.29643859908379</c:v>
                </c:pt>
                <c:pt idx="56">
                  <c:v>836.44437973209097</c:v>
                </c:pt>
                <c:pt idx="57">
                  <c:v>789.70285378052381</c:v>
                </c:pt>
                <c:pt idx="58">
                  <c:v>773.30794022853797</c:v>
                </c:pt>
                <c:pt idx="59">
                  <c:v>731.73174626215712</c:v>
                </c:pt>
              </c:numCache>
            </c:numRef>
          </c:val>
          <c:smooth val="0"/>
          <c:extLst>
            <c:ext xmlns:c16="http://schemas.microsoft.com/office/drawing/2014/chart" uri="{C3380CC4-5D6E-409C-BE32-E72D297353CC}">
              <c16:uniqueId val="{00000001-3A32-40A6-9BA1-2DD48B994A1B}"/>
            </c:ext>
          </c:extLst>
        </c:ser>
        <c:dLbls>
          <c:showLegendKey val="0"/>
          <c:showVal val="0"/>
          <c:showCatName val="0"/>
          <c:showSerName val="0"/>
          <c:showPercent val="0"/>
          <c:showBubbleSize val="0"/>
        </c:dLbls>
        <c:marker val="1"/>
        <c:smooth val="0"/>
        <c:axId val="1127020864"/>
        <c:axId val="1127019224"/>
      </c:lineChart>
      <c:valAx>
        <c:axId val="135296512"/>
        <c:scaling>
          <c:orientation val="minMax"/>
        </c:scaling>
        <c:delete val="0"/>
        <c:axPos val="l"/>
        <c:majorGridlines/>
        <c:title>
          <c:tx>
            <c:rich>
              <a:bodyPr/>
              <a:lstStyle/>
              <a:p>
                <a:pPr>
                  <a:defRPr sz="1000"/>
                </a:pPr>
                <a:r>
                  <a:rPr lang="en-AU" sz="1000" b="1" i="0" baseline="0">
                    <a:effectLst/>
                  </a:rPr>
                  <a:t>A$/tonne</a:t>
                </a:r>
                <a:endParaRPr lang="en-AU" sz="1000">
                  <a:effectLst/>
                </a:endParaRPr>
              </a:p>
            </c:rich>
          </c:tx>
          <c:layout>
            <c:manualLayout>
              <c:xMode val="edge"/>
              <c:yMode val="edge"/>
              <c:x val="1.0723062421771481E-2"/>
              <c:y val="0.42767797055504153"/>
            </c:manualLayout>
          </c:layout>
          <c:overlay val="0"/>
        </c:title>
        <c:numFmt formatCode="#,##0" sourceLinked="0"/>
        <c:majorTickMark val="out"/>
        <c:minorTickMark val="none"/>
        <c:tickLblPos val="nextTo"/>
        <c:crossAx val="135298048"/>
        <c:crosses val="autoZero"/>
        <c:crossBetween val="between"/>
      </c:valAx>
      <c:catAx>
        <c:axId val="135298048"/>
        <c:scaling>
          <c:orientation val="minMax"/>
        </c:scaling>
        <c:delete val="0"/>
        <c:axPos val="b"/>
        <c:title>
          <c:tx>
            <c:rich>
              <a:bodyPr/>
              <a:lstStyle/>
              <a:p>
                <a:pPr>
                  <a:defRPr sz="900"/>
                </a:pPr>
                <a:r>
                  <a:rPr lang="en-AU" sz="900" b="1" i="0" baseline="0">
                    <a:effectLst/>
                    <a:latin typeface="+mn-lt"/>
                  </a:rPr>
                  <a:t>Source: Asian Metal</a:t>
                </a:r>
                <a:endParaRPr lang="en-AU" sz="900" b="1">
                  <a:effectLst/>
                  <a:latin typeface="+mn-lt"/>
                </a:endParaRPr>
              </a:p>
            </c:rich>
          </c:tx>
          <c:layout>
            <c:manualLayout>
              <c:xMode val="edge"/>
              <c:yMode val="edge"/>
              <c:x val="0"/>
              <c:y val="0.95241457644793559"/>
            </c:manualLayout>
          </c:layout>
          <c:overlay val="0"/>
        </c:title>
        <c:numFmt formatCode="General" sourceLinked="1"/>
        <c:majorTickMark val="out"/>
        <c:minorTickMark val="none"/>
        <c:tickLblPos val="nextTo"/>
        <c:crossAx val="135296512"/>
        <c:crosses val="autoZero"/>
        <c:auto val="0"/>
        <c:lblAlgn val="ctr"/>
        <c:lblOffset val="100"/>
        <c:tickMarkSkip val="3"/>
        <c:noMultiLvlLbl val="1"/>
      </c:catAx>
      <c:valAx>
        <c:axId val="1127019224"/>
        <c:scaling>
          <c:orientation val="minMax"/>
        </c:scaling>
        <c:delete val="0"/>
        <c:axPos val="r"/>
        <c:title>
          <c:tx>
            <c:rich>
              <a:bodyPr/>
              <a:lstStyle/>
              <a:p>
                <a:pPr>
                  <a:defRPr/>
                </a:pPr>
                <a:r>
                  <a:rPr lang="en-AU"/>
                  <a:t>A$/tonne</a:t>
                </a:r>
              </a:p>
            </c:rich>
          </c:tx>
          <c:overlay val="0"/>
        </c:title>
        <c:numFmt formatCode="#,##0" sourceLinked="0"/>
        <c:majorTickMark val="out"/>
        <c:minorTickMark val="none"/>
        <c:tickLblPos val="nextTo"/>
        <c:crossAx val="1127020864"/>
        <c:crosses val="max"/>
        <c:crossBetween val="between"/>
      </c:valAx>
      <c:catAx>
        <c:axId val="1127020864"/>
        <c:scaling>
          <c:orientation val="minMax"/>
        </c:scaling>
        <c:delete val="1"/>
        <c:axPos val="b"/>
        <c:majorTickMark val="out"/>
        <c:minorTickMark val="none"/>
        <c:tickLblPos val="nextTo"/>
        <c:crossAx val="1127019224"/>
        <c:crosses val="autoZero"/>
        <c:auto val="0"/>
        <c:lblAlgn val="ctr"/>
        <c:lblOffset val="100"/>
        <c:noMultiLvlLbl val="0"/>
      </c:cat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quarter</a:t>
            </a:r>
          </a:p>
        </c:rich>
      </c:tx>
      <c:overlay val="0"/>
    </c:title>
    <c:autoTitleDeleted val="0"/>
    <c:plotArea>
      <c:layout/>
      <c:barChart>
        <c:barDir val="col"/>
        <c:grouping val="clustered"/>
        <c:varyColors val="0"/>
        <c:ser>
          <c:idx val="0"/>
          <c:order val="0"/>
          <c:tx>
            <c:strRef>
              <c:f>'Mineral Sands - Q&amp;V'!$R$9</c:f>
              <c:strCache>
                <c:ptCount val="1"/>
                <c:pt idx="0">
                  <c:v>Quantity (Kt)</c:v>
                </c:pt>
              </c:strCache>
            </c:strRef>
          </c:tx>
          <c:invertIfNegative val="0"/>
          <c:cat>
            <c:numRef>
              <c:f>'Mineral Sands - Q&amp;V'!$Q$10:$Q$19</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'Mineral Sands - Q&amp;V'!$R$10:$R$19</c:f>
              <c:numCache>
                <c:formatCode>0.00</c:formatCode>
                <c:ptCount val="10"/>
                <c:pt idx="0">
                  <c:v>277.25769000000003</c:v>
                </c:pt>
                <c:pt idx="1">
                  <c:v>311.64514999999994</c:v>
                </c:pt>
                <c:pt idx="2">
                  <c:v>288.85266000000001</c:v>
                </c:pt>
                <c:pt idx="3">
                  <c:v>240.52067999999997</c:v>
                </c:pt>
                <c:pt idx="4">
                  <c:v>322.13924600000007</c:v>
                </c:pt>
                <c:pt idx="5">
                  <c:v>291.40313800000001</c:v>
                </c:pt>
                <c:pt idx="6">
                  <c:v>245.62914000000001</c:v>
                </c:pt>
                <c:pt idx="7">
                  <c:v>320.50612999999998</c:v>
                </c:pt>
                <c:pt idx="8">
                  <c:v>313.91525000000001</c:v>
                </c:pt>
                <c:pt idx="9">
                  <c:v>321.00593999999995</c:v>
                </c:pt>
              </c:numCache>
            </c:numRef>
          </c:val>
          <c:extLst>
            <c:ext xmlns:c16="http://schemas.microsoft.com/office/drawing/2014/chart" uri="{C3380CC4-5D6E-409C-BE32-E72D297353CC}">
              <c16:uniqueId val="{00000000-B60D-4A64-AF4C-E996F40E5292}"/>
            </c:ext>
          </c:extLst>
        </c:ser>
        <c:dLbls>
          <c:showLegendKey val="0"/>
          <c:showVal val="0"/>
          <c:showCatName val="0"/>
          <c:showSerName val="0"/>
          <c:showPercent val="0"/>
          <c:showBubbleSize val="0"/>
        </c:dLbls>
        <c:gapWidth val="40"/>
        <c:axId val="131834624"/>
        <c:axId val="131832448"/>
      </c:barChart>
      <c:lineChart>
        <c:grouping val="standard"/>
        <c:varyColors val="0"/>
        <c:ser>
          <c:idx val="1"/>
          <c:order val="1"/>
          <c:tx>
            <c:strRef>
              <c:f>'Mineral Sands - Q&amp;V'!$S$9</c:f>
              <c:strCache>
                <c:ptCount val="1"/>
                <c:pt idx="0">
                  <c:v>Value ($ Million)</c:v>
                </c:pt>
              </c:strCache>
            </c:strRef>
          </c:tx>
          <c:marker>
            <c:symbol val="none"/>
          </c:marker>
          <c:cat>
            <c:numRef>
              <c:f>'Nickel - Q&amp;V'!$R$10:$R$19</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'Mineral Sands - Q&amp;V'!$S$10:$S$19</c:f>
              <c:numCache>
                <c:formatCode>0.00</c:formatCode>
                <c:ptCount val="10"/>
                <c:pt idx="0">
                  <c:v>138.57047057801478</c:v>
                </c:pt>
                <c:pt idx="1">
                  <c:v>146.37994829323446</c:v>
                </c:pt>
                <c:pt idx="2">
                  <c:v>127.05420793713439</c:v>
                </c:pt>
                <c:pt idx="3">
                  <c:v>138.38763106901277</c:v>
                </c:pt>
                <c:pt idx="4">
                  <c:v>193.86647576907268</c:v>
                </c:pt>
                <c:pt idx="5">
                  <c:v>168.78947262163106</c:v>
                </c:pt>
                <c:pt idx="6">
                  <c:v>154.47429855541384</c:v>
                </c:pt>
                <c:pt idx="7">
                  <c:v>186.05293449591397</c:v>
                </c:pt>
                <c:pt idx="8">
                  <c:v>159.60179763440198</c:v>
                </c:pt>
                <c:pt idx="9">
                  <c:v>168.55028157767819</c:v>
                </c:pt>
              </c:numCache>
            </c:numRef>
          </c:val>
          <c:smooth val="0"/>
          <c:extLst>
            <c:ext xmlns:c16="http://schemas.microsoft.com/office/drawing/2014/chart" uri="{C3380CC4-5D6E-409C-BE32-E72D297353CC}">
              <c16:uniqueId val="{00000001-B60D-4A64-AF4C-E996F40E5292}"/>
            </c:ext>
          </c:extLst>
        </c:ser>
        <c:dLbls>
          <c:showLegendKey val="0"/>
          <c:showVal val="0"/>
          <c:showCatName val="0"/>
          <c:showSerName val="0"/>
          <c:showPercent val="0"/>
          <c:showBubbleSize val="0"/>
        </c:dLbls>
        <c:marker val="1"/>
        <c:smooth val="0"/>
        <c:axId val="131811968"/>
        <c:axId val="131830528"/>
      </c:lineChart>
      <c:catAx>
        <c:axId val="131811968"/>
        <c:scaling>
          <c:orientation val="minMax"/>
        </c:scaling>
        <c:delete val="0"/>
        <c:axPos val="b"/>
        <c:title>
          <c:tx>
            <c:rich>
              <a:bodyPr/>
              <a:lstStyle/>
              <a:p>
                <a:pPr>
                  <a:defRPr sz="900"/>
                </a:pPr>
                <a:r>
                  <a:rPr lang="en-AU" sz="900"/>
                  <a:t>Source: DMIRS</a:t>
                </a:r>
              </a:p>
            </c:rich>
          </c:tx>
          <c:layout>
            <c:manualLayout>
              <c:xMode val="edge"/>
              <c:yMode val="edge"/>
              <c:x val="4.8885135708118636E-3"/>
              <c:y val="0.94752515670405135"/>
            </c:manualLayout>
          </c:layout>
          <c:overlay val="0"/>
        </c:title>
        <c:numFmt formatCode="mmm\-yy" sourceLinked="1"/>
        <c:majorTickMark val="out"/>
        <c:minorTickMark val="none"/>
        <c:tickLblPos val="nextTo"/>
        <c:crossAx val="131830528"/>
        <c:crosses val="autoZero"/>
        <c:auto val="0"/>
        <c:lblAlgn val="ctr"/>
        <c:lblOffset val="100"/>
        <c:noMultiLvlLbl val="0"/>
      </c:catAx>
      <c:valAx>
        <c:axId val="131830528"/>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11968"/>
        <c:crosses val="autoZero"/>
        <c:crossBetween val="between"/>
      </c:valAx>
      <c:valAx>
        <c:axId val="131832448"/>
        <c:scaling>
          <c:orientation val="minMax"/>
          <c:min val="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1834624"/>
        <c:crosses val="max"/>
        <c:crossBetween val="between"/>
      </c:valAx>
      <c:dateAx>
        <c:axId val="131834624"/>
        <c:scaling>
          <c:orientation val="minMax"/>
        </c:scaling>
        <c:delete val="1"/>
        <c:axPos val="b"/>
        <c:numFmt formatCode="mmm\-yy" sourceLinked="1"/>
        <c:majorTickMark val="out"/>
        <c:minorTickMark val="none"/>
        <c:tickLblPos val="nextTo"/>
        <c:crossAx val="13183244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year</a:t>
            </a:r>
          </a:p>
        </c:rich>
      </c:tx>
      <c:overlay val="0"/>
    </c:title>
    <c:autoTitleDeleted val="0"/>
    <c:plotArea>
      <c:layout/>
      <c:barChart>
        <c:barDir val="col"/>
        <c:grouping val="clustered"/>
        <c:varyColors val="0"/>
        <c:ser>
          <c:idx val="0"/>
          <c:order val="0"/>
          <c:tx>
            <c:strRef>
              <c:f>'Mineral Sands - Q&amp;V'!$R$35</c:f>
              <c:strCache>
                <c:ptCount val="1"/>
                <c:pt idx="0">
                  <c:v>Quantity (Kt)</c:v>
                </c:pt>
              </c:strCache>
            </c:strRef>
          </c:tx>
          <c:invertIfNegative val="0"/>
          <c:cat>
            <c:numRef>
              <c:f>'Mineral Sands - Q&amp;V'!$Q$37:$Q$56</c:f>
              <c:numCache>
                <c:formatCode>@</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'Mineral Sands - Q&amp;V'!$R$37:$R$56</c:f>
              <c:numCache>
                <c:formatCode>0.00</c:formatCode>
                <c:ptCount val="20"/>
                <c:pt idx="0">
                  <c:v>2519.3909093939396</c:v>
                </c:pt>
                <c:pt idx="1">
                  <c:v>2081.4499078787881</c:v>
                </c:pt>
                <c:pt idx="2">
                  <c:v>2048.8123333333333</c:v>
                </c:pt>
                <c:pt idx="3">
                  <c:v>2287.1119242424243</c:v>
                </c:pt>
                <c:pt idx="4">
                  <c:v>2555.2416699999999</c:v>
                </c:pt>
                <c:pt idx="5">
                  <c:v>2635.0707200000002</c:v>
                </c:pt>
                <c:pt idx="6">
                  <c:v>2629.9670580000002</c:v>
                </c:pt>
                <c:pt idx="7">
                  <c:v>2489.7558399999998</c:v>
                </c:pt>
                <c:pt idx="8">
                  <c:v>2348.3883889999997</c:v>
                </c:pt>
                <c:pt idx="9">
                  <c:v>1881.4500789999997</c:v>
                </c:pt>
                <c:pt idx="10">
                  <c:v>1599.250035</c:v>
                </c:pt>
                <c:pt idx="11">
                  <c:v>1455.1578890000001</c:v>
                </c:pt>
                <c:pt idx="12">
                  <c:v>1334.321578</c:v>
                </c:pt>
                <c:pt idx="13">
                  <c:v>1344.932736</c:v>
                </c:pt>
                <c:pt idx="14">
                  <c:v>897.40157899999997</c:v>
                </c:pt>
                <c:pt idx="15">
                  <c:v>1213.5876553494604</c:v>
                </c:pt>
                <c:pt idx="16">
                  <c:v>1502.5822800000001</c:v>
                </c:pt>
                <c:pt idx="17">
                  <c:v>1105.9559300000001</c:v>
                </c:pt>
                <c:pt idx="18">
                  <c:v>1142.915724</c:v>
                </c:pt>
                <c:pt idx="19">
                  <c:v>1201.05646</c:v>
                </c:pt>
              </c:numCache>
            </c:numRef>
          </c:val>
          <c:extLst>
            <c:ext xmlns:c16="http://schemas.microsoft.com/office/drawing/2014/chart" uri="{C3380CC4-5D6E-409C-BE32-E72D297353CC}">
              <c16:uniqueId val="{00000000-DB53-438E-9210-D1FFBCE5D63F}"/>
            </c:ext>
          </c:extLst>
        </c:ser>
        <c:dLbls>
          <c:showLegendKey val="0"/>
          <c:showVal val="0"/>
          <c:showCatName val="0"/>
          <c:showSerName val="0"/>
          <c:showPercent val="0"/>
          <c:showBubbleSize val="0"/>
        </c:dLbls>
        <c:gapWidth val="40"/>
        <c:axId val="132982272"/>
        <c:axId val="132976000"/>
      </c:barChart>
      <c:lineChart>
        <c:grouping val="standard"/>
        <c:varyColors val="0"/>
        <c:ser>
          <c:idx val="1"/>
          <c:order val="1"/>
          <c:tx>
            <c:strRef>
              <c:f>'Mineral Sands - Q&amp;V'!$S$35</c:f>
              <c:strCache>
                <c:ptCount val="1"/>
                <c:pt idx="0">
                  <c:v>Value ($ Million)</c:v>
                </c:pt>
              </c:strCache>
            </c:strRef>
          </c:tx>
          <c:marker>
            <c:symbol val="none"/>
          </c:marker>
          <c:cat>
            <c:numRef>
              <c:f>'Mineral Sands - Q&amp;V'!$Q$37:$Q$56</c:f>
              <c:numCache>
                <c:formatCode>@</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'Mineral Sands - Q&amp;V'!$S$37:$S$56</c:f>
              <c:numCache>
                <c:formatCode>"$"#,##0.00</c:formatCode>
                <c:ptCount val="20"/>
                <c:pt idx="0">
                  <c:v>860.85899999999992</c:v>
                </c:pt>
                <c:pt idx="1">
                  <c:v>909.22499999999991</c:v>
                </c:pt>
                <c:pt idx="2">
                  <c:v>866.85200000000009</c:v>
                </c:pt>
                <c:pt idx="3">
                  <c:v>789.84878790303026</c:v>
                </c:pt>
                <c:pt idx="4">
                  <c:v>764.91077921212127</c:v>
                </c:pt>
                <c:pt idx="5">
                  <c:v>846.79359163939398</c:v>
                </c:pt>
                <c:pt idx="6">
                  <c:v>886.26281036130922</c:v>
                </c:pt>
                <c:pt idx="7">
                  <c:v>691.05571360429815</c:v>
                </c:pt>
                <c:pt idx="8">
                  <c:v>777.13671799124882</c:v>
                </c:pt>
                <c:pt idx="9">
                  <c:v>641.83094086659389</c:v>
                </c:pt>
                <c:pt idx="10">
                  <c:v>526.47051544375756</c:v>
                </c:pt>
                <c:pt idx="11">
                  <c:v>591.6221046056703</c:v>
                </c:pt>
                <c:pt idx="12">
                  <c:v>970.8070320666061</c:v>
                </c:pt>
                <c:pt idx="13">
                  <c:v>645.16523759951519</c:v>
                </c:pt>
                <c:pt idx="14">
                  <c:v>405.23803386666663</c:v>
                </c:pt>
                <c:pt idx="15">
                  <c:v>586.413597364417</c:v>
                </c:pt>
                <c:pt idx="16">
                  <c:v>612.46402801084832</c:v>
                </c:pt>
                <c:pt idx="17">
                  <c:v>513.50916281765262</c:v>
                </c:pt>
                <c:pt idx="18">
                  <c:v>628.09778739685089</c:v>
                </c:pt>
                <c:pt idx="19">
                  <c:v>668.67931226340795</c:v>
                </c:pt>
              </c:numCache>
            </c:numRef>
          </c:val>
          <c:smooth val="0"/>
          <c:extLst>
            <c:ext xmlns:c16="http://schemas.microsoft.com/office/drawing/2014/chart" uri="{C3380CC4-5D6E-409C-BE32-E72D297353CC}">
              <c16:uniqueId val="{00000001-DB53-438E-9210-D1FFBCE5D63F}"/>
            </c:ext>
          </c:extLst>
        </c:ser>
        <c:dLbls>
          <c:showLegendKey val="0"/>
          <c:showVal val="0"/>
          <c:showCatName val="0"/>
          <c:showSerName val="0"/>
          <c:showPercent val="0"/>
          <c:showBubbleSize val="0"/>
        </c:dLbls>
        <c:marker val="1"/>
        <c:smooth val="0"/>
        <c:axId val="131857792"/>
        <c:axId val="132974080"/>
      </c:lineChart>
      <c:catAx>
        <c:axId val="131857792"/>
        <c:scaling>
          <c:orientation val="minMax"/>
        </c:scaling>
        <c:delete val="0"/>
        <c:axPos val="b"/>
        <c:title>
          <c:tx>
            <c:rich>
              <a:bodyPr/>
              <a:lstStyle/>
              <a:p>
                <a:pPr>
                  <a:defRPr sz="900"/>
                </a:pPr>
                <a:r>
                  <a:rPr lang="en-AU" sz="900"/>
                  <a:t>Source: DMIRS</a:t>
                </a:r>
              </a:p>
            </c:rich>
          </c:tx>
          <c:layout>
            <c:manualLayout>
              <c:xMode val="edge"/>
              <c:yMode val="edge"/>
              <c:x val="0"/>
              <c:y val="0.93794308231796231"/>
            </c:manualLayout>
          </c:layout>
          <c:overlay val="0"/>
        </c:title>
        <c:numFmt formatCode="@@@@@@@@@" sourceLinked="0"/>
        <c:majorTickMark val="out"/>
        <c:minorTickMark val="none"/>
        <c:tickLblPos val="nextTo"/>
        <c:txPr>
          <a:bodyPr rot="-2700000"/>
          <a:lstStyle/>
          <a:p>
            <a:pPr>
              <a:defRPr/>
            </a:pPr>
            <a:endParaRPr lang="en-US"/>
          </a:p>
        </c:txPr>
        <c:crossAx val="132974080"/>
        <c:crosses val="autoZero"/>
        <c:auto val="0"/>
        <c:lblAlgn val="ctr"/>
        <c:lblOffset val="100"/>
        <c:tickLblSkip val="1"/>
        <c:noMultiLvlLbl val="1"/>
      </c:catAx>
      <c:valAx>
        <c:axId val="13297408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57792"/>
        <c:crosses val="autoZero"/>
        <c:crossBetween val="between"/>
      </c:valAx>
      <c:valAx>
        <c:axId val="132976000"/>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2982272"/>
        <c:crosses val="max"/>
        <c:crossBetween val="between"/>
      </c:valAx>
      <c:catAx>
        <c:axId val="132982272"/>
        <c:scaling>
          <c:orientation val="minMax"/>
        </c:scaling>
        <c:delete val="1"/>
        <c:axPos val="b"/>
        <c:numFmt formatCode="@" sourceLinked="1"/>
        <c:majorTickMark val="out"/>
        <c:minorTickMark val="none"/>
        <c:tickLblPos val="nextTo"/>
        <c:crossAx val="13297600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Rutile and zircon</a:t>
            </a:r>
          </a:p>
          <a:p>
            <a:pPr>
              <a:defRPr/>
            </a:pPr>
            <a:r>
              <a:rPr lang="en-AU" sz="1100"/>
              <a:t>Monthly price, past 5 years</a:t>
            </a:r>
          </a:p>
        </c:rich>
      </c:tx>
      <c:overlay val="0"/>
    </c:title>
    <c:autoTitleDeleted val="0"/>
    <c:plotArea>
      <c:layout/>
      <c:lineChart>
        <c:grouping val="standard"/>
        <c:varyColors val="0"/>
        <c:ser>
          <c:idx val="0"/>
          <c:order val="0"/>
          <c:tx>
            <c:strRef>
              <c:f>'Mineral Sands - Prices'!$B$7</c:f>
              <c:strCache>
                <c:ptCount val="1"/>
                <c:pt idx="0">
                  <c:v>Rutile</c:v>
                </c:pt>
              </c:strCache>
            </c:strRef>
          </c:tx>
          <c:marker>
            <c:symbol val="none"/>
          </c:marker>
          <c:cat>
            <c:numRef>
              <c:f>'Data - Monthly Commodity Prices'!$AY$9:$AY$68</c:f>
              <c:numCache>
                <c:formatCode>General</c:formatCode>
                <c:ptCount val="60"/>
                <c:pt idx="2" formatCode="mmm\-yy">
                  <c:v>42064</c:v>
                </c:pt>
                <c:pt idx="5" formatCode="mmm\-yy">
                  <c:v>42156</c:v>
                </c:pt>
                <c:pt idx="8" formatCode="mmm\-yy">
                  <c:v>42248</c:v>
                </c:pt>
                <c:pt idx="11" formatCode="mmm\-yy">
                  <c:v>42339</c:v>
                </c:pt>
                <c:pt idx="14" formatCode="mmm\-yy">
                  <c:v>42430</c:v>
                </c:pt>
                <c:pt idx="17" formatCode="mmm\-yy">
                  <c:v>42522</c:v>
                </c:pt>
                <c:pt idx="20" formatCode="mmm\-yy">
                  <c:v>42614</c:v>
                </c:pt>
                <c:pt idx="23" formatCode="mmm\-yy">
                  <c:v>42705</c:v>
                </c:pt>
                <c:pt idx="26" formatCode="mmm\-yy">
                  <c:v>42795</c:v>
                </c:pt>
                <c:pt idx="29" formatCode="mmm\-yy">
                  <c:v>42887</c:v>
                </c:pt>
                <c:pt idx="32" formatCode="mmm\-yy">
                  <c:v>42979</c:v>
                </c:pt>
                <c:pt idx="35" formatCode="mmm\-yy">
                  <c:v>43070</c:v>
                </c:pt>
                <c:pt idx="38" formatCode="mmm\-yy">
                  <c:v>43160</c:v>
                </c:pt>
                <c:pt idx="41" formatCode="mmm\-yy">
                  <c:v>43252</c:v>
                </c:pt>
                <c:pt idx="44" formatCode="mmm\-yy">
                  <c:v>43344</c:v>
                </c:pt>
                <c:pt idx="47" formatCode="mmm\-yy">
                  <c:v>43435</c:v>
                </c:pt>
                <c:pt idx="50" formatCode="mmm\-yy">
                  <c:v>43525</c:v>
                </c:pt>
                <c:pt idx="53" formatCode="mmm\-yy">
                  <c:v>43617</c:v>
                </c:pt>
                <c:pt idx="56" formatCode="mmm\-yy">
                  <c:v>43709</c:v>
                </c:pt>
                <c:pt idx="59" formatCode="mmm\-yy">
                  <c:v>43800</c:v>
                </c:pt>
              </c:numCache>
            </c:numRef>
          </c:cat>
          <c:val>
            <c:numRef>
              <c:f>'Mineral Sands - Prices'!$B$9:$B$68</c:f>
              <c:numCache>
                <c:formatCode>"$"#,##0.00</c:formatCode>
                <c:ptCount val="60"/>
                <c:pt idx="0">
                  <c:v>1277.9656777196044</c:v>
                </c:pt>
                <c:pt idx="1">
                  <c:v>1163.6295143212951</c:v>
                </c:pt>
                <c:pt idx="2">
                  <c:v>1128.3213389121338</c:v>
                </c:pt>
                <c:pt idx="3">
                  <c:v>1346.336236391913</c:v>
                </c:pt>
                <c:pt idx="4">
                  <c:v>1387.7336585365854</c:v>
                </c:pt>
                <c:pt idx="5">
                  <c:v>1328.751592356688</c:v>
                </c:pt>
                <c:pt idx="6">
                  <c:v>1212.897901659881</c:v>
                </c:pt>
                <c:pt idx="7">
                  <c:v>1325.607661056297</c:v>
                </c:pt>
                <c:pt idx="8">
                  <c:v>1215.0913216108904</c:v>
                </c:pt>
                <c:pt idx="9">
                  <c:v>1211.9656215621562</c:v>
                </c:pt>
                <c:pt idx="10">
                  <c:v>1092.3896133093526</c:v>
                </c:pt>
                <c:pt idx="11">
                  <c:v>1199.5194784544442</c:v>
                </c:pt>
                <c:pt idx="12">
                  <c:v>1215.1039317281316</c:v>
                </c:pt>
                <c:pt idx="13">
                  <c:v>1138.3088668880544</c:v>
                </c:pt>
                <c:pt idx="14">
                  <c:v>1122.0669768661119</c:v>
                </c:pt>
                <c:pt idx="15">
                  <c:v>1101.1751380433243</c:v>
                </c:pt>
                <c:pt idx="16">
                  <c:v>1102.2793091996014</c:v>
                </c:pt>
                <c:pt idx="17">
                  <c:v>1174.1419038122267</c:v>
                </c:pt>
                <c:pt idx="18">
                  <c:v>1103.5824732229796</c:v>
                </c:pt>
                <c:pt idx="19">
                  <c:v>1053.5592643775913</c:v>
                </c:pt>
                <c:pt idx="20">
                  <c:v>1153.4440303302918</c:v>
                </c:pt>
                <c:pt idx="21">
                  <c:v>1140.2731515598134</c:v>
                </c:pt>
                <c:pt idx="22">
                  <c:v>1147.314632000782</c:v>
                </c:pt>
                <c:pt idx="23">
                  <c:v>1197.9728260869565</c:v>
                </c:pt>
                <c:pt idx="24">
                  <c:v>1123.7136586895183</c:v>
                </c:pt>
                <c:pt idx="25">
                  <c:v>1082.0640740740741</c:v>
                </c:pt>
                <c:pt idx="26">
                  <c:v>1142.3251568739304</c:v>
                </c:pt>
                <c:pt idx="27">
                  <c:v>1182.8298176617805</c:v>
                </c:pt>
                <c:pt idx="28">
                  <c:v>1208.9384993849937</c:v>
                </c:pt>
                <c:pt idx="29">
                  <c:v>1184.3826378539493</c:v>
                </c:pt>
                <c:pt idx="30">
                  <c:v>1157.2112326043737</c:v>
                </c:pt>
                <c:pt idx="31">
                  <c:v>1081.4808238636363</c:v>
                </c:pt>
                <c:pt idx="32">
                  <c:v>1133.4576188143067</c:v>
                </c:pt>
                <c:pt idx="33">
                  <c:v>1232.1185062965569</c:v>
                </c:pt>
                <c:pt idx="34">
                  <c:v>1253.5497441728255</c:v>
                </c:pt>
                <c:pt idx="35">
                  <c:v>1210.3602569986233</c:v>
                </c:pt>
                <c:pt idx="36">
                  <c:v>1206.4742616033755</c:v>
                </c:pt>
                <c:pt idx="37">
                  <c:v>1294.9728155339806</c:v>
                </c:pt>
                <c:pt idx="38">
                  <c:v>1293.3423787528868</c:v>
                </c:pt>
                <c:pt idx="39">
                  <c:v>1245.1258426966292</c:v>
                </c:pt>
                <c:pt idx="40">
                  <c:v>1341.9234072314189</c:v>
                </c:pt>
                <c:pt idx="41">
                  <c:v>1373.1087239583333</c:v>
                </c:pt>
                <c:pt idx="42">
                  <c:v>1361.773428232503</c:v>
                </c:pt>
                <c:pt idx="43">
                  <c:v>1436.7537037037036</c:v>
                </c:pt>
                <c:pt idx="44">
                  <c:v>1494.2061579651941</c:v>
                </c:pt>
                <c:pt idx="45">
                  <c:v>1496.0272045028144</c:v>
                </c:pt>
                <c:pt idx="46">
                  <c:v>1481.1102003642986</c:v>
                </c:pt>
                <c:pt idx="47">
                  <c:v>1484.9178668742702</c:v>
                </c:pt>
                <c:pt idx="48">
                  <c:v>1536.8104115371086</c:v>
                </c:pt>
                <c:pt idx="49">
                  <c:v>1583.0428802588997</c:v>
                </c:pt>
                <c:pt idx="50">
                  <c:v>1563.9150239744272</c:v>
                </c:pt>
                <c:pt idx="51">
                  <c:v>1540.1657940663176</c:v>
                </c:pt>
                <c:pt idx="52">
                  <c:v>1629.5495928941525</c:v>
                </c:pt>
                <c:pt idx="53">
                  <c:v>1624.5305669939817</c:v>
                </c:pt>
                <c:pt idx="54">
                  <c:v>1645.3816956367507</c:v>
                </c:pt>
                <c:pt idx="55">
                  <c:v>1820.0979942693409</c:v>
                </c:pt>
                <c:pt idx="56">
                  <c:v>1744.8484162895927</c:v>
                </c:pt>
                <c:pt idx="57">
                  <c:v>1576.3932253313696</c:v>
                </c:pt>
                <c:pt idx="58">
                  <c:v>1850.9246621621621</c:v>
                </c:pt>
                <c:pt idx="59">
                  <c:v>1911.6204481792718</c:v>
                </c:pt>
              </c:numCache>
            </c:numRef>
          </c:val>
          <c:smooth val="0"/>
          <c:extLst>
            <c:ext xmlns:c16="http://schemas.microsoft.com/office/drawing/2014/chart" uri="{C3380CC4-5D6E-409C-BE32-E72D297353CC}">
              <c16:uniqueId val="{00000000-368C-44FC-9139-77910D5CD6A4}"/>
            </c:ext>
          </c:extLst>
        </c:ser>
        <c:ser>
          <c:idx val="1"/>
          <c:order val="1"/>
          <c:tx>
            <c:strRef>
              <c:f>'Mineral Sands - Prices'!$C$7</c:f>
              <c:strCache>
                <c:ptCount val="1"/>
                <c:pt idx="0">
                  <c:v>Zircon</c:v>
                </c:pt>
              </c:strCache>
            </c:strRef>
          </c:tx>
          <c:marker>
            <c:symbol val="none"/>
          </c:marker>
          <c:cat>
            <c:numRef>
              <c:f>'Data - Monthly Commodity Prices'!$AY$9:$AY$68</c:f>
              <c:numCache>
                <c:formatCode>General</c:formatCode>
                <c:ptCount val="60"/>
                <c:pt idx="2" formatCode="mmm\-yy">
                  <c:v>42064</c:v>
                </c:pt>
                <c:pt idx="5" formatCode="mmm\-yy">
                  <c:v>42156</c:v>
                </c:pt>
                <c:pt idx="8" formatCode="mmm\-yy">
                  <c:v>42248</c:v>
                </c:pt>
                <c:pt idx="11" formatCode="mmm\-yy">
                  <c:v>42339</c:v>
                </c:pt>
                <c:pt idx="14" formatCode="mmm\-yy">
                  <c:v>42430</c:v>
                </c:pt>
                <c:pt idx="17" formatCode="mmm\-yy">
                  <c:v>42522</c:v>
                </c:pt>
                <c:pt idx="20" formatCode="mmm\-yy">
                  <c:v>42614</c:v>
                </c:pt>
                <c:pt idx="23" formatCode="mmm\-yy">
                  <c:v>42705</c:v>
                </c:pt>
                <c:pt idx="26" formatCode="mmm\-yy">
                  <c:v>42795</c:v>
                </c:pt>
                <c:pt idx="29" formatCode="mmm\-yy">
                  <c:v>42887</c:v>
                </c:pt>
                <c:pt idx="32" formatCode="mmm\-yy">
                  <c:v>42979</c:v>
                </c:pt>
                <c:pt idx="35" formatCode="mmm\-yy">
                  <c:v>43070</c:v>
                </c:pt>
                <c:pt idx="38" formatCode="mmm\-yy">
                  <c:v>43160</c:v>
                </c:pt>
                <c:pt idx="41" formatCode="mmm\-yy">
                  <c:v>43252</c:v>
                </c:pt>
                <c:pt idx="44" formatCode="mmm\-yy">
                  <c:v>43344</c:v>
                </c:pt>
                <c:pt idx="47" formatCode="mmm\-yy">
                  <c:v>43435</c:v>
                </c:pt>
                <c:pt idx="50" formatCode="mmm\-yy">
                  <c:v>43525</c:v>
                </c:pt>
                <c:pt idx="53" formatCode="mmm\-yy">
                  <c:v>43617</c:v>
                </c:pt>
                <c:pt idx="56" formatCode="mmm\-yy">
                  <c:v>43709</c:v>
                </c:pt>
                <c:pt idx="59" formatCode="mmm\-yy">
                  <c:v>43800</c:v>
                </c:pt>
              </c:numCache>
            </c:numRef>
          </c:cat>
          <c:val>
            <c:numRef>
              <c:f>'Mineral Sands - Prices'!$C$9:$C$68</c:f>
              <c:numCache>
                <c:formatCode>"$"#,##0.00</c:formatCode>
                <c:ptCount val="60"/>
                <c:pt idx="0">
                  <c:v>1395.1450248030346</c:v>
                </c:pt>
                <c:pt idx="1">
                  <c:v>1346.460918614021</c:v>
                </c:pt>
                <c:pt idx="2">
                  <c:v>1402.6031116050167</c:v>
                </c:pt>
                <c:pt idx="3">
                  <c:v>1334.3865791393143</c:v>
                </c:pt>
                <c:pt idx="4">
                  <c:v>1317.8331099195711</c:v>
                </c:pt>
                <c:pt idx="5">
                  <c:v>1362.0528018826299</c:v>
                </c:pt>
                <c:pt idx="6">
                  <c:v>1386.1667881881151</c:v>
                </c:pt>
                <c:pt idx="7">
                  <c:v>1378.3134670487107</c:v>
                </c:pt>
                <c:pt idx="8">
                  <c:v>1425.0652060511215</c:v>
                </c:pt>
                <c:pt idx="9">
                  <c:v>1299.8665325285044</c:v>
                </c:pt>
                <c:pt idx="10">
                  <c:v>1347.7326805837797</c:v>
                </c:pt>
                <c:pt idx="11">
                  <c:v>1325.8455993294217</c:v>
                </c:pt>
                <c:pt idx="12">
                  <c:v>1250.2923645804181</c:v>
                </c:pt>
                <c:pt idx="13">
                  <c:v>1380.8414544312816</c:v>
                </c:pt>
                <c:pt idx="14">
                  <c:v>1291.0093515066317</c:v>
                </c:pt>
                <c:pt idx="15">
                  <c:v>1125.4958970570617</c:v>
                </c:pt>
                <c:pt idx="16">
                  <c:v>1188.057852198461</c:v>
                </c:pt>
                <c:pt idx="17">
                  <c:v>1171.6025990358416</c:v>
                </c:pt>
                <c:pt idx="18">
                  <c:v>1183.8377883121539</c:v>
                </c:pt>
                <c:pt idx="19">
                  <c:v>1142.5105130012855</c:v>
                </c:pt>
                <c:pt idx="20">
                  <c:v>1135.416575743028</c:v>
                </c:pt>
                <c:pt idx="21">
                  <c:v>1146.3494258872652</c:v>
                </c:pt>
                <c:pt idx="22">
                  <c:v>1175.3088181148746</c:v>
                </c:pt>
                <c:pt idx="23">
                  <c:v>1227.4514660353304</c:v>
                </c:pt>
                <c:pt idx="24">
                  <c:v>1235.5819881053526</c:v>
                </c:pt>
                <c:pt idx="25">
                  <c:v>1121.9014401440145</c:v>
                </c:pt>
                <c:pt idx="26">
                  <c:v>1195.6817040699887</c:v>
                </c:pt>
                <c:pt idx="27">
                  <c:v>1295.7932028792093</c:v>
                </c:pt>
                <c:pt idx="28">
                  <c:v>1268.9786068353769</c:v>
                </c:pt>
                <c:pt idx="29">
                  <c:v>1264.2666238613106</c:v>
                </c:pt>
                <c:pt idx="30">
                  <c:v>1269.6128239033103</c:v>
                </c:pt>
                <c:pt idx="31">
                  <c:v>1363.271260199456</c:v>
                </c:pt>
                <c:pt idx="32">
                  <c:v>1281.6329396744334</c:v>
                </c:pt>
                <c:pt idx="33">
                  <c:v>1568.7805748637986</c:v>
                </c:pt>
                <c:pt idx="34">
                  <c:v>1651.0540428472702</c:v>
                </c:pt>
                <c:pt idx="35">
                  <c:v>1657.3379351295182</c:v>
                </c:pt>
                <c:pt idx="36">
                  <c:v>1673.7133990507484</c:v>
                </c:pt>
                <c:pt idx="37">
                  <c:v>1855.9223646723647</c:v>
                </c:pt>
                <c:pt idx="38">
                  <c:v>1740.1903616600866</c:v>
                </c:pt>
                <c:pt idx="39">
                  <c:v>1872.7807713239965</c:v>
                </c:pt>
                <c:pt idx="40">
                  <c:v>1938.025706940874</c:v>
                </c:pt>
                <c:pt idx="41">
                  <c:v>1895.1131188347008</c:v>
                </c:pt>
                <c:pt idx="42">
                  <c:v>2096.9206536719826</c:v>
                </c:pt>
                <c:pt idx="43">
                  <c:v>2112.8665584105456</c:v>
                </c:pt>
                <c:pt idx="44">
                  <c:v>2147.098704778919</c:v>
                </c:pt>
                <c:pt idx="45">
                  <c:v>2203.6002763067004</c:v>
                </c:pt>
                <c:pt idx="46">
                  <c:v>2161.8938775510205</c:v>
                </c:pt>
                <c:pt idx="47">
                  <c:v>2122.5936593659367</c:v>
                </c:pt>
                <c:pt idx="48">
                  <c:v>2178.5865060240963</c:v>
                </c:pt>
                <c:pt idx="49">
                  <c:v>2152.1483010479519</c:v>
                </c:pt>
                <c:pt idx="50">
                  <c:v>2208.0118771726534</c:v>
                </c:pt>
                <c:pt idx="51">
                  <c:v>2167.5458242101972</c:v>
                </c:pt>
                <c:pt idx="52">
                  <c:v>2225.5955696202532</c:v>
                </c:pt>
                <c:pt idx="53">
                  <c:v>2240.4448030780118</c:v>
                </c:pt>
                <c:pt idx="54">
                  <c:v>2213.7237550471064</c:v>
                </c:pt>
                <c:pt idx="55">
                  <c:v>2252.8276311502118</c:v>
                </c:pt>
                <c:pt idx="56">
                  <c:v>2222.9214598540148</c:v>
                </c:pt>
                <c:pt idx="57">
                  <c:v>2167.8608354771532</c:v>
                </c:pt>
                <c:pt idx="58">
                  <c:v>1918.4700971204634</c:v>
                </c:pt>
                <c:pt idx="59">
                  <c:v>2118.9674428832668</c:v>
                </c:pt>
              </c:numCache>
            </c:numRef>
          </c:val>
          <c:smooth val="0"/>
          <c:extLst>
            <c:ext xmlns:c16="http://schemas.microsoft.com/office/drawing/2014/chart" uri="{C3380CC4-5D6E-409C-BE32-E72D297353CC}">
              <c16:uniqueId val="{00000001-368C-44FC-9139-77910D5CD6A4}"/>
            </c:ext>
          </c:extLst>
        </c:ser>
        <c:dLbls>
          <c:showLegendKey val="0"/>
          <c:showVal val="0"/>
          <c:showCatName val="0"/>
          <c:showSerName val="0"/>
          <c:showPercent val="0"/>
          <c:showBubbleSize val="0"/>
        </c:dLbls>
        <c:smooth val="0"/>
        <c:axId val="133158400"/>
        <c:axId val="133156864"/>
      </c:lineChart>
      <c:valAx>
        <c:axId val="133156864"/>
        <c:scaling>
          <c:orientation val="minMax"/>
        </c:scaling>
        <c:delete val="0"/>
        <c:axPos val="l"/>
        <c:majorGridlines/>
        <c:title>
          <c:tx>
            <c:rich>
              <a:bodyPr/>
              <a:lstStyle/>
              <a:p>
                <a:pPr>
                  <a:defRPr/>
                </a:pPr>
                <a:r>
                  <a:rPr lang="en-AU"/>
                  <a:t>A$/tonne</a:t>
                </a:r>
              </a:p>
            </c:rich>
          </c:tx>
          <c:overlay val="0"/>
        </c:title>
        <c:numFmt formatCode="#,##0" sourceLinked="0"/>
        <c:majorTickMark val="out"/>
        <c:minorTickMark val="none"/>
        <c:tickLblPos val="nextTo"/>
        <c:crossAx val="133158400"/>
        <c:crosses val="autoZero"/>
        <c:crossBetween val="between"/>
      </c:valAx>
      <c:catAx>
        <c:axId val="133158400"/>
        <c:scaling>
          <c:orientation val="minMax"/>
        </c:scaling>
        <c:delete val="0"/>
        <c:axPos val="b"/>
        <c:title>
          <c:tx>
            <c:rich>
              <a:bodyPr/>
              <a:lstStyle/>
              <a:p>
                <a:pPr>
                  <a:defRPr sz="900"/>
                </a:pPr>
                <a:r>
                  <a:rPr lang="en-AU" sz="900"/>
                  <a:t>Source:  ABS</a:t>
                </a:r>
              </a:p>
            </c:rich>
          </c:tx>
          <c:layout>
            <c:manualLayout>
              <c:xMode val="edge"/>
              <c:yMode val="edge"/>
              <c:x val="5.3324002104216056E-3"/>
              <c:y val="0.94946707074149661"/>
            </c:manualLayout>
          </c:layout>
          <c:overlay val="0"/>
        </c:title>
        <c:numFmt formatCode="General" sourceLinked="1"/>
        <c:majorTickMark val="out"/>
        <c:minorTickMark val="none"/>
        <c:tickLblPos val="nextTo"/>
        <c:crossAx val="13315686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US"/>
              <a:t>Mineral sands</a:t>
            </a:r>
          </a:p>
          <a:p>
            <a:pPr>
              <a:defRPr/>
            </a:pPr>
            <a:r>
              <a:rPr lang="en-US" sz="1100"/>
              <a:t>Historic avg. annual price</a:t>
            </a:r>
            <a:endParaRPr lang="en-AU" sz="1100"/>
          </a:p>
        </c:rich>
      </c:tx>
      <c:overlay val="0"/>
    </c:title>
    <c:autoTitleDeleted val="0"/>
    <c:plotArea>
      <c:layout>
        <c:manualLayout>
          <c:layoutTarget val="inner"/>
          <c:xMode val="edge"/>
          <c:yMode val="edge"/>
          <c:x val="0.12995295818027908"/>
          <c:y val="0.23172363558320311"/>
          <c:w val="0.81546267971604292"/>
          <c:h val="0.57996293406663091"/>
        </c:manualLayout>
      </c:layout>
      <c:lineChart>
        <c:grouping val="standard"/>
        <c:varyColors val="0"/>
        <c:ser>
          <c:idx val="0"/>
          <c:order val="0"/>
          <c:tx>
            <c:strRef>
              <c:f>'Mineral Sands - Prices'!$H$7</c:f>
              <c:strCache>
                <c:ptCount val="1"/>
                <c:pt idx="0">
                  <c:v>Rutile</c:v>
                </c:pt>
              </c:strCache>
            </c:strRef>
          </c:tx>
          <c:marker>
            <c:symbol val="none"/>
          </c:marker>
          <c:cat>
            <c:numRef>
              <c:extLst>
                <c:ext xmlns:c15="http://schemas.microsoft.com/office/drawing/2012/chart" uri="{02D57815-91ED-43cb-92C2-25804820EDAC}">
                  <c15:fullRef>
                    <c15:sqref>'Mineral Sands - Prices'!$G$9:$G$42</c15:sqref>
                  </c15:fullRef>
                </c:ext>
              </c:extLst>
              <c:f>'Mineral Sands - Prices'!$G$10:$G$42</c:f>
              <c:numCache>
                <c:formatCode>General</c:formatCode>
                <c:ptCount val="33"/>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numCache>
            </c:numRef>
          </c:cat>
          <c:val>
            <c:numRef>
              <c:extLst>
                <c:ext xmlns:c15="http://schemas.microsoft.com/office/drawing/2012/chart" uri="{02D57815-91ED-43cb-92C2-25804820EDAC}">
                  <c15:fullRef>
                    <c15:sqref>'Mineral Sands - Prices'!$H$9:$H$42</c15:sqref>
                  </c15:fullRef>
                </c:ext>
              </c:extLst>
              <c:f>'Mineral Sands - Prices'!$H$10:$H$42</c:f>
              <c:numCache>
                <c:formatCode>"$"#,##0.00</c:formatCode>
                <c:ptCount val="33"/>
                <c:pt idx="0">
                  <c:v>640.66666666666663</c:v>
                </c:pt>
                <c:pt idx="1">
                  <c:v>647.5</c:v>
                </c:pt>
                <c:pt idx="2">
                  <c:v>734.16666666666663</c:v>
                </c:pt>
                <c:pt idx="3">
                  <c:v>843.75</c:v>
                </c:pt>
                <c:pt idx="4">
                  <c:v>687.75</c:v>
                </c:pt>
                <c:pt idx="5">
                  <c:v>564.75</c:v>
                </c:pt>
                <c:pt idx="6">
                  <c:v>536.5</c:v>
                </c:pt>
                <c:pt idx="7">
                  <c:v>442.5</c:v>
                </c:pt>
                <c:pt idx="8">
                  <c:v>577.25</c:v>
                </c:pt>
                <c:pt idx="9">
                  <c:v>692.75</c:v>
                </c:pt>
                <c:pt idx="10">
                  <c:v>696.5</c:v>
                </c:pt>
                <c:pt idx="11">
                  <c:v>811.3218484769086</c:v>
                </c:pt>
                <c:pt idx="12">
                  <c:v>783.92073123133071</c:v>
                </c:pt>
                <c:pt idx="13">
                  <c:v>846.20583333333343</c:v>
                </c:pt>
                <c:pt idx="14">
                  <c:v>966.11083333333329</c:v>
                </c:pt>
                <c:pt idx="15">
                  <c:v>921.82166666666672</c:v>
                </c:pt>
                <c:pt idx="16">
                  <c:v>746.74833333333333</c:v>
                </c:pt>
                <c:pt idx="17">
                  <c:v>726.69901141637638</c:v>
                </c:pt>
                <c:pt idx="18">
                  <c:v>841.23561886947016</c:v>
                </c:pt>
                <c:pt idx="19">
                  <c:v>902.08019232662036</c:v>
                </c:pt>
                <c:pt idx="20">
                  <c:v>804.58861008199312</c:v>
                </c:pt>
                <c:pt idx="21">
                  <c:v>849.51240767527327</c:v>
                </c:pt>
                <c:pt idx="22">
                  <c:v>1113.1006023405398</c:v>
                </c:pt>
                <c:pt idx="23">
                  <c:v>897.44329921364499</c:v>
                </c:pt>
                <c:pt idx="24">
                  <c:v>1133.9031181060989</c:v>
                </c:pt>
                <c:pt idx="25">
                  <c:v>2698.7099287883375</c:v>
                </c:pt>
                <c:pt idx="26">
                  <c:v>1573.7928804343508</c:v>
                </c:pt>
                <c:pt idx="27">
                  <c:v>1090.216473991369</c:v>
                </c:pt>
                <c:pt idx="28">
                  <c:v>1240.8508013242702</c:v>
                </c:pt>
                <c:pt idx="29">
                  <c:v>1137.4352086763222</c:v>
                </c:pt>
                <c:pt idx="30">
                  <c:v>1166.0360022740474</c:v>
                </c:pt>
                <c:pt idx="31">
                  <c:v>1375.811332618284</c:v>
                </c:pt>
                <c:pt idx="32">
                  <c:v>1668.9400592994477</c:v>
                </c:pt>
              </c:numCache>
            </c:numRef>
          </c:val>
          <c:smooth val="0"/>
          <c:extLst>
            <c:ext xmlns:c16="http://schemas.microsoft.com/office/drawing/2014/chart" uri="{C3380CC4-5D6E-409C-BE32-E72D297353CC}">
              <c16:uniqueId val="{00000000-435B-4A6E-8B70-41A67C10F69F}"/>
            </c:ext>
          </c:extLst>
        </c:ser>
        <c:ser>
          <c:idx val="1"/>
          <c:order val="1"/>
          <c:tx>
            <c:strRef>
              <c:f>'Mineral Sands - Prices'!$I$7</c:f>
              <c:strCache>
                <c:ptCount val="1"/>
                <c:pt idx="0">
                  <c:v>Zircon</c:v>
                </c:pt>
              </c:strCache>
            </c:strRef>
          </c:tx>
          <c:marker>
            <c:symbol val="none"/>
          </c:marker>
          <c:cat>
            <c:numRef>
              <c:extLst>
                <c:ext xmlns:c15="http://schemas.microsoft.com/office/drawing/2012/chart" uri="{02D57815-91ED-43cb-92C2-25804820EDAC}">
                  <c15:fullRef>
                    <c15:sqref>'Mineral Sands - Prices'!$G$9:$G$42</c15:sqref>
                  </c15:fullRef>
                </c:ext>
              </c:extLst>
              <c:f>'Mineral Sands - Prices'!$G$10:$G$42</c:f>
              <c:numCache>
                <c:formatCode>General</c:formatCode>
                <c:ptCount val="33"/>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numCache>
            </c:numRef>
          </c:cat>
          <c:val>
            <c:numRef>
              <c:extLst>
                <c:ext xmlns:c15="http://schemas.microsoft.com/office/drawing/2012/chart" uri="{02D57815-91ED-43cb-92C2-25804820EDAC}">
                  <c15:fullRef>
                    <c15:sqref>'Mineral Sands - Prices'!$I$9:$I$42</c15:sqref>
                  </c15:fullRef>
                </c:ext>
              </c:extLst>
              <c:f>'Mineral Sands - Prices'!$I$10:$I$42</c:f>
              <c:numCache>
                <c:formatCode>"$"#,##0.00</c:formatCode>
                <c:ptCount val="33"/>
                <c:pt idx="0">
                  <c:v>270</c:v>
                </c:pt>
                <c:pt idx="1">
                  <c:v>310</c:v>
                </c:pt>
                <c:pt idx="2">
                  <c:v>515</c:v>
                </c:pt>
                <c:pt idx="3">
                  <c:v>574.33333333333337</c:v>
                </c:pt>
                <c:pt idx="4">
                  <c:v>400.75</c:v>
                </c:pt>
                <c:pt idx="5">
                  <c:v>216.75</c:v>
                </c:pt>
                <c:pt idx="6">
                  <c:v>169.25</c:v>
                </c:pt>
                <c:pt idx="7">
                  <c:v>234.5</c:v>
                </c:pt>
                <c:pt idx="8">
                  <c:v>352.25</c:v>
                </c:pt>
                <c:pt idx="9">
                  <c:v>564.5</c:v>
                </c:pt>
                <c:pt idx="10">
                  <c:v>574</c:v>
                </c:pt>
                <c:pt idx="11">
                  <c:v>555.69899169483199</c:v>
                </c:pt>
                <c:pt idx="12">
                  <c:v>511.31013276908487</c:v>
                </c:pt>
                <c:pt idx="13">
                  <c:v>629.84250000000009</c:v>
                </c:pt>
                <c:pt idx="14">
                  <c:v>802.76833333333332</c:v>
                </c:pt>
                <c:pt idx="15">
                  <c:v>826.95999999999992</c:v>
                </c:pt>
                <c:pt idx="16">
                  <c:v>700.96083333333343</c:v>
                </c:pt>
                <c:pt idx="17">
                  <c:v>785.35716104012909</c:v>
                </c:pt>
                <c:pt idx="18">
                  <c:v>1011.4432617873277</c:v>
                </c:pt>
                <c:pt idx="19">
                  <c:v>1116.5649410552307</c:v>
                </c:pt>
                <c:pt idx="20">
                  <c:v>1059.5140299785669</c:v>
                </c:pt>
                <c:pt idx="21">
                  <c:v>1013.6758316055339</c:v>
                </c:pt>
                <c:pt idx="22">
                  <c:v>1196.6070783346072</c:v>
                </c:pt>
                <c:pt idx="23">
                  <c:v>1042.916702201426</c:v>
                </c:pt>
                <c:pt idx="24">
                  <c:v>1905.2323059264663</c:v>
                </c:pt>
                <c:pt idx="25">
                  <c:v>2188.2575402213502</c:v>
                </c:pt>
                <c:pt idx="26">
                  <c:v>1238.6040401044102</c:v>
                </c:pt>
                <c:pt idx="27">
                  <c:v>1203.8395062815061</c:v>
                </c:pt>
                <c:pt idx="28">
                  <c:v>1360.1226516411034</c:v>
                </c:pt>
                <c:pt idx="29">
                  <c:v>1201.5145088253028</c:v>
                </c:pt>
                <c:pt idx="30">
                  <c:v>1347.8244285427531</c:v>
                </c:pt>
                <c:pt idx="31">
                  <c:v>1985.0599543806563</c:v>
                </c:pt>
                <c:pt idx="32">
                  <c:v>2172.2586752237817</c:v>
                </c:pt>
              </c:numCache>
            </c:numRef>
          </c:val>
          <c:smooth val="0"/>
          <c:extLst>
            <c:ext xmlns:c16="http://schemas.microsoft.com/office/drawing/2014/chart" uri="{C3380CC4-5D6E-409C-BE32-E72D297353CC}">
              <c16:uniqueId val="{00000001-435B-4A6E-8B70-41A67C10F69F}"/>
            </c:ext>
          </c:extLst>
        </c:ser>
        <c:dLbls>
          <c:showLegendKey val="0"/>
          <c:showVal val="0"/>
          <c:showCatName val="0"/>
          <c:showSerName val="0"/>
          <c:showPercent val="0"/>
          <c:showBubbleSize val="0"/>
        </c:dLbls>
        <c:smooth val="0"/>
        <c:axId val="133445504"/>
        <c:axId val="133447040"/>
      </c:lineChart>
      <c:catAx>
        <c:axId val="133445504"/>
        <c:scaling>
          <c:orientation val="minMax"/>
        </c:scaling>
        <c:delete val="0"/>
        <c:axPos val="b"/>
        <c:numFmt formatCode="General" sourceLinked="1"/>
        <c:majorTickMark val="out"/>
        <c:minorTickMark val="none"/>
        <c:tickLblPos val="nextTo"/>
        <c:spPr>
          <a:ln/>
        </c:spPr>
        <c:txPr>
          <a:bodyPr rot="-2700000"/>
          <a:lstStyle/>
          <a:p>
            <a:pPr>
              <a:defRPr/>
            </a:pPr>
            <a:endParaRPr lang="en-US"/>
          </a:p>
        </c:txPr>
        <c:crossAx val="133447040"/>
        <c:crosses val="autoZero"/>
        <c:auto val="0"/>
        <c:lblAlgn val="ctr"/>
        <c:lblOffset val="100"/>
        <c:noMultiLvlLbl val="0"/>
      </c:catAx>
      <c:valAx>
        <c:axId val="133447040"/>
        <c:scaling>
          <c:orientation val="minMax"/>
        </c:scaling>
        <c:delete val="0"/>
        <c:axPos val="l"/>
        <c:majorGridlines/>
        <c:title>
          <c:tx>
            <c:rich>
              <a:bodyPr rot="-5400000" vert="horz"/>
              <a:lstStyle/>
              <a:p>
                <a:pPr>
                  <a:defRPr/>
                </a:pPr>
                <a:r>
                  <a:rPr lang="en-AU"/>
                  <a:t>A$/tonne</a:t>
                </a:r>
              </a:p>
            </c:rich>
          </c:tx>
          <c:layout>
            <c:manualLayout>
              <c:xMode val="edge"/>
              <c:yMode val="edge"/>
              <c:x val="2.24982855356449E-2"/>
              <c:y val="0.43169037426186924"/>
            </c:manualLayout>
          </c:layout>
          <c:overlay val="0"/>
        </c:title>
        <c:numFmt formatCode="#,##0" sourceLinked="0"/>
        <c:majorTickMark val="out"/>
        <c:minorTickMark val="none"/>
        <c:tickLblPos val="nextTo"/>
        <c:spPr>
          <a:ln/>
        </c:spPr>
        <c:crossAx val="13344550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4"/>
    </mc:Choice>
    <mc:Fallback>
      <c:style val="14"/>
    </mc:Fallback>
  </mc:AlternateContent>
  <c:chart>
    <c:title>
      <c:tx>
        <c:strRef>
          <c:f>'Mineral Sands - Exports'!$W$1</c:f>
          <c:strCache>
            <c:ptCount val="1"/>
            <c:pt idx="0">
              <c:v>Western Australian Mineral Sands Exports 2019
Total Value: $1,178,695,116</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C110-444A-A470-06D4C6DAE5AE}"/>
              </c:ext>
            </c:extLst>
          </c:dPt>
          <c:dPt>
            <c:idx val="1"/>
            <c:bubble3D val="0"/>
            <c:extLst>
              <c:ext xmlns:c16="http://schemas.microsoft.com/office/drawing/2014/chart" uri="{C3380CC4-5D6E-409C-BE32-E72D297353CC}">
                <c16:uniqueId val="{00000001-C110-444A-A470-06D4C6DAE5AE}"/>
              </c:ext>
            </c:extLst>
          </c:dPt>
          <c:dPt>
            <c:idx val="2"/>
            <c:bubble3D val="0"/>
            <c:extLst>
              <c:ext xmlns:c16="http://schemas.microsoft.com/office/drawing/2014/chart" uri="{C3380CC4-5D6E-409C-BE32-E72D297353CC}">
                <c16:uniqueId val="{00000002-C110-444A-A470-06D4C6DAE5AE}"/>
              </c:ext>
            </c:extLst>
          </c:dPt>
          <c:dPt>
            <c:idx val="3"/>
            <c:bubble3D val="0"/>
            <c:extLst>
              <c:ext xmlns:c16="http://schemas.microsoft.com/office/drawing/2014/chart" uri="{C3380CC4-5D6E-409C-BE32-E72D297353CC}">
                <c16:uniqueId val="{00000003-C110-444A-A470-06D4C6DAE5AE}"/>
              </c:ext>
            </c:extLst>
          </c:dPt>
          <c:dPt>
            <c:idx val="4"/>
            <c:bubble3D val="0"/>
            <c:extLst>
              <c:ext xmlns:c16="http://schemas.microsoft.com/office/drawing/2014/chart" uri="{C3380CC4-5D6E-409C-BE32-E72D297353CC}">
                <c16:uniqueId val="{00000004-C110-444A-A470-06D4C6DAE5AE}"/>
              </c:ext>
            </c:extLst>
          </c:dPt>
          <c:dPt>
            <c:idx val="5"/>
            <c:bubble3D val="0"/>
            <c:extLst>
              <c:ext xmlns:c16="http://schemas.microsoft.com/office/drawing/2014/chart" uri="{C3380CC4-5D6E-409C-BE32-E72D297353CC}">
                <c16:uniqueId val="{00000005-C110-444A-A470-06D4C6DAE5AE}"/>
              </c:ext>
            </c:extLst>
          </c:dPt>
          <c:dPt>
            <c:idx val="6"/>
            <c:bubble3D val="0"/>
            <c:extLst>
              <c:ext xmlns:c16="http://schemas.microsoft.com/office/drawing/2014/chart" uri="{C3380CC4-5D6E-409C-BE32-E72D297353CC}">
                <c16:uniqueId val="{00000006-C110-444A-A470-06D4C6DAE5AE}"/>
              </c:ext>
            </c:extLst>
          </c:dPt>
          <c:dPt>
            <c:idx val="7"/>
            <c:bubble3D val="0"/>
            <c:extLst>
              <c:ext xmlns:c16="http://schemas.microsoft.com/office/drawing/2014/chart" uri="{C3380CC4-5D6E-409C-BE32-E72D297353CC}">
                <c16:uniqueId val="{00000007-C110-444A-A470-06D4C6DAE5AE}"/>
              </c:ext>
            </c:extLst>
          </c:dPt>
          <c:dPt>
            <c:idx val="8"/>
            <c:bubble3D val="0"/>
            <c:extLst>
              <c:ext xmlns:c16="http://schemas.microsoft.com/office/drawing/2014/chart" uri="{C3380CC4-5D6E-409C-BE32-E72D297353CC}">
                <c16:uniqueId val="{00000008-C110-444A-A470-06D4C6DAE5AE}"/>
              </c:ext>
            </c:extLst>
          </c:dPt>
          <c:dPt>
            <c:idx val="9"/>
            <c:bubble3D val="0"/>
            <c:extLst>
              <c:ext xmlns:c16="http://schemas.microsoft.com/office/drawing/2014/chart" uri="{C3380CC4-5D6E-409C-BE32-E72D297353CC}">
                <c16:uniqueId val="{00000009-C110-444A-A470-06D4C6DAE5AE}"/>
              </c:ext>
            </c:extLst>
          </c:dPt>
          <c:dPt>
            <c:idx val="10"/>
            <c:bubble3D val="0"/>
            <c:extLst>
              <c:ext xmlns:c16="http://schemas.microsoft.com/office/drawing/2014/chart" uri="{C3380CC4-5D6E-409C-BE32-E72D297353CC}">
                <c16:uniqueId val="{0000000A-C110-444A-A470-06D4C6DAE5AE}"/>
              </c:ext>
            </c:extLst>
          </c:dPt>
          <c:dLbls>
            <c:dLbl>
              <c:idx val="0"/>
              <c:layout>
                <c:manualLayout>
                  <c:x val="3.3210795939664021E-2"/>
                  <c:y val="-1.47434070741157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10-444A-A470-06D4C6DAE5AE}"/>
                </c:ext>
              </c:extLst>
            </c:dLbl>
            <c:dLbl>
              <c:idx val="1"/>
              <c:layout>
                <c:manualLayout>
                  <c:x val="9.9783385510545386E-3"/>
                  <c:y val="7.599050118735158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10-444A-A470-06D4C6DAE5AE}"/>
                </c:ext>
              </c:extLst>
            </c:dLbl>
            <c:dLbl>
              <c:idx val="2"/>
              <c:layout>
                <c:manualLayout>
                  <c:x val="-2.5359390317174282E-2"/>
                  <c:y val="5.983752030996125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10-444A-A470-06D4C6DAE5AE}"/>
                </c:ext>
              </c:extLst>
            </c:dLbl>
            <c:dLbl>
              <c:idx val="3"/>
              <c:layout>
                <c:manualLayout>
                  <c:x val="-4.9062065771190363E-2"/>
                  <c:y val="-2.502068193856831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10-444A-A470-06D4C6DAE5AE}"/>
                </c:ext>
              </c:extLst>
            </c:dLbl>
            <c:dLbl>
              <c:idx val="4"/>
              <c:layout>
                <c:manualLayout>
                  <c:x val="-7.3378415933302452E-2"/>
                  <c:y val="-3.868564048541551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10-444A-A470-06D4C6DAE5AE}"/>
                </c:ext>
              </c:extLst>
            </c:dLbl>
            <c:dLbl>
              <c:idx val="5"/>
              <c:layout>
                <c:manualLayout>
                  <c:x val="-5.321059132314343E-2"/>
                  <c:y val="-1.143238047624999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10-444A-A470-06D4C6DAE5AE}"/>
                </c:ext>
              </c:extLst>
            </c:dLbl>
            <c:dLbl>
              <c:idx val="6"/>
              <c:layout>
                <c:manualLayout>
                  <c:x val="-2.060961865060985E-2"/>
                  <c:y val="-1.88735931818046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10-444A-A470-06D4C6DAE5AE}"/>
                </c:ext>
              </c:extLst>
            </c:dLbl>
            <c:dLbl>
              <c:idx val="7"/>
              <c:layout>
                <c:manualLayout>
                  <c:x val="-2.8459317585301819E-2"/>
                  <c:y val="-8.232066229816455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10-444A-A470-06D4C6DAE5AE}"/>
                </c:ext>
              </c:extLst>
            </c:dLbl>
            <c:dLbl>
              <c:idx val="8"/>
              <c:layout>
                <c:manualLayout>
                  <c:x val="-1.588752508877565E-2"/>
                  <c:y val="-1.42053671862445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10-444A-A470-06D4C6DAE5AE}"/>
                </c:ext>
              </c:extLst>
            </c:dLbl>
            <c:dLbl>
              <c:idx val="9"/>
              <c:layout>
                <c:manualLayout>
                  <c:x val="-1.1774278215223097E-2"/>
                  <c:y val="-3.235405098172252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110-444A-A470-06D4C6DAE5AE}"/>
                </c:ext>
              </c:extLst>
            </c:dLbl>
            <c:dLbl>
              <c:idx val="10"/>
              <c:layout>
                <c:manualLayout>
                  <c:x val="3.2127486323245739E-2"/>
                  <c:y val="-3.986226721659792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10-444A-A470-06D4C6DAE5A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'Mineral Sands - Exports'!$A$10:$A$20</c:f>
              <c:strCache>
                <c:ptCount val="11"/>
                <c:pt idx="0">
                  <c:v>China</c:v>
                </c:pt>
                <c:pt idx="1">
                  <c:v>United States</c:v>
                </c:pt>
                <c:pt idx="2">
                  <c:v>United Kingdom</c:v>
                </c:pt>
                <c:pt idx="3">
                  <c:v>Netherlands</c:v>
                </c:pt>
                <c:pt idx="4">
                  <c:v>Spain</c:v>
                </c:pt>
                <c:pt idx="5">
                  <c:v>Taiwan, Province Of China</c:v>
                </c:pt>
                <c:pt idx="6">
                  <c:v>Mexico</c:v>
                </c:pt>
                <c:pt idx="7">
                  <c:v>India</c:v>
                </c:pt>
                <c:pt idx="8">
                  <c:v>Belgium</c:v>
                </c:pt>
                <c:pt idx="9">
                  <c:v>Malaysia</c:v>
                </c:pt>
                <c:pt idx="10">
                  <c:v>Other</c:v>
                </c:pt>
              </c:strCache>
            </c:strRef>
          </c:cat>
          <c:val>
            <c:numRef>
              <c:f>'Mineral Sands - Exports'!$D$10:$D$20</c:f>
              <c:numCache>
                <c:formatCode>0.0%</c:formatCode>
                <c:ptCount val="11"/>
                <c:pt idx="0">
                  <c:v>0.47280289025586464</c:v>
                </c:pt>
                <c:pt idx="1">
                  <c:v>6.4945576264991117E-2</c:v>
                </c:pt>
                <c:pt idx="2">
                  <c:v>6.2592397353561327E-2</c:v>
                </c:pt>
                <c:pt idx="3">
                  <c:v>6.0369664134076469E-2</c:v>
                </c:pt>
                <c:pt idx="4">
                  <c:v>4.0662746073169762E-2</c:v>
                </c:pt>
                <c:pt idx="5">
                  <c:v>3.9178674826721022E-2</c:v>
                </c:pt>
                <c:pt idx="6">
                  <c:v>3.3847293865992001E-2</c:v>
                </c:pt>
                <c:pt idx="7">
                  <c:v>3.3824784898541786E-2</c:v>
                </c:pt>
                <c:pt idx="8">
                  <c:v>3.3509499423144219E-2</c:v>
                </c:pt>
                <c:pt idx="9">
                  <c:v>3.0221103291394134E-2</c:v>
                </c:pt>
                <c:pt idx="10">
                  <c:v>0.12804536961254354</c:v>
                </c:pt>
              </c:numCache>
            </c:numRef>
          </c:val>
          <c:extLst>
            <c:ext xmlns:c16="http://schemas.microsoft.com/office/drawing/2014/chart" uri="{C3380CC4-5D6E-409C-BE32-E72D297353CC}">
              <c16:uniqueId val="{0000000B-C110-444A-A470-06D4C6DAE5AE}"/>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year</a:t>
            </a:r>
          </a:p>
        </c:rich>
      </c:tx>
      <c:overlay val="0"/>
    </c:title>
    <c:autoTitleDeleted val="0"/>
    <c:plotArea>
      <c:layout/>
      <c:barChart>
        <c:barDir val="col"/>
        <c:grouping val="clustered"/>
        <c:varyColors val="0"/>
        <c:ser>
          <c:idx val="0"/>
          <c:order val="0"/>
          <c:tx>
            <c:strRef>
              <c:f>'Alumina - Q&amp;V'!$U$35</c:f>
              <c:strCache>
                <c:ptCount val="1"/>
                <c:pt idx="0">
                  <c:v>Quantity (Mt)</c:v>
                </c:pt>
              </c:strCache>
            </c:strRef>
          </c:tx>
          <c:invertIfNegative val="0"/>
          <c:cat>
            <c:numRef>
              <c:f>'Alumina - Q&amp;V'!$S$36:$T$57</c:f>
              <c:numCache>
                <c:formatCode>General</c:formatCode>
                <c:ptCount val="22"/>
                <c:pt idx="0">
                  <c:v>1998</c:v>
                </c:pt>
                <c:pt idx="1">
                  <c:v>1999</c:v>
                </c:pt>
                <c:pt idx="2">
                  <c:v>2000</c:v>
                </c:pt>
                <c:pt idx="3">
                  <c:v>2001</c:v>
                </c:pt>
                <c:pt idx="4">
                  <c:v>2002</c:v>
                </c:pt>
                <c:pt idx="5">
                  <c:v>2003</c:v>
                </c:pt>
                <c:pt idx="6" formatCode="0">
                  <c:v>2004</c:v>
                </c:pt>
                <c:pt idx="7" formatCode="0">
                  <c:v>2005</c:v>
                </c:pt>
                <c:pt idx="8" formatCode="0">
                  <c:v>2006</c:v>
                </c:pt>
                <c:pt idx="9" formatCode="0">
                  <c:v>2007</c:v>
                </c:pt>
                <c:pt idx="10" formatCode="0">
                  <c:v>2008</c:v>
                </c:pt>
                <c:pt idx="11" formatCode="0">
                  <c:v>2009</c:v>
                </c:pt>
                <c:pt idx="12" formatCode="0">
                  <c:v>2010</c:v>
                </c:pt>
                <c:pt idx="13" formatCode="0">
                  <c:v>2011</c:v>
                </c:pt>
                <c:pt idx="14" formatCode="0">
                  <c:v>2012</c:v>
                </c:pt>
                <c:pt idx="15" formatCode="0">
                  <c:v>2013</c:v>
                </c:pt>
                <c:pt idx="16" formatCode="0">
                  <c:v>2014</c:v>
                </c:pt>
                <c:pt idx="17" formatCode="0">
                  <c:v>2015</c:v>
                </c:pt>
                <c:pt idx="18" formatCode="0">
                  <c:v>2016</c:v>
                </c:pt>
                <c:pt idx="19" formatCode="0">
                  <c:v>2017</c:v>
                </c:pt>
                <c:pt idx="20" formatCode="0">
                  <c:v>2018</c:v>
                </c:pt>
                <c:pt idx="21" formatCode="0">
                  <c:v>2019</c:v>
                </c:pt>
              </c:numCache>
            </c:numRef>
          </c:cat>
          <c:val>
            <c:numRef>
              <c:f>'Alumina - Q&amp;V'!$U$36:$U$57</c:f>
              <c:numCache>
                <c:formatCode>0.00</c:formatCode>
                <c:ptCount val="22"/>
                <c:pt idx="0">
                  <c:v>8.7480000000000011</c:v>
                </c:pt>
                <c:pt idx="1">
                  <c:v>8.9310000000000009</c:v>
                </c:pt>
                <c:pt idx="2">
                  <c:v>10.001999999999999</c:v>
                </c:pt>
                <c:pt idx="3">
                  <c:v>10.758000000000001</c:v>
                </c:pt>
                <c:pt idx="4">
                  <c:v>11</c:v>
                </c:pt>
                <c:pt idx="5">
                  <c:v>11.227864</c:v>
                </c:pt>
                <c:pt idx="6">
                  <c:v>10.988386</c:v>
                </c:pt>
                <c:pt idx="7">
                  <c:v>11.352183</c:v>
                </c:pt>
                <c:pt idx="8">
                  <c:v>11.82174775</c:v>
                </c:pt>
                <c:pt idx="9">
                  <c:v>12.193625759000001</c:v>
                </c:pt>
                <c:pt idx="10">
                  <c:v>12.245763095999999</c:v>
                </c:pt>
                <c:pt idx="11">
                  <c:v>12.42197</c:v>
                </c:pt>
                <c:pt idx="12">
                  <c:v>12.563285</c:v>
                </c:pt>
                <c:pt idx="13">
                  <c:v>12.291484000000001</c:v>
                </c:pt>
                <c:pt idx="14">
                  <c:v>12.81154939</c:v>
                </c:pt>
                <c:pt idx="15">
                  <c:v>13.625703529999999</c:v>
                </c:pt>
                <c:pt idx="16">
                  <c:v>13.876846260000001</c:v>
                </c:pt>
                <c:pt idx="17">
                  <c:v>13.778493586</c:v>
                </c:pt>
                <c:pt idx="18">
                  <c:v>13.922088889999999</c:v>
                </c:pt>
                <c:pt idx="19">
                  <c:v>14.67100645</c:v>
                </c:pt>
                <c:pt idx="20">
                  <c:v>14.9793938</c:v>
                </c:pt>
                <c:pt idx="21">
                  <c:v>15.880590682999999</c:v>
                </c:pt>
              </c:numCache>
            </c:numRef>
          </c:val>
          <c:extLst>
            <c:ext xmlns:c16="http://schemas.microsoft.com/office/drawing/2014/chart" uri="{C3380CC4-5D6E-409C-BE32-E72D297353CC}">
              <c16:uniqueId val="{00000000-3B8D-47A5-AAF8-DB731F6958CC}"/>
            </c:ext>
          </c:extLst>
        </c:ser>
        <c:dLbls>
          <c:showLegendKey val="0"/>
          <c:showVal val="0"/>
          <c:showCatName val="0"/>
          <c:showSerName val="0"/>
          <c:showPercent val="0"/>
          <c:showBubbleSize val="0"/>
        </c:dLbls>
        <c:gapWidth val="40"/>
        <c:axId val="117335168"/>
        <c:axId val="117316608"/>
      </c:barChart>
      <c:lineChart>
        <c:grouping val="standard"/>
        <c:varyColors val="0"/>
        <c:ser>
          <c:idx val="1"/>
          <c:order val="1"/>
          <c:tx>
            <c:strRef>
              <c:f>'Alumina - Q&amp;V'!$V$35</c:f>
              <c:strCache>
                <c:ptCount val="1"/>
                <c:pt idx="0">
                  <c:v>Value ($ Million)</c:v>
                </c:pt>
              </c:strCache>
            </c:strRef>
          </c:tx>
          <c:spPr>
            <a:ln w="50800"/>
          </c:spPr>
          <c:marker>
            <c:symbol val="none"/>
          </c:marker>
          <c:cat>
            <c:numRef>
              <c:f>'Alumina - Q&amp;V'!$S$36:$T$57</c:f>
              <c:numCache>
                <c:formatCode>General</c:formatCode>
                <c:ptCount val="22"/>
                <c:pt idx="0">
                  <c:v>1998</c:v>
                </c:pt>
                <c:pt idx="1">
                  <c:v>1999</c:v>
                </c:pt>
                <c:pt idx="2">
                  <c:v>2000</c:v>
                </c:pt>
                <c:pt idx="3">
                  <c:v>2001</c:v>
                </c:pt>
                <c:pt idx="4">
                  <c:v>2002</c:v>
                </c:pt>
                <c:pt idx="5">
                  <c:v>2003</c:v>
                </c:pt>
                <c:pt idx="6" formatCode="0">
                  <c:v>2004</c:v>
                </c:pt>
                <c:pt idx="7" formatCode="0">
                  <c:v>2005</c:v>
                </c:pt>
                <c:pt idx="8" formatCode="0">
                  <c:v>2006</c:v>
                </c:pt>
                <c:pt idx="9" formatCode="0">
                  <c:v>2007</c:v>
                </c:pt>
                <c:pt idx="10" formatCode="0">
                  <c:v>2008</c:v>
                </c:pt>
                <c:pt idx="11" formatCode="0">
                  <c:v>2009</c:v>
                </c:pt>
                <c:pt idx="12" formatCode="0">
                  <c:v>2010</c:v>
                </c:pt>
                <c:pt idx="13" formatCode="0">
                  <c:v>2011</c:v>
                </c:pt>
                <c:pt idx="14" formatCode="0">
                  <c:v>2012</c:v>
                </c:pt>
                <c:pt idx="15" formatCode="0">
                  <c:v>2013</c:v>
                </c:pt>
                <c:pt idx="16" formatCode="0">
                  <c:v>2014</c:v>
                </c:pt>
                <c:pt idx="17" formatCode="0">
                  <c:v>2015</c:v>
                </c:pt>
                <c:pt idx="18" formatCode="0">
                  <c:v>2016</c:v>
                </c:pt>
                <c:pt idx="19" formatCode="0">
                  <c:v>2017</c:v>
                </c:pt>
                <c:pt idx="20" formatCode="0">
                  <c:v>2018</c:v>
                </c:pt>
                <c:pt idx="21" formatCode="0">
                  <c:v>2019</c:v>
                </c:pt>
              </c:numCache>
            </c:numRef>
          </c:cat>
          <c:val>
            <c:numRef>
              <c:f>'Alumina - Q&amp;V'!$V$36:$V$57</c:f>
              <c:numCache>
                <c:formatCode>General</c:formatCode>
                <c:ptCount val="22"/>
                <c:pt idx="0" formatCode="0.00">
                  <c:v>2429.6999999999998</c:v>
                </c:pt>
                <c:pt idx="1">
                  <c:v>2311.3700000000003</c:v>
                </c:pt>
                <c:pt idx="2">
                  <c:v>3187.4800000000005</c:v>
                </c:pt>
                <c:pt idx="3">
                  <c:v>3766.55</c:v>
                </c:pt>
                <c:pt idx="4">
                  <c:v>3339.25</c:v>
                </c:pt>
                <c:pt idx="5" formatCode="0.00">
                  <c:v>3140.4829189799998</c:v>
                </c:pt>
                <c:pt idx="6" formatCode="0.00">
                  <c:v>3178.95243278</c:v>
                </c:pt>
                <c:pt idx="7" formatCode="0.00">
                  <c:v>3594.8574879999996</c:v>
                </c:pt>
                <c:pt idx="8" formatCode="0.00">
                  <c:v>4921.7215114199998</c:v>
                </c:pt>
                <c:pt idx="9" formatCode="0.00">
                  <c:v>5048.3498728499999</c:v>
                </c:pt>
                <c:pt idx="10" formatCode="0.00">
                  <c:v>4759.5109524</c:v>
                </c:pt>
                <c:pt idx="11" formatCode="0.00">
                  <c:v>3800.77350918</c:v>
                </c:pt>
                <c:pt idx="12" formatCode="0.00">
                  <c:v>3959.4147508300002</c:v>
                </c:pt>
                <c:pt idx="13" formatCode="0.00">
                  <c:v>4189.4656789399996</c:v>
                </c:pt>
                <c:pt idx="14" formatCode="0.00">
                  <c:v>3831.1474728899998</c:v>
                </c:pt>
                <c:pt idx="15" formatCode="0.00">
                  <c:v>4147.0508934999998</c:v>
                </c:pt>
                <c:pt idx="16" formatCode="0.00">
                  <c:v>4561.7391589999997</c:v>
                </c:pt>
                <c:pt idx="17" formatCode="0.00">
                  <c:v>5290.3826119999994</c:v>
                </c:pt>
                <c:pt idx="18" formatCode="0.00">
                  <c:v>4590.6042450000004</c:v>
                </c:pt>
                <c:pt idx="19" formatCode="0.00">
                  <c:v>5878.7310669999997</c:v>
                </c:pt>
                <c:pt idx="20" formatCode="0.00">
                  <c:v>7924.8548730000002</c:v>
                </c:pt>
                <c:pt idx="21" formatCode="0.00">
                  <c:v>7358.9849519999998</c:v>
                </c:pt>
              </c:numCache>
            </c:numRef>
          </c:val>
          <c:smooth val="0"/>
          <c:extLst>
            <c:ext xmlns:c16="http://schemas.microsoft.com/office/drawing/2014/chart" uri="{C3380CC4-5D6E-409C-BE32-E72D297353CC}">
              <c16:uniqueId val="{00000001-3B8D-47A5-AAF8-DB731F6958CC}"/>
            </c:ext>
          </c:extLst>
        </c:ser>
        <c:dLbls>
          <c:showLegendKey val="0"/>
          <c:showVal val="0"/>
          <c:showCatName val="0"/>
          <c:showSerName val="0"/>
          <c:showPercent val="0"/>
          <c:showBubbleSize val="0"/>
        </c:dLbls>
        <c:marker val="1"/>
        <c:smooth val="0"/>
        <c:axId val="117312512"/>
        <c:axId val="117314688"/>
      </c:lineChart>
      <c:catAx>
        <c:axId val="117312512"/>
        <c:scaling>
          <c:orientation val="minMax"/>
        </c:scaling>
        <c:delete val="0"/>
        <c:axPos val="b"/>
        <c:title>
          <c:tx>
            <c:rich>
              <a:bodyPr/>
              <a:lstStyle/>
              <a:p>
                <a:pPr>
                  <a:defRPr sz="900"/>
                </a:pPr>
                <a:r>
                  <a:rPr lang="en-AU" sz="900"/>
                  <a:t>Source: DM</a:t>
                </a:r>
                <a:r>
                  <a:rPr lang="en-AU" sz="900" b="1" i="0" u="none" strike="noStrike" baseline="0">
                    <a:effectLst/>
                  </a:rPr>
                  <a:t>IRS</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17314688"/>
        <c:crosses val="autoZero"/>
        <c:auto val="1"/>
        <c:lblAlgn val="ctr"/>
        <c:lblOffset val="100"/>
        <c:tickLblSkip val="1"/>
        <c:noMultiLvlLbl val="1"/>
      </c:catAx>
      <c:valAx>
        <c:axId val="117314688"/>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312512"/>
        <c:crosses val="autoZero"/>
        <c:crossBetween val="between"/>
      </c:valAx>
      <c:valAx>
        <c:axId val="117316608"/>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17335168"/>
        <c:crosses val="max"/>
        <c:crossBetween val="between"/>
      </c:valAx>
      <c:catAx>
        <c:axId val="117335168"/>
        <c:scaling>
          <c:orientation val="minMax"/>
        </c:scaling>
        <c:delete val="1"/>
        <c:axPos val="b"/>
        <c:numFmt formatCode="General" sourceLinked="1"/>
        <c:majorTickMark val="out"/>
        <c:minorTickMark val="none"/>
        <c:tickLblPos val="nextTo"/>
        <c:crossAx val="11731660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a:p>
            <a:pPr>
              <a:defRPr/>
            </a:pPr>
            <a:r>
              <a:rPr lang="en-AU" sz="1100"/>
              <a:t>Past 10 years</a:t>
            </a:r>
          </a:p>
        </c:rich>
      </c:tx>
      <c:overlay val="0"/>
    </c:title>
    <c:autoTitleDeleted val="0"/>
    <c:plotArea>
      <c:layout/>
      <c:lineChart>
        <c:grouping val="standard"/>
        <c:varyColors val="0"/>
        <c:ser>
          <c:idx val="0"/>
          <c:order val="0"/>
          <c:tx>
            <c:strRef>
              <c:f>'Mineral Sands - WA vs Australia'!$F$52</c:f>
              <c:strCache>
                <c:ptCount val="1"/>
                <c:pt idx="0">
                  <c:v>Western Australia ($)</c:v>
                </c:pt>
              </c:strCache>
            </c:strRef>
          </c:tx>
          <c:cat>
            <c:numRef>
              <c:f>'Mineral Sands - WA vs Australia'!$E$53:$E$62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'Mineral Sands - WA vs Australia'!$F$53:$F$62</c:f>
              <c:numCache>
                <c:formatCode>"$"#,##0</c:formatCode>
                <c:ptCount val="10"/>
                <c:pt idx="0">
                  <c:v>526470515.44375753</c:v>
                </c:pt>
                <c:pt idx="1">
                  <c:v>591622104.60567033</c:v>
                </c:pt>
                <c:pt idx="2">
                  <c:v>970807032.06660604</c:v>
                </c:pt>
                <c:pt idx="3">
                  <c:v>645165237.5995152</c:v>
                </c:pt>
                <c:pt idx="4">
                  <c:v>405238033.86666662</c:v>
                </c:pt>
                <c:pt idx="5">
                  <c:v>586413597.36441696</c:v>
                </c:pt>
                <c:pt idx="6">
                  <c:v>612464028.01084828</c:v>
                </c:pt>
                <c:pt idx="7">
                  <c:v>513509162.81765264</c:v>
                </c:pt>
                <c:pt idx="8">
                  <c:v>628097787.39685094</c:v>
                </c:pt>
                <c:pt idx="9">
                  <c:v>668679312.26340795</c:v>
                </c:pt>
              </c:numCache>
            </c:numRef>
          </c:val>
          <c:smooth val="0"/>
          <c:extLst>
            <c:ext xmlns:c16="http://schemas.microsoft.com/office/drawing/2014/chart" uri="{C3380CC4-5D6E-409C-BE32-E72D297353CC}">
              <c16:uniqueId val="{00000000-0AD1-4947-91EF-262437E67ACB}"/>
            </c:ext>
          </c:extLst>
        </c:ser>
        <c:ser>
          <c:idx val="1"/>
          <c:order val="1"/>
          <c:tx>
            <c:strRef>
              <c:f>'Mineral Sands - WA vs Australia'!$G$52</c:f>
              <c:strCache>
                <c:ptCount val="1"/>
                <c:pt idx="0">
                  <c:v>Rest of Australia ($)</c:v>
                </c:pt>
              </c:strCache>
            </c:strRef>
          </c:tx>
          <c:cat>
            <c:numRef>
              <c:f>'Mineral Sands - WA vs Australia'!$E$53:$E$62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'Mineral Sands - WA vs Australia'!$G$53:$G$62</c:f>
              <c:numCache>
                <c:formatCode>"$"#,##0</c:formatCode>
                <c:ptCount val="10"/>
                <c:pt idx="0">
                  <c:v>880785482</c:v>
                </c:pt>
                <c:pt idx="1">
                  <c:v>1345503845</c:v>
                </c:pt>
                <c:pt idx="2">
                  <c:v>1320369000</c:v>
                </c:pt>
                <c:pt idx="3">
                  <c:v>1367400000</c:v>
                </c:pt>
                <c:pt idx="4">
                  <c:v>1243000000</c:v>
                </c:pt>
                <c:pt idx="5">
                  <c:v>#N/A</c:v>
                </c:pt>
                <c:pt idx="6">
                  <c:v>#N/A</c:v>
                </c:pt>
                <c:pt idx="7">
                  <c:v>#N/A</c:v>
                </c:pt>
                <c:pt idx="8">
                  <c:v>#N/A</c:v>
                </c:pt>
                <c:pt idx="9">
                  <c:v>#N/A</c:v>
                </c:pt>
              </c:numCache>
            </c:numRef>
          </c:val>
          <c:smooth val="0"/>
          <c:extLst>
            <c:ext xmlns:c16="http://schemas.microsoft.com/office/drawing/2014/chart" uri="{C3380CC4-5D6E-409C-BE32-E72D297353CC}">
              <c16:uniqueId val="{00000001-0AD1-4947-91EF-262437E67ACB}"/>
            </c:ext>
          </c:extLst>
        </c:ser>
        <c:dLbls>
          <c:showLegendKey val="0"/>
          <c:showVal val="0"/>
          <c:showCatName val="0"/>
          <c:showSerName val="0"/>
          <c:showPercent val="0"/>
          <c:showBubbleSize val="0"/>
        </c:dLbls>
        <c:marker val="1"/>
        <c:smooth val="0"/>
        <c:axId val="133027328"/>
        <c:axId val="133025792"/>
      </c:lineChart>
      <c:valAx>
        <c:axId val="133025792"/>
        <c:scaling>
          <c:orientation val="minMax"/>
        </c:scaling>
        <c:delete val="0"/>
        <c:axPos val="l"/>
        <c:majorGridlines/>
        <c:numFmt formatCode="#,##0" sourceLinked="0"/>
        <c:majorTickMark val="out"/>
        <c:minorTickMark val="none"/>
        <c:tickLblPos val="nextTo"/>
        <c:crossAx val="133027328"/>
        <c:crosses val="autoZero"/>
        <c:crossBetween val="between"/>
        <c:dispUnits>
          <c:builtInUnit val="millions"/>
          <c:dispUnitsLbl>
            <c:layout>
              <c:manualLayout>
                <c:xMode val="edge"/>
                <c:yMode val="edge"/>
                <c:x val="1.4801271370938042E-2"/>
                <c:y val="0.47860667206716256"/>
              </c:manualLayout>
            </c:layout>
            <c:tx>
              <c:rich>
                <a:bodyPr/>
                <a:lstStyle/>
                <a:p>
                  <a:pPr>
                    <a:defRPr/>
                  </a:pPr>
                  <a:r>
                    <a:rPr lang="en-AU"/>
                    <a:t>$ Millions</a:t>
                  </a:r>
                </a:p>
              </c:rich>
            </c:tx>
          </c:dispUnitsLbl>
        </c:dispUnits>
      </c:valAx>
      <c:catAx>
        <c:axId val="133027328"/>
        <c:scaling>
          <c:orientation val="minMax"/>
        </c:scaling>
        <c:delete val="0"/>
        <c:axPos val="b"/>
        <c:title>
          <c:tx>
            <c:rich>
              <a:bodyPr/>
              <a:lstStyle/>
              <a:p>
                <a:pPr>
                  <a:defRPr/>
                </a:pPr>
                <a:r>
                  <a:rPr lang="en-AU"/>
                  <a:t>Source:  DMIRS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c:rich>
      </c:tx>
      <c:overlay val="0"/>
    </c:title>
    <c:autoTitleDeleted val="0"/>
    <c:plotArea>
      <c:layout/>
      <c:barChart>
        <c:barDir val="col"/>
        <c:grouping val="stacked"/>
        <c:varyColors val="0"/>
        <c:ser>
          <c:idx val="0"/>
          <c:order val="0"/>
          <c:tx>
            <c:strRef>
              <c:f>'Mineral Sands - WA vs Australia'!$B$6</c:f>
              <c:strCache>
                <c:ptCount val="1"/>
                <c:pt idx="0">
                  <c:v>Western Australia ($)</c:v>
                </c:pt>
              </c:strCache>
            </c:strRef>
          </c:tx>
          <c:invertIfNegative val="0"/>
          <c:cat>
            <c:numRef>
              <c:f>'Mineral Sands - WA vs Australia'!$A$7:$A$69</c:f>
              <c:numCache>
                <c:formatCode>General</c:formatCode>
                <c:ptCount val="63"/>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numCache>
            </c:numRef>
          </c:cat>
          <c:val>
            <c:numRef>
              <c:f>'Mineral Sands - WA vs Australia'!$B$7:$B$69</c:f>
              <c:numCache>
                <c:formatCode>"$"#,##0</c:formatCode>
                <c:ptCount val="63"/>
                <c:pt idx="0">
                  <c:v>492</c:v>
                </c:pt>
                <c:pt idx="1">
                  <c:v>2156</c:v>
                </c:pt>
                <c:pt idx="2">
                  <c:v>133392</c:v>
                </c:pt>
                <c:pt idx="3">
                  <c:v>345568</c:v>
                </c:pt>
                <c:pt idx="4">
                  <c:v>588303</c:v>
                </c:pt>
                <c:pt idx="5">
                  <c:v>874763.00000000012</c:v>
                </c:pt>
                <c:pt idx="6">
                  <c:v>1308304.0999999999</c:v>
                </c:pt>
                <c:pt idx="7">
                  <c:v>1604629.3</c:v>
                </c:pt>
                <c:pt idx="8">
                  <c:v>2692152.5</c:v>
                </c:pt>
                <c:pt idx="9">
                  <c:v>2894269.1</c:v>
                </c:pt>
                <c:pt idx="10">
                  <c:v>4325525.2</c:v>
                </c:pt>
                <c:pt idx="11">
                  <c:v>4214603</c:v>
                </c:pt>
                <c:pt idx="12">
                  <c:v>9211062.3000000007</c:v>
                </c:pt>
                <c:pt idx="13">
                  <c:v>10271270.6</c:v>
                </c:pt>
                <c:pt idx="14">
                  <c:v>10462659</c:v>
                </c:pt>
                <c:pt idx="15">
                  <c:v>10468339.700000001</c:v>
                </c:pt>
                <c:pt idx="16">
                  <c:v>11077312.899999999</c:v>
                </c:pt>
                <c:pt idx="17">
                  <c:v>16463287.700000001</c:v>
                </c:pt>
                <c:pt idx="18">
                  <c:v>34526710.899999999</c:v>
                </c:pt>
                <c:pt idx="19">
                  <c:v>39788065</c:v>
                </c:pt>
                <c:pt idx="20">
                  <c:v>54309956.400000006</c:v>
                </c:pt>
                <c:pt idx="21">
                  <c:v>58998055.100000001</c:v>
                </c:pt>
                <c:pt idx="22">
                  <c:v>69875106.199999988</c:v>
                </c:pt>
                <c:pt idx="23">
                  <c:v>79036531</c:v>
                </c:pt>
                <c:pt idx="24">
                  <c:v>88623282.399999991</c:v>
                </c:pt>
                <c:pt idx="25">
                  <c:v>93353064.400000006</c:v>
                </c:pt>
                <c:pt idx="26">
                  <c:v>77817286.499999985</c:v>
                </c:pt>
                <c:pt idx="27">
                  <c:v>114568998.5</c:v>
                </c:pt>
                <c:pt idx="28">
                  <c:v>134961831.40000001</c:v>
                </c:pt>
                <c:pt idx="29">
                  <c:v>160577471.40000001</c:v>
                </c:pt>
                <c:pt idx="30">
                  <c:v>240223386.29999998</c:v>
                </c:pt>
                <c:pt idx="31">
                  <c:v>348835148.60000002</c:v>
                </c:pt>
                <c:pt idx="32">
                  <c:v>428312699</c:v>
                </c:pt>
                <c:pt idx="33">
                  <c:v>447623340.9000001</c:v>
                </c:pt>
                <c:pt idx="34">
                  <c:v>241626154</c:v>
                </c:pt>
                <c:pt idx="35">
                  <c:v>276836642.00614107</c:v>
                </c:pt>
                <c:pt idx="36">
                  <c:v>332056090.18000001</c:v>
                </c:pt>
                <c:pt idx="37">
                  <c:v>417667340.69999999</c:v>
                </c:pt>
                <c:pt idx="38">
                  <c:v>571348686.50000012</c:v>
                </c:pt>
                <c:pt idx="39">
                  <c:v>612206253.4000001</c:v>
                </c:pt>
                <c:pt idx="40">
                  <c:v>654697524</c:v>
                </c:pt>
                <c:pt idx="41">
                  <c:v>706242000</c:v>
                </c:pt>
                <c:pt idx="42">
                  <c:v>688489000</c:v>
                </c:pt>
                <c:pt idx="43">
                  <c:v>860858999.99999988</c:v>
                </c:pt>
                <c:pt idx="44">
                  <c:v>909224999.99999988</c:v>
                </c:pt>
                <c:pt idx="45">
                  <c:v>866852000.00000012</c:v>
                </c:pt>
                <c:pt idx="46">
                  <c:v>789848787.90303028</c:v>
                </c:pt>
                <c:pt idx="47">
                  <c:v>764910779.21212125</c:v>
                </c:pt>
                <c:pt idx="48">
                  <c:v>846793591.63939393</c:v>
                </c:pt>
                <c:pt idx="49">
                  <c:v>886262810.36130917</c:v>
                </c:pt>
                <c:pt idx="50">
                  <c:v>691055713.60429811</c:v>
                </c:pt>
                <c:pt idx="51">
                  <c:v>777136717.99124885</c:v>
                </c:pt>
                <c:pt idx="52">
                  <c:v>641830940.86659384</c:v>
                </c:pt>
                <c:pt idx="53">
                  <c:v>526470515.44375753</c:v>
                </c:pt>
                <c:pt idx="54">
                  <c:v>591622104.60567033</c:v>
                </c:pt>
                <c:pt idx="55">
                  <c:v>970807032.06660604</c:v>
                </c:pt>
                <c:pt idx="56">
                  <c:v>645165237.5995152</c:v>
                </c:pt>
                <c:pt idx="57">
                  <c:v>405238033.86666662</c:v>
                </c:pt>
                <c:pt idx="58">
                  <c:v>586413597.36441696</c:v>
                </c:pt>
                <c:pt idx="59">
                  <c:v>612464028.01084828</c:v>
                </c:pt>
                <c:pt idx="60">
                  <c:v>513509162.81765264</c:v>
                </c:pt>
                <c:pt idx="61">
                  <c:v>628097787.39685094</c:v>
                </c:pt>
                <c:pt idx="62">
                  <c:v>668679312.26340795</c:v>
                </c:pt>
              </c:numCache>
            </c:numRef>
          </c:val>
          <c:extLst>
            <c:ext xmlns:c16="http://schemas.microsoft.com/office/drawing/2014/chart" uri="{C3380CC4-5D6E-409C-BE32-E72D297353CC}">
              <c16:uniqueId val="{00000000-F945-45A9-BCC5-50ABB812F6CE}"/>
            </c:ext>
          </c:extLst>
        </c:ser>
        <c:ser>
          <c:idx val="1"/>
          <c:order val="1"/>
          <c:tx>
            <c:strRef>
              <c:f>'Mineral Sands - WA vs Australia'!$C$6</c:f>
              <c:strCache>
                <c:ptCount val="1"/>
                <c:pt idx="0">
                  <c:v>Rest of Australia ($)</c:v>
                </c:pt>
              </c:strCache>
            </c:strRef>
          </c:tx>
          <c:invertIfNegative val="0"/>
          <c:cat>
            <c:numRef>
              <c:f>'Mineral Sands - WA vs Australia'!$A$7:$A$69</c:f>
              <c:numCache>
                <c:formatCode>General</c:formatCode>
                <c:ptCount val="63"/>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numCache>
            </c:numRef>
          </c:cat>
          <c:val>
            <c:numRef>
              <c:f>'Mineral Sands - WA vs Australia'!$C$7:$C$69</c:f>
              <c:numCache>
                <c:formatCode>"$"#,##0</c:formatCode>
                <c:ptCount val="63"/>
                <c:pt idx="0">
                  <c:v>21903008</c:v>
                </c:pt>
                <c:pt idx="1">
                  <c:v>12426344</c:v>
                </c:pt>
                <c:pt idx="2">
                  <c:v>10460008</c:v>
                </c:pt>
                <c:pt idx="3">
                  <c:v>10861632.000000002</c:v>
                </c:pt>
                <c:pt idx="4">
                  <c:v>10857057</c:v>
                </c:pt>
                <c:pt idx="5">
                  <c:v>11597336.999999998</c:v>
                </c:pt>
                <c:pt idx="6">
                  <c:v>17902415.899999999</c:v>
                </c:pt>
                <c:pt idx="7">
                  <c:v>19308340.699999999</c:v>
                </c:pt>
                <c:pt idx="8">
                  <c:v>24680057.500000004</c:v>
                </c:pt>
                <c:pt idx="9">
                  <c:v>31947030.899999995</c:v>
                </c:pt>
                <c:pt idx="10">
                  <c:v>34500594.800000004</c:v>
                </c:pt>
                <c:pt idx="11">
                  <c:v>36073557</c:v>
                </c:pt>
                <c:pt idx="12">
                  <c:v>40674638.699999996</c:v>
                </c:pt>
                <c:pt idx="13">
                  <c:v>48209466.400000006</c:v>
                </c:pt>
                <c:pt idx="14">
                  <c:v>55277821</c:v>
                </c:pt>
                <c:pt idx="15">
                  <c:v>47525519.299999982</c:v>
                </c:pt>
                <c:pt idx="16">
                  <c:v>52602239.100000001</c:v>
                </c:pt>
                <c:pt idx="17">
                  <c:v>70380853.299999982</c:v>
                </c:pt>
                <c:pt idx="18">
                  <c:v>125495545.09999999</c:v>
                </c:pt>
                <c:pt idx="19">
                  <c:v>125917837</c:v>
                </c:pt>
                <c:pt idx="20">
                  <c:v>82043274.600000009</c:v>
                </c:pt>
                <c:pt idx="21">
                  <c:v>48427636.899999991</c:v>
                </c:pt>
                <c:pt idx="22">
                  <c:v>53505783.800000004</c:v>
                </c:pt>
                <c:pt idx="23">
                  <c:v>80616028</c:v>
                </c:pt>
                <c:pt idx="24">
                  <c:v>60094861.599999972</c:v>
                </c:pt>
                <c:pt idx="25">
                  <c:v>50807023.599999987</c:v>
                </c:pt>
                <c:pt idx="26">
                  <c:v>39991133.5</c:v>
                </c:pt>
                <c:pt idx="27">
                  <c:v>53791583.500000022</c:v>
                </c:pt>
                <c:pt idx="28">
                  <c:v>86350293.600000009</c:v>
                </c:pt>
                <c:pt idx="29">
                  <c:v>94356085.599999994</c:v>
                </c:pt>
                <c:pt idx="30">
                  <c:v>144404564.70000002</c:v>
                </c:pt>
                <c:pt idx="31">
                  <c:v>174675127.39999995</c:v>
                </c:pt>
                <c:pt idx="32">
                  <c:v>321476520.99999994</c:v>
                </c:pt>
                <c:pt idx="33">
                  <c:v>294352387.0999999</c:v>
                </c:pt>
                <c:pt idx="34">
                  <c:v>165517603.99999997</c:v>
                </c:pt>
                <c:pt idx="35">
                  <c:v>111675432.39999993</c:v>
                </c:pt>
                <c:pt idx="36">
                  <c:v>93207174.899999976</c:v>
                </c:pt>
                <c:pt idx="37">
                  <c:v>93063309.300000027</c:v>
                </c:pt>
                <c:pt idx="38">
                  <c:v>83489338.499999955</c:v>
                </c:pt>
                <c:pt idx="39">
                  <c:v>125882000</c:v>
                </c:pt>
                <c:pt idx="40">
                  <c:v>158197000</c:v>
                </c:pt>
                <c:pt idx="41">
                  <c:v>161779000</c:v>
                </c:pt>
                <c:pt idx="42">
                  <c:v>63105000</c:v>
                </c:pt>
                <c:pt idx="43">
                  <c:v>40072000</c:v>
                </c:pt>
                <c:pt idx="44">
                  <c:v>72447000</c:v>
                </c:pt>
                <c:pt idx="45">
                  <c:v>108805599.99999997</c:v>
                </c:pt>
                <c:pt idx="46">
                  <c:v>74724000</c:v>
                </c:pt>
                <c:pt idx="47">
                  <c:v>90109962.999999985</c:v>
                </c:pt>
                <c:pt idx="48">
                  <c:v>52770605.999999911</c:v>
                </c:pt>
                <c:pt idx="49">
                  <c:v>355967000</c:v>
                </c:pt>
                <c:pt idx="50">
                  <c:v>545455959</c:v>
                </c:pt>
                <c:pt idx="51">
                  <c:v>360678633.00000006</c:v>
                </c:pt>
                <c:pt idx="52">
                  <c:v>628933613</c:v>
                </c:pt>
                <c:pt idx="53">
                  <c:v>880785482</c:v>
                </c:pt>
                <c:pt idx="54">
                  <c:v>1345503845</c:v>
                </c:pt>
                <c:pt idx="55">
                  <c:v>1320369000</c:v>
                </c:pt>
                <c:pt idx="56">
                  <c:v>1367400000</c:v>
                </c:pt>
                <c:pt idx="57">
                  <c:v>1243000000</c:v>
                </c:pt>
                <c:pt idx="58">
                  <c:v>0</c:v>
                </c:pt>
                <c:pt idx="59">
                  <c:v>0</c:v>
                </c:pt>
                <c:pt idx="60">
                  <c:v>0</c:v>
                </c:pt>
                <c:pt idx="61">
                  <c:v>0</c:v>
                </c:pt>
                <c:pt idx="62">
                  <c:v>0</c:v>
                </c:pt>
              </c:numCache>
            </c:numRef>
          </c:val>
          <c:extLst>
            <c:ext xmlns:c16="http://schemas.microsoft.com/office/drawing/2014/chart" uri="{C3380CC4-5D6E-409C-BE32-E72D297353CC}">
              <c16:uniqueId val="{00000001-F945-45A9-BCC5-50ABB812F6CE}"/>
            </c:ext>
          </c:extLst>
        </c:ser>
        <c:dLbls>
          <c:showLegendKey val="0"/>
          <c:showVal val="0"/>
          <c:showCatName val="0"/>
          <c:showSerName val="0"/>
          <c:showPercent val="0"/>
          <c:showBubbleSize val="0"/>
        </c:dLbls>
        <c:gapWidth val="150"/>
        <c:overlap val="100"/>
        <c:axId val="133027328"/>
        <c:axId val="133025792"/>
      </c:barChart>
      <c:valAx>
        <c:axId val="133025792"/>
        <c:scaling>
          <c:orientation val="minMax"/>
        </c:scaling>
        <c:delete val="0"/>
        <c:axPos val="l"/>
        <c:majorGridlines/>
        <c:numFmt formatCode="#,##0" sourceLinked="0"/>
        <c:majorTickMark val="out"/>
        <c:minorTickMark val="none"/>
        <c:tickLblPos val="nextTo"/>
        <c:crossAx val="133027328"/>
        <c:crosses val="autoZero"/>
        <c:crossBetween val="between"/>
        <c:dispUnits>
          <c:builtInUnit val="millions"/>
          <c:dispUnitsLbl>
            <c:layout>
              <c:manualLayout>
                <c:xMode val="edge"/>
                <c:yMode val="edge"/>
                <c:x val="1.4801271370938042E-2"/>
                <c:y val="0.47860667206716256"/>
              </c:manualLayout>
            </c:layout>
            <c:tx>
              <c:rich>
                <a:bodyPr/>
                <a:lstStyle/>
                <a:p>
                  <a:pPr>
                    <a:defRPr/>
                  </a:pPr>
                  <a:r>
                    <a:rPr lang="en-AU"/>
                    <a:t>$ Millions</a:t>
                  </a:r>
                </a:p>
              </c:rich>
            </c:tx>
          </c:dispUnitsLbl>
        </c:dispUnits>
      </c:valAx>
      <c:catAx>
        <c:axId val="133027328"/>
        <c:scaling>
          <c:orientation val="minMax"/>
        </c:scaling>
        <c:delete val="0"/>
        <c:axPos val="b"/>
        <c:title>
          <c:tx>
            <c:rich>
              <a:bodyPr/>
              <a:lstStyle/>
              <a:p>
                <a:pPr>
                  <a:defRPr/>
                </a:pPr>
                <a:r>
                  <a:rPr lang="en-AU"/>
                  <a:t>Source:  DMIRS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tx>
            <c:strRef>
              <c:f>'Minor Commodities - Q&amp;V'!$R$9</c:f>
              <c:strCache>
                <c:ptCount val="1"/>
                <c:pt idx="0">
                  <c:v>Quantity (Kt)</c:v>
                </c:pt>
              </c:strCache>
            </c:strRef>
          </c:tx>
          <c:invertIfNegative val="0"/>
          <c:cat>
            <c:numRef>
              <c:f>'Minor Commodities - Q&amp;V'!$Q$10:$Q$19</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'Minor Commodities - Q&amp;V'!$R$10:$R$19</c:f>
              <c:numCache>
                <c:formatCode>0.00</c:formatCode>
                <c:ptCount val="10"/>
                <c:pt idx="0">
                  <c:v>38.35184801888915</c:v>
                </c:pt>
                <c:pt idx="1">
                  <c:v>55.711471943068126</c:v>
                </c:pt>
                <c:pt idx="2">
                  <c:v>26.355252109596368</c:v>
                </c:pt>
                <c:pt idx="3">
                  <c:v>42.67987291100971</c:v>
                </c:pt>
                <c:pt idx="4">
                  <c:v>31.913538660458411</c:v>
                </c:pt>
                <c:pt idx="5">
                  <c:v>43.256379777942627</c:v>
                </c:pt>
                <c:pt idx="6">
                  <c:v>32.181532159486416</c:v>
                </c:pt>
                <c:pt idx="7">
                  <c:v>22.549511519189316</c:v>
                </c:pt>
                <c:pt idx="8">
                  <c:v>41.648860833512195</c:v>
                </c:pt>
                <c:pt idx="9">
                  <c:v>38.092938424544414</c:v>
                </c:pt>
              </c:numCache>
            </c:numRef>
          </c:val>
          <c:extLst>
            <c:ext xmlns:c16="http://schemas.microsoft.com/office/drawing/2014/chart" uri="{C3380CC4-5D6E-409C-BE32-E72D297353CC}">
              <c16:uniqueId val="{00000000-0AF2-4653-8D79-B3E0777D4D18}"/>
            </c:ext>
          </c:extLst>
        </c:ser>
        <c:dLbls>
          <c:showLegendKey val="0"/>
          <c:showVal val="0"/>
          <c:showCatName val="0"/>
          <c:showSerName val="0"/>
          <c:showPercent val="0"/>
          <c:showBubbleSize val="0"/>
        </c:dLbls>
        <c:gapWidth val="40"/>
        <c:axId val="134782976"/>
        <c:axId val="134772608"/>
      </c:barChart>
      <c:lineChart>
        <c:grouping val="standard"/>
        <c:varyColors val="0"/>
        <c:ser>
          <c:idx val="1"/>
          <c:order val="1"/>
          <c:tx>
            <c:strRef>
              <c:f>'Minor Commodities - Q&amp;V'!$S$9</c:f>
              <c:strCache>
                <c:ptCount val="1"/>
                <c:pt idx="0">
                  <c:v>Value ($ Million)</c:v>
                </c:pt>
              </c:strCache>
            </c:strRef>
          </c:tx>
          <c:marker>
            <c:symbol val="none"/>
          </c:marker>
          <c:cat>
            <c:numRef>
              <c:f>'Alumina - Q&amp;V'!$S$11:$S$20</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'Minor Commodities - Q&amp;V'!$S$10:$S$19</c:f>
              <c:numCache>
                <c:formatCode>0.00</c:formatCode>
                <c:ptCount val="10"/>
                <c:pt idx="0">
                  <c:v>25.189914000000002</c:v>
                </c:pt>
                <c:pt idx="1">
                  <c:v>34.221868000000001</c:v>
                </c:pt>
                <c:pt idx="2">
                  <c:v>17.711662</c:v>
                </c:pt>
                <c:pt idx="3">
                  <c:v>28.203759999999999</c:v>
                </c:pt>
                <c:pt idx="4">
                  <c:v>20.453320999999999</c:v>
                </c:pt>
                <c:pt idx="5">
                  <c:v>27.697673999999999</c:v>
                </c:pt>
                <c:pt idx="6">
                  <c:v>21.291260000000001</c:v>
                </c:pt>
                <c:pt idx="7">
                  <c:v>15.400172</c:v>
                </c:pt>
                <c:pt idx="8">
                  <c:v>31.517075999999999</c:v>
                </c:pt>
                <c:pt idx="9">
                  <c:v>26.825990999999998</c:v>
                </c:pt>
              </c:numCache>
            </c:numRef>
          </c:val>
          <c:smooth val="0"/>
          <c:extLst>
            <c:ext xmlns:c16="http://schemas.microsoft.com/office/drawing/2014/chart" uri="{C3380CC4-5D6E-409C-BE32-E72D297353CC}">
              <c16:uniqueId val="{00000001-0AF2-4653-8D79-B3E0777D4D18}"/>
            </c:ext>
          </c:extLst>
        </c:ser>
        <c:dLbls>
          <c:showLegendKey val="0"/>
          <c:showVal val="0"/>
          <c:showCatName val="0"/>
          <c:showSerName val="0"/>
          <c:showPercent val="0"/>
          <c:showBubbleSize val="0"/>
        </c:dLbls>
        <c:marker val="1"/>
        <c:smooth val="0"/>
        <c:axId val="134768512"/>
        <c:axId val="134770688"/>
      </c:lineChart>
      <c:catAx>
        <c:axId val="134768512"/>
        <c:scaling>
          <c:orientation val="minMax"/>
        </c:scaling>
        <c:delete val="0"/>
        <c:axPos val="b"/>
        <c:title>
          <c:tx>
            <c:rich>
              <a:bodyPr/>
              <a:lstStyle/>
              <a:p>
                <a:pPr>
                  <a:defRPr sz="900"/>
                </a:pPr>
                <a:r>
                  <a:rPr lang="en-AU" sz="900"/>
                  <a:t>Source: DMIRS</a:t>
                </a:r>
              </a:p>
            </c:rich>
          </c:tx>
          <c:layout>
            <c:manualLayout>
              <c:xMode val="edge"/>
              <c:yMode val="edge"/>
              <c:x val="0"/>
              <c:y val="0.94739981541654861"/>
            </c:manualLayout>
          </c:layout>
          <c:overlay val="0"/>
        </c:title>
        <c:numFmt formatCode="mmm\-yy" sourceLinked="1"/>
        <c:majorTickMark val="out"/>
        <c:minorTickMark val="none"/>
        <c:tickLblPos val="nextTo"/>
        <c:crossAx val="134770688"/>
        <c:crosses val="autoZero"/>
        <c:auto val="0"/>
        <c:lblAlgn val="ctr"/>
        <c:lblOffset val="100"/>
        <c:noMultiLvlLbl val="0"/>
      </c:catAx>
      <c:valAx>
        <c:axId val="134770688"/>
        <c:scaling>
          <c:orientation val="minMax"/>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768512"/>
        <c:crosses val="autoZero"/>
        <c:crossBetween val="between"/>
      </c:valAx>
      <c:valAx>
        <c:axId val="134772608"/>
        <c:scaling>
          <c:orientation val="minMax"/>
        </c:scaling>
        <c:delete val="0"/>
        <c:axPos val="r"/>
        <c:title>
          <c:tx>
            <c:rich>
              <a:bodyPr/>
              <a:lstStyle/>
              <a:p>
                <a:pPr>
                  <a:defRPr/>
                </a:pPr>
                <a:r>
                  <a:rPr lang="en-AU"/>
                  <a:t>Quantity</a:t>
                </a:r>
              </a:p>
            </c:rich>
          </c:tx>
          <c:overlay val="0"/>
        </c:title>
        <c:numFmt formatCode="0" sourceLinked="0"/>
        <c:majorTickMark val="out"/>
        <c:minorTickMark val="none"/>
        <c:tickLblPos val="nextTo"/>
        <c:crossAx val="134782976"/>
        <c:crosses val="max"/>
        <c:crossBetween val="between"/>
      </c:valAx>
      <c:catAx>
        <c:axId val="134782976"/>
        <c:scaling>
          <c:orientation val="minMax"/>
        </c:scaling>
        <c:delete val="1"/>
        <c:axPos val="b"/>
        <c:numFmt formatCode="mmm\-yy" sourceLinked="1"/>
        <c:majorTickMark val="out"/>
        <c:minorTickMark val="none"/>
        <c:tickLblPos val="nextTo"/>
        <c:crossAx val="134772608"/>
        <c:crosses val="autoZero"/>
        <c:auto val="0"/>
        <c:lblAlgn val="ctr"/>
        <c:lblOffset val="100"/>
        <c:noMultiLvlLbl val="1"/>
      </c:cat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tx>
            <c:strRef>
              <c:f>'Minor Commodities - Q&amp;V'!$R$35</c:f>
              <c:strCache>
                <c:ptCount val="1"/>
                <c:pt idx="0">
                  <c:v>Quantity (Kt)</c:v>
                </c:pt>
              </c:strCache>
            </c:strRef>
          </c:tx>
          <c:invertIfNegative val="0"/>
          <c:cat>
            <c:numRef>
              <c:f>'Minor Commodities - Q&amp;V'!$Q$37:$Q$56</c:f>
              <c:numCache>
                <c:formatCode>@</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'Minor Commodities - Q&amp;V'!$R$37:$R$56</c:f>
              <c:numCache>
                <c:formatCode>0.00</c:formatCode>
                <c:ptCount val="20"/>
                <c:pt idx="0">
                  <c:v>157.63863000000001</c:v>
                </c:pt>
                <c:pt idx="1">
                  <c:v>122.7802848</c:v>
                </c:pt>
                <c:pt idx="2">
                  <c:v>98.895679884684455</c:v>
                </c:pt>
                <c:pt idx="3">
                  <c:v>72.198348172307291</c:v>
                </c:pt>
                <c:pt idx="4">
                  <c:v>121.53999999999999</c:v>
                </c:pt>
                <c:pt idx="5">
                  <c:v>127.52000000000001</c:v>
                </c:pt>
                <c:pt idx="6">
                  <c:v>103.02000000000001</c:v>
                </c:pt>
                <c:pt idx="7">
                  <c:v>120.33</c:v>
                </c:pt>
                <c:pt idx="8">
                  <c:v>88.06</c:v>
                </c:pt>
                <c:pt idx="9">
                  <c:v>124.14</c:v>
                </c:pt>
                <c:pt idx="10">
                  <c:v>112.99000000000001</c:v>
                </c:pt>
                <c:pt idx="11">
                  <c:v>91.47</c:v>
                </c:pt>
                <c:pt idx="12">
                  <c:v>134.67000000000002</c:v>
                </c:pt>
                <c:pt idx="13">
                  <c:v>126.35</c:v>
                </c:pt>
                <c:pt idx="14">
                  <c:v>147.46935516178496</c:v>
                </c:pt>
                <c:pt idx="15">
                  <c:v>149.76098616826386</c:v>
                </c:pt>
                <c:pt idx="16">
                  <c:v>158.0240303321545</c:v>
                </c:pt>
                <c:pt idx="17">
                  <c:v>150.86610314033285</c:v>
                </c:pt>
                <c:pt idx="18">
                  <c:v>144.20504345900713</c:v>
                </c:pt>
                <c:pt idx="19">
                  <c:v>134.47284293673232</c:v>
                </c:pt>
              </c:numCache>
            </c:numRef>
          </c:val>
          <c:extLst>
            <c:ext xmlns:c16="http://schemas.microsoft.com/office/drawing/2014/chart" uri="{C3380CC4-5D6E-409C-BE32-E72D297353CC}">
              <c16:uniqueId val="{00000000-1E44-43CE-92E6-28F326BF513A}"/>
            </c:ext>
          </c:extLst>
        </c:ser>
        <c:dLbls>
          <c:showLegendKey val="0"/>
          <c:showVal val="0"/>
          <c:showCatName val="0"/>
          <c:showSerName val="0"/>
          <c:showPercent val="0"/>
          <c:showBubbleSize val="0"/>
        </c:dLbls>
        <c:gapWidth val="40"/>
        <c:axId val="134824320"/>
        <c:axId val="134809856"/>
      </c:barChart>
      <c:lineChart>
        <c:grouping val="standard"/>
        <c:varyColors val="0"/>
        <c:ser>
          <c:idx val="1"/>
          <c:order val="1"/>
          <c:tx>
            <c:strRef>
              <c:f>'Minor Commodities - Q&amp;V'!$S$35</c:f>
              <c:strCache>
                <c:ptCount val="1"/>
                <c:pt idx="0">
                  <c:v>Value ($ Million)</c:v>
                </c:pt>
              </c:strCache>
            </c:strRef>
          </c:tx>
          <c:marker>
            <c:symbol val="none"/>
          </c:marker>
          <c:cat>
            <c:numRef>
              <c:f>'Minor Commodities - Q&amp;V'!$Q$37:$Q$56</c:f>
              <c:numCache>
                <c:formatCode>@</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'Minor Commodities - Q&amp;V'!$S$37:$S$56</c:f>
              <c:numCache>
                <c:formatCode>0.00</c:formatCode>
                <c:ptCount val="20"/>
                <c:pt idx="0">
                  <c:v>37.362915000000001</c:v>
                </c:pt>
                <c:pt idx="1">
                  <c:v>30.716236000000002</c:v>
                </c:pt>
                <c:pt idx="2">
                  <c:v>24.917840999999999</c:v>
                </c:pt>
                <c:pt idx="3">
                  <c:v>15.225136186233861</c:v>
                </c:pt>
                <c:pt idx="4">
                  <c:v>24.654912799999998</c:v>
                </c:pt>
                <c:pt idx="5">
                  <c:v>39.103266360000006</c:v>
                </c:pt>
                <c:pt idx="6">
                  <c:v>49.870901419999996</c:v>
                </c:pt>
                <c:pt idx="7">
                  <c:v>63.222478219999999</c:v>
                </c:pt>
                <c:pt idx="8">
                  <c:v>51.411615130000001</c:v>
                </c:pt>
                <c:pt idx="9">
                  <c:v>74.044649460000002</c:v>
                </c:pt>
                <c:pt idx="10">
                  <c:v>80.654205189999999</c:v>
                </c:pt>
                <c:pt idx="11">
                  <c:v>96.223977849999997</c:v>
                </c:pt>
                <c:pt idx="12">
                  <c:v>120.73252181000001</c:v>
                </c:pt>
                <c:pt idx="13">
                  <c:v>88.375709990000004</c:v>
                </c:pt>
                <c:pt idx="14">
                  <c:v>94.609190000000012</c:v>
                </c:pt>
                <c:pt idx="15">
                  <c:v>96.075520000000012</c:v>
                </c:pt>
                <c:pt idx="16">
                  <c:v>111.613164</c:v>
                </c:pt>
                <c:pt idx="17">
                  <c:v>98.551907</c:v>
                </c:pt>
                <c:pt idx="18">
                  <c:v>94.066417000000001</c:v>
                </c:pt>
                <c:pt idx="19">
                  <c:v>95.034498999999997</c:v>
                </c:pt>
              </c:numCache>
            </c:numRef>
          </c:val>
          <c:smooth val="0"/>
          <c:extLst>
            <c:ext xmlns:c16="http://schemas.microsoft.com/office/drawing/2014/chart" uri="{C3380CC4-5D6E-409C-BE32-E72D297353CC}">
              <c16:uniqueId val="{00000001-1E44-43CE-92E6-28F326BF513A}"/>
            </c:ext>
          </c:extLst>
        </c:ser>
        <c:dLbls>
          <c:showLegendKey val="0"/>
          <c:showVal val="0"/>
          <c:showCatName val="0"/>
          <c:showSerName val="0"/>
          <c:showPercent val="0"/>
          <c:showBubbleSize val="0"/>
        </c:dLbls>
        <c:marker val="1"/>
        <c:smooth val="0"/>
        <c:axId val="134805760"/>
        <c:axId val="134807936"/>
      </c:lineChart>
      <c:catAx>
        <c:axId val="134805760"/>
        <c:scaling>
          <c:orientation val="minMax"/>
        </c:scaling>
        <c:delete val="0"/>
        <c:axPos val="b"/>
        <c:title>
          <c:tx>
            <c:rich>
              <a:bodyPr/>
              <a:lstStyle/>
              <a:p>
                <a:pPr>
                  <a:defRPr sz="900"/>
                </a:pPr>
                <a:r>
                  <a:rPr lang="en-AU" sz="900"/>
                  <a:t>Source: DMIRS</a:t>
                </a:r>
              </a:p>
            </c:rich>
          </c:tx>
          <c:layout>
            <c:manualLayout>
              <c:xMode val="edge"/>
              <c:yMode val="edge"/>
              <c:x val="5.4438529483551348E-3"/>
              <c:y val="0.93794302995826906"/>
            </c:manualLayout>
          </c:layout>
          <c:overlay val="0"/>
        </c:title>
        <c:numFmt formatCode="@" sourceLinked="0"/>
        <c:majorTickMark val="out"/>
        <c:minorTickMark val="none"/>
        <c:tickLblPos val="nextTo"/>
        <c:txPr>
          <a:bodyPr rot="-2700000"/>
          <a:lstStyle/>
          <a:p>
            <a:pPr>
              <a:defRPr/>
            </a:pPr>
            <a:endParaRPr lang="en-US"/>
          </a:p>
        </c:txPr>
        <c:crossAx val="134807936"/>
        <c:crosses val="autoZero"/>
        <c:auto val="0"/>
        <c:lblAlgn val="ctr"/>
        <c:lblOffset val="100"/>
        <c:noMultiLvlLbl val="1"/>
      </c:catAx>
      <c:valAx>
        <c:axId val="134807936"/>
        <c:scaling>
          <c:orientation val="minMax"/>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805760"/>
        <c:crosses val="autoZero"/>
        <c:crossBetween val="between"/>
      </c:valAx>
      <c:valAx>
        <c:axId val="134809856"/>
        <c:scaling>
          <c:orientation val="minMax"/>
        </c:scaling>
        <c:delete val="0"/>
        <c:axPos val="r"/>
        <c:title>
          <c:tx>
            <c:rich>
              <a:bodyPr/>
              <a:lstStyle/>
              <a:p>
                <a:pPr>
                  <a:defRPr/>
                </a:pPr>
                <a:r>
                  <a:rPr lang="en-AU"/>
                  <a:t>Quantity</a:t>
                </a:r>
              </a:p>
            </c:rich>
          </c:tx>
          <c:overlay val="0"/>
        </c:title>
        <c:numFmt formatCode="0" sourceLinked="0"/>
        <c:majorTickMark val="out"/>
        <c:minorTickMark val="none"/>
        <c:tickLblPos val="nextTo"/>
        <c:crossAx val="134824320"/>
        <c:crosses val="max"/>
        <c:crossBetween val="between"/>
      </c:valAx>
      <c:catAx>
        <c:axId val="134824320"/>
        <c:scaling>
          <c:orientation val="minMax"/>
        </c:scaling>
        <c:delete val="1"/>
        <c:axPos val="b"/>
        <c:numFmt formatCode="@" sourceLinked="1"/>
        <c:majorTickMark val="out"/>
        <c:minorTickMark val="none"/>
        <c:tickLblPos val="nextTo"/>
        <c:crossAx val="134809856"/>
        <c:crosses val="autoZero"/>
        <c:auto val="0"/>
        <c:lblAlgn val="ctr"/>
        <c:lblOffset val="100"/>
        <c:noMultiLvlLbl val="0"/>
      </c:cat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quarter</a:t>
            </a:r>
          </a:p>
        </c:rich>
      </c:tx>
      <c:overlay val="0"/>
    </c:title>
    <c:autoTitleDeleted val="0"/>
    <c:plotArea>
      <c:layout/>
      <c:barChart>
        <c:barDir val="col"/>
        <c:grouping val="clustered"/>
        <c:varyColors val="0"/>
        <c:ser>
          <c:idx val="0"/>
          <c:order val="0"/>
          <c:tx>
            <c:strRef>
              <c:f>'Nickel - Q&amp;V'!$S$9</c:f>
              <c:strCache>
                <c:ptCount val="1"/>
                <c:pt idx="0">
                  <c:v>Quantity (Kt)</c:v>
                </c:pt>
              </c:strCache>
            </c:strRef>
          </c:tx>
          <c:invertIfNegative val="0"/>
          <c:cat>
            <c:numRef>
              <c:f>'Nickel - Q&amp;V'!$R$10:$R$19</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'Nickel - Q&amp;V'!$S$10:$S$19</c:f>
              <c:numCache>
                <c:formatCode>0.00</c:formatCode>
                <c:ptCount val="10"/>
                <c:pt idx="0">
                  <c:v>45.021073999999992</c:v>
                </c:pt>
                <c:pt idx="1">
                  <c:v>41.456310999999999</c:v>
                </c:pt>
                <c:pt idx="2">
                  <c:v>36.993086000000005</c:v>
                </c:pt>
                <c:pt idx="3">
                  <c:v>39.903061000000001</c:v>
                </c:pt>
                <c:pt idx="4">
                  <c:v>33.196140999999997</c:v>
                </c:pt>
                <c:pt idx="5">
                  <c:v>39.613717000000001</c:v>
                </c:pt>
                <c:pt idx="6">
                  <c:v>37.137700000000002</c:v>
                </c:pt>
                <c:pt idx="7">
                  <c:v>44.435909999999993</c:v>
                </c:pt>
                <c:pt idx="8">
                  <c:v>40.445700000000002</c:v>
                </c:pt>
                <c:pt idx="9">
                  <c:v>31.904769999999999</c:v>
                </c:pt>
              </c:numCache>
            </c:numRef>
          </c:val>
          <c:extLst>
            <c:ext xmlns:c16="http://schemas.microsoft.com/office/drawing/2014/chart" uri="{C3380CC4-5D6E-409C-BE32-E72D297353CC}">
              <c16:uniqueId val="{00000000-7E26-4B0F-9805-CDAB620963D3}"/>
            </c:ext>
          </c:extLst>
        </c:ser>
        <c:dLbls>
          <c:showLegendKey val="0"/>
          <c:showVal val="0"/>
          <c:showCatName val="0"/>
          <c:showSerName val="0"/>
          <c:showPercent val="0"/>
          <c:showBubbleSize val="0"/>
        </c:dLbls>
        <c:gapWidth val="40"/>
        <c:axId val="118355072"/>
        <c:axId val="118344704"/>
      </c:barChart>
      <c:lineChart>
        <c:grouping val="standard"/>
        <c:varyColors val="0"/>
        <c:ser>
          <c:idx val="1"/>
          <c:order val="1"/>
          <c:tx>
            <c:strRef>
              <c:f>'Nickel - Q&amp;V'!$T$9</c:f>
              <c:strCache>
                <c:ptCount val="1"/>
                <c:pt idx="0">
                  <c:v>Value ($ Million)</c:v>
                </c:pt>
              </c:strCache>
            </c:strRef>
          </c:tx>
          <c:marker>
            <c:symbol val="none"/>
          </c:marker>
          <c:cat>
            <c:numRef>
              <c:f>'Nickel - Q&amp;V'!$R$10:$R$19</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'Nickel - Q&amp;V'!$T$10:$T$19</c:f>
              <c:numCache>
                <c:formatCode>0.00</c:formatCode>
                <c:ptCount val="10"/>
                <c:pt idx="0">
                  <c:v>606.33826099999999</c:v>
                </c:pt>
                <c:pt idx="1">
                  <c:v>644.62085100000002</c:v>
                </c:pt>
                <c:pt idx="2">
                  <c:v>641.376036</c:v>
                </c:pt>
                <c:pt idx="3">
                  <c:v>743.49472400000002</c:v>
                </c:pt>
                <c:pt idx="4">
                  <c:v>586.79589199999998</c:v>
                </c:pt>
                <c:pt idx="5">
                  <c:v>644.59699799999999</c:v>
                </c:pt>
                <c:pt idx="6">
                  <c:v>651.67899599999998</c:v>
                </c:pt>
                <c:pt idx="7">
                  <c:v>816.82622500000002</c:v>
                </c:pt>
                <c:pt idx="8">
                  <c:v>939.07239000000004</c:v>
                </c:pt>
                <c:pt idx="9">
                  <c:v>703.55750999999998</c:v>
                </c:pt>
              </c:numCache>
            </c:numRef>
          </c:val>
          <c:smooth val="0"/>
          <c:extLst>
            <c:ext xmlns:c16="http://schemas.microsoft.com/office/drawing/2014/chart" uri="{C3380CC4-5D6E-409C-BE32-E72D297353CC}">
              <c16:uniqueId val="{00000001-7E26-4B0F-9805-CDAB620963D3}"/>
            </c:ext>
          </c:extLst>
        </c:ser>
        <c:dLbls>
          <c:showLegendKey val="0"/>
          <c:showVal val="0"/>
          <c:showCatName val="0"/>
          <c:showSerName val="0"/>
          <c:showPercent val="0"/>
          <c:showBubbleSize val="0"/>
        </c:dLbls>
        <c:marker val="1"/>
        <c:smooth val="0"/>
        <c:axId val="118340608"/>
        <c:axId val="118342784"/>
      </c:lineChart>
      <c:catAx>
        <c:axId val="118340608"/>
        <c:scaling>
          <c:orientation val="minMax"/>
        </c:scaling>
        <c:delete val="0"/>
        <c:axPos val="b"/>
        <c:title>
          <c:tx>
            <c:rich>
              <a:bodyPr/>
              <a:lstStyle/>
              <a:p>
                <a:pPr>
                  <a:defRPr sz="900"/>
                </a:pPr>
                <a:r>
                  <a:rPr lang="en-AU" sz="900"/>
                  <a:t>Source: DMIRS</a:t>
                </a:r>
              </a:p>
            </c:rich>
          </c:tx>
          <c:layout>
            <c:manualLayout>
              <c:xMode val="edge"/>
              <c:yMode val="edge"/>
              <c:x val="1.246480839490924E-2"/>
              <c:y val="0.94988091300472488"/>
            </c:manualLayout>
          </c:layout>
          <c:overlay val="0"/>
        </c:title>
        <c:numFmt formatCode="mmm\-yy" sourceLinked="1"/>
        <c:majorTickMark val="out"/>
        <c:minorTickMark val="none"/>
        <c:tickLblPos val="nextTo"/>
        <c:txPr>
          <a:bodyPr rot="-2700000"/>
          <a:lstStyle/>
          <a:p>
            <a:pPr>
              <a:defRPr/>
            </a:pPr>
            <a:endParaRPr lang="en-US"/>
          </a:p>
        </c:txPr>
        <c:crossAx val="118342784"/>
        <c:crosses val="autoZero"/>
        <c:auto val="0"/>
        <c:lblAlgn val="ctr"/>
        <c:lblOffset val="100"/>
        <c:noMultiLvlLbl val="0"/>
      </c:catAx>
      <c:valAx>
        <c:axId val="118342784"/>
        <c:scaling>
          <c:orientation val="minMax"/>
        </c:scaling>
        <c:delete val="0"/>
        <c:axPos val="l"/>
        <c:majorGridlines/>
        <c:title>
          <c:tx>
            <c:rich>
              <a:bodyPr rot="-5400000" vert="horz"/>
              <a:lstStyle/>
              <a:p>
                <a:pPr>
                  <a:defRPr/>
                </a:pPr>
                <a:r>
                  <a:rPr lang="en-AU"/>
                  <a:t>$ Million</a:t>
                </a:r>
              </a:p>
            </c:rich>
          </c:tx>
          <c:layout>
            <c:manualLayout>
              <c:xMode val="edge"/>
              <c:yMode val="edge"/>
              <c:x val="1.9523402237235855E-2"/>
              <c:y val="0.49018784263248022"/>
            </c:manualLayout>
          </c:layout>
          <c:overlay val="0"/>
        </c:title>
        <c:numFmt formatCode="#,##0" sourceLinked="0"/>
        <c:majorTickMark val="out"/>
        <c:minorTickMark val="none"/>
        <c:tickLblPos val="nextTo"/>
        <c:crossAx val="118340608"/>
        <c:crosses val="autoZero"/>
        <c:crossBetween val="between"/>
      </c:valAx>
      <c:valAx>
        <c:axId val="118344704"/>
        <c:scaling>
          <c:orientation val="minMax"/>
        </c:scaling>
        <c:delete val="0"/>
        <c:axPos val="r"/>
        <c:title>
          <c:tx>
            <c:rich>
              <a:bodyPr rot="-5400000" vert="horz"/>
              <a:lstStyle/>
              <a:p>
                <a:pPr>
                  <a:defRPr/>
                </a:pPr>
                <a:r>
                  <a:rPr lang="en-AU"/>
                  <a:t>Thousand tonnes</a:t>
                </a:r>
              </a:p>
            </c:rich>
          </c:tx>
          <c:overlay val="0"/>
        </c:title>
        <c:numFmt formatCode="General" sourceLinked="0"/>
        <c:majorTickMark val="out"/>
        <c:minorTickMark val="none"/>
        <c:tickLblPos val="nextTo"/>
        <c:crossAx val="118355072"/>
        <c:crosses val="max"/>
        <c:crossBetween val="between"/>
      </c:valAx>
      <c:dateAx>
        <c:axId val="118355072"/>
        <c:scaling>
          <c:orientation val="minMax"/>
        </c:scaling>
        <c:delete val="1"/>
        <c:axPos val="b"/>
        <c:numFmt formatCode="mmm\-yy" sourceLinked="1"/>
        <c:majorTickMark val="out"/>
        <c:minorTickMark val="none"/>
        <c:tickLblPos val="nextTo"/>
        <c:crossAx val="118344704"/>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year</a:t>
            </a:r>
          </a:p>
        </c:rich>
      </c:tx>
      <c:overlay val="0"/>
    </c:title>
    <c:autoTitleDeleted val="0"/>
    <c:plotArea>
      <c:layout/>
      <c:barChart>
        <c:barDir val="col"/>
        <c:grouping val="clustered"/>
        <c:varyColors val="0"/>
        <c:ser>
          <c:idx val="0"/>
          <c:order val="0"/>
          <c:tx>
            <c:strRef>
              <c:f>'Nickel - Q&amp;V'!$S$30</c:f>
              <c:strCache>
                <c:ptCount val="1"/>
                <c:pt idx="0">
                  <c:v>Quantity (Kt)</c:v>
                </c:pt>
              </c:strCache>
            </c:strRef>
          </c:tx>
          <c:invertIfNegative val="0"/>
          <c:cat>
            <c:numRef>
              <c:f>'Nickel - Q&amp;V'!$R$32:$R$51</c:f>
              <c:numCache>
                <c:formatCode>@</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'Nickel - Q&amp;V'!$S$32:$S$51</c:f>
              <c:numCache>
                <c:formatCode>0.00</c:formatCode>
                <c:ptCount val="20"/>
                <c:pt idx="0">
                  <c:v>154.07399999999998</c:v>
                </c:pt>
                <c:pt idx="1">
                  <c:v>181.16899999999998</c:v>
                </c:pt>
                <c:pt idx="2">
                  <c:v>183.00200000000001</c:v>
                </c:pt>
                <c:pt idx="3">
                  <c:v>190.20999999999998</c:v>
                </c:pt>
                <c:pt idx="4">
                  <c:v>174.70099999999999</c:v>
                </c:pt>
                <c:pt idx="5">
                  <c:v>188.36199999999999</c:v>
                </c:pt>
                <c:pt idx="6">
                  <c:v>175.08699999999999</c:v>
                </c:pt>
                <c:pt idx="7">
                  <c:v>162.49200000000002</c:v>
                </c:pt>
                <c:pt idx="8">
                  <c:v>187.791</c:v>
                </c:pt>
                <c:pt idx="9">
                  <c:v>171.178</c:v>
                </c:pt>
                <c:pt idx="10">
                  <c:v>193.25899999999999</c:v>
                </c:pt>
                <c:pt idx="11">
                  <c:v>185.13</c:v>
                </c:pt>
                <c:pt idx="12">
                  <c:v>230.76710035740911</c:v>
                </c:pt>
                <c:pt idx="13">
                  <c:v>229.73</c:v>
                </c:pt>
                <c:pt idx="14">
                  <c:v>218.56311600000001</c:v>
                </c:pt>
                <c:pt idx="15">
                  <c:v>173.97419099999999</c:v>
                </c:pt>
                <c:pt idx="16">
                  <c:v>165.47567599999999</c:v>
                </c:pt>
                <c:pt idx="17">
                  <c:v>165.18295699999999</c:v>
                </c:pt>
                <c:pt idx="18">
                  <c:v>149.706005</c:v>
                </c:pt>
                <c:pt idx="19">
                  <c:v>153.92408</c:v>
                </c:pt>
              </c:numCache>
            </c:numRef>
          </c:val>
          <c:extLst>
            <c:ext xmlns:c16="http://schemas.microsoft.com/office/drawing/2014/chart" uri="{C3380CC4-5D6E-409C-BE32-E72D297353CC}">
              <c16:uniqueId val="{00000000-8644-41CB-BAE3-140885FD7380}"/>
            </c:ext>
          </c:extLst>
        </c:ser>
        <c:dLbls>
          <c:showLegendKey val="0"/>
          <c:showVal val="0"/>
          <c:showCatName val="0"/>
          <c:showSerName val="0"/>
          <c:showPercent val="0"/>
          <c:showBubbleSize val="0"/>
        </c:dLbls>
        <c:gapWidth val="40"/>
        <c:axId val="116172672"/>
        <c:axId val="116170752"/>
      </c:barChart>
      <c:lineChart>
        <c:grouping val="standard"/>
        <c:varyColors val="0"/>
        <c:ser>
          <c:idx val="1"/>
          <c:order val="1"/>
          <c:tx>
            <c:strRef>
              <c:f>'Nickel - Q&amp;V'!$T$30</c:f>
              <c:strCache>
                <c:ptCount val="1"/>
                <c:pt idx="0">
                  <c:v>Value ($ Million)</c:v>
                </c:pt>
              </c:strCache>
            </c:strRef>
          </c:tx>
          <c:marker>
            <c:symbol val="none"/>
          </c:marker>
          <c:cat>
            <c:numRef>
              <c:f>'Nickel - Q&amp;V'!$R$32:$R$51</c:f>
              <c:numCache>
                <c:formatCode>@</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'Nickel - Q&amp;V'!$T$32:$T$51</c:f>
              <c:numCache>
                <c:formatCode>0.00</c:formatCode>
                <c:ptCount val="20"/>
                <c:pt idx="0">
                  <c:v>2251.668169</c:v>
                </c:pt>
                <c:pt idx="1">
                  <c:v>2074.480372</c:v>
                </c:pt>
                <c:pt idx="2">
                  <c:v>2241.7369870000002</c:v>
                </c:pt>
                <c:pt idx="3">
                  <c:v>2680.2439329999997</c:v>
                </c:pt>
                <c:pt idx="4">
                  <c:v>3270.2078219999999</c:v>
                </c:pt>
                <c:pt idx="5">
                  <c:v>3490.7384699999998</c:v>
                </c:pt>
                <c:pt idx="6">
                  <c:v>5844.1734319999996</c:v>
                </c:pt>
                <c:pt idx="7">
                  <c:v>6901.8563919999997</c:v>
                </c:pt>
                <c:pt idx="8">
                  <c:v>4059.1557379999999</c:v>
                </c:pt>
                <c:pt idx="9">
                  <c:v>3352.9418449999998</c:v>
                </c:pt>
                <c:pt idx="10">
                  <c:v>4550.3347899999999</c:v>
                </c:pt>
                <c:pt idx="11">
                  <c:v>3951.580226</c:v>
                </c:pt>
                <c:pt idx="12">
                  <c:v>3801.1945485400001</c:v>
                </c:pt>
                <c:pt idx="13">
                  <c:v>3380.5595149999999</c:v>
                </c:pt>
                <c:pt idx="14">
                  <c:v>3582.4981079999998</c:v>
                </c:pt>
                <c:pt idx="15">
                  <c:v>2557.2144789999998</c:v>
                </c:pt>
                <c:pt idx="16">
                  <c:v>2122.6244230000002</c:v>
                </c:pt>
                <c:pt idx="17">
                  <c:v>2258.7531670000003</c:v>
                </c:pt>
                <c:pt idx="18">
                  <c:v>2616.2636499999999</c:v>
                </c:pt>
                <c:pt idx="19" formatCode="0.00;[Red]0.00">
                  <c:v>3111.1351209999998</c:v>
                </c:pt>
              </c:numCache>
            </c:numRef>
          </c:val>
          <c:smooth val="0"/>
          <c:extLst>
            <c:ext xmlns:c16="http://schemas.microsoft.com/office/drawing/2014/chart" uri="{C3380CC4-5D6E-409C-BE32-E72D297353CC}">
              <c16:uniqueId val="{00000001-8644-41CB-BAE3-140885FD7380}"/>
            </c:ext>
          </c:extLst>
        </c:ser>
        <c:dLbls>
          <c:showLegendKey val="0"/>
          <c:showVal val="0"/>
          <c:showCatName val="0"/>
          <c:showSerName val="0"/>
          <c:showPercent val="0"/>
          <c:showBubbleSize val="0"/>
        </c:dLbls>
        <c:marker val="1"/>
        <c:smooth val="0"/>
        <c:axId val="116162560"/>
        <c:axId val="116164480"/>
      </c:lineChart>
      <c:catAx>
        <c:axId val="116162560"/>
        <c:scaling>
          <c:orientation val="minMax"/>
        </c:scaling>
        <c:delete val="0"/>
        <c:axPos val="b"/>
        <c:title>
          <c:tx>
            <c:rich>
              <a:bodyPr/>
              <a:lstStyle/>
              <a:p>
                <a:pPr>
                  <a:defRPr sz="900"/>
                </a:pPr>
                <a:r>
                  <a:rPr lang="en-AU" sz="900"/>
                  <a:t>Source: DMIRS</a:t>
                </a:r>
              </a:p>
            </c:rich>
          </c:tx>
          <c:layout>
            <c:manualLayout>
              <c:xMode val="edge"/>
              <c:yMode val="edge"/>
              <c:x val="8.6432832259603909E-3"/>
              <c:y val="0.93794292169175064"/>
            </c:manualLayout>
          </c:layout>
          <c:overlay val="0"/>
        </c:title>
        <c:numFmt formatCode="@@@@@@@@@" sourceLinked="0"/>
        <c:majorTickMark val="out"/>
        <c:minorTickMark val="none"/>
        <c:tickLblPos val="nextTo"/>
        <c:txPr>
          <a:bodyPr rot="-2700000"/>
          <a:lstStyle/>
          <a:p>
            <a:pPr>
              <a:defRPr/>
            </a:pPr>
            <a:endParaRPr lang="en-US"/>
          </a:p>
        </c:txPr>
        <c:crossAx val="116164480"/>
        <c:crosses val="autoZero"/>
        <c:auto val="0"/>
        <c:lblAlgn val="ctr"/>
        <c:lblOffset val="100"/>
        <c:tickLblSkip val="1"/>
        <c:noMultiLvlLbl val="0"/>
      </c:catAx>
      <c:valAx>
        <c:axId val="116164480"/>
        <c:scaling>
          <c:orientation val="minMax"/>
        </c:scaling>
        <c:delete val="0"/>
        <c:axPos val="l"/>
        <c:majorGridlines/>
        <c:title>
          <c:tx>
            <c:rich>
              <a:bodyPr rot="-5400000" vert="horz"/>
              <a:lstStyle/>
              <a:p>
                <a:pPr>
                  <a:defRPr/>
                </a:pPr>
                <a:r>
                  <a:rPr lang="en-AU"/>
                  <a:t>$ Million</a:t>
                </a:r>
              </a:p>
            </c:rich>
          </c:tx>
          <c:layout>
            <c:manualLayout>
              <c:xMode val="edge"/>
              <c:yMode val="edge"/>
              <c:x val="1.9393939393939394E-2"/>
              <c:y val="0.44415960663144954"/>
            </c:manualLayout>
          </c:layout>
          <c:overlay val="0"/>
        </c:title>
        <c:numFmt formatCode="#,##0" sourceLinked="0"/>
        <c:majorTickMark val="out"/>
        <c:minorTickMark val="none"/>
        <c:tickLblPos val="nextTo"/>
        <c:crossAx val="116162560"/>
        <c:crosses val="autoZero"/>
        <c:crossBetween val="between"/>
      </c:valAx>
      <c:valAx>
        <c:axId val="11617075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6172672"/>
        <c:crosses val="max"/>
        <c:crossBetween val="between"/>
      </c:valAx>
      <c:catAx>
        <c:axId val="116172672"/>
        <c:scaling>
          <c:orientation val="minMax"/>
        </c:scaling>
        <c:delete val="1"/>
        <c:axPos val="b"/>
        <c:numFmt formatCode="@" sourceLinked="1"/>
        <c:majorTickMark val="out"/>
        <c:minorTickMark val="none"/>
        <c:tickLblPos val="nextTo"/>
        <c:crossAx val="11617075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Nickel</a:t>
            </a:r>
          </a:p>
          <a:p>
            <a:pPr>
              <a:defRPr/>
            </a:pPr>
            <a:r>
              <a:rPr lang="en-US" sz="1100"/>
              <a:t>Historic avg. annual price</a:t>
            </a:r>
            <a:endParaRPr lang="en-AU" sz="1100"/>
          </a:p>
        </c:rich>
      </c:tx>
      <c:overlay val="0"/>
    </c:title>
    <c:autoTitleDeleted val="0"/>
    <c:plotArea>
      <c:layout>
        <c:manualLayout>
          <c:layoutTarget val="inner"/>
          <c:xMode val="edge"/>
          <c:yMode val="edge"/>
          <c:x val="0.15385343915773972"/>
          <c:y val="0.27492304153857433"/>
          <c:w val="0.81165603369097783"/>
          <c:h val="0.53807842533254924"/>
        </c:manualLayout>
      </c:layout>
      <c:lineChart>
        <c:grouping val="standard"/>
        <c:varyColors val="0"/>
        <c:ser>
          <c:idx val="0"/>
          <c:order val="0"/>
          <c:tx>
            <c:strRef>
              <c:f>'Nickel - Prices'!$H$7</c:f>
              <c:strCache>
                <c:ptCount val="1"/>
                <c:pt idx="0">
                  <c:v>Avg. Price (A$/tonne)</c:v>
                </c:pt>
              </c:strCache>
            </c:strRef>
          </c:tx>
          <c:marker>
            <c:symbol val="none"/>
          </c:marker>
          <c:cat>
            <c:numRef>
              <c:extLst>
                <c:ext xmlns:c15="http://schemas.microsoft.com/office/drawing/2012/chart" uri="{02D57815-91ED-43cb-92C2-25804820EDAC}">
                  <c15:fullRef>
                    <c15:sqref>'Nickel - Prices'!$G$8:$G$41</c15:sqref>
                  </c15:fullRef>
                </c:ext>
              </c:extLst>
              <c:f>'Nickel - Prices'!$G$9:$G$41</c:f>
              <c:numCache>
                <c:formatCode>General</c:formatCode>
                <c:ptCount val="33"/>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numCache>
            </c:numRef>
          </c:cat>
          <c:val>
            <c:numRef>
              <c:extLst>
                <c:ext xmlns:c15="http://schemas.microsoft.com/office/drawing/2012/chart" uri="{02D57815-91ED-43cb-92C2-25804820EDAC}">
                  <c15:fullRef>
                    <c15:sqref>'Nickel - Prices'!$H$8:$H$41</c15:sqref>
                  </c15:fullRef>
                </c:ext>
              </c:extLst>
              <c:f>'Nickel - Prices'!$H$9:$H$41</c:f>
              <c:numCache>
                <c:formatCode>"$"#,##0.00</c:formatCode>
                <c:ptCount val="33"/>
                <c:pt idx="0">
                  <c:v>6915.6166865840269</c:v>
                </c:pt>
                <c:pt idx="1">
                  <c:v>17501.997491591781</c:v>
                </c:pt>
                <c:pt idx="2">
                  <c:v>16739.080022841492</c:v>
                </c:pt>
                <c:pt idx="3">
                  <c:v>11327.307748945481</c:v>
                </c:pt>
                <c:pt idx="4">
                  <c:v>10446.445002742164</c:v>
                </c:pt>
                <c:pt idx="5">
                  <c:v>9561.6627223322776</c:v>
                </c:pt>
                <c:pt idx="6">
                  <c:v>7771.1658552236213</c:v>
                </c:pt>
                <c:pt idx="7">
                  <c:v>8607.6626839952078</c:v>
                </c:pt>
                <c:pt idx="8">
                  <c:v>11126.848042733107</c:v>
                </c:pt>
                <c:pt idx="9">
                  <c:v>9611.0646747059127</c:v>
                </c:pt>
                <c:pt idx="10">
                  <c:v>9362.3756272976552</c:v>
                </c:pt>
                <c:pt idx="11">
                  <c:v>7332.6431649185479</c:v>
                </c:pt>
                <c:pt idx="12">
                  <c:v>9318.7424486239743</c:v>
                </c:pt>
                <c:pt idx="13">
                  <c:v>14851.146974329624</c:v>
                </c:pt>
                <c:pt idx="14">
                  <c:v>11486.72717244394</c:v>
                </c:pt>
                <c:pt idx="15">
                  <c:v>12479.956965595158</c:v>
                </c:pt>
                <c:pt idx="16">
                  <c:v>14663.069069092722</c:v>
                </c:pt>
                <c:pt idx="17">
                  <c:v>18824.970220926218</c:v>
                </c:pt>
                <c:pt idx="18">
                  <c:v>19322.256555007676</c:v>
                </c:pt>
                <c:pt idx="19">
                  <c:v>32189.148704467352</c:v>
                </c:pt>
                <c:pt idx="20">
                  <c:v>44745.710555369158</c:v>
                </c:pt>
                <c:pt idx="21">
                  <c:v>24174.775716755652</c:v>
                </c:pt>
                <c:pt idx="22">
                  <c:v>18370.267904634788</c:v>
                </c:pt>
                <c:pt idx="23">
                  <c:v>23680.196384916082</c:v>
                </c:pt>
                <c:pt idx="24">
                  <c:v>22223.791700942267</c:v>
                </c:pt>
                <c:pt idx="25">
                  <c:v>16931.934044811562</c:v>
                </c:pt>
                <c:pt idx="26">
                  <c:v>15502.270527550427</c:v>
                </c:pt>
                <c:pt idx="27">
                  <c:v>18667.853190278471</c:v>
                </c:pt>
                <c:pt idx="28">
                  <c:v>15649.084119971385</c:v>
                </c:pt>
                <c:pt idx="29">
                  <c:v>12890.727308333335</c:v>
                </c:pt>
                <c:pt idx="30">
                  <c:v>13563.390538127425</c:v>
                </c:pt>
                <c:pt idx="31">
                  <c:v>17536.82988770607</c:v>
                </c:pt>
                <c:pt idx="32">
                  <c:v>20031.777890413952</c:v>
                </c:pt>
              </c:numCache>
            </c:numRef>
          </c:val>
          <c:smooth val="0"/>
          <c:extLst>
            <c:ext xmlns:c16="http://schemas.microsoft.com/office/drawing/2014/chart" uri="{C3380CC4-5D6E-409C-BE32-E72D297353CC}">
              <c16:uniqueId val="{00000000-A2CF-4ED7-A431-001C6B63379F}"/>
            </c:ext>
          </c:extLst>
        </c:ser>
        <c:ser>
          <c:idx val="1"/>
          <c:order val="1"/>
          <c:tx>
            <c:strRef>
              <c:f>'Nickel - Prices'!$I$7</c:f>
              <c:strCache>
                <c:ptCount val="1"/>
                <c:pt idx="0">
                  <c:v>Avg. Price (US$/tonne)</c:v>
                </c:pt>
              </c:strCache>
            </c:strRef>
          </c:tx>
          <c:marker>
            <c:symbol val="none"/>
          </c:marker>
          <c:cat>
            <c:numRef>
              <c:extLst>
                <c:ext xmlns:c15="http://schemas.microsoft.com/office/drawing/2012/chart" uri="{02D57815-91ED-43cb-92C2-25804820EDAC}">
                  <c15:fullRef>
                    <c15:sqref>'Nickel - Prices'!$G$8:$G$41</c15:sqref>
                  </c15:fullRef>
                </c:ext>
              </c:extLst>
              <c:f>'Nickel - Prices'!$G$9:$G$41</c:f>
              <c:numCache>
                <c:formatCode>General</c:formatCode>
                <c:ptCount val="33"/>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numCache>
            </c:numRef>
          </c:cat>
          <c:val>
            <c:numRef>
              <c:extLst>
                <c:ext xmlns:c15="http://schemas.microsoft.com/office/drawing/2012/chart" uri="{02D57815-91ED-43cb-92C2-25804820EDAC}">
                  <c15:fullRef>
                    <c15:sqref>'Nickel - Prices'!$I$8:$I$41</c15:sqref>
                  </c15:fullRef>
                </c:ext>
              </c:extLst>
              <c:f>'Nickel - Prices'!$I$9:$I$41</c:f>
              <c:numCache>
                <c:formatCode>"$"#,##0.00</c:formatCode>
                <c:ptCount val="33"/>
                <c:pt idx="0">
                  <c:v>4847.6766666666672</c:v>
                </c:pt>
                <c:pt idx="1">
                  <c:v>13777.604166666666</c:v>
                </c:pt>
                <c:pt idx="2">
                  <c:v>13236.366666666669</c:v>
                </c:pt>
                <c:pt idx="3">
                  <c:v>8849.7666666666682</c:v>
                </c:pt>
                <c:pt idx="4">
                  <c:v>8148.1041666666679</c:v>
                </c:pt>
                <c:pt idx="5">
                  <c:v>7005.3058333333347</c:v>
                </c:pt>
                <c:pt idx="6">
                  <c:v>5292.8183333333336</c:v>
                </c:pt>
                <c:pt idx="7">
                  <c:v>6340.3233333333337</c:v>
                </c:pt>
                <c:pt idx="8">
                  <c:v>8233.5949999999993</c:v>
                </c:pt>
                <c:pt idx="9">
                  <c:v>7531.4583333333348</c:v>
                </c:pt>
                <c:pt idx="10">
                  <c:v>6924.1499999999987</c:v>
                </c:pt>
                <c:pt idx="11">
                  <c:v>4632.6191666666664</c:v>
                </c:pt>
                <c:pt idx="12">
                  <c:v>6014.5916666666672</c:v>
                </c:pt>
                <c:pt idx="13">
                  <c:v>8641.8808333333345</c:v>
                </c:pt>
                <c:pt idx="14">
                  <c:v>5949.4933333333347</c:v>
                </c:pt>
                <c:pt idx="15">
                  <c:v>6793.0508333333337</c:v>
                </c:pt>
                <c:pt idx="16">
                  <c:v>9633.3608333333341</c:v>
                </c:pt>
                <c:pt idx="17">
                  <c:v>13830.259166666665</c:v>
                </c:pt>
                <c:pt idx="18">
                  <c:v>14743.910000000002</c:v>
                </c:pt>
                <c:pt idx="19">
                  <c:v>24360.182499999999</c:v>
                </c:pt>
                <c:pt idx="20">
                  <c:v>37229.805833333332</c:v>
                </c:pt>
                <c:pt idx="21">
                  <c:v>21113.145833333332</c:v>
                </c:pt>
                <c:pt idx="22">
                  <c:v>14721.555833333334</c:v>
                </c:pt>
                <c:pt idx="23">
                  <c:v>21808.852500000001</c:v>
                </c:pt>
                <c:pt idx="24">
                  <c:v>22894.358333333334</c:v>
                </c:pt>
                <c:pt idx="25">
                  <c:v>17535.575000000001</c:v>
                </c:pt>
                <c:pt idx="26">
                  <c:v>15021.8925</c:v>
                </c:pt>
                <c:pt idx="27">
                  <c:v>16868.554166666665</c:v>
                </c:pt>
                <c:pt idx="28">
                  <c:v>11834.791666666666</c:v>
                </c:pt>
                <c:pt idx="29">
                  <c:v>9597.557499999999</c:v>
                </c:pt>
                <c:pt idx="30">
                  <c:v>10406.910928787878</c:v>
                </c:pt>
                <c:pt idx="31">
                  <c:v>13117.675179440836</c:v>
                </c:pt>
                <c:pt idx="32">
                  <c:v>13906.955833333333</c:v>
                </c:pt>
              </c:numCache>
            </c:numRef>
          </c:val>
          <c:smooth val="0"/>
          <c:extLst>
            <c:ext xmlns:c16="http://schemas.microsoft.com/office/drawing/2014/chart" uri="{C3380CC4-5D6E-409C-BE32-E72D297353CC}">
              <c16:uniqueId val="{00000001-A2CF-4ED7-A431-001C6B63379F}"/>
            </c:ext>
          </c:extLst>
        </c:ser>
        <c:dLbls>
          <c:showLegendKey val="0"/>
          <c:showVal val="0"/>
          <c:showCatName val="0"/>
          <c:showSerName val="0"/>
          <c:showPercent val="0"/>
          <c:showBubbleSize val="0"/>
        </c:dLbls>
        <c:smooth val="0"/>
        <c:axId val="131369600"/>
        <c:axId val="131371776"/>
      </c:lineChart>
      <c:catAx>
        <c:axId val="131369600"/>
        <c:scaling>
          <c:orientation val="minMax"/>
        </c:scaling>
        <c:delete val="0"/>
        <c:axPos val="b"/>
        <c:title>
          <c:tx>
            <c:rich>
              <a:bodyPr/>
              <a:lstStyle/>
              <a:p>
                <a:pPr>
                  <a:defRPr sz="900"/>
                </a:pPr>
                <a:r>
                  <a:rPr lang="en-AU" sz="900"/>
                  <a:t>Source:</a:t>
                </a:r>
                <a:r>
                  <a:rPr lang="en-AU" sz="900" baseline="0"/>
                  <a:t> LME</a:t>
                </a:r>
                <a:endParaRPr lang="en-AU" sz="900"/>
              </a:p>
            </c:rich>
          </c:tx>
          <c:layout>
            <c:manualLayout>
              <c:xMode val="edge"/>
              <c:yMode val="edge"/>
              <c:x val="0"/>
              <c:y val="0.94313216594226223"/>
            </c:manualLayout>
          </c:layout>
          <c:overlay val="0"/>
        </c:title>
        <c:numFmt formatCode="General" sourceLinked="1"/>
        <c:majorTickMark val="out"/>
        <c:minorTickMark val="none"/>
        <c:tickLblPos val="nextTo"/>
        <c:spPr>
          <a:ln/>
        </c:spPr>
        <c:txPr>
          <a:bodyPr rot="-2700000"/>
          <a:lstStyle/>
          <a:p>
            <a:pPr>
              <a:defRPr/>
            </a:pPr>
            <a:endParaRPr lang="en-US"/>
          </a:p>
        </c:txPr>
        <c:crossAx val="131371776"/>
        <c:crosses val="autoZero"/>
        <c:auto val="1"/>
        <c:lblAlgn val="ctr"/>
        <c:lblOffset val="100"/>
        <c:noMultiLvlLbl val="0"/>
      </c:catAx>
      <c:valAx>
        <c:axId val="131371776"/>
        <c:scaling>
          <c:orientation val="minMax"/>
        </c:scaling>
        <c:delete val="0"/>
        <c:axPos val="l"/>
        <c:majorGridlines/>
        <c:title>
          <c:tx>
            <c:rich>
              <a:bodyPr rot="-5400000" vert="horz"/>
              <a:lstStyle/>
              <a:p>
                <a:pPr>
                  <a:defRPr/>
                </a:pPr>
                <a:r>
                  <a:rPr lang="en-AU"/>
                  <a:t>$/tonne</a:t>
                </a:r>
              </a:p>
            </c:rich>
          </c:tx>
          <c:layout>
            <c:manualLayout>
              <c:xMode val="edge"/>
              <c:yMode val="edge"/>
              <c:x val="1.0468530620884969E-2"/>
              <c:y val="0.45788466052137683"/>
            </c:manualLayout>
          </c:layout>
          <c:overlay val="0"/>
        </c:title>
        <c:numFmt formatCode="#,##0" sourceLinked="0"/>
        <c:majorTickMark val="out"/>
        <c:minorTickMark val="none"/>
        <c:tickLblPos val="nextTo"/>
        <c:spPr>
          <a:ln/>
        </c:spPr>
        <c:crossAx val="13136960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Monthly price, past 5 years</a:t>
            </a:r>
          </a:p>
        </c:rich>
      </c:tx>
      <c:overlay val="0"/>
    </c:title>
    <c:autoTitleDeleted val="0"/>
    <c:plotArea>
      <c:layout>
        <c:manualLayout>
          <c:layoutTarget val="inner"/>
          <c:xMode val="edge"/>
          <c:yMode val="edge"/>
          <c:x val="0.16592876393806477"/>
          <c:y val="0.22583854186317537"/>
          <c:w val="0.80807535802991071"/>
          <c:h val="0.5886610843519029"/>
        </c:manualLayout>
      </c:layout>
      <c:lineChart>
        <c:grouping val="standard"/>
        <c:varyColors val="0"/>
        <c:ser>
          <c:idx val="0"/>
          <c:order val="0"/>
          <c:tx>
            <c:strRef>
              <c:f>'Nickel - Prices'!$B$7</c:f>
              <c:strCache>
                <c:ptCount val="1"/>
                <c:pt idx="0">
                  <c:v>Price (A$/tonne)</c:v>
                </c:pt>
              </c:strCache>
            </c:strRef>
          </c:tx>
          <c:marker>
            <c:symbol val="none"/>
          </c:marker>
          <c:cat>
            <c:numRef>
              <c:f>'Data - Monthly Commodity Prices'!$AY$9:$AY$68</c:f>
              <c:numCache>
                <c:formatCode>General</c:formatCode>
                <c:ptCount val="60"/>
                <c:pt idx="2" formatCode="mmm\-yy">
                  <c:v>42064</c:v>
                </c:pt>
                <c:pt idx="5" formatCode="mmm\-yy">
                  <c:v>42156</c:v>
                </c:pt>
                <c:pt idx="8" formatCode="mmm\-yy">
                  <c:v>42248</c:v>
                </c:pt>
                <c:pt idx="11" formatCode="mmm\-yy">
                  <c:v>42339</c:v>
                </c:pt>
                <c:pt idx="14" formatCode="mmm\-yy">
                  <c:v>42430</c:v>
                </c:pt>
                <c:pt idx="17" formatCode="mmm\-yy">
                  <c:v>42522</c:v>
                </c:pt>
                <c:pt idx="20" formatCode="mmm\-yy">
                  <c:v>42614</c:v>
                </c:pt>
                <c:pt idx="23" formatCode="mmm\-yy">
                  <c:v>42705</c:v>
                </c:pt>
                <c:pt idx="26" formatCode="mmm\-yy">
                  <c:v>42795</c:v>
                </c:pt>
                <c:pt idx="29" formatCode="mmm\-yy">
                  <c:v>42887</c:v>
                </c:pt>
                <c:pt idx="32" formatCode="mmm\-yy">
                  <c:v>42979</c:v>
                </c:pt>
                <c:pt idx="35" formatCode="mmm\-yy">
                  <c:v>43070</c:v>
                </c:pt>
                <c:pt idx="38" formatCode="mmm\-yy">
                  <c:v>43160</c:v>
                </c:pt>
                <c:pt idx="41" formatCode="mmm\-yy">
                  <c:v>43252</c:v>
                </c:pt>
                <c:pt idx="44" formatCode="mmm\-yy">
                  <c:v>43344</c:v>
                </c:pt>
                <c:pt idx="47" formatCode="mmm\-yy">
                  <c:v>43435</c:v>
                </c:pt>
                <c:pt idx="50" formatCode="mmm\-yy">
                  <c:v>43525</c:v>
                </c:pt>
                <c:pt idx="53" formatCode="mmm\-yy">
                  <c:v>43617</c:v>
                </c:pt>
                <c:pt idx="56" formatCode="mmm\-yy">
                  <c:v>43709</c:v>
                </c:pt>
                <c:pt idx="59" formatCode="mmm\-yy">
                  <c:v>43800</c:v>
                </c:pt>
              </c:numCache>
            </c:numRef>
          </c:cat>
          <c:val>
            <c:numRef>
              <c:f>'Nickel - Prices'!$B$8:$B$67</c:f>
              <c:numCache>
                <c:formatCode>"$"#,##0.00</c:formatCode>
                <c:ptCount val="60"/>
                <c:pt idx="0">
                  <c:v>18326.243672456574</c:v>
                </c:pt>
                <c:pt idx="1">
                  <c:v>18650.712177595276</c:v>
                </c:pt>
                <c:pt idx="2">
                  <c:v>17782.253298835705</c:v>
                </c:pt>
                <c:pt idx="3">
                  <c:v>16525.856496444732</c:v>
                </c:pt>
                <c:pt idx="4">
                  <c:v>17130.290895257418</c:v>
                </c:pt>
                <c:pt idx="5">
                  <c:v>16547.679269713841</c:v>
                </c:pt>
                <c:pt idx="6">
                  <c:v>15367.619921716831</c:v>
                </c:pt>
                <c:pt idx="7">
                  <c:v>14175.233004385964</c:v>
                </c:pt>
                <c:pt idx="8">
                  <c:v>14030.345995747697</c:v>
                </c:pt>
                <c:pt idx="9">
                  <c:v>14354.830557868441</c:v>
                </c:pt>
                <c:pt idx="10">
                  <c:v>12912.087972027974</c:v>
                </c:pt>
                <c:pt idx="11">
                  <c:v>11985.85617760618</c:v>
                </c:pt>
                <c:pt idx="12">
                  <c:v>12092.658600000001</c:v>
                </c:pt>
                <c:pt idx="13">
                  <c:v>11637.988499999999</c:v>
                </c:pt>
                <c:pt idx="14">
                  <c:v>11589.943499999999</c:v>
                </c:pt>
                <c:pt idx="15">
                  <c:v>11552.419400000001</c:v>
                </c:pt>
                <c:pt idx="16">
                  <c:v>11867.3177</c:v>
                </c:pt>
                <c:pt idx="17">
                  <c:v>12036.53</c:v>
                </c:pt>
                <c:pt idx="18">
                  <c:v>13614.75</c:v>
                </c:pt>
                <c:pt idx="19">
                  <c:v>13582.4</c:v>
                </c:pt>
                <c:pt idx="20">
                  <c:v>13419.93</c:v>
                </c:pt>
                <c:pt idx="21">
                  <c:v>13480.08</c:v>
                </c:pt>
                <c:pt idx="22">
                  <c:v>14800.05</c:v>
                </c:pt>
                <c:pt idx="23">
                  <c:v>15014.66</c:v>
                </c:pt>
                <c:pt idx="24">
                  <c:v>13385.56</c:v>
                </c:pt>
                <c:pt idx="25">
                  <c:v>13852.73</c:v>
                </c:pt>
                <c:pt idx="26">
                  <c:v>13418.72</c:v>
                </c:pt>
                <c:pt idx="27">
                  <c:v>12831.6</c:v>
                </c:pt>
                <c:pt idx="28">
                  <c:v>12310.77</c:v>
                </c:pt>
                <c:pt idx="29">
                  <c:v>11813.071164021165</c:v>
                </c:pt>
                <c:pt idx="30">
                  <c:v>12148.19602818706</c:v>
                </c:pt>
                <c:pt idx="31">
                  <c:v>13710.149754237678</c:v>
                </c:pt>
                <c:pt idx="32">
                  <c:v>14100.125517760764</c:v>
                </c:pt>
                <c:pt idx="33">
                  <c:v>14543.469885706949</c:v>
                </c:pt>
                <c:pt idx="34">
                  <c:v>15732.293454020728</c:v>
                </c:pt>
                <c:pt idx="35">
                  <c:v>14914.00065359477</c:v>
                </c:pt>
                <c:pt idx="36">
                  <c:v>16187.29420635918</c:v>
                </c:pt>
                <c:pt idx="37">
                  <c:v>17255.655821047279</c:v>
                </c:pt>
                <c:pt idx="38">
                  <c:v>17274.867895347339</c:v>
                </c:pt>
                <c:pt idx="39">
                  <c:v>18136.795522582324</c:v>
                </c:pt>
                <c:pt idx="40">
                  <c:v>19070.707454076208</c:v>
                </c:pt>
                <c:pt idx="41">
                  <c:v>20172.143079632067</c:v>
                </c:pt>
                <c:pt idx="42">
                  <c:v>18598.305813025596</c:v>
                </c:pt>
                <c:pt idx="43">
                  <c:v>18336.001290546745</c:v>
                </c:pt>
                <c:pt idx="44">
                  <c:v>17389.297612437535</c:v>
                </c:pt>
                <c:pt idx="45">
                  <c:v>17357.321881160235</c:v>
                </c:pt>
                <c:pt idx="46">
                  <c:v>15524.084826747263</c:v>
                </c:pt>
                <c:pt idx="47">
                  <c:v>15139.483249511037</c:v>
                </c:pt>
                <c:pt idx="48">
                  <c:v>16018.109355334918</c:v>
                </c:pt>
                <c:pt idx="49">
                  <c:v>17721.70075651443</c:v>
                </c:pt>
                <c:pt idx="50">
                  <c:v>18439.517153748409</c:v>
                </c:pt>
                <c:pt idx="51">
                  <c:v>18024.465691788526</c:v>
                </c:pt>
                <c:pt idx="52">
                  <c:v>17278.701036866358</c:v>
                </c:pt>
                <c:pt idx="53">
                  <c:v>17227.9792746114</c:v>
                </c:pt>
                <c:pt idx="54">
                  <c:v>19289.855280126092</c:v>
                </c:pt>
                <c:pt idx="55">
                  <c:v>23174.434756908526</c:v>
                </c:pt>
                <c:pt idx="56">
                  <c:v>25732.527664531157</c:v>
                </c:pt>
                <c:pt idx="57">
                  <c:v>25174.286554869079</c:v>
                </c:pt>
                <c:pt idx="58">
                  <c:v>22267.096396132434</c:v>
                </c:pt>
                <c:pt idx="59">
                  <c:v>20032.660763536074</c:v>
                </c:pt>
              </c:numCache>
            </c:numRef>
          </c:val>
          <c:smooth val="0"/>
          <c:extLst>
            <c:ext xmlns:c16="http://schemas.microsoft.com/office/drawing/2014/chart" uri="{C3380CC4-5D6E-409C-BE32-E72D297353CC}">
              <c16:uniqueId val="{00000000-281E-4B38-B6AE-849162B0B053}"/>
            </c:ext>
          </c:extLst>
        </c:ser>
        <c:ser>
          <c:idx val="1"/>
          <c:order val="1"/>
          <c:tx>
            <c:strRef>
              <c:f>'Nickel - Prices'!$I$7</c:f>
              <c:strCache>
                <c:ptCount val="1"/>
                <c:pt idx="0">
                  <c:v>Avg. Price (US$/tonne)</c:v>
                </c:pt>
              </c:strCache>
            </c:strRef>
          </c:tx>
          <c:marker>
            <c:symbol val="none"/>
          </c:marker>
          <c:cat>
            <c:numRef>
              <c:f>'Data - Monthly Commodity Prices'!$AY$9:$AY$68</c:f>
              <c:numCache>
                <c:formatCode>General</c:formatCode>
                <c:ptCount val="60"/>
                <c:pt idx="2" formatCode="mmm\-yy">
                  <c:v>42064</c:v>
                </c:pt>
                <c:pt idx="5" formatCode="mmm\-yy">
                  <c:v>42156</c:v>
                </c:pt>
                <c:pt idx="8" formatCode="mmm\-yy">
                  <c:v>42248</c:v>
                </c:pt>
                <c:pt idx="11" formatCode="mmm\-yy">
                  <c:v>42339</c:v>
                </c:pt>
                <c:pt idx="14" formatCode="mmm\-yy">
                  <c:v>42430</c:v>
                </c:pt>
                <c:pt idx="17" formatCode="mmm\-yy">
                  <c:v>42522</c:v>
                </c:pt>
                <c:pt idx="20" formatCode="mmm\-yy">
                  <c:v>42614</c:v>
                </c:pt>
                <c:pt idx="23" formatCode="mmm\-yy">
                  <c:v>42705</c:v>
                </c:pt>
                <c:pt idx="26" formatCode="mmm\-yy">
                  <c:v>42795</c:v>
                </c:pt>
                <c:pt idx="29" formatCode="mmm\-yy">
                  <c:v>42887</c:v>
                </c:pt>
                <c:pt idx="32" formatCode="mmm\-yy">
                  <c:v>42979</c:v>
                </c:pt>
                <c:pt idx="35" formatCode="mmm\-yy">
                  <c:v>43070</c:v>
                </c:pt>
                <c:pt idx="38" formatCode="mmm\-yy">
                  <c:v>43160</c:v>
                </c:pt>
                <c:pt idx="41" formatCode="mmm\-yy">
                  <c:v>43252</c:v>
                </c:pt>
                <c:pt idx="44" formatCode="mmm\-yy">
                  <c:v>43344</c:v>
                </c:pt>
                <c:pt idx="47" formatCode="mmm\-yy">
                  <c:v>43435</c:v>
                </c:pt>
                <c:pt idx="50" formatCode="mmm\-yy">
                  <c:v>43525</c:v>
                </c:pt>
                <c:pt idx="53" formatCode="mmm\-yy">
                  <c:v>43617</c:v>
                </c:pt>
                <c:pt idx="56" formatCode="mmm\-yy">
                  <c:v>43709</c:v>
                </c:pt>
                <c:pt idx="59" formatCode="mmm\-yy">
                  <c:v>43800</c:v>
                </c:pt>
              </c:numCache>
            </c:numRef>
          </c:cat>
          <c:val>
            <c:numRef>
              <c:f>'Nickel - Prices'!$C$8:$C$67</c:f>
              <c:numCache>
                <c:formatCode>"$"#,##0.00</c:formatCode>
                <c:ptCount val="60"/>
                <c:pt idx="0">
                  <c:v>14770.95</c:v>
                </c:pt>
                <c:pt idx="1">
                  <c:v>14534.5</c:v>
                </c:pt>
                <c:pt idx="2">
                  <c:v>13745.68</c:v>
                </c:pt>
                <c:pt idx="3">
                  <c:v>12782.75</c:v>
                </c:pt>
                <c:pt idx="4">
                  <c:v>13508.95</c:v>
                </c:pt>
                <c:pt idx="5">
                  <c:v>12779.77</c:v>
                </c:pt>
                <c:pt idx="6">
                  <c:v>11385.87</c:v>
                </c:pt>
                <c:pt idx="7">
                  <c:v>10342.25</c:v>
                </c:pt>
                <c:pt idx="8">
                  <c:v>9898.41</c:v>
                </c:pt>
                <c:pt idx="9">
                  <c:v>10344.09</c:v>
                </c:pt>
                <c:pt idx="10">
                  <c:v>9232.14</c:v>
                </c:pt>
                <c:pt idx="11">
                  <c:v>8692.14</c:v>
                </c:pt>
                <c:pt idx="12">
                  <c:v>8483</c:v>
                </c:pt>
                <c:pt idx="13">
                  <c:v>8309.52</c:v>
                </c:pt>
                <c:pt idx="14">
                  <c:v>8704.0499999999993</c:v>
                </c:pt>
                <c:pt idx="15">
                  <c:v>8852.6200000000008</c:v>
                </c:pt>
                <c:pt idx="16">
                  <c:v>8689.25</c:v>
                </c:pt>
                <c:pt idx="17">
                  <c:v>8915.4500000000007</c:v>
                </c:pt>
                <c:pt idx="18">
                  <c:v>10251.9</c:v>
                </c:pt>
                <c:pt idx="19">
                  <c:v>10353.86</c:v>
                </c:pt>
                <c:pt idx="20">
                  <c:v>10188.41</c:v>
                </c:pt>
                <c:pt idx="21">
                  <c:v>10266.43</c:v>
                </c:pt>
                <c:pt idx="22">
                  <c:v>11142.95</c:v>
                </c:pt>
                <c:pt idx="23">
                  <c:v>11013.25</c:v>
                </c:pt>
                <c:pt idx="24">
                  <c:v>9984.2900000000009</c:v>
                </c:pt>
                <c:pt idx="25">
                  <c:v>10619.5</c:v>
                </c:pt>
                <c:pt idx="26">
                  <c:v>10230.43</c:v>
                </c:pt>
                <c:pt idx="27">
                  <c:v>9668.61</c:v>
                </c:pt>
                <c:pt idx="28">
                  <c:v>9154.2900000000009</c:v>
                </c:pt>
                <c:pt idx="29">
                  <c:v>8930.6818000000003</c:v>
                </c:pt>
                <c:pt idx="30">
                  <c:v>9481.6669999999995</c:v>
                </c:pt>
                <c:pt idx="31">
                  <c:v>10852.954545454546</c:v>
                </c:pt>
                <c:pt idx="32">
                  <c:v>11233.57</c:v>
                </c:pt>
                <c:pt idx="33">
                  <c:v>11325</c:v>
                </c:pt>
                <c:pt idx="34">
                  <c:v>11992.7273</c:v>
                </c:pt>
                <c:pt idx="35">
                  <c:v>11409.210499999999</c:v>
                </c:pt>
                <c:pt idx="36">
                  <c:v>12880.23</c:v>
                </c:pt>
                <c:pt idx="37">
                  <c:v>13576.75</c:v>
                </c:pt>
                <c:pt idx="38">
                  <c:v>13403.57</c:v>
                </c:pt>
                <c:pt idx="39">
                  <c:v>13934.5</c:v>
                </c:pt>
                <c:pt idx="40">
                  <c:v>14356.428571428571</c:v>
                </c:pt>
                <c:pt idx="41">
                  <c:v>15110.952380952382</c:v>
                </c:pt>
                <c:pt idx="42">
                  <c:v>13772.045454545454</c:v>
                </c:pt>
                <c:pt idx="43">
                  <c:v>13432.954545454546</c:v>
                </c:pt>
                <c:pt idx="44">
                  <c:v>12527.25</c:v>
                </c:pt>
                <c:pt idx="45">
                  <c:v>12327.17</c:v>
                </c:pt>
                <c:pt idx="46">
                  <c:v>11253.40909090909</c:v>
                </c:pt>
                <c:pt idx="47">
                  <c:v>10836.84211</c:v>
                </c:pt>
                <c:pt idx="48">
                  <c:v>11454.55</c:v>
                </c:pt>
                <c:pt idx="49">
                  <c:v>12649.75</c:v>
                </c:pt>
                <c:pt idx="50">
                  <c:v>13060.71</c:v>
                </c:pt>
                <c:pt idx="51">
                  <c:v>12819</c:v>
                </c:pt>
                <c:pt idx="52">
                  <c:v>11998.33</c:v>
                </c:pt>
                <c:pt idx="53">
                  <c:v>11970</c:v>
                </c:pt>
                <c:pt idx="54">
                  <c:v>13462.39</c:v>
                </c:pt>
                <c:pt idx="55">
                  <c:v>15682.14</c:v>
                </c:pt>
                <c:pt idx="56">
                  <c:v>17673.099999999999</c:v>
                </c:pt>
                <c:pt idx="57">
                  <c:v>17113.48</c:v>
                </c:pt>
                <c:pt idx="58">
                  <c:v>15199.52</c:v>
                </c:pt>
                <c:pt idx="59">
                  <c:v>13800.5</c:v>
                </c:pt>
              </c:numCache>
            </c:numRef>
          </c:val>
          <c:smooth val="0"/>
          <c:extLst>
            <c:ext xmlns:c16="http://schemas.microsoft.com/office/drawing/2014/chart" uri="{C3380CC4-5D6E-409C-BE32-E72D297353CC}">
              <c16:uniqueId val="{00000001-281E-4B38-B6AE-849162B0B053}"/>
            </c:ext>
          </c:extLst>
        </c:ser>
        <c:dLbls>
          <c:showLegendKey val="0"/>
          <c:showVal val="0"/>
          <c:showCatName val="0"/>
          <c:showSerName val="0"/>
          <c:showPercent val="0"/>
          <c:showBubbleSize val="0"/>
        </c:dLbls>
        <c:smooth val="0"/>
        <c:axId val="131440000"/>
        <c:axId val="131438464"/>
      </c:lineChart>
      <c:valAx>
        <c:axId val="131438464"/>
        <c:scaling>
          <c:orientation val="minMax"/>
        </c:scaling>
        <c:delete val="0"/>
        <c:axPos val="l"/>
        <c:majorGridlines/>
        <c:title>
          <c:tx>
            <c:rich>
              <a:bodyPr/>
              <a:lstStyle/>
              <a:p>
                <a:pPr>
                  <a:defRPr/>
                </a:pPr>
                <a:r>
                  <a:rPr lang="en-AU"/>
                  <a:t>$/tonne</a:t>
                </a:r>
              </a:p>
            </c:rich>
          </c:tx>
          <c:layout>
            <c:manualLayout>
              <c:xMode val="edge"/>
              <c:yMode val="edge"/>
              <c:x val="3.6564322077190015E-2"/>
              <c:y val="0.46068978737574695"/>
            </c:manualLayout>
          </c:layout>
          <c:overlay val="0"/>
        </c:title>
        <c:numFmt formatCode="#,##0" sourceLinked="0"/>
        <c:majorTickMark val="out"/>
        <c:minorTickMark val="none"/>
        <c:tickLblPos val="nextTo"/>
        <c:crossAx val="131440000"/>
        <c:crosses val="autoZero"/>
        <c:crossBetween val="between"/>
      </c:valAx>
      <c:catAx>
        <c:axId val="131440000"/>
        <c:scaling>
          <c:orientation val="minMax"/>
        </c:scaling>
        <c:delete val="0"/>
        <c:axPos val="b"/>
        <c:title>
          <c:tx>
            <c:rich>
              <a:bodyPr/>
              <a:lstStyle/>
              <a:p>
                <a:pPr>
                  <a:defRPr sz="900"/>
                </a:pPr>
                <a:r>
                  <a:rPr lang="en-AU" sz="900"/>
                  <a:t>Source:  LME</a:t>
                </a:r>
              </a:p>
            </c:rich>
          </c:tx>
          <c:layout>
            <c:manualLayout>
              <c:xMode val="edge"/>
              <c:yMode val="edge"/>
              <c:x val="0"/>
              <c:y val="0.94920110358106113"/>
            </c:manualLayout>
          </c:layout>
          <c:overlay val="0"/>
        </c:title>
        <c:numFmt formatCode="General" sourceLinked="1"/>
        <c:majorTickMark val="out"/>
        <c:minorTickMark val="none"/>
        <c:tickLblPos val="nextTo"/>
        <c:txPr>
          <a:bodyPr rot="-2700000"/>
          <a:lstStyle/>
          <a:p>
            <a:pPr>
              <a:defRPr/>
            </a:pPr>
            <a:endParaRPr lang="en-US"/>
          </a:p>
        </c:txPr>
        <c:crossAx val="13143846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title>
      <c:tx>
        <c:strRef>
          <c:f>'Nickel - Exports'!$W$1</c:f>
          <c:strCache>
            <c:ptCount val="1"/>
            <c:pt idx="0">
              <c:v>Western Australian Nickel Exports 2019
Total Value: $4,029,555,488</c:v>
            </c:pt>
          </c:strCache>
        </c:strRef>
      </c:tx>
      <c:overlay val="0"/>
    </c:title>
    <c:autoTitleDeleted val="0"/>
    <c:plotArea>
      <c:layout>
        <c:manualLayout>
          <c:layoutTarget val="inner"/>
          <c:xMode val="edge"/>
          <c:yMode val="edge"/>
          <c:x val="0.34445417157500979"/>
          <c:y val="0.31120782629444049"/>
          <c:w val="0.44219687960308618"/>
          <c:h val="0.65910387978753837"/>
        </c:manualLayout>
      </c:layout>
      <c:pieChart>
        <c:varyColors val="1"/>
        <c:ser>
          <c:idx val="0"/>
          <c:order val="0"/>
          <c:tx>
            <c:v>Exports</c:v>
          </c:tx>
          <c:dPt>
            <c:idx val="0"/>
            <c:bubble3D val="0"/>
            <c:extLst>
              <c:ext xmlns:c16="http://schemas.microsoft.com/office/drawing/2014/chart" uri="{C3380CC4-5D6E-409C-BE32-E72D297353CC}">
                <c16:uniqueId val="{00000000-4473-4B57-893E-A395CA0E7FAC}"/>
              </c:ext>
            </c:extLst>
          </c:dPt>
          <c:dPt>
            <c:idx val="1"/>
            <c:bubble3D val="0"/>
            <c:extLst>
              <c:ext xmlns:c16="http://schemas.microsoft.com/office/drawing/2014/chart" uri="{C3380CC4-5D6E-409C-BE32-E72D297353CC}">
                <c16:uniqueId val="{00000001-4473-4B57-893E-A395CA0E7FAC}"/>
              </c:ext>
            </c:extLst>
          </c:dPt>
          <c:dPt>
            <c:idx val="2"/>
            <c:bubble3D val="0"/>
            <c:extLst>
              <c:ext xmlns:c16="http://schemas.microsoft.com/office/drawing/2014/chart" uri="{C3380CC4-5D6E-409C-BE32-E72D297353CC}">
                <c16:uniqueId val="{00000002-4473-4B57-893E-A395CA0E7FAC}"/>
              </c:ext>
            </c:extLst>
          </c:dPt>
          <c:dPt>
            <c:idx val="3"/>
            <c:bubble3D val="0"/>
            <c:extLst>
              <c:ext xmlns:c16="http://schemas.microsoft.com/office/drawing/2014/chart" uri="{C3380CC4-5D6E-409C-BE32-E72D297353CC}">
                <c16:uniqueId val="{00000003-4473-4B57-893E-A395CA0E7FAC}"/>
              </c:ext>
            </c:extLst>
          </c:dPt>
          <c:dPt>
            <c:idx val="4"/>
            <c:bubble3D val="0"/>
            <c:extLst>
              <c:ext xmlns:c16="http://schemas.microsoft.com/office/drawing/2014/chart" uri="{C3380CC4-5D6E-409C-BE32-E72D297353CC}">
                <c16:uniqueId val="{00000004-4473-4B57-893E-A395CA0E7FAC}"/>
              </c:ext>
            </c:extLst>
          </c:dPt>
          <c:dPt>
            <c:idx val="5"/>
            <c:bubble3D val="0"/>
            <c:extLst>
              <c:ext xmlns:c16="http://schemas.microsoft.com/office/drawing/2014/chart" uri="{C3380CC4-5D6E-409C-BE32-E72D297353CC}">
                <c16:uniqueId val="{00000005-4473-4B57-893E-A395CA0E7FAC}"/>
              </c:ext>
            </c:extLst>
          </c:dPt>
          <c:dPt>
            <c:idx val="6"/>
            <c:bubble3D val="0"/>
            <c:extLst>
              <c:ext xmlns:c16="http://schemas.microsoft.com/office/drawing/2014/chart" uri="{C3380CC4-5D6E-409C-BE32-E72D297353CC}">
                <c16:uniqueId val="{00000006-4473-4B57-893E-A395CA0E7FAC}"/>
              </c:ext>
            </c:extLst>
          </c:dPt>
          <c:dPt>
            <c:idx val="7"/>
            <c:bubble3D val="0"/>
            <c:extLst>
              <c:ext xmlns:c16="http://schemas.microsoft.com/office/drawing/2014/chart" uri="{C3380CC4-5D6E-409C-BE32-E72D297353CC}">
                <c16:uniqueId val="{00000007-4473-4B57-893E-A395CA0E7FAC}"/>
              </c:ext>
            </c:extLst>
          </c:dPt>
          <c:dPt>
            <c:idx val="8"/>
            <c:bubble3D val="0"/>
            <c:extLst>
              <c:ext xmlns:c16="http://schemas.microsoft.com/office/drawing/2014/chart" uri="{C3380CC4-5D6E-409C-BE32-E72D297353CC}">
                <c16:uniqueId val="{00000008-4473-4B57-893E-A395CA0E7FAC}"/>
              </c:ext>
            </c:extLst>
          </c:dPt>
          <c:dPt>
            <c:idx val="9"/>
            <c:bubble3D val="0"/>
            <c:extLst>
              <c:ext xmlns:c16="http://schemas.microsoft.com/office/drawing/2014/chart" uri="{C3380CC4-5D6E-409C-BE32-E72D297353CC}">
                <c16:uniqueId val="{00000009-4473-4B57-893E-A395CA0E7FAC}"/>
              </c:ext>
            </c:extLst>
          </c:dPt>
          <c:dPt>
            <c:idx val="10"/>
            <c:bubble3D val="0"/>
            <c:extLst>
              <c:ext xmlns:c16="http://schemas.microsoft.com/office/drawing/2014/chart" uri="{C3380CC4-5D6E-409C-BE32-E72D297353CC}">
                <c16:uniqueId val="{0000000A-4473-4B57-893E-A395CA0E7FAC}"/>
              </c:ext>
            </c:extLst>
          </c:dPt>
          <c:dLbls>
            <c:dLbl>
              <c:idx val="0"/>
              <c:layout>
                <c:manualLayout>
                  <c:x val="-0.18386198148124966"/>
                  <c:y val="-2.603251607767038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73-4B57-893E-A395CA0E7FAC}"/>
                </c:ext>
              </c:extLst>
            </c:dLbl>
            <c:dLbl>
              <c:idx val="1"/>
              <c:layout>
                <c:manualLayout>
                  <c:x val="0.11208217017387929"/>
                  <c:y val="-0.14968217835329825"/>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73-4B57-893E-A395CA0E7FAC}"/>
                </c:ext>
              </c:extLst>
            </c:dLbl>
            <c:dLbl>
              <c:idx val="2"/>
              <c:layout>
                <c:manualLayout>
                  <c:x val="-6.8288204832901461E-2"/>
                  <c:y val="3.865532211317187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73-4B57-893E-A395CA0E7FAC}"/>
                </c:ext>
              </c:extLst>
            </c:dLbl>
            <c:dLbl>
              <c:idx val="3"/>
              <c:layout>
                <c:manualLayout>
                  <c:x val="-8.3497281440773813E-2"/>
                  <c:y val="4.34416787948899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73-4B57-893E-A395CA0E7FAC}"/>
                </c:ext>
              </c:extLst>
            </c:dLbl>
            <c:dLbl>
              <c:idx val="4"/>
              <c:layout>
                <c:manualLayout>
                  <c:x val="-0.1141928403623633"/>
                  <c:y val="2.737893545297359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73-4B57-893E-A395CA0E7FAC}"/>
                </c:ext>
              </c:extLst>
            </c:dLbl>
            <c:dLbl>
              <c:idx val="5"/>
              <c:layout>
                <c:manualLayout>
                  <c:x val="-0.16014788294547441"/>
                  <c:y val="1.73611473921210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73-4B57-893E-A395CA0E7FAC}"/>
                </c:ext>
              </c:extLst>
            </c:dLbl>
            <c:dLbl>
              <c:idx val="6"/>
              <c:layout>
                <c:manualLayout>
                  <c:x val="-0.17559681033511509"/>
                  <c:y val="-1.43573285566798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73-4B57-893E-A395CA0E7FAC}"/>
                </c:ext>
              </c:extLst>
            </c:dLbl>
            <c:dLbl>
              <c:idx val="7"/>
              <c:layout>
                <c:manualLayout>
                  <c:x val="-0.17364295281849706"/>
                  <c:y val="-3.667325944446514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73-4B57-893E-A395CA0E7FAC}"/>
                </c:ext>
              </c:extLst>
            </c:dLbl>
            <c:dLbl>
              <c:idx val="8"/>
              <c:layout>
                <c:manualLayout>
                  <c:x val="-9.018764943730205E-2"/>
                  <c:y val="-7.063502133323382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73-4B57-893E-A395CA0E7FAC}"/>
                </c:ext>
              </c:extLst>
            </c:dLbl>
            <c:dLbl>
              <c:idx val="9"/>
              <c:layout>
                <c:manualLayout>
                  <c:x val="0.10143668448439176"/>
                  <c:y val="-7.190158102275130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73-4B57-893E-A395CA0E7FAC}"/>
                </c:ext>
              </c:extLst>
            </c:dLbl>
            <c:dLbl>
              <c:idx val="10"/>
              <c:layout>
                <c:manualLayout>
                  <c:x val="0.18029117584467275"/>
                  <c:y val="-2.230025749151027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73-4B57-893E-A395CA0E7FAC}"/>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'Nickel - Exports'!$A$10:$A$20</c:f>
              <c:strCache>
                <c:ptCount val="11"/>
                <c:pt idx="0">
                  <c:v>China</c:v>
                </c:pt>
                <c:pt idx="1">
                  <c:v>Japan</c:v>
                </c:pt>
                <c:pt idx="2">
                  <c:v>Malaysia</c:v>
                </c:pt>
                <c:pt idx="3">
                  <c:v>Korea, Republic Of</c:v>
                </c:pt>
                <c:pt idx="4">
                  <c:v>Taiwan, Province Of China</c:v>
                </c:pt>
                <c:pt idx="5">
                  <c:v>Netherlands</c:v>
                </c:pt>
                <c:pt idx="6">
                  <c:v>United States</c:v>
                </c:pt>
                <c:pt idx="7">
                  <c:v>Norway</c:v>
                </c:pt>
                <c:pt idx="8">
                  <c:v>Spain</c:v>
                </c:pt>
                <c:pt idx="9">
                  <c:v>Singapore</c:v>
                </c:pt>
                <c:pt idx="10">
                  <c:v>Other</c:v>
                </c:pt>
              </c:strCache>
            </c:strRef>
          </c:cat>
          <c:val>
            <c:numRef>
              <c:f>'Nickel - Exports'!$D$10:$D$20</c:f>
              <c:numCache>
                <c:formatCode>0.0%</c:formatCode>
                <c:ptCount val="11"/>
                <c:pt idx="0" formatCode="0.00%">
                  <c:v>0.44265579388403997</c:v>
                </c:pt>
                <c:pt idx="1">
                  <c:v>0.10516794171619041</c:v>
                </c:pt>
                <c:pt idx="2">
                  <c:v>9.0997756903109614E-2</c:v>
                </c:pt>
                <c:pt idx="3">
                  <c:v>8.9395479370353928E-2</c:v>
                </c:pt>
                <c:pt idx="4">
                  <c:v>7.8930803705872785E-2</c:v>
                </c:pt>
                <c:pt idx="5">
                  <c:v>5.2318241667792829E-2</c:v>
                </c:pt>
                <c:pt idx="6">
                  <c:v>5.2290594458510573E-2</c:v>
                </c:pt>
                <c:pt idx="7">
                  <c:v>2.8855377421141522E-2</c:v>
                </c:pt>
                <c:pt idx="8">
                  <c:v>1.4636086217643564E-2</c:v>
                </c:pt>
                <c:pt idx="9">
                  <c:v>1.4402636192493226E-2</c:v>
                </c:pt>
                <c:pt idx="10">
                  <c:v>3.0349288462851558E-2</c:v>
                </c:pt>
              </c:numCache>
            </c:numRef>
          </c:val>
          <c:extLst>
            <c:ext xmlns:c16="http://schemas.microsoft.com/office/drawing/2014/chart" uri="{C3380CC4-5D6E-409C-BE32-E72D297353CC}">
              <c16:uniqueId val="{0000000B-4473-4B57-893E-A395CA0E7FAC}"/>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br>
              <a:rPr lang="en-AU"/>
            </a:br>
            <a:r>
              <a:rPr lang="en-AU" sz="1100"/>
              <a:t>Western Australia</a:t>
            </a:r>
            <a:r>
              <a:rPr lang="en-AU" sz="1100" baseline="0"/>
              <a:t> </a:t>
            </a:r>
            <a:r>
              <a:rPr lang="en-AU" sz="1100"/>
              <a:t>vs Rest of Australia</a:t>
            </a:r>
          </a:p>
        </c:rich>
      </c:tx>
      <c:layout>
        <c:manualLayout>
          <c:xMode val="edge"/>
          <c:yMode val="edge"/>
          <c:x val="0.32281365261619716"/>
          <c:y val="3.7221014588174277E-2"/>
        </c:manualLayout>
      </c:layout>
      <c:overlay val="0"/>
    </c:title>
    <c:autoTitleDeleted val="0"/>
    <c:plotArea>
      <c:layout>
        <c:manualLayout>
          <c:layoutTarget val="inner"/>
          <c:xMode val="edge"/>
          <c:yMode val="edge"/>
          <c:x val="0.10724926233532529"/>
          <c:y val="0.23759417688541162"/>
          <c:w val="0.85400296597118885"/>
          <c:h val="0.60472677307802181"/>
        </c:manualLayout>
      </c:layout>
      <c:barChart>
        <c:barDir val="col"/>
        <c:grouping val="stacked"/>
        <c:varyColors val="0"/>
        <c:ser>
          <c:idx val="0"/>
          <c:order val="0"/>
          <c:tx>
            <c:strRef>
              <c:f>'Nickel - WA vs Australia'!$B$6</c:f>
              <c:strCache>
                <c:ptCount val="1"/>
                <c:pt idx="0">
                  <c:v>Western Australia (Kt)</c:v>
                </c:pt>
              </c:strCache>
            </c:strRef>
          </c:tx>
          <c:invertIfNegative val="0"/>
          <c:cat>
            <c:numRef>
              <c:f>'Nickel - WA vs Australia'!$A$11:$A$61</c:f>
              <c:numCache>
                <c:formatCode>General</c:formatCode>
                <c:ptCount val="51"/>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numCache>
            </c:numRef>
          </c:cat>
          <c:val>
            <c:numRef>
              <c:f>'Nickel - WA vs Australia'!$B$11:$B$61</c:f>
              <c:numCache>
                <c:formatCode>0.00</c:formatCode>
                <c:ptCount val="51"/>
                <c:pt idx="0">
                  <c:v>7.877408</c:v>
                </c:pt>
                <c:pt idx="1">
                  <c:v>31.609000000000002</c:v>
                </c:pt>
                <c:pt idx="2">
                  <c:v>35.768999999999998</c:v>
                </c:pt>
                <c:pt idx="3">
                  <c:v>31.37</c:v>
                </c:pt>
                <c:pt idx="4">
                  <c:v>40.228000000000002</c:v>
                </c:pt>
                <c:pt idx="5">
                  <c:v>45.93</c:v>
                </c:pt>
                <c:pt idx="6">
                  <c:v>53.432000000000002</c:v>
                </c:pt>
                <c:pt idx="7">
                  <c:v>58.000999999999998</c:v>
                </c:pt>
                <c:pt idx="8">
                  <c:v>56.569000000000003</c:v>
                </c:pt>
                <c:pt idx="9">
                  <c:v>50.723999999999997</c:v>
                </c:pt>
                <c:pt idx="10">
                  <c:v>43.688000000000002</c:v>
                </c:pt>
                <c:pt idx="11">
                  <c:v>43.597000000000001</c:v>
                </c:pt>
                <c:pt idx="12">
                  <c:v>47.768999999999998</c:v>
                </c:pt>
                <c:pt idx="13">
                  <c:v>57.545999999999999</c:v>
                </c:pt>
                <c:pt idx="14">
                  <c:v>57.973999999999997</c:v>
                </c:pt>
                <c:pt idx="15">
                  <c:v>58.837000000000003</c:v>
                </c:pt>
                <c:pt idx="16">
                  <c:v>55.936999999999998</c:v>
                </c:pt>
                <c:pt idx="17">
                  <c:v>49.228999999999999</c:v>
                </c:pt>
                <c:pt idx="18">
                  <c:v>47.588999999999999</c:v>
                </c:pt>
                <c:pt idx="19">
                  <c:v>36.302</c:v>
                </c:pt>
                <c:pt idx="20">
                  <c:v>39</c:v>
                </c:pt>
                <c:pt idx="21">
                  <c:v>51</c:v>
                </c:pt>
                <c:pt idx="22">
                  <c:v>56</c:v>
                </c:pt>
                <c:pt idx="23">
                  <c:v>48</c:v>
                </c:pt>
                <c:pt idx="24">
                  <c:v>55.463000000000001</c:v>
                </c:pt>
                <c:pt idx="25">
                  <c:v>77</c:v>
                </c:pt>
                <c:pt idx="26">
                  <c:v>101.358</c:v>
                </c:pt>
                <c:pt idx="27">
                  <c:v>112.108</c:v>
                </c:pt>
                <c:pt idx="28">
                  <c:v>122.991</c:v>
                </c:pt>
                <c:pt idx="29">
                  <c:v>143.08199999999999</c:v>
                </c:pt>
                <c:pt idx="30">
                  <c:v>122.79599999999999</c:v>
                </c:pt>
                <c:pt idx="31">
                  <c:v>154.07399999999998</c:v>
                </c:pt>
                <c:pt idx="32">
                  <c:v>181.16899999999998</c:v>
                </c:pt>
                <c:pt idx="33">
                  <c:v>183.00200000000001</c:v>
                </c:pt>
                <c:pt idx="34">
                  <c:v>190.20999999999998</c:v>
                </c:pt>
                <c:pt idx="35">
                  <c:v>174.70099999999999</c:v>
                </c:pt>
                <c:pt idx="36">
                  <c:v>188.36199999999999</c:v>
                </c:pt>
                <c:pt idx="37">
                  <c:v>175.08699999999999</c:v>
                </c:pt>
                <c:pt idx="38">
                  <c:v>162.49200000000002</c:v>
                </c:pt>
                <c:pt idx="39">
                  <c:v>187.791</c:v>
                </c:pt>
                <c:pt idx="40">
                  <c:v>171.178</c:v>
                </c:pt>
                <c:pt idx="41">
                  <c:v>193.25899999999999</c:v>
                </c:pt>
                <c:pt idx="42">
                  <c:v>185.13</c:v>
                </c:pt>
                <c:pt idx="43">
                  <c:v>230.76710035740911</c:v>
                </c:pt>
                <c:pt idx="44">
                  <c:v>229.73</c:v>
                </c:pt>
                <c:pt idx="45">
                  <c:v>218.56311600000001</c:v>
                </c:pt>
                <c:pt idx="46">
                  <c:v>173.97419099999999</c:v>
                </c:pt>
                <c:pt idx="47">
                  <c:v>165.47567599999999</c:v>
                </c:pt>
                <c:pt idx="48">
                  <c:v>165.18295699999999</c:v>
                </c:pt>
                <c:pt idx="49">
                  <c:v>149.706005</c:v>
                </c:pt>
                <c:pt idx="50">
                  <c:v>153.92408</c:v>
                </c:pt>
              </c:numCache>
            </c:numRef>
          </c:val>
          <c:extLst>
            <c:ext xmlns:c16="http://schemas.microsoft.com/office/drawing/2014/chart" uri="{C3380CC4-5D6E-409C-BE32-E72D297353CC}">
              <c16:uniqueId val="{00000000-7D18-4BA6-8670-14DB6B123C3D}"/>
            </c:ext>
          </c:extLst>
        </c:ser>
        <c:ser>
          <c:idx val="1"/>
          <c:order val="1"/>
          <c:tx>
            <c:strRef>
              <c:f>'Nickel - WA vs Australia'!$C$6</c:f>
              <c:strCache>
                <c:ptCount val="1"/>
                <c:pt idx="0">
                  <c:v>Rest of Australia (Kt)</c:v>
                </c:pt>
              </c:strCache>
            </c:strRef>
          </c:tx>
          <c:invertIfNegative val="0"/>
          <c:cat>
            <c:numRef>
              <c:f>'Nickel - WA vs Australia'!$A$11:$A$61</c:f>
              <c:numCache>
                <c:formatCode>General</c:formatCode>
                <c:ptCount val="51"/>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numCache>
            </c:numRef>
          </c:cat>
          <c:val>
            <c:numRef>
              <c:f>'Nickel - WA vs Australia'!$C$11:$C$61</c:f>
              <c:numCache>
                <c:formatCode>0.00</c:formatCode>
                <c:ptCount val="51"/>
                <c:pt idx="0">
                  <c:v>0</c:v>
                </c:pt>
                <c:pt idx="1">
                  <c:v>0</c:v>
                </c:pt>
                <c:pt idx="2">
                  <c:v>0</c:v>
                </c:pt>
                <c:pt idx="3">
                  <c:v>0</c:v>
                </c:pt>
                <c:pt idx="4">
                  <c:v>0</c:v>
                </c:pt>
                <c:pt idx="5">
                  <c:v>1.897</c:v>
                </c:pt>
                <c:pt idx="6">
                  <c:v>22.393000000000001</c:v>
                </c:pt>
                <c:pt idx="7">
                  <c:v>24.530999999999999</c:v>
                </c:pt>
                <c:pt idx="8">
                  <c:v>29.298999999999999</c:v>
                </c:pt>
                <c:pt idx="9">
                  <c:v>31.635000000000002</c:v>
                </c:pt>
                <c:pt idx="10">
                  <c:v>26.021000000000001</c:v>
                </c:pt>
                <c:pt idx="11">
                  <c:v>30.725999999999999</c:v>
                </c:pt>
                <c:pt idx="12">
                  <c:v>26.585999999999999</c:v>
                </c:pt>
                <c:pt idx="13">
                  <c:v>30.006</c:v>
                </c:pt>
                <c:pt idx="14">
                  <c:v>18.651</c:v>
                </c:pt>
                <c:pt idx="15">
                  <c:v>18.085999999999999</c:v>
                </c:pt>
                <c:pt idx="16">
                  <c:v>29.82</c:v>
                </c:pt>
                <c:pt idx="17">
                  <c:v>27.51</c:v>
                </c:pt>
                <c:pt idx="18">
                  <c:v>26.965</c:v>
                </c:pt>
                <c:pt idx="19">
                  <c:v>26.337</c:v>
                </c:pt>
                <c:pt idx="20">
                  <c:v>26</c:v>
                </c:pt>
                <c:pt idx="21">
                  <c:v>16</c:v>
                </c:pt>
                <c:pt idx="22">
                  <c:v>13</c:v>
                </c:pt>
                <c:pt idx="23">
                  <c:v>10</c:v>
                </c:pt>
                <c:pt idx="24">
                  <c:v>14.537000000000001</c:v>
                </c:pt>
                <c:pt idx="25">
                  <c:v>2</c:v>
                </c:pt>
                <c:pt idx="26">
                  <c:v>0.64200000000000002</c:v>
                </c:pt>
                <c:pt idx="27">
                  <c:v>4</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7D18-4BA6-8670-14DB6B123C3D}"/>
            </c:ext>
          </c:extLst>
        </c:ser>
        <c:dLbls>
          <c:showLegendKey val="0"/>
          <c:showVal val="0"/>
          <c:showCatName val="0"/>
          <c:showSerName val="0"/>
          <c:showPercent val="0"/>
          <c:showBubbleSize val="0"/>
        </c:dLbls>
        <c:gapWidth val="60"/>
        <c:overlap val="100"/>
        <c:axId val="131601536"/>
        <c:axId val="131603072"/>
      </c:barChart>
      <c:catAx>
        <c:axId val="13160153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1603072"/>
        <c:crosses val="autoZero"/>
        <c:auto val="0"/>
        <c:lblAlgn val="ctr"/>
        <c:lblOffset val="100"/>
        <c:tickLblSkip val="5"/>
        <c:noMultiLvlLbl val="1"/>
      </c:catAx>
      <c:valAx>
        <c:axId val="131603072"/>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31601536"/>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'Alumina - Prices'!$B$7</c:f>
              <c:strCache>
                <c:ptCount val="1"/>
                <c:pt idx="0">
                  <c:v>Price (A$/tonne)</c:v>
                </c:pt>
              </c:strCache>
            </c:strRef>
          </c:tx>
          <c:marker>
            <c:symbol val="none"/>
          </c:marker>
          <c:cat>
            <c:numRef>
              <c:f>'Data - Monthly Commodity Prices'!$AY$9:$AY$68</c:f>
              <c:numCache>
                <c:formatCode>General</c:formatCode>
                <c:ptCount val="60"/>
                <c:pt idx="2" formatCode="mmm\-yy">
                  <c:v>42064</c:v>
                </c:pt>
                <c:pt idx="5" formatCode="mmm\-yy">
                  <c:v>42156</c:v>
                </c:pt>
                <c:pt idx="8" formatCode="mmm\-yy">
                  <c:v>42248</c:v>
                </c:pt>
                <c:pt idx="11" formatCode="mmm\-yy">
                  <c:v>42339</c:v>
                </c:pt>
                <c:pt idx="14" formatCode="mmm\-yy">
                  <c:v>42430</c:v>
                </c:pt>
                <c:pt idx="17" formatCode="mmm\-yy">
                  <c:v>42522</c:v>
                </c:pt>
                <c:pt idx="20" formatCode="mmm\-yy">
                  <c:v>42614</c:v>
                </c:pt>
                <c:pt idx="23" formatCode="mmm\-yy">
                  <c:v>42705</c:v>
                </c:pt>
                <c:pt idx="26" formatCode="mmm\-yy">
                  <c:v>42795</c:v>
                </c:pt>
                <c:pt idx="29" formatCode="mmm\-yy">
                  <c:v>42887</c:v>
                </c:pt>
                <c:pt idx="32" formatCode="mmm\-yy">
                  <c:v>42979</c:v>
                </c:pt>
                <c:pt idx="35" formatCode="mmm\-yy">
                  <c:v>43070</c:v>
                </c:pt>
                <c:pt idx="38" formatCode="mmm\-yy">
                  <c:v>43160</c:v>
                </c:pt>
                <c:pt idx="41" formatCode="mmm\-yy">
                  <c:v>43252</c:v>
                </c:pt>
                <c:pt idx="44" formatCode="mmm\-yy">
                  <c:v>43344</c:v>
                </c:pt>
                <c:pt idx="47" formatCode="mmm\-yy">
                  <c:v>43435</c:v>
                </c:pt>
                <c:pt idx="50" formatCode="mmm\-yy">
                  <c:v>43525</c:v>
                </c:pt>
                <c:pt idx="53" formatCode="mmm\-yy">
                  <c:v>43617</c:v>
                </c:pt>
                <c:pt idx="56" formatCode="mmm\-yy">
                  <c:v>43709</c:v>
                </c:pt>
                <c:pt idx="59" formatCode="mmm\-yy">
                  <c:v>43800</c:v>
                </c:pt>
              </c:numCache>
            </c:numRef>
          </c:cat>
          <c:val>
            <c:numRef>
              <c:f>'Alumina - Prices'!$B$8:$B$67</c:f>
              <c:numCache>
                <c:formatCode>"$"#,##0.00</c:formatCode>
                <c:ptCount val="60"/>
                <c:pt idx="0">
                  <c:v>383.82277233443335</c:v>
                </c:pt>
                <c:pt idx="1">
                  <c:v>393.46429046678821</c:v>
                </c:pt>
                <c:pt idx="2">
                  <c:v>390.05408420727417</c:v>
                </c:pt>
                <c:pt idx="3">
                  <c:v>392.96639490980482</c:v>
                </c:pt>
                <c:pt idx="4">
                  <c:v>389.31352295370897</c:v>
                </c:pt>
                <c:pt idx="5">
                  <c:v>393.72257846685386</c:v>
                </c:pt>
                <c:pt idx="6">
                  <c:v>402.10670604668087</c:v>
                </c:pt>
                <c:pt idx="7">
                  <c:v>390.28992974721029</c:v>
                </c:pt>
                <c:pt idx="8">
                  <c:v>393.26748122441552</c:v>
                </c:pt>
                <c:pt idx="9">
                  <c:v>369.35891677987888</c:v>
                </c:pt>
                <c:pt idx="10">
                  <c:v>361.71097391158003</c:v>
                </c:pt>
                <c:pt idx="11">
                  <c:v>326.05707089999157</c:v>
                </c:pt>
                <c:pt idx="12">
                  <c:v>326.03896779657953</c:v>
                </c:pt>
                <c:pt idx="13">
                  <c:v>317.46868888151062</c:v>
                </c:pt>
                <c:pt idx="14">
                  <c:v>293.63685380994264</c:v>
                </c:pt>
                <c:pt idx="15">
                  <c:v>307.7176929156509</c:v>
                </c:pt>
                <c:pt idx="16">
                  <c:v>330.85349665918795</c:v>
                </c:pt>
                <c:pt idx="17">
                  <c:v>334.82954687180103</c:v>
                </c:pt>
                <c:pt idx="18">
                  <c:v>318.33882244544691</c:v>
                </c:pt>
                <c:pt idx="19">
                  <c:v>310.82907512588451</c:v>
                </c:pt>
                <c:pt idx="20">
                  <c:v>306.11480138035</c:v>
                </c:pt>
                <c:pt idx="21">
                  <c:v>301.89505520427042</c:v>
                </c:pt>
                <c:pt idx="22">
                  <c:v>340.72033058599879</c:v>
                </c:pt>
                <c:pt idx="23">
                  <c:v>389.74708282516639</c:v>
                </c:pt>
                <c:pt idx="24">
                  <c:v>432.42348666291423</c:v>
                </c:pt>
                <c:pt idx="25">
                  <c:v>403.19054536166158</c:v>
                </c:pt>
                <c:pt idx="26">
                  <c:v>427.91088146993945</c:v>
                </c:pt>
                <c:pt idx="27">
                  <c:v>413.89639603114728</c:v>
                </c:pt>
                <c:pt idx="28">
                  <c:v>404.56430605252069</c:v>
                </c:pt>
                <c:pt idx="29">
                  <c:v>364.85176877963738</c:v>
                </c:pt>
                <c:pt idx="30">
                  <c:v>381.89378007066256</c:v>
                </c:pt>
                <c:pt idx="31">
                  <c:v>368.55134951417369</c:v>
                </c:pt>
                <c:pt idx="32">
                  <c:v>389.32141600849513</c:v>
                </c:pt>
                <c:pt idx="33">
                  <c:v>441.99328511996094</c:v>
                </c:pt>
                <c:pt idx="34">
                  <c:v>549.05556823551399</c:v>
                </c:pt>
                <c:pt idx="35">
                  <c:v>544.07852812361705</c:v>
                </c:pt>
                <c:pt idx="36">
                  <c:v>491.47742085733648</c:v>
                </c:pt>
                <c:pt idx="37">
                  <c:v>490.26308556986919</c:v>
                </c:pt>
                <c:pt idx="38">
                  <c:v>480.22047303581974</c:v>
                </c:pt>
                <c:pt idx="39">
                  <c:v>480.11947310474034</c:v>
                </c:pt>
                <c:pt idx="40">
                  <c:v>609.17389773981392</c:v>
                </c:pt>
                <c:pt idx="41">
                  <c:v>643.76554106926437</c:v>
                </c:pt>
                <c:pt idx="42">
                  <c:v>614.83939372491841</c:v>
                </c:pt>
                <c:pt idx="43">
                  <c:v>600.19848496290138</c:v>
                </c:pt>
                <c:pt idx="44">
                  <c:v>697.52920842459241</c:v>
                </c:pt>
                <c:pt idx="45">
                  <c:v>730.88614178825844</c:v>
                </c:pt>
                <c:pt idx="46">
                  <c:v>669.2541659937059</c:v>
                </c:pt>
                <c:pt idx="47">
                  <c:v>592.35887609284578</c:v>
                </c:pt>
                <c:pt idx="48">
                  <c:v>563.4450303600637</c:v>
                </c:pt>
                <c:pt idx="49">
                  <c:v>538.66072981151183</c:v>
                </c:pt>
                <c:pt idx="50">
                  <c:v>534.13870236016885</c:v>
                </c:pt>
                <c:pt idx="51">
                  <c:v>526.33458904718032</c:v>
                </c:pt>
                <c:pt idx="52">
                  <c:v>525.19027525071203</c:v>
                </c:pt>
                <c:pt idx="53">
                  <c:v>504.84742206796523</c:v>
                </c:pt>
                <c:pt idx="54">
                  <c:v>481.14046038368895</c:v>
                </c:pt>
                <c:pt idx="55">
                  <c:v>451.81703742651098</c:v>
                </c:pt>
                <c:pt idx="56">
                  <c:v>449.51272634315131</c:v>
                </c:pt>
                <c:pt idx="57">
                  <c:v>430.30145532716136</c:v>
                </c:pt>
                <c:pt idx="58">
                  <c:v>408.97919778067535</c:v>
                </c:pt>
                <c:pt idx="59">
                  <c:v>404.34495868376877</c:v>
                </c:pt>
              </c:numCache>
            </c:numRef>
          </c:val>
          <c:smooth val="0"/>
          <c:extLst>
            <c:ext xmlns:c16="http://schemas.microsoft.com/office/drawing/2014/chart" uri="{C3380CC4-5D6E-409C-BE32-E72D297353CC}">
              <c16:uniqueId val="{00000000-6E44-4E8A-A14E-6A42ABDD0449}"/>
            </c:ext>
          </c:extLst>
        </c:ser>
        <c:dLbls>
          <c:showLegendKey val="0"/>
          <c:showVal val="0"/>
          <c:showCatName val="0"/>
          <c:showSerName val="0"/>
          <c:showPercent val="0"/>
          <c:showBubbleSize val="0"/>
        </c:dLbls>
        <c:smooth val="0"/>
        <c:axId val="109273472"/>
        <c:axId val="115919488"/>
      </c:lineChart>
      <c:valAx>
        <c:axId val="115919488"/>
        <c:scaling>
          <c:orientation val="minMax"/>
        </c:scaling>
        <c:delete val="0"/>
        <c:axPos val="l"/>
        <c:majorGridlines/>
        <c:title>
          <c:tx>
            <c:rich>
              <a:bodyPr/>
              <a:lstStyle/>
              <a:p>
                <a:pPr>
                  <a:defRPr/>
                </a:pPr>
                <a:r>
                  <a:rPr lang="en-AU"/>
                  <a:t>A$/tonne</a:t>
                </a:r>
              </a:p>
            </c:rich>
          </c:tx>
          <c:layout>
            <c:manualLayout>
              <c:xMode val="edge"/>
              <c:yMode val="edge"/>
              <c:x val="1.4692378328741965E-2"/>
              <c:y val="0.42379795690037636"/>
            </c:manualLayout>
          </c:layout>
          <c:overlay val="0"/>
        </c:title>
        <c:numFmt formatCode="#,##0" sourceLinked="0"/>
        <c:majorTickMark val="out"/>
        <c:minorTickMark val="none"/>
        <c:tickLblPos val="nextTo"/>
        <c:crossAx val="109273472"/>
        <c:crosses val="autoZero"/>
        <c:crossBetween val="between"/>
      </c:valAx>
      <c:catAx>
        <c:axId val="109273472"/>
        <c:scaling>
          <c:orientation val="minMax"/>
        </c:scaling>
        <c:delete val="0"/>
        <c:axPos val="b"/>
        <c:title>
          <c:tx>
            <c:rich>
              <a:bodyPr/>
              <a:lstStyle/>
              <a:p>
                <a:pPr>
                  <a:defRPr sz="900"/>
                </a:pPr>
                <a:r>
                  <a:rPr lang="en-AU" sz="900" b="1" i="0" baseline="0">
                    <a:effectLst/>
                  </a:rPr>
                  <a:t>Source:  ABS</a:t>
                </a:r>
                <a:endParaRPr lang="en-AU" sz="900">
                  <a:effectLst/>
                </a:endParaRPr>
              </a:p>
            </c:rich>
          </c:tx>
          <c:layout>
            <c:manualLayout>
              <c:xMode val="edge"/>
              <c:yMode val="edge"/>
              <c:x val="5.3324002104216056E-3"/>
              <c:y val="0.94946707074149661"/>
            </c:manualLayout>
          </c:layout>
          <c:overlay val="0"/>
        </c:title>
        <c:numFmt formatCode="General" sourceLinked="1"/>
        <c:majorTickMark val="out"/>
        <c:minorTickMark val="none"/>
        <c:tickLblPos val="nextTo"/>
        <c:crossAx val="115919488"/>
        <c:crosses val="autoZero"/>
        <c:auto val="0"/>
        <c:lblAlgn val="ctr"/>
        <c:lblOffset val="100"/>
        <c:tickLblSkip val="1"/>
        <c:tickMarkSkip val="3"/>
        <c:noMultiLvlLbl val="1"/>
      </c:cat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Western Australia vs Rest of Australia</a:t>
            </a:r>
          </a:p>
          <a:p>
            <a:pPr>
              <a:defRPr/>
            </a:pPr>
            <a:r>
              <a:rPr lang="en-AU" sz="1100"/>
              <a:t>Past 10 years</a:t>
            </a:r>
          </a:p>
        </c:rich>
      </c:tx>
      <c:overlay val="0"/>
    </c:title>
    <c:autoTitleDeleted val="0"/>
    <c:plotArea>
      <c:layout/>
      <c:lineChart>
        <c:grouping val="standard"/>
        <c:varyColors val="0"/>
        <c:ser>
          <c:idx val="0"/>
          <c:order val="0"/>
          <c:tx>
            <c:strRef>
              <c:f>'Nickel - WA vs Australia'!$T$31</c:f>
              <c:strCache>
                <c:ptCount val="1"/>
                <c:pt idx="0">
                  <c:v>Western Australia (Kt)</c:v>
                </c:pt>
              </c:strCache>
            </c:strRef>
          </c:tx>
          <c:cat>
            <c:numRef>
              <c:f>'Nickel - WA vs Australia'!$S$32:$S$41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'Nickel - WA vs Australia'!$T$32:$T$41</c:f>
              <c:numCache>
                <c:formatCode>0.00</c:formatCode>
                <c:ptCount val="10"/>
                <c:pt idx="0">
                  <c:v>193.25899999999999</c:v>
                </c:pt>
                <c:pt idx="1">
                  <c:v>185.13</c:v>
                </c:pt>
                <c:pt idx="2">
                  <c:v>230.76710035740911</c:v>
                </c:pt>
                <c:pt idx="3">
                  <c:v>229.73</c:v>
                </c:pt>
                <c:pt idx="4">
                  <c:v>218.56311600000001</c:v>
                </c:pt>
                <c:pt idx="5">
                  <c:v>173.97419099999999</c:v>
                </c:pt>
                <c:pt idx="6">
                  <c:v>165.47567599999999</c:v>
                </c:pt>
                <c:pt idx="7">
                  <c:v>165.18295699999999</c:v>
                </c:pt>
                <c:pt idx="8">
                  <c:v>149.706005</c:v>
                </c:pt>
                <c:pt idx="9">
                  <c:v>153.92408</c:v>
                </c:pt>
              </c:numCache>
            </c:numRef>
          </c:val>
          <c:smooth val="0"/>
          <c:extLst>
            <c:ext xmlns:c16="http://schemas.microsoft.com/office/drawing/2014/chart" uri="{C3380CC4-5D6E-409C-BE32-E72D297353CC}">
              <c16:uniqueId val="{00000000-6296-48AA-B69E-121F3714B3F2}"/>
            </c:ext>
          </c:extLst>
        </c:ser>
        <c:ser>
          <c:idx val="1"/>
          <c:order val="1"/>
          <c:tx>
            <c:strRef>
              <c:f>'Nickel - WA vs Australia'!$U$31</c:f>
              <c:strCache>
                <c:ptCount val="1"/>
                <c:pt idx="0">
                  <c:v>Rest of Australia (Kt)</c:v>
                </c:pt>
              </c:strCache>
            </c:strRef>
          </c:tx>
          <c:cat>
            <c:numRef>
              <c:f>'Nickel - WA vs Australia'!$S$32:$S$41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'Nickel - WA vs Australia'!$U$32:$U$41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6296-48AA-B69E-121F3714B3F2}"/>
            </c:ext>
          </c:extLst>
        </c:ser>
        <c:dLbls>
          <c:showLegendKey val="0"/>
          <c:showVal val="0"/>
          <c:showCatName val="0"/>
          <c:showSerName val="0"/>
          <c:showPercent val="0"/>
          <c:showBubbleSize val="0"/>
        </c:dLbls>
        <c:marker val="1"/>
        <c:smooth val="0"/>
        <c:axId val="131635840"/>
        <c:axId val="131634304"/>
      </c:lineChart>
      <c:valAx>
        <c:axId val="131634304"/>
        <c:scaling>
          <c:orientation val="minMax"/>
        </c:scaling>
        <c:delete val="0"/>
        <c:axPos val="l"/>
        <c:majorGridlines/>
        <c:title>
          <c:tx>
            <c:rich>
              <a:bodyPr/>
              <a:lstStyle/>
              <a:p>
                <a:pPr>
                  <a:defRPr/>
                </a:pPr>
                <a:r>
                  <a:rPr lang="en-AU"/>
                  <a:t>Thousand tonnes</a:t>
                </a:r>
              </a:p>
            </c:rich>
          </c:tx>
          <c:layout>
            <c:manualLayout>
              <c:xMode val="edge"/>
              <c:yMode val="edge"/>
              <c:x val="1.9650339993431836E-2"/>
              <c:y val="0.45535287089158305"/>
            </c:manualLayout>
          </c:layout>
          <c:overlay val="0"/>
        </c:title>
        <c:numFmt formatCode="#,##0" sourceLinked="0"/>
        <c:majorTickMark val="out"/>
        <c:minorTickMark val="none"/>
        <c:tickLblPos val="nextTo"/>
        <c:crossAx val="131635840"/>
        <c:crosses val="autoZero"/>
        <c:crossBetween val="between"/>
      </c:valAx>
      <c:catAx>
        <c:axId val="131635840"/>
        <c:scaling>
          <c:orientation val="minMax"/>
        </c:scaling>
        <c:delete val="0"/>
        <c:axPos val="b"/>
        <c:title>
          <c:tx>
            <c:rich>
              <a:bodyPr/>
              <a:lstStyle/>
              <a:p>
                <a:pPr>
                  <a:defRPr sz="900"/>
                </a:pPr>
                <a:r>
                  <a:rPr lang="en-AU" sz="900"/>
                  <a:t>Source:  DM</a:t>
                </a:r>
                <a:r>
                  <a:rPr lang="en-AU" sz="900" b="1" i="0" u="none" strike="noStrike" baseline="0">
                    <a:effectLst/>
                  </a:rPr>
                  <a:t>IRS</a:t>
                </a:r>
                <a:r>
                  <a:rPr lang="en-AU" sz="900"/>
                  <a:t> and OoCE</a:t>
                </a:r>
              </a:p>
            </c:rich>
          </c:tx>
          <c:layout>
            <c:manualLayout>
              <c:xMode val="edge"/>
              <c:yMode val="edge"/>
              <c:x val="1.0165956404869723E-2"/>
              <c:y val="0.94647949122074349"/>
            </c:manualLayout>
          </c:layout>
          <c:overlay val="0"/>
        </c:title>
        <c:numFmt formatCode="General" sourceLinked="1"/>
        <c:majorTickMark val="out"/>
        <c:minorTickMark val="none"/>
        <c:tickLblPos val="nextTo"/>
        <c:txPr>
          <a:bodyPr rot="-2700000"/>
          <a:lstStyle/>
          <a:p>
            <a:pPr>
              <a:defRPr/>
            </a:pPr>
            <a:endParaRPr lang="en-US"/>
          </a:p>
        </c:txPr>
        <c:crossAx val="131634304"/>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Q&amp;V1'!$U$10</c:f>
              <c:strCache>
                <c:ptCount val="1"/>
                <c:pt idx="0">
                  <c:v>Quantity (GL)</c:v>
                </c:pt>
              </c:strCache>
            </c:strRef>
          </c:tx>
          <c:invertIfNegative val="0"/>
          <c:cat>
            <c:numRef>
              <c:f>'Petroleum - Q&amp;V1'!$T$11:$T$20</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'Petroleum - Q&amp;V1'!$U$11:$U$20</c:f>
              <c:numCache>
                <c:formatCode>0.00</c:formatCode>
                <c:ptCount val="10"/>
                <c:pt idx="0">
                  <c:v>3.0569949545946957</c:v>
                </c:pt>
                <c:pt idx="1">
                  <c:v>2.9879805900000003</c:v>
                </c:pt>
                <c:pt idx="2">
                  <c:v>3.1320553626895293</c:v>
                </c:pt>
                <c:pt idx="3">
                  <c:v>2.8144015855257725</c:v>
                </c:pt>
                <c:pt idx="4">
                  <c:v>2.9802251078680562</c:v>
                </c:pt>
                <c:pt idx="5">
                  <c:v>3.4960052680638567</c:v>
                </c:pt>
                <c:pt idx="6">
                  <c:v>4.1085410636528845</c:v>
                </c:pt>
                <c:pt idx="7">
                  <c:v>4.3898522628188203</c:v>
                </c:pt>
                <c:pt idx="8">
                  <c:v>4.9313562090611676</c:v>
                </c:pt>
                <c:pt idx="9">
                  <c:v>4.9370199831315098</c:v>
                </c:pt>
              </c:numCache>
            </c:numRef>
          </c:val>
          <c:extLst>
            <c:ext xmlns:c16="http://schemas.microsoft.com/office/drawing/2014/chart" uri="{C3380CC4-5D6E-409C-BE32-E72D297353CC}">
              <c16:uniqueId val="{00000000-52CB-4EA8-A59D-3D7CD84EA8B8}"/>
            </c:ext>
          </c:extLst>
        </c:ser>
        <c:dLbls>
          <c:showLegendKey val="0"/>
          <c:showVal val="0"/>
          <c:showCatName val="0"/>
          <c:showSerName val="0"/>
          <c:showPercent val="0"/>
          <c:showBubbleSize val="0"/>
        </c:dLbls>
        <c:gapWidth val="40"/>
        <c:axId val="132794240"/>
        <c:axId val="132792320"/>
      </c:barChart>
      <c:lineChart>
        <c:grouping val="standard"/>
        <c:varyColors val="0"/>
        <c:ser>
          <c:idx val="1"/>
          <c:order val="1"/>
          <c:tx>
            <c:strRef>
              <c:f>'Petroleum - Q&amp;V1'!$V$10</c:f>
              <c:strCache>
                <c:ptCount val="1"/>
                <c:pt idx="0">
                  <c:v>Value ($ Million)</c:v>
                </c:pt>
              </c:strCache>
            </c:strRef>
          </c:tx>
          <c:marker>
            <c:symbol val="none"/>
          </c:marker>
          <c:cat>
            <c:numRef>
              <c:f>'Alumina - Q&amp;V'!$S$11:$S$20</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'Petroleum - Q&amp;V1'!$V$11:$V$20</c:f>
              <c:numCache>
                <c:formatCode>0.00</c:formatCode>
                <c:ptCount val="10"/>
                <c:pt idx="0">
                  <c:v>1231.9745860531343</c:v>
                </c:pt>
                <c:pt idx="1">
                  <c:v>1513.5141898363584</c:v>
                </c:pt>
                <c:pt idx="2">
                  <c:v>1680.4427665957535</c:v>
                </c:pt>
                <c:pt idx="3">
                  <c:v>1769.4786716707656</c:v>
                </c:pt>
                <c:pt idx="4">
                  <c:v>1926.7422634528075</c:v>
                </c:pt>
                <c:pt idx="5">
                  <c:v>2071.3246603680377</c:v>
                </c:pt>
                <c:pt idx="6">
                  <c:v>2113.1159586816966</c:v>
                </c:pt>
                <c:pt idx="7">
                  <c:v>2542.9996871383187</c:v>
                </c:pt>
                <c:pt idx="8">
                  <c:v>2693.5623522658902</c:v>
                </c:pt>
                <c:pt idx="9">
                  <c:v>2771.9363088587047</c:v>
                </c:pt>
              </c:numCache>
            </c:numRef>
          </c:val>
          <c:smooth val="0"/>
          <c:extLst>
            <c:ext xmlns:c16="http://schemas.microsoft.com/office/drawing/2014/chart" uri="{C3380CC4-5D6E-409C-BE32-E72D297353CC}">
              <c16:uniqueId val="{00000001-52CB-4EA8-A59D-3D7CD84EA8B8}"/>
            </c:ext>
          </c:extLst>
        </c:ser>
        <c:dLbls>
          <c:showLegendKey val="0"/>
          <c:showVal val="0"/>
          <c:showCatName val="0"/>
          <c:showSerName val="0"/>
          <c:showPercent val="0"/>
          <c:showBubbleSize val="0"/>
        </c:dLbls>
        <c:marker val="1"/>
        <c:smooth val="0"/>
        <c:axId val="132780032"/>
        <c:axId val="132781952"/>
      </c:lineChart>
      <c:catAx>
        <c:axId val="132780032"/>
        <c:scaling>
          <c:orientation val="minMax"/>
        </c:scaling>
        <c:delete val="0"/>
        <c:axPos val="b"/>
        <c:title>
          <c:tx>
            <c:rich>
              <a:bodyPr/>
              <a:lstStyle/>
              <a:p>
                <a:pPr>
                  <a:defRPr sz="900"/>
                </a:pPr>
                <a:r>
                  <a:rPr lang="en-AU" sz="900"/>
                  <a:t>Source: DMIRS and EnergyQuest</a:t>
                </a:r>
              </a:p>
            </c:rich>
          </c:tx>
          <c:layout>
            <c:manualLayout>
              <c:xMode val="edge"/>
              <c:yMode val="edge"/>
              <c:x val="9.6204202012284395E-3"/>
              <c:y val="0.94653469559502812"/>
            </c:manualLayout>
          </c:layout>
          <c:overlay val="0"/>
        </c:title>
        <c:numFmt formatCode="mmm\-yy" sourceLinked="1"/>
        <c:majorTickMark val="out"/>
        <c:minorTickMark val="none"/>
        <c:tickLblPos val="nextTo"/>
        <c:txPr>
          <a:bodyPr rot="-2700000"/>
          <a:lstStyle/>
          <a:p>
            <a:pPr>
              <a:defRPr/>
            </a:pPr>
            <a:endParaRPr lang="en-US"/>
          </a:p>
        </c:txPr>
        <c:crossAx val="132781952"/>
        <c:crosses val="autoZero"/>
        <c:auto val="0"/>
        <c:lblAlgn val="ctr"/>
        <c:lblOffset val="100"/>
        <c:noMultiLvlLbl val="0"/>
      </c:catAx>
      <c:valAx>
        <c:axId val="132781952"/>
        <c:scaling>
          <c:orientation val="minMax"/>
          <c:min val="800"/>
        </c:scaling>
        <c:delete val="0"/>
        <c:axPos val="l"/>
        <c:majorGridlines/>
        <c:title>
          <c:tx>
            <c:rich>
              <a:bodyPr rot="-5400000" vert="horz"/>
              <a:lstStyle/>
              <a:p>
                <a:pPr>
                  <a:defRPr/>
                </a:pPr>
                <a:r>
                  <a:rPr lang="en-AU"/>
                  <a:t>$ Million</a:t>
                </a:r>
              </a:p>
            </c:rich>
          </c:tx>
          <c:layout>
            <c:manualLayout>
              <c:xMode val="edge"/>
              <c:yMode val="edge"/>
              <c:x val="1.3699282765241575E-2"/>
              <c:y val="0.488522109961184"/>
            </c:manualLayout>
          </c:layout>
          <c:overlay val="0"/>
        </c:title>
        <c:numFmt formatCode="0" sourceLinked="0"/>
        <c:majorTickMark val="out"/>
        <c:minorTickMark val="none"/>
        <c:tickLblPos val="nextTo"/>
        <c:crossAx val="132780032"/>
        <c:crosses val="autoZero"/>
        <c:crossBetween val="between"/>
      </c:valAx>
      <c:valAx>
        <c:axId val="132792320"/>
        <c:scaling>
          <c:orientation val="minMax"/>
          <c:min val="2"/>
        </c:scaling>
        <c:delete val="0"/>
        <c:axPos val="r"/>
        <c:title>
          <c:tx>
            <c:rich>
              <a:bodyPr rot="-5400000" vert="horz"/>
              <a:lstStyle/>
              <a:p>
                <a:pPr>
                  <a:defRPr/>
                </a:pPr>
                <a:r>
                  <a:rPr lang="en-AU"/>
                  <a:t>Gigalitres</a:t>
                </a:r>
              </a:p>
            </c:rich>
          </c:tx>
          <c:layout>
            <c:manualLayout>
              <c:xMode val="edge"/>
              <c:yMode val="edge"/>
              <c:x val="0.94930114780932806"/>
              <c:y val="0.48088917361271988"/>
            </c:manualLayout>
          </c:layout>
          <c:overlay val="0"/>
        </c:title>
        <c:numFmt formatCode="0" sourceLinked="0"/>
        <c:majorTickMark val="out"/>
        <c:minorTickMark val="none"/>
        <c:tickLblPos val="nextTo"/>
        <c:crossAx val="132794240"/>
        <c:crosses val="max"/>
        <c:crossBetween val="between"/>
      </c:valAx>
      <c:dateAx>
        <c:axId val="132794240"/>
        <c:scaling>
          <c:orientation val="minMax"/>
        </c:scaling>
        <c:delete val="1"/>
        <c:axPos val="b"/>
        <c:numFmt formatCode="mmm\-yy" sourceLinked="1"/>
        <c:majorTickMark val="out"/>
        <c:minorTickMark val="none"/>
        <c:tickLblPos val="nextTo"/>
        <c:crossAx val="132792320"/>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100"/>
              <a:t>Quantity and Value by Year</a:t>
            </a:r>
          </a:p>
        </c:rich>
      </c:tx>
      <c:overlay val="0"/>
    </c:title>
    <c:autoTitleDeleted val="0"/>
    <c:plotArea>
      <c:layout/>
      <c:barChart>
        <c:barDir val="col"/>
        <c:grouping val="stacked"/>
        <c:varyColors val="0"/>
        <c:ser>
          <c:idx val="0"/>
          <c:order val="0"/>
          <c:tx>
            <c:strRef>
              <c:f>'Petroleum - Q&amp;V1'!$W$35:$X$35</c:f>
              <c:strCache>
                <c:ptCount val="1"/>
                <c:pt idx="0">
                  <c:v>Condensate</c:v>
                </c:pt>
              </c:strCache>
            </c:strRef>
          </c:tx>
          <c:invertIfNegative val="0"/>
          <c:cat>
            <c:numRef>
              <c:f>'Petroleum - Q&amp;V1'!$T$37:$T$57</c:f>
              <c:numCache>
                <c:formatCode>@</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'Petroleum - Q&amp;V1'!$W$37:$W$57</c:f>
              <c:numCache>
                <c:formatCode>0.00</c:formatCode>
                <c:ptCount val="21"/>
                <c:pt idx="0">
                  <c:v>5.5651290000000007</c:v>
                </c:pt>
                <c:pt idx="1">
                  <c:v>6.1963469999999994</c:v>
                </c:pt>
                <c:pt idx="2">
                  <c:v>6.0150680000000003</c:v>
                </c:pt>
                <c:pt idx="3">
                  <c:v>6.8785609999999995</c:v>
                </c:pt>
                <c:pt idx="4">
                  <c:v>6.3937439999999999</c:v>
                </c:pt>
                <c:pt idx="5">
                  <c:v>5.4834019999999999</c:v>
                </c:pt>
                <c:pt idx="6">
                  <c:v>5.8845000000000001</c:v>
                </c:pt>
                <c:pt idx="7">
                  <c:v>5.6091509999999998</c:v>
                </c:pt>
                <c:pt idx="8">
                  <c:v>5.8556540000000004</c:v>
                </c:pt>
                <c:pt idx="9">
                  <c:v>5.7250130000000006</c:v>
                </c:pt>
                <c:pt idx="10">
                  <c:v>7.4925439999999996</c:v>
                </c:pt>
                <c:pt idx="11">
                  <c:v>7.2155889999999996</c:v>
                </c:pt>
                <c:pt idx="12">
                  <c:v>6.2822269999999998</c:v>
                </c:pt>
                <c:pt idx="13">
                  <c:v>5.9995099999999999</c:v>
                </c:pt>
                <c:pt idx="14">
                  <c:v>5.9572710000000004</c:v>
                </c:pt>
                <c:pt idx="15">
                  <c:v>4.9160209720000001</c:v>
                </c:pt>
                <c:pt idx="16">
                  <c:v>6.6301182650000001</c:v>
                </c:pt>
                <c:pt idx="17">
                  <c:v>6.4569410225498691</c:v>
                </c:pt>
                <c:pt idx="18">
                  <c:v>6.2651657466368764</c:v>
                </c:pt>
                <c:pt idx="19">
                  <c:v>8.7845514205983299</c:v>
                </c:pt>
                <c:pt idx="20">
                  <c:v>13.769031518872236</c:v>
                </c:pt>
              </c:numCache>
            </c:numRef>
          </c:val>
          <c:extLst>
            <c:ext xmlns:c16="http://schemas.microsoft.com/office/drawing/2014/chart" uri="{C3380CC4-5D6E-409C-BE32-E72D297353CC}">
              <c16:uniqueId val="{00000000-C2F9-46C2-8721-066A13FF21A5}"/>
            </c:ext>
          </c:extLst>
        </c:ser>
        <c:ser>
          <c:idx val="2"/>
          <c:order val="2"/>
          <c:tx>
            <c:strRef>
              <c:f>'Petroleum - Q&amp;V1'!$U$35:$V$35</c:f>
              <c:strCache>
                <c:ptCount val="1"/>
                <c:pt idx="0">
                  <c:v>Crude Oil</c:v>
                </c:pt>
              </c:strCache>
            </c:strRef>
          </c:tx>
          <c:invertIfNegative val="0"/>
          <c:cat>
            <c:numRef>
              <c:f>'Petroleum - Q&amp;V1'!$T$37:$T$57</c:f>
              <c:numCache>
                <c:formatCode>@</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'Petroleum - Q&amp;V1'!$U$37:$U$57</c:f>
              <c:numCache>
                <c:formatCode>0.00</c:formatCode>
                <c:ptCount val="21"/>
                <c:pt idx="0">
                  <c:v>8.4904390000000003</c:v>
                </c:pt>
                <c:pt idx="1">
                  <c:v>13.743415000000001</c:v>
                </c:pt>
                <c:pt idx="2">
                  <c:v>14.061254999999999</c:v>
                </c:pt>
                <c:pt idx="3">
                  <c:v>15.288416</c:v>
                </c:pt>
                <c:pt idx="4">
                  <c:v>14.119334000000002</c:v>
                </c:pt>
                <c:pt idx="5">
                  <c:v>12.218847</c:v>
                </c:pt>
                <c:pt idx="6">
                  <c:v>13.173896999999998</c:v>
                </c:pt>
                <c:pt idx="7">
                  <c:v>11.953792</c:v>
                </c:pt>
                <c:pt idx="8">
                  <c:v>13.195792000000001</c:v>
                </c:pt>
                <c:pt idx="9">
                  <c:v>13.324422</c:v>
                </c:pt>
                <c:pt idx="10">
                  <c:v>11.246917</c:v>
                </c:pt>
                <c:pt idx="11">
                  <c:v>14.705</c:v>
                </c:pt>
                <c:pt idx="12">
                  <c:v>12.053493</c:v>
                </c:pt>
                <c:pt idx="13">
                  <c:v>9.9916809999999998</c:v>
                </c:pt>
                <c:pt idx="14">
                  <c:v>6.8709769999999999</c:v>
                </c:pt>
                <c:pt idx="15">
                  <c:v>7.6083033370000006</c:v>
                </c:pt>
                <c:pt idx="16">
                  <c:v>8.3434177189999996</c:v>
                </c:pt>
                <c:pt idx="17">
                  <c:v>5.8139477664729293</c:v>
                </c:pt>
                <c:pt idx="18">
                  <c:v>5.2808384997993141</c:v>
                </c:pt>
                <c:pt idx="19">
                  <c:v>3.6381359035488847</c:v>
                </c:pt>
                <c:pt idx="20">
                  <c:v>4.5977379997921446</c:v>
                </c:pt>
              </c:numCache>
            </c:numRef>
          </c:val>
          <c:extLst>
            <c:ext xmlns:c16="http://schemas.microsoft.com/office/drawing/2014/chart" uri="{C3380CC4-5D6E-409C-BE32-E72D297353CC}">
              <c16:uniqueId val="{00000001-C2F9-46C2-8721-066A13FF21A5}"/>
            </c:ext>
          </c:extLst>
        </c:ser>
        <c:dLbls>
          <c:showLegendKey val="0"/>
          <c:showVal val="0"/>
          <c:showCatName val="0"/>
          <c:showSerName val="0"/>
          <c:showPercent val="0"/>
          <c:showBubbleSize val="0"/>
        </c:dLbls>
        <c:gapWidth val="150"/>
        <c:overlap val="100"/>
        <c:axId val="135356416"/>
        <c:axId val="135346048"/>
      </c:barChart>
      <c:lineChart>
        <c:grouping val="standard"/>
        <c:varyColors val="0"/>
        <c:ser>
          <c:idx val="1"/>
          <c:order val="1"/>
          <c:tx>
            <c:strRef>
              <c:f>'Petroleum - Q&amp;V1'!$Y$35:$Z$35</c:f>
              <c:strCache>
                <c:ptCount val="1"/>
                <c:pt idx="0">
                  <c:v>Combined Total</c:v>
                </c:pt>
              </c:strCache>
            </c:strRef>
          </c:tx>
          <c:marker>
            <c:symbol val="none"/>
          </c:marker>
          <c:cat>
            <c:numRef>
              <c:f>'Petroleum - Q&amp;V1'!$T$37:$T$57</c:f>
              <c:numCache>
                <c:formatCode>@</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'Petroleum - Q&amp;V1'!$Z$37:$Z$57</c:f>
              <c:numCache>
                <c:formatCode>"$"#,##0.00</c:formatCode>
                <c:ptCount val="21"/>
                <c:pt idx="0">
                  <c:v>2572.5886970000001</c:v>
                </c:pt>
                <c:pt idx="1">
                  <c:v>6418.7871340000002</c:v>
                </c:pt>
                <c:pt idx="2">
                  <c:v>6034.4914360000002</c:v>
                </c:pt>
                <c:pt idx="3">
                  <c:v>6431.2949030000009</c:v>
                </c:pt>
                <c:pt idx="4">
                  <c:v>5802.0581139999995</c:v>
                </c:pt>
                <c:pt idx="5">
                  <c:v>6232.2821860000004</c:v>
                </c:pt>
                <c:pt idx="6">
                  <c:v>8739.1699690000005</c:v>
                </c:pt>
                <c:pt idx="7">
                  <c:v>9542.9867329999997</c:v>
                </c:pt>
                <c:pt idx="8">
                  <c:v>10621.047267999998</c:v>
                </c:pt>
                <c:pt idx="9">
                  <c:v>13250.037224</c:v>
                </c:pt>
                <c:pt idx="10">
                  <c:v>8627.4047559999999</c:v>
                </c:pt>
                <c:pt idx="11">
                  <c:v>11952.743108999999</c:v>
                </c:pt>
                <c:pt idx="12">
                  <c:v>12119.3411</c:v>
                </c:pt>
                <c:pt idx="13">
                  <c:v>10961.89465</c:v>
                </c:pt>
                <c:pt idx="14">
                  <c:v>9228.0147099999995</c:v>
                </c:pt>
                <c:pt idx="15">
                  <c:v>8573.8743172239065</c:v>
                </c:pt>
                <c:pt idx="16">
                  <c:v>6237.2813595666739</c:v>
                </c:pt>
                <c:pt idx="17">
                  <c:v>4333.7899959443494</c:v>
                </c:pt>
                <c:pt idx="18">
                  <c:v>4922.6482332484156</c:v>
                </c:pt>
                <c:pt idx="19">
                  <c:v>7447.9883620873643</c:v>
                </c:pt>
                <c:pt idx="20">
                  <c:v>10121.61430694461</c:v>
                </c:pt>
              </c:numCache>
            </c:numRef>
          </c:val>
          <c:smooth val="0"/>
          <c:extLst>
            <c:ext xmlns:c16="http://schemas.microsoft.com/office/drawing/2014/chart" uri="{C3380CC4-5D6E-409C-BE32-E72D297353CC}">
              <c16:uniqueId val="{00000002-C2F9-46C2-8721-066A13FF21A5}"/>
            </c:ext>
          </c:extLst>
        </c:ser>
        <c:dLbls>
          <c:showLegendKey val="0"/>
          <c:showVal val="0"/>
          <c:showCatName val="0"/>
          <c:showSerName val="0"/>
          <c:showPercent val="0"/>
          <c:showBubbleSize val="0"/>
        </c:dLbls>
        <c:marker val="1"/>
        <c:smooth val="0"/>
        <c:axId val="135329664"/>
        <c:axId val="135344128"/>
      </c:lineChart>
      <c:catAx>
        <c:axId val="135329664"/>
        <c:scaling>
          <c:orientation val="minMax"/>
        </c:scaling>
        <c:delete val="0"/>
        <c:axPos val="b"/>
        <c:title>
          <c:tx>
            <c:rich>
              <a:bodyPr/>
              <a:lstStyle/>
              <a:p>
                <a:pPr>
                  <a:defRPr sz="900"/>
                </a:pPr>
                <a:r>
                  <a:rPr lang="en-AU" sz="900" b="1" i="0" u="none" strike="noStrike" baseline="0">
                    <a:effectLst/>
                  </a:rPr>
                  <a:t>Source: DMIRS and EnergyQuest</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344128"/>
        <c:crosses val="autoZero"/>
        <c:auto val="1"/>
        <c:lblAlgn val="ctr"/>
        <c:lblOffset val="100"/>
        <c:tickLblSkip val="1"/>
        <c:noMultiLvlLbl val="1"/>
      </c:catAx>
      <c:valAx>
        <c:axId val="135344128"/>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5329664"/>
        <c:crosses val="autoZero"/>
        <c:crossBetween val="between"/>
      </c:valAx>
      <c:valAx>
        <c:axId val="135346048"/>
        <c:scaling>
          <c:orientation val="minMax"/>
        </c:scaling>
        <c:delete val="0"/>
        <c:axPos val="r"/>
        <c:title>
          <c:tx>
            <c:rich>
              <a:bodyPr rot="-5400000" vert="horz"/>
              <a:lstStyle/>
              <a:p>
                <a:pPr>
                  <a:defRPr/>
                </a:pPr>
                <a:r>
                  <a:rPr lang="en-AU"/>
                  <a:t>GigaLitres</a:t>
                </a:r>
              </a:p>
            </c:rich>
          </c:tx>
          <c:overlay val="0"/>
        </c:title>
        <c:numFmt formatCode="#,##0" sourceLinked="0"/>
        <c:majorTickMark val="out"/>
        <c:minorTickMark val="none"/>
        <c:tickLblPos val="nextTo"/>
        <c:crossAx val="135356416"/>
        <c:crosses val="max"/>
        <c:crossBetween val="between"/>
      </c:valAx>
      <c:catAx>
        <c:axId val="135356416"/>
        <c:scaling>
          <c:orientation val="minMax"/>
        </c:scaling>
        <c:delete val="1"/>
        <c:axPos val="b"/>
        <c:numFmt formatCode="@" sourceLinked="1"/>
        <c:majorTickMark val="out"/>
        <c:minorTickMark val="none"/>
        <c:tickLblPos val="nextTo"/>
        <c:crossAx val="1353460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 (LNG)</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Q&amp;V2'!$AA$10</c:f>
              <c:strCache>
                <c:ptCount val="1"/>
                <c:pt idx="0">
                  <c:v>Quantity (t)</c:v>
                </c:pt>
              </c:strCache>
            </c:strRef>
          </c:tx>
          <c:invertIfNegative val="0"/>
          <c:cat>
            <c:numRef>
              <c:f>'Petroleum - Q&amp;V2'!$Z$11:$Z$20</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'Petroleum - Q&amp;V2'!$AA$11:$AA$20</c:f>
              <c:numCache>
                <c:formatCode>_-* #,##0_-;\-* #,##0_-;_-* "-"??_-;_-@_-</c:formatCode>
                <c:ptCount val="10"/>
                <c:pt idx="0">
                  <c:v>8806567.7899999991</c:v>
                </c:pt>
                <c:pt idx="1">
                  <c:v>8909415.2861097343</c:v>
                </c:pt>
                <c:pt idx="2">
                  <c:v>9767031.0295400769</c:v>
                </c:pt>
                <c:pt idx="3">
                  <c:v>10410502.554944657</c:v>
                </c:pt>
                <c:pt idx="4">
                  <c:v>11262985.996961832</c:v>
                </c:pt>
                <c:pt idx="5">
                  <c:v>12281816.796818644</c:v>
                </c:pt>
                <c:pt idx="6">
                  <c:v>9310719.5627872143</c:v>
                </c:pt>
                <c:pt idx="7">
                  <c:v>10779768.743424237</c:v>
                </c:pt>
                <c:pt idx="8">
                  <c:v>11637848.442937989</c:v>
                </c:pt>
                <c:pt idx="9">
                  <c:v>12419277.697201625</c:v>
                </c:pt>
              </c:numCache>
            </c:numRef>
          </c:val>
          <c:extLst>
            <c:ext xmlns:c16="http://schemas.microsoft.com/office/drawing/2014/chart" uri="{C3380CC4-5D6E-409C-BE32-E72D297353CC}">
              <c16:uniqueId val="{00000000-0CE0-4922-BA3E-5A88EFC9A476}"/>
            </c:ext>
          </c:extLst>
        </c:ser>
        <c:dLbls>
          <c:showLegendKey val="0"/>
          <c:showVal val="0"/>
          <c:showCatName val="0"/>
          <c:showSerName val="0"/>
          <c:showPercent val="0"/>
          <c:showBubbleSize val="0"/>
        </c:dLbls>
        <c:gapWidth val="40"/>
        <c:axId val="133932544"/>
        <c:axId val="133921792"/>
      </c:barChart>
      <c:lineChart>
        <c:grouping val="standard"/>
        <c:varyColors val="0"/>
        <c:ser>
          <c:idx val="1"/>
          <c:order val="1"/>
          <c:tx>
            <c:strRef>
              <c:f>'Petroleum - Q&amp;V2'!$AB$10</c:f>
              <c:strCache>
                <c:ptCount val="1"/>
                <c:pt idx="0">
                  <c:v>Value ($ Million)</c:v>
                </c:pt>
              </c:strCache>
            </c:strRef>
          </c:tx>
          <c:marker>
            <c:symbol val="none"/>
          </c:marker>
          <c:cat>
            <c:numRef>
              <c:f>'Alumina - Q&amp;V'!$S$11:$S$20</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'Petroleum - Q&amp;V2'!$AB$11:$AB$20</c:f>
              <c:numCache>
                <c:formatCode>0.00</c:formatCode>
                <c:ptCount val="10"/>
                <c:pt idx="0">
                  <c:v>3831.2571748245896</c:v>
                </c:pt>
                <c:pt idx="1">
                  <c:v>4251.4638407863149</c:v>
                </c:pt>
                <c:pt idx="2">
                  <c:v>5172.8065945862963</c:v>
                </c:pt>
                <c:pt idx="3">
                  <c:v>5665.314082587186</c:v>
                </c:pt>
                <c:pt idx="4">
                  <c:v>7376.9836139732379</c:v>
                </c:pt>
                <c:pt idx="5">
                  <c:v>8763.0226678458093</c:v>
                </c:pt>
                <c:pt idx="6">
                  <c:v>6700.4171929468284</c:v>
                </c:pt>
                <c:pt idx="7">
                  <c:v>6165.5688124462395</c:v>
                </c:pt>
                <c:pt idx="8">
                  <c:v>6973.9885280791204</c:v>
                </c:pt>
                <c:pt idx="9">
                  <c:v>7554.8185326036582</c:v>
                </c:pt>
              </c:numCache>
            </c:numRef>
          </c:val>
          <c:smooth val="0"/>
          <c:extLst>
            <c:ext xmlns:c16="http://schemas.microsoft.com/office/drawing/2014/chart" uri="{C3380CC4-5D6E-409C-BE32-E72D297353CC}">
              <c16:uniqueId val="{00000001-0CE0-4922-BA3E-5A88EFC9A476}"/>
            </c:ext>
          </c:extLst>
        </c:ser>
        <c:dLbls>
          <c:showLegendKey val="0"/>
          <c:showVal val="0"/>
          <c:showCatName val="0"/>
          <c:showSerName val="0"/>
          <c:showPercent val="0"/>
          <c:showBubbleSize val="0"/>
        </c:dLbls>
        <c:marker val="1"/>
        <c:smooth val="0"/>
        <c:axId val="133913600"/>
        <c:axId val="133919872"/>
      </c:lineChart>
      <c:catAx>
        <c:axId val="133913600"/>
        <c:scaling>
          <c:orientation val="minMax"/>
        </c:scaling>
        <c:delete val="0"/>
        <c:axPos val="b"/>
        <c:title>
          <c:tx>
            <c:rich>
              <a:bodyPr/>
              <a:lstStyle/>
              <a:p>
                <a:pPr>
                  <a:defRPr/>
                </a:pPr>
                <a:r>
                  <a:rPr lang="en-AU" sz="1000" b="1" i="0" u="none" strike="noStrike" baseline="0">
                    <a:effectLst/>
                  </a:rPr>
                  <a:t>Source: DMIRS, EnergyQuest, and Woodside</a:t>
                </a:r>
                <a:endParaRPr lang="en-AU"/>
              </a:p>
            </c:rich>
          </c:tx>
          <c:layout>
            <c:manualLayout>
              <c:xMode val="edge"/>
              <c:yMode val="edge"/>
              <c:x val="8.5945394006659275E-3"/>
              <c:y val="0.94066460702786325"/>
            </c:manualLayout>
          </c:layout>
          <c:overlay val="0"/>
        </c:title>
        <c:numFmt formatCode="mmm\-yy" sourceLinked="1"/>
        <c:majorTickMark val="out"/>
        <c:minorTickMark val="none"/>
        <c:tickLblPos val="nextTo"/>
        <c:txPr>
          <a:bodyPr rot="-2700000"/>
          <a:lstStyle/>
          <a:p>
            <a:pPr>
              <a:defRPr/>
            </a:pPr>
            <a:endParaRPr lang="en-US"/>
          </a:p>
        </c:txPr>
        <c:crossAx val="133919872"/>
        <c:crosses val="autoZero"/>
        <c:auto val="0"/>
        <c:lblAlgn val="ctr"/>
        <c:lblOffset val="100"/>
        <c:noMultiLvlLbl val="0"/>
      </c:catAx>
      <c:valAx>
        <c:axId val="133919872"/>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3913600"/>
        <c:crosses val="autoZero"/>
        <c:crossBetween val="between"/>
      </c:valAx>
      <c:valAx>
        <c:axId val="133921792"/>
        <c:scaling>
          <c:orientation val="minMax"/>
        </c:scaling>
        <c:delete val="0"/>
        <c:axPos val="r"/>
        <c:title>
          <c:tx>
            <c:rich>
              <a:bodyPr rot="-5400000" vert="horz"/>
              <a:lstStyle/>
              <a:p>
                <a:pPr>
                  <a:defRPr/>
                </a:pPr>
                <a:r>
                  <a:rPr lang="en-AU"/>
                  <a:t>Thousand tonnes</a:t>
                </a:r>
              </a:p>
            </c:rich>
          </c:tx>
          <c:overlay val="0"/>
        </c:title>
        <c:numFmt formatCode="_-* #,##0_-;\-* #,##0_-;_-* &quot;-&quot;??_-;_-@_-" sourceLinked="1"/>
        <c:majorTickMark val="out"/>
        <c:minorTickMark val="none"/>
        <c:tickLblPos val="nextTo"/>
        <c:crossAx val="133932544"/>
        <c:crosses val="max"/>
        <c:crossBetween val="between"/>
        <c:dispUnits>
          <c:builtInUnit val="thousands"/>
        </c:dispUnits>
      </c:valAx>
      <c:dateAx>
        <c:axId val="133932544"/>
        <c:scaling>
          <c:orientation val="minMax"/>
        </c:scaling>
        <c:delete val="1"/>
        <c:axPos val="b"/>
        <c:numFmt formatCode="mmm\-yy" sourceLinked="1"/>
        <c:majorTickMark val="out"/>
        <c:minorTickMark val="none"/>
        <c:tickLblPos val="nextTo"/>
        <c:crossAx val="1339217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600"/>
              <a:t>Liquefied Petroleum</a:t>
            </a:r>
            <a:r>
              <a:rPr lang="en-AU" sz="1600" baseline="0"/>
              <a:t> Gas </a:t>
            </a:r>
            <a:r>
              <a:rPr lang="en-AU" sz="1600"/>
              <a:t>(LPG - Butane and Propane)</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Q&amp;V2'!$AA$35</c:f>
              <c:strCache>
                <c:ptCount val="1"/>
                <c:pt idx="0">
                  <c:v>Quantity (t)</c:v>
                </c:pt>
              </c:strCache>
            </c:strRef>
          </c:tx>
          <c:invertIfNegative val="0"/>
          <c:cat>
            <c:numRef>
              <c:f>'Petroleum - Q&amp;V2'!$Z$36:$Z$45</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'Petroleum - Q&amp;V2'!$AA$36:$AA$45</c:f>
              <c:numCache>
                <c:formatCode>_-* #,##0_-;\-* #,##0_-;_-* "-"??_-;_-@_-</c:formatCode>
                <c:ptCount val="10"/>
                <c:pt idx="0">
                  <c:v>117208</c:v>
                </c:pt>
                <c:pt idx="1">
                  <c:v>112884</c:v>
                </c:pt>
                <c:pt idx="2">
                  <c:v>112860</c:v>
                </c:pt>
                <c:pt idx="3">
                  <c:v>108290</c:v>
                </c:pt>
                <c:pt idx="4">
                  <c:v>128248</c:v>
                </c:pt>
                <c:pt idx="5">
                  <c:v>113712</c:v>
                </c:pt>
                <c:pt idx="6">
                  <c:v>92520</c:v>
                </c:pt>
                <c:pt idx="7">
                  <c:v>112749</c:v>
                </c:pt>
                <c:pt idx="8">
                  <c:v>103868</c:v>
                </c:pt>
                <c:pt idx="9">
                  <c:v>109112</c:v>
                </c:pt>
              </c:numCache>
            </c:numRef>
          </c:val>
          <c:extLst>
            <c:ext xmlns:c16="http://schemas.microsoft.com/office/drawing/2014/chart" uri="{C3380CC4-5D6E-409C-BE32-E72D297353CC}">
              <c16:uniqueId val="{00000000-1F72-4E20-8D4D-F5F96F6FCD39}"/>
            </c:ext>
          </c:extLst>
        </c:ser>
        <c:dLbls>
          <c:showLegendKey val="0"/>
          <c:showVal val="0"/>
          <c:showCatName val="0"/>
          <c:showSerName val="0"/>
          <c:showPercent val="0"/>
          <c:showBubbleSize val="0"/>
        </c:dLbls>
        <c:gapWidth val="40"/>
        <c:axId val="134241280"/>
        <c:axId val="134238976"/>
      </c:barChart>
      <c:lineChart>
        <c:grouping val="standard"/>
        <c:varyColors val="0"/>
        <c:ser>
          <c:idx val="1"/>
          <c:order val="1"/>
          <c:tx>
            <c:strRef>
              <c:f>'Petroleum - Q&amp;V2'!$AB$35</c:f>
              <c:strCache>
                <c:ptCount val="1"/>
                <c:pt idx="0">
                  <c:v>Value ($ Million)</c:v>
                </c:pt>
              </c:strCache>
            </c:strRef>
          </c:tx>
          <c:marker>
            <c:symbol val="none"/>
          </c:marker>
          <c:cat>
            <c:numRef>
              <c:f>'Alumina - Q&amp;V'!$S$11:$S$20</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'Petroleum - Q&amp;V2'!$AB$36:$AB$45</c:f>
              <c:numCache>
                <c:formatCode>0.00</c:formatCode>
                <c:ptCount val="10"/>
                <c:pt idx="0">
                  <c:v>67.451136598380842</c:v>
                </c:pt>
                <c:pt idx="1">
                  <c:v>96.97610210958355</c:v>
                </c:pt>
                <c:pt idx="2">
                  <c:v>85.801210917674538</c:v>
                </c:pt>
                <c:pt idx="3">
                  <c:v>81.042960637905693</c:v>
                </c:pt>
                <c:pt idx="4">
                  <c:v>98.743038662887543</c:v>
                </c:pt>
                <c:pt idx="5">
                  <c:v>83.237183999999999</c:v>
                </c:pt>
                <c:pt idx="6">
                  <c:v>65.49929301295073</c:v>
                </c:pt>
                <c:pt idx="7">
                  <c:v>80.156224617098388</c:v>
                </c:pt>
                <c:pt idx="8">
                  <c:v>54.842303999999999</c:v>
                </c:pt>
                <c:pt idx="9">
                  <c:v>73.742336071813952</c:v>
                </c:pt>
              </c:numCache>
            </c:numRef>
          </c:val>
          <c:smooth val="0"/>
          <c:extLst>
            <c:ext xmlns:c16="http://schemas.microsoft.com/office/drawing/2014/chart" uri="{C3380CC4-5D6E-409C-BE32-E72D297353CC}">
              <c16:uniqueId val="{00000001-1F72-4E20-8D4D-F5F96F6FCD39}"/>
            </c:ext>
          </c:extLst>
        </c:ser>
        <c:dLbls>
          <c:showLegendKey val="0"/>
          <c:showVal val="0"/>
          <c:showCatName val="0"/>
          <c:showSerName val="0"/>
          <c:showPercent val="0"/>
          <c:showBubbleSize val="0"/>
        </c:dLbls>
        <c:marker val="1"/>
        <c:smooth val="0"/>
        <c:axId val="134234880"/>
        <c:axId val="134236800"/>
      </c:lineChart>
      <c:catAx>
        <c:axId val="134234880"/>
        <c:scaling>
          <c:orientation val="minMax"/>
        </c:scaling>
        <c:delete val="0"/>
        <c:axPos val="b"/>
        <c:title>
          <c:tx>
            <c:rich>
              <a:bodyPr/>
              <a:lstStyle/>
              <a:p>
                <a:pPr>
                  <a:defRPr sz="900"/>
                </a:pPr>
                <a:r>
                  <a:rPr lang="en-AU" sz="900" b="1" i="0" baseline="0">
                    <a:effectLst/>
                  </a:rPr>
                  <a:t>Source: DMIRS, EnergyQuest, and Woodside</a:t>
                </a:r>
                <a:endParaRPr lang="en-AU" sz="900">
                  <a:effectLst/>
                </a:endParaRPr>
              </a:p>
            </c:rich>
          </c:tx>
          <c:layout>
            <c:manualLayout>
              <c:xMode val="edge"/>
              <c:yMode val="edge"/>
              <c:x val="0"/>
              <c:y val="0.94649540740405036"/>
            </c:manualLayout>
          </c:layout>
          <c:overlay val="0"/>
        </c:title>
        <c:numFmt formatCode="mmm\-yy" sourceLinked="1"/>
        <c:majorTickMark val="out"/>
        <c:minorTickMark val="none"/>
        <c:tickLblPos val="nextTo"/>
        <c:txPr>
          <a:bodyPr rot="-2700000"/>
          <a:lstStyle/>
          <a:p>
            <a:pPr>
              <a:defRPr/>
            </a:pPr>
            <a:endParaRPr lang="en-US"/>
          </a:p>
        </c:txPr>
        <c:crossAx val="134236800"/>
        <c:crosses val="autoZero"/>
        <c:auto val="0"/>
        <c:lblAlgn val="ctr"/>
        <c:lblOffset val="100"/>
        <c:noMultiLvlLbl val="0"/>
      </c:catAx>
      <c:valAx>
        <c:axId val="13423680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34880"/>
        <c:crosses val="autoZero"/>
        <c:crossBetween val="between"/>
      </c:valAx>
      <c:valAx>
        <c:axId val="134238976"/>
        <c:scaling>
          <c:orientation val="minMax"/>
        </c:scaling>
        <c:delete val="0"/>
        <c:axPos val="r"/>
        <c:title>
          <c:tx>
            <c:rich>
              <a:bodyPr rot="-5400000" vert="horz"/>
              <a:lstStyle/>
              <a:p>
                <a:pPr>
                  <a:defRPr/>
                </a:pPr>
                <a:r>
                  <a:rPr lang="en-AU"/>
                  <a:t>Thousand tonnes</a:t>
                </a:r>
              </a:p>
            </c:rich>
          </c:tx>
          <c:overlay val="0"/>
        </c:title>
        <c:numFmt formatCode="_-* #,##0_-;\-* #,##0_-;_-* &quot;-&quot;??_-;_-@_-" sourceLinked="1"/>
        <c:majorTickMark val="out"/>
        <c:minorTickMark val="none"/>
        <c:tickLblPos val="nextTo"/>
        <c:crossAx val="134241280"/>
        <c:crosses val="max"/>
        <c:crossBetween val="between"/>
        <c:dispUnits>
          <c:builtInUnit val="thousands"/>
        </c:dispUnits>
      </c:valAx>
      <c:dateAx>
        <c:axId val="134241280"/>
        <c:scaling>
          <c:orientation val="minMax"/>
        </c:scaling>
        <c:delete val="1"/>
        <c:axPos val="b"/>
        <c:numFmt formatCode="mmm\-yy" sourceLinked="1"/>
        <c:majorTickMark val="out"/>
        <c:minorTickMark val="none"/>
        <c:tickLblPos val="nextTo"/>
        <c:crossAx val="1342389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Natural Gas</a:t>
            </a:r>
            <a:endParaRPr lang="en-AU" sz="1600"/>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Q&amp;V2'!$AA$60</c:f>
              <c:strCache>
                <c:ptCount val="1"/>
                <c:pt idx="0">
                  <c:v>Quantity (000 cubic metres)</c:v>
                </c:pt>
              </c:strCache>
            </c:strRef>
          </c:tx>
          <c:invertIfNegative val="0"/>
          <c:cat>
            <c:numRef>
              <c:f>'Petroleum - Q&amp;V2'!$Z$36:$Z$45</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'Petroleum - Q&amp;V2'!$AA$61:$AA$70</c:f>
              <c:numCache>
                <c:formatCode>_-* #,##0_-;\-* #,##0_-;_-* "-"??_-;_-@_-</c:formatCode>
                <c:ptCount val="10"/>
                <c:pt idx="0">
                  <c:v>2661295.5523457509</c:v>
                </c:pt>
                <c:pt idx="1">
                  <c:v>2465140.1621133876</c:v>
                </c:pt>
                <c:pt idx="2">
                  <c:v>2482222.5130890049</c:v>
                </c:pt>
                <c:pt idx="3">
                  <c:v>2566261.3118617437</c:v>
                </c:pt>
                <c:pt idx="4">
                  <c:v>2424206.4357756716</c:v>
                </c:pt>
                <c:pt idx="5">
                  <c:v>2655912.8829536522</c:v>
                </c:pt>
                <c:pt idx="6">
                  <c:v>2536649.2146596862</c:v>
                </c:pt>
                <c:pt idx="7">
                  <c:v>2793257.7945797327</c:v>
                </c:pt>
                <c:pt idx="8">
                  <c:v>2856042.2623723485</c:v>
                </c:pt>
                <c:pt idx="9">
                  <c:v>2740776.3804347822</c:v>
                </c:pt>
              </c:numCache>
            </c:numRef>
          </c:val>
          <c:extLst>
            <c:ext xmlns:c16="http://schemas.microsoft.com/office/drawing/2014/chart" uri="{C3380CC4-5D6E-409C-BE32-E72D297353CC}">
              <c16:uniqueId val="{00000000-38A7-4F39-B492-6AEDA0F35607}"/>
            </c:ext>
          </c:extLst>
        </c:ser>
        <c:dLbls>
          <c:showLegendKey val="0"/>
          <c:showVal val="0"/>
          <c:showCatName val="0"/>
          <c:showSerName val="0"/>
          <c:showPercent val="0"/>
          <c:showBubbleSize val="0"/>
        </c:dLbls>
        <c:gapWidth val="40"/>
        <c:axId val="134312320"/>
        <c:axId val="134293376"/>
      </c:barChart>
      <c:lineChart>
        <c:grouping val="standard"/>
        <c:varyColors val="0"/>
        <c:ser>
          <c:idx val="1"/>
          <c:order val="1"/>
          <c:tx>
            <c:strRef>
              <c:f>'Petroleum - Q&amp;V2'!$AB$60</c:f>
              <c:strCache>
                <c:ptCount val="1"/>
                <c:pt idx="0">
                  <c:v>Value ($ Million)</c:v>
                </c:pt>
              </c:strCache>
            </c:strRef>
          </c:tx>
          <c:marker>
            <c:symbol val="none"/>
          </c:marker>
          <c:cat>
            <c:numRef>
              <c:f>'Alumina - Q&amp;V'!$S$11:$S$20</c:f>
              <c:numCache>
                <c:formatCode>mmm\-yy</c:formatCode>
                <c:ptCount val="10"/>
                <c:pt idx="0">
                  <c:v>42979</c:v>
                </c:pt>
                <c:pt idx="1">
                  <c:v>43070</c:v>
                </c:pt>
                <c:pt idx="2">
                  <c:v>43160</c:v>
                </c:pt>
                <c:pt idx="3">
                  <c:v>43252</c:v>
                </c:pt>
                <c:pt idx="4">
                  <c:v>43344</c:v>
                </c:pt>
                <c:pt idx="5">
                  <c:v>43435</c:v>
                </c:pt>
                <c:pt idx="6">
                  <c:v>43525</c:v>
                </c:pt>
                <c:pt idx="7">
                  <c:v>43617</c:v>
                </c:pt>
                <c:pt idx="8">
                  <c:v>43709</c:v>
                </c:pt>
                <c:pt idx="9">
                  <c:v>43800</c:v>
                </c:pt>
              </c:numCache>
            </c:numRef>
          </c:cat>
          <c:val>
            <c:numRef>
              <c:f>'Petroleum - Q&amp;V2'!$AB$61:$AB$70</c:f>
              <c:numCache>
                <c:formatCode>0.00</c:formatCode>
                <c:ptCount val="10"/>
                <c:pt idx="0">
                  <c:v>480.22645936136479</c:v>
                </c:pt>
                <c:pt idx="1">
                  <c:v>386.65924809303209</c:v>
                </c:pt>
                <c:pt idx="2">
                  <c:v>387.77340948274747</c:v>
                </c:pt>
                <c:pt idx="3">
                  <c:v>402.65954693771909</c:v>
                </c:pt>
                <c:pt idx="4">
                  <c:v>392.90616509108258</c:v>
                </c:pt>
                <c:pt idx="5">
                  <c:v>401.72891240660562</c:v>
                </c:pt>
                <c:pt idx="6">
                  <c:v>388.22835425165852</c:v>
                </c:pt>
                <c:pt idx="7">
                  <c:v>430.54414149491276</c:v>
                </c:pt>
                <c:pt idx="8">
                  <c:v>452.3157126335841</c:v>
                </c:pt>
                <c:pt idx="9">
                  <c:v>426.91597923988132</c:v>
                </c:pt>
              </c:numCache>
            </c:numRef>
          </c:val>
          <c:smooth val="0"/>
          <c:extLst>
            <c:ext xmlns:c16="http://schemas.microsoft.com/office/drawing/2014/chart" uri="{C3380CC4-5D6E-409C-BE32-E72D297353CC}">
              <c16:uniqueId val="{00000001-38A7-4F39-B492-6AEDA0F35607}"/>
            </c:ext>
          </c:extLst>
        </c:ser>
        <c:dLbls>
          <c:showLegendKey val="0"/>
          <c:showVal val="0"/>
          <c:showCatName val="0"/>
          <c:showSerName val="0"/>
          <c:showPercent val="0"/>
          <c:showBubbleSize val="0"/>
        </c:dLbls>
        <c:marker val="1"/>
        <c:smooth val="0"/>
        <c:axId val="134281088"/>
        <c:axId val="134291456"/>
      </c:lineChart>
      <c:catAx>
        <c:axId val="134281088"/>
        <c:scaling>
          <c:orientation val="minMax"/>
        </c:scaling>
        <c:delete val="0"/>
        <c:axPos val="b"/>
        <c:title>
          <c:tx>
            <c:rich>
              <a:bodyPr/>
              <a:lstStyle/>
              <a:p>
                <a:pPr>
                  <a:defRPr sz="900"/>
                </a:pPr>
                <a:r>
                  <a:rPr lang="en-AU" sz="900" b="1" i="0" u="none" strike="noStrike" baseline="0">
                    <a:effectLst/>
                  </a:rPr>
                  <a:t>Source: DMIRS and EnergyQuest</a:t>
                </a:r>
                <a:endParaRPr lang="en-AU" sz="900"/>
              </a:p>
            </c:rich>
          </c:tx>
          <c:layout>
            <c:manualLayout>
              <c:xMode val="edge"/>
              <c:yMode val="edge"/>
              <c:x val="1.4418069863217373E-2"/>
              <c:y val="0.94663334068768223"/>
            </c:manualLayout>
          </c:layout>
          <c:overlay val="0"/>
        </c:title>
        <c:numFmt formatCode="mmm\-yy" sourceLinked="1"/>
        <c:majorTickMark val="out"/>
        <c:minorTickMark val="none"/>
        <c:tickLblPos val="nextTo"/>
        <c:txPr>
          <a:bodyPr rot="-2700000" vert="horz"/>
          <a:lstStyle/>
          <a:p>
            <a:pPr>
              <a:defRPr/>
            </a:pPr>
            <a:endParaRPr lang="en-US"/>
          </a:p>
        </c:txPr>
        <c:crossAx val="134291456"/>
        <c:crosses val="autoZero"/>
        <c:auto val="0"/>
        <c:lblAlgn val="ctr"/>
        <c:lblOffset val="100"/>
        <c:noMultiLvlLbl val="0"/>
      </c:catAx>
      <c:valAx>
        <c:axId val="13429145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81088"/>
        <c:crosses val="autoZero"/>
        <c:crossBetween val="between"/>
      </c:valAx>
      <c:valAx>
        <c:axId val="134293376"/>
        <c:scaling>
          <c:orientation val="minMax"/>
          <c:min val="0"/>
        </c:scaling>
        <c:delete val="0"/>
        <c:axPos val="r"/>
        <c:title>
          <c:tx>
            <c:rich>
              <a:bodyPr rot="-5400000" vert="horz"/>
              <a:lstStyle/>
              <a:p>
                <a:pPr>
                  <a:defRPr/>
                </a:pPr>
                <a:r>
                  <a:rPr lang="en-AU"/>
                  <a:t>Thousand tonnes </a:t>
                </a:r>
              </a:p>
            </c:rich>
          </c:tx>
          <c:overlay val="0"/>
        </c:title>
        <c:numFmt formatCode="_-* #,##0_-;\-* #,##0_-;_-* &quot;-&quot;??_-;_-@_-" sourceLinked="1"/>
        <c:majorTickMark val="out"/>
        <c:minorTickMark val="none"/>
        <c:tickLblPos val="nextTo"/>
        <c:crossAx val="134312320"/>
        <c:crosses val="max"/>
        <c:crossBetween val="between"/>
        <c:dispUnits>
          <c:builtInUnit val="thousands"/>
        </c:dispUnits>
      </c:valAx>
      <c:dateAx>
        <c:axId val="134312320"/>
        <c:scaling>
          <c:orientation val="minMax"/>
        </c:scaling>
        <c:delete val="1"/>
        <c:axPos val="b"/>
        <c:numFmt formatCode="mmm\-yy" sourceLinked="1"/>
        <c:majorTickMark val="out"/>
        <c:minorTickMark val="none"/>
        <c:tickLblPos val="nextTo"/>
        <c:crossAx val="1342933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Q&amp;V2'!$AE$36</c:f>
              <c:strCache>
                <c:ptCount val="1"/>
                <c:pt idx="0">
                  <c:v>Quantity (t)</c:v>
                </c:pt>
              </c:strCache>
            </c:strRef>
          </c:tx>
          <c:invertIfNegative val="0"/>
          <c:cat>
            <c:strRef>
              <c:f>'Petroleum - Q&amp;V2'!$AD$37:$AD$57</c:f>
              <c:strCache>
                <c:ptCount val="20"/>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Cache>
            </c:strRef>
          </c:cat>
          <c:val>
            <c:numRef>
              <c:f>'Petroleum - Q&amp;V2'!$AE$37:$AE$57</c:f>
              <c:numCache>
                <c:formatCode>_-* #,##0_-;\-* #,##0_-;_-* "-"??_-;_-@_-</c:formatCode>
                <c:ptCount val="21"/>
                <c:pt idx="0">
                  <c:v>7990862.5304647814</c:v>
                </c:pt>
                <c:pt idx="1">
                  <c:v>7587835.6769510843</c:v>
                </c:pt>
                <c:pt idx="2">
                  <c:v>8062589.5456086854</c:v>
                </c:pt>
                <c:pt idx="3">
                  <c:v>8198185.7048797477</c:v>
                </c:pt>
                <c:pt idx="4">
                  <c:v>8220764.5200752914</c:v>
                </c:pt>
                <c:pt idx="5">
                  <c:v>10929023.235157391</c:v>
                </c:pt>
                <c:pt idx="6">
                  <c:v>11679836</c:v>
                </c:pt>
                <c:pt idx="7">
                  <c:v>12211051</c:v>
                </c:pt>
                <c:pt idx="8">
                  <c:v>12148060</c:v>
                </c:pt>
                <c:pt idx="9">
                  <c:v>13943724</c:v>
                </c:pt>
                <c:pt idx="10">
                  <c:v>15717041</c:v>
                </c:pt>
                <c:pt idx="11">
                  <c:v>17290205.198225208</c:v>
                </c:pt>
                <c:pt idx="12">
                  <c:v>15610569.721008768</c:v>
                </c:pt>
                <c:pt idx="13">
                  <c:v>19804919</c:v>
                </c:pt>
                <c:pt idx="14">
                  <c:v>19826065</c:v>
                </c:pt>
                <c:pt idx="15">
                  <c:v>20447845</c:v>
                </c:pt>
                <c:pt idx="16">
                  <c:v>20955641</c:v>
                </c:pt>
                <c:pt idx="17">
                  <c:v>28685476.682250001</c:v>
                </c:pt>
                <c:pt idx="18">
                  <c:v>37893516.660594463</c:v>
                </c:pt>
                <c:pt idx="19">
                  <c:v>43635291.099991925</c:v>
                </c:pt>
                <c:pt idx="20">
                  <c:v>0</c:v>
                </c:pt>
              </c:numCache>
            </c:numRef>
          </c:val>
          <c:extLst>
            <c:ext xmlns:c16="http://schemas.microsoft.com/office/drawing/2014/chart" uri="{C3380CC4-5D6E-409C-BE32-E72D297353CC}">
              <c16:uniqueId val="{00000000-4FEA-45BE-A3E7-53054219F8C5}"/>
            </c:ext>
          </c:extLst>
        </c:ser>
        <c:dLbls>
          <c:showLegendKey val="0"/>
          <c:showVal val="0"/>
          <c:showCatName val="0"/>
          <c:showSerName val="0"/>
          <c:showPercent val="0"/>
          <c:showBubbleSize val="0"/>
        </c:dLbls>
        <c:gapWidth val="40"/>
        <c:axId val="134362240"/>
        <c:axId val="134351872"/>
      </c:barChart>
      <c:lineChart>
        <c:grouping val="standard"/>
        <c:varyColors val="0"/>
        <c:ser>
          <c:idx val="1"/>
          <c:order val="1"/>
          <c:tx>
            <c:strRef>
              <c:f>'Petroleum - Q&amp;V2'!$AG$36</c:f>
              <c:strCache>
                <c:ptCount val="1"/>
                <c:pt idx="0">
                  <c:v>Value ($ Million)</c:v>
                </c:pt>
              </c:strCache>
            </c:strRef>
          </c:tx>
          <c:marker>
            <c:symbol val="none"/>
          </c:marker>
          <c:cat>
            <c:strRef>
              <c:f>'Petroleum - Q&amp;V2'!$AD$37:$AD$57</c:f>
              <c:strCache>
                <c:ptCount val="20"/>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Cache>
            </c:strRef>
          </c:cat>
          <c:val>
            <c:numRef>
              <c:f>'Petroleum - Q&amp;V2'!$AG$37:$AG$57</c:f>
              <c:numCache>
                <c:formatCode>0.00</c:formatCode>
                <c:ptCount val="21"/>
                <c:pt idx="0">
                  <c:v>1971.0604250000001</c:v>
                </c:pt>
                <c:pt idx="1">
                  <c:v>3012.4308918725401</c:v>
                </c:pt>
                <c:pt idx="2">
                  <c:v>3006.39753523746</c:v>
                </c:pt>
                <c:pt idx="3">
                  <c:v>3130.828043</c:v>
                </c:pt>
                <c:pt idx="4">
                  <c:v>2775.8814919999995</c:v>
                </c:pt>
                <c:pt idx="5">
                  <c:v>3794.8053936174865</c:v>
                </c:pt>
                <c:pt idx="6">
                  <c:v>4648.9595326157496</c:v>
                </c:pt>
                <c:pt idx="7">
                  <c:v>4434.3593540799166</c:v>
                </c:pt>
                <c:pt idx="8">
                  <c:v>5219.6847647091254</c:v>
                </c:pt>
                <c:pt idx="9">
                  <c:v>8517.5038741467542</c:v>
                </c:pt>
                <c:pt idx="10">
                  <c:v>7494.2483203693309</c:v>
                </c:pt>
                <c:pt idx="11">
                  <c:v>8328.719117976907</c:v>
                </c:pt>
                <c:pt idx="12">
                  <c:v>9495.543132431565</c:v>
                </c:pt>
                <c:pt idx="13">
                  <c:v>12147.214397231801</c:v>
                </c:pt>
                <c:pt idx="14">
                  <c:v>14651.522773511284</c:v>
                </c:pt>
                <c:pt idx="15">
                  <c:v>13817.042486841992</c:v>
                </c:pt>
                <c:pt idx="16">
                  <c:v>10764.545352932773</c:v>
                </c:pt>
                <c:pt idx="17">
                  <c:v>12728.310038069867</c:v>
                </c:pt>
                <c:pt idx="18">
                  <c:v>18920.841692784386</c:v>
                </c:pt>
                <c:pt idx="19">
                  <c:v>29005.992287212117</c:v>
                </c:pt>
                <c:pt idx="20" formatCode="General">
                  <c:v>0</c:v>
                </c:pt>
              </c:numCache>
            </c:numRef>
          </c:val>
          <c:smooth val="0"/>
          <c:extLst>
            <c:ext xmlns:c16="http://schemas.microsoft.com/office/drawing/2014/chart" uri="{C3380CC4-5D6E-409C-BE32-E72D297353CC}">
              <c16:uniqueId val="{00000001-4FEA-45BE-A3E7-53054219F8C5}"/>
            </c:ext>
          </c:extLst>
        </c:ser>
        <c:dLbls>
          <c:showLegendKey val="0"/>
          <c:showVal val="0"/>
          <c:showCatName val="0"/>
          <c:showSerName val="0"/>
          <c:showPercent val="0"/>
          <c:showBubbleSize val="0"/>
        </c:dLbls>
        <c:marker val="1"/>
        <c:smooth val="0"/>
        <c:axId val="134347776"/>
        <c:axId val="134349952"/>
      </c:lineChart>
      <c:catAx>
        <c:axId val="134347776"/>
        <c:scaling>
          <c:orientation val="minMax"/>
        </c:scaling>
        <c:delete val="0"/>
        <c:axPos val="b"/>
        <c:title>
          <c:tx>
            <c:rich>
              <a:bodyPr/>
              <a:lstStyle/>
              <a:p>
                <a:pPr>
                  <a:defRPr/>
                </a:pPr>
                <a:r>
                  <a:rPr lang="en-AU" sz="1000" b="1" i="0" u="none" strike="noStrike" baseline="0">
                    <a:effectLst/>
                  </a:rPr>
                  <a:t>Source: DMIRS, NOPTA, EnergyQuest, and Woodside</a:t>
                </a:r>
                <a:endParaRPr lang="en-AU"/>
              </a:p>
            </c:rich>
          </c:tx>
          <c:layout>
            <c:manualLayout>
              <c:xMode val="edge"/>
              <c:yMode val="edge"/>
              <c:x val="0"/>
              <c:y val="0.94405253113618148"/>
            </c:manualLayout>
          </c:layout>
          <c:overlay val="0"/>
        </c:title>
        <c:numFmt formatCode="@@@@@@@@@" sourceLinked="0"/>
        <c:majorTickMark val="out"/>
        <c:minorTickMark val="none"/>
        <c:tickLblPos val="nextTo"/>
        <c:txPr>
          <a:bodyPr rot="-2700000"/>
          <a:lstStyle/>
          <a:p>
            <a:pPr>
              <a:defRPr/>
            </a:pPr>
            <a:endParaRPr lang="en-US"/>
          </a:p>
        </c:txPr>
        <c:crossAx val="134349952"/>
        <c:crosses val="autoZero"/>
        <c:auto val="0"/>
        <c:lblAlgn val="ctr"/>
        <c:lblOffset val="100"/>
        <c:tickLblSkip val="1"/>
        <c:noMultiLvlLbl val="0"/>
      </c:catAx>
      <c:valAx>
        <c:axId val="134349952"/>
        <c:scaling>
          <c:orientation val="minMax"/>
        </c:scaling>
        <c:delete val="0"/>
        <c:axPos val="l"/>
        <c:majorGridlines/>
        <c:title>
          <c:tx>
            <c:rich>
              <a:bodyPr rot="-5400000" vert="horz"/>
              <a:lstStyle/>
              <a:p>
                <a:pPr>
                  <a:defRPr/>
                </a:pPr>
                <a:r>
                  <a:rPr lang="en-AU"/>
                  <a:t>$ Million</a:t>
                </a:r>
              </a:p>
            </c:rich>
          </c:tx>
          <c:layout>
            <c:manualLayout>
              <c:xMode val="edge"/>
              <c:yMode val="edge"/>
              <c:x val="1.7662580050950286E-2"/>
              <c:y val="0.44760163968574446"/>
            </c:manualLayout>
          </c:layout>
          <c:overlay val="0"/>
        </c:title>
        <c:numFmt formatCode="#,##0" sourceLinked="0"/>
        <c:majorTickMark val="out"/>
        <c:minorTickMark val="none"/>
        <c:tickLblPos val="nextTo"/>
        <c:crossAx val="134347776"/>
        <c:crosses val="autoZero"/>
        <c:crossBetween val="between"/>
      </c:valAx>
      <c:valAx>
        <c:axId val="134351872"/>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362240"/>
        <c:crosses val="max"/>
        <c:crossBetween val="between"/>
      </c:valAx>
      <c:catAx>
        <c:axId val="134362240"/>
        <c:scaling>
          <c:orientation val="minMax"/>
        </c:scaling>
        <c:delete val="1"/>
        <c:axPos val="b"/>
        <c:numFmt formatCode="General" sourceLinked="1"/>
        <c:majorTickMark val="out"/>
        <c:minorTickMark val="none"/>
        <c:tickLblPos val="nextTo"/>
        <c:crossAx val="13435187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LPG - Butane and Propane</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Q&amp;V2'!$AH$36</c:f>
              <c:strCache>
                <c:ptCount val="1"/>
                <c:pt idx="0">
                  <c:v>Quantity (t)</c:v>
                </c:pt>
              </c:strCache>
            </c:strRef>
          </c:tx>
          <c:invertIfNegative val="0"/>
          <c:cat>
            <c:strRef>
              <c:f>'Petroleum - Q&amp;V2'!$AD$37:$AD$57</c:f>
              <c:strCache>
                <c:ptCount val="20"/>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Cache>
            </c:strRef>
          </c:cat>
          <c:val>
            <c:numRef>
              <c:f>'Petroleum - Q&amp;V2'!$AH$37:$AH$57</c:f>
              <c:numCache>
                <c:formatCode>_-* #,##0_-;\-* #,##0_-;_-* "-"??_-;_-@_-</c:formatCode>
                <c:ptCount val="21"/>
                <c:pt idx="0">
                  <c:v>778149</c:v>
                </c:pt>
                <c:pt idx="1">
                  <c:v>796572</c:v>
                </c:pt>
                <c:pt idx="2">
                  <c:v>856522</c:v>
                </c:pt>
                <c:pt idx="3">
                  <c:v>807063</c:v>
                </c:pt>
                <c:pt idx="4">
                  <c:v>695262</c:v>
                </c:pt>
                <c:pt idx="5">
                  <c:v>764186</c:v>
                </c:pt>
                <c:pt idx="6">
                  <c:v>871983</c:v>
                </c:pt>
                <c:pt idx="7">
                  <c:v>898606</c:v>
                </c:pt>
                <c:pt idx="8">
                  <c:v>818390</c:v>
                </c:pt>
                <c:pt idx="9">
                  <c:v>866534</c:v>
                </c:pt>
                <c:pt idx="10">
                  <c:v>987896</c:v>
                </c:pt>
                <c:pt idx="11">
                  <c:v>923763</c:v>
                </c:pt>
                <c:pt idx="12">
                  <c:v>835271</c:v>
                </c:pt>
                <c:pt idx="13">
                  <c:v>752910</c:v>
                </c:pt>
                <c:pt idx="14">
                  <c:v>389533</c:v>
                </c:pt>
                <c:pt idx="15">
                  <c:v>553055</c:v>
                </c:pt>
                <c:pt idx="16">
                  <c:v>531595</c:v>
                </c:pt>
                <c:pt idx="17">
                  <c:v>527391</c:v>
                </c:pt>
                <c:pt idx="18">
                  <c:v>451242</c:v>
                </c:pt>
                <c:pt idx="19">
                  <c:v>447229</c:v>
                </c:pt>
                <c:pt idx="20">
                  <c:v>0</c:v>
                </c:pt>
              </c:numCache>
            </c:numRef>
          </c:val>
          <c:extLst>
            <c:ext xmlns:c16="http://schemas.microsoft.com/office/drawing/2014/chart" uri="{C3380CC4-5D6E-409C-BE32-E72D297353CC}">
              <c16:uniqueId val="{00000000-37A2-4058-B81C-FE5C6C36B0F7}"/>
            </c:ext>
          </c:extLst>
        </c:ser>
        <c:dLbls>
          <c:showLegendKey val="0"/>
          <c:showVal val="0"/>
          <c:showCatName val="0"/>
          <c:showSerName val="0"/>
          <c:showPercent val="0"/>
          <c:showBubbleSize val="0"/>
        </c:dLbls>
        <c:gapWidth val="40"/>
        <c:axId val="134411776"/>
        <c:axId val="134393216"/>
      </c:barChart>
      <c:lineChart>
        <c:grouping val="standard"/>
        <c:varyColors val="0"/>
        <c:ser>
          <c:idx val="1"/>
          <c:order val="1"/>
          <c:tx>
            <c:strRef>
              <c:f>'Petroleum - Q&amp;V2'!$AJ$36</c:f>
              <c:strCache>
                <c:ptCount val="1"/>
                <c:pt idx="0">
                  <c:v>Value ($ Million)</c:v>
                </c:pt>
              </c:strCache>
            </c:strRef>
          </c:tx>
          <c:marker>
            <c:symbol val="none"/>
          </c:marker>
          <c:cat>
            <c:strRef>
              <c:f>'Petroleum - Q&amp;V2'!$AD$37:$AD$57</c:f>
              <c:strCache>
                <c:ptCount val="20"/>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Cache>
            </c:strRef>
          </c:cat>
          <c:val>
            <c:numRef>
              <c:f>'Petroleum - Q&amp;V2'!$AJ$37:$AJ$57</c:f>
              <c:numCache>
                <c:formatCode>0.00</c:formatCode>
                <c:ptCount val="21"/>
                <c:pt idx="0">
                  <c:v>336.83834999999999</c:v>
                </c:pt>
                <c:pt idx="1">
                  <c:v>409.50936400000001</c:v>
                </c:pt>
                <c:pt idx="2">
                  <c:v>361.57792499999999</c:v>
                </c:pt>
                <c:pt idx="3">
                  <c:v>393.863203</c:v>
                </c:pt>
                <c:pt idx="4">
                  <c:v>282.15068200000002</c:v>
                </c:pt>
                <c:pt idx="5">
                  <c:v>403.50175331283003</c:v>
                </c:pt>
                <c:pt idx="6">
                  <c:v>654.42383439349908</c:v>
                </c:pt>
                <c:pt idx="7">
                  <c:v>605.08472742592244</c:v>
                </c:pt>
                <c:pt idx="8">
                  <c:v>683.35221699510248</c:v>
                </c:pt>
                <c:pt idx="9">
                  <c:v>750.82534581660798</c:v>
                </c:pt>
                <c:pt idx="10">
                  <c:v>696.90199219554529</c:v>
                </c:pt>
                <c:pt idx="11">
                  <c:v>774.19745900998544</c:v>
                </c:pt>
                <c:pt idx="12">
                  <c:v>734.48465328098303</c:v>
                </c:pt>
                <c:pt idx="13">
                  <c:v>634.05263491956657</c:v>
                </c:pt>
                <c:pt idx="14">
                  <c:v>353.54133375915876</c:v>
                </c:pt>
                <c:pt idx="15">
                  <c:v>405.56551587200266</c:v>
                </c:pt>
                <c:pt idx="16">
                  <c:v>249.05907252354484</c:v>
                </c:pt>
                <c:pt idx="17">
                  <c:v>273.09730820693613</c:v>
                </c:pt>
                <c:pt idx="18">
                  <c:v>331.27141026354462</c:v>
                </c:pt>
                <c:pt idx="19">
                  <c:v>327.6357402929367</c:v>
                </c:pt>
                <c:pt idx="20" formatCode="General">
                  <c:v>0</c:v>
                </c:pt>
              </c:numCache>
            </c:numRef>
          </c:val>
          <c:smooth val="0"/>
          <c:extLst>
            <c:ext xmlns:c16="http://schemas.microsoft.com/office/drawing/2014/chart" uri="{C3380CC4-5D6E-409C-BE32-E72D297353CC}">
              <c16:uniqueId val="{00000001-37A2-4058-B81C-FE5C6C36B0F7}"/>
            </c:ext>
          </c:extLst>
        </c:ser>
        <c:dLbls>
          <c:showLegendKey val="0"/>
          <c:showVal val="0"/>
          <c:showCatName val="0"/>
          <c:showSerName val="0"/>
          <c:showPercent val="0"/>
          <c:showBubbleSize val="0"/>
        </c:dLbls>
        <c:marker val="1"/>
        <c:smooth val="0"/>
        <c:axId val="134389120"/>
        <c:axId val="134391296"/>
      </c:lineChart>
      <c:catAx>
        <c:axId val="134389120"/>
        <c:scaling>
          <c:orientation val="minMax"/>
        </c:scaling>
        <c:delete val="0"/>
        <c:axPos val="b"/>
        <c:title>
          <c:tx>
            <c:rich>
              <a:bodyPr/>
              <a:lstStyle/>
              <a:p>
                <a:pPr>
                  <a:defRPr/>
                </a:pPr>
                <a:r>
                  <a:rPr lang="en-AU" sz="1000" b="1" i="0" baseline="0">
                    <a:effectLst/>
                  </a:rPr>
                  <a:t>Source: DMIRS, NOPTA, EnergyQuest and Woodside</a:t>
                </a:r>
                <a:endParaRPr lang="en-AU" sz="1000">
                  <a:effectLst/>
                </a:endParaRP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4391296"/>
        <c:crosses val="autoZero"/>
        <c:auto val="0"/>
        <c:lblAlgn val="ctr"/>
        <c:lblOffset val="100"/>
        <c:tickLblSkip val="1"/>
        <c:noMultiLvlLbl val="0"/>
      </c:catAx>
      <c:valAx>
        <c:axId val="13439129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389120"/>
        <c:crosses val="autoZero"/>
        <c:crossBetween val="between"/>
      </c:valAx>
      <c:valAx>
        <c:axId val="134393216"/>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411776"/>
        <c:crosses val="max"/>
        <c:crossBetween val="between"/>
      </c:valAx>
      <c:catAx>
        <c:axId val="134411776"/>
        <c:scaling>
          <c:orientation val="minMax"/>
        </c:scaling>
        <c:delete val="1"/>
        <c:axPos val="b"/>
        <c:numFmt formatCode="General" sourceLinked="1"/>
        <c:majorTickMark val="out"/>
        <c:minorTickMark val="none"/>
        <c:tickLblPos val="nextTo"/>
        <c:crossAx val="13439321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Q&amp;V2'!$AK$36</c:f>
              <c:strCache>
                <c:ptCount val="1"/>
                <c:pt idx="0">
                  <c:v>Quantity (000 cubic metres)</c:v>
                </c:pt>
              </c:strCache>
            </c:strRef>
          </c:tx>
          <c:invertIfNegative val="0"/>
          <c:cat>
            <c:strRef>
              <c:f>'Petroleum - Q&amp;V2'!$AD$37:$AD$57</c:f>
              <c:strCache>
                <c:ptCount val="20"/>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Cache>
            </c:strRef>
          </c:cat>
          <c:val>
            <c:numRef>
              <c:f>'Petroleum - Q&amp;V2'!$AK$37:$AK$57</c:f>
              <c:numCache>
                <c:formatCode>_-* #,##0_-;\-* #,##0_-;_-* "-"??_-;_-@_-</c:formatCode>
                <c:ptCount val="21"/>
                <c:pt idx="0">
                  <c:v>6447139.8900000006</c:v>
                </c:pt>
                <c:pt idx="1">
                  <c:v>7560089</c:v>
                </c:pt>
                <c:pt idx="2">
                  <c:v>7456739</c:v>
                </c:pt>
                <c:pt idx="3">
                  <c:v>8120105</c:v>
                </c:pt>
                <c:pt idx="4">
                  <c:v>8060810</c:v>
                </c:pt>
                <c:pt idx="5">
                  <c:v>7642801</c:v>
                </c:pt>
                <c:pt idx="6">
                  <c:v>7713414</c:v>
                </c:pt>
                <c:pt idx="7">
                  <c:v>8714911</c:v>
                </c:pt>
                <c:pt idx="8">
                  <c:v>9159073</c:v>
                </c:pt>
                <c:pt idx="9">
                  <c:v>8598035</c:v>
                </c:pt>
                <c:pt idx="10">
                  <c:v>9357026</c:v>
                </c:pt>
                <c:pt idx="11">
                  <c:v>8981495</c:v>
                </c:pt>
                <c:pt idx="12">
                  <c:v>9080655</c:v>
                </c:pt>
                <c:pt idx="13">
                  <c:v>8713949</c:v>
                </c:pt>
                <c:pt idx="14">
                  <c:v>8217579.29</c:v>
                </c:pt>
                <c:pt idx="15">
                  <c:v>9875338.7119999994</c:v>
                </c:pt>
                <c:pt idx="16">
                  <c:v>10223641.3040339</c:v>
                </c:pt>
                <c:pt idx="17">
                  <c:v>9708933.994332375</c:v>
                </c:pt>
                <c:pt idx="18">
                  <c:v>10174919.539409887</c:v>
                </c:pt>
                <c:pt idx="19">
                  <c:v>10410026.327968743</c:v>
                </c:pt>
                <c:pt idx="20">
                  <c:v>0</c:v>
                </c:pt>
              </c:numCache>
            </c:numRef>
          </c:val>
          <c:extLst>
            <c:ext xmlns:c16="http://schemas.microsoft.com/office/drawing/2014/chart" uri="{C3380CC4-5D6E-409C-BE32-E72D297353CC}">
              <c16:uniqueId val="{00000000-8A07-4307-9110-F37471CF6A48}"/>
            </c:ext>
          </c:extLst>
        </c:ser>
        <c:dLbls>
          <c:showLegendKey val="0"/>
          <c:showVal val="0"/>
          <c:showCatName val="0"/>
          <c:showSerName val="0"/>
          <c:showPercent val="0"/>
          <c:showBubbleSize val="0"/>
        </c:dLbls>
        <c:gapWidth val="40"/>
        <c:axId val="135821568"/>
        <c:axId val="135819648"/>
      </c:barChart>
      <c:lineChart>
        <c:grouping val="standard"/>
        <c:varyColors val="0"/>
        <c:ser>
          <c:idx val="1"/>
          <c:order val="1"/>
          <c:tx>
            <c:strRef>
              <c:f>'Petroleum - Q&amp;V2'!$AM$36</c:f>
              <c:strCache>
                <c:ptCount val="1"/>
                <c:pt idx="0">
                  <c:v>Value ($ Million)</c:v>
                </c:pt>
              </c:strCache>
            </c:strRef>
          </c:tx>
          <c:marker>
            <c:symbol val="none"/>
          </c:marker>
          <c:cat>
            <c:strRef>
              <c:f>'Petroleum - Q&amp;V2'!$AD$37:$AD$57</c:f>
              <c:strCache>
                <c:ptCount val="20"/>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strCache>
            </c:strRef>
          </c:cat>
          <c:val>
            <c:numRef>
              <c:f>'Petroleum - Q&amp;V2'!$AM$37:$AM$57</c:f>
              <c:numCache>
                <c:formatCode>0.00</c:formatCode>
                <c:ptCount val="21"/>
                <c:pt idx="0">
                  <c:v>569.38400000000001</c:v>
                </c:pt>
                <c:pt idx="1">
                  <c:v>626.17802221454951</c:v>
                </c:pt>
                <c:pt idx="2">
                  <c:v>638.879233</c:v>
                </c:pt>
                <c:pt idx="3">
                  <c:v>661.92054399999995</c:v>
                </c:pt>
                <c:pt idx="4">
                  <c:v>681.04365699999994</c:v>
                </c:pt>
                <c:pt idx="5">
                  <c:v>678.72297100000003</c:v>
                </c:pt>
                <c:pt idx="6">
                  <c:v>700.98281099999997</c:v>
                </c:pt>
                <c:pt idx="7">
                  <c:v>918.02203399999996</c:v>
                </c:pt>
                <c:pt idx="8">
                  <c:v>1054.0182279999999</c:v>
                </c:pt>
                <c:pt idx="9">
                  <c:v>1232.2089879999999</c:v>
                </c:pt>
                <c:pt idx="10">
                  <c:v>1320.8017770000001</c:v>
                </c:pt>
                <c:pt idx="11">
                  <c:v>1364.5890670000001</c:v>
                </c:pt>
                <c:pt idx="12">
                  <c:v>1449.8102289999999</c:v>
                </c:pt>
                <c:pt idx="13">
                  <c:v>1434.5507720000001</c:v>
                </c:pt>
                <c:pt idx="14">
                  <c:v>1446.9357105200002</c:v>
                </c:pt>
                <c:pt idx="15">
                  <c:v>1820.1970551041886</c:v>
                </c:pt>
                <c:pt idx="16">
                  <c:v>1913.134893772321</c:v>
                </c:pt>
                <c:pt idx="17">
                  <c:v>1830.0129040416118</c:v>
                </c:pt>
                <c:pt idx="18">
                  <c:v>1657.3186638748634</c:v>
                </c:pt>
                <c:pt idx="19">
                  <c:v>1613.4075732442593</c:v>
                </c:pt>
                <c:pt idx="20" formatCode="General">
                  <c:v>0</c:v>
                </c:pt>
              </c:numCache>
            </c:numRef>
          </c:val>
          <c:smooth val="0"/>
          <c:extLst>
            <c:ext xmlns:c16="http://schemas.microsoft.com/office/drawing/2014/chart" uri="{C3380CC4-5D6E-409C-BE32-E72D297353CC}">
              <c16:uniqueId val="{00000001-8A07-4307-9110-F37471CF6A48}"/>
            </c:ext>
          </c:extLst>
        </c:ser>
        <c:dLbls>
          <c:showLegendKey val="0"/>
          <c:showVal val="0"/>
          <c:showCatName val="0"/>
          <c:showSerName val="0"/>
          <c:showPercent val="0"/>
          <c:showBubbleSize val="0"/>
        </c:dLbls>
        <c:marker val="1"/>
        <c:smooth val="0"/>
        <c:axId val="135811456"/>
        <c:axId val="135813376"/>
      </c:lineChart>
      <c:dateAx>
        <c:axId val="135811456"/>
        <c:scaling>
          <c:orientation val="minMax"/>
        </c:scaling>
        <c:delete val="0"/>
        <c:axPos val="b"/>
        <c:title>
          <c:tx>
            <c:rich>
              <a:bodyPr/>
              <a:lstStyle/>
              <a:p>
                <a:pPr>
                  <a:defRPr/>
                </a:pPr>
                <a:r>
                  <a:rPr lang="en-AU" sz="1000" b="1" i="0" baseline="0">
                    <a:effectLst/>
                  </a:rPr>
                  <a:t>Source: DMIRS, NOPTA, EnergyQuest and Woodside</a:t>
                </a:r>
                <a:endParaRPr lang="en-AU" sz="1000">
                  <a:effectLst/>
                </a:endParaRPr>
              </a:p>
            </c:rich>
          </c:tx>
          <c:layout>
            <c:manualLayout>
              <c:xMode val="edge"/>
              <c:yMode val="edge"/>
              <c:x val="1.1532814620415072E-2"/>
              <c:y val="0.94713224908928129"/>
            </c:manualLayout>
          </c:layout>
          <c:overlay val="0"/>
        </c:title>
        <c:numFmt formatCode="@@@@@@@@@" sourceLinked="0"/>
        <c:majorTickMark val="out"/>
        <c:minorTickMark val="none"/>
        <c:tickLblPos val="nextTo"/>
        <c:txPr>
          <a:bodyPr rot="-2700000"/>
          <a:lstStyle/>
          <a:p>
            <a:pPr>
              <a:defRPr/>
            </a:pPr>
            <a:endParaRPr lang="en-US"/>
          </a:p>
        </c:txPr>
        <c:crossAx val="135813376"/>
        <c:crosses val="autoZero"/>
        <c:auto val="0"/>
        <c:lblOffset val="100"/>
        <c:baseTimeUnit val="days"/>
        <c:majorUnit val="1"/>
        <c:majorTimeUnit val="days"/>
      </c:dateAx>
      <c:valAx>
        <c:axId val="13581337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5811456"/>
        <c:crosses val="autoZero"/>
        <c:crossBetween val="between"/>
      </c:valAx>
      <c:valAx>
        <c:axId val="135819648"/>
        <c:scaling>
          <c:orientation val="minMax"/>
        </c:scaling>
        <c:delete val="0"/>
        <c:axPos val="r"/>
        <c:title>
          <c:tx>
            <c:rich>
              <a:bodyPr rot="-5400000" vert="horz"/>
              <a:lstStyle/>
              <a:p>
                <a:pPr>
                  <a:defRPr/>
                </a:pPr>
                <a:r>
                  <a:rPr lang="en-AU"/>
                  <a:t>'000 cubic metres</a:t>
                </a:r>
              </a:p>
            </c:rich>
          </c:tx>
          <c:overlay val="0"/>
        </c:title>
        <c:numFmt formatCode="#,##0" sourceLinked="0"/>
        <c:majorTickMark val="out"/>
        <c:minorTickMark val="none"/>
        <c:tickLblPos val="nextTo"/>
        <c:crossAx val="135821568"/>
        <c:crosses val="max"/>
        <c:crossBetween val="between"/>
      </c:valAx>
      <c:catAx>
        <c:axId val="135821568"/>
        <c:scaling>
          <c:orientation val="minMax"/>
        </c:scaling>
        <c:delete val="1"/>
        <c:axPos val="b"/>
        <c:numFmt formatCode="General" sourceLinked="1"/>
        <c:majorTickMark val="out"/>
        <c:minorTickMark val="none"/>
        <c:tickLblPos val="nextTo"/>
        <c:crossAx val="1358196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b="1" i="0" u="none" strike="noStrike" baseline="0">
                <a:effectLst/>
              </a:rPr>
              <a:t>Natural gas </a:t>
            </a:r>
            <a:endParaRPr lang="en-AU"/>
          </a:p>
          <a:p>
            <a:pPr>
              <a:defRPr/>
            </a:pPr>
            <a:r>
              <a:rPr lang="en-AU" sz="1100" b="1" i="0" u="none" strike="noStrike" baseline="0">
                <a:effectLst/>
              </a:rPr>
              <a:t>Western Australian Average Domestic </a:t>
            </a:r>
            <a:r>
              <a:rPr lang="en-AU" sz="1100"/>
              <a:t>Price</a:t>
            </a:r>
          </a:p>
        </c:rich>
      </c:tx>
      <c:layout>
        <c:manualLayout>
          <c:xMode val="edge"/>
          <c:yMode val="edge"/>
          <c:x val="0.2969781137280556"/>
          <c:y val="2.9950436717975575E-2"/>
        </c:manualLayout>
      </c:layout>
      <c:overlay val="0"/>
    </c:title>
    <c:autoTitleDeleted val="0"/>
    <c:plotArea>
      <c:layout>
        <c:manualLayout>
          <c:layoutTarget val="inner"/>
          <c:xMode val="edge"/>
          <c:yMode val="edge"/>
          <c:x val="0.10641894086248882"/>
          <c:y val="0.23138327920243829"/>
          <c:w val="0.86317585366241012"/>
          <c:h val="0.54924336611033653"/>
        </c:manualLayout>
      </c:layout>
      <c:lineChart>
        <c:grouping val="standard"/>
        <c:varyColors val="0"/>
        <c:ser>
          <c:idx val="0"/>
          <c:order val="0"/>
          <c:tx>
            <c:strRef>
              <c:f>'Petroleum - Gas Prices'!$H$7:$H$8</c:f>
              <c:strCache>
                <c:ptCount val="2"/>
                <c:pt idx="0">
                  <c:v>A$/GJ</c:v>
                </c:pt>
              </c:strCache>
            </c:strRef>
          </c:tx>
          <c:marker>
            <c:symbol val="none"/>
          </c:marker>
          <c:cat>
            <c:numRef>
              <c:f>'Petroleum - Gas Prices'!$C$9:$C$38</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'Petroleum - Gas Prices'!$H$9:$H$38</c:f>
              <c:numCache>
                <c:formatCode>"$"#,##0.00</c:formatCode>
                <c:ptCount val="30"/>
                <c:pt idx="0">
                  <c:v>2.6054035998824498</c:v>
                </c:pt>
                <c:pt idx="1">
                  <c:v>2.6184466159951105</c:v>
                </c:pt>
                <c:pt idx="2">
                  <c:v>2.5697449572942013</c:v>
                </c:pt>
                <c:pt idx="3">
                  <c:v>2.6417071217872983</c:v>
                </c:pt>
                <c:pt idx="4">
                  <c:v>2.364788092795775</c:v>
                </c:pt>
                <c:pt idx="5">
                  <c:v>1.9042007438978497</c:v>
                </c:pt>
                <c:pt idx="6">
                  <c:v>1.9639369401661406</c:v>
                </c:pt>
                <c:pt idx="7">
                  <c:v>2.0500927565258129</c:v>
                </c:pt>
                <c:pt idx="8">
                  <c:v>2.1942259317253825</c:v>
                </c:pt>
                <c:pt idx="9">
                  <c:v>2.2633589129644966</c:v>
                </c:pt>
                <c:pt idx="10">
                  <c:v>2.3069294702897185</c:v>
                </c:pt>
                <c:pt idx="11">
                  <c:v>2.202921023279484</c:v>
                </c:pt>
                <c:pt idx="12">
                  <c:v>2.2066114058189088</c:v>
                </c:pt>
                <c:pt idx="13">
                  <c:v>2.2383607503595946</c:v>
                </c:pt>
                <c:pt idx="14">
                  <c:v>2.234799332978207</c:v>
                </c:pt>
                <c:pt idx="15">
                  <c:v>2.3494160120460434</c:v>
                </c:pt>
                <c:pt idx="16">
                  <c:v>2.5678282663284739</c:v>
                </c:pt>
                <c:pt idx="17">
                  <c:v>2.8738427244008009</c:v>
                </c:pt>
                <c:pt idx="18">
                  <c:v>3.6853500631162328</c:v>
                </c:pt>
                <c:pt idx="19">
                  <c:v>3.2654246502760027</c:v>
                </c:pt>
                <c:pt idx="20">
                  <c:v>3.9656553201993727</c:v>
                </c:pt>
                <c:pt idx="21">
                  <c:v>4.2139898759703716</c:v>
                </c:pt>
                <c:pt idx="22">
                  <c:v>4.2928576627648436</c:v>
                </c:pt>
                <c:pt idx="23">
                  <c:v>4.4111820179191188</c:v>
                </c:pt>
                <c:pt idx="24">
                  <c:v>4.8594360142592823</c:v>
                </c:pt>
                <c:pt idx="25" formatCode="&quot;$&quot;#,##0.00_);[Red]\(&quot;$&quot;#,##0.00\)">
                  <c:v>4.8876529546940892</c:v>
                </c:pt>
                <c:pt idx="26">
                  <c:v>4.9741404226474755</c:v>
                </c:pt>
                <c:pt idx="27" formatCode="&quot;$&quot;#,##0.00_);[Red]\(&quot;$&quot;#,##0.00\)">
                  <c:v>4.643752869410033</c:v>
                </c:pt>
                <c:pt idx="28" formatCode="&quot;$&quot;#,##0.00_);[Red]\(&quot;$&quot;#,##0.00\)">
                  <c:v>4.1157984670432084</c:v>
                </c:pt>
                <c:pt idx="29" formatCode="&quot;$&quot;#,##0.00_);[Red]\(&quot;$&quot;#,##0.00\)">
                  <c:v>4.0869983887664203</c:v>
                </c:pt>
              </c:numCache>
            </c:numRef>
          </c:val>
          <c:smooth val="0"/>
          <c:extLst>
            <c:ext xmlns:c16="http://schemas.microsoft.com/office/drawing/2014/chart" uri="{C3380CC4-5D6E-409C-BE32-E72D297353CC}">
              <c16:uniqueId val="{00000000-9B57-4D4D-A0DF-C44432C797DE}"/>
            </c:ext>
          </c:extLst>
        </c:ser>
        <c:ser>
          <c:idx val="1"/>
          <c:order val="1"/>
          <c:tx>
            <c:strRef>
              <c:f>'Petroleum - Gas Prices'!$K$7:$K$8</c:f>
              <c:strCache>
                <c:ptCount val="2"/>
                <c:pt idx="0">
                  <c:v>US$/GJ</c:v>
                </c:pt>
              </c:strCache>
            </c:strRef>
          </c:tx>
          <c:marker>
            <c:symbol val="none"/>
          </c:marker>
          <c:cat>
            <c:numRef>
              <c:f>'Petroleum - Gas Prices'!$C$9:$C$38</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'Petroleum - Gas Prices'!$K$9:$K$38</c:f>
              <c:numCache>
                <c:formatCode>"$"#,##0.00</c:formatCode>
                <c:ptCount val="30"/>
                <c:pt idx="0">
                  <c:v>2.031932555851657</c:v>
                </c:pt>
                <c:pt idx="1">
                  <c:v>2.0431520740725184</c:v>
                </c:pt>
                <c:pt idx="2">
                  <c:v>1.8790403418561417</c:v>
                </c:pt>
                <c:pt idx="3">
                  <c:v>1.7956343733568711</c:v>
                </c:pt>
                <c:pt idx="4">
                  <c:v>1.7370945066980166</c:v>
                </c:pt>
                <c:pt idx="5">
                  <c:v>1.407981898377602</c:v>
                </c:pt>
                <c:pt idx="6">
                  <c:v>1.5408067264073455</c:v>
                </c:pt>
                <c:pt idx="7">
                  <c:v>1.5139764165880083</c:v>
                </c:pt>
                <c:pt idx="8">
                  <c:v>1.3821611996099163</c:v>
                </c:pt>
                <c:pt idx="9">
                  <c:v>1.4605077838874405</c:v>
                </c:pt>
                <c:pt idx="10">
                  <c:v>1.3423253611125778</c:v>
                </c:pt>
                <c:pt idx="11">
                  <c:v>1.1398280527951929</c:v>
                </c:pt>
                <c:pt idx="12">
                  <c:v>1.2002127204816682</c:v>
                </c:pt>
                <c:pt idx="13">
                  <c:v>1.4610899797972252</c:v>
                </c:pt>
                <c:pt idx="14">
                  <c:v>1.6425216397556575</c:v>
                </c:pt>
                <c:pt idx="15">
                  <c:v>1.7908031982485628</c:v>
                </c:pt>
                <c:pt idx="16">
                  <c:v>1.9346018158518721</c:v>
                </c:pt>
                <c:pt idx="17">
                  <c:v>2.4099087139250321</c:v>
                </c:pt>
                <c:pt idx="18">
                  <c:v>3.141515238802381</c:v>
                </c:pt>
                <c:pt idx="19">
                  <c:v>2.5877946115995609</c:v>
                </c:pt>
                <c:pt idx="20">
                  <c:v>3.6493282141581362</c:v>
                </c:pt>
                <c:pt idx="21">
                  <c:v>4.3431837822511641</c:v>
                </c:pt>
                <c:pt idx="22">
                  <c:v>4.4435369667278888</c:v>
                </c:pt>
                <c:pt idx="23">
                  <c:v>4.267671562936151</c:v>
                </c:pt>
                <c:pt idx="24">
                  <c:v>4.3859244699698339</c:v>
                </c:pt>
                <c:pt idx="25">
                  <c:v>3.6777551962008559</c:v>
                </c:pt>
                <c:pt idx="26">
                  <c:v>3.700843376790099</c:v>
                </c:pt>
                <c:pt idx="27">
                  <c:v>3.5612940755505544</c:v>
                </c:pt>
                <c:pt idx="28">
                  <c:v>3.077588303731559</c:v>
                </c:pt>
                <c:pt idx="29">
                  <c:v>2.8439718871430197</c:v>
                </c:pt>
              </c:numCache>
            </c:numRef>
          </c:val>
          <c:smooth val="0"/>
          <c:extLst>
            <c:ext xmlns:c16="http://schemas.microsoft.com/office/drawing/2014/chart" uri="{C3380CC4-5D6E-409C-BE32-E72D297353CC}">
              <c16:uniqueId val="{00000001-9B57-4D4D-A0DF-C44432C797DE}"/>
            </c:ext>
          </c:extLst>
        </c:ser>
        <c:dLbls>
          <c:showLegendKey val="0"/>
          <c:showVal val="0"/>
          <c:showCatName val="0"/>
          <c:showSerName val="0"/>
          <c:showPercent val="0"/>
          <c:showBubbleSize val="0"/>
        </c:dLbls>
        <c:smooth val="0"/>
        <c:axId val="137199616"/>
        <c:axId val="137201152"/>
      </c:lineChart>
      <c:catAx>
        <c:axId val="13719961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7201152"/>
        <c:crosses val="autoZero"/>
        <c:auto val="0"/>
        <c:lblAlgn val="ctr"/>
        <c:lblOffset val="100"/>
        <c:tickLblSkip val="1"/>
        <c:tickMarkSkip val="1"/>
        <c:noMultiLvlLbl val="1"/>
      </c:catAx>
      <c:valAx>
        <c:axId val="137201152"/>
        <c:scaling>
          <c:orientation val="minMax"/>
          <c:min val="1"/>
        </c:scaling>
        <c:delete val="0"/>
        <c:axPos val="l"/>
        <c:majorGridlines/>
        <c:title>
          <c:tx>
            <c:rich>
              <a:bodyPr rot="-5400000" vert="horz"/>
              <a:lstStyle/>
              <a:p>
                <a:pPr>
                  <a:defRPr/>
                </a:pPr>
                <a:r>
                  <a:rPr lang="en-AU"/>
                  <a:t>$/GJ</a:t>
                </a:r>
              </a:p>
            </c:rich>
          </c:tx>
          <c:overlay val="0"/>
        </c:title>
        <c:numFmt formatCode="#,##0" sourceLinked="0"/>
        <c:majorTickMark val="out"/>
        <c:minorTickMark val="none"/>
        <c:tickLblPos val="nextTo"/>
        <c:txPr>
          <a:bodyPr rot="0" vert="horz"/>
          <a:lstStyle/>
          <a:p>
            <a:pPr>
              <a:defRPr/>
            </a:pPr>
            <a:endParaRPr lang="en-US"/>
          </a:p>
        </c:txPr>
        <c:crossAx val="137199616"/>
        <c:crosses val="autoZero"/>
        <c:crossBetween val="between"/>
        <c:majorUnit val="0.5"/>
      </c:valAx>
    </c:plotArea>
    <c:legend>
      <c:legendPos val="t"/>
      <c:overlay val="0"/>
    </c:legend>
    <c:plotVisOnly val="1"/>
    <c:dispBlanksAs val="gap"/>
    <c:showDLblsOverMax val="0"/>
  </c:chart>
  <c:printSettings>
    <c:headerFooter alignWithMargins="0"/>
    <c:pageMargins b="1" l="0.75000000000000044" r="0.75000000000000044" t="1"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800" b="1"/>
              <a:t>Alumina</a:t>
            </a:r>
          </a:p>
          <a:p>
            <a:pPr>
              <a:defRPr/>
            </a:pPr>
            <a:r>
              <a:rPr lang="en-US" sz="1100" b="1"/>
              <a:t>Historic avg. annual price</a:t>
            </a:r>
            <a:endParaRPr lang="en-AU"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475491915512394"/>
          <c:y val="0.18747576552930884"/>
          <c:w val="0.83066061413605297"/>
          <c:h val="0.62389613298337709"/>
        </c:manualLayout>
      </c:layout>
      <c:lineChart>
        <c:grouping val="standard"/>
        <c:varyColors val="0"/>
        <c:ser>
          <c:idx val="0"/>
          <c:order val="0"/>
          <c:spPr>
            <a:ln w="28575" cap="rnd">
              <a:solidFill>
                <a:schemeClr val="accent3"/>
              </a:solidFill>
              <a:round/>
            </a:ln>
            <a:effectLst/>
          </c:spPr>
          <c:marker>
            <c:symbol val="none"/>
          </c:marker>
          <c:cat>
            <c:numRef>
              <c:f>'Alumina - Prices'!$F$8:$F$41</c:f>
              <c:numCache>
                <c:formatCode>General</c:formatCode>
                <c:ptCount val="34"/>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numCache>
            </c:numRef>
          </c:cat>
          <c:val>
            <c:numRef>
              <c:f>'Alumina - Prices'!$G$8:$G$41</c:f>
              <c:numCache>
                <c:formatCode>"$"#,##0.00</c:formatCode>
                <c:ptCount val="34"/>
                <c:pt idx="0">
                  <c:v>186.74747201938524</c:v>
                </c:pt>
                <c:pt idx="1">
                  <c:v>186.34339604659078</c:v>
                </c:pt>
                <c:pt idx="2">
                  <c:v>215.69999999999996</c:v>
                </c:pt>
                <c:pt idx="3">
                  <c:v>316.38083333333333</c:v>
                </c:pt>
                <c:pt idx="4">
                  <c:v>337.86416666666668</c:v>
                </c:pt>
                <c:pt idx="5">
                  <c:v>268.65083333333337</c:v>
                </c:pt>
                <c:pt idx="6">
                  <c:v>234.71833333333336</c:v>
                </c:pt>
                <c:pt idx="7">
                  <c:v>244.78333333333327</c:v>
                </c:pt>
                <c:pt idx="8">
                  <c:v>207.5008333333333</c:v>
                </c:pt>
                <c:pt idx="9">
                  <c:v>232.52083333333334</c:v>
                </c:pt>
                <c:pt idx="10">
                  <c:v>243.20750000000001</c:v>
                </c:pt>
                <c:pt idx="11">
                  <c:v>251.0058333333333</c:v>
                </c:pt>
                <c:pt idx="12">
                  <c:v>286.06035333522306</c:v>
                </c:pt>
                <c:pt idx="13">
                  <c:v>259.78853448631168</c:v>
                </c:pt>
                <c:pt idx="14">
                  <c:v>342.39166666666665</c:v>
                </c:pt>
                <c:pt idx="15">
                  <c:v>343.46750000000003</c:v>
                </c:pt>
                <c:pt idx="16">
                  <c:v>292.35166666666663</c:v>
                </c:pt>
                <c:pt idx="17">
                  <c:v>271.79333333333335</c:v>
                </c:pt>
                <c:pt idx="18">
                  <c:v>299.24602465354627</c:v>
                </c:pt>
                <c:pt idx="19">
                  <c:v>323.2258039568531</c:v>
                </c:pt>
                <c:pt idx="20">
                  <c:v>401.22070958927651</c:v>
                </c:pt>
                <c:pt idx="21">
                  <c:v>387.61488477893232</c:v>
                </c:pt>
                <c:pt idx="22">
                  <c:v>399.64823109921559</c:v>
                </c:pt>
                <c:pt idx="23">
                  <c:v>287.59035009991879</c:v>
                </c:pt>
                <c:pt idx="24">
                  <c:v>317.5226345655114</c:v>
                </c:pt>
                <c:pt idx="25">
                  <c:v>337.48715453677306</c:v>
                </c:pt>
                <c:pt idx="26">
                  <c:v>285.45540794895652</c:v>
                </c:pt>
                <c:pt idx="27">
                  <c:v>300.93113225204837</c:v>
                </c:pt>
                <c:pt idx="28">
                  <c:v>328.09820567274653</c:v>
                </c:pt>
                <c:pt idx="29">
                  <c:v>382.17789349571837</c:v>
                </c:pt>
                <c:pt idx="30">
                  <c:v>323.18253454181587</c:v>
                </c:pt>
                <c:pt idx="31">
                  <c:v>426.81094261918702</c:v>
                </c:pt>
                <c:pt idx="32">
                  <c:v>591.67384686367222</c:v>
                </c:pt>
                <c:pt idx="33">
                  <c:v>484.89271540354662</c:v>
                </c:pt>
              </c:numCache>
            </c:numRef>
          </c:val>
          <c:smooth val="0"/>
          <c:extLst>
            <c:ext xmlns:c16="http://schemas.microsoft.com/office/drawing/2014/chart" uri="{C3380CC4-5D6E-409C-BE32-E72D297353CC}">
              <c16:uniqueId val="{00000000-8270-4985-AAB8-0379B8D3D755}"/>
            </c:ext>
          </c:extLst>
        </c:ser>
        <c:dLbls>
          <c:showLegendKey val="0"/>
          <c:showVal val="0"/>
          <c:showCatName val="0"/>
          <c:showSerName val="0"/>
          <c:showPercent val="0"/>
          <c:showBubbleSize val="0"/>
        </c:dLbls>
        <c:smooth val="0"/>
        <c:axId val="117368320"/>
        <c:axId val="117369856"/>
      </c:lineChart>
      <c:catAx>
        <c:axId val="117368320"/>
        <c:scaling>
          <c:orientation val="minMax"/>
        </c:scaling>
        <c:delete val="0"/>
        <c:axPos val="b"/>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9856"/>
        <c:crosses val="autoZero"/>
        <c:auto val="0"/>
        <c:lblAlgn val="ctr"/>
        <c:lblOffset val="100"/>
        <c:tickLblSkip val="1"/>
        <c:noMultiLvlLbl val="0"/>
      </c:catAx>
      <c:valAx>
        <c:axId val="117369856"/>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A$/tonne</a:t>
                </a:r>
              </a:p>
            </c:rich>
          </c:tx>
          <c:layout>
            <c:manualLayout>
              <c:xMode val="edge"/>
              <c:yMode val="edge"/>
              <c:x val="3.1993747575923263E-2"/>
              <c:y val="0.4055127909011373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8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Average quarterly natural gas price</a:t>
            </a:r>
          </a:p>
        </c:rich>
      </c:tx>
      <c:layout>
        <c:manualLayout>
          <c:xMode val="edge"/>
          <c:yMode val="edge"/>
          <c:x val="0.28089547352271171"/>
          <c:y val="4.0871028423495839E-2"/>
        </c:manualLayout>
      </c:layout>
      <c:overlay val="0"/>
    </c:title>
    <c:autoTitleDeleted val="0"/>
    <c:plotArea>
      <c:layout>
        <c:manualLayout>
          <c:layoutTarget val="inner"/>
          <c:xMode val="edge"/>
          <c:yMode val="edge"/>
          <c:x val="9.9753858318723118E-2"/>
          <c:y val="0.21447349923349041"/>
          <c:w val="0.87911644116938736"/>
          <c:h val="0.60579002624671918"/>
        </c:manualLayout>
      </c:layout>
      <c:lineChart>
        <c:grouping val="standard"/>
        <c:varyColors val="0"/>
        <c:ser>
          <c:idx val="0"/>
          <c:order val="0"/>
          <c:tx>
            <c:strRef>
              <c:f>'Petroleum - Gas Prices'!$E$48</c:f>
              <c:strCache>
                <c:ptCount val="1"/>
                <c:pt idx="0">
                  <c:v>WA Domestic Gas Price (A$/GJ)</c:v>
                </c:pt>
              </c:strCache>
            </c:strRef>
          </c:tx>
          <c:marker>
            <c:symbol val="none"/>
          </c:marker>
          <c:cat>
            <c:numRef>
              <c:f>'Petroleum - Gas Prices'!$A$49:$A$88</c:f>
              <c:numCache>
                <c:formatCode>m/d/yyyy</c:formatCode>
                <c:ptCount val="40"/>
                <c:pt idx="0">
                  <c:v>40238</c:v>
                </c:pt>
                <c:pt idx="1">
                  <c:v>40330</c:v>
                </c:pt>
                <c:pt idx="2">
                  <c:v>40422</c:v>
                </c:pt>
                <c:pt idx="3">
                  <c:v>40513</c:v>
                </c:pt>
                <c:pt idx="4">
                  <c:v>40603</c:v>
                </c:pt>
                <c:pt idx="5">
                  <c:v>40695</c:v>
                </c:pt>
                <c:pt idx="6">
                  <c:v>40787</c:v>
                </c:pt>
                <c:pt idx="7">
                  <c:v>40878</c:v>
                </c:pt>
                <c:pt idx="8">
                  <c:v>40969</c:v>
                </c:pt>
                <c:pt idx="9">
                  <c:v>41061</c:v>
                </c:pt>
                <c:pt idx="10">
                  <c:v>41153</c:v>
                </c:pt>
                <c:pt idx="11">
                  <c:v>41244</c:v>
                </c:pt>
                <c:pt idx="12">
                  <c:v>41334</c:v>
                </c:pt>
                <c:pt idx="13">
                  <c:v>41426</c:v>
                </c:pt>
                <c:pt idx="14">
                  <c:v>41518</c:v>
                </c:pt>
                <c:pt idx="15">
                  <c:v>41609</c:v>
                </c:pt>
                <c:pt idx="16">
                  <c:v>41699</c:v>
                </c:pt>
                <c:pt idx="17">
                  <c:v>41791</c:v>
                </c:pt>
                <c:pt idx="18">
                  <c:v>41883</c:v>
                </c:pt>
                <c:pt idx="19">
                  <c:v>41974</c:v>
                </c:pt>
                <c:pt idx="20">
                  <c:v>42064</c:v>
                </c:pt>
                <c:pt idx="21">
                  <c:v>42156</c:v>
                </c:pt>
                <c:pt idx="22">
                  <c:v>42248</c:v>
                </c:pt>
                <c:pt idx="23">
                  <c:v>42339</c:v>
                </c:pt>
                <c:pt idx="24">
                  <c:v>42430</c:v>
                </c:pt>
                <c:pt idx="25">
                  <c:v>42522</c:v>
                </c:pt>
                <c:pt idx="26">
                  <c:v>42614</c:v>
                </c:pt>
                <c:pt idx="27">
                  <c:v>42705</c:v>
                </c:pt>
                <c:pt idx="28">
                  <c:v>42795</c:v>
                </c:pt>
                <c:pt idx="29">
                  <c:v>42887</c:v>
                </c:pt>
                <c:pt idx="30">
                  <c:v>42979</c:v>
                </c:pt>
                <c:pt idx="31">
                  <c:v>43070</c:v>
                </c:pt>
                <c:pt idx="32">
                  <c:v>43160</c:v>
                </c:pt>
                <c:pt idx="33">
                  <c:v>43252</c:v>
                </c:pt>
                <c:pt idx="34">
                  <c:v>43344</c:v>
                </c:pt>
                <c:pt idx="35">
                  <c:v>43435</c:v>
                </c:pt>
                <c:pt idx="36">
                  <c:v>43525</c:v>
                </c:pt>
                <c:pt idx="37">
                  <c:v>43617</c:v>
                </c:pt>
                <c:pt idx="38">
                  <c:v>43709</c:v>
                </c:pt>
                <c:pt idx="39">
                  <c:v>43800</c:v>
                </c:pt>
              </c:numCache>
            </c:numRef>
          </c:cat>
          <c:val>
            <c:numRef>
              <c:f>'Petroleum - Gas Prices'!$E$49:$E$88</c:f>
              <c:numCache>
                <c:formatCode>"$"#,##0.00</c:formatCode>
                <c:ptCount val="40"/>
                <c:pt idx="0">
                  <c:v>4.6581804052600999</c:v>
                </c:pt>
                <c:pt idx="1">
                  <c:v>3.7281148451155723</c:v>
                </c:pt>
                <c:pt idx="2">
                  <c:v>3.764935123411052</c:v>
                </c:pt>
                <c:pt idx="3">
                  <c:v>3.7105101779713254</c:v>
                </c:pt>
                <c:pt idx="4">
                  <c:v>4.3056190241039651</c:v>
                </c:pt>
                <c:pt idx="5">
                  <c:v>4.2380097944327924</c:v>
                </c:pt>
                <c:pt idx="6">
                  <c:v>4.1681709329336512</c:v>
                </c:pt>
                <c:pt idx="7">
                  <c:v>4.1484404742488969</c:v>
                </c:pt>
                <c:pt idx="8">
                  <c:v>4.2466506124824406</c:v>
                </c:pt>
                <c:pt idx="9">
                  <c:v>4.231970586663552</c:v>
                </c:pt>
                <c:pt idx="10">
                  <c:v>4.3645289030058034</c:v>
                </c:pt>
                <c:pt idx="11">
                  <c:v>4.3297610724778695</c:v>
                </c:pt>
                <c:pt idx="12">
                  <c:v>4.2212398386308392</c:v>
                </c:pt>
                <c:pt idx="13">
                  <c:v>4.409489820673107</c:v>
                </c:pt>
                <c:pt idx="14">
                  <c:v>4.3123824115462766</c:v>
                </c:pt>
                <c:pt idx="15">
                  <c:v>4.6786472839104709</c:v>
                </c:pt>
                <c:pt idx="16">
                  <c:v>4.7077</c:v>
                </c:pt>
                <c:pt idx="17">
                  <c:v>4.9295292104925368</c:v>
                </c:pt>
                <c:pt idx="18">
                  <c:v>4.8887781628142477</c:v>
                </c:pt>
                <c:pt idx="19">
                  <c:v>4.8480040103555151</c:v>
                </c:pt>
                <c:pt idx="20">
                  <c:v>4.8461122505566507</c:v>
                </c:pt>
                <c:pt idx="21">
                  <c:v>4.8089078565611905</c:v>
                </c:pt>
                <c:pt idx="22">
                  <c:v>4.9058702326383257</c:v>
                </c:pt>
                <c:pt idx="23">
                  <c:v>4.9922471050309447</c:v>
                </c:pt>
                <c:pt idx="24">
                  <c:v>4.803597104985454</c:v>
                </c:pt>
                <c:pt idx="25">
                  <c:v>4.9911008406418791</c:v>
                </c:pt>
                <c:pt idx="26">
                  <c:v>5.116182081598228</c:v>
                </c:pt>
                <c:pt idx="27">
                  <c:v>4.9957045537060383</c:v>
                </c:pt>
                <c:pt idx="28">
                  <c:v>4.8653053800000006</c:v>
                </c:pt>
                <c:pt idx="29">
                  <c:v>4.8461826499999994</c:v>
                </c:pt>
                <c:pt idx="30">
                  <c:v>4.7457922777766823</c:v>
                </c:pt>
                <c:pt idx="31">
                  <c:v>4.1251764833236289</c:v>
                </c:pt>
                <c:pt idx="32">
                  <c:v>4.1085924471391548</c:v>
                </c:pt>
                <c:pt idx="33">
                  <c:v>4.1266047364363416</c:v>
                </c:pt>
                <c:pt idx="34">
                  <c:v>4.2626040379226575</c:v>
                </c:pt>
                <c:pt idx="35">
                  <c:v>3.9780937334600459</c:v>
                </c:pt>
                <c:pt idx="36">
                  <c:v>4.0251547820688458</c:v>
                </c:pt>
                <c:pt idx="37">
                  <c:v>4.0538008855784415</c:v>
                </c:pt>
                <c:pt idx="38">
                  <c:v>4.1651705925324878</c:v>
                </c:pt>
                <c:pt idx="39">
                  <c:v>4.0966093892810571</c:v>
                </c:pt>
              </c:numCache>
            </c:numRef>
          </c:val>
          <c:smooth val="0"/>
          <c:extLst>
            <c:ext xmlns:c16="http://schemas.microsoft.com/office/drawing/2014/chart" uri="{C3380CC4-5D6E-409C-BE32-E72D297353CC}">
              <c16:uniqueId val="{00000000-80C0-40EA-AE74-DC6A70CD0D31}"/>
            </c:ext>
          </c:extLst>
        </c:ser>
        <c:ser>
          <c:idx val="1"/>
          <c:order val="1"/>
          <c:tx>
            <c:strRef>
              <c:f>'Petroleum - Gas Prices'!$F$48</c:f>
              <c:strCache>
                <c:ptCount val="1"/>
                <c:pt idx="0">
                  <c:v>East Coast Domestic Gas Price (A$/GJ)</c:v>
                </c:pt>
              </c:strCache>
            </c:strRef>
          </c:tx>
          <c:marker>
            <c:symbol val="none"/>
          </c:marker>
          <c:cat>
            <c:numRef>
              <c:f>'Petroleum - Gas Prices'!$A$49:$A$88</c:f>
              <c:numCache>
                <c:formatCode>m/d/yyyy</c:formatCode>
                <c:ptCount val="40"/>
                <c:pt idx="0">
                  <c:v>40238</c:v>
                </c:pt>
                <c:pt idx="1">
                  <c:v>40330</c:v>
                </c:pt>
                <c:pt idx="2">
                  <c:v>40422</c:v>
                </c:pt>
                <c:pt idx="3">
                  <c:v>40513</c:v>
                </c:pt>
                <c:pt idx="4">
                  <c:v>40603</c:v>
                </c:pt>
                <c:pt idx="5">
                  <c:v>40695</c:v>
                </c:pt>
                <c:pt idx="6">
                  <c:v>40787</c:v>
                </c:pt>
                <c:pt idx="7">
                  <c:v>40878</c:v>
                </c:pt>
                <c:pt idx="8">
                  <c:v>40969</c:v>
                </c:pt>
                <c:pt idx="9">
                  <c:v>41061</c:v>
                </c:pt>
                <c:pt idx="10">
                  <c:v>41153</c:v>
                </c:pt>
                <c:pt idx="11">
                  <c:v>41244</c:v>
                </c:pt>
                <c:pt idx="12">
                  <c:v>41334</c:v>
                </c:pt>
                <c:pt idx="13">
                  <c:v>41426</c:v>
                </c:pt>
                <c:pt idx="14">
                  <c:v>41518</c:v>
                </c:pt>
                <c:pt idx="15">
                  <c:v>41609</c:v>
                </c:pt>
                <c:pt idx="16">
                  <c:v>41699</c:v>
                </c:pt>
                <c:pt idx="17">
                  <c:v>41791</c:v>
                </c:pt>
                <c:pt idx="18">
                  <c:v>41883</c:v>
                </c:pt>
                <c:pt idx="19">
                  <c:v>41974</c:v>
                </c:pt>
                <c:pt idx="20">
                  <c:v>42064</c:v>
                </c:pt>
                <c:pt idx="21">
                  <c:v>42156</c:v>
                </c:pt>
                <c:pt idx="22">
                  <c:v>42248</c:v>
                </c:pt>
                <c:pt idx="23">
                  <c:v>42339</c:v>
                </c:pt>
                <c:pt idx="24">
                  <c:v>42430</c:v>
                </c:pt>
                <c:pt idx="25">
                  <c:v>42522</c:v>
                </c:pt>
                <c:pt idx="26">
                  <c:v>42614</c:v>
                </c:pt>
                <c:pt idx="27">
                  <c:v>42705</c:v>
                </c:pt>
                <c:pt idx="28">
                  <c:v>42795</c:v>
                </c:pt>
                <c:pt idx="29">
                  <c:v>42887</c:v>
                </c:pt>
                <c:pt idx="30">
                  <c:v>42979</c:v>
                </c:pt>
                <c:pt idx="31">
                  <c:v>43070</c:v>
                </c:pt>
                <c:pt idx="32">
                  <c:v>43160</c:v>
                </c:pt>
                <c:pt idx="33">
                  <c:v>43252</c:v>
                </c:pt>
                <c:pt idx="34">
                  <c:v>43344</c:v>
                </c:pt>
                <c:pt idx="35">
                  <c:v>43435</c:v>
                </c:pt>
                <c:pt idx="36">
                  <c:v>43525</c:v>
                </c:pt>
                <c:pt idx="37">
                  <c:v>43617</c:v>
                </c:pt>
                <c:pt idx="38">
                  <c:v>43709</c:v>
                </c:pt>
                <c:pt idx="39">
                  <c:v>43800</c:v>
                </c:pt>
              </c:numCache>
            </c:numRef>
          </c:cat>
          <c:val>
            <c:numRef>
              <c:f>'Petroleum - Gas Prices'!$F$49:$F$88</c:f>
              <c:numCache>
                <c:formatCode>"$"#,##0.00</c:formatCode>
                <c:ptCount val="40"/>
                <c:pt idx="0">
                  <c:v>3.94</c:v>
                </c:pt>
                <c:pt idx="1">
                  <c:v>4.09</c:v>
                </c:pt>
                <c:pt idx="2">
                  <c:v>3.99</c:v>
                </c:pt>
                <c:pt idx="3">
                  <c:v>3.91</c:v>
                </c:pt>
                <c:pt idx="4">
                  <c:v>4.05</c:v>
                </c:pt>
                <c:pt idx="5">
                  <c:v>4.1500000000000004</c:v>
                </c:pt>
                <c:pt idx="6">
                  <c:v>4.21</c:v>
                </c:pt>
                <c:pt idx="7">
                  <c:v>4.7</c:v>
                </c:pt>
                <c:pt idx="8">
                  <c:v>4.51</c:v>
                </c:pt>
                <c:pt idx="9">
                  <c:v>4.32</c:v>
                </c:pt>
                <c:pt idx="10">
                  <c:v>4.74</c:v>
                </c:pt>
                <c:pt idx="11">
                  <c:v>4.49</c:v>
                </c:pt>
                <c:pt idx="12">
                  <c:v>4.75</c:v>
                </c:pt>
                <c:pt idx="13">
                  <c:v>4.83</c:v>
                </c:pt>
                <c:pt idx="14">
                  <c:v>5.13</c:v>
                </c:pt>
                <c:pt idx="15">
                  <c:v>4.6100000000000003</c:v>
                </c:pt>
                <c:pt idx="16">
                  <c:v>5.01</c:v>
                </c:pt>
                <c:pt idx="17">
                  <c:v>4.6100000000000003</c:v>
                </c:pt>
                <c:pt idx="18">
                  <c:v>4.59</c:v>
                </c:pt>
                <c:pt idx="19">
                  <c:v>4.57</c:v>
                </c:pt>
                <c:pt idx="20">
                  <c:v>4.76</c:v>
                </c:pt>
                <c:pt idx="21">
                  <c:v>4.42</c:v>
                </c:pt>
                <c:pt idx="22">
                  <c:v>4.43</c:v>
                </c:pt>
                <c:pt idx="23">
                  <c:v>4.58</c:v>
                </c:pt>
                <c:pt idx="24">
                  <c:v>5.32</c:v>
                </c:pt>
                <c:pt idx="25">
                  <c:v>5.27</c:v>
                </c:pt>
                <c:pt idx="26">
                  <c:v>5.49</c:v>
                </c:pt>
                <c:pt idx="27">
                  <c:v>5.53</c:v>
                </c:pt>
                <c:pt idx="28">
                  <c:v>5.7450000000000001</c:v>
                </c:pt>
                <c:pt idx="29">
                  <c:v>5.9</c:v>
                </c:pt>
                <c:pt idx="30">
                  <c:v>6.01</c:v>
                </c:pt>
                <c:pt idx="31">
                  <c:v>6.02</c:v>
                </c:pt>
                <c:pt idx="32">
                  <c:v>6.19</c:v>
                </c:pt>
                <c:pt idx="33">
                  <c:v>6.38</c:v>
                </c:pt>
                <c:pt idx="34">
                  <c:v>5.9950000000000001</c:v>
                </c:pt>
                <c:pt idx="35">
                  <c:v>6.5449999999999999</c:v>
                </c:pt>
                <c:pt idx="36">
                  <c:v>7</c:v>
                </c:pt>
                <c:pt idx="37">
                  <c:v>7</c:v>
                </c:pt>
                <c:pt idx="38">
                  <c:v>7.1</c:v>
                </c:pt>
                <c:pt idx="39">
                  <c:v>7</c:v>
                </c:pt>
              </c:numCache>
            </c:numRef>
          </c:val>
          <c:smooth val="0"/>
          <c:extLst>
            <c:ext xmlns:c16="http://schemas.microsoft.com/office/drawing/2014/chart" uri="{C3380CC4-5D6E-409C-BE32-E72D297353CC}">
              <c16:uniqueId val="{00000001-80C0-40EA-AE74-DC6A70CD0D31}"/>
            </c:ext>
          </c:extLst>
        </c:ser>
        <c:dLbls>
          <c:showLegendKey val="0"/>
          <c:showVal val="0"/>
          <c:showCatName val="0"/>
          <c:showSerName val="0"/>
          <c:showPercent val="0"/>
          <c:showBubbleSize val="0"/>
        </c:dLbls>
        <c:smooth val="0"/>
        <c:axId val="133504000"/>
        <c:axId val="133505792"/>
      </c:lineChart>
      <c:dateAx>
        <c:axId val="133504000"/>
        <c:scaling>
          <c:orientation val="minMax"/>
          <c:min val="40603"/>
        </c:scaling>
        <c:delete val="0"/>
        <c:axPos val="b"/>
        <c:numFmt formatCode="mmm\-yy" sourceLinked="0"/>
        <c:majorTickMark val="out"/>
        <c:minorTickMark val="none"/>
        <c:tickLblPos val="nextTo"/>
        <c:txPr>
          <a:bodyPr rot="-2700000" vert="horz"/>
          <a:lstStyle/>
          <a:p>
            <a:pPr>
              <a:defRPr/>
            </a:pPr>
            <a:endParaRPr lang="en-US"/>
          </a:p>
        </c:txPr>
        <c:crossAx val="133505792"/>
        <c:crossesAt val="0"/>
        <c:auto val="1"/>
        <c:lblOffset val="100"/>
        <c:baseTimeUnit val="months"/>
        <c:majorUnit val="3"/>
        <c:majorTimeUnit val="months"/>
      </c:dateAx>
      <c:valAx>
        <c:axId val="133505792"/>
        <c:scaling>
          <c:orientation val="minMax"/>
        </c:scaling>
        <c:delete val="0"/>
        <c:axPos val="l"/>
        <c:majorGridlines/>
        <c:title>
          <c:tx>
            <c:rich>
              <a:bodyPr rot="-5400000" vert="horz"/>
              <a:lstStyle/>
              <a:p>
                <a:pPr>
                  <a:defRPr/>
                </a:pPr>
                <a:r>
                  <a:rPr lang="en-AU"/>
                  <a:t>A$/Gigajoule</a:t>
                </a:r>
              </a:p>
            </c:rich>
          </c:tx>
          <c:layout>
            <c:manualLayout>
              <c:xMode val="edge"/>
              <c:yMode val="edge"/>
              <c:x val="9.1260122971057109E-3"/>
              <c:y val="0.42040660871860447"/>
            </c:manualLayout>
          </c:layout>
          <c:overlay val="0"/>
        </c:title>
        <c:numFmt formatCode="#,##0" sourceLinked="0"/>
        <c:majorTickMark val="out"/>
        <c:minorTickMark val="none"/>
        <c:tickLblPos val="nextTo"/>
        <c:txPr>
          <a:bodyPr rot="0" vert="horz"/>
          <a:lstStyle/>
          <a:p>
            <a:pPr>
              <a:defRPr/>
            </a:pPr>
            <a:endParaRPr lang="en-US"/>
          </a:p>
        </c:txPr>
        <c:crossAx val="133504000"/>
        <c:crosses val="autoZero"/>
        <c:crossBetween val="between"/>
        <c:majorUnit val="1"/>
      </c:valAx>
    </c:plotArea>
    <c:legend>
      <c:legendPos val="t"/>
      <c:overlay val="0"/>
    </c:legend>
    <c:plotVisOnly val="1"/>
    <c:dispBlanksAs val="gap"/>
    <c:showDLblsOverMax val="0"/>
  </c:chart>
  <c:printSettings>
    <c:headerFooter alignWithMargins="0"/>
    <c:pageMargins b="1" l="0.75000000000000988" r="0.75000000000000988" t="1" header="0.5" footer="0.5"/>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a:t>Tapis Crude</a:t>
            </a:r>
          </a:p>
          <a:p>
            <a:pPr>
              <a:defRPr/>
            </a:pPr>
            <a:r>
              <a:rPr lang="en-US" sz="1100"/>
              <a:t>Historic avg. Annual price</a:t>
            </a:r>
            <a:endParaRPr lang="en-AU" sz="1100"/>
          </a:p>
        </c:rich>
      </c:tx>
      <c:overlay val="0"/>
    </c:title>
    <c:autoTitleDeleted val="0"/>
    <c:plotArea>
      <c:layout>
        <c:manualLayout>
          <c:layoutTarget val="inner"/>
          <c:xMode val="edge"/>
          <c:yMode val="edge"/>
          <c:x val="0.15691646414361285"/>
          <c:y val="0.18963238735697302"/>
          <c:w val="0.81839910605964761"/>
          <c:h val="0.6069583465732612"/>
        </c:manualLayout>
      </c:layout>
      <c:lineChart>
        <c:grouping val="standard"/>
        <c:varyColors val="0"/>
        <c:ser>
          <c:idx val="0"/>
          <c:order val="0"/>
          <c:marker>
            <c:symbol val="none"/>
          </c:marker>
          <c:cat>
            <c:numRef>
              <c:f>'Petroleum - Oil Prices'!$F$8:$F$35</c:f>
              <c:numCache>
                <c:formatCode>General</c:formatCode>
                <c:ptCount val="28"/>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numCache>
            </c:numRef>
          </c:cat>
          <c:val>
            <c:numRef>
              <c:f>'Petroleum - Oil Prices'!$G$8:$G$35</c:f>
              <c:numCache>
                <c:formatCode>"$"#,##0.00</c:formatCode>
                <c:ptCount val="28"/>
                <c:pt idx="0">
                  <c:v>20.770833333333332</c:v>
                </c:pt>
                <c:pt idx="1">
                  <c:v>18.889166666666664</c:v>
                </c:pt>
                <c:pt idx="2">
                  <c:v>17.168333333333333</c:v>
                </c:pt>
                <c:pt idx="3">
                  <c:v>18.320833333333329</c:v>
                </c:pt>
                <c:pt idx="4">
                  <c:v>21.976666666666663</c:v>
                </c:pt>
                <c:pt idx="5">
                  <c:v>21.11</c:v>
                </c:pt>
                <c:pt idx="6">
                  <c:v>13.869166666666667</c:v>
                </c:pt>
                <c:pt idx="7">
                  <c:v>18.857499999999998</c:v>
                </c:pt>
                <c:pt idx="8">
                  <c:v>29.802499999999998</c:v>
                </c:pt>
                <c:pt idx="9">
                  <c:v>25.319166666666664</c:v>
                </c:pt>
                <c:pt idx="10">
                  <c:v>25.678333333333331</c:v>
                </c:pt>
                <c:pt idx="11">
                  <c:v>30.077499999999997</c:v>
                </c:pt>
                <c:pt idx="12">
                  <c:v>40.995000000000005</c:v>
                </c:pt>
                <c:pt idx="13">
                  <c:v>57.789166666666667</c:v>
                </c:pt>
                <c:pt idx="14">
                  <c:v>69.603333333333339</c:v>
                </c:pt>
                <c:pt idx="15">
                  <c:v>78.184999999999988</c:v>
                </c:pt>
                <c:pt idx="16">
                  <c:v>103.00583333333334</c:v>
                </c:pt>
                <c:pt idx="17">
                  <c:v>65.173333333333332</c:v>
                </c:pt>
                <c:pt idx="18">
                  <c:v>84.006666666666675</c:v>
                </c:pt>
                <c:pt idx="19">
                  <c:v>117.91666666666667</c:v>
                </c:pt>
                <c:pt idx="20">
                  <c:v>118.13499999999999</c:v>
                </c:pt>
                <c:pt idx="21">
                  <c:v>115.15666666666665</c:v>
                </c:pt>
                <c:pt idx="22">
                  <c:v>103.81749999999998</c:v>
                </c:pt>
                <c:pt idx="23">
                  <c:v>54.357500000000009</c:v>
                </c:pt>
                <c:pt idx="24">
                  <c:v>45.410833333333329</c:v>
                </c:pt>
                <c:pt idx="25">
                  <c:v>55.634166666666665</c:v>
                </c:pt>
                <c:pt idx="26">
                  <c:v>72.898333333333326</c:v>
                </c:pt>
                <c:pt idx="27">
                  <c:v>66.423333333333332</c:v>
                </c:pt>
              </c:numCache>
            </c:numRef>
          </c:val>
          <c:smooth val="0"/>
          <c:extLst>
            <c:ext xmlns:c16="http://schemas.microsoft.com/office/drawing/2014/chart" uri="{C3380CC4-5D6E-409C-BE32-E72D297353CC}">
              <c16:uniqueId val="{00000000-C8DB-401B-975E-60C6D5C74ECA}"/>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WA Treasury Corporation</a:t>
                </a:r>
              </a:p>
            </c:rich>
          </c:tx>
          <c:layout>
            <c:manualLayout>
              <c:xMode val="edge"/>
              <c:yMode val="edge"/>
              <c:x val="0"/>
              <c:y val="0.94793328605621074"/>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 val="autoZero"/>
        <c:auto val="0"/>
        <c:lblAlgn val="ctr"/>
        <c:lblOffset val="100"/>
        <c:tickLblSkip val="1"/>
        <c:tickMarkSkip val="1"/>
        <c:noMultiLvlLbl val="1"/>
      </c:catAx>
      <c:valAx>
        <c:axId val="130790144"/>
        <c:scaling>
          <c:orientation val="minMax"/>
        </c:scaling>
        <c:delete val="0"/>
        <c:axPos val="l"/>
        <c:majorGridlines/>
        <c:title>
          <c:tx>
            <c:rich>
              <a:bodyPr rot="-5400000" vert="horz"/>
              <a:lstStyle/>
              <a:p>
                <a:pPr>
                  <a:defRPr/>
                </a:pPr>
                <a:r>
                  <a:rPr lang="en-AU"/>
                  <a:t>US$/bbl</a:t>
                </a:r>
              </a:p>
            </c:rich>
          </c:tx>
          <c:overlay val="0"/>
        </c:title>
        <c:numFmt formatCode="&quot;$&quot;#,##0.00" sourceLinked="1"/>
        <c:majorTickMark val="out"/>
        <c:minorTickMark val="none"/>
        <c:tickLblPos val="nextTo"/>
        <c:spPr>
          <a:ln/>
        </c:spPr>
        <c:crossAx val="130783872"/>
        <c:crosses val="autoZero"/>
        <c:crossBetween val="between"/>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Tapis Crude</a:t>
            </a:r>
          </a:p>
          <a:p>
            <a:pPr>
              <a:defRPr/>
            </a:pPr>
            <a:r>
              <a:rPr lang="en-AU" sz="1100"/>
              <a:t>Monthly price, past 5 years</a:t>
            </a:r>
          </a:p>
        </c:rich>
      </c:tx>
      <c:overlay val="0"/>
    </c:title>
    <c:autoTitleDeleted val="0"/>
    <c:plotArea>
      <c:layout/>
      <c:lineChart>
        <c:grouping val="standard"/>
        <c:varyColors val="0"/>
        <c:ser>
          <c:idx val="0"/>
          <c:order val="0"/>
          <c:tx>
            <c:strRef>
              <c:f>'Petroleum - Oil Prices'!$B$7</c:f>
              <c:strCache>
                <c:ptCount val="1"/>
                <c:pt idx="0">
                  <c:v>Price (US$/bbl)</c:v>
                </c:pt>
              </c:strCache>
            </c:strRef>
          </c:tx>
          <c:marker>
            <c:symbol val="none"/>
          </c:marker>
          <c:cat>
            <c:numRef>
              <c:f>'Data - Monthly Commodity Prices'!$AY$9:$AY$68</c:f>
              <c:numCache>
                <c:formatCode>General</c:formatCode>
                <c:ptCount val="60"/>
                <c:pt idx="2" formatCode="mmm\-yy">
                  <c:v>42064</c:v>
                </c:pt>
                <c:pt idx="5" formatCode="mmm\-yy">
                  <c:v>42156</c:v>
                </c:pt>
                <c:pt idx="8" formatCode="mmm\-yy">
                  <c:v>42248</c:v>
                </c:pt>
                <c:pt idx="11" formatCode="mmm\-yy">
                  <c:v>42339</c:v>
                </c:pt>
                <c:pt idx="14" formatCode="mmm\-yy">
                  <c:v>42430</c:v>
                </c:pt>
                <c:pt idx="17" formatCode="mmm\-yy">
                  <c:v>42522</c:v>
                </c:pt>
                <c:pt idx="20" formatCode="mmm\-yy">
                  <c:v>42614</c:v>
                </c:pt>
                <c:pt idx="23" formatCode="mmm\-yy">
                  <c:v>42705</c:v>
                </c:pt>
                <c:pt idx="26" formatCode="mmm\-yy">
                  <c:v>42795</c:v>
                </c:pt>
                <c:pt idx="29" formatCode="mmm\-yy">
                  <c:v>42887</c:v>
                </c:pt>
                <c:pt idx="32" formatCode="mmm\-yy">
                  <c:v>42979</c:v>
                </c:pt>
                <c:pt idx="35" formatCode="mmm\-yy">
                  <c:v>43070</c:v>
                </c:pt>
                <c:pt idx="38" formatCode="mmm\-yy">
                  <c:v>43160</c:v>
                </c:pt>
                <c:pt idx="41" formatCode="mmm\-yy">
                  <c:v>43252</c:v>
                </c:pt>
                <c:pt idx="44" formatCode="mmm\-yy">
                  <c:v>43344</c:v>
                </c:pt>
                <c:pt idx="47" formatCode="mmm\-yy">
                  <c:v>43435</c:v>
                </c:pt>
                <c:pt idx="50" formatCode="mmm\-yy">
                  <c:v>43525</c:v>
                </c:pt>
                <c:pt idx="53" formatCode="mmm\-yy">
                  <c:v>43617</c:v>
                </c:pt>
                <c:pt idx="56" formatCode="mmm\-yy">
                  <c:v>43709</c:v>
                </c:pt>
                <c:pt idx="59" formatCode="mmm\-yy">
                  <c:v>43800</c:v>
                </c:pt>
              </c:numCache>
            </c:numRef>
          </c:cat>
          <c:val>
            <c:numRef>
              <c:f>'Petroleum - Oil Prices'!$B$8:$B$67</c:f>
              <c:numCache>
                <c:formatCode>"$"#,##0.00</c:formatCode>
                <c:ptCount val="60"/>
                <c:pt idx="0">
                  <c:v>50.28</c:v>
                </c:pt>
                <c:pt idx="1">
                  <c:v>59.79</c:v>
                </c:pt>
                <c:pt idx="2">
                  <c:v>58.28</c:v>
                </c:pt>
                <c:pt idx="3">
                  <c:v>61.74</c:v>
                </c:pt>
                <c:pt idx="4">
                  <c:v>67.25</c:v>
                </c:pt>
                <c:pt idx="5">
                  <c:v>64.989999999999995</c:v>
                </c:pt>
                <c:pt idx="6">
                  <c:v>58.7</c:v>
                </c:pt>
                <c:pt idx="7">
                  <c:v>49.23</c:v>
                </c:pt>
                <c:pt idx="8">
                  <c:v>49.09</c:v>
                </c:pt>
                <c:pt idx="9">
                  <c:v>49</c:v>
                </c:pt>
                <c:pt idx="10">
                  <c:v>45.11</c:v>
                </c:pt>
                <c:pt idx="11">
                  <c:v>38.83</c:v>
                </c:pt>
                <c:pt idx="12">
                  <c:v>32.299999999999997</c:v>
                </c:pt>
                <c:pt idx="13">
                  <c:v>35.08</c:v>
                </c:pt>
                <c:pt idx="14">
                  <c:v>40.99</c:v>
                </c:pt>
                <c:pt idx="15">
                  <c:v>43.73</c:v>
                </c:pt>
                <c:pt idx="16">
                  <c:v>48.53</c:v>
                </c:pt>
                <c:pt idx="17">
                  <c:v>49.98</c:v>
                </c:pt>
                <c:pt idx="18">
                  <c:v>45.84</c:v>
                </c:pt>
                <c:pt idx="19">
                  <c:v>46.4</c:v>
                </c:pt>
                <c:pt idx="20">
                  <c:v>46.87</c:v>
                </c:pt>
                <c:pt idx="21">
                  <c:v>51.24</c:v>
                </c:pt>
                <c:pt idx="22">
                  <c:v>48.22</c:v>
                </c:pt>
                <c:pt idx="23">
                  <c:v>55.75</c:v>
                </c:pt>
                <c:pt idx="24">
                  <c:v>56.79</c:v>
                </c:pt>
                <c:pt idx="25">
                  <c:v>57.28</c:v>
                </c:pt>
                <c:pt idx="26">
                  <c:v>53.85</c:v>
                </c:pt>
                <c:pt idx="27">
                  <c:v>54.54</c:v>
                </c:pt>
                <c:pt idx="28">
                  <c:v>51.87</c:v>
                </c:pt>
                <c:pt idx="29">
                  <c:v>47.88</c:v>
                </c:pt>
                <c:pt idx="30">
                  <c:v>48.77</c:v>
                </c:pt>
                <c:pt idx="31">
                  <c:v>51.64</c:v>
                </c:pt>
                <c:pt idx="32">
                  <c:v>55.91</c:v>
                </c:pt>
                <c:pt idx="33">
                  <c:v>58.72</c:v>
                </c:pt>
                <c:pt idx="34">
                  <c:v>64.37</c:v>
                </c:pt>
                <c:pt idx="35">
                  <c:v>65.989999999999995</c:v>
                </c:pt>
                <c:pt idx="36">
                  <c:v>70.72</c:v>
                </c:pt>
                <c:pt idx="37">
                  <c:v>67.489999999999995</c:v>
                </c:pt>
                <c:pt idx="38">
                  <c:v>67.87</c:v>
                </c:pt>
                <c:pt idx="39">
                  <c:v>73.02</c:v>
                </c:pt>
                <c:pt idx="40">
                  <c:v>78.41</c:v>
                </c:pt>
                <c:pt idx="41">
                  <c:v>76.91</c:v>
                </c:pt>
                <c:pt idx="42">
                  <c:v>76.33</c:v>
                </c:pt>
                <c:pt idx="43">
                  <c:v>74.77</c:v>
                </c:pt>
                <c:pt idx="44">
                  <c:v>80.540000000000006</c:v>
                </c:pt>
                <c:pt idx="45">
                  <c:v>82.44</c:v>
                </c:pt>
                <c:pt idx="46">
                  <c:v>67.38</c:v>
                </c:pt>
                <c:pt idx="47">
                  <c:v>58.9</c:v>
                </c:pt>
                <c:pt idx="48">
                  <c:v>60.95</c:v>
                </c:pt>
                <c:pt idx="49">
                  <c:v>65.84</c:v>
                </c:pt>
                <c:pt idx="50">
                  <c:v>68.11</c:v>
                </c:pt>
                <c:pt idx="51">
                  <c:v>72.77</c:v>
                </c:pt>
                <c:pt idx="52">
                  <c:v>72.239999999999995</c:v>
                </c:pt>
                <c:pt idx="53">
                  <c:v>64.95</c:v>
                </c:pt>
                <c:pt idx="54">
                  <c:v>66.09</c:v>
                </c:pt>
                <c:pt idx="55">
                  <c:v>61.46</c:v>
                </c:pt>
                <c:pt idx="56">
                  <c:v>64.05</c:v>
                </c:pt>
                <c:pt idx="57">
                  <c:v>60.86</c:v>
                </c:pt>
                <c:pt idx="58">
                  <c:v>64.239999999999995</c:v>
                </c:pt>
                <c:pt idx="59">
                  <c:v>75.52</c:v>
                </c:pt>
              </c:numCache>
            </c:numRef>
          </c:val>
          <c:smooth val="0"/>
          <c:extLst>
            <c:ext xmlns:c16="http://schemas.microsoft.com/office/drawing/2014/chart" uri="{C3380CC4-5D6E-409C-BE32-E72D297353CC}">
              <c16:uniqueId val="{00000000-9512-4A14-9970-BD0E0093FB49}"/>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US$/bbl</a:t>
                </a:r>
              </a:p>
            </c:rich>
          </c:tx>
          <c:overlay val="0"/>
        </c:title>
        <c:numFmt formatCode="#,##0" sourceLinked="0"/>
        <c:majorTickMark val="out"/>
        <c:minorTickMark val="none"/>
        <c:tickLblPos val="nextTo"/>
        <c:crossAx val="134163072"/>
        <c:crosses val="autoZero"/>
        <c:crossBetween val="between"/>
      </c:valAx>
      <c:catAx>
        <c:axId val="134163072"/>
        <c:scaling>
          <c:orientation val="minMax"/>
        </c:scaling>
        <c:delete val="0"/>
        <c:axPos val="b"/>
        <c:title>
          <c:tx>
            <c:rich>
              <a:bodyPr/>
              <a:lstStyle/>
              <a:p>
                <a:pPr>
                  <a:defRPr sz="900"/>
                </a:pPr>
                <a:r>
                  <a:rPr lang="en-AU" sz="900"/>
                  <a:t>Source:  WA Treasury Corporation</a:t>
                </a:r>
              </a:p>
            </c:rich>
          </c:tx>
          <c:layout>
            <c:manualLayout>
              <c:xMode val="edge"/>
              <c:yMode val="edge"/>
              <c:x val="0"/>
              <c:y val="0.95537373296375794"/>
            </c:manualLayout>
          </c:layout>
          <c:overlay val="0"/>
        </c:title>
        <c:numFmt formatCode="General" sourceLinked="1"/>
        <c:majorTickMark val="out"/>
        <c:minorTickMark val="none"/>
        <c:tickLblPos val="nextTo"/>
        <c:crossAx val="134161536"/>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5"/>
    </mc:Choice>
    <mc:Fallback>
      <c:style val="15"/>
    </mc:Fallback>
  </mc:AlternateContent>
  <c:chart>
    <c:title>
      <c:tx>
        <c:strRef>
          <c:f>'Petroleum - Exports'!$W$1</c:f>
          <c:strCache>
            <c:ptCount val="1"/>
            <c:pt idx="0">
              <c:v>Western Australian Petroleum Exports 2019
Total Value: $37,091,306,998</c:v>
            </c:pt>
          </c:strCache>
        </c:strRef>
      </c:tx>
      <c:overlay val="0"/>
    </c:title>
    <c:autoTitleDeleted val="0"/>
    <c:plotArea>
      <c:layout>
        <c:manualLayout>
          <c:layoutTarget val="inner"/>
          <c:xMode val="edge"/>
          <c:yMode val="edge"/>
          <c:x val="0.28740048988312072"/>
          <c:y val="0.28959079907435026"/>
          <c:w val="0.39128258411259803"/>
          <c:h val="0.63860079244116286"/>
        </c:manualLayout>
      </c:layout>
      <c:pieChart>
        <c:varyColors val="1"/>
        <c:ser>
          <c:idx val="0"/>
          <c:order val="0"/>
          <c:tx>
            <c:v>Exports</c:v>
          </c:tx>
          <c:dPt>
            <c:idx val="0"/>
            <c:bubble3D val="0"/>
            <c:extLst>
              <c:ext xmlns:c16="http://schemas.microsoft.com/office/drawing/2014/chart" uri="{C3380CC4-5D6E-409C-BE32-E72D297353CC}">
                <c16:uniqueId val="{00000000-BB5D-46A8-92B9-7E28F0CD0577}"/>
              </c:ext>
            </c:extLst>
          </c:dPt>
          <c:dPt>
            <c:idx val="1"/>
            <c:bubble3D val="0"/>
            <c:extLst>
              <c:ext xmlns:c16="http://schemas.microsoft.com/office/drawing/2014/chart" uri="{C3380CC4-5D6E-409C-BE32-E72D297353CC}">
                <c16:uniqueId val="{00000001-BB5D-46A8-92B9-7E28F0CD0577}"/>
              </c:ext>
            </c:extLst>
          </c:dPt>
          <c:dPt>
            <c:idx val="2"/>
            <c:bubble3D val="0"/>
            <c:extLst>
              <c:ext xmlns:c16="http://schemas.microsoft.com/office/drawing/2014/chart" uri="{C3380CC4-5D6E-409C-BE32-E72D297353CC}">
                <c16:uniqueId val="{00000002-BB5D-46A8-92B9-7E28F0CD0577}"/>
              </c:ext>
            </c:extLst>
          </c:dPt>
          <c:dPt>
            <c:idx val="3"/>
            <c:bubble3D val="0"/>
            <c:extLst>
              <c:ext xmlns:c16="http://schemas.microsoft.com/office/drawing/2014/chart" uri="{C3380CC4-5D6E-409C-BE32-E72D297353CC}">
                <c16:uniqueId val="{00000003-BB5D-46A8-92B9-7E28F0CD0577}"/>
              </c:ext>
            </c:extLst>
          </c:dPt>
          <c:dPt>
            <c:idx val="4"/>
            <c:bubble3D val="0"/>
            <c:extLst>
              <c:ext xmlns:c16="http://schemas.microsoft.com/office/drawing/2014/chart" uri="{C3380CC4-5D6E-409C-BE32-E72D297353CC}">
                <c16:uniqueId val="{00000004-BB5D-46A8-92B9-7E28F0CD0577}"/>
              </c:ext>
            </c:extLst>
          </c:dPt>
          <c:dPt>
            <c:idx val="5"/>
            <c:bubble3D val="0"/>
            <c:extLst>
              <c:ext xmlns:c16="http://schemas.microsoft.com/office/drawing/2014/chart" uri="{C3380CC4-5D6E-409C-BE32-E72D297353CC}">
                <c16:uniqueId val="{00000005-BB5D-46A8-92B9-7E28F0CD0577}"/>
              </c:ext>
            </c:extLst>
          </c:dPt>
          <c:dPt>
            <c:idx val="6"/>
            <c:bubble3D val="0"/>
            <c:extLst>
              <c:ext xmlns:c16="http://schemas.microsoft.com/office/drawing/2014/chart" uri="{C3380CC4-5D6E-409C-BE32-E72D297353CC}">
                <c16:uniqueId val="{00000006-BB5D-46A8-92B9-7E28F0CD0577}"/>
              </c:ext>
            </c:extLst>
          </c:dPt>
          <c:dPt>
            <c:idx val="7"/>
            <c:bubble3D val="0"/>
            <c:extLst>
              <c:ext xmlns:c16="http://schemas.microsoft.com/office/drawing/2014/chart" uri="{C3380CC4-5D6E-409C-BE32-E72D297353CC}">
                <c16:uniqueId val="{00000007-BB5D-46A8-92B9-7E28F0CD0577}"/>
              </c:ext>
            </c:extLst>
          </c:dPt>
          <c:dPt>
            <c:idx val="8"/>
            <c:bubble3D val="0"/>
            <c:extLst>
              <c:ext xmlns:c16="http://schemas.microsoft.com/office/drawing/2014/chart" uri="{C3380CC4-5D6E-409C-BE32-E72D297353CC}">
                <c16:uniqueId val="{00000008-BB5D-46A8-92B9-7E28F0CD0577}"/>
              </c:ext>
            </c:extLst>
          </c:dPt>
          <c:dPt>
            <c:idx val="9"/>
            <c:bubble3D val="0"/>
            <c:extLst>
              <c:ext xmlns:c16="http://schemas.microsoft.com/office/drawing/2014/chart" uri="{C3380CC4-5D6E-409C-BE32-E72D297353CC}">
                <c16:uniqueId val="{00000009-BB5D-46A8-92B9-7E28F0CD0577}"/>
              </c:ext>
            </c:extLst>
          </c:dPt>
          <c:dPt>
            <c:idx val="10"/>
            <c:bubble3D val="0"/>
            <c:extLst>
              <c:ext xmlns:c16="http://schemas.microsoft.com/office/drawing/2014/chart" uri="{C3380CC4-5D6E-409C-BE32-E72D297353CC}">
                <c16:uniqueId val="{0000000A-BB5D-46A8-92B9-7E28F0CD0577}"/>
              </c:ext>
            </c:extLst>
          </c:dPt>
          <c:dLbls>
            <c:dLbl>
              <c:idx val="0"/>
              <c:layout>
                <c:manualLayout>
                  <c:x val="6.3196257860454241E-2"/>
                  <c:y val="-0.21290842796181356"/>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5D-46A8-92B9-7E28F0CD0577}"/>
                </c:ext>
              </c:extLst>
            </c:dLbl>
            <c:dLbl>
              <c:idx val="1"/>
              <c:layout>
                <c:manualLayout>
                  <c:x val="-5.1004928040592701E-2"/>
                  <c:y val="2.818083131409300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5D-46A8-92B9-7E28F0CD0577}"/>
                </c:ext>
              </c:extLst>
            </c:dLbl>
            <c:dLbl>
              <c:idx val="2"/>
              <c:layout>
                <c:manualLayout>
                  <c:x val="-5.1467771615988384E-3"/>
                  <c:y val="-3.8622312844002957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5D-46A8-92B9-7E28F0CD0577}"/>
                </c:ext>
              </c:extLst>
            </c:dLbl>
            <c:dLbl>
              <c:idx val="3"/>
              <c:layout>
                <c:manualLayout>
                  <c:x val="7.2808983137839095E-2"/>
                  <c:y val="-1.741082312816761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5D-46A8-92B9-7E28F0CD0577}"/>
                </c:ext>
              </c:extLst>
            </c:dLbl>
            <c:dLbl>
              <c:idx val="4"/>
              <c:layout>
                <c:manualLayout>
                  <c:x val="4.3477085237159187E-2"/>
                  <c:y val="-2.910402935491911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5D-46A8-92B9-7E28F0CD0577}"/>
                </c:ext>
              </c:extLst>
            </c:dLbl>
            <c:dLbl>
              <c:idx val="5"/>
              <c:layout>
                <c:manualLayout>
                  <c:x val="5.8438883533834897E-2"/>
                  <c:y val="-1.950075389512487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5D-46A8-92B9-7E28F0CD0577}"/>
                </c:ext>
              </c:extLst>
            </c:dLbl>
            <c:dLbl>
              <c:idx val="6"/>
              <c:layout>
                <c:manualLayout>
                  <c:x val="7.8282070861968964E-2"/>
                  <c:y val="-1.92119991228392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5D-46A8-92B9-7E28F0CD0577}"/>
                </c:ext>
              </c:extLst>
            </c:dLbl>
            <c:dLbl>
              <c:idx val="7"/>
              <c:layout>
                <c:manualLayout>
                  <c:x val="8.8964443832438275E-2"/>
                  <c:y val="-1.9332949235004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B5D-46A8-92B9-7E28F0CD0577}"/>
                </c:ext>
              </c:extLst>
            </c:dLbl>
            <c:dLbl>
              <c:idx val="8"/>
              <c:layout>
                <c:manualLayout>
                  <c:x val="9.1520515420469101E-2"/>
                  <c:y val="1.704524869004763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B5D-46A8-92B9-7E28F0CD0577}"/>
                </c:ext>
              </c:extLst>
            </c:dLbl>
            <c:dLbl>
              <c:idx val="9"/>
              <c:layout>
                <c:manualLayout>
                  <c:x val="8.2670906200317959E-2"/>
                  <c:y val="6.7954621915125163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1886592474827768"/>
                      <c:h val="9.6004151530877005E-2"/>
                    </c:manualLayout>
                  </c15:layout>
                </c:ext>
                <c:ext xmlns:c16="http://schemas.microsoft.com/office/drawing/2014/chart" uri="{C3380CC4-5D6E-409C-BE32-E72D297353CC}">
                  <c16:uniqueId val="{00000009-BB5D-46A8-92B9-7E28F0CD0577}"/>
                </c:ext>
              </c:extLst>
            </c:dLbl>
            <c:dLbl>
              <c:idx val="10"/>
              <c:layout>
                <c:manualLayout>
                  <c:x val="4.8444767138606883E-2"/>
                  <c:y val="9.821503240999908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5D-46A8-92B9-7E28F0CD0577}"/>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'Petroleum - Exports'!$A$10:$A$20</c:f>
              <c:strCache>
                <c:ptCount val="11"/>
                <c:pt idx="0">
                  <c:v>Japan</c:v>
                </c:pt>
                <c:pt idx="1">
                  <c:v>China</c:v>
                </c:pt>
                <c:pt idx="2">
                  <c:v>Singapore</c:v>
                </c:pt>
                <c:pt idx="3">
                  <c:v>Korea, Republic Of</c:v>
                </c:pt>
                <c:pt idx="4">
                  <c:v>Malaysia</c:v>
                </c:pt>
                <c:pt idx="5">
                  <c:v>Taiwan, Province Of China</c:v>
                </c:pt>
                <c:pt idx="6">
                  <c:v>Thailand</c:v>
                </c:pt>
                <c:pt idx="7">
                  <c:v>Indonesia</c:v>
                </c:pt>
                <c:pt idx="8">
                  <c:v>India</c:v>
                </c:pt>
                <c:pt idx="9">
                  <c:v>United Arab Emirates</c:v>
                </c:pt>
                <c:pt idx="10">
                  <c:v>Other</c:v>
                </c:pt>
              </c:strCache>
            </c:strRef>
          </c:cat>
          <c:val>
            <c:numRef>
              <c:f>'Petroleum - Exports'!$D$10:$D$20</c:f>
              <c:numCache>
                <c:formatCode>0.0%</c:formatCode>
                <c:ptCount val="11"/>
                <c:pt idx="0">
                  <c:v>0.41063164652227868</c:v>
                </c:pt>
                <c:pt idx="1">
                  <c:v>0.16611874324546699</c:v>
                </c:pt>
                <c:pt idx="2">
                  <c:v>0.16093194897919</c:v>
                </c:pt>
                <c:pt idx="3">
                  <c:v>8.0077929931634553E-2</c:v>
                </c:pt>
                <c:pt idx="4">
                  <c:v>5.1581346579768539E-2</c:v>
                </c:pt>
                <c:pt idx="5">
                  <c:v>3.7631193698122158E-2</c:v>
                </c:pt>
                <c:pt idx="6">
                  <c:v>3.0288942498985807E-2</c:v>
                </c:pt>
                <c:pt idx="7">
                  <c:v>2.3565625508483255E-2</c:v>
                </c:pt>
                <c:pt idx="8">
                  <c:v>1.2564218391726726E-2</c:v>
                </c:pt>
                <c:pt idx="9">
                  <c:v>1.1308295361289512E-2</c:v>
                </c:pt>
                <c:pt idx="10">
                  <c:v>1.5300109283053979E-2</c:v>
                </c:pt>
              </c:numCache>
            </c:numRef>
          </c:val>
          <c:extLst>
            <c:ext xmlns:c16="http://schemas.microsoft.com/office/drawing/2014/chart" uri="{C3380CC4-5D6E-409C-BE32-E72D297353CC}">
              <c16:uniqueId val="{0000000B-BB5D-46A8-92B9-7E28F0CD0577}"/>
            </c:ext>
          </c:extLst>
        </c:ser>
        <c:dLbls>
          <c:showLegendKey val="0"/>
          <c:showVal val="1"/>
          <c:showCatName val="1"/>
          <c:showSerName val="0"/>
          <c:showPercent val="0"/>
          <c:showBubbleSize val="0"/>
          <c:showLeaderLines val="1"/>
        </c:dLbls>
        <c:firstSliceAng val="120"/>
      </c:pieChart>
    </c:plotArea>
    <c:plotVisOnly val="1"/>
    <c:dispBlanksAs val="gap"/>
    <c:showDLblsOverMax val="0"/>
  </c:chart>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br>
              <a:rPr lang="en-AU"/>
            </a:br>
            <a:r>
              <a:rPr lang="en-AU" sz="1100"/>
              <a:t>Western Australia vs Rest of Australia</a:t>
            </a:r>
            <a:endParaRPr lang="en-AU"/>
          </a:p>
        </c:rich>
      </c:tx>
      <c:layout>
        <c:manualLayout>
          <c:xMode val="edge"/>
          <c:yMode val="edge"/>
          <c:x val="0.34519830335032253"/>
          <c:y val="3.7221032764162908E-2"/>
        </c:manualLayout>
      </c:layout>
      <c:overlay val="0"/>
    </c:title>
    <c:autoTitleDeleted val="0"/>
    <c:plotArea>
      <c:layout>
        <c:manualLayout>
          <c:layoutTarget val="inner"/>
          <c:xMode val="edge"/>
          <c:yMode val="edge"/>
          <c:x val="8.2633137604100043E-2"/>
          <c:y val="0.24354855643044621"/>
          <c:w val="0.85154134417309546"/>
          <c:h val="0.60794284057827075"/>
        </c:manualLayout>
      </c:layout>
      <c:barChart>
        <c:barDir val="col"/>
        <c:grouping val="stacked"/>
        <c:varyColors val="0"/>
        <c:ser>
          <c:idx val="0"/>
          <c:order val="0"/>
          <c:tx>
            <c:strRef>
              <c:f>'Petroleum - WA vs Australia'!$B$6</c:f>
              <c:strCache>
                <c:ptCount val="1"/>
                <c:pt idx="0">
                  <c:v>Western Australia (GL)</c:v>
                </c:pt>
              </c:strCache>
            </c:strRef>
          </c:tx>
          <c:invertIfNegative val="0"/>
          <c:cat>
            <c:numRef>
              <c:extLst>
                <c:ext xmlns:c15="http://schemas.microsoft.com/office/drawing/2012/chart" uri="{02D57815-91ED-43cb-92C2-25804820EDAC}">
                  <c15:fullRef>
                    <c15:sqref>'Petroleum - WA vs Australia'!$A$7:$A$61</c15:sqref>
                  </c15:fullRef>
                </c:ext>
              </c:extLst>
              <c:f>'Petroleum - WA vs Australia'!$A$9:$A$61</c:f>
              <c:numCache>
                <c:formatCode>General</c:formatCode>
                <c:ptCount val="53"/>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numCache>
            </c:numRef>
          </c:cat>
          <c:val>
            <c:numRef>
              <c:extLst>
                <c:ext xmlns:c15="http://schemas.microsoft.com/office/drawing/2012/chart" uri="{02D57815-91ED-43cb-92C2-25804820EDAC}">
                  <c15:fullRef>
                    <c15:sqref>'Petroleum - WA vs Australia'!$B$7:$B$61</c15:sqref>
                  </c15:fullRef>
                </c:ext>
              </c:extLst>
              <c:f>'Petroleum - WA vs Australia'!$B$9:$B$61</c:f>
              <c:numCache>
                <c:formatCode>0.00</c:formatCode>
                <c:ptCount val="53"/>
                <c:pt idx="0">
                  <c:v>0.73855690000000007</c:v>
                </c:pt>
                <c:pt idx="1">
                  <c:v>1.691354</c:v>
                </c:pt>
                <c:pt idx="2">
                  <c:v>2.0883660000000002</c:v>
                </c:pt>
                <c:pt idx="3">
                  <c:v>2.6482829999999997</c:v>
                </c:pt>
                <c:pt idx="4">
                  <c:v>2.5990139999999999</c:v>
                </c:pt>
                <c:pt idx="5">
                  <c:v>2.454863</c:v>
                </c:pt>
                <c:pt idx="6">
                  <c:v>2.3218369999999999</c:v>
                </c:pt>
                <c:pt idx="7">
                  <c:v>2.1989830000000001</c:v>
                </c:pt>
                <c:pt idx="8">
                  <c:v>2.0499050000000003</c:v>
                </c:pt>
                <c:pt idx="9">
                  <c:v>1.776065</c:v>
                </c:pt>
                <c:pt idx="10">
                  <c:v>1.874762</c:v>
                </c:pt>
                <c:pt idx="11">
                  <c:v>1.822473</c:v>
                </c:pt>
                <c:pt idx="12">
                  <c:v>1.4239999999999999</c:v>
                </c:pt>
                <c:pt idx="13">
                  <c:v>1.6279999999999999</c:v>
                </c:pt>
                <c:pt idx="14">
                  <c:v>1.4419999999999999</c:v>
                </c:pt>
                <c:pt idx="15">
                  <c:v>1.2809999999999999</c:v>
                </c:pt>
                <c:pt idx="16">
                  <c:v>1.2649999999999999</c:v>
                </c:pt>
                <c:pt idx="17">
                  <c:v>1.3240000000000001</c:v>
                </c:pt>
                <c:pt idx="18">
                  <c:v>1.476</c:v>
                </c:pt>
                <c:pt idx="19">
                  <c:v>2.0299999999999998</c:v>
                </c:pt>
                <c:pt idx="20">
                  <c:v>2.6859999999999999</c:v>
                </c:pt>
                <c:pt idx="21">
                  <c:v>3.1869999999999998</c:v>
                </c:pt>
                <c:pt idx="22">
                  <c:v>3.867</c:v>
                </c:pt>
                <c:pt idx="23">
                  <c:v>6.92</c:v>
                </c:pt>
                <c:pt idx="24">
                  <c:v>7.0839999999999996</c:v>
                </c:pt>
                <c:pt idx="25">
                  <c:v>7.1070000000000002</c:v>
                </c:pt>
                <c:pt idx="26">
                  <c:v>6.1619999999999999</c:v>
                </c:pt>
                <c:pt idx="27">
                  <c:v>11.09408</c:v>
                </c:pt>
                <c:pt idx="28">
                  <c:v>12.51158</c:v>
                </c:pt>
                <c:pt idx="29">
                  <c:v>16.224634999999999</c:v>
                </c:pt>
                <c:pt idx="30">
                  <c:v>15.976610000000001</c:v>
                </c:pt>
                <c:pt idx="31">
                  <c:v>17.382999999999999</c:v>
                </c:pt>
                <c:pt idx="32">
                  <c:v>14.055568000000001</c:v>
                </c:pt>
                <c:pt idx="33">
                  <c:v>19.939762000000002</c:v>
                </c:pt>
                <c:pt idx="34">
                  <c:v>20.076323000000002</c:v>
                </c:pt>
                <c:pt idx="35">
                  <c:v>22.166976999999996</c:v>
                </c:pt>
                <c:pt idx="36">
                  <c:v>20.513078</c:v>
                </c:pt>
                <c:pt idx="37">
                  <c:v>17.702249000000002</c:v>
                </c:pt>
                <c:pt idx="38">
                  <c:v>19.058396999999999</c:v>
                </c:pt>
                <c:pt idx="39">
                  <c:v>17.562943000000001</c:v>
                </c:pt>
                <c:pt idx="40">
                  <c:v>19.051446000000002</c:v>
                </c:pt>
                <c:pt idx="41">
                  <c:v>19.049435000000003</c:v>
                </c:pt>
                <c:pt idx="42">
                  <c:v>18.739460999999999</c:v>
                </c:pt>
                <c:pt idx="43">
                  <c:v>21.920589</c:v>
                </c:pt>
                <c:pt idx="44">
                  <c:v>18.335720000000002</c:v>
                </c:pt>
                <c:pt idx="45">
                  <c:v>15.991191000000001</c:v>
                </c:pt>
                <c:pt idx="46">
                  <c:v>12.828248</c:v>
                </c:pt>
                <c:pt idx="47">
                  <c:v>12.524324309000001</c:v>
                </c:pt>
                <c:pt idx="48">
                  <c:v>14.973535984</c:v>
                </c:pt>
                <c:pt idx="49">
                  <c:v>12.270888789022798</c:v>
                </c:pt>
                <c:pt idx="50">
                  <c:v>11.54600424643619</c:v>
                </c:pt>
                <c:pt idx="51">
                  <c:v>12.422687324147216</c:v>
                </c:pt>
                <c:pt idx="52">
                  <c:v>18.366769518664384</c:v>
                </c:pt>
              </c:numCache>
            </c:numRef>
          </c:val>
          <c:extLst>
            <c:ext xmlns:c16="http://schemas.microsoft.com/office/drawing/2014/chart" uri="{C3380CC4-5D6E-409C-BE32-E72D297353CC}">
              <c16:uniqueId val="{00000000-3AE8-427B-B41D-3A814E57DB29}"/>
            </c:ext>
          </c:extLst>
        </c:ser>
        <c:ser>
          <c:idx val="1"/>
          <c:order val="1"/>
          <c:tx>
            <c:strRef>
              <c:f>'Petroleum - WA vs Australia'!$C$6</c:f>
              <c:strCache>
                <c:ptCount val="1"/>
                <c:pt idx="0">
                  <c:v>Rest of Australia (GL)</c:v>
                </c:pt>
              </c:strCache>
            </c:strRef>
          </c:tx>
          <c:invertIfNegative val="0"/>
          <c:cat>
            <c:numRef>
              <c:extLst>
                <c:ext xmlns:c15="http://schemas.microsoft.com/office/drawing/2012/chart" uri="{02D57815-91ED-43cb-92C2-25804820EDAC}">
                  <c15:fullRef>
                    <c15:sqref>'Petroleum - WA vs Australia'!$A$7:$A$61</c15:sqref>
                  </c15:fullRef>
                </c:ext>
              </c:extLst>
              <c:f>'Petroleum - WA vs Australia'!$A$9:$A$61</c:f>
              <c:numCache>
                <c:formatCode>General</c:formatCode>
                <c:ptCount val="53"/>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numCache>
            </c:numRef>
          </c:cat>
          <c:val>
            <c:numRef>
              <c:extLst>
                <c:ext xmlns:c15="http://schemas.microsoft.com/office/drawing/2012/chart" uri="{02D57815-91ED-43cb-92C2-25804820EDAC}">
                  <c15:fullRef>
                    <c15:sqref>'Petroleum - WA vs Australia'!$C$7:$C$61</c15:sqref>
                  </c15:fullRef>
                </c:ext>
              </c:extLst>
              <c:f>'Petroleum - WA vs Australia'!$C$9:$C$61</c:f>
              <c:numCache>
                <c:formatCode>0.00</c:formatCode>
                <c:ptCount val="53"/>
                <c:pt idx="0">
                  <c:v>0.46932610000000002</c:v>
                </c:pt>
                <c:pt idx="1">
                  <c:v>0.51414490000000002</c:v>
                </c:pt>
                <c:pt idx="2">
                  <c:v>0.41703750000000001</c:v>
                </c:pt>
                <c:pt idx="3">
                  <c:v>7.719716</c:v>
                </c:pt>
                <c:pt idx="4">
                  <c:v>15.35299</c:v>
                </c:pt>
                <c:pt idx="5">
                  <c:v>16.546130000000002</c:v>
                </c:pt>
                <c:pt idx="6">
                  <c:v>20.298159999999999</c:v>
                </c:pt>
                <c:pt idx="7">
                  <c:v>20.20402</c:v>
                </c:pt>
                <c:pt idx="8">
                  <c:v>21.78209</c:v>
                </c:pt>
                <c:pt idx="9">
                  <c:v>22.474930000000001</c:v>
                </c:pt>
                <c:pt idx="10">
                  <c:v>23.120240000000003</c:v>
                </c:pt>
                <c:pt idx="11">
                  <c:v>23.364529999999998</c:v>
                </c:pt>
                <c:pt idx="12">
                  <c:v>23.943999999999999</c:v>
                </c:pt>
                <c:pt idx="13">
                  <c:v>19.695</c:v>
                </c:pt>
                <c:pt idx="14">
                  <c:v>20.262</c:v>
                </c:pt>
                <c:pt idx="15">
                  <c:v>20.396999999999998</c:v>
                </c:pt>
                <c:pt idx="16">
                  <c:v>23.8</c:v>
                </c:pt>
                <c:pt idx="17">
                  <c:v>27.591000000000001</c:v>
                </c:pt>
                <c:pt idx="18">
                  <c:v>31.901</c:v>
                </c:pt>
                <c:pt idx="19">
                  <c:v>27.734000000000002</c:v>
                </c:pt>
                <c:pt idx="20">
                  <c:v>29.187999999999999</c:v>
                </c:pt>
                <c:pt idx="21">
                  <c:v>26.952000000000002</c:v>
                </c:pt>
                <c:pt idx="22">
                  <c:v>24.533999999999999</c:v>
                </c:pt>
                <c:pt idx="23">
                  <c:v>26.567</c:v>
                </c:pt>
                <c:pt idx="24">
                  <c:v>24.526</c:v>
                </c:pt>
                <c:pt idx="25">
                  <c:v>23.945</c:v>
                </c:pt>
                <c:pt idx="26">
                  <c:v>22.596</c:v>
                </c:pt>
                <c:pt idx="27">
                  <c:v>20.153919999999999</c:v>
                </c:pt>
                <c:pt idx="28">
                  <c:v>16.872420000000002</c:v>
                </c:pt>
                <c:pt idx="29">
                  <c:v>15.353365</c:v>
                </c:pt>
                <c:pt idx="30">
                  <c:v>16.927389999999999</c:v>
                </c:pt>
                <c:pt idx="31">
                  <c:v>13.651999999999999</c:v>
                </c:pt>
                <c:pt idx="32">
                  <c:v>16.036999999999999</c:v>
                </c:pt>
                <c:pt idx="33">
                  <c:v>20.478000000000002</c:v>
                </c:pt>
                <c:pt idx="34">
                  <c:v>16.702677000000001</c:v>
                </c:pt>
                <c:pt idx="35">
                  <c:v>13.944922999999999</c:v>
                </c:pt>
                <c:pt idx="36">
                  <c:v>9.5589230000000001</c:v>
                </c:pt>
                <c:pt idx="37">
                  <c:v>7.359886000000003</c:v>
                </c:pt>
                <c:pt idx="38">
                  <c:v>6.7048319999999997</c:v>
                </c:pt>
                <c:pt idx="39">
                  <c:v>8.4257999999999988</c:v>
                </c:pt>
                <c:pt idx="40">
                  <c:v>10.921000000000003</c:v>
                </c:pt>
                <c:pt idx="41">
                  <c:v>7.6799649999999993</c:v>
                </c:pt>
                <c:pt idx="42">
                  <c:v>5.8065390000000008</c:v>
                </c:pt>
                <c:pt idx="43">
                  <c:v>5.3974110000000017</c:v>
                </c:pt>
                <c:pt idx="44">
                  <c:v>5.5312799999999989</c:v>
                </c:pt>
                <c:pt idx="45">
                  <c:v>5.9488090000000007</c:v>
                </c:pt>
                <c:pt idx="46">
                  <c:v>6.1817520000000012</c:v>
                </c:pt>
                <c:pt idx="47">
                  <c:v>7.9256756909999986</c:v>
                </c:pt>
                <c:pt idx="48">
                  <c:v>3.6764640159999988</c:v>
                </c:pt>
                <c:pt idx="49">
                  <c:v>4.7191112109772</c:v>
                </c:pt>
                <c:pt idx="50">
                  <c:v>4.941995753563809</c:v>
                </c:pt>
                <c:pt idx="51">
                  <c:v>4.5173126758527857</c:v>
                </c:pt>
                <c:pt idx="52">
                  <c:v>4.1578304813356155</c:v>
                </c:pt>
              </c:numCache>
            </c:numRef>
          </c:val>
          <c:extLst>
            <c:ext xmlns:c16="http://schemas.microsoft.com/office/drawing/2014/chart" uri="{C3380CC4-5D6E-409C-BE32-E72D297353CC}">
              <c16:uniqueId val="{00000001-3AE8-427B-B41D-3A814E57DB29}"/>
            </c:ext>
          </c:extLst>
        </c:ser>
        <c:dLbls>
          <c:showLegendKey val="0"/>
          <c:showVal val="0"/>
          <c:showCatName val="0"/>
          <c:showSerName val="0"/>
          <c:showPercent val="0"/>
          <c:showBubbleSize val="0"/>
        </c:dLbls>
        <c:gapWidth val="60"/>
        <c:overlap val="100"/>
        <c:axId val="135947776"/>
        <c:axId val="135949312"/>
      </c:barChart>
      <c:dateAx>
        <c:axId val="13594777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5949312"/>
        <c:crosses val="autoZero"/>
        <c:auto val="0"/>
        <c:lblOffset val="100"/>
        <c:baseTimeUnit val="days"/>
        <c:majorUnit val="2"/>
        <c:majorTimeUnit val="days"/>
      </c:dateAx>
      <c:valAx>
        <c:axId val="135949312"/>
        <c:scaling>
          <c:orientation val="minMax"/>
        </c:scaling>
        <c:delete val="0"/>
        <c:axPos val="l"/>
        <c:majorGridlines/>
        <c:title>
          <c:tx>
            <c:rich>
              <a:bodyPr rot="-5400000" vert="horz"/>
              <a:lstStyle/>
              <a:p>
                <a:pPr>
                  <a:defRPr/>
                </a:pPr>
                <a:r>
                  <a:rPr lang="en-AU"/>
                  <a:t>Gigalitres (GL)</a:t>
                </a:r>
              </a:p>
            </c:rich>
          </c:tx>
          <c:layout>
            <c:manualLayout>
              <c:xMode val="edge"/>
              <c:yMode val="edge"/>
              <c:x val="1.5751568397060284E-2"/>
              <c:y val="0.45082332124214808"/>
            </c:manualLayout>
          </c:layout>
          <c:overlay val="0"/>
        </c:title>
        <c:numFmt formatCode="0" sourceLinked="0"/>
        <c:majorTickMark val="out"/>
        <c:minorTickMark val="none"/>
        <c:tickLblPos val="nextTo"/>
        <c:txPr>
          <a:bodyPr rot="0" vert="horz"/>
          <a:lstStyle/>
          <a:p>
            <a:pPr>
              <a:defRPr/>
            </a:pPr>
            <a:endParaRPr lang="en-US"/>
          </a:p>
        </c:txPr>
        <c:crossAx val="135947776"/>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a:t>
            </a:r>
            <a:r>
              <a:rPr lang="en-AU" baseline="0"/>
              <a:t> Oil and Condensate</a:t>
            </a:r>
            <a:endParaRPr lang="en-AU"/>
          </a:p>
          <a:p>
            <a:pPr>
              <a:defRPr/>
            </a:pPr>
            <a:r>
              <a:rPr lang="en-AU" sz="1100"/>
              <a:t>Western Australia vs Rest of Australia</a:t>
            </a:r>
          </a:p>
          <a:p>
            <a:pPr>
              <a:defRPr/>
            </a:pPr>
            <a:r>
              <a:rPr lang="en-AU" sz="1100"/>
              <a:t>Past 10 years</a:t>
            </a:r>
          </a:p>
        </c:rich>
      </c:tx>
      <c:overlay val="0"/>
    </c:title>
    <c:autoTitleDeleted val="0"/>
    <c:plotArea>
      <c:layout/>
      <c:lineChart>
        <c:grouping val="standard"/>
        <c:varyColors val="0"/>
        <c:ser>
          <c:idx val="0"/>
          <c:order val="0"/>
          <c:tx>
            <c:strRef>
              <c:f>'Petroleum - WA vs Australia'!$T$41</c:f>
              <c:strCache>
                <c:ptCount val="1"/>
                <c:pt idx="0">
                  <c:v>Western Australia (GL)</c:v>
                </c:pt>
              </c:strCache>
            </c:strRef>
          </c:tx>
          <c:cat>
            <c:numRef>
              <c:f>'Petroleum - WA vs Australia'!$S$42:$S$51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'Petroleum - WA vs Australia'!$T$42:$T$51</c:f>
              <c:numCache>
                <c:formatCode>0.00</c:formatCode>
                <c:ptCount val="10"/>
                <c:pt idx="0">
                  <c:v>21.920589</c:v>
                </c:pt>
                <c:pt idx="1">
                  <c:v>18.335720000000002</c:v>
                </c:pt>
                <c:pt idx="2">
                  <c:v>15.991191000000001</c:v>
                </c:pt>
                <c:pt idx="3">
                  <c:v>12.828248</c:v>
                </c:pt>
                <c:pt idx="4">
                  <c:v>12.524324309000001</c:v>
                </c:pt>
                <c:pt idx="5">
                  <c:v>14.973535984</c:v>
                </c:pt>
                <c:pt idx="6">
                  <c:v>12.270888789022798</c:v>
                </c:pt>
                <c:pt idx="7">
                  <c:v>11.54600424643619</c:v>
                </c:pt>
                <c:pt idx="8">
                  <c:v>12.422687324147216</c:v>
                </c:pt>
                <c:pt idx="9">
                  <c:v>18.366769518664384</c:v>
                </c:pt>
              </c:numCache>
            </c:numRef>
          </c:val>
          <c:smooth val="0"/>
          <c:extLst>
            <c:ext xmlns:c16="http://schemas.microsoft.com/office/drawing/2014/chart" uri="{C3380CC4-5D6E-409C-BE32-E72D297353CC}">
              <c16:uniqueId val="{00000000-A049-4FC3-A6DD-BE9B38C6E224}"/>
            </c:ext>
          </c:extLst>
        </c:ser>
        <c:ser>
          <c:idx val="1"/>
          <c:order val="1"/>
          <c:tx>
            <c:strRef>
              <c:f>'Petroleum - WA vs Australia'!$U$41</c:f>
              <c:strCache>
                <c:ptCount val="1"/>
                <c:pt idx="0">
                  <c:v>Rest of Australia (GL)</c:v>
                </c:pt>
              </c:strCache>
            </c:strRef>
          </c:tx>
          <c:cat>
            <c:numRef>
              <c:f>'Petroleum - WA vs Australia'!$S$42:$S$51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'Petroleum - WA vs Australia'!$U$42:$U$51</c:f>
              <c:numCache>
                <c:formatCode>0.00</c:formatCode>
                <c:ptCount val="10"/>
                <c:pt idx="0">
                  <c:v>5.3974110000000017</c:v>
                </c:pt>
                <c:pt idx="1">
                  <c:v>5.5312799999999989</c:v>
                </c:pt>
                <c:pt idx="2">
                  <c:v>5.9488090000000007</c:v>
                </c:pt>
                <c:pt idx="3">
                  <c:v>6.1817520000000012</c:v>
                </c:pt>
                <c:pt idx="4">
                  <c:v>7.9256756909999986</c:v>
                </c:pt>
                <c:pt idx="5">
                  <c:v>3.6764640159999988</c:v>
                </c:pt>
                <c:pt idx="6">
                  <c:v>4.7191112109772</c:v>
                </c:pt>
                <c:pt idx="7">
                  <c:v>4.941995753563809</c:v>
                </c:pt>
                <c:pt idx="8">
                  <c:v>4.5173126758527857</c:v>
                </c:pt>
                <c:pt idx="9">
                  <c:v>4.1578304813356155</c:v>
                </c:pt>
              </c:numCache>
            </c:numRef>
          </c:val>
          <c:smooth val="0"/>
          <c:extLst>
            <c:ext xmlns:c16="http://schemas.microsoft.com/office/drawing/2014/chart" uri="{C3380CC4-5D6E-409C-BE32-E72D297353CC}">
              <c16:uniqueId val="{00000001-A049-4FC3-A6DD-BE9B38C6E224}"/>
            </c:ext>
          </c:extLst>
        </c:ser>
        <c:dLbls>
          <c:showLegendKey val="0"/>
          <c:showVal val="0"/>
          <c:showCatName val="0"/>
          <c:showSerName val="0"/>
          <c:showPercent val="0"/>
          <c:showBubbleSize val="0"/>
        </c:dLbls>
        <c:marker val="1"/>
        <c:smooth val="0"/>
        <c:axId val="136997888"/>
        <c:axId val="136996352"/>
      </c:lineChart>
      <c:valAx>
        <c:axId val="136996352"/>
        <c:scaling>
          <c:orientation val="minMax"/>
        </c:scaling>
        <c:delete val="0"/>
        <c:axPos val="l"/>
        <c:majorGridlines/>
        <c:numFmt formatCode="0" sourceLinked="0"/>
        <c:majorTickMark val="out"/>
        <c:minorTickMark val="none"/>
        <c:tickLblPos val="nextTo"/>
        <c:crossAx val="136997888"/>
        <c:crosses val="autoZero"/>
        <c:crossBetween val="between"/>
      </c:valAx>
      <c:catAx>
        <c:axId val="136997888"/>
        <c:scaling>
          <c:orientation val="minMax"/>
        </c:scaling>
        <c:delete val="0"/>
        <c:axPos val="b"/>
        <c:title>
          <c:tx>
            <c:rich>
              <a:bodyPr/>
              <a:lstStyle/>
              <a:p>
                <a:pPr>
                  <a:defRPr sz="900"/>
                </a:pPr>
                <a:r>
                  <a:rPr lang="en-AU" sz="900" b="1" i="0" baseline="0">
                    <a:effectLst/>
                  </a:rPr>
                  <a:t>Source:  DMIRS and EnergyQuest</a:t>
                </a:r>
                <a:endParaRPr lang="en-AU" sz="900">
                  <a:effectLst/>
                </a:endParaRPr>
              </a:p>
            </c:rich>
          </c:tx>
          <c:layout>
            <c:manualLayout>
              <c:xMode val="edge"/>
              <c:yMode val="edge"/>
              <c:x val="1.161495561004988E-2"/>
              <c:y val="0.95243641997462836"/>
            </c:manualLayout>
          </c:layout>
          <c:overlay val="0"/>
        </c:title>
        <c:numFmt formatCode="General" sourceLinked="1"/>
        <c:majorTickMark val="out"/>
        <c:minorTickMark val="none"/>
        <c:tickLblPos val="nextTo"/>
        <c:txPr>
          <a:bodyPr rot="-2700000"/>
          <a:lstStyle/>
          <a:p>
            <a:pPr>
              <a:defRPr/>
            </a:pPr>
            <a:endParaRPr lang="en-US"/>
          </a:p>
        </c:txPr>
        <c:crossAx val="13699635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WA vs Australia'!$W$1</c:f>
          <c:strCache>
            <c:ptCount val="1"/>
            <c:pt idx="0">
              <c:v>Australian Crude Oil and Condensate Production 2019
WA vs Rest of Australia</c:v>
            </c:pt>
          </c:strCache>
        </c:strRef>
      </c:tx>
      <c:overlay val="0"/>
      <c:txPr>
        <a:bodyPr/>
        <a:lstStyle/>
        <a:p>
          <a:pPr>
            <a:defRPr sz="1400"/>
          </a:pPr>
          <a:endParaRPr lang="en-US"/>
        </a:p>
      </c:txPr>
    </c:title>
    <c:autoTitleDeleted val="0"/>
    <c:plotArea>
      <c:layout/>
      <c:pieChart>
        <c:varyColors val="1"/>
        <c:ser>
          <c:idx val="1"/>
          <c:order val="1"/>
          <c:tx>
            <c:v>WA vs Australia</c:v>
          </c:tx>
          <c:dLbls>
            <c:dLbl>
              <c:idx val="0"/>
              <c:layout>
                <c:manualLayout>
                  <c:x val="-7.4879753954806283E-2"/>
                  <c:y val="-0.1888790463692038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B8E-4858-9039-DAEB6F9220B8}"/>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18.366769518664384</c:v>
                </c:pt>
                <c:pt idx="1">
                  <c:v>4.1578304813356155</c:v>
                </c:pt>
              </c:numCache>
            </c:numRef>
          </c:val>
          <c:extLst>
            <c:ext xmlns:c16="http://schemas.microsoft.com/office/drawing/2014/chart" uri="{C3380CC4-5D6E-409C-BE32-E72D297353CC}">
              <c16:uniqueId val="{00000000-9778-4753-BB7F-B5283A954DBE}"/>
            </c:ext>
          </c:extLst>
        </c:ser>
        <c:ser>
          <c:idx val="0"/>
          <c:order val="0"/>
          <c:tx>
            <c:v>WA vs Australia</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18.366769518664384</c:v>
                </c:pt>
                <c:pt idx="1">
                  <c:v>4.1578304813356155</c:v>
                </c:pt>
              </c:numCache>
            </c:numRef>
          </c:val>
          <c:extLst>
            <c:ext xmlns:c16="http://schemas.microsoft.com/office/drawing/2014/chart" uri="{C3380CC4-5D6E-409C-BE32-E72D297353CC}">
              <c16:uniqueId val="{00000001-9778-4753-BB7F-B5283A954DBE}"/>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5992795204396915"/>
          <c:y val="0.51160688247302422"/>
          <c:w val="0.21710640600304709"/>
          <c:h val="0.16743438320209975"/>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Trade'!$A$6:$C$6</c:f>
          <c:strCache>
            <c:ptCount val="3"/>
            <c:pt idx="0">
              <c:v>Global LNG Exports 2018</c:v>
            </c:pt>
          </c:strCache>
        </c:strRef>
      </c:tx>
      <c:layout>
        <c:manualLayout>
          <c:xMode val="edge"/>
          <c:yMode val="edge"/>
          <c:x val="0.25695627217772832"/>
          <c:y val="3.4274227289239123E-2"/>
        </c:manualLayout>
      </c:layout>
      <c:overlay val="0"/>
      <c:txPr>
        <a:bodyPr/>
        <a:lstStyle/>
        <a:p>
          <a:pPr>
            <a:defRPr/>
          </a:pPr>
          <a:endParaRPr lang="en-US"/>
        </a:p>
      </c:txPr>
    </c:title>
    <c:autoTitleDeleted val="0"/>
    <c:plotArea>
      <c:layout>
        <c:manualLayout>
          <c:layoutTarget val="inner"/>
          <c:xMode val="edge"/>
          <c:yMode val="edge"/>
          <c:x val="0.12331641110650643"/>
          <c:y val="0.17540339848022435"/>
          <c:w val="0.87668358889349363"/>
          <c:h val="0.52621019544066661"/>
        </c:manualLayout>
      </c:layout>
      <c:barChart>
        <c:barDir val="col"/>
        <c:grouping val="clustered"/>
        <c:varyColors val="0"/>
        <c:ser>
          <c:idx val="0"/>
          <c:order val="0"/>
          <c:tx>
            <c:strRef>
              <c:f>'Petroleum - Global LNG Trade'!$B$7</c:f>
              <c:strCache>
                <c:ptCount val="1"/>
                <c:pt idx="0">
                  <c:v>Exports 
(Billions of cubic metres)</c:v>
                </c:pt>
              </c:strCache>
            </c:strRef>
          </c:tx>
          <c:invertIfNegative val="0"/>
          <c:dPt>
            <c:idx val="1"/>
            <c:invertIfNegative val="0"/>
            <c:bubble3D val="0"/>
            <c:spPr>
              <a:solidFill>
                <a:srgbClr val="C00000"/>
              </a:solidFill>
            </c:spPr>
            <c:extLst>
              <c:ext xmlns:c16="http://schemas.microsoft.com/office/drawing/2014/chart" uri="{C3380CC4-5D6E-409C-BE32-E72D297353CC}">
                <c16:uniqueId val="{00000001-AC22-4F3E-9872-3FDBE459D855}"/>
              </c:ext>
            </c:extLst>
          </c:dPt>
          <c:dPt>
            <c:idx val="2"/>
            <c:invertIfNegative val="0"/>
            <c:bubble3D val="0"/>
            <c:extLst>
              <c:ext xmlns:c16="http://schemas.microsoft.com/office/drawing/2014/chart" uri="{C3380CC4-5D6E-409C-BE32-E72D297353CC}">
                <c16:uniqueId val="{00000002-AC22-4F3E-9872-3FDBE459D855}"/>
              </c:ext>
            </c:extLst>
          </c:dPt>
          <c:dPt>
            <c:idx val="3"/>
            <c:invertIfNegative val="0"/>
            <c:bubble3D val="0"/>
            <c:extLst>
              <c:ext xmlns:c16="http://schemas.microsoft.com/office/drawing/2014/chart" uri="{C3380CC4-5D6E-409C-BE32-E72D297353CC}">
                <c16:uniqueId val="{00000003-AC22-4F3E-9872-3FDBE459D855}"/>
              </c:ext>
            </c:extLst>
          </c:dPt>
          <c:dPt>
            <c:idx val="5"/>
            <c:invertIfNegative val="0"/>
            <c:bubble3D val="0"/>
            <c:extLst>
              <c:ext xmlns:c16="http://schemas.microsoft.com/office/drawing/2014/chart" uri="{C3380CC4-5D6E-409C-BE32-E72D297353CC}">
                <c16:uniqueId val="{00000004-AC22-4F3E-9872-3FDBE459D855}"/>
              </c:ext>
            </c:extLst>
          </c:dPt>
          <c:cat>
            <c:strRef>
              <c:f>'Petroleum - Global LNG Trade'!$A$8:$A$28</c:f>
              <c:strCache>
                <c:ptCount val="21"/>
                <c:pt idx="0">
                  <c:v>Qatar</c:v>
                </c:pt>
                <c:pt idx="1">
                  <c:v>Australia</c:v>
                </c:pt>
                <c:pt idx="2">
                  <c:v>Malaysia</c:v>
                </c:pt>
                <c:pt idx="3">
                  <c:v>United States</c:v>
                </c:pt>
                <c:pt idx="4">
                  <c:v>Nigeria</c:v>
                </c:pt>
                <c:pt idx="5">
                  <c:v>Russia</c:v>
                </c:pt>
                <c:pt idx="6">
                  <c:v>Indonesia</c:v>
                </c:pt>
                <c:pt idx="7">
                  <c:v>Trinidad &amp; Tobago</c:v>
                </c:pt>
                <c:pt idx="8">
                  <c:v>Oman</c:v>
                </c:pt>
                <c:pt idx="9">
                  <c:v>Algeria</c:v>
                </c:pt>
                <c:pt idx="10">
                  <c:v>Papua New Guinea</c:v>
                </c:pt>
                <c:pt idx="11">
                  <c:v>Brunei</c:v>
                </c:pt>
                <c:pt idx="12">
                  <c:v>United Arab Emirates</c:v>
                </c:pt>
                <c:pt idx="13">
                  <c:v>Norway</c:v>
                </c:pt>
                <c:pt idx="14">
                  <c:v>Other Africa</c:v>
                </c:pt>
                <c:pt idx="15">
                  <c:v>Angola</c:v>
                </c:pt>
                <c:pt idx="16">
                  <c:v>Other Europe*</c:v>
                </c:pt>
                <c:pt idx="17">
                  <c:v>Peru</c:v>
                </c:pt>
                <c:pt idx="18">
                  <c:v>Egypt</c:v>
                </c:pt>
                <c:pt idx="19">
                  <c:v>Other Asia Pacific*</c:v>
                </c:pt>
                <c:pt idx="20">
                  <c:v>Other Americas*</c:v>
                </c:pt>
              </c:strCache>
            </c:strRef>
          </c:cat>
          <c:val>
            <c:numRef>
              <c:f>'Petroleum - Global LNG Trade'!$B$8:$B$28</c:f>
              <c:numCache>
                <c:formatCode>_(* #,##0.0_);_(* \(#,##0.0\);_(* "-"??_);_(@_)</c:formatCode>
                <c:ptCount val="21"/>
                <c:pt idx="0">
                  <c:v>104.84709595760215</c:v>
                </c:pt>
                <c:pt idx="1">
                  <c:v>91.819721175090692</c:v>
                </c:pt>
                <c:pt idx="2">
                  <c:v>32.998358199080094</c:v>
                </c:pt>
                <c:pt idx="3">
                  <c:v>28.427675778481159</c:v>
                </c:pt>
                <c:pt idx="4">
                  <c:v>27.830588810023315</c:v>
                </c:pt>
                <c:pt idx="5">
                  <c:v>24.936936064439493</c:v>
                </c:pt>
                <c:pt idx="6">
                  <c:v>20.808211186143005</c:v>
                </c:pt>
                <c:pt idx="7">
                  <c:v>16.77421078138142</c:v>
                </c:pt>
                <c:pt idx="8">
                  <c:v>13.566836987263594</c:v>
                </c:pt>
                <c:pt idx="9">
                  <c:v>13.546209194511217</c:v>
                </c:pt>
                <c:pt idx="10">
                  <c:v>9.5087070206720874</c:v>
                </c:pt>
                <c:pt idx="11">
                  <c:v>8.7608744526043356</c:v>
                </c:pt>
                <c:pt idx="12">
                  <c:v>7.4122882022007754</c:v>
                </c:pt>
                <c:pt idx="13">
                  <c:v>6.6404063625519028</c:v>
                </c:pt>
                <c:pt idx="14">
                  <c:v>5.3892588469103693</c:v>
                </c:pt>
                <c:pt idx="15">
                  <c:v>5.1632683984532193</c:v>
                </c:pt>
                <c:pt idx="16">
                  <c:v>5.0103307750474251</c:v>
                </c:pt>
                <c:pt idx="17">
                  <c:v>4.7645618784876032</c:v>
                </c:pt>
                <c:pt idx="18">
                  <c:v>2.0245124146124418</c:v>
                </c:pt>
                <c:pt idx="19">
                  <c:v>0.61743098863000001</c:v>
                </c:pt>
                <c:pt idx="20">
                  <c:v>0.12379630377</c:v>
                </c:pt>
              </c:numCache>
            </c:numRef>
          </c:val>
          <c:extLst>
            <c:ext xmlns:c16="http://schemas.microsoft.com/office/drawing/2014/chart" uri="{C3380CC4-5D6E-409C-BE32-E72D297353CC}">
              <c16:uniqueId val="{00000005-AC22-4F3E-9872-3FDBE459D855}"/>
            </c:ext>
          </c:extLst>
        </c:ser>
        <c:dLbls>
          <c:showLegendKey val="0"/>
          <c:showVal val="0"/>
          <c:showCatName val="0"/>
          <c:showSerName val="0"/>
          <c:showPercent val="0"/>
          <c:showBubbleSize val="0"/>
        </c:dLbls>
        <c:gapWidth val="150"/>
        <c:axId val="135632384"/>
        <c:axId val="135633920"/>
      </c:barChart>
      <c:catAx>
        <c:axId val="13563238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5633920"/>
        <c:crosses val="autoZero"/>
        <c:auto val="1"/>
        <c:lblAlgn val="ctr"/>
        <c:lblOffset val="0"/>
        <c:tickMarkSkip val="1"/>
        <c:noMultiLvlLbl val="0"/>
      </c:catAx>
      <c:valAx>
        <c:axId val="135633920"/>
        <c:scaling>
          <c:orientation val="minMax"/>
        </c:scaling>
        <c:delete val="0"/>
        <c:axPos val="l"/>
        <c:majorGridlines/>
        <c:title>
          <c:tx>
            <c:rich>
              <a:bodyPr rot="-5400000" vert="horz"/>
              <a:lstStyle/>
              <a:p>
                <a:pPr>
                  <a:defRPr/>
                </a:pPr>
                <a:r>
                  <a:rPr lang="en-AU"/>
                  <a:t>Billions of Cubic Metres</a:t>
                </a:r>
              </a:p>
            </c:rich>
          </c:tx>
          <c:overlay val="0"/>
        </c:title>
        <c:numFmt formatCode="0" sourceLinked="0"/>
        <c:majorTickMark val="out"/>
        <c:minorTickMark val="none"/>
        <c:tickLblPos val="nextTo"/>
        <c:txPr>
          <a:bodyPr rot="0" vert="horz"/>
          <a:lstStyle/>
          <a:p>
            <a:pPr>
              <a:defRPr/>
            </a:pPr>
            <a:endParaRPr lang="en-US"/>
          </a:p>
        </c:txPr>
        <c:crossAx val="135632384"/>
        <c:crosses val="autoZero"/>
        <c:crossBetween val="between"/>
      </c:valAx>
    </c:plotArea>
    <c:plotVisOnly val="1"/>
    <c:dispBlanksAs val="gap"/>
    <c:showDLblsOverMax val="0"/>
  </c:chart>
  <c:printSettings>
    <c:headerFooter alignWithMargins="0"/>
    <c:pageMargins b="1" l="0.750000000000002" r="0.750000000000002" t="1" header="0.5" footer="0.5"/>
    <c:pageSetup paperSize="9" orientation="landscape"/>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Trade'!$A$32:$C$32</c:f>
          <c:strCache>
            <c:ptCount val="3"/>
            <c:pt idx="0">
              <c:v>World LNG Imports by Region 2018</c:v>
            </c:pt>
          </c:strCache>
        </c:strRef>
      </c:tx>
      <c:layout>
        <c:manualLayout>
          <c:xMode val="edge"/>
          <c:yMode val="edge"/>
          <c:x val="0.24736895037653003"/>
          <c:y val="3.6217463437184995E-2"/>
        </c:manualLayout>
      </c:layout>
      <c:overlay val="0"/>
      <c:txPr>
        <a:bodyPr/>
        <a:lstStyle/>
        <a:p>
          <a:pPr>
            <a:defRPr/>
          </a:pPr>
          <a:endParaRPr lang="en-US"/>
        </a:p>
      </c:txPr>
    </c:title>
    <c:autoTitleDeleted val="0"/>
    <c:plotArea>
      <c:layout>
        <c:manualLayout>
          <c:layoutTarget val="inner"/>
          <c:xMode val="edge"/>
          <c:yMode val="edge"/>
          <c:x val="0.1432580273260235"/>
          <c:y val="0.15895395658220424"/>
          <c:w val="0.85219564844114115"/>
          <c:h val="0.56136903653714765"/>
        </c:manualLayout>
      </c:layout>
      <c:barChart>
        <c:barDir val="col"/>
        <c:grouping val="clustered"/>
        <c:varyColors val="0"/>
        <c:ser>
          <c:idx val="0"/>
          <c:order val="0"/>
          <c:invertIfNegative val="0"/>
          <c:cat>
            <c:strRef>
              <c:f>'Petroleum - Global LNG Trade'!$A$34:$A$38</c:f>
              <c:strCache>
                <c:ptCount val="5"/>
                <c:pt idx="0">
                  <c:v>Asia Pacific</c:v>
                </c:pt>
                <c:pt idx="1">
                  <c:v>Europe</c:v>
                </c:pt>
                <c:pt idx="2">
                  <c:v>S. &amp; Cent. America</c:v>
                </c:pt>
                <c:pt idx="3">
                  <c:v>Middle East &amp; Africa</c:v>
                </c:pt>
                <c:pt idx="4">
                  <c:v>North America</c:v>
                </c:pt>
              </c:strCache>
            </c:strRef>
          </c:cat>
          <c:val>
            <c:numRef>
              <c:f>'Petroleum - Global LNG Trade'!$B$34:$B$38</c:f>
              <c:numCache>
                <c:formatCode>_(* #,##0.00_);_(* \(#,##0.00\);_(* "-"??_);_(@_)</c:formatCode>
                <c:ptCount val="5"/>
                <c:pt idx="0">
                  <c:v>322.83142003227368</c:v>
                </c:pt>
                <c:pt idx="1">
                  <c:v>71.518263510914963</c:v>
                </c:pt>
                <c:pt idx="2">
                  <c:v>14.471586614242138</c:v>
                </c:pt>
                <c:pt idx="3">
                  <c:v>12.5</c:v>
                </c:pt>
                <c:pt idx="4">
                  <c:v>9.61823482545093</c:v>
                </c:pt>
              </c:numCache>
            </c:numRef>
          </c:val>
          <c:extLst>
            <c:ext xmlns:c16="http://schemas.microsoft.com/office/drawing/2014/chart" uri="{C3380CC4-5D6E-409C-BE32-E72D297353CC}">
              <c16:uniqueId val="{00000000-D1DE-4383-A1FE-CEA664DE915B}"/>
            </c:ext>
          </c:extLst>
        </c:ser>
        <c:dLbls>
          <c:showLegendKey val="0"/>
          <c:showVal val="0"/>
          <c:showCatName val="0"/>
          <c:showSerName val="0"/>
          <c:showPercent val="0"/>
          <c:showBubbleSize val="0"/>
        </c:dLbls>
        <c:gapWidth val="150"/>
        <c:axId val="135646592"/>
        <c:axId val="136926336"/>
      </c:barChart>
      <c:catAx>
        <c:axId val="13564659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6926336"/>
        <c:crosses val="autoZero"/>
        <c:auto val="1"/>
        <c:lblAlgn val="ctr"/>
        <c:lblOffset val="100"/>
        <c:tickLblSkip val="1"/>
        <c:tickMarkSkip val="1"/>
        <c:noMultiLvlLbl val="0"/>
      </c:catAx>
      <c:valAx>
        <c:axId val="136926336"/>
        <c:scaling>
          <c:orientation val="minMax"/>
          <c:min val="0"/>
        </c:scaling>
        <c:delete val="0"/>
        <c:axPos val="l"/>
        <c:majorGridlines/>
        <c:title>
          <c:tx>
            <c:rich>
              <a:bodyPr rot="-5400000" vert="horz"/>
              <a:lstStyle/>
              <a:p>
                <a:pPr>
                  <a:defRPr/>
                </a:pPr>
                <a:r>
                  <a:rPr lang="en-AU"/>
                  <a:t>Billions of Cubic Metres</a:t>
                </a:r>
              </a:p>
            </c:rich>
          </c:tx>
          <c:layout>
            <c:manualLayout>
              <c:xMode val="edge"/>
              <c:yMode val="edge"/>
              <c:x val="3.9083965325830368E-2"/>
              <c:y val="0.27846011109076479"/>
            </c:manualLayout>
          </c:layout>
          <c:overlay val="0"/>
        </c:title>
        <c:numFmt formatCode="0" sourceLinked="0"/>
        <c:majorTickMark val="out"/>
        <c:minorTickMark val="none"/>
        <c:tickLblPos val="nextTo"/>
        <c:txPr>
          <a:bodyPr rot="0" vert="horz"/>
          <a:lstStyle/>
          <a:p>
            <a:pPr>
              <a:defRPr/>
            </a:pPr>
            <a:endParaRPr lang="en-US"/>
          </a:p>
        </c:txPr>
        <c:crossAx val="135646592"/>
        <c:crosses val="autoZero"/>
        <c:crossBetween val="between"/>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Trade'!$A$57:$C$57</c:f>
          <c:strCache>
            <c:ptCount val="3"/>
            <c:pt idx="0">
              <c:v>Asia Pacific Region Imports 2018 (by source country)</c:v>
            </c:pt>
          </c:strCache>
        </c:strRef>
      </c:tx>
      <c:layout>
        <c:manualLayout>
          <c:xMode val="edge"/>
          <c:yMode val="edge"/>
          <c:x val="0.16733778282244294"/>
          <c:y val="1.0641617166275267E-2"/>
        </c:manualLayout>
      </c:layout>
      <c:overlay val="1"/>
      <c:txPr>
        <a:bodyPr/>
        <a:lstStyle/>
        <a:p>
          <a:pPr>
            <a:defRPr/>
          </a:pPr>
          <a:endParaRPr lang="en-US"/>
        </a:p>
      </c:txPr>
    </c:title>
    <c:autoTitleDeleted val="0"/>
    <c:plotArea>
      <c:layout>
        <c:manualLayout>
          <c:layoutTarget val="inner"/>
          <c:xMode val="edge"/>
          <c:yMode val="edge"/>
          <c:x val="0.11741041215232563"/>
          <c:y val="0.22740284649891224"/>
          <c:w val="0.87145794782135211"/>
          <c:h val="0.57484838940586969"/>
        </c:manualLayout>
      </c:layout>
      <c:barChart>
        <c:barDir val="col"/>
        <c:grouping val="clustered"/>
        <c:varyColors val="0"/>
        <c:ser>
          <c:idx val="0"/>
          <c:order val="0"/>
          <c:invertIfNegative val="0"/>
          <c:dPt>
            <c:idx val="0"/>
            <c:invertIfNegative val="0"/>
            <c:bubble3D val="0"/>
            <c:spPr>
              <a:solidFill>
                <a:srgbClr val="FF0000"/>
              </a:solidFill>
            </c:spPr>
            <c:extLst>
              <c:ext xmlns:c16="http://schemas.microsoft.com/office/drawing/2014/chart" uri="{C3380CC4-5D6E-409C-BE32-E72D297353CC}">
                <c16:uniqueId val="{00000004-48B4-4716-929E-0F23B39C34CE}"/>
              </c:ext>
            </c:extLst>
          </c:dPt>
          <c:dPt>
            <c:idx val="1"/>
            <c:invertIfNegative val="0"/>
            <c:bubble3D val="0"/>
            <c:extLst>
              <c:ext xmlns:c16="http://schemas.microsoft.com/office/drawing/2014/chart" uri="{C3380CC4-5D6E-409C-BE32-E72D297353CC}">
                <c16:uniqueId val="{00000001-34CB-4487-BED7-BD121E611433}"/>
              </c:ext>
            </c:extLst>
          </c:dPt>
          <c:dPt>
            <c:idx val="2"/>
            <c:invertIfNegative val="0"/>
            <c:bubble3D val="0"/>
            <c:extLst>
              <c:ext xmlns:c16="http://schemas.microsoft.com/office/drawing/2014/chart" uri="{C3380CC4-5D6E-409C-BE32-E72D297353CC}">
                <c16:uniqueId val="{00000002-34CB-4487-BED7-BD121E611433}"/>
              </c:ext>
            </c:extLst>
          </c:dPt>
          <c:dPt>
            <c:idx val="3"/>
            <c:invertIfNegative val="0"/>
            <c:bubble3D val="0"/>
            <c:extLst>
              <c:ext xmlns:c16="http://schemas.microsoft.com/office/drawing/2014/chart" uri="{C3380CC4-5D6E-409C-BE32-E72D297353CC}">
                <c16:uniqueId val="{00000003-34CB-4487-BED7-BD121E611433}"/>
              </c:ext>
            </c:extLst>
          </c:dPt>
          <c:cat>
            <c:strRef>
              <c:f>'Petroleum - Global LNG Trade'!$A$59:$A$79</c:f>
              <c:strCache>
                <c:ptCount val="21"/>
                <c:pt idx="0">
                  <c:v>Australia</c:v>
                </c:pt>
                <c:pt idx="1">
                  <c:v>Qatar</c:v>
                </c:pt>
                <c:pt idx="2">
                  <c:v>Malaysia</c:v>
                </c:pt>
                <c:pt idx="3">
                  <c:v>Indonesia</c:v>
                </c:pt>
                <c:pt idx="4">
                  <c:v>Russian Federation</c:v>
                </c:pt>
                <c:pt idx="5">
                  <c:v>US</c:v>
                </c:pt>
                <c:pt idx="6">
                  <c:v>Oman</c:v>
                </c:pt>
                <c:pt idx="7">
                  <c:v>Nigeria</c:v>
                </c:pt>
                <c:pt idx="8">
                  <c:v>Papua New Guinea</c:v>
                </c:pt>
                <c:pt idx="9">
                  <c:v>Brunei</c:v>
                </c:pt>
                <c:pt idx="10">
                  <c:v>United Arab Emirates</c:v>
                </c:pt>
                <c:pt idx="11">
                  <c:v>Angola</c:v>
                </c:pt>
                <c:pt idx="12">
                  <c:v>Other Africa</c:v>
                </c:pt>
                <c:pt idx="13">
                  <c:v> Other Europe*</c:v>
                </c:pt>
                <c:pt idx="14">
                  <c:v>Trinidad &amp; Tobago</c:v>
                </c:pt>
                <c:pt idx="15">
                  <c:v>Peru</c:v>
                </c:pt>
                <c:pt idx="16">
                  <c:v>Egypt</c:v>
                </c:pt>
                <c:pt idx="17">
                  <c:v>Norway</c:v>
                </c:pt>
                <c:pt idx="18">
                  <c:v>Algeria</c:v>
                </c:pt>
                <c:pt idx="19">
                  <c:v>Asia Pacific*</c:v>
                </c:pt>
                <c:pt idx="20">
                  <c:v>Other Americas*</c:v>
                </c:pt>
              </c:strCache>
            </c:strRef>
          </c:cat>
          <c:val>
            <c:numRef>
              <c:f>'Petroleum - Global LNG Trade'!$B$59:$B$79</c:f>
              <c:numCache>
                <c:formatCode>_(* #,##0.00_);_(* \(#,##0.00\);_(* "-"??_);_(@_)</c:formatCode>
                <c:ptCount val="21"/>
                <c:pt idx="0">
                  <c:v>91.6</c:v>
                </c:pt>
                <c:pt idx="1">
                  <c:v>77.3</c:v>
                </c:pt>
                <c:pt idx="2">
                  <c:v>33</c:v>
                </c:pt>
                <c:pt idx="3">
                  <c:v>20.6</c:v>
                </c:pt>
                <c:pt idx="4">
                  <c:v>17.2</c:v>
                </c:pt>
                <c:pt idx="5">
                  <c:v>14.49</c:v>
                </c:pt>
                <c:pt idx="6">
                  <c:v>12.8</c:v>
                </c:pt>
                <c:pt idx="7">
                  <c:v>11.2</c:v>
                </c:pt>
                <c:pt idx="8">
                  <c:v>9.5</c:v>
                </c:pt>
                <c:pt idx="9">
                  <c:v>8.8000000000000007</c:v>
                </c:pt>
                <c:pt idx="10">
                  <c:v>7.4</c:v>
                </c:pt>
                <c:pt idx="11">
                  <c:v>3.8</c:v>
                </c:pt>
                <c:pt idx="12">
                  <c:v>3.8</c:v>
                </c:pt>
                <c:pt idx="13">
                  <c:v>3.1</c:v>
                </c:pt>
                <c:pt idx="14">
                  <c:v>2.4</c:v>
                </c:pt>
                <c:pt idx="15">
                  <c:v>2.2000000000000002</c:v>
                </c:pt>
                <c:pt idx="16">
                  <c:v>1</c:v>
                </c:pt>
                <c:pt idx="17">
                  <c:v>0.8</c:v>
                </c:pt>
                <c:pt idx="18">
                  <c:v>0.6</c:v>
                </c:pt>
                <c:pt idx="19">
                  <c:v>0.6</c:v>
                </c:pt>
                <c:pt idx="20">
                  <c:v>0.1</c:v>
                </c:pt>
              </c:numCache>
            </c:numRef>
          </c:val>
          <c:extLst>
            <c:ext xmlns:c16="http://schemas.microsoft.com/office/drawing/2014/chart" uri="{C3380CC4-5D6E-409C-BE32-E72D297353CC}">
              <c16:uniqueId val="{00000004-34CB-4487-BED7-BD121E611433}"/>
            </c:ext>
          </c:extLst>
        </c:ser>
        <c:dLbls>
          <c:showLegendKey val="0"/>
          <c:showVal val="0"/>
          <c:showCatName val="0"/>
          <c:showSerName val="0"/>
          <c:showPercent val="0"/>
          <c:showBubbleSize val="0"/>
        </c:dLbls>
        <c:gapWidth val="150"/>
        <c:axId val="136945664"/>
        <c:axId val="136947200"/>
      </c:barChart>
      <c:catAx>
        <c:axId val="1369456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6947200"/>
        <c:crosses val="autoZero"/>
        <c:auto val="1"/>
        <c:lblAlgn val="ctr"/>
        <c:lblOffset val="100"/>
        <c:tickLblSkip val="1"/>
        <c:tickMarkSkip val="1"/>
        <c:noMultiLvlLbl val="0"/>
      </c:catAx>
      <c:valAx>
        <c:axId val="136947200"/>
        <c:scaling>
          <c:orientation val="minMax"/>
          <c:max val="100"/>
        </c:scaling>
        <c:delete val="0"/>
        <c:axPos val="l"/>
        <c:majorGridlines/>
        <c:title>
          <c:tx>
            <c:rich>
              <a:bodyPr rot="-5400000" vert="horz"/>
              <a:lstStyle/>
              <a:p>
                <a:pPr>
                  <a:defRPr/>
                </a:pPr>
                <a:r>
                  <a:rPr lang="en-AU"/>
                  <a:t>Billions of Cubic Metres</a:t>
                </a:r>
              </a:p>
            </c:rich>
          </c:tx>
          <c:layout>
            <c:manualLayout>
              <c:xMode val="edge"/>
              <c:yMode val="edge"/>
              <c:x val="2.8548374708407855E-2"/>
              <c:y val="0.42038438269074568"/>
            </c:manualLayout>
          </c:layout>
          <c:overlay val="0"/>
        </c:title>
        <c:numFmt formatCode="0" sourceLinked="0"/>
        <c:majorTickMark val="out"/>
        <c:minorTickMark val="none"/>
        <c:tickLblPos val="nextTo"/>
        <c:txPr>
          <a:bodyPr rot="0" vert="horz"/>
          <a:lstStyle/>
          <a:p>
            <a:pPr>
              <a:defRPr/>
            </a:pPr>
            <a:endParaRPr lang="en-US"/>
          </a:p>
        </c:txPr>
        <c:crossAx val="136945664"/>
        <c:crosses val="autoZero"/>
        <c:crossBetween val="between"/>
        <c:majorUnit val="1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'Alumina - Exports'!$W$1</c:f>
          <c:strCache>
            <c:ptCount val="1"/>
            <c:pt idx="0">
              <c:v>Western Australian Alumina and Bauxite Exports 2019
Total Value: $6,916,307,719</c:v>
            </c:pt>
          </c:strCache>
        </c:strRef>
      </c:tx>
      <c:overlay val="0"/>
    </c:title>
    <c:autoTitleDeleted val="0"/>
    <c:plotArea>
      <c:layout>
        <c:manualLayout>
          <c:layoutTarget val="inner"/>
          <c:xMode val="edge"/>
          <c:yMode val="edge"/>
          <c:x val="0.30619823221337283"/>
          <c:y val="0.1968584513843219"/>
          <c:w val="0.41549024198579698"/>
          <c:h val="0.71749453440216138"/>
        </c:manualLayout>
      </c:layout>
      <c:pieChart>
        <c:varyColors val="1"/>
        <c:ser>
          <c:idx val="0"/>
          <c:order val="0"/>
          <c:tx>
            <c:v>Exports</c:v>
          </c:tx>
          <c:dPt>
            <c:idx val="0"/>
            <c:bubble3D val="0"/>
            <c:extLst>
              <c:ext xmlns:c16="http://schemas.microsoft.com/office/drawing/2014/chart" uri="{C3380CC4-5D6E-409C-BE32-E72D297353CC}">
                <c16:uniqueId val="{00000000-6D57-4FBB-B4B2-7EA9506FD372}"/>
              </c:ext>
            </c:extLst>
          </c:dPt>
          <c:dPt>
            <c:idx val="1"/>
            <c:bubble3D val="0"/>
            <c:extLst>
              <c:ext xmlns:c16="http://schemas.microsoft.com/office/drawing/2014/chart" uri="{C3380CC4-5D6E-409C-BE32-E72D297353CC}">
                <c16:uniqueId val="{00000001-6D57-4FBB-B4B2-7EA9506FD372}"/>
              </c:ext>
            </c:extLst>
          </c:dPt>
          <c:dPt>
            <c:idx val="2"/>
            <c:bubble3D val="0"/>
            <c:extLst>
              <c:ext xmlns:c16="http://schemas.microsoft.com/office/drawing/2014/chart" uri="{C3380CC4-5D6E-409C-BE32-E72D297353CC}">
                <c16:uniqueId val="{00000002-6D57-4FBB-B4B2-7EA9506FD372}"/>
              </c:ext>
            </c:extLst>
          </c:dPt>
          <c:dPt>
            <c:idx val="3"/>
            <c:bubble3D val="0"/>
            <c:extLst>
              <c:ext xmlns:c16="http://schemas.microsoft.com/office/drawing/2014/chart" uri="{C3380CC4-5D6E-409C-BE32-E72D297353CC}">
                <c16:uniqueId val="{00000003-6D57-4FBB-B4B2-7EA9506FD372}"/>
              </c:ext>
            </c:extLst>
          </c:dPt>
          <c:dPt>
            <c:idx val="4"/>
            <c:bubble3D val="0"/>
            <c:extLst>
              <c:ext xmlns:c16="http://schemas.microsoft.com/office/drawing/2014/chart" uri="{C3380CC4-5D6E-409C-BE32-E72D297353CC}">
                <c16:uniqueId val="{00000004-6D57-4FBB-B4B2-7EA9506FD372}"/>
              </c:ext>
            </c:extLst>
          </c:dPt>
          <c:dPt>
            <c:idx val="5"/>
            <c:bubble3D val="0"/>
            <c:extLst>
              <c:ext xmlns:c16="http://schemas.microsoft.com/office/drawing/2014/chart" uri="{C3380CC4-5D6E-409C-BE32-E72D297353CC}">
                <c16:uniqueId val="{00000005-6D57-4FBB-B4B2-7EA9506FD372}"/>
              </c:ext>
            </c:extLst>
          </c:dPt>
          <c:dPt>
            <c:idx val="6"/>
            <c:bubble3D val="0"/>
            <c:extLst>
              <c:ext xmlns:c16="http://schemas.microsoft.com/office/drawing/2014/chart" uri="{C3380CC4-5D6E-409C-BE32-E72D297353CC}">
                <c16:uniqueId val="{00000006-6D57-4FBB-B4B2-7EA9506FD372}"/>
              </c:ext>
            </c:extLst>
          </c:dPt>
          <c:dPt>
            <c:idx val="7"/>
            <c:bubble3D val="0"/>
            <c:extLst>
              <c:ext xmlns:c16="http://schemas.microsoft.com/office/drawing/2014/chart" uri="{C3380CC4-5D6E-409C-BE32-E72D297353CC}">
                <c16:uniqueId val="{00000007-6D57-4FBB-B4B2-7EA9506FD372}"/>
              </c:ext>
            </c:extLst>
          </c:dPt>
          <c:dPt>
            <c:idx val="8"/>
            <c:bubble3D val="0"/>
            <c:extLst>
              <c:ext xmlns:c16="http://schemas.microsoft.com/office/drawing/2014/chart" uri="{C3380CC4-5D6E-409C-BE32-E72D297353CC}">
                <c16:uniqueId val="{00000008-6D57-4FBB-B4B2-7EA9506FD372}"/>
              </c:ext>
            </c:extLst>
          </c:dPt>
          <c:dPt>
            <c:idx val="9"/>
            <c:bubble3D val="0"/>
            <c:extLst>
              <c:ext xmlns:c16="http://schemas.microsoft.com/office/drawing/2014/chart" uri="{C3380CC4-5D6E-409C-BE32-E72D297353CC}">
                <c16:uniqueId val="{00000009-6D57-4FBB-B4B2-7EA9506FD372}"/>
              </c:ext>
            </c:extLst>
          </c:dPt>
          <c:dPt>
            <c:idx val="10"/>
            <c:bubble3D val="0"/>
            <c:extLst>
              <c:ext xmlns:c16="http://schemas.microsoft.com/office/drawing/2014/chart" uri="{C3380CC4-5D6E-409C-BE32-E72D297353CC}">
                <c16:uniqueId val="{0000000A-6D57-4FBB-B4B2-7EA9506FD372}"/>
              </c:ext>
            </c:extLst>
          </c:dPt>
          <c:dLbls>
            <c:dLbl>
              <c:idx val="1"/>
              <c:layout>
                <c:manualLayout>
                  <c:x val="5.0820777682290819E-2"/>
                  <c:y val="4.662554878157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57-4FBB-B4B2-7EA9506FD372}"/>
                </c:ext>
              </c:extLst>
            </c:dLbl>
            <c:dLbl>
              <c:idx val="2"/>
              <c:layout>
                <c:manualLayout>
                  <c:x val="8.4697087513480179E-2"/>
                  <c:y val="-3.362897922184106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57-4FBB-B4B2-7EA9506FD372}"/>
                </c:ext>
              </c:extLst>
            </c:dLbl>
            <c:dLbl>
              <c:idx val="3"/>
              <c:layout>
                <c:manualLayout>
                  <c:x val="-3.5580047610512741E-2"/>
                  <c:y val="9.1814933968469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57-4FBB-B4B2-7EA9506FD372}"/>
                </c:ext>
              </c:extLst>
            </c:dLbl>
            <c:dLbl>
              <c:idx val="4"/>
              <c:layout>
                <c:manualLayout>
                  <c:x val="-8.8323457248937979E-3"/>
                  <c:y val="2.694584170206715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57-4FBB-B4B2-7EA9506FD372}"/>
                </c:ext>
              </c:extLst>
            </c:dLbl>
            <c:dLbl>
              <c:idx val="5"/>
              <c:layout>
                <c:manualLayout>
                  <c:x val="-2.6148453344524612E-2"/>
                  <c:y val="5.5218831280401458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57-4FBB-B4B2-7EA9506FD372}"/>
                </c:ext>
              </c:extLst>
            </c:dLbl>
            <c:dLbl>
              <c:idx val="6"/>
              <c:layout>
                <c:manualLayout>
                  <c:x val="-3.5187822182722157E-2"/>
                  <c:y val="-1.1675109460075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57-4FBB-B4B2-7EA9506FD372}"/>
                </c:ext>
              </c:extLst>
            </c:dLbl>
            <c:dLbl>
              <c:idx val="7"/>
              <c:layout>
                <c:manualLayout>
                  <c:x val="-3.0617874445593888E-2"/>
                  <c:y val="-4.6751153848432602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57-4FBB-B4B2-7EA9506FD372}"/>
                </c:ext>
              </c:extLst>
            </c:dLbl>
            <c:dLbl>
              <c:idx val="8"/>
              <c:layout>
                <c:manualLayout>
                  <c:x val="-4.2481664353296027E-2"/>
                  <c:y val="-9.821131275069226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57-4FBB-B4B2-7EA9506FD372}"/>
                </c:ext>
              </c:extLst>
            </c:dLbl>
            <c:dLbl>
              <c:idx val="9"/>
              <c:layout>
                <c:manualLayout>
                  <c:x val="-4.410559839355005E-2"/>
                  <c:y val="-1.496311832352784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D57-4FBB-B4B2-7EA9506FD372}"/>
                </c:ext>
              </c:extLst>
            </c:dLbl>
            <c:dLbl>
              <c:idx val="10"/>
              <c:layout>
                <c:manualLayout>
                  <c:x val="8.5836503753589116E-2"/>
                  <c:y val="0.14272385252069225"/>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57-4FBB-B4B2-7EA9506FD372}"/>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'Alumina - Exports'!$A$10:$A$20</c:f>
              <c:strCache>
                <c:ptCount val="11"/>
                <c:pt idx="0">
                  <c:v>United Arab Emirates</c:v>
                </c:pt>
                <c:pt idx="1">
                  <c:v>Bahrain</c:v>
                </c:pt>
                <c:pt idx="2">
                  <c:v>South Africa</c:v>
                </c:pt>
                <c:pt idx="3">
                  <c:v>Mozambique</c:v>
                </c:pt>
                <c:pt idx="4">
                  <c:v>China</c:v>
                </c:pt>
                <c:pt idx="5">
                  <c:v>India</c:v>
                </c:pt>
                <c:pt idx="6">
                  <c:v>Iceland</c:v>
                </c:pt>
                <c:pt idx="7">
                  <c:v>United States</c:v>
                </c:pt>
                <c:pt idx="8">
                  <c:v>Qatar</c:v>
                </c:pt>
                <c:pt idx="9">
                  <c:v>Argentina</c:v>
                </c:pt>
                <c:pt idx="10">
                  <c:v>Other</c:v>
                </c:pt>
              </c:strCache>
            </c:strRef>
          </c:cat>
          <c:val>
            <c:numRef>
              <c:f>'Alumina - Exports'!$D$10:$D$20</c:f>
              <c:numCache>
                <c:formatCode>0.0%</c:formatCode>
                <c:ptCount val="11"/>
                <c:pt idx="0">
                  <c:v>0.26571371929413967</c:v>
                </c:pt>
                <c:pt idx="1">
                  <c:v>0.13343534671956556</c:v>
                </c:pt>
                <c:pt idx="2">
                  <c:v>9.3153929601039007E-2</c:v>
                </c:pt>
                <c:pt idx="3">
                  <c:v>7.763198531985957E-2</c:v>
                </c:pt>
                <c:pt idx="4">
                  <c:v>5.3625959265321273E-2</c:v>
                </c:pt>
                <c:pt idx="5">
                  <c:v>4.5200110308711967E-2</c:v>
                </c:pt>
                <c:pt idx="6">
                  <c:v>4.378992979392287E-2</c:v>
                </c:pt>
                <c:pt idx="7">
                  <c:v>4.083725067973281E-2</c:v>
                </c:pt>
                <c:pt idx="8">
                  <c:v>3.6238654623720869E-2</c:v>
                </c:pt>
                <c:pt idx="9">
                  <c:v>3.5965726282961727E-2</c:v>
                </c:pt>
                <c:pt idx="10">
                  <c:v>0.17440738811102471</c:v>
                </c:pt>
              </c:numCache>
            </c:numRef>
          </c:val>
          <c:extLst>
            <c:ext xmlns:c16="http://schemas.microsoft.com/office/drawing/2014/chart" uri="{C3380CC4-5D6E-409C-BE32-E72D297353CC}">
              <c16:uniqueId val="{0000000B-6D57-4FBB-B4B2-7EA9506FD372}"/>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Trade'!$A$87:$C$87</c:f>
          <c:strCache>
            <c:ptCount val="3"/>
            <c:pt idx="0">
              <c:v>Countries and Regions Importing LNG in 2018</c:v>
            </c:pt>
          </c:strCache>
        </c:strRef>
      </c:tx>
      <c:overlay val="0"/>
      <c:txPr>
        <a:bodyPr/>
        <a:lstStyle/>
        <a:p>
          <a:pPr>
            <a:defRPr/>
          </a:pPr>
          <a:endParaRPr lang="en-US"/>
        </a:p>
      </c:txPr>
    </c:title>
    <c:autoTitleDeleted val="0"/>
    <c:plotArea>
      <c:layout/>
      <c:barChart>
        <c:barDir val="col"/>
        <c:grouping val="clustered"/>
        <c:varyColors val="0"/>
        <c:ser>
          <c:idx val="0"/>
          <c:order val="0"/>
          <c:invertIfNegative val="0"/>
          <c:dPt>
            <c:idx val="3"/>
            <c:invertIfNegative val="0"/>
            <c:bubble3D val="0"/>
            <c:extLst>
              <c:ext xmlns:c16="http://schemas.microsoft.com/office/drawing/2014/chart" uri="{C3380CC4-5D6E-409C-BE32-E72D297353CC}">
                <c16:uniqueId val="{00000000-14AF-4BDE-9A8A-0BD56D1824E3}"/>
              </c:ext>
            </c:extLst>
          </c:dPt>
          <c:cat>
            <c:strRef>
              <c:f>'Petroleum - Global LNG Trade'!$A$89:$A$117</c:f>
              <c:strCache>
                <c:ptCount val="29"/>
                <c:pt idx="0">
                  <c:v>Japan</c:v>
                </c:pt>
                <c:pt idx="1">
                  <c:v>China</c:v>
                </c:pt>
                <c:pt idx="2">
                  <c:v>South Korea</c:v>
                </c:pt>
                <c:pt idx="3">
                  <c:v>India</c:v>
                </c:pt>
                <c:pt idx="4">
                  <c:v>Taiwan</c:v>
                </c:pt>
                <c:pt idx="5">
                  <c:v>Spain</c:v>
                </c:pt>
                <c:pt idx="6">
                  <c:v>France</c:v>
                </c:pt>
                <c:pt idx="7">
                  <c:v>Other EU</c:v>
                </c:pt>
                <c:pt idx="8">
                  <c:v>Turkey</c:v>
                </c:pt>
                <c:pt idx="9">
                  <c:v>Pakistan</c:v>
                </c:pt>
                <c:pt idx="10">
                  <c:v>Italy</c:v>
                </c:pt>
                <c:pt idx="11">
                  <c:v>United Kingdom</c:v>
                </c:pt>
                <c:pt idx="12">
                  <c:v>Mexico</c:v>
                </c:pt>
                <c:pt idx="13">
                  <c:v>Thailand</c:v>
                </c:pt>
                <c:pt idx="14">
                  <c:v>Singapore</c:v>
                </c:pt>
                <c:pt idx="15">
                  <c:v>Kuwait</c:v>
                </c:pt>
                <c:pt idx="16">
                  <c:v>Chile</c:v>
                </c:pt>
                <c:pt idx="17">
                  <c:v>Other Middle East &amp; Africa</c:v>
                </c:pt>
                <c:pt idx="18">
                  <c:v>Other S. &amp; Cent. America</c:v>
                </c:pt>
                <c:pt idx="19">
                  <c:v>Belgium</c:v>
                </c:pt>
                <c:pt idx="20">
                  <c:v>Argentina</c:v>
                </c:pt>
                <c:pt idx="21">
                  <c:v>Egypt</c:v>
                </c:pt>
                <c:pt idx="22">
                  <c:v>Brazil</c:v>
                </c:pt>
                <c:pt idx="23">
                  <c:v>US</c:v>
                </c:pt>
                <c:pt idx="24">
                  <c:v>Malaysia</c:v>
                </c:pt>
                <c:pt idx="25">
                  <c:v>United Arab Emirates</c:v>
                </c:pt>
                <c:pt idx="26">
                  <c:v>Other Asia Pacific</c:v>
                </c:pt>
                <c:pt idx="27">
                  <c:v>Canada</c:v>
                </c:pt>
                <c:pt idx="28">
                  <c:v>Rest of Europe </c:v>
                </c:pt>
              </c:strCache>
            </c:strRef>
          </c:cat>
          <c:val>
            <c:numRef>
              <c:f>'Petroleum - Global LNG Trade'!$B$89:$B$117</c:f>
              <c:numCache>
                <c:formatCode>_(* #,##0.00_);_(* \(#,##0.00\);_(* "-"??_);_(@_)</c:formatCode>
                <c:ptCount val="29"/>
                <c:pt idx="0">
                  <c:v>112.974969447988</c:v>
                </c:pt>
                <c:pt idx="1">
                  <c:v>73.452501314459241</c:v>
                </c:pt>
                <c:pt idx="2">
                  <c:v>60.212079149071727</c:v>
                </c:pt>
                <c:pt idx="3">
                  <c:v>30.596983810416358</c:v>
                </c:pt>
                <c:pt idx="4">
                  <c:v>22.829764586074241</c:v>
                </c:pt>
                <c:pt idx="5">
                  <c:v>15.030513348300001</c:v>
                </c:pt>
                <c:pt idx="6">
                  <c:v>13.146330247618382</c:v>
                </c:pt>
                <c:pt idx="7">
                  <c:v>12.781961692490102</c:v>
                </c:pt>
                <c:pt idx="8">
                  <c:v>11.522195384579851</c:v>
                </c:pt>
                <c:pt idx="9">
                  <c:v>9.3875067942346746</c:v>
                </c:pt>
                <c:pt idx="10">
                  <c:v>8.0286173847332591</c:v>
                </c:pt>
                <c:pt idx="11">
                  <c:v>7.3295319885627945</c:v>
                </c:pt>
                <c:pt idx="12">
                  <c:v>6.8742808536223539</c:v>
                </c:pt>
                <c:pt idx="13">
                  <c:v>6.2368796277027094</c:v>
                </c:pt>
                <c:pt idx="14">
                  <c:v>4.4984284087190201</c:v>
                </c:pt>
                <c:pt idx="15">
                  <c:v>4.3013450999441396</c:v>
                </c:pt>
                <c:pt idx="16">
                  <c:v>4.2994335917282642</c:v>
                </c:pt>
                <c:pt idx="17">
                  <c:v>4.0220817412931211</c:v>
                </c:pt>
                <c:pt idx="18">
                  <c:v>3.7066809894805441</c:v>
                </c:pt>
                <c:pt idx="19">
                  <c:v>3.6771450107305834</c:v>
                </c:pt>
                <c:pt idx="20">
                  <c:v>3.5933542443907909</c:v>
                </c:pt>
                <c:pt idx="21">
                  <c:v>3.165441987760218</c:v>
                </c:pt>
                <c:pt idx="22">
                  <c:v>2.8721177886425391</c:v>
                </c:pt>
                <c:pt idx="23">
                  <c:v>2.1167427752308945</c:v>
                </c:pt>
                <c:pt idx="24">
                  <c:v>1.7950758733556051</c:v>
                </c:pt>
                <c:pt idx="25">
                  <c:v>1.0429059660770115</c:v>
                </c:pt>
                <c:pt idx="26">
                  <c:v>0.84723102025188146</c:v>
                </c:pt>
                <c:pt idx="27">
                  <c:v>0.62721119659768054</c:v>
                </c:pt>
                <c:pt idx="28">
                  <c:v>1.9684539000000001E-3</c:v>
                </c:pt>
              </c:numCache>
            </c:numRef>
          </c:val>
          <c:extLst>
            <c:ext xmlns:c16="http://schemas.microsoft.com/office/drawing/2014/chart" uri="{C3380CC4-5D6E-409C-BE32-E72D297353CC}">
              <c16:uniqueId val="{00000001-14AF-4BDE-9A8A-0BD56D1824E3}"/>
            </c:ext>
          </c:extLst>
        </c:ser>
        <c:dLbls>
          <c:showLegendKey val="0"/>
          <c:showVal val="0"/>
          <c:showCatName val="0"/>
          <c:showSerName val="0"/>
          <c:showPercent val="0"/>
          <c:showBubbleSize val="0"/>
        </c:dLbls>
        <c:gapWidth val="150"/>
        <c:axId val="134192128"/>
        <c:axId val="134193920"/>
      </c:barChart>
      <c:catAx>
        <c:axId val="134192128"/>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134193920"/>
        <c:crosses val="autoZero"/>
        <c:auto val="1"/>
        <c:lblAlgn val="ctr"/>
        <c:lblOffset val="100"/>
        <c:tickLblSkip val="1"/>
        <c:tickMarkSkip val="1"/>
        <c:noMultiLvlLbl val="0"/>
      </c:catAx>
      <c:valAx>
        <c:axId val="134193920"/>
        <c:scaling>
          <c:orientation val="minMax"/>
          <c:max val="120"/>
        </c:scaling>
        <c:delete val="0"/>
        <c:axPos val="l"/>
        <c:majorGridlines/>
        <c:title>
          <c:tx>
            <c:rich>
              <a:bodyPr rot="-5400000" vert="horz"/>
              <a:lstStyle/>
              <a:p>
                <a:pPr>
                  <a:defRPr/>
                </a:pPr>
                <a:r>
                  <a:rPr lang="en-AU"/>
                  <a:t>Billions of Cubic Metres</a:t>
                </a:r>
              </a:p>
            </c:rich>
          </c:tx>
          <c:overlay val="0"/>
        </c:title>
        <c:numFmt formatCode="0" sourceLinked="0"/>
        <c:majorTickMark val="none"/>
        <c:minorTickMark val="none"/>
        <c:tickLblPos val="nextTo"/>
        <c:txPr>
          <a:bodyPr rot="0" vert="horz"/>
          <a:lstStyle/>
          <a:p>
            <a:pPr>
              <a:defRPr/>
            </a:pPr>
            <a:endParaRPr lang="en-US"/>
          </a:p>
        </c:txPr>
        <c:crossAx val="134192128"/>
        <c:crosses val="autoZero"/>
        <c:crossBetween val="between"/>
        <c:majorUnit val="2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Oil Reserves'!$K$51</c:f>
          <c:strCache>
            <c:ptCount val="1"/>
            <c:pt idx="0">
              <c:v>Global Distribution of Oil Reserves
at end 2018</c:v>
            </c:pt>
          </c:strCache>
        </c:strRef>
      </c:tx>
      <c:layout>
        <c:manualLayout>
          <c:xMode val="edge"/>
          <c:yMode val="edge"/>
          <c:x val="0.28495452301135626"/>
          <c:y val="1.7817371937639197E-2"/>
        </c:manualLayout>
      </c:layout>
      <c:overlay val="0"/>
      <c:txPr>
        <a:bodyPr/>
        <a:lstStyle/>
        <a:p>
          <a:pPr>
            <a:defRPr/>
          </a:pPr>
          <a:endParaRPr lang="en-US"/>
        </a:p>
      </c:txPr>
    </c:title>
    <c:autoTitleDeleted val="0"/>
    <c:plotArea>
      <c:layout>
        <c:manualLayout>
          <c:layoutTarget val="inner"/>
          <c:xMode val="edge"/>
          <c:yMode val="edge"/>
          <c:x val="6.0707814748962842E-2"/>
          <c:y val="0.22475866463239977"/>
          <c:w val="0.83557361781390227"/>
          <c:h val="0.67208623420958791"/>
        </c:manualLayout>
      </c:layout>
      <c:pieChart>
        <c:varyColors val="1"/>
        <c:ser>
          <c:idx val="0"/>
          <c:order val="0"/>
          <c:dLbls>
            <c:dLbl>
              <c:idx val="3"/>
              <c:layout>
                <c:manualLayout>
                  <c:x val="0.19089697457172691"/>
                  <c:y val="4.68837720451981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461-47D7-9693-A2C3DA961F69}"/>
                </c:ext>
              </c:extLst>
            </c:dLbl>
            <c:dLbl>
              <c:idx val="14"/>
              <c:tx>
                <c:rich>
                  <a:bodyPr/>
                  <a:lstStyle/>
                  <a:p>
                    <a:r>
                      <a:rPr lang="en-US"/>
                      <a:t>Non OPEC
28%</a:t>
                    </a:r>
                  </a:p>
                </c:rich>
              </c:tx>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0A6-406A-A9FB-AC627B511A04}"/>
                </c:ext>
              </c:extLst>
            </c:dLbl>
            <c:dLbl>
              <c:idx val="15"/>
              <c:tx>
                <c:rich>
                  <a:bodyPr/>
                  <a:lstStyle/>
                  <a:p>
                    <a:r>
                      <a:rPr lang="en-US"/>
                      <a:t>OPEC
72%</a:t>
                    </a:r>
                  </a:p>
                </c:rich>
              </c:tx>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A6-406A-A9FB-AC627B511A04}"/>
                </c:ext>
              </c:extLst>
            </c:dLbl>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('Petroleum - Global Oil Reserves'!$B$9:$B$21,'Petroleum - Global Oil Reserves'!$O$10)</c:f>
              <c:strCache>
                <c:ptCount val="14"/>
                <c:pt idx="0">
                  <c:v>Algeria</c:v>
                </c:pt>
                <c:pt idx="1">
                  <c:v>Angola</c:v>
                </c:pt>
                <c:pt idx="2">
                  <c:v>Ecuador</c:v>
                </c:pt>
                <c:pt idx="3">
                  <c:v>Gabon</c:v>
                </c:pt>
                <c:pt idx="4">
                  <c:v>Iran</c:v>
                </c:pt>
                <c:pt idx="5">
                  <c:v>Iraq</c:v>
                </c:pt>
                <c:pt idx="6">
                  <c:v>Kuwait</c:v>
                </c:pt>
                <c:pt idx="7">
                  <c:v>Libya</c:v>
                </c:pt>
                <c:pt idx="8">
                  <c:v>Nigeria</c:v>
                </c:pt>
                <c:pt idx="9">
                  <c:v>Qatar</c:v>
                </c:pt>
                <c:pt idx="10">
                  <c:v>Saudi Arabia</c:v>
                </c:pt>
                <c:pt idx="11">
                  <c:v>United Arab Emirates</c:v>
                </c:pt>
                <c:pt idx="12">
                  <c:v>Venezuela</c:v>
                </c:pt>
                <c:pt idx="13">
                  <c:v>Non OPEC</c:v>
                </c:pt>
              </c:strCache>
            </c:strRef>
          </c:cat>
          <c:val>
            <c:numRef>
              <c:f>('Petroleum - Global Oil Reserves'!$E$9:$E$21,'Petroleum - Global Oil Reserves'!$P$10)</c:f>
              <c:numCache>
                <c:formatCode>0.0</c:formatCode>
                <c:ptCount val="14"/>
                <c:pt idx="0">
                  <c:v>12.2</c:v>
                </c:pt>
                <c:pt idx="1">
                  <c:v>8.3840000000000003</c:v>
                </c:pt>
                <c:pt idx="2">
                  <c:v>2.7877280129805295</c:v>
                </c:pt>
                <c:pt idx="3">
                  <c:v>2</c:v>
                </c:pt>
                <c:pt idx="4">
                  <c:v>155.6</c:v>
                </c:pt>
                <c:pt idx="5">
                  <c:v>147.22300000000001</c:v>
                </c:pt>
                <c:pt idx="6">
                  <c:v>101.5</c:v>
                </c:pt>
                <c:pt idx="7">
                  <c:v>48.363</c:v>
                </c:pt>
                <c:pt idx="8">
                  <c:v>37.453000000000003</c:v>
                </c:pt>
                <c:pt idx="9">
                  <c:v>25.243999999999996</c:v>
                </c:pt>
                <c:pt idx="10">
                  <c:v>297.67099999999999</c:v>
                </c:pt>
                <c:pt idx="11">
                  <c:v>97.8</c:v>
                </c:pt>
                <c:pt idx="12">
                  <c:v>303.29057651612902</c:v>
                </c:pt>
                <c:pt idx="13">
                  <c:v>490.22129292019343</c:v>
                </c:pt>
              </c:numCache>
            </c:numRef>
          </c:val>
          <c:extLst>
            <c:ext xmlns:c16="http://schemas.microsoft.com/office/drawing/2014/chart" uri="{C3380CC4-5D6E-409C-BE32-E72D297353CC}">
              <c16:uniqueId val="{00000002-D0A6-406A-A9FB-AC627B511A04}"/>
            </c:ext>
          </c:extLst>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Global Oil Reserves, top 10 Nations</a:t>
            </a:r>
          </a:p>
          <a:p>
            <a:pPr>
              <a:defRPr/>
            </a:pPr>
            <a:r>
              <a:rPr lang="en-AU" sz="1100"/>
              <a:t>OPEC</a:t>
            </a:r>
            <a:r>
              <a:rPr lang="en-AU" sz="1100" baseline="0"/>
              <a:t> and Non-OPEC Affiliated</a:t>
            </a:r>
            <a:endParaRPr lang="en-AU"/>
          </a:p>
        </c:rich>
      </c:tx>
      <c:overlay val="0"/>
    </c:title>
    <c:autoTitleDeleted val="0"/>
    <c:plotArea>
      <c:layout>
        <c:manualLayout>
          <c:layoutTarget val="inner"/>
          <c:xMode val="edge"/>
          <c:yMode val="edge"/>
          <c:x val="0.10422989434013057"/>
          <c:y val="0.2363266198138925"/>
          <c:w val="0.87069888058864442"/>
          <c:h val="0.51150626459074644"/>
        </c:manualLayout>
      </c:layout>
      <c:barChart>
        <c:barDir val="col"/>
        <c:grouping val="clustered"/>
        <c:varyColors val="0"/>
        <c:ser>
          <c:idx val="1"/>
          <c:order val="0"/>
          <c:invertIfNegative val="0"/>
          <c:dPt>
            <c:idx val="2"/>
            <c:invertIfNegative val="0"/>
            <c:bubble3D val="0"/>
            <c:spPr>
              <a:solidFill>
                <a:schemeClr val="accent1"/>
              </a:solidFill>
            </c:spPr>
            <c:extLst>
              <c:ext xmlns:c16="http://schemas.microsoft.com/office/drawing/2014/chart" uri="{C3380CC4-5D6E-409C-BE32-E72D297353CC}">
                <c16:uniqueId val="{00000001-4F32-47C2-BB55-CD58BE428A35}"/>
              </c:ext>
            </c:extLst>
          </c:dPt>
          <c:dPt>
            <c:idx val="5"/>
            <c:invertIfNegative val="0"/>
            <c:bubble3D val="0"/>
            <c:spPr>
              <a:solidFill>
                <a:schemeClr val="accent1"/>
              </a:solidFill>
            </c:spPr>
            <c:extLst>
              <c:ext xmlns:c16="http://schemas.microsoft.com/office/drawing/2014/chart" uri="{C3380CC4-5D6E-409C-BE32-E72D297353CC}">
                <c16:uniqueId val="{00000003-4F32-47C2-BB55-CD58BE428A35}"/>
              </c:ext>
            </c:extLst>
          </c:dPt>
          <c:dPt>
            <c:idx val="8"/>
            <c:invertIfNegative val="0"/>
            <c:bubble3D val="0"/>
            <c:spPr>
              <a:solidFill>
                <a:schemeClr val="accent1"/>
              </a:solidFill>
            </c:spPr>
            <c:extLst>
              <c:ext xmlns:c16="http://schemas.microsoft.com/office/drawing/2014/chart" uri="{C3380CC4-5D6E-409C-BE32-E72D297353CC}">
                <c16:uniqueId val="{00000004-4F32-47C2-BB55-CD58BE428A35}"/>
              </c:ext>
            </c:extLst>
          </c:dPt>
          <c:dPt>
            <c:idx val="9"/>
            <c:invertIfNegative val="0"/>
            <c:bubble3D val="0"/>
            <c:extLst>
              <c:ext xmlns:c16="http://schemas.microsoft.com/office/drawing/2014/chart" uri="{C3380CC4-5D6E-409C-BE32-E72D297353CC}">
                <c16:uniqueId val="{00000006-4F32-47C2-BB55-CD58BE428A35}"/>
              </c:ext>
            </c:extLst>
          </c:dPt>
          <c:dPt>
            <c:idx val="10"/>
            <c:invertIfNegative val="0"/>
            <c:bubble3D val="0"/>
            <c:spPr>
              <a:solidFill>
                <a:schemeClr val="tx2">
                  <a:lumMod val="20000"/>
                  <a:lumOff val="80000"/>
                </a:schemeClr>
              </a:solidFill>
            </c:spPr>
            <c:extLst>
              <c:ext xmlns:c16="http://schemas.microsoft.com/office/drawing/2014/chart" uri="{C3380CC4-5D6E-409C-BE32-E72D297353CC}">
                <c16:uniqueId val="{00000008-4F32-47C2-BB55-CD58BE428A35}"/>
              </c:ext>
            </c:extLst>
          </c:dPt>
          <c:cat>
            <c:strRef>
              <c:f>'Petroleum - Global Oil Reserves'!$J$9:$J$19</c:f>
              <c:strCache>
                <c:ptCount val="11"/>
                <c:pt idx="0">
                  <c:v>Venezuela</c:v>
                </c:pt>
                <c:pt idx="1">
                  <c:v>Saudi Arabia</c:v>
                </c:pt>
                <c:pt idx="2">
                  <c:v>Canada</c:v>
                </c:pt>
                <c:pt idx="3">
                  <c:v>Iran</c:v>
                </c:pt>
                <c:pt idx="4">
                  <c:v>Iraq</c:v>
                </c:pt>
                <c:pt idx="5">
                  <c:v>Russian Federation</c:v>
                </c:pt>
                <c:pt idx="6">
                  <c:v>Kuwait</c:v>
                </c:pt>
                <c:pt idx="7">
                  <c:v>United Arab Emirates</c:v>
                </c:pt>
                <c:pt idx="8">
                  <c:v>US</c:v>
                </c:pt>
                <c:pt idx="9">
                  <c:v>Libya</c:v>
                </c:pt>
                <c:pt idx="10">
                  <c:v>Other</c:v>
                </c:pt>
              </c:strCache>
            </c:strRef>
          </c:cat>
          <c:val>
            <c:numRef>
              <c:f>'Petroleum - Global Oil Reserves'!$M$9:$M$19</c:f>
              <c:numCache>
                <c:formatCode>0.0%</c:formatCode>
                <c:ptCount val="11"/>
                <c:pt idx="0">
                  <c:v>0.17533906701419097</c:v>
                </c:pt>
                <c:pt idx="1">
                  <c:v>0.1720902641180663</c:v>
                </c:pt>
                <c:pt idx="2">
                  <c:v>9.7017663837170379E-2</c:v>
                </c:pt>
                <c:pt idx="3">
                  <c:v>8.9955840833575038E-2</c:v>
                </c:pt>
                <c:pt idx="4">
                  <c:v>8.5112909736770048E-2</c:v>
                </c:pt>
                <c:pt idx="5">
                  <c:v>6.1409999402839074E-2</c:v>
                </c:pt>
                <c:pt idx="6">
                  <c:v>5.8679420595166239E-2</c:v>
                </c:pt>
                <c:pt idx="7">
                  <c:v>5.6540367824702051E-2</c:v>
                </c:pt>
                <c:pt idx="8">
                  <c:v>3.5400167106441519E-2</c:v>
                </c:pt>
                <c:pt idx="9">
                  <c:v>2.7959732199448521E-2</c:v>
                </c:pt>
                <c:pt idx="10">
                  <c:v>0.1404945673316299</c:v>
                </c:pt>
              </c:numCache>
            </c:numRef>
          </c:val>
          <c:extLst>
            <c:ext xmlns:c16="http://schemas.microsoft.com/office/drawing/2014/chart" uri="{C3380CC4-5D6E-409C-BE32-E72D297353CC}">
              <c16:uniqueId val="{00000009-4F32-47C2-BB55-CD58BE428A35}"/>
            </c:ext>
          </c:extLst>
        </c:ser>
        <c:dLbls>
          <c:showLegendKey val="0"/>
          <c:showVal val="0"/>
          <c:showCatName val="0"/>
          <c:showSerName val="0"/>
          <c:showPercent val="0"/>
          <c:showBubbleSize val="0"/>
        </c:dLbls>
        <c:gapWidth val="150"/>
        <c:axId val="137604096"/>
        <c:axId val="137622272"/>
      </c:barChart>
      <c:catAx>
        <c:axId val="137604096"/>
        <c:scaling>
          <c:orientation val="minMax"/>
        </c:scaling>
        <c:delete val="0"/>
        <c:axPos val="b"/>
        <c:numFmt formatCode="General" sourceLinked="0"/>
        <c:majorTickMark val="out"/>
        <c:minorTickMark val="none"/>
        <c:tickLblPos val="nextTo"/>
        <c:crossAx val="137622272"/>
        <c:crosses val="autoZero"/>
        <c:auto val="0"/>
        <c:lblAlgn val="ctr"/>
        <c:lblOffset val="100"/>
        <c:noMultiLvlLbl val="0"/>
      </c:catAx>
      <c:valAx>
        <c:axId val="137622272"/>
        <c:scaling>
          <c:orientation val="minMax"/>
        </c:scaling>
        <c:delete val="0"/>
        <c:axPos val="l"/>
        <c:majorGridlines/>
        <c:numFmt formatCode="0.0%" sourceLinked="1"/>
        <c:majorTickMark val="out"/>
        <c:minorTickMark val="none"/>
        <c:tickLblPos val="nextTo"/>
        <c:crossAx val="137604096"/>
        <c:crosses val="autoZero"/>
        <c:crossBetween val="between"/>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Uranium</a:t>
            </a:r>
          </a:p>
          <a:p>
            <a:pPr>
              <a:defRPr/>
            </a:pPr>
            <a:r>
              <a:rPr lang="en-US" sz="1100">
                <a:latin typeface="Arial" panose="020B0604020202020204" pitchFamily="34" charset="0"/>
                <a:cs typeface="Arial" panose="020B0604020202020204" pitchFamily="34" charset="0"/>
              </a:rPr>
              <a:t>Historic avg. annual price</a:t>
            </a:r>
            <a:endParaRPr lang="en-AU" sz="1100">
              <a:latin typeface="Arial" panose="020B0604020202020204" pitchFamily="34" charset="0"/>
              <a:cs typeface="Arial" panose="020B0604020202020204" pitchFamily="34" charset="0"/>
            </a:endParaRPr>
          </a:p>
        </c:rich>
      </c:tx>
      <c:overlay val="0"/>
    </c:title>
    <c:autoTitleDeleted val="0"/>
    <c:plotArea>
      <c:layout/>
      <c:lineChart>
        <c:grouping val="standard"/>
        <c:varyColors val="0"/>
        <c:ser>
          <c:idx val="0"/>
          <c:order val="0"/>
          <c:spPr>
            <a:ln>
              <a:solidFill>
                <a:schemeClr val="bg2">
                  <a:lumMod val="50000"/>
                </a:schemeClr>
              </a:solidFill>
            </a:ln>
          </c:spPr>
          <c:marker>
            <c:symbol val="none"/>
          </c:marker>
          <c:cat>
            <c:numRef>
              <c:f>'Uranium - Prices'!$F$8:$F$41</c:f>
              <c:numCache>
                <c:formatCode>General</c:formatCode>
                <c:ptCount val="34"/>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numCache>
            </c:numRef>
          </c:cat>
          <c:val>
            <c:numRef>
              <c:f>'Uranium - Prices'!$G$8:$G$41</c:f>
              <c:numCache>
                <c:formatCode>"$"#,##0.00</c:formatCode>
                <c:ptCount val="34"/>
                <c:pt idx="0">
                  <c:v>17.102083333333336</c:v>
                </c:pt>
                <c:pt idx="1">
                  <c:v>17.389583333333334</c:v>
                </c:pt>
                <c:pt idx="2">
                  <c:v>14.541666666666664</c:v>
                </c:pt>
                <c:pt idx="3">
                  <c:v>9.9958333333333336</c:v>
                </c:pt>
                <c:pt idx="4">
                  <c:v>9.7083333333333339</c:v>
                </c:pt>
                <c:pt idx="5">
                  <c:v>8.6958333333333346</c:v>
                </c:pt>
                <c:pt idx="6">
                  <c:v>8.3250000000000011</c:v>
                </c:pt>
                <c:pt idx="7">
                  <c:v>9.9583333333333339</c:v>
                </c:pt>
                <c:pt idx="8">
                  <c:v>9.3083333333333318</c:v>
                </c:pt>
                <c:pt idx="9">
                  <c:v>11.454166666666667</c:v>
                </c:pt>
                <c:pt idx="10">
                  <c:v>15.575000000000001</c:v>
                </c:pt>
                <c:pt idx="11">
                  <c:v>12.0375</c:v>
                </c:pt>
                <c:pt idx="12">
                  <c:v>10.429999999999998</c:v>
                </c:pt>
                <c:pt idx="13">
                  <c:v>10.18</c:v>
                </c:pt>
                <c:pt idx="14">
                  <c:v>8.2291666666666661</c:v>
                </c:pt>
                <c:pt idx="15">
                  <c:v>8.7999999999999989</c:v>
                </c:pt>
                <c:pt idx="16">
                  <c:v>9.8958333333333339</c:v>
                </c:pt>
                <c:pt idx="17">
                  <c:v>11.629166666666668</c:v>
                </c:pt>
                <c:pt idx="18">
                  <c:v>18.554166666666664</c:v>
                </c:pt>
                <c:pt idx="19">
                  <c:v>28.516666666666666</c:v>
                </c:pt>
                <c:pt idx="20">
                  <c:v>49.279166666666669</c:v>
                </c:pt>
                <c:pt idx="21">
                  <c:v>98.5</c:v>
                </c:pt>
                <c:pt idx="22">
                  <c:v>61.833333333333336</c:v>
                </c:pt>
                <c:pt idx="23">
                  <c:v>46.3125</c:v>
                </c:pt>
                <c:pt idx="24">
                  <c:v>46.625</c:v>
                </c:pt>
                <c:pt idx="25">
                  <c:v>56.875</c:v>
                </c:pt>
                <c:pt idx="26">
                  <c:v>48.291666666666664</c:v>
                </c:pt>
                <c:pt idx="27">
                  <c:v>38.304166666666667</c:v>
                </c:pt>
                <c:pt idx="28">
                  <c:v>33.166666666666664</c:v>
                </c:pt>
                <c:pt idx="29">
                  <c:v>36.729166666666664</c:v>
                </c:pt>
                <c:pt idx="30">
                  <c:v>26.004166666666666</c:v>
                </c:pt>
                <c:pt idx="31">
                  <c:v>21.712499999999995</c:v>
                </c:pt>
                <c:pt idx="32">
                  <c:v>24.758333333333336</c:v>
                </c:pt>
                <c:pt idx="33">
                  <c:v>25.689999999999998</c:v>
                </c:pt>
              </c:numCache>
            </c:numRef>
          </c:val>
          <c:smooth val="0"/>
          <c:extLst>
            <c:ext xmlns:c16="http://schemas.microsoft.com/office/drawing/2014/chart" uri="{C3380CC4-5D6E-409C-BE32-E72D297353CC}">
              <c16:uniqueId val="{00000000-5658-4B1A-8CAB-748E3405F3A9}"/>
            </c:ext>
          </c:extLst>
        </c:ser>
        <c:dLbls>
          <c:showLegendKey val="0"/>
          <c:showVal val="0"/>
          <c:showCatName val="0"/>
          <c:showSerName val="0"/>
          <c:showPercent val="0"/>
          <c:showBubbleSize val="0"/>
        </c:dLbls>
        <c:smooth val="0"/>
        <c:axId val="134878336"/>
        <c:axId val="134880256"/>
      </c:lineChart>
      <c:catAx>
        <c:axId val="134878336"/>
        <c:scaling>
          <c:orientation val="minMax"/>
        </c:scaling>
        <c:delete val="0"/>
        <c:axPos val="b"/>
        <c:title>
          <c:tx>
            <c:rich>
              <a:bodyPr/>
              <a:lstStyle/>
              <a:p>
                <a:pPr>
                  <a:defRPr/>
                </a:pPr>
                <a:r>
                  <a:rPr lang="en-AU" sz="800"/>
                  <a:t>Source</a:t>
                </a:r>
                <a:r>
                  <a:rPr lang="en-AU" sz="800" baseline="0"/>
                  <a:t>: UX Consulting</a:t>
                </a:r>
                <a:endParaRPr lang="en-AU"/>
              </a:p>
            </c:rich>
          </c:tx>
          <c:layout>
            <c:manualLayout>
              <c:xMode val="edge"/>
              <c:yMode val="edge"/>
              <c:x val="5.8346385175967446E-3"/>
              <c:y val="0.94687223084269556"/>
            </c:manualLayout>
          </c:layout>
          <c:overlay val="0"/>
        </c:title>
        <c:numFmt formatCode="General" sourceLinked="1"/>
        <c:majorTickMark val="out"/>
        <c:minorTickMark val="none"/>
        <c:tickLblPos val="nextTo"/>
        <c:spPr>
          <a:ln/>
        </c:spPr>
        <c:txPr>
          <a:bodyPr rot="-2700000"/>
          <a:lstStyle/>
          <a:p>
            <a:pPr>
              <a:defRPr/>
            </a:pPr>
            <a:endParaRPr lang="en-US"/>
          </a:p>
        </c:txPr>
        <c:crossAx val="134880256"/>
        <c:crosses val="autoZero"/>
        <c:auto val="1"/>
        <c:lblAlgn val="ctr"/>
        <c:lblOffset val="100"/>
        <c:noMultiLvlLbl val="1"/>
      </c:catAx>
      <c:valAx>
        <c:axId val="134880256"/>
        <c:scaling>
          <c:orientation val="minMax"/>
        </c:scaling>
        <c:delete val="0"/>
        <c:axPos val="l"/>
        <c:majorGridlines/>
        <c:title>
          <c:tx>
            <c:rich>
              <a:bodyPr rot="-5400000" vert="horz"/>
              <a:lstStyle/>
              <a:p>
                <a:pPr>
                  <a:defRPr/>
                </a:pPr>
                <a:r>
                  <a:rPr lang="en-AU"/>
                  <a:t>US$/lb</a:t>
                </a:r>
              </a:p>
            </c:rich>
          </c:tx>
          <c:layout>
            <c:manualLayout>
              <c:xMode val="edge"/>
              <c:yMode val="edge"/>
              <c:x val="1.0899182561307902E-2"/>
              <c:y val="0.4258938534242061"/>
            </c:manualLayout>
          </c:layout>
          <c:overlay val="0"/>
        </c:title>
        <c:numFmt formatCode="#,##0" sourceLinked="0"/>
        <c:majorTickMark val="none"/>
        <c:minorTickMark val="none"/>
        <c:tickLblPos val="nextTo"/>
        <c:crossAx val="134878336"/>
        <c:crosses val="autoZero"/>
        <c:crossBetween val="between"/>
      </c:valAx>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Uranium</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'Uranium - Prices'!$B$7</c:f>
              <c:strCache>
                <c:ptCount val="1"/>
                <c:pt idx="0">
                  <c:v>Price (US$/lb)</c:v>
                </c:pt>
              </c:strCache>
            </c:strRef>
          </c:tx>
          <c:spPr>
            <a:ln>
              <a:solidFill>
                <a:schemeClr val="bg2">
                  <a:lumMod val="50000"/>
                </a:schemeClr>
              </a:solidFill>
            </a:ln>
          </c:spPr>
          <c:marker>
            <c:symbol val="none"/>
          </c:marker>
          <c:cat>
            <c:numRef>
              <c:extLst>
                <c:ext xmlns:c15="http://schemas.microsoft.com/office/drawing/2012/chart" uri="{02D57815-91ED-43cb-92C2-25804820EDAC}">
                  <c15:fullRef>
                    <c15:sqref>'Uranium - Prices'!$A$8:$A$67</c15:sqref>
                  </c15:fullRef>
                </c:ext>
              </c:extLst>
              <c:f>'Uranium - Prices'!$A$10:$A$67</c:f>
              <c:numCache>
                <c:formatCode>mmm\-yy</c:formatCode>
                <c:ptCount val="58"/>
                <c:pt idx="0">
                  <c:v>42064</c:v>
                </c:pt>
                <c:pt idx="1">
                  <c:v>42095</c:v>
                </c:pt>
                <c:pt idx="2">
                  <c:v>42125</c:v>
                </c:pt>
                <c:pt idx="3">
                  <c:v>42156</c:v>
                </c:pt>
                <c:pt idx="4">
                  <c:v>42186</c:v>
                </c:pt>
                <c:pt idx="5">
                  <c:v>42217</c:v>
                </c:pt>
                <c:pt idx="6">
                  <c:v>42248</c:v>
                </c:pt>
                <c:pt idx="7">
                  <c:v>42278</c:v>
                </c:pt>
                <c:pt idx="8">
                  <c:v>42309</c:v>
                </c:pt>
                <c:pt idx="9">
                  <c:v>42339</c:v>
                </c:pt>
                <c:pt idx="10">
                  <c:v>42370</c:v>
                </c:pt>
                <c:pt idx="11">
                  <c:v>42401</c:v>
                </c:pt>
                <c:pt idx="12">
                  <c:v>42430</c:v>
                </c:pt>
                <c:pt idx="13">
                  <c:v>42461</c:v>
                </c:pt>
                <c:pt idx="14">
                  <c:v>42491</c:v>
                </c:pt>
                <c:pt idx="15">
                  <c:v>42522</c:v>
                </c:pt>
                <c:pt idx="16">
                  <c:v>42552</c:v>
                </c:pt>
                <c:pt idx="17">
                  <c:v>42583</c:v>
                </c:pt>
                <c:pt idx="18">
                  <c:v>42614</c:v>
                </c:pt>
                <c:pt idx="19">
                  <c:v>42644</c:v>
                </c:pt>
                <c:pt idx="20">
                  <c:v>42675</c:v>
                </c:pt>
                <c:pt idx="21">
                  <c:v>42705</c:v>
                </c:pt>
                <c:pt idx="22">
                  <c:v>42736</c:v>
                </c:pt>
                <c:pt idx="23">
                  <c:v>42767</c:v>
                </c:pt>
                <c:pt idx="24">
                  <c:v>42795</c:v>
                </c:pt>
                <c:pt idx="25">
                  <c:v>42826</c:v>
                </c:pt>
                <c:pt idx="26">
                  <c:v>42856</c:v>
                </c:pt>
                <c:pt idx="27">
                  <c:v>42887</c:v>
                </c:pt>
                <c:pt idx="28">
                  <c:v>42917</c:v>
                </c:pt>
                <c:pt idx="29">
                  <c:v>42948</c:v>
                </c:pt>
                <c:pt idx="30">
                  <c:v>42979</c:v>
                </c:pt>
                <c:pt idx="31">
                  <c:v>43009</c:v>
                </c:pt>
                <c:pt idx="32">
                  <c:v>43040</c:v>
                </c:pt>
                <c:pt idx="33">
                  <c:v>43070</c:v>
                </c:pt>
                <c:pt idx="34">
                  <c:v>43101</c:v>
                </c:pt>
                <c:pt idx="35">
                  <c:v>43132</c:v>
                </c:pt>
                <c:pt idx="36">
                  <c:v>43160</c:v>
                </c:pt>
                <c:pt idx="37">
                  <c:v>43191</c:v>
                </c:pt>
                <c:pt idx="38">
                  <c:v>43221</c:v>
                </c:pt>
                <c:pt idx="39">
                  <c:v>43252</c:v>
                </c:pt>
                <c:pt idx="40">
                  <c:v>43282</c:v>
                </c:pt>
                <c:pt idx="41">
                  <c:v>43313</c:v>
                </c:pt>
                <c:pt idx="42">
                  <c:v>43344</c:v>
                </c:pt>
                <c:pt idx="43">
                  <c:v>43374</c:v>
                </c:pt>
                <c:pt idx="44">
                  <c:v>43405</c:v>
                </c:pt>
                <c:pt idx="45">
                  <c:v>43435</c:v>
                </c:pt>
                <c:pt idx="46">
                  <c:v>43466</c:v>
                </c:pt>
                <c:pt idx="47">
                  <c:v>43497</c:v>
                </c:pt>
                <c:pt idx="48">
                  <c:v>43525</c:v>
                </c:pt>
                <c:pt idx="49">
                  <c:v>43556</c:v>
                </c:pt>
                <c:pt idx="50">
                  <c:v>43586</c:v>
                </c:pt>
                <c:pt idx="51">
                  <c:v>43617</c:v>
                </c:pt>
                <c:pt idx="52">
                  <c:v>43647</c:v>
                </c:pt>
                <c:pt idx="53">
                  <c:v>43678</c:v>
                </c:pt>
                <c:pt idx="54">
                  <c:v>43709</c:v>
                </c:pt>
                <c:pt idx="55">
                  <c:v>43739</c:v>
                </c:pt>
                <c:pt idx="56">
                  <c:v>43770</c:v>
                </c:pt>
                <c:pt idx="57">
                  <c:v>43800</c:v>
                </c:pt>
              </c:numCache>
            </c:numRef>
          </c:cat>
          <c:val>
            <c:numRef>
              <c:extLst>
                <c:ext xmlns:c15="http://schemas.microsoft.com/office/drawing/2012/chart" uri="{02D57815-91ED-43cb-92C2-25804820EDAC}">
                  <c15:fullRef>
                    <c15:sqref>'Uranium - Prices'!$B$8:$B$67</c15:sqref>
                  </c15:fullRef>
                </c:ext>
              </c:extLst>
              <c:f>'Uranium - Prices'!$B$10:$B$67</c:f>
              <c:numCache>
                <c:formatCode>"$"#,##0.00</c:formatCode>
                <c:ptCount val="58"/>
                <c:pt idx="0">
                  <c:v>39.5</c:v>
                </c:pt>
                <c:pt idx="1">
                  <c:v>38.25</c:v>
                </c:pt>
                <c:pt idx="2">
                  <c:v>35.25</c:v>
                </c:pt>
                <c:pt idx="3">
                  <c:v>36.5</c:v>
                </c:pt>
                <c:pt idx="4">
                  <c:v>36</c:v>
                </c:pt>
                <c:pt idx="5">
                  <c:v>36.5</c:v>
                </c:pt>
                <c:pt idx="6">
                  <c:v>36.5</c:v>
                </c:pt>
                <c:pt idx="7">
                  <c:v>36.5</c:v>
                </c:pt>
                <c:pt idx="8">
                  <c:v>36</c:v>
                </c:pt>
                <c:pt idx="9">
                  <c:v>34.25</c:v>
                </c:pt>
                <c:pt idx="10">
                  <c:v>34.75</c:v>
                </c:pt>
                <c:pt idx="11">
                  <c:v>32.15</c:v>
                </c:pt>
                <c:pt idx="12">
                  <c:v>29.15</c:v>
                </c:pt>
                <c:pt idx="13">
                  <c:v>27.5</c:v>
                </c:pt>
                <c:pt idx="14">
                  <c:v>27.25</c:v>
                </c:pt>
                <c:pt idx="15">
                  <c:v>27</c:v>
                </c:pt>
                <c:pt idx="16">
                  <c:v>25</c:v>
                </c:pt>
                <c:pt idx="17">
                  <c:v>25.25</c:v>
                </c:pt>
                <c:pt idx="18">
                  <c:v>23.75</c:v>
                </c:pt>
                <c:pt idx="19">
                  <c:v>20</c:v>
                </c:pt>
                <c:pt idx="20">
                  <c:v>20</c:v>
                </c:pt>
                <c:pt idx="21">
                  <c:v>20.25</c:v>
                </c:pt>
                <c:pt idx="22">
                  <c:v>23</c:v>
                </c:pt>
                <c:pt idx="23">
                  <c:v>24.5</c:v>
                </c:pt>
                <c:pt idx="24">
                  <c:v>24.5</c:v>
                </c:pt>
                <c:pt idx="25">
                  <c:v>22.75</c:v>
                </c:pt>
                <c:pt idx="26">
                  <c:v>19.25</c:v>
                </c:pt>
                <c:pt idx="27">
                  <c:v>20.100000000000001</c:v>
                </c:pt>
                <c:pt idx="28">
                  <c:v>20.5</c:v>
                </c:pt>
                <c:pt idx="29">
                  <c:v>20</c:v>
                </c:pt>
                <c:pt idx="30">
                  <c:v>20.25</c:v>
                </c:pt>
                <c:pt idx="31">
                  <c:v>19.95</c:v>
                </c:pt>
                <c:pt idx="32">
                  <c:v>22</c:v>
                </c:pt>
                <c:pt idx="33">
                  <c:v>23.75</c:v>
                </c:pt>
                <c:pt idx="34">
                  <c:v>22</c:v>
                </c:pt>
                <c:pt idx="35">
                  <c:v>21.75</c:v>
                </c:pt>
                <c:pt idx="36">
                  <c:v>21.1</c:v>
                </c:pt>
                <c:pt idx="37">
                  <c:v>21</c:v>
                </c:pt>
                <c:pt idx="38">
                  <c:v>22.75</c:v>
                </c:pt>
                <c:pt idx="39">
                  <c:v>22.55</c:v>
                </c:pt>
                <c:pt idx="40">
                  <c:v>25.7</c:v>
                </c:pt>
                <c:pt idx="41">
                  <c:v>27.35</c:v>
                </c:pt>
                <c:pt idx="42">
                  <c:v>27.4</c:v>
                </c:pt>
                <c:pt idx="43">
                  <c:v>27.9</c:v>
                </c:pt>
                <c:pt idx="44">
                  <c:v>29.1</c:v>
                </c:pt>
                <c:pt idx="45">
                  <c:v>28.5</c:v>
                </c:pt>
                <c:pt idx="46">
                  <c:v>28.9</c:v>
                </c:pt>
                <c:pt idx="47">
                  <c:v>28</c:v>
                </c:pt>
                <c:pt idx="48">
                  <c:v>25.75</c:v>
                </c:pt>
                <c:pt idx="49">
                  <c:v>24.1</c:v>
                </c:pt>
                <c:pt idx="50">
                  <c:v>24.7</c:v>
                </c:pt>
                <c:pt idx="51">
                  <c:v>25.5</c:v>
                </c:pt>
                <c:pt idx="52">
                  <c:v>25.38</c:v>
                </c:pt>
                <c:pt idx="53">
                  <c:v>25.3</c:v>
                </c:pt>
                <c:pt idx="54">
                  <c:v>25.65</c:v>
                </c:pt>
                <c:pt idx="55">
                  <c:v>24</c:v>
                </c:pt>
                <c:pt idx="56">
                  <c:v>26</c:v>
                </c:pt>
                <c:pt idx="57">
                  <c:v>25</c:v>
                </c:pt>
              </c:numCache>
            </c:numRef>
          </c:val>
          <c:smooth val="0"/>
          <c:extLst>
            <c:ext xmlns:c16="http://schemas.microsoft.com/office/drawing/2014/chart" uri="{C3380CC4-5D6E-409C-BE32-E72D297353CC}">
              <c16:uniqueId val="{00000000-A92F-4D85-B067-3BBE412E2000}"/>
            </c:ext>
          </c:extLst>
        </c:ser>
        <c:dLbls>
          <c:showLegendKey val="0"/>
          <c:showVal val="0"/>
          <c:showCatName val="0"/>
          <c:showSerName val="0"/>
          <c:showPercent val="0"/>
          <c:showBubbleSize val="0"/>
        </c:dLbls>
        <c:smooth val="0"/>
        <c:axId val="134915584"/>
        <c:axId val="134914048"/>
      </c:lineChart>
      <c:valAx>
        <c:axId val="134914048"/>
        <c:scaling>
          <c:orientation val="minMax"/>
        </c:scaling>
        <c:delete val="0"/>
        <c:axPos val="l"/>
        <c:majorGridlines/>
        <c:title>
          <c:tx>
            <c:rich>
              <a:bodyPr/>
              <a:lstStyle/>
              <a:p>
                <a:pPr>
                  <a:defRPr/>
                </a:pPr>
                <a:r>
                  <a:rPr lang="en-AU"/>
                  <a:t>US$/lb</a:t>
                </a:r>
              </a:p>
            </c:rich>
          </c:tx>
          <c:overlay val="0"/>
        </c:title>
        <c:numFmt formatCode="#,##0" sourceLinked="0"/>
        <c:majorTickMark val="out"/>
        <c:minorTickMark val="none"/>
        <c:tickLblPos val="nextTo"/>
        <c:crossAx val="134915584"/>
        <c:crosses val="autoZero"/>
        <c:crossBetween val="between"/>
      </c:valAx>
      <c:dateAx>
        <c:axId val="134915584"/>
        <c:scaling>
          <c:orientation val="minMax"/>
        </c:scaling>
        <c:delete val="0"/>
        <c:axPos val="b"/>
        <c:title>
          <c:tx>
            <c:rich>
              <a:bodyPr/>
              <a:lstStyle/>
              <a:p>
                <a:pPr>
                  <a:defRPr/>
                </a:pPr>
                <a:r>
                  <a:rPr lang="en-AU" sz="800" b="1" i="0" baseline="0">
                    <a:effectLst/>
                  </a:rPr>
                  <a:t>Source:  UX Consulting</a:t>
                </a:r>
                <a:endParaRPr lang="en-AU" sz="800">
                  <a:effectLst/>
                </a:endParaRPr>
              </a:p>
            </c:rich>
          </c:tx>
          <c:layout>
            <c:manualLayout>
              <c:xMode val="edge"/>
              <c:yMode val="edge"/>
              <c:x val="8.835748942857621E-3"/>
              <c:y val="0.95231879596019398"/>
            </c:manualLayout>
          </c:layout>
          <c:overlay val="0"/>
        </c:title>
        <c:numFmt formatCode="mmm\-yy" sourceLinked="1"/>
        <c:majorTickMark val="out"/>
        <c:minorTickMark val="none"/>
        <c:tickLblPos val="nextTo"/>
        <c:crossAx val="134914048"/>
        <c:crosses val="autoZero"/>
        <c:auto val="0"/>
        <c:lblOffset val="100"/>
        <c:baseTimeUnit val="months"/>
        <c:majorUnit val="3"/>
        <c:majorTimeUnit val="months"/>
      </c:date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hyperlink" Target="#Index!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15.xml"/><Relationship Id="rId7" Type="http://schemas.openxmlformats.org/officeDocument/2006/relationships/hyperlink" Target="#Index!A1"/><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image" Target="../media/image3.png"/><Relationship Id="rId5" Type="http://schemas.openxmlformats.org/officeDocument/2006/relationships/chart" Target="../charts/chart26.xml"/><Relationship Id="rId10" Type="http://schemas.openxmlformats.org/officeDocument/2006/relationships/hyperlink" Target="#Index!A1"/><Relationship Id="rId4" Type="http://schemas.openxmlformats.org/officeDocument/2006/relationships/chart" Target="../charts/chart25.xml"/><Relationship Id="rId9"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3.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35.xml"/></Relationships>
</file>

<file path=xl/drawings/_rels/drawing3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image" Target="../media/image3.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5" Type="http://schemas.openxmlformats.org/officeDocument/2006/relationships/image" Target="../media/image3.png"/><Relationship Id="rId4" Type="http://schemas.openxmlformats.org/officeDocument/2006/relationships/hyperlink" Target="#Index!A1"/></Relationships>
</file>

<file path=xl/drawings/_rels/drawing44.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5" Type="http://schemas.openxmlformats.org/officeDocument/2006/relationships/image" Target="../media/image3.png"/><Relationship Id="rId4" Type="http://schemas.openxmlformats.org/officeDocument/2006/relationships/hyperlink" Target="#Index!A1"/></Relationships>
</file>

<file path=xl/drawings/_rels/drawing4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image" Target="../media/image3.png"/></Relationships>
</file>

<file path=xl/drawings/_rels/drawing4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6.xml"/><Relationship Id="rId1" Type="http://schemas.openxmlformats.org/officeDocument/2006/relationships/chart" Target="../charts/chart55.xml"/><Relationship Id="rId4"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59.xml"/></Relationships>
</file>

<file path=xl/drawings/_rels/drawing5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60.xml"/><Relationship Id="rId4" Type="http://schemas.openxmlformats.org/officeDocument/2006/relationships/chart" Target="../charts/chart61.xml"/></Relationships>
</file>

<file path=xl/drawings/_rels/drawing5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3.xml"/><Relationship Id="rId1" Type="http://schemas.openxmlformats.org/officeDocument/2006/relationships/chart" Target="../charts/chart62.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5.xml"/><Relationship Id="rId1" Type="http://schemas.openxmlformats.org/officeDocument/2006/relationships/chart" Target="../charts/chart64.xml"/><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7.xml"/><Relationship Id="rId1" Type="http://schemas.openxmlformats.org/officeDocument/2006/relationships/chart" Target="../charts/chart66.xml"/><Relationship Id="rId4" Type="http://schemas.openxmlformats.org/officeDocument/2006/relationships/image" Target="../media/image3.png"/></Relationships>
</file>

<file path=xl/drawings/_rels/drawing5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68.xml"/></Relationships>
</file>

<file path=xl/drawings/_rels/drawing5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image" Target="../media/image3.png"/></Relationships>
</file>

<file path=xl/drawings/_rels/drawing5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image" Target="../media/image3.png"/></Relationships>
</file>

<file path=xl/drawings/_rels/drawing60.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75.xml"/><Relationship Id="rId7" Type="http://schemas.openxmlformats.org/officeDocument/2006/relationships/hyperlink" Target="#Index!A1"/><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6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0.xml"/><Relationship Id="rId1" Type="http://schemas.openxmlformats.org/officeDocument/2006/relationships/chart" Target="../charts/chart79.xml"/><Relationship Id="rId4" Type="http://schemas.openxmlformats.org/officeDocument/2006/relationships/image" Target="../media/image3.png"/></Relationships>
</file>

<file path=xl/drawings/_rels/drawing6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image" Target="../media/image3.png"/></Relationships>
</file>

<file path=xl/drawings/_rels/drawing6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83.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5" Type="http://schemas.openxmlformats.org/officeDocument/2006/relationships/image" Target="../media/image3.png"/><Relationship Id="rId4" Type="http://schemas.openxmlformats.org/officeDocument/2006/relationships/hyperlink" Target="#Index!A1"/></Relationships>
</file>

<file path=xl/drawings/_rels/drawing69.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chart" Target="../charts/chart89.xml"/><Relationship Id="rId7" Type="http://schemas.openxmlformats.org/officeDocument/2006/relationships/image" Target="../media/image11.png"/><Relationship Id="rId2" Type="http://schemas.openxmlformats.org/officeDocument/2006/relationships/chart" Target="../charts/chart88.xml"/><Relationship Id="rId1" Type="http://schemas.openxmlformats.org/officeDocument/2006/relationships/chart" Target="../charts/chart87.xml"/><Relationship Id="rId6" Type="http://schemas.openxmlformats.org/officeDocument/2006/relationships/image" Target="../media/image3.png"/><Relationship Id="rId5" Type="http://schemas.openxmlformats.org/officeDocument/2006/relationships/hyperlink" Target="#Index!A1"/><Relationship Id="rId4" Type="http://schemas.openxmlformats.org/officeDocument/2006/relationships/chart" Target="../charts/chart90.xml"/></Relationships>
</file>

<file path=xl/drawings/_rels/drawing7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92.xml"/><Relationship Id="rId1" Type="http://schemas.openxmlformats.org/officeDocument/2006/relationships/chart" Target="../charts/chart91.xml"/><Relationship Id="rId5" Type="http://schemas.openxmlformats.org/officeDocument/2006/relationships/image" Target="../media/image3.png"/><Relationship Id="rId4" Type="http://schemas.openxmlformats.org/officeDocument/2006/relationships/hyperlink" Target="#Index!A1"/></Relationships>
</file>

<file path=xl/drawings/_rels/drawing7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94.xml"/><Relationship Id="rId1" Type="http://schemas.openxmlformats.org/officeDocument/2006/relationships/chart" Target="../charts/chart93.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3077195</xdr:colOff>
      <xdr:row>3</xdr:row>
      <xdr:rowOff>181080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38100</xdr:colOff>
          <xdr:row>5</xdr:row>
          <xdr:rowOff>19050</xdr:rowOff>
        </xdr:from>
        <xdr:to>
          <xdr:col>11</xdr:col>
          <xdr:colOff>419100</xdr:colOff>
          <xdr:row>23</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0.00257</cdr:x>
      <cdr:y>0.95292</cdr:y>
    </cdr:from>
    <cdr:to>
      <cdr:x>0.13335</cdr:x>
      <cdr:y>1</cdr:y>
    </cdr:to>
    <cdr:sp macro="" textlink="">
      <cdr:nvSpPr>
        <cdr:cNvPr id="34817" name="Text Box 1"/>
        <cdr:cNvSpPr txBox="1">
          <a:spLocks xmlns:a="http://schemas.openxmlformats.org/drawingml/2006/main" noChangeArrowheads="1"/>
        </cdr:cNvSpPr>
      </cdr:nvSpPr>
      <cdr:spPr bwMode="auto">
        <a:xfrm xmlns:a="http://schemas.openxmlformats.org/drawingml/2006/main">
          <a:off x="19051" y="4511043"/>
          <a:ext cx="969644" cy="22288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b"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DMIRS</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791195</xdr:colOff>
      <xdr:row>3</xdr:row>
      <xdr:rowOff>66780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86345</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1019795</xdr:colOff>
      <xdr:row>3</xdr:row>
      <xdr:rowOff>181080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1343645</xdr:colOff>
      <xdr:row>3</xdr:row>
      <xdr:rowOff>38205</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200025</xdr:colOff>
      <xdr:row>7</xdr:row>
      <xdr:rowOff>111500</xdr:rowOff>
    </xdr:from>
    <xdr:to>
      <xdr:col>17</xdr:col>
      <xdr:colOff>268676</xdr:colOff>
      <xdr:row>29</xdr:row>
      <xdr:rowOff>44264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190500</xdr:colOff>
      <xdr:row>29</xdr:row>
      <xdr:rowOff>155762</xdr:rowOff>
    </xdr:from>
    <xdr:to>
      <xdr:col>17</xdr:col>
      <xdr:colOff>321344</xdr:colOff>
      <xdr:row>51</xdr:row>
      <xdr:rowOff>66115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590549</xdr:colOff>
      <xdr:row>20</xdr:row>
      <xdr:rowOff>104776</xdr:rowOff>
    </xdr:from>
    <xdr:to>
      <xdr:col>22</xdr:col>
      <xdr:colOff>38100</xdr:colOff>
      <xdr:row>25</xdr:row>
      <xdr:rowOff>161926</xdr:rowOff>
    </xdr:to>
    <xdr:sp macro="" textlink="">
      <xdr:nvSpPr>
        <xdr:cNvPr id="2" name="TextBox 1"/>
        <xdr:cNvSpPr txBox="1"/>
      </xdr:nvSpPr>
      <xdr:spPr>
        <a:xfrm>
          <a:off x="12792074" y="4124326"/>
          <a:ext cx="3629026" cy="1009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In Q2 2016, in addition to its alumina exports, Alcoa began</a:t>
          </a:r>
          <a:r>
            <a:rPr lang="en-AU" sz="1100" baseline="0"/>
            <a:t> producing and exporting unrefined bauxite directly.</a:t>
          </a:r>
        </a:p>
        <a:p>
          <a:endParaRPr lang="en-AU" sz="1100" baseline="0"/>
        </a:p>
        <a:p>
          <a:r>
            <a:rPr lang="en-AU" sz="1100" baseline="0"/>
            <a:t>Thus, sales data from Q2 2016 onwards includes small amounts of bauxite in addition to alumina production.</a:t>
          </a:r>
          <a:endParaRPr lang="en-AU" sz="1100"/>
        </a:p>
      </xdr:txBody>
    </xdr:sp>
    <xdr:clientData/>
  </xdr:twoCellAnchor>
  <xdr:twoCellAnchor editAs="oneCell">
    <xdr:from>
      <xdr:col>0</xdr:col>
      <xdr:colOff>0</xdr:colOff>
      <xdr:row>0</xdr:row>
      <xdr:rowOff>0</xdr:rowOff>
    </xdr:from>
    <xdr:to>
      <xdr:col>4</xdr:col>
      <xdr:colOff>600695</xdr:colOff>
      <xdr:row>3</xdr:row>
      <xdr:rowOff>105</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8</xdr:col>
      <xdr:colOff>333375</xdr:colOff>
      <xdr:row>24</xdr:row>
      <xdr:rowOff>142875</xdr:rowOff>
    </xdr:from>
    <xdr:to>
      <xdr:col>19</xdr:col>
      <xdr:colOff>542925</xdr:colOff>
      <xdr:row>46</xdr:row>
      <xdr:rowOff>155761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258865</xdr:colOff>
      <xdr:row>5</xdr:row>
      <xdr:rowOff>47624</xdr:rowOff>
    </xdr:from>
    <xdr:to>
      <xdr:col>19</xdr:col>
      <xdr:colOff>590549</xdr:colOff>
      <xdr:row>23</xdr:row>
      <xdr:rowOff>171450</xdr:rowOff>
    </xdr:to>
    <xdr:grpSp>
      <xdr:nvGrpSpPr>
        <xdr:cNvPr id="4" name="Group 3"/>
        <xdr:cNvGrpSpPr/>
      </xdr:nvGrpSpPr>
      <xdr:grpSpPr>
        <a:xfrm>
          <a:off x="5164240" y="1000124"/>
          <a:ext cx="7037284" cy="3571876"/>
          <a:chOff x="5073045" y="990599"/>
          <a:chExt cx="5975954" cy="3571876"/>
        </a:xfrm>
      </xdr:grpSpPr>
      <xdr:graphicFrame macro="">
        <xdr:nvGraphicFramePr>
          <xdr:cNvPr id="3" name="Chart 2"/>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 name="TextBox 1"/>
          <xdr:cNvSpPr txBox="1"/>
        </xdr:nvSpPr>
        <xdr:spPr>
          <a:xfrm>
            <a:off x="5073045" y="4352925"/>
            <a:ext cx="79123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ABS</a:t>
            </a:r>
            <a:endParaRPr lang="en-AU" sz="900" b="1">
              <a:effectLst/>
              <a:latin typeface="+mn-lt"/>
            </a:endParaRPr>
          </a:p>
          <a:p>
            <a:endParaRPr lang="en-AU" sz="900"/>
          </a:p>
        </xdr:txBody>
      </xdr:sp>
    </xdr:grpSp>
    <xdr:clientData/>
  </xdr:twoCellAnchor>
  <xdr:twoCellAnchor editAs="oneCell">
    <xdr:from>
      <xdr:col>0</xdr:col>
      <xdr:colOff>0</xdr:colOff>
      <xdr:row>0</xdr:row>
      <xdr:rowOff>0</xdr:rowOff>
    </xdr:from>
    <xdr:to>
      <xdr:col>6</xdr:col>
      <xdr:colOff>848345</xdr:colOff>
      <xdr:row>3</xdr:row>
      <xdr:rowOff>181080</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19050</xdr:colOff>
      <xdr:row>2</xdr:row>
      <xdr:rowOff>152400</xdr:rowOff>
    </xdr:from>
    <xdr:to>
      <xdr:col>11</xdr:col>
      <xdr:colOff>904876</xdr:colOff>
      <xdr:row>24</xdr:row>
      <xdr:rowOff>47625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724520</xdr:colOff>
      <xdr:row>3</xdr:row>
      <xdr:rowOff>181080</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5</xdr:col>
      <xdr:colOff>28575</xdr:colOff>
      <xdr:row>25</xdr:row>
      <xdr:rowOff>28575</xdr:rowOff>
    </xdr:from>
    <xdr:to>
      <xdr:col>8</xdr:col>
      <xdr:colOff>571501</xdr:colOff>
      <xdr:row>30</xdr:row>
      <xdr:rowOff>85725</xdr:rowOff>
    </xdr:to>
    <xdr:sp macro="" textlink="">
      <xdr:nvSpPr>
        <xdr:cNvPr id="4" name="TextBox 3"/>
        <xdr:cNvSpPr txBox="1"/>
      </xdr:nvSpPr>
      <xdr:spPr>
        <a:xfrm>
          <a:off x="4772025" y="4924425"/>
          <a:ext cx="3629026" cy="1009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In Q2 2016, in addition to its alumina exports, Alcoa began</a:t>
          </a:r>
          <a:r>
            <a:rPr lang="en-AU" sz="1100" baseline="0"/>
            <a:t> producing and exporting unrefined bauxite directly.</a:t>
          </a:r>
        </a:p>
        <a:p>
          <a:endParaRPr lang="en-AU" sz="1100" baseline="0"/>
        </a:p>
        <a:p>
          <a:r>
            <a:rPr lang="en-AU" sz="1100" baseline="0"/>
            <a:t>Thus, exports data from 2015-16 onwards includes small amounts of bauxite in addition to alumina exports.</a:t>
          </a:r>
          <a:endParaRPr lang="en-AU" sz="1100"/>
        </a:p>
      </xdr:txBody>
    </xdr:sp>
    <xdr:clientData/>
  </xdr:twoCellAnchor>
</xdr:wsDr>
</file>

<file path=xl/drawings/drawing18.xml><?xml version="1.0" encoding="utf-8"?>
<c:userShapes xmlns:c="http://schemas.openxmlformats.org/drawingml/2006/chart">
  <cdr:relSizeAnchor xmlns:cdr="http://schemas.openxmlformats.org/drawingml/2006/chartDrawing">
    <cdr:from>
      <cdr:x>0.00174</cdr:x>
      <cdr:y>0.94432</cdr:y>
    </cdr:from>
    <cdr:to>
      <cdr:x>0.12962</cdr:x>
      <cdr:y>0.99398</cdr:y>
    </cdr:to>
    <cdr:sp macro="" textlink="">
      <cdr:nvSpPr>
        <cdr:cNvPr id="2" name="TextBox 1"/>
        <cdr:cNvSpPr txBox="1"/>
      </cdr:nvSpPr>
      <cdr:spPr>
        <a:xfrm xmlns:a="http://schemas.openxmlformats.org/drawingml/2006/main">
          <a:off x="12700" y="3984625"/>
          <a:ext cx="931758" cy="2095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DMIRS</a:t>
          </a:r>
          <a:endParaRPr lang="en-AU" sz="900" b="1">
            <a:effectLst/>
            <a:latin typeface="+mn-lt"/>
          </a:endParaRPr>
        </a:p>
        <a:p xmlns:a="http://schemas.openxmlformats.org/drawingml/2006/main">
          <a:endParaRPr lang="en-AU" sz="900"/>
        </a:p>
      </cdr:txBody>
    </cdr:sp>
  </cdr:relSizeAnchor>
</c:userShapes>
</file>

<file path=xl/drawings/drawing19.xml><?xml version="1.0" encoding="utf-8"?>
<xdr:wsDr xmlns:xdr="http://schemas.openxmlformats.org/drawingml/2006/spreadsheetDrawing" xmlns:a="http://schemas.openxmlformats.org/drawingml/2006/main">
  <xdr:twoCellAnchor>
    <xdr:from>
      <xdr:col>5</xdr:col>
      <xdr:colOff>22412</xdr:colOff>
      <xdr:row>5</xdr:row>
      <xdr:rowOff>106455</xdr:rowOff>
    </xdr:from>
    <xdr:to>
      <xdr:col>18</xdr:col>
      <xdr:colOff>187139</xdr:colOff>
      <xdr:row>27</xdr:row>
      <xdr:rowOff>142875</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11206</xdr:colOff>
      <xdr:row>29</xdr:row>
      <xdr:rowOff>33617</xdr:rowOff>
    </xdr:from>
    <xdr:to>
      <xdr:col>17</xdr:col>
      <xdr:colOff>0</xdr:colOff>
      <xdr:row>51</xdr:row>
      <xdr:rowOff>44822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265580</xdr:colOff>
      <xdr:row>5</xdr:row>
      <xdr:rowOff>126624</xdr:rowOff>
    </xdr:from>
    <xdr:to>
      <xdr:col>22</xdr:col>
      <xdr:colOff>400050</xdr:colOff>
      <xdr:row>19</xdr:row>
      <xdr:rowOff>189937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5</xdr:col>
      <xdr:colOff>225858</xdr:colOff>
      <xdr:row>3</xdr:row>
      <xdr:rowOff>181080</xdr:rowOff>
    </xdr:to>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20</xdr:row>
      <xdr:rowOff>0</xdr:rowOff>
    </xdr:to>
    <xdr:sp macro="" textlink="">
      <xdr:nvSpPr>
        <xdr:cNvPr id="3" name="Text Box 2"/>
        <xdr:cNvSpPr txBox="1">
          <a:spLocks noChangeArrowheads="1"/>
        </xdr:cNvSpPr>
      </xdr:nvSpPr>
      <xdr:spPr bwMode="auto">
        <a:xfrm>
          <a:off x="438150" y="1257301"/>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a:t>
          </a:r>
        </a:p>
        <a:p>
          <a:pPr rtl="0"/>
          <a:r>
            <a:rPr lang="en-AU" sz="1100" b="0" i="0" baseline="0">
              <a:effectLst/>
              <a:latin typeface="+mn-lt"/>
              <a:ea typeface="+mn-ea"/>
              <a:cs typeface="+mn-cs"/>
            </a:rPr>
            <a:t>		Note that all the raw data underpinning these dynamic tables and graphs 		is available within the workbook, though not neccesarily within the same 		tab.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2</xdr:col>
      <xdr:colOff>324470</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0.00805</cdr:x>
      <cdr:y>0.94481</cdr:y>
    </cdr:from>
    <cdr:to>
      <cdr:x>0.17009</cdr:x>
      <cdr:y>0.98896</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62637" y="4003119"/>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OoCE</a:t>
          </a: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0.92243</cdr:y>
    </cdr:from>
    <cdr:to>
      <cdr:x>0.29809</cdr:x>
      <cdr:y>1</cdr:y>
    </cdr:to>
    <cdr:sp macro="" textlink="">
      <cdr:nvSpPr>
        <cdr:cNvPr id="2" name="TextBox 1"/>
        <cdr:cNvSpPr txBox="1"/>
      </cdr:nvSpPr>
      <cdr:spPr>
        <a:xfrm xmlns:a="http://schemas.openxmlformats.org/drawingml/2006/main">
          <a:off x="0" y="2527300"/>
          <a:ext cx="1363194" cy="21253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DMIRS and OoCE</a:t>
          </a:r>
          <a:endParaRPr lang="en-AU" sz="900" b="1">
            <a:effectLst/>
            <a:latin typeface="+mn-lt"/>
          </a:endParaRPr>
        </a:p>
        <a:p xmlns:a="http://schemas.openxmlformats.org/drawingml/2006/main">
          <a:endParaRPr lang="en-AU" sz="900"/>
        </a:p>
      </cdr:txBody>
    </cdr:sp>
  </cdr:relSizeAnchor>
</c:userShapes>
</file>

<file path=xl/drawings/drawing22.xml><?xml version="1.0" encoding="utf-8"?>
<xdr:wsDr xmlns:xdr="http://schemas.openxmlformats.org/drawingml/2006/spreadsheetDrawing" xmlns:a="http://schemas.openxmlformats.org/drawingml/2006/main">
  <xdr:twoCellAnchor>
    <xdr:from>
      <xdr:col>17</xdr:col>
      <xdr:colOff>218517</xdr:colOff>
      <xdr:row>0</xdr:row>
      <xdr:rowOff>98051</xdr:rowOff>
    </xdr:from>
    <xdr:to>
      <xdr:col>23</xdr:col>
      <xdr:colOff>714376</xdr:colOff>
      <xdr:row>22</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205629</xdr:colOff>
      <xdr:row>23</xdr:row>
      <xdr:rowOff>85725</xdr:rowOff>
    </xdr:from>
    <xdr:to>
      <xdr:col>23</xdr:col>
      <xdr:colOff>714376</xdr:colOff>
      <xdr:row>44</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242608</xdr:colOff>
      <xdr:row>45</xdr:row>
      <xdr:rowOff>0</xdr:rowOff>
    </xdr:from>
    <xdr:to>
      <xdr:col>23</xdr:col>
      <xdr:colOff>704851</xdr:colOff>
      <xdr:row>62</xdr:row>
      <xdr:rowOff>152400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50221</xdr:colOff>
      <xdr:row>0</xdr:row>
      <xdr:rowOff>115166</xdr:rowOff>
    </xdr:from>
    <xdr:to>
      <xdr:col>31</xdr:col>
      <xdr:colOff>19049</xdr:colOff>
      <xdr:row>22</xdr:row>
      <xdr:rowOff>28574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781049</xdr:colOff>
      <xdr:row>23</xdr:row>
      <xdr:rowOff>95251</xdr:rowOff>
    </xdr:from>
    <xdr:to>
      <xdr:col>31</xdr:col>
      <xdr:colOff>9524</xdr:colOff>
      <xdr:row>44</xdr:row>
      <xdr:rowOff>66676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771525</xdr:colOff>
      <xdr:row>45</xdr:row>
      <xdr:rowOff>19050</xdr:rowOff>
    </xdr:from>
    <xdr:to>
      <xdr:col>31</xdr:col>
      <xdr:colOff>9525</xdr:colOff>
      <xdr:row>62</xdr:row>
      <xdr:rowOff>104775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753095</xdr:colOff>
      <xdr:row>3</xdr:row>
      <xdr:rowOff>181080</xdr:rowOff>
    </xdr:to>
    <xdr:pic>
      <xdr:nvPicPr>
        <xdr:cNvPr id="11" name="Picture 10">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358588</xdr:colOff>
      <xdr:row>6</xdr:row>
      <xdr:rowOff>14285</xdr:rowOff>
    </xdr:from>
    <xdr:to>
      <xdr:col>26</xdr:col>
      <xdr:colOff>394542</xdr:colOff>
      <xdr:row>28</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368113</xdr:colOff>
      <xdr:row>29</xdr:row>
      <xdr:rowOff>57150</xdr:rowOff>
    </xdr:from>
    <xdr:to>
      <xdr:col>26</xdr:col>
      <xdr:colOff>390525</xdr:colOff>
      <xdr:row>51</xdr:row>
      <xdr:rowOff>44262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1238870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6</xdr:col>
      <xdr:colOff>0</xdr:colOff>
      <xdr:row>3</xdr:row>
      <xdr:rowOff>0</xdr:rowOff>
    </xdr:from>
    <xdr:to>
      <xdr:col>11</xdr:col>
      <xdr:colOff>885825</xdr:colOff>
      <xdr:row>22</xdr:row>
      <xdr:rowOff>123826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23</xdr:row>
      <xdr:rowOff>0</xdr:rowOff>
    </xdr:from>
    <xdr:to>
      <xdr:col>11</xdr:col>
      <xdr:colOff>361950</xdr:colOff>
      <xdr:row>30</xdr:row>
      <xdr:rowOff>19050</xdr:rowOff>
    </xdr:to>
    <xdr:sp macro="" textlink="">
      <xdr:nvSpPr>
        <xdr:cNvPr id="5" name="TextBox 4"/>
        <xdr:cNvSpPr txBox="1"/>
      </xdr:nvSpPr>
      <xdr:spPr>
        <a:xfrm>
          <a:off x="5772150" y="4505325"/>
          <a:ext cx="5505450" cy="13525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For</a:t>
          </a:r>
          <a:r>
            <a:rPr lang="en-AU" sz="1100" baseline="0"/>
            <a:t> the purposes of DMIRS statistics, "B</a:t>
          </a:r>
          <a:r>
            <a:rPr lang="en-AU" sz="1100"/>
            <a:t>ase Metals" refers to copper, lead and zinc,</a:t>
          </a:r>
          <a:r>
            <a:rPr lang="en-AU" sz="1100" baseline="0"/>
            <a:t> all of which in WA are exported primarily as concentrates for further refining in overseas facilities</a:t>
          </a:r>
          <a:endParaRPr lang="en-AU" sz="1100"/>
        </a:p>
        <a:p>
          <a:endParaRPr lang="en-AU" sz="1100"/>
        </a:p>
        <a:p>
          <a:pPr algn="just"/>
          <a:r>
            <a:rPr lang="en-AU" sz="1100">
              <a:solidFill>
                <a:schemeClr val="dk1"/>
              </a:solidFill>
              <a:effectLst/>
              <a:latin typeface="+mn-lt"/>
              <a:ea typeface="+mn-ea"/>
              <a:cs typeface="+mn-cs"/>
            </a:rPr>
            <a:t>Concentrates</a:t>
          </a:r>
          <a:r>
            <a:rPr lang="en-AU" sz="1100" baseline="0">
              <a:solidFill>
                <a:schemeClr val="dk1"/>
              </a:solidFill>
              <a:effectLst/>
              <a:latin typeface="+mn-lt"/>
              <a:ea typeface="+mn-ea"/>
              <a:cs typeface="+mn-cs"/>
            </a:rPr>
            <a:t> of these metals often contain significant amounts of other valuable metals, most significantly gold and silver. Subtracting this value from the total provides the total value of exported base metals and base metal concentrates from Western Australia. Due to processing overseas, this value may be lower than the pure value of the metal produced.</a:t>
          </a:r>
          <a:endParaRPr lang="en-AU" sz="1100" baseline="0"/>
        </a:p>
      </xdr:txBody>
    </xdr:sp>
    <xdr:clientData/>
  </xdr:twoCellAnchor>
  <xdr:twoCellAnchor editAs="oneCell">
    <xdr:from>
      <xdr:col>0</xdr:col>
      <xdr:colOff>0</xdr:colOff>
      <xdr:row>0</xdr:row>
      <xdr:rowOff>0</xdr:rowOff>
    </xdr:from>
    <xdr:to>
      <xdr:col>4</xdr:col>
      <xdr:colOff>724520</xdr:colOff>
      <xdr:row>3</xdr:row>
      <xdr:rowOff>171555</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5.xml><?xml version="1.0" encoding="utf-8"?>
<c:userShapes xmlns:c="http://schemas.openxmlformats.org/drawingml/2006/chart">
  <cdr:relSizeAnchor xmlns:cdr="http://schemas.openxmlformats.org/drawingml/2006/chartDrawing">
    <cdr:from>
      <cdr:x>0.00531</cdr:x>
      <cdr:y>0.94666</cdr:y>
    </cdr:from>
    <cdr:to>
      <cdr:x>0.1375</cdr:x>
      <cdr:y>0.99514</cdr:y>
    </cdr:to>
    <cdr:sp macro="" textlink="">
      <cdr:nvSpPr>
        <cdr:cNvPr id="2" name="Text Box 1025"/>
        <cdr:cNvSpPr txBox="1">
          <a:spLocks xmlns:a="http://schemas.openxmlformats.org/drawingml/2006/main" noChangeArrowheads="1"/>
        </cdr:cNvSpPr>
      </cdr:nvSpPr>
      <cdr:spPr bwMode="auto">
        <a:xfrm xmlns:a="http://schemas.openxmlformats.org/drawingml/2006/main">
          <a:off x="32003" y="3651846"/>
          <a:ext cx="797013"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a:t>
          </a: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212915</xdr:colOff>
      <xdr:row>2</xdr:row>
      <xdr:rowOff>92847</xdr:rowOff>
    </xdr:from>
    <xdr:to>
      <xdr:col>16</xdr:col>
      <xdr:colOff>552451</xdr:colOff>
      <xdr:row>19</xdr:row>
      <xdr:rowOff>158750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147126</xdr:colOff>
      <xdr:row>20</xdr:row>
      <xdr:rowOff>86533</xdr:rowOff>
    </xdr:from>
    <xdr:to>
      <xdr:col>16</xdr:col>
      <xdr:colOff>500592</xdr:colOff>
      <xdr:row>38</xdr:row>
      <xdr:rowOff>169332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96981</xdr:colOff>
      <xdr:row>2</xdr:row>
      <xdr:rowOff>142875</xdr:rowOff>
    </xdr:from>
    <xdr:to>
      <xdr:col>21</xdr:col>
      <xdr:colOff>200025</xdr:colOff>
      <xdr:row>18</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122144</xdr:colOff>
      <xdr:row>19</xdr:row>
      <xdr:rowOff>47625</xdr:rowOff>
    </xdr:from>
    <xdr:to>
      <xdr:col>21</xdr:col>
      <xdr:colOff>171450</xdr:colOff>
      <xdr:row>35</xdr:row>
      <xdr:rowOff>64689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112620</xdr:colOff>
      <xdr:row>36</xdr:row>
      <xdr:rowOff>114299</xdr:rowOff>
    </xdr:from>
    <xdr:to>
      <xdr:col>21</xdr:col>
      <xdr:colOff>161926</xdr:colOff>
      <xdr:row>52</xdr:row>
      <xdr:rowOff>131363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132465</xdr:colOff>
      <xdr:row>39</xdr:row>
      <xdr:rowOff>38100</xdr:rowOff>
    </xdr:from>
    <xdr:to>
      <xdr:col>16</xdr:col>
      <xdr:colOff>480485</xdr:colOff>
      <xdr:row>56</xdr:row>
      <xdr:rowOff>158750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140758</xdr:colOff>
      <xdr:row>57</xdr:row>
      <xdr:rowOff>67466</xdr:rowOff>
    </xdr:from>
    <xdr:to>
      <xdr:col>16</xdr:col>
      <xdr:colOff>512233</xdr:colOff>
      <xdr:row>76</xdr:row>
      <xdr:rowOff>120650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160132</xdr:colOff>
      <xdr:row>77</xdr:row>
      <xdr:rowOff>0</xdr:rowOff>
    </xdr:from>
    <xdr:to>
      <xdr:col>16</xdr:col>
      <xdr:colOff>502709</xdr:colOff>
      <xdr:row>95</xdr:row>
      <xdr:rowOff>126999</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133502</xdr:colOff>
      <xdr:row>96</xdr:row>
      <xdr:rowOff>68373</xdr:rowOff>
    </xdr:from>
    <xdr:to>
      <xdr:col>16</xdr:col>
      <xdr:colOff>480484</xdr:colOff>
      <xdr:row>116</xdr:row>
      <xdr:rowOff>105833</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3</xdr:col>
      <xdr:colOff>1267445</xdr:colOff>
      <xdr:row>3</xdr:row>
      <xdr:rowOff>181080</xdr:rowOff>
    </xdr:to>
    <xdr:pic>
      <xdr:nvPicPr>
        <xdr:cNvPr id="12" name="Picture 11">
          <a:hlinkClick xmlns:r="http://schemas.openxmlformats.org/officeDocument/2006/relationships" r:id="rId10"/>
        </xdr:cNvPr>
        <xdr:cNvPicPr>
          <a:picLocks noChangeAspect="1"/>
        </xdr:cNvPicPr>
      </xdr:nvPicPr>
      <xdr:blipFill>
        <a:blip xmlns:r="http://schemas.openxmlformats.org/officeDocument/2006/relationships" r:embed="rId11"/>
        <a:stretch>
          <a:fillRect/>
        </a:stretch>
      </xdr:blipFill>
      <xdr:spPr>
        <a:xfrm>
          <a:off x="0" y="0"/>
          <a:ext cx="4439270" cy="7525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0.00722</cdr:x>
      <cdr:y>0.94394</cdr:y>
    </cdr:from>
    <cdr:to>
      <cdr:x>0.22234</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42334" y="3149114"/>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OoCE</a:t>
          </a:r>
        </a:p>
      </cdr:txBody>
    </cdr:sp>
  </cdr:relSizeAnchor>
</c:userShapes>
</file>

<file path=xl/drawings/drawing28.xml><?xml version="1.0" encoding="utf-8"?>
<c:userShapes xmlns:c="http://schemas.openxmlformats.org/drawingml/2006/chart">
  <cdr:relSizeAnchor xmlns:cdr="http://schemas.openxmlformats.org/drawingml/2006/chartDrawing">
    <cdr:from>
      <cdr:x>0.00541</cdr:x>
      <cdr:y>0.94467</cdr:y>
    </cdr:from>
    <cdr:to>
      <cdr:x>0.22022</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1750" y="3193278"/>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a:t>
          </a:r>
          <a:r>
            <a:rPr lang="en-AU" sz="900" b="1" i="0" baseline="0">
              <a:effectLst/>
              <a:latin typeface="+mn-lt"/>
              <a:ea typeface="+mn-ea"/>
              <a:cs typeface="+mn-cs"/>
            </a:rPr>
            <a:t>IRS</a:t>
          </a:r>
          <a:r>
            <a:rPr lang="en-AU" sz="900" b="1" i="0" u="none" strike="noStrike" baseline="0">
              <a:solidFill>
                <a:srgbClr val="000000"/>
              </a:solidFill>
              <a:latin typeface="+mn-lt"/>
              <a:cs typeface="Arial"/>
            </a:rPr>
            <a:t> and OoCE</a:t>
          </a:r>
        </a:p>
      </cdr:txBody>
    </cdr:sp>
  </cdr:relSizeAnchor>
</c:userShapes>
</file>

<file path=xl/drawings/drawing29.xml><?xml version="1.0" encoding="utf-8"?>
<c:userShapes xmlns:c="http://schemas.openxmlformats.org/drawingml/2006/chart">
  <cdr:relSizeAnchor xmlns:cdr="http://schemas.openxmlformats.org/drawingml/2006/chartDrawing">
    <cdr:from>
      <cdr:x>0.00541</cdr:x>
      <cdr:y>0.9474</cdr:y>
    </cdr:from>
    <cdr:to>
      <cdr:x>0.22042</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1750" y="3368960"/>
          <a:ext cx="1261499"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OoCE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943595</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0</xdr:col>
      <xdr:colOff>38100</xdr:colOff>
      <xdr:row>47</xdr:row>
      <xdr:rowOff>0</xdr:rowOff>
    </xdr:from>
    <xdr:to>
      <xdr:col>2</xdr:col>
      <xdr:colOff>591670</xdr:colOff>
      <xdr:row>73</xdr:row>
      <xdr:rowOff>142875</xdr:rowOff>
    </xdr:to>
    <xdr:sp macro="" textlink="">
      <xdr:nvSpPr>
        <xdr:cNvPr id="5" name="TextBox 4"/>
        <xdr:cNvSpPr txBox="1"/>
      </xdr:nvSpPr>
      <xdr:spPr>
        <a:xfrm>
          <a:off x="38100" y="8953500"/>
          <a:ext cx="4049245" cy="5095875"/>
        </a:xfrm>
        <a:prstGeom prst="rect">
          <a:avLst/>
        </a:prstGeom>
        <a:solidFill>
          <a:schemeClr val="bg1">
            <a:lumMod val="7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Quantities and value figures reported only apply to Minerals and Petroleum covered by the Mining Act 1978 , the Petroleum and Geothermal Energy Resources Act 1967, the Petroleum (Submerged Lands) Act 1982, the Offshore Petroleum Act 2006 and relevant State Agreement Acts.</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They are based primarily on royalties data collected by the Department of Mines,</a:t>
          </a:r>
          <a:r>
            <a:rPr lang="en-AU" sz="1100" baseline="0">
              <a:solidFill>
                <a:schemeClr val="dk1"/>
              </a:solidFill>
              <a:effectLst/>
              <a:latin typeface="+mn-lt"/>
              <a:ea typeface="+mn-ea"/>
              <a:cs typeface="+mn-cs"/>
            </a:rPr>
            <a:t> Industry Regulation and Safety (DMIRS) Financial Compliance</a:t>
          </a:r>
          <a:r>
            <a:rPr lang="en-AU" sz="1100">
              <a:solidFill>
                <a:schemeClr val="dk1"/>
              </a:solidFill>
              <a:effectLst/>
              <a:latin typeface="+mn-lt"/>
              <a:ea typeface="+mn-ea"/>
              <a:cs typeface="+mn-cs"/>
            </a:rPr>
            <a:t> branch.</a:t>
          </a:r>
          <a:r>
            <a:rPr lang="en-AU" sz="1100" baseline="0">
              <a:solidFill>
                <a:schemeClr val="dk1"/>
              </a:solidFill>
              <a:effectLst/>
              <a:latin typeface="+mn-lt"/>
              <a:ea typeface="+mn-ea"/>
              <a:cs typeface="+mn-cs"/>
            </a:rPr>
            <a:t> </a:t>
          </a:r>
        </a:p>
        <a:p>
          <a:endParaRPr lang="en-AU" sz="1100" baseline="0">
            <a:solidFill>
              <a:schemeClr val="dk1"/>
            </a:solidFill>
            <a:effectLst/>
            <a:latin typeface="+mn-lt"/>
            <a:ea typeface="+mn-ea"/>
            <a:cs typeface="+mn-cs"/>
          </a:endParaRPr>
        </a:p>
        <a:p>
          <a:r>
            <a:rPr lang="en-AU" sz="1100" baseline="0">
              <a:solidFill>
                <a:schemeClr val="dk1"/>
              </a:solidFill>
              <a:effectLst/>
              <a:latin typeface="+mn-lt"/>
              <a:ea typeface="+mn-ea"/>
              <a:cs typeface="+mn-cs"/>
            </a:rPr>
            <a:t>Royalties figures</a:t>
          </a:r>
          <a:r>
            <a:rPr lang="en-AU" sz="1100">
              <a:solidFill>
                <a:schemeClr val="dk1"/>
              </a:solidFill>
              <a:effectLst/>
              <a:latin typeface="+mn-lt"/>
              <a:ea typeface="+mn-ea"/>
              <a:cs typeface="+mn-cs"/>
            </a:rPr>
            <a:t> are frequently audited and adjusted for accuracy, often over a period of several years after they are first reported. </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Previously, these adjustments were indicated through the use of an (r) symbol, indicating a revision had taken place since the first publication of a given data point.</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As part of the modernisation process of DMIRS’s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DMIRS encourages that all</a:t>
          </a:r>
          <a:r>
            <a:rPr lang="en-AU" sz="1100" baseline="0">
              <a:solidFill>
                <a:schemeClr val="dk1"/>
              </a:solidFill>
              <a:effectLst/>
              <a:latin typeface="+mn-lt"/>
              <a:ea typeface="+mn-ea"/>
              <a:cs typeface="+mn-cs"/>
            </a:rPr>
            <a:t> data be treated as having been revised since the previous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DMIRS website.</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Note that some figures are reported as n/a due to confidentiality.</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5</xdr:col>
      <xdr:colOff>149039</xdr:colOff>
      <xdr:row>6</xdr:row>
      <xdr:rowOff>0</xdr:rowOff>
    </xdr:from>
    <xdr:to>
      <xdr:col>12</xdr:col>
      <xdr:colOff>400050</xdr:colOff>
      <xdr:row>27</xdr:row>
      <xdr:rowOff>80122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152400</xdr:colOff>
      <xdr:row>28</xdr:row>
      <xdr:rowOff>104775</xdr:rowOff>
    </xdr:from>
    <xdr:to>
      <xdr:col>12</xdr:col>
      <xdr:colOff>390525</xdr:colOff>
      <xdr:row>49</xdr:row>
      <xdr:rowOff>123584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467345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275359</xdr:colOff>
      <xdr:row>6</xdr:row>
      <xdr:rowOff>162790</xdr:rowOff>
    </xdr:from>
    <xdr:to>
      <xdr:col>28</xdr:col>
      <xdr:colOff>55416</xdr:colOff>
      <xdr:row>28</xdr:row>
      <xdr:rowOff>104775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255443</xdr:colOff>
      <xdr:row>28</xdr:row>
      <xdr:rowOff>159327</xdr:rowOff>
    </xdr:from>
    <xdr:to>
      <xdr:col>21</xdr:col>
      <xdr:colOff>498763</xdr:colOff>
      <xdr:row>48</xdr:row>
      <xdr:rowOff>96012</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1143620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238125</xdr:colOff>
      <xdr:row>5</xdr:row>
      <xdr:rowOff>9525</xdr:rowOff>
    </xdr:from>
    <xdr:to>
      <xdr:col>10</xdr:col>
      <xdr:colOff>704850</xdr:colOff>
      <xdr:row>27</xdr:row>
      <xdr:rowOff>171450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38100</xdr:colOff>
      <xdr:row>7</xdr:row>
      <xdr:rowOff>0</xdr:rowOff>
    </xdr:from>
    <xdr:to>
      <xdr:col>17</xdr:col>
      <xdr:colOff>342900</xdr:colOff>
      <xdr:row>27</xdr:row>
      <xdr:rowOff>66675</xdr:rowOff>
    </xdr:to>
    <xdr:sp macro="" textlink="">
      <xdr:nvSpPr>
        <xdr:cNvPr id="6" name="Text Box 1"/>
        <xdr:cNvSpPr txBox="1"/>
      </xdr:nvSpPr>
      <xdr:spPr>
        <a:xfrm>
          <a:off x="10953750" y="1438275"/>
          <a:ext cx="5343525" cy="3895725"/>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050">
              <a:effectLst/>
              <a:latin typeface="+mn-lt"/>
              <a:ea typeface="Times New Roman"/>
            </a:rPr>
            <a:t>The ABS</a:t>
          </a:r>
          <a:r>
            <a:rPr lang="en-AU" sz="1050" baseline="0">
              <a:effectLst/>
              <a:latin typeface="+mn-lt"/>
              <a:ea typeface="Times New Roman"/>
            </a:rPr>
            <a:t> </a:t>
          </a:r>
          <a:r>
            <a:rPr lang="en-AU" sz="1050">
              <a:effectLst/>
              <a:latin typeface="+mn-lt"/>
              <a:ea typeface="Times New Roman"/>
            </a:rPr>
            <a:t>releases Western Australian export data which shows exports of gold that are significantly higher than gold produced in this State.  This apparent increase in gold exports from Western Australia is due to a restructuring of Australia’s gold refining industry in the late 1990s through to October 2002. Gold export data published by the ABS must therefore be interpreted with some caution.  </a:t>
          </a:r>
        </a:p>
        <a:p>
          <a:pPr>
            <a:spcAft>
              <a:spcPts val="0"/>
            </a:spcAft>
          </a:pPr>
          <a:r>
            <a:rPr lang="en-AU" sz="1050">
              <a:effectLst/>
              <a:latin typeface="+mn-lt"/>
              <a:ea typeface="Times New Roman"/>
            </a:rPr>
            <a:t> </a:t>
          </a:r>
        </a:p>
        <a:p>
          <a:pPr>
            <a:spcAft>
              <a:spcPts val="0"/>
            </a:spcAft>
          </a:pPr>
          <a:r>
            <a:rPr lang="en-AU" sz="1050">
              <a:effectLst/>
              <a:latin typeface="+mn-lt"/>
              <a:ea typeface="Times New Roman"/>
            </a:rPr>
            <a:t>Gold Corporation, or as it is more commonly known, The Perth Mint, operates Australia’s only London Bullion Market Association (LBMA) accredited gold refinery.  It refines gold produced in other States and Territories, gold from surrounding countries and also secondary gold, mainly from Asia, which is refined and exported from Western Australia.  </a:t>
          </a:r>
        </a:p>
        <a:p>
          <a:pPr>
            <a:spcAft>
              <a:spcPts val="0"/>
            </a:spcAft>
          </a:pPr>
          <a:r>
            <a:rPr lang="en-AU" sz="1050">
              <a:effectLst/>
              <a:latin typeface="+mn-lt"/>
              <a:ea typeface="Times New Roman"/>
            </a:rPr>
            <a:t> </a:t>
          </a:r>
        </a:p>
        <a:p>
          <a:pPr>
            <a:spcAft>
              <a:spcPts val="0"/>
            </a:spcAft>
          </a:pPr>
          <a:r>
            <a:rPr lang="en-AU" sz="1050">
              <a:effectLst/>
              <a:latin typeface="+mn-lt"/>
              <a:ea typeface="Times New Roman"/>
            </a:rPr>
            <a:t>This export figure for Western Australia is therefore larger than Western Australia’s own level of gold production. </a:t>
          </a:r>
        </a:p>
        <a:p>
          <a:pPr>
            <a:spcAft>
              <a:spcPts val="0"/>
            </a:spcAft>
          </a:pPr>
          <a:r>
            <a:rPr lang="en-AU" sz="1050">
              <a:effectLst/>
              <a:latin typeface="+mn-lt"/>
              <a:ea typeface="Times New Roman"/>
            </a:rPr>
            <a:t> </a:t>
          </a:r>
        </a:p>
        <a:p>
          <a:pPr>
            <a:spcAft>
              <a:spcPts val="0"/>
            </a:spcAft>
          </a:pPr>
          <a:r>
            <a:rPr lang="en-AU" sz="1050">
              <a:effectLst/>
              <a:latin typeface="+mn-lt"/>
              <a:ea typeface="Times New Roman"/>
            </a:rPr>
            <a:t>The Victorian refinery still refines silver and jewellery products.</a:t>
          </a:r>
        </a:p>
        <a:p>
          <a:pPr>
            <a:spcAft>
              <a:spcPts val="0"/>
            </a:spcAft>
          </a:pPr>
          <a:r>
            <a:rPr lang="en-AU" sz="1050">
              <a:effectLst/>
              <a:latin typeface="+mn-lt"/>
              <a:ea typeface="Times New Roman"/>
            </a:rPr>
            <a:t> </a:t>
          </a:r>
        </a:p>
        <a:p>
          <a:pPr>
            <a:spcAft>
              <a:spcPts val="0"/>
            </a:spcAft>
          </a:pPr>
          <a:r>
            <a:rPr lang="en-AU" sz="1050">
              <a:solidFill>
                <a:sysClr val="windowText" lastClr="000000"/>
              </a:solidFill>
              <a:effectLst/>
              <a:latin typeface="+mn-lt"/>
              <a:ea typeface="Times New Roman"/>
            </a:rPr>
            <a:t>The ABS estimates that gold exports from Western Australia in 2019</a:t>
          </a:r>
          <a:r>
            <a:rPr lang="en-AU" sz="1050" baseline="0">
              <a:solidFill>
                <a:sysClr val="windowText" lastClr="000000"/>
              </a:solidFill>
              <a:effectLst/>
              <a:latin typeface="+mn-lt"/>
              <a:ea typeface="Times New Roman"/>
            </a:rPr>
            <a:t> </a:t>
          </a:r>
          <a:r>
            <a:rPr lang="en-AU" sz="1050">
              <a:solidFill>
                <a:sysClr val="windowText" lastClr="000000"/>
              </a:solidFill>
              <a:effectLst/>
              <a:latin typeface="+mn-lt"/>
              <a:ea typeface="Times New Roman"/>
            </a:rPr>
            <a:t>amounted to approximately $20.6 billion.  Approximately 67 per cent or $13.8 billion was gold produced in Western Australia.  The remaining 33 per cent (approximately $6.8 billion) can </a:t>
          </a:r>
          <a:r>
            <a:rPr lang="en-AU" sz="1050">
              <a:solidFill>
                <a:schemeClr val="tx1"/>
              </a:solidFill>
              <a:effectLst/>
              <a:latin typeface="+mn-lt"/>
              <a:ea typeface="Times New Roman"/>
            </a:rPr>
            <a:t>be attributed to gold refined and exported from Western Australia but produced from mining operations in other States, Territories and overseas.</a:t>
          </a:r>
        </a:p>
        <a:p>
          <a:pPr>
            <a:spcAft>
              <a:spcPts val="0"/>
            </a:spcAft>
          </a:pPr>
          <a:r>
            <a:rPr lang="en-AU" sz="1050">
              <a:effectLst/>
              <a:latin typeface="+mn-lt"/>
              <a:ea typeface="Times New Roman"/>
            </a:rPr>
            <a:t> </a:t>
          </a:r>
        </a:p>
        <a:p>
          <a:pPr>
            <a:spcAft>
              <a:spcPts val="0"/>
            </a:spcAft>
          </a:pPr>
          <a:r>
            <a:rPr lang="en-AU" sz="1050">
              <a:effectLst/>
              <a:latin typeface="+mn-lt"/>
              <a:ea typeface="Times New Roman"/>
            </a:rPr>
            <a:t>Overseas imported gold also includes scrap which is refined in Western Australia and exported.  </a:t>
          </a:r>
        </a:p>
        <a:p>
          <a:pPr>
            <a:spcAft>
              <a:spcPts val="0"/>
            </a:spcAft>
          </a:pPr>
          <a:r>
            <a:rPr lang="en-AU" sz="1200">
              <a:effectLst/>
              <a:latin typeface="Times New Roman"/>
              <a:ea typeface="Times New Roman"/>
            </a:rPr>
            <a:t> </a:t>
          </a:r>
        </a:p>
      </xdr:txBody>
    </xdr:sp>
    <xdr:clientData/>
  </xdr:twoCellAnchor>
  <xdr:twoCellAnchor editAs="oneCell">
    <xdr:from>
      <xdr:col>0</xdr:col>
      <xdr:colOff>0</xdr:colOff>
      <xdr:row>0</xdr:row>
      <xdr:rowOff>0</xdr:rowOff>
    </xdr:from>
    <xdr:to>
      <xdr:col>4</xdr:col>
      <xdr:colOff>724520</xdr:colOff>
      <xdr:row>3</xdr:row>
      <xdr:rowOff>181080</xdr:rowOff>
    </xdr:to>
    <xdr:pic>
      <xdr:nvPicPr>
        <xdr:cNvPr id="7" name="Picture 6">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0.00057</cdr:x>
      <cdr:y>0.95295</cdr:y>
    </cdr:from>
    <cdr:to>
      <cdr:x>0.10676</cdr:x>
      <cdr:y>0.99971</cdr:y>
    </cdr:to>
    <cdr:sp macro="" textlink="">
      <cdr:nvSpPr>
        <cdr:cNvPr id="2" name="Text Box 1025"/>
        <cdr:cNvSpPr txBox="1">
          <a:spLocks xmlns:a="http://schemas.openxmlformats.org/drawingml/2006/main" noChangeArrowheads="1"/>
        </cdr:cNvSpPr>
      </cdr:nvSpPr>
      <cdr:spPr bwMode="auto">
        <a:xfrm xmlns:a="http://schemas.openxmlformats.org/drawingml/2006/main">
          <a:off x="3795" y="4193524"/>
          <a:ext cx="704988" cy="20577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34.xml><?xml version="1.0" encoding="utf-8"?>
<xdr:wsDr xmlns:xdr="http://schemas.openxmlformats.org/drawingml/2006/spreadsheetDrawing" xmlns:a="http://schemas.openxmlformats.org/drawingml/2006/main">
  <xdr:twoCellAnchor>
    <xdr:from>
      <xdr:col>5</xdr:col>
      <xdr:colOff>3363</xdr:colOff>
      <xdr:row>4</xdr:row>
      <xdr:rowOff>11205</xdr:rowOff>
    </xdr:from>
    <xdr:to>
      <xdr:col>14</xdr:col>
      <xdr:colOff>514350</xdr:colOff>
      <xdr:row>25</xdr:row>
      <xdr:rowOff>28574</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20731</xdr:colOff>
      <xdr:row>25</xdr:row>
      <xdr:rowOff>133350</xdr:rowOff>
    </xdr:from>
    <xdr:to>
      <xdr:col>14</xdr:col>
      <xdr:colOff>523875</xdr:colOff>
      <xdr:row>46</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57770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cdr:x>
      <cdr:y>0.9595</cdr:y>
    </cdr:from>
    <cdr:to>
      <cdr:x>0.21742</cdr:x>
      <cdr:y>0.99995</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6078" y="3891692"/>
          <a:ext cx="1330878"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OoCE</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572120</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7</xdr:col>
      <xdr:colOff>320489</xdr:colOff>
      <xdr:row>5</xdr:row>
      <xdr:rowOff>179295</xdr:rowOff>
    </xdr:from>
    <xdr:to>
      <xdr:col>17</xdr:col>
      <xdr:colOff>68651</xdr:colOff>
      <xdr:row>27</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361950</xdr:colOff>
      <xdr:row>32</xdr:row>
      <xdr:rowOff>123825</xdr:rowOff>
    </xdr:from>
    <xdr:to>
      <xdr:col>17</xdr:col>
      <xdr:colOff>89782</xdr:colOff>
      <xdr:row>54</xdr:row>
      <xdr:rowOff>47384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438770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18</xdr:col>
      <xdr:colOff>47625</xdr:colOff>
      <xdr:row>22</xdr:row>
      <xdr:rowOff>180975</xdr:rowOff>
    </xdr:from>
    <xdr:to>
      <xdr:col>20</xdr:col>
      <xdr:colOff>906992</xdr:colOff>
      <xdr:row>25</xdr:row>
      <xdr:rowOff>66674</xdr:rowOff>
    </xdr:to>
    <xdr:sp macro="" textlink="">
      <xdr:nvSpPr>
        <xdr:cNvPr id="7" name="TextBox 6"/>
        <xdr:cNvSpPr txBox="1"/>
      </xdr:nvSpPr>
      <xdr:spPr>
        <a:xfrm>
          <a:off x="8924925" y="4419600"/>
          <a:ext cx="2878667" cy="457199"/>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Iron ore quantities reported in dry metric tonnes unless otherwise stated.</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409575</xdr:colOff>
      <xdr:row>7</xdr:row>
      <xdr:rowOff>14286</xdr:rowOff>
    </xdr:from>
    <xdr:to>
      <xdr:col>20</xdr:col>
      <xdr:colOff>582613</xdr:colOff>
      <xdr:row>24</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428625</xdr:colOff>
      <xdr:row>25</xdr:row>
      <xdr:rowOff>180975</xdr:rowOff>
    </xdr:from>
    <xdr:to>
      <xdr:col>23</xdr:col>
      <xdr:colOff>382681</xdr:colOff>
      <xdr:row>50</xdr:row>
      <xdr:rowOff>123825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343520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5</xdr:col>
      <xdr:colOff>349250</xdr:colOff>
      <xdr:row>33</xdr:row>
      <xdr:rowOff>169334</xdr:rowOff>
    </xdr:from>
    <xdr:to>
      <xdr:col>11</xdr:col>
      <xdr:colOff>264583</xdr:colOff>
      <xdr:row>39</xdr:row>
      <xdr:rowOff>35984</xdr:rowOff>
    </xdr:to>
    <xdr:sp macro="" textlink="">
      <xdr:nvSpPr>
        <xdr:cNvPr id="5" name="TextBox 4"/>
        <xdr:cNvSpPr txBox="1"/>
      </xdr:nvSpPr>
      <xdr:spPr>
        <a:xfrm>
          <a:off x="7948083" y="6529917"/>
          <a:ext cx="2878667" cy="1009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annual average price prior to 2011 is the average realised price per tonne received by Western Australian producers. After January 2011, it is the average benchmark 62% CFR China spot price.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23</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724520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7</xdr:col>
      <xdr:colOff>731324</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224643" y="0"/>
          <a:ext cx="4439270" cy="752580"/>
        </a:xfrm>
        <a:prstGeom prst="rect">
          <a:avLst/>
        </a:prstGeom>
      </xdr:spPr>
    </xdr:pic>
    <xdr:clientData/>
  </xdr:twoCellAnchor>
</xdr:wsDr>
</file>

<file path=xl/drawings/drawing40.xml><?xml version="1.0" encoding="utf-8"?>
<c:userShapes xmlns:c="http://schemas.openxmlformats.org/drawingml/2006/chart">
  <cdr:relSizeAnchor xmlns:cdr="http://schemas.openxmlformats.org/drawingml/2006/chartDrawing">
    <cdr:from>
      <cdr:x>0</cdr:x>
      <cdr:y>0.94824</cdr:y>
    </cdr:from>
    <cdr:to>
      <cdr:x>0.1256</cdr:x>
      <cdr:y>0.99521</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41.xml><?xml version="1.0" encoding="utf-8"?>
<xdr:wsDr xmlns:xdr="http://schemas.openxmlformats.org/drawingml/2006/spreadsheetDrawing" xmlns:a="http://schemas.openxmlformats.org/drawingml/2006/main">
  <xdr:twoCellAnchor>
    <xdr:from>
      <xdr:col>3</xdr:col>
      <xdr:colOff>260538</xdr:colOff>
      <xdr:row>5</xdr:row>
      <xdr:rowOff>161925</xdr:rowOff>
    </xdr:from>
    <xdr:to>
      <xdr:col>13</xdr:col>
      <xdr:colOff>9525</xdr:colOff>
      <xdr:row>25</xdr:row>
      <xdr:rowOff>38100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249331</xdr:colOff>
      <xdr:row>26</xdr:row>
      <xdr:rowOff>5042</xdr:rowOff>
    </xdr:from>
    <xdr:to>
      <xdr:col>12</xdr:col>
      <xdr:colOff>581025</xdr:colOff>
      <xdr:row>43</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591170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2.xml><?xml version="1.0" encoding="utf-8"?>
<c:userShapes xmlns:c="http://schemas.openxmlformats.org/drawingml/2006/chart">
  <cdr:relSizeAnchor xmlns:cdr="http://schemas.openxmlformats.org/drawingml/2006/chartDrawing">
    <cdr:from>
      <cdr:x>0</cdr:x>
      <cdr:y>0.95305</cdr:y>
    </cdr:from>
    <cdr:to>
      <cdr:x>0.17922</cdr:x>
      <cdr:y>0.99744</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4208" y="3522171"/>
          <a:ext cx="1330878"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OoCE</a:t>
          </a:r>
        </a:p>
      </cdr:txBody>
    </cdr:sp>
  </cdr:relSizeAnchor>
</c:userShapes>
</file>

<file path=xl/drawings/drawing43.xml><?xml version="1.0" encoding="utf-8"?>
<xdr:wsDr xmlns:xdr="http://schemas.openxmlformats.org/drawingml/2006/spreadsheetDrawing" xmlns:a="http://schemas.openxmlformats.org/drawingml/2006/main">
  <xdr:twoCellAnchor>
    <xdr:from>
      <xdr:col>4</xdr:col>
      <xdr:colOff>0</xdr:colOff>
      <xdr:row>5</xdr:row>
      <xdr:rowOff>9526</xdr:rowOff>
    </xdr:from>
    <xdr:to>
      <xdr:col>10</xdr:col>
      <xdr:colOff>809626</xdr:colOff>
      <xdr:row>26</xdr:row>
      <xdr:rowOff>19051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27</xdr:row>
      <xdr:rowOff>4762</xdr:rowOff>
    </xdr:from>
    <xdr:to>
      <xdr:col>10</xdr:col>
      <xdr:colOff>542925</xdr:colOff>
      <xdr:row>51</xdr:row>
      <xdr:rowOff>20002</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40</xdr:row>
      <xdr:rowOff>66674</xdr:rowOff>
    </xdr:from>
    <xdr:to>
      <xdr:col>6</xdr:col>
      <xdr:colOff>781050</xdr:colOff>
      <xdr:row>51</xdr:row>
      <xdr:rowOff>19049</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1562720</xdr:colOff>
      <xdr:row>3</xdr:row>
      <xdr:rowOff>181080</xdr:rowOff>
    </xdr:to>
    <xdr:pic>
      <xdr:nvPicPr>
        <xdr:cNvPr id="9" name="Picture 8">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twoCellAnchor>
    <xdr:from>
      <xdr:col>9</xdr:col>
      <xdr:colOff>638175</xdr:colOff>
      <xdr:row>50</xdr:row>
      <xdr:rowOff>9525</xdr:rowOff>
    </xdr:from>
    <xdr:to>
      <xdr:col>10</xdr:col>
      <xdr:colOff>457200</xdr:colOff>
      <xdr:row>51</xdr:row>
      <xdr:rowOff>6064</xdr:rowOff>
    </xdr:to>
    <xdr:sp macro="" textlink="">
      <xdr:nvSpPr>
        <xdr:cNvPr id="6" name="Text Box 1025"/>
        <xdr:cNvSpPr txBox="1">
          <a:spLocks noChangeArrowheads="1"/>
        </xdr:cNvSpPr>
      </xdr:nvSpPr>
      <xdr:spPr bwMode="auto">
        <a:xfrm>
          <a:off x="11306175" y="9582150"/>
          <a:ext cx="1171575" cy="187039"/>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900" b="1" i="0" u="none" strike="noStrike" baseline="0">
              <a:solidFill>
                <a:srgbClr val="000000"/>
              </a:solidFill>
              <a:latin typeface="+mn-lt"/>
              <a:cs typeface="Arial"/>
            </a:rPr>
            <a:t>Source:  China Customs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4</xdr:col>
      <xdr:colOff>0</xdr:colOff>
      <xdr:row>4</xdr:row>
      <xdr:rowOff>180975</xdr:rowOff>
    </xdr:from>
    <xdr:to>
      <xdr:col>11</xdr:col>
      <xdr:colOff>76201</xdr:colOff>
      <xdr:row>26</xdr:row>
      <xdr:rowOff>4762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27</xdr:row>
      <xdr:rowOff>14287</xdr:rowOff>
    </xdr:from>
    <xdr:to>
      <xdr:col>10</xdr:col>
      <xdr:colOff>504825</xdr:colOff>
      <xdr:row>52</xdr:row>
      <xdr:rowOff>29527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41</xdr:row>
      <xdr:rowOff>57150</xdr:rowOff>
    </xdr:from>
    <xdr:to>
      <xdr:col>6</xdr:col>
      <xdr:colOff>885825</xdr:colOff>
      <xdr:row>52</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1562720</xdr:colOff>
      <xdr:row>3</xdr:row>
      <xdr:rowOff>181080</xdr:rowOff>
    </xdr:to>
    <xdr:pic>
      <xdr:nvPicPr>
        <xdr:cNvPr id="6" name="Picture 5">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45.xml><?xml version="1.0" encoding="utf-8"?>
<c:userShapes xmlns:c="http://schemas.openxmlformats.org/drawingml/2006/chart">
  <cdr:relSizeAnchor xmlns:cdr="http://schemas.openxmlformats.org/drawingml/2006/chartDrawing">
    <cdr:from>
      <cdr:x>0.84119</cdr:x>
      <cdr:y>0.96108</cdr:y>
    </cdr:from>
    <cdr:to>
      <cdr:x>0.99788</cdr:x>
      <cdr:y>1</cdr:y>
    </cdr:to>
    <cdr:sp macro="" textlink="">
      <cdr:nvSpPr>
        <cdr:cNvPr id="2" name="Text Box 1025"/>
        <cdr:cNvSpPr txBox="1">
          <a:spLocks xmlns:a="http://schemas.openxmlformats.org/drawingml/2006/main" noChangeArrowheads="1"/>
        </cdr:cNvSpPr>
      </cdr:nvSpPr>
      <cdr:spPr bwMode="auto">
        <a:xfrm xmlns:a="http://schemas.openxmlformats.org/drawingml/2006/main">
          <a:off x="6289675" y="4619276"/>
          <a:ext cx="1171575"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China Customs</a:t>
          </a:r>
        </a:p>
      </cdr:txBody>
    </cdr:sp>
  </cdr:relSizeAnchor>
</c:userShapes>
</file>

<file path=xl/drawings/drawing46.xml><?xml version="1.0" encoding="utf-8"?>
<xdr:wsDr xmlns:xdr="http://schemas.openxmlformats.org/drawingml/2006/spreadsheetDrawing" xmlns:a="http://schemas.openxmlformats.org/drawingml/2006/main">
  <xdr:twoCellAnchor>
    <xdr:from>
      <xdr:col>5</xdr:col>
      <xdr:colOff>323850</xdr:colOff>
      <xdr:row>7</xdr:row>
      <xdr:rowOff>38099</xdr:rowOff>
    </xdr:from>
    <xdr:to>
      <xdr:col>12</xdr:col>
      <xdr:colOff>523875</xdr:colOff>
      <xdr:row>28</xdr:row>
      <xdr:rowOff>133349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327211</xdr:colOff>
      <xdr:row>29</xdr:row>
      <xdr:rowOff>96930</xdr:rowOff>
    </xdr:from>
    <xdr:to>
      <xdr:col>12</xdr:col>
      <xdr:colOff>483668</xdr:colOff>
      <xdr:row>51</xdr:row>
      <xdr:rowOff>39539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734045</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6</xdr:col>
      <xdr:colOff>438150</xdr:colOff>
      <xdr:row>53</xdr:row>
      <xdr:rowOff>9526</xdr:rowOff>
    </xdr:from>
    <xdr:to>
      <xdr:col>9</xdr:col>
      <xdr:colOff>466725</xdr:colOff>
      <xdr:row>57</xdr:row>
      <xdr:rowOff>85725</xdr:rowOff>
    </xdr:to>
    <xdr:sp macro="" textlink="">
      <xdr:nvSpPr>
        <xdr:cNvPr id="7" name="Text Box 1"/>
        <xdr:cNvSpPr txBox="1"/>
      </xdr:nvSpPr>
      <xdr:spPr>
        <a:xfrm>
          <a:off x="4143375" y="10201276"/>
          <a:ext cx="3552825" cy="838199"/>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baseline="0">
              <a:effectLst/>
              <a:latin typeface="+mn-lt"/>
              <a:ea typeface="Times New Roman"/>
              <a:cs typeface="Arial" panose="020B0604020202020204" pitchFamily="34" charset="0"/>
            </a:rPr>
            <a:t>In order to create a consistent dataset, all direct shipped spodumene ore (commencing in the June quarter of 2017) is expressed as a "concentrate equivalent", assuming </a:t>
          </a:r>
          <a:r>
            <a:rPr lang="en-AU" sz="1100" baseline="0">
              <a:solidFill>
                <a:schemeClr val="dk1"/>
              </a:solidFill>
              <a:effectLst/>
              <a:latin typeface="+mn-lt"/>
              <a:ea typeface="+mn-ea"/>
              <a:cs typeface="Arial" panose="020B0604020202020204" pitchFamily="34" charset="0"/>
            </a:rPr>
            <a:t>six per cent LiO</a:t>
          </a:r>
          <a:r>
            <a:rPr lang="en-AU" sz="1100" baseline="-25000">
              <a:solidFill>
                <a:schemeClr val="dk1"/>
              </a:solidFill>
              <a:effectLst/>
              <a:latin typeface="+mn-lt"/>
              <a:ea typeface="+mn-ea"/>
              <a:cs typeface="Arial" panose="020B0604020202020204" pitchFamily="34" charset="0"/>
            </a:rPr>
            <a:t>2</a:t>
          </a:r>
          <a:r>
            <a:rPr lang="en-AU" sz="1100" baseline="0">
              <a:solidFill>
                <a:schemeClr val="dk1"/>
              </a:solidFill>
              <a:effectLst/>
              <a:latin typeface="+mn-lt"/>
              <a:ea typeface="+mn-ea"/>
              <a:cs typeface="Arial" panose="020B0604020202020204" pitchFamily="34" charset="0"/>
            </a:rPr>
            <a:t> </a:t>
          </a:r>
          <a:r>
            <a:rPr lang="en-AU" sz="1100" baseline="0">
              <a:effectLst/>
              <a:latin typeface="+mn-lt"/>
              <a:ea typeface="Times New Roman"/>
              <a:cs typeface="Arial" panose="020B0604020202020204" pitchFamily="34" charset="0"/>
            </a:rPr>
            <a:t>. </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763401</xdr:colOff>
      <xdr:row>7</xdr:row>
      <xdr:rowOff>19048</xdr:rowOff>
    </xdr:from>
    <xdr:to>
      <xdr:col>22</xdr:col>
      <xdr:colOff>1636</xdr:colOff>
      <xdr:row>30</xdr:row>
      <xdr:rowOff>40760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791974</xdr:colOff>
      <xdr:row>31</xdr:row>
      <xdr:rowOff>5183</xdr:rowOff>
    </xdr:from>
    <xdr:to>
      <xdr:col>21</xdr:col>
      <xdr:colOff>536480</xdr:colOff>
      <xdr:row>54</xdr:row>
      <xdr:rowOff>30957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12526</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5</xdr:col>
      <xdr:colOff>187138</xdr:colOff>
      <xdr:row>6</xdr:row>
      <xdr:rowOff>76200</xdr:rowOff>
    </xdr:from>
    <xdr:to>
      <xdr:col>13</xdr:col>
      <xdr:colOff>19049</xdr:colOff>
      <xdr:row>27</xdr:row>
      <xdr:rowOff>127747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200025</xdr:colOff>
      <xdr:row>28</xdr:row>
      <xdr:rowOff>104775</xdr:rowOff>
    </xdr:from>
    <xdr:to>
      <xdr:col>13</xdr:col>
      <xdr:colOff>9525</xdr:colOff>
      <xdr:row>46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410195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11</xdr:col>
      <xdr:colOff>247650</xdr:colOff>
      <xdr:row>28</xdr:row>
      <xdr:rowOff>76200</xdr:rowOff>
    </xdr:from>
    <xdr:to>
      <xdr:col>23</xdr:col>
      <xdr:colOff>182656</xdr:colOff>
      <xdr:row>50</xdr:row>
      <xdr:rowOff>89086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209549</xdr:colOff>
      <xdr:row>5</xdr:row>
      <xdr:rowOff>38099</xdr:rowOff>
    </xdr:from>
    <xdr:to>
      <xdr:col>23</xdr:col>
      <xdr:colOff>161925</xdr:colOff>
      <xdr:row>27</xdr:row>
      <xdr:rowOff>123825</xdr:rowOff>
    </xdr:to>
    <xdr:grpSp>
      <xdr:nvGrpSpPr>
        <xdr:cNvPr id="4" name="Group 3"/>
        <xdr:cNvGrpSpPr/>
      </xdr:nvGrpSpPr>
      <xdr:grpSpPr>
        <a:xfrm>
          <a:off x="5819774" y="1057274"/>
          <a:ext cx="7267576" cy="4305301"/>
          <a:chOff x="5095874" y="990599"/>
          <a:chExt cx="5953125" cy="3571875"/>
        </a:xfrm>
      </xdr:grpSpPr>
      <xdr:graphicFrame macro="">
        <xdr:nvGraphicFramePr>
          <xdr:cNvPr id="5" name="Chart 4"/>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TextBox 5"/>
          <xdr:cNvSpPr txBox="1"/>
        </xdr:nvSpPr>
        <xdr:spPr>
          <a:xfrm>
            <a:off x="5105399" y="4371975"/>
            <a:ext cx="160972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ABS</a:t>
            </a:r>
            <a:endParaRPr lang="en-AU" sz="900" b="1">
              <a:effectLst/>
              <a:latin typeface="+mn-lt"/>
            </a:endParaRPr>
          </a:p>
          <a:p>
            <a:endParaRPr lang="en-AU" sz="900"/>
          </a:p>
        </xdr:txBody>
      </xdr:sp>
    </xdr:grpSp>
    <xdr:clientData/>
  </xdr:twoCellAnchor>
  <xdr:twoCellAnchor editAs="oneCell">
    <xdr:from>
      <xdr:col>0</xdr:col>
      <xdr:colOff>0</xdr:colOff>
      <xdr:row>0</xdr:row>
      <xdr:rowOff>0</xdr:rowOff>
    </xdr:from>
    <xdr:to>
      <xdr:col>7</xdr:col>
      <xdr:colOff>943595</xdr:colOff>
      <xdr:row>3</xdr:row>
      <xdr:rowOff>181080</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85724</xdr:colOff>
      <xdr:row>55</xdr:row>
      <xdr:rowOff>132359</xdr:rowOff>
    </xdr:from>
    <xdr:to>
      <xdr:col>21</xdr:col>
      <xdr:colOff>1465</xdr:colOff>
      <xdr:row>84</xdr:row>
      <xdr:rowOff>54479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96931</xdr:colOff>
      <xdr:row>24</xdr:row>
      <xdr:rowOff>139594</xdr:rowOff>
    </xdr:from>
    <xdr:to>
      <xdr:col>21</xdr:col>
      <xdr:colOff>15689</xdr:colOff>
      <xdr:row>54</xdr:row>
      <xdr:rowOff>160325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305420</xdr:colOff>
      <xdr:row>2</xdr:row>
      <xdr:rowOff>349168</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0</xdr:col>
      <xdr:colOff>168088</xdr:colOff>
      <xdr:row>86</xdr:row>
      <xdr:rowOff>112058</xdr:rowOff>
    </xdr:from>
    <xdr:to>
      <xdr:col>1</xdr:col>
      <xdr:colOff>782732</xdr:colOff>
      <xdr:row>95</xdr:row>
      <xdr:rowOff>28575</xdr:rowOff>
    </xdr:to>
    <xdr:sp macro="" textlink="">
      <xdr:nvSpPr>
        <xdr:cNvPr id="6" name="TextBox 5"/>
        <xdr:cNvSpPr txBox="1"/>
      </xdr:nvSpPr>
      <xdr:spPr>
        <a:xfrm>
          <a:off x="168088" y="16809383"/>
          <a:ext cx="3872194" cy="1631017"/>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Quantities used in this table only apply to Minerals and Petroleum covered by the Mining Act 1978 , the Petroleum and Geothermal Energy Resources Act 1967, the Petroleum (Submerged Lands) Act 1982, the Offshore Petroleum Act 2006 and relevant State Agreement Acts.</a:t>
          </a:r>
        </a:p>
        <a:p>
          <a:endParaRPr lang="en-AU" sz="1100"/>
        </a:p>
        <a:p>
          <a:r>
            <a:rPr lang="en-AU" sz="1100"/>
            <a:t>Some values for rutile, staurolite, garnet, manganese, talc, vanadium, tantalite,</a:t>
          </a:r>
          <a:r>
            <a:rPr lang="en-AU" sz="1100" baseline="0"/>
            <a:t> tin, </a:t>
          </a:r>
          <a:r>
            <a:rPr lang="en-AU" sz="1100"/>
            <a:t>and rare earths,</a:t>
          </a:r>
          <a:r>
            <a:rPr lang="en-AU" sz="1100" baseline="0"/>
            <a:t> </a:t>
          </a:r>
          <a:r>
            <a:rPr lang="en-AU" sz="1100"/>
            <a:t>not available due to confidentiality.</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6</xdr:col>
      <xdr:colOff>57150</xdr:colOff>
      <xdr:row>2</xdr:row>
      <xdr:rowOff>152399</xdr:rowOff>
    </xdr:from>
    <xdr:to>
      <xdr:col>12</xdr:col>
      <xdr:colOff>361950</xdr:colOff>
      <xdr:row>24</xdr:row>
      <xdr:rowOff>19049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28</xdr:row>
      <xdr:rowOff>9525</xdr:rowOff>
    </xdr:from>
    <xdr:to>
      <xdr:col>11</xdr:col>
      <xdr:colOff>85725</xdr:colOff>
      <xdr:row>35</xdr:row>
      <xdr:rowOff>0</xdr:rowOff>
    </xdr:to>
    <xdr:sp macro="" textlink="">
      <xdr:nvSpPr>
        <xdr:cNvPr id="4" name="Text Box 1"/>
        <xdr:cNvSpPr txBox="1"/>
      </xdr:nvSpPr>
      <xdr:spPr>
        <a:xfrm>
          <a:off x="5781675" y="5486400"/>
          <a:ext cx="5219700" cy="1323975"/>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Western Australian export trade data shows exports of mineral sands that are significantly higher than the value of mineral sands</a:t>
          </a:r>
          <a:r>
            <a:rPr lang="en-AU" sz="1100" baseline="0">
              <a:effectLst/>
              <a:latin typeface="+mn-lt"/>
              <a:ea typeface="Times New Roman"/>
            </a:rPr>
            <a:t> sales</a:t>
          </a:r>
          <a:r>
            <a:rPr lang="en-AU" sz="1100">
              <a:effectLst/>
              <a:latin typeface="+mn-lt"/>
              <a:ea typeface="Times New Roman"/>
            </a:rPr>
            <a:t> in the state. This disparity is the result of:</a:t>
          </a:r>
        </a:p>
        <a:p>
          <a:pPr marL="0" marR="0" indent="0" defTabSz="914400" eaLnBrk="1" fontAlgn="auto" latinLnBrk="0" hangingPunct="1">
            <a:lnSpc>
              <a:spcPct val="100000"/>
            </a:lnSpc>
            <a:spcBef>
              <a:spcPts val="0"/>
            </a:spcBef>
            <a:spcAft>
              <a:spcPts val="0"/>
            </a:spcAft>
            <a:buClrTx/>
            <a:buSzTx/>
            <a:buFontTx/>
            <a:buNone/>
            <a:tabLst/>
            <a:defRPr/>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a:effectLst/>
              <a:latin typeface="+mn-lt"/>
              <a:ea typeface="Times New Roman"/>
            </a:rPr>
            <a:t>The use of Western</a:t>
          </a:r>
          <a:r>
            <a:rPr lang="en-AU" sz="1100" baseline="0">
              <a:effectLst/>
              <a:latin typeface="+mn-lt"/>
              <a:ea typeface="Times New Roman"/>
            </a:rPr>
            <a:t> Australian mineral sand refining and export capacity for mineral sands produced outside the state, and;</a:t>
          </a:r>
        </a:p>
        <a:p>
          <a:pPr>
            <a:spcAft>
              <a:spcPts val="0"/>
            </a:spcAft>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baseline="0">
              <a:effectLst/>
              <a:latin typeface="+mn-lt"/>
              <a:ea typeface="Times New Roman"/>
            </a:rPr>
            <a:t>The export of mineral sand products from projects on Minerals to Owner land (i.e. land granted before 1899) that do not report their production to the state.</a:t>
          </a:r>
          <a:endParaRPr lang="en-AU" sz="1100">
            <a:effectLst/>
            <a:latin typeface="+mn-lt"/>
            <a:ea typeface="Times New Roman"/>
          </a:endParaRPr>
        </a:p>
      </xdr:txBody>
    </xdr:sp>
    <xdr:clientData/>
  </xdr:twoCellAnchor>
  <xdr:twoCellAnchor editAs="oneCell">
    <xdr:from>
      <xdr:col>0</xdr:col>
      <xdr:colOff>0</xdr:colOff>
      <xdr:row>0</xdr:row>
      <xdr:rowOff>0</xdr:rowOff>
    </xdr:from>
    <xdr:to>
      <xdr:col>4</xdr:col>
      <xdr:colOff>724520</xdr:colOff>
      <xdr:row>3</xdr:row>
      <xdr:rowOff>181080</xdr:rowOff>
    </xdr:to>
    <xdr:pic>
      <xdr:nvPicPr>
        <xdr:cNvPr id="5" name="Picture 4">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6</xdr:col>
      <xdr:colOff>76200</xdr:colOff>
      <xdr:row>23</xdr:row>
      <xdr:rowOff>47625</xdr:rowOff>
    </xdr:from>
    <xdr:to>
      <xdr:col>6</xdr:col>
      <xdr:colOff>933450</xdr:colOff>
      <xdr:row>24</xdr:row>
      <xdr:rowOff>44164</xdr:rowOff>
    </xdr:to>
    <xdr:sp macro="" textlink="">
      <xdr:nvSpPr>
        <xdr:cNvPr id="6" name="Text Box 1025"/>
        <xdr:cNvSpPr txBox="1">
          <a:spLocks noChangeArrowheads="1"/>
        </xdr:cNvSpPr>
      </xdr:nvSpPr>
      <xdr:spPr bwMode="auto">
        <a:xfrm>
          <a:off x="5848350" y="4572000"/>
          <a:ext cx="857250" cy="187039"/>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900" b="1" i="0" u="none" strike="noStrike" baseline="0">
              <a:solidFill>
                <a:srgbClr val="000000"/>
              </a:solidFill>
              <a:latin typeface="+mn-lt"/>
              <a:cs typeface="Arial"/>
            </a:rPr>
            <a:t>Source:  DMIRS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3</xdr:col>
      <xdr:colOff>287431</xdr:colOff>
      <xdr:row>27</xdr:row>
      <xdr:rowOff>28575</xdr:rowOff>
    </xdr:from>
    <xdr:to>
      <xdr:col>14</xdr:col>
      <xdr:colOff>419100</xdr:colOff>
      <xdr:row>48</xdr:row>
      <xdr:rowOff>6722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1753220</xdr:colOff>
      <xdr:row>3</xdr:row>
      <xdr:rowOff>181080</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3</xdr:col>
      <xdr:colOff>266700</xdr:colOff>
      <xdr:row>5</xdr:row>
      <xdr:rowOff>19050</xdr:rowOff>
    </xdr:from>
    <xdr:to>
      <xdr:col>14</xdr:col>
      <xdr:colOff>398369</xdr:colOff>
      <xdr:row>25</xdr:row>
      <xdr:rowOff>178172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19</xdr:col>
      <xdr:colOff>419100</xdr:colOff>
      <xdr:row>7</xdr:row>
      <xdr:rowOff>0</xdr:rowOff>
    </xdr:from>
    <xdr:to>
      <xdr:col>30</xdr:col>
      <xdr:colOff>38100</xdr:colOff>
      <xdr:row>30</xdr:row>
      <xdr:rowOff>152400</xdr:rowOff>
    </xdr:to>
    <xdr:sp macro="" textlink="">
      <xdr:nvSpPr>
        <xdr:cNvPr id="6" name="TextBox 5"/>
        <xdr:cNvSpPr txBox="1"/>
      </xdr:nvSpPr>
      <xdr:spPr>
        <a:xfrm>
          <a:off x="15099506" y="1428750"/>
          <a:ext cx="6119813" cy="4760119"/>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xdr:from>
      <xdr:col>19</xdr:col>
      <xdr:colOff>381000</xdr:colOff>
      <xdr:row>32</xdr:row>
      <xdr:rowOff>192741</xdr:rowOff>
    </xdr:from>
    <xdr:to>
      <xdr:col>29</xdr:col>
      <xdr:colOff>95250</xdr:colOff>
      <xdr:row>54</xdr:row>
      <xdr:rowOff>40341</xdr:rowOff>
    </xdr:to>
    <xdr:sp macro="" textlink="">
      <xdr:nvSpPr>
        <xdr:cNvPr id="5" name="TextBox 4"/>
        <xdr:cNvSpPr txBox="1"/>
      </xdr:nvSpPr>
      <xdr:spPr>
        <a:xfrm>
          <a:off x="15061406" y="6622116"/>
          <a:ext cx="6096000" cy="4086225"/>
        </a:xfrm>
        <a:prstGeom prst="rect">
          <a:avLst/>
        </a:prstGeom>
        <a:solidFill>
          <a:schemeClr val="lt1">
            <a:alpha val="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xdr:from>
      <xdr:col>19</xdr:col>
      <xdr:colOff>438149</xdr:colOff>
      <xdr:row>9</xdr:row>
      <xdr:rowOff>38813</xdr:rowOff>
    </xdr:from>
    <xdr:to>
      <xdr:col>30</xdr:col>
      <xdr:colOff>21025</xdr:colOff>
      <xdr:row>30</xdr:row>
      <xdr:rowOff>137272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411575</xdr:colOff>
      <xdr:row>35</xdr:row>
      <xdr:rowOff>28575</xdr:rowOff>
    </xdr:from>
    <xdr:to>
      <xdr:col>29</xdr:col>
      <xdr:colOff>93545</xdr:colOff>
      <xdr:row>54</xdr:row>
      <xdr:rowOff>9283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734045</xdr:colOff>
      <xdr:row>3</xdr:row>
      <xdr:rowOff>104880</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6</xdr:col>
      <xdr:colOff>333375</xdr:colOff>
      <xdr:row>6</xdr:row>
      <xdr:rowOff>17371</xdr:rowOff>
    </xdr:from>
    <xdr:to>
      <xdr:col>14</xdr:col>
      <xdr:colOff>561975</xdr:colOff>
      <xdr:row>25</xdr:row>
      <xdr:rowOff>114301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314325</xdr:colOff>
      <xdr:row>26</xdr:row>
      <xdr:rowOff>85725</xdr:rowOff>
    </xdr:from>
    <xdr:to>
      <xdr:col>14</xdr:col>
      <xdr:colOff>542925</xdr:colOff>
      <xdr:row>46</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648320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152400</xdr:colOff>
      <xdr:row>6</xdr:row>
      <xdr:rowOff>14286</xdr:rowOff>
    </xdr:from>
    <xdr:to>
      <xdr:col>22</xdr:col>
      <xdr:colOff>325438</xdr:colOff>
      <xdr:row>23</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142875</xdr:colOff>
      <xdr:row>25</xdr:row>
      <xdr:rowOff>19051</xdr:rowOff>
    </xdr:from>
    <xdr:to>
      <xdr:col>22</xdr:col>
      <xdr:colOff>333375</xdr:colOff>
      <xdr:row>47</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448295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962025</xdr:colOff>
      <xdr:row>23</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1724645</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6</xdr:col>
      <xdr:colOff>28575</xdr:colOff>
      <xdr:row>25</xdr:row>
      <xdr:rowOff>114300</xdr:rowOff>
    </xdr:from>
    <xdr:to>
      <xdr:col>11</xdr:col>
      <xdr:colOff>104775</xdr:colOff>
      <xdr:row>29</xdr:row>
      <xdr:rowOff>161925</xdr:rowOff>
    </xdr:to>
    <xdr:sp macro="" textlink="">
      <xdr:nvSpPr>
        <xdr:cNvPr id="5" name="Text Box 1"/>
        <xdr:cNvSpPr txBox="1"/>
      </xdr:nvSpPr>
      <xdr:spPr>
        <a:xfrm>
          <a:off x="6715125" y="5038725"/>
          <a:ext cx="5219700" cy="809625"/>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Western Australian export trade data shows exports of nickel that are significantly higher than the value of nickel sales in this state. This disparity is due, in part, to the use of Western Australian nickel refining and export capacity for nickel ores and concentrates produced overseas and the timing of sales for royalty purposes vs</a:t>
          </a:r>
          <a:r>
            <a:rPr lang="en-AU" sz="1100" baseline="0">
              <a:effectLst/>
              <a:latin typeface="+mn-lt"/>
              <a:ea typeface="Times New Roman"/>
            </a:rPr>
            <a:t> exports</a:t>
          </a:r>
          <a:endParaRPr lang="en-AU" sz="1100">
            <a:effectLst/>
            <a:latin typeface="+mn-lt"/>
            <a:ea typeface="Times New Roman"/>
          </a:endParaRPr>
        </a:p>
      </xdr:txBody>
    </xdr:sp>
    <xdr:clientData/>
  </xdr:twoCellAnchor>
</xdr:wsDr>
</file>

<file path=xl/drawings/drawing56.xml><?xml version="1.0" encoding="utf-8"?>
<c:userShapes xmlns:c="http://schemas.openxmlformats.org/drawingml/2006/chart">
  <cdr:relSizeAnchor xmlns:cdr="http://schemas.openxmlformats.org/drawingml/2006/chartDrawing">
    <cdr:from>
      <cdr:x>0.00818</cdr:x>
      <cdr:y>0.94961</cdr:y>
    </cdr:from>
    <cdr:to>
      <cdr:x>0.13995</cdr:x>
      <cdr:y>0.99424</cdr:y>
    </cdr:to>
    <cdr:sp macro="" textlink="">
      <cdr:nvSpPr>
        <cdr:cNvPr id="2" name="Text Box 1025"/>
        <cdr:cNvSpPr txBox="1">
          <a:spLocks xmlns:a="http://schemas.openxmlformats.org/drawingml/2006/main" noChangeArrowheads="1"/>
        </cdr:cNvSpPr>
      </cdr:nvSpPr>
      <cdr:spPr bwMode="auto">
        <a:xfrm xmlns:a="http://schemas.openxmlformats.org/drawingml/2006/main">
          <a:off x="49467" y="3979818"/>
          <a:ext cx="797013"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a:t>
          </a:r>
        </a:p>
      </cdr:txBody>
    </cdr:sp>
  </cdr:relSizeAnchor>
</c:userShapes>
</file>

<file path=xl/drawings/drawing57.xml><?xml version="1.0" encoding="utf-8"?>
<xdr:wsDr xmlns:xdr="http://schemas.openxmlformats.org/drawingml/2006/spreadsheetDrawing" xmlns:a="http://schemas.openxmlformats.org/drawingml/2006/main">
  <xdr:twoCellAnchor>
    <xdr:from>
      <xdr:col>5</xdr:col>
      <xdr:colOff>12888</xdr:colOff>
      <xdr:row>5</xdr:row>
      <xdr:rowOff>28575</xdr:rowOff>
    </xdr:from>
    <xdr:to>
      <xdr:col>18</xdr:col>
      <xdr:colOff>19050</xdr:colOff>
      <xdr:row>25</xdr:row>
      <xdr:rowOff>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106456</xdr:colOff>
      <xdr:row>26</xdr:row>
      <xdr:rowOff>190499</xdr:rowOff>
    </xdr:from>
    <xdr:to>
      <xdr:col>13</xdr:col>
      <xdr:colOff>285750</xdr:colOff>
      <xdr:row>49</xdr:row>
      <xdr:rowOff>6721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467345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8.xml><?xml version="1.0" encoding="utf-8"?>
<c:userShapes xmlns:c="http://schemas.openxmlformats.org/drawingml/2006/chart">
  <cdr:relSizeAnchor xmlns:cdr="http://schemas.openxmlformats.org/drawingml/2006/chartDrawing">
    <cdr:from>
      <cdr:x>0.01642</cdr:x>
      <cdr:y>0.94789</cdr:y>
    </cdr:from>
    <cdr:to>
      <cdr:x>0.2461</cdr:x>
      <cdr:y>0.99722</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90204" y="3593388"/>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a:t>
          </a:r>
          <a:r>
            <a:rPr lang="en-AU" sz="900" b="1" i="0" baseline="0">
              <a:effectLst/>
              <a:latin typeface="+mn-lt"/>
              <a:ea typeface="+mn-ea"/>
              <a:cs typeface="+mn-cs"/>
            </a:rPr>
            <a:t>IRS</a:t>
          </a:r>
          <a:r>
            <a:rPr lang="en-AU" sz="900" b="1" i="0" u="none" strike="noStrike" baseline="0">
              <a:solidFill>
                <a:srgbClr val="000000"/>
              </a:solidFill>
              <a:latin typeface="+mn-lt"/>
              <a:cs typeface="Arial"/>
            </a:rPr>
            <a:t> and OoCE</a:t>
          </a:r>
        </a:p>
      </cdr:txBody>
    </cdr:sp>
  </cdr:relSizeAnchor>
</c:userShapes>
</file>

<file path=xl/drawings/drawing59.xml><?xml version="1.0" encoding="utf-8"?>
<xdr:wsDr xmlns:xdr="http://schemas.openxmlformats.org/drawingml/2006/spreadsheetDrawing" xmlns:a="http://schemas.openxmlformats.org/drawingml/2006/main">
  <xdr:twoCellAnchor>
    <xdr:from>
      <xdr:col>9</xdr:col>
      <xdr:colOff>139513</xdr:colOff>
      <xdr:row>19</xdr:row>
      <xdr:rowOff>158563</xdr:rowOff>
    </xdr:from>
    <xdr:to>
      <xdr:col>18</xdr:col>
      <xdr:colOff>392205</xdr:colOff>
      <xdr:row>41</xdr:row>
      <xdr:rowOff>179294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74520</xdr:colOff>
      <xdr:row>42</xdr:row>
      <xdr:rowOff>155201</xdr:rowOff>
    </xdr:from>
    <xdr:to>
      <xdr:col>18</xdr:col>
      <xdr:colOff>411952</xdr:colOff>
      <xdr:row>64</xdr:row>
      <xdr:rowOff>97810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361390</xdr:colOff>
      <xdr:row>6</xdr:row>
      <xdr:rowOff>176492</xdr:rowOff>
    </xdr:from>
    <xdr:to>
      <xdr:col>18</xdr:col>
      <xdr:colOff>99172</xdr:colOff>
      <xdr:row>18</xdr:row>
      <xdr:rowOff>67235</xdr:rowOff>
    </xdr:to>
    <xdr:sp macro="" textlink="">
      <xdr:nvSpPr>
        <xdr:cNvPr id="7" name="Text Box 1"/>
        <xdr:cNvSpPr txBox="1"/>
      </xdr:nvSpPr>
      <xdr:spPr>
        <a:xfrm>
          <a:off x="6468596" y="1330698"/>
          <a:ext cx="5183841" cy="2210361"/>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AU" sz="1100">
              <a:effectLst/>
              <a:latin typeface="+mn-lt"/>
              <a:ea typeface="Times New Roman"/>
            </a:rPr>
            <a:t>As a result of changes in the information sharing practices between the federal and state governments, Department of Mines,</a:t>
          </a:r>
          <a:r>
            <a:rPr lang="en-AU" sz="1100" baseline="0">
              <a:effectLst/>
              <a:latin typeface="+mn-lt"/>
              <a:ea typeface="Times New Roman"/>
            </a:rPr>
            <a:t> Industry Regulation and Safety (DMIRS)</a:t>
          </a:r>
          <a:r>
            <a:rPr lang="en-AU" sz="1100">
              <a:effectLst/>
              <a:latin typeface="+mn-lt"/>
              <a:ea typeface="Times New Roman"/>
            </a:rPr>
            <a:t> no longer has access to data relating to Western Australian offshore petroleum fields administered by the Commonwealth. </a:t>
          </a:r>
        </a:p>
        <a:p>
          <a:pPr algn="just">
            <a:spcAft>
              <a:spcPts val="0"/>
            </a:spcAft>
          </a:pPr>
          <a:r>
            <a:rPr lang="en-AU" sz="1100">
              <a:effectLst/>
              <a:latin typeface="+mn-lt"/>
              <a:ea typeface="Times New Roman"/>
            </a:rPr>
            <a:t> </a:t>
          </a:r>
        </a:p>
        <a:p>
          <a:pPr algn="just">
            <a:spcAft>
              <a:spcPts val="0"/>
            </a:spcAft>
          </a:pPr>
          <a:r>
            <a:rPr lang="en-AU" sz="1100">
              <a:effectLst/>
              <a:latin typeface="+mn-lt"/>
              <a:ea typeface="Times New Roman"/>
            </a:rPr>
            <a:t>While DMIRS was able to source alternative data, it is not comparable with the data previously provided by NOPTA and as a result some estimates have been required. From Q1 2016, DMIRS has relied on externally sourced production data, as opposed the sales data it received previously, and as a result a DMIRS estimate has been made of the value of production from these offshore fields, based on total production and the prevailing market prices at the time.  The estimated values are indicated by the red text.</a:t>
          </a:r>
        </a:p>
        <a:p>
          <a:pPr algn="just">
            <a:spcAft>
              <a:spcPts val="0"/>
            </a:spcAft>
          </a:pPr>
          <a:endParaRPr lang="en-AU" sz="1200">
            <a:effectLst/>
            <a:latin typeface="+mn-lt"/>
            <a:ea typeface="Times New Roman"/>
          </a:endParaRPr>
        </a:p>
      </xdr:txBody>
    </xdr:sp>
    <xdr:clientData/>
  </xdr:twoCellAnchor>
  <xdr:twoCellAnchor editAs="oneCell">
    <xdr:from>
      <xdr:col>0</xdr:col>
      <xdr:colOff>0</xdr:colOff>
      <xdr:row>0</xdr:row>
      <xdr:rowOff>0</xdr:rowOff>
    </xdr:from>
    <xdr:to>
      <xdr:col>5</xdr:col>
      <xdr:colOff>181595</xdr:colOff>
      <xdr:row>3</xdr:row>
      <xdr:rowOff>181080</xdr:rowOff>
    </xdr:to>
    <xdr:pic>
      <xdr:nvPicPr>
        <xdr:cNvPr id="8" name="Picture 7">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0.00514</cdr:x>
      <cdr:y>0.96704</cdr:y>
    </cdr:from>
    <cdr:to>
      <cdr:x>0.10521</cdr:x>
      <cdr:y>0.9987</cdr:y>
    </cdr:to>
    <cdr:sp macro="" textlink="">
      <cdr:nvSpPr>
        <cdr:cNvPr id="2" name="Text Box 1"/>
        <cdr:cNvSpPr txBox="1">
          <a:spLocks xmlns:a="http://schemas.openxmlformats.org/drawingml/2006/main" noChangeArrowheads="1"/>
        </cdr:cNvSpPr>
      </cdr:nvSpPr>
      <cdr:spPr bwMode="auto">
        <a:xfrm xmlns:a="http://schemas.openxmlformats.org/drawingml/2006/main">
          <a:off x="39594" y="5429624"/>
          <a:ext cx="770917" cy="1778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a:t>
          </a:r>
        </a:p>
      </cdr:txBody>
    </cdr:sp>
  </cdr:relSizeAnchor>
</c:userShapes>
</file>

<file path=xl/drawings/drawing60.xml><?xml version="1.0" encoding="utf-8"?>
<xdr:wsDr xmlns:xdr="http://schemas.openxmlformats.org/drawingml/2006/spreadsheetDrawing" xmlns:a="http://schemas.openxmlformats.org/drawingml/2006/main">
  <xdr:twoCellAnchor>
    <xdr:from>
      <xdr:col>14</xdr:col>
      <xdr:colOff>320489</xdr:colOff>
      <xdr:row>17</xdr:row>
      <xdr:rowOff>57150</xdr:rowOff>
    </xdr:from>
    <xdr:to>
      <xdr:col>24</xdr:col>
      <xdr:colOff>68651</xdr:colOff>
      <xdr:row>39</xdr:row>
      <xdr:rowOff>13447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314325</xdr:colOff>
      <xdr:row>39</xdr:row>
      <xdr:rowOff>85725</xdr:rowOff>
    </xdr:from>
    <xdr:to>
      <xdr:col>24</xdr:col>
      <xdr:colOff>62487</xdr:colOff>
      <xdr:row>61</xdr:row>
      <xdr:rowOff>108697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313765</xdr:colOff>
      <xdr:row>62</xdr:row>
      <xdr:rowOff>104775</xdr:rowOff>
    </xdr:from>
    <xdr:to>
      <xdr:col>24</xdr:col>
      <xdr:colOff>6458</xdr:colOff>
      <xdr:row>84</xdr:row>
      <xdr:rowOff>108697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571500</xdr:colOff>
      <xdr:row>6</xdr:row>
      <xdr:rowOff>76200</xdr:rowOff>
    </xdr:from>
    <xdr:to>
      <xdr:col>49</xdr:col>
      <xdr:colOff>272598</xdr:colOff>
      <xdr:row>28</xdr:row>
      <xdr:rowOff>8964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0</xdr:colOff>
      <xdr:row>29</xdr:row>
      <xdr:rowOff>114300</xdr:rowOff>
    </xdr:from>
    <xdr:to>
      <xdr:col>49</xdr:col>
      <xdr:colOff>335351</xdr:colOff>
      <xdr:row>51</xdr:row>
      <xdr:rowOff>47064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571500</xdr:colOff>
      <xdr:row>52</xdr:row>
      <xdr:rowOff>152400</xdr:rowOff>
    </xdr:from>
    <xdr:to>
      <xdr:col>49</xdr:col>
      <xdr:colOff>315180</xdr:colOff>
      <xdr:row>74</xdr:row>
      <xdr:rowOff>85164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38100</xdr:colOff>
      <xdr:row>6</xdr:row>
      <xdr:rowOff>9525</xdr:rowOff>
    </xdr:from>
    <xdr:to>
      <xdr:col>23</xdr:col>
      <xdr:colOff>381000</xdr:colOff>
      <xdr:row>16</xdr:row>
      <xdr:rowOff>100852</xdr:rowOff>
    </xdr:to>
    <xdr:sp macro="" textlink="">
      <xdr:nvSpPr>
        <xdr:cNvPr id="10" name="Text Box 1"/>
        <xdr:cNvSpPr txBox="1"/>
      </xdr:nvSpPr>
      <xdr:spPr>
        <a:xfrm>
          <a:off x="10163175" y="1162050"/>
          <a:ext cx="5276850" cy="2024902"/>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n-AU" sz="1100">
              <a:solidFill>
                <a:schemeClr val="dk1"/>
              </a:solidFill>
              <a:effectLst/>
              <a:latin typeface="+mn-lt"/>
              <a:ea typeface="+mn-ea"/>
              <a:cs typeface="+mn-cs"/>
            </a:rPr>
            <a:t>As a result of changes in the information sharing practices between the federal and state governments, Department of Mines,</a:t>
          </a:r>
          <a:r>
            <a:rPr lang="en-AU" sz="1100" baseline="0">
              <a:solidFill>
                <a:schemeClr val="dk1"/>
              </a:solidFill>
              <a:effectLst/>
              <a:latin typeface="+mn-lt"/>
              <a:ea typeface="+mn-ea"/>
              <a:cs typeface="+mn-cs"/>
            </a:rPr>
            <a:t> Industry Regulation and Safety (DMIRS)</a:t>
          </a:r>
          <a:r>
            <a:rPr lang="en-AU" sz="1100">
              <a:solidFill>
                <a:schemeClr val="dk1"/>
              </a:solidFill>
              <a:effectLst/>
              <a:latin typeface="+mn-lt"/>
              <a:ea typeface="+mn-ea"/>
              <a:cs typeface="+mn-cs"/>
            </a:rPr>
            <a:t> no longer has access to data relating to Western Australian offshore petroleum fields administered by the Commonwealth. </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While DMIRS was able to source alternative data, it is not comparable with the data previously provided by NOPTA and as a result some estimates have been required.  From Q1 2016, DMIRS has relied on externally sourced production data, as opposed the sales data it received previously, and as a result a estimate has been made of the value of production from these offshore fields, based on total production and the prevailing market prices and the time.  The estimated values are indicated by the red text.</a:t>
          </a:r>
        </a:p>
      </xdr:txBody>
    </xdr:sp>
    <xdr:clientData/>
  </xdr:twoCellAnchor>
  <xdr:twoCellAnchor editAs="oneCell">
    <xdr:from>
      <xdr:col>0</xdr:col>
      <xdr:colOff>0</xdr:colOff>
      <xdr:row>0</xdr:row>
      <xdr:rowOff>0</xdr:rowOff>
    </xdr:from>
    <xdr:to>
      <xdr:col>6</xdr:col>
      <xdr:colOff>4542</xdr:colOff>
      <xdr:row>3</xdr:row>
      <xdr:rowOff>181080</xdr:rowOff>
    </xdr:to>
    <xdr:pic>
      <xdr:nvPicPr>
        <xdr:cNvPr id="11" name="Picture 10">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11</xdr:col>
      <xdr:colOff>489584</xdr:colOff>
      <xdr:row>12</xdr:row>
      <xdr:rowOff>19049</xdr:rowOff>
    </xdr:from>
    <xdr:to>
      <xdr:col>23</xdr:col>
      <xdr:colOff>514350</xdr:colOff>
      <xdr:row>33</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352424</xdr:colOff>
      <xdr:row>7</xdr:row>
      <xdr:rowOff>0</xdr:rowOff>
    </xdr:from>
    <xdr:to>
      <xdr:col>21</xdr:col>
      <xdr:colOff>342899</xdr:colOff>
      <xdr:row>10</xdr:row>
      <xdr:rowOff>133350</xdr:rowOff>
    </xdr:to>
    <xdr:sp macro="" textlink="">
      <xdr:nvSpPr>
        <xdr:cNvPr id="4" name="TextBox 3"/>
        <xdr:cNvSpPr txBox="1"/>
      </xdr:nvSpPr>
      <xdr:spPr>
        <a:xfrm>
          <a:off x="9810749" y="1343025"/>
          <a:ext cx="5476875" cy="7048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value of Western Australian domestic gas sales is based on the sum of total domestic gas sale values as at the point of entry into the Dampier to Bunbury Natural Gas Pipeline (DBNGP) or where applicable, the Parmelia and Goldfields pipeline.</a:t>
          </a:r>
        </a:p>
      </xdr:txBody>
    </xdr:sp>
    <xdr:clientData/>
  </xdr:twoCellAnchor>
  <xdr:twoCellAnchor>
    <xdr:from>
      <xdr:col>11</xdr:col>
      <xdr:colOff>472888</xdr:colOff>
      <xdr:row>34</xdr:row>
      <xdr:rowOff>20730</xdr:rowOff>
    </xdr:from>
    <xdr:to>
      <xdr:col>23</xdr:col>
      <xdr:colOff>573742</xdr:colOff>
      <xdr:row>55</xdr:row>
      <xdr:rowOff>155201</xdr:rowOff>
    </xdr:to>
    <xdr:graphicFrame macro="">
      <xdr:nvGraphicFramePr>
        <xdr:cNvPr id="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0</xdr:row>
      <xdr:rowOff>0</xdr:rowOff>
    </xdr:from>
    <xdr:to>
      <xdr:col>6</xdr:col>
      <xdr:colOff>610220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19050" y="0"/>
          <a:ext cx="4439270" cy="752580"/>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cdr:x>
      <cdr:y>0.94425</cdr:y>
    </cdr:from>
    <cdr:to>
      <cdr:x>0.12258</cdr:x>
      <cdr:y>0.99525</cdr:y>
    </cdr:to>
    <cdr:sp macro="" textlink="">
      <cdr:nvSpPr>
        <cdr:cNvPr id="2" name="TextBox 1"/>
        <cdr:cNvSpPr txBox="1"/>
      </cdr:nvSpPr>
      <cdr:spPr>
        <a:xfrm xmlns:a="http://schemas.openxmlformats.org/drawingml/2006/main">
          <a:off x="0" y="3786462"/>
          <a:ext cx="845992" cy="2045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800" b="1"/>
            <a:t>Source:</a:t>
          </a:r>
          <a:r>
            <a:rPr lang="en-AU" sz="800" b="1" baseline="0"/>
            <a:t>  DMIRS</a:t>
          </a:r>
          <a:endParaRPr lang="en-AU" sz="800" b="1"/>
        </a:p>
      </cdr:txBody>
    </cdr:sp>
  </cdr:relSizeAnchor>
</c:userShapes>
</file>

<file path=xl/drawings/drawing63.xml><?xml version="1.0" encoding="utf-8"?>
<c:userShapes xmlns:c="http://schemas.openxmlformats.org/drawingml/2006/chart">
  <cdr:relSizeAnchor xmlns:cdr="http://schemas.openxmlformats.org/drawingml/2006/chartDrawing">
    <cdr:from>
      <cdr:x>0</cdr:x>
      <cdr:y>0.95378</cdr:y>
    </cdr:from>
    <cdr:to>
      <cdr:x>0.23293</cdr:x>
      <cdr:y>1</cdr:y>
    </cdr:to>
    <cdr:sp macro="" textlink="">
      <cdr:nvSpPr>
        <cdr:cNvPr id="2" name="Text Box 2049"/>
        <cdr:cNvSpPr txBox="1">
          <a:spLocks xmlns:a="http://schemas.openxmlformats.org/drawingml/2006/main" noChangeArrowheads="1"/>
        </cdr:cNvSpPr>
      </cdr:nvSpPr>
      <cdr:spPr bwMode="auto">
        <a:xfrm xmlns:a="http://schemas.openxmlformats.org/drawingml/2006/main">
          <a:off x="0" y="3989295"/>
          <a:ext cx="1727387" cy="19330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EnergyQuest</a:t>
          </a:r>
        </a:p>
      </cdr:txBody>
    </cdr:sp>
  </cdr:relSizeAnchor>
</c:userShapes>
</file>

<file path=xl/drawings/drawing64.xml><?xml version="1.0" encoding="utf-8"?>
<xdr:wsDr xmlns:xdr="http://schemas.openxmlformats.org/drawingml/2006/spreadsheetDrawing" xmlns:a="http://schemas.openxmlformats.org/drawingml/2006/main">
  <xdr:twoCellAnchor>
    <xdr:from>
      <xdr:col>8</xdr:col>
      <xdr:colOff>266700</xdr:colOff>
      <xdr:row>5</xdr:row>
      <xdr:rowOff>76201</xdr:rowOff>
    </xdr:from>
    <xdr:to>
      <xdr:col>18</xdr:col>
      <xdr:colOff>590550</xdr:colOff>
      <xdr:row>23</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304800</xdr:colOff>
      <xdr:row>24</xdr:row>
      <xdr:rowOff>180975</xdr:rowOff>
    </xdr:from>
    <xdr:to>
      <xdr:col>19</xdr:col>
      <xdr:colOff>323850</xdr:colOff>
      <xdr:row>46</xdr:row>
      <xdr:rowOff>47625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848345</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21</xdr:row>
      <xdr:rowOff>89535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724520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66.xml><?xml version="1.0" encoding="utf-8"?>
<c:userShapes xmlns:c="http://schemas.openxmlformats.org/drawingml/2006/chart">
  <cdr:relSizeAnchor xmlns:cdr="http://schemas.openxmlformats.org/drawingml/2006/chartDrawing">
    <cdr:from>
      <cdr:x>0</cdr:x>
      <cdr:y>0.94534</cdr:y>
    </cdr:from>
    <cdr:to>
      <cdr:x>0.14308</cdr:x>
      <cdr:y>0.99629</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470275"/>
          <a:ext cx="85725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a:t>
          </a:r>
        </a:p>
      </cdr:txBody>
    </cdr:sp>
  </cdr:relSizeAnchor>
</c:userShapes>
</file>

<file path=xl/drawings/drawing67.xml><?xml version="1.0" encoding="utf-8"?>
<xdr:wsDr xmlns:xdr="http://schemas.openxmlformats.org/drawingml/2006/spreadsheetDrawing" xmlns:a="http://schemas.openxmlformats.org/drawingml/2006/main">
  <xdr:twoCellAnchor>
    <xdr:from>
      <xdr:col>4</xdr:col>
      <xdr:colOff>279588</xdr:colOff>
      <xdr:row>16</xdr:row>
      <xdr:rowOff>76199</xdr:rowOff>
    </xdr:from>
    <xdr:to>
      <xdr:col>17</xdr:col>
      <xdr:colOff>371475</xdr:colOff>
      <xdr:row>38</xdr:row>
      <xdr:rowOff>123824</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306480</xdr:colOff>
      <xdr:row>39</xdr:row>
      <xdr:rowOff>33617</xdr:rowOff>
    </xdr:from>
    <xdr:to>
      <xdr:col>17</xdr:col>
      <xdr:colOff>400049</xdr:colOff>
      <xdr:row>60</xdr:row>
      <xdr:rowOff>44822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285749</xdr:colOff>
      <xdr:row>1</xdr:row>
      <xdr:rowOff>4762</xdr:rowOff>
    </xdr:from>
    <xdr:to>
      <xdr:col>13</xdr:col>
      <xdr:colOff>66674</xdr:colOff>
      <xdr:row>15</xdr:row>
      <xdr:rowOff>61912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257175</xdr:colOff>
      <xdr:row>14</xdr:row>
      <xdr:rowOff>57150</xdr:rowOff>
    </xdr:from>
    <xdr:to>
      <xdr:col>7</xdr:col>
      <xdr:colOff>266922</xdr:colOff>
      <xdr:row>15</xdr:row>
      <xdr:rowOff>30727</xdr:rowOff>
    </xdr:to>
    <xdr:sp macro="" textlink="">
      <xdr:nvSpPr>
        <xdr:cNvPr id="7" name="Text Box 1025"/>
        <xdr:cNvSpPr txBox="1">
          <a:spLocks noChangeArrowheads="1"/>
        </xdr:cNvSpPr>
      </xdr:nvSpPr>
      <xdr:spPr bwMode="auto">
        <a:xfrm>
          <a:off x="4714875" y="2743200"/>
          <a:ext cx="1838547" cy="164077"/>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800" b="1" i="0" u="none" strike="noStrike" baseline="0">
              <a:solidFill>
                <a:srgbClr val="000000"/>
              </a:solidFill>
              <a:latin typeface="Arial"/>
              <a:cs typeface="Arial"/>
            </a:rPr>
            <a:t>Source:  DMIRS and EnergyQuest</a:t>
          </a:r>
        </a:p>
      </xdr:txBody>
    </xdr:sp>
    <xdr:clientData/>
  </xdr:twoCellAnchor>
  <xdr:twoCellAnchor editAs="oneCell">
    <xdr:from>
      <xdr:col>0</xdr:col>
      <xdr:colOff>0</xdr:colOff>
      <xdr:row>0</xdr:row>
      <xdr:rowOff>0</xdr:rowOff>
    </xdr:from>
    <xdr:to>
      <xdr:col>3</xdr:col>
      <xdr:colOff>591170</xdr:colOff>
      <xdr:row>3</xdr:row>
      <xdr:rowOff>181080</xdr:rowOff>
    </xdr:to>
    <xdr:pic>
      <xdr:nvPicPr>
        <xdr:cNvPr id="8" name="Picture 7">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0.00839</cdr:x>
      <cdr:y>0.95255</cdr:y>
    </cdr:from>
    <cdr:to>
      <cdr:x>0.21145</cdr:x>
      <cdr:y>0.99668</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68690" y="4037509"/>
          <a:ext cx="1662699"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a:t>
          </a:r>
          <a:r>
            <a:rPr lang="en-AU" sz="800" b="1" i="0" u="none" strike="noStrike" baseline="0">
              <a:solidFill>
                <a:srgbClr val="000000"/>
              </a:solidFill>
              <a:latin typeface="Arial"/>
              <a:cs typeface="Arial"/>
            </a:rPr>
            <a:t>:  DMIRS and EnergyQuest</a:t>
          </a:r>
        </a:p>
      </cdr:txBody>
    </cdr:sp>
  </cdr:relSizeAnchor>
</c:userShapes>
</file>

<file path=xl/drawings/drawing69.xml><?xml version="1.0" encoding="utf-8"?>
<xdr:wsDr xmlns:xdr="http://schemas.openxmlformats.org/drawingml/2006/spreadsheetDrawing" xmlns:a="http://schemas.openxmlformats.org/drawingml/2006/main">
  <xdr:twoCellAnchor>
    <xdr:from>
      <xdr:col>3</xdr:col>
      <xdr:colOff>428624</xdr:colOff>
      <xdr:row>5</xdr:row>
      <xdr:rowOff>180975</xdr:rowOff>
    </xdr:from>
    <xdr:to>
      <xdr:col>12</xdr:col>
      <xdr:colOff>485775</xdr:colOff>
      <xdr:row>29</xdr:row>
      <xdr:rowOff>177165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380999</xdr:colOff>
      <xdr:row>30</xdr:row>
      <xdr:rowOff>133350</xdr:rowOff>
    </xdr:from>
    <xdr:to>
      <xdr:col>12</xdr:col>
      <xdr:colOff>419100</xdr:colOff>
      <xdr:row>51</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400049</xdr:colOff>
      <xdr:row>53</xdr:row>
      <xdr:rowOff>57151</xdr:rowOff>
    </xdr:from>
    <xdr:to>
      <xdr:col>12</xdr:col>
      <xdr:colOff>895350</xdr:colOff>
      <xdr:row>84</xdr:row>
      <xdr:rowOff>304800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838199</xdr:colOff>
      <xdr:row>87</xdr:row>
      <xdr:rowOff>0</xdr:rowOff>
    </xdr:from>
    <xdr:to>
      <xdr:col>13</xdr:col>
      <xdr:colOff>371475</xdr:colOff>
      <xdr:row>115</xdr:row>
      <xdr:rowOff>161925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3</xdr:col>
      <xdr:colOff>324470</xdr:colOff>
      <xdr:row>3</xdr:row>
      <xdr:rowOff>181080</xdr:rowOff>
    </xdr:to>
    <xdr:pic>
      <xdr:nvPicPr>
        <xdr:cNvPr id="10" name="Picture 9">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4439270" cy="752580"/>
        </a:xfrm>
        <a:prstGeom prst="rect">
          <a:avLst/>
        </a:prstGeom>
      </xdr:spPr>
    </xdr:pic>
    <xdr:clientData/>
  </xdr:twoCellAnchor>
  <xdr:twoCellAnchor editAs="oneCell">
    <xdr:from>
      <xdr:col>13</xdr:col>
      <xdr:colOff>733425</xdr:colOff>
      <xdr:row>36</xdr:row>
      <xdr:rowOff>123825</xdr:rowOff>
    </xdr:from>
    <xdr:to>
      <xdr:col>27</xdr:col>
      <xdr:colOff>519292</xdr:colOff>
      <xdr:row>61</xdr:row>
      <xdr:rowOff>186747</xdr:rowOff>
    </xdr:to>
    <xdr:pic>
      <xdr:nvPicPr>
        <xdr:cNvPr id="11" name="Picture 10"/>
        <xdr:cNvPicPr>
          <a:picLocks noChangeAspect="1"/>
        </xdr:cNvPicPr>
      </xdr:nvPicPr>
      <xdr:blipFill>
        <a:blip xmlns:r="http://schemas.openxmlformats.org/officeDocument/2006/relationships" r:embed="rId7"/>
        <a:stretch>
          <a:fillRect/>
        </a:stretch>
      </xdr:blipFill>
      <xdr:spPr>
        <a:xfrm>
          <a:off x="11553825" y="7419975"/>
          <a:ext cx="8663167" cy="5054022"/>
        </a:xfrm>
        <a:prstGeom prst="rect">
          <a:avLst/>
        </a:prstGeom>
      </xdr:spPr>
    </xdr:pic>
    <xdr:clientData/>
  </xdr:twoCellAnchor>
  <xdr:twoCellAnchor editAs="oneCell">
    <xdr:from>
      <xdr:col>13</xdr:col>
      <xdr:colOff>28575</xdr:colOff>
      <xdr:row>6</xdr:row>
      <xdr:rowOff>9525</xdr:rowOff>
    </xdr:from>
    <xdr:to>
      <xdr:col>26</xdr:col>
      <xdr:colOff>478911</xdr:colOff>
      <xdr:row>34</xdr:row>
      <xdr:rowOff>50795</xdr:rowOff>
    </xdr:to>
    <xdr:pic>
      <xdr:nvPicPr>
        <xdr:cNvPr id="15" name="Picture 14"/>
        <xdr:cNvPicPr>
          <a:picLocks noChangeAspect="1"/>
        </xdr:cNvPicPr>
      </xdr:nvPicPr>
      <xdr:blipFill>
        <a:blip xmlns:r="http://schemas.openxmlformats.org/officeDocument/2006/relationships" r:embed="rId8"/>
        <a:stretch>
          <a:fillRect/>
        </a:stretch>
      </xdr:blipFill>
      <xdr:spPr>
        <a:xfrm>
          <a:off x="10848975" y="1162050"/>
          <a:ext cx="8718036" cy="5803895"/>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0.00514</cdr:x>
      <cdr:y>0.95374</cdr:y>
    </cdr:from>
    <cdr:to>
      <cdr:x>0.10517</cdr:x>
      <cdr:y>0.98818</cdr:y>
    </cdr:to>
    <cdr:sp macro="" textlink="">
      <cdr:nvSpPr>
        <cdr:cNvPr id="2" name="Text Box 1"/>
        <cdr:cNvSpPr txBox="1">
          <a:spLocks xmlns:a="http://schemas.openxmlformats.org/drawingml/2006/main" noChangeArrowheads="1"/>
        </cdr:cNvSpPr>
      </cdr:nvSpPr>
      <cdr:spPr bwMode="auto">
        <a:xfrm xmlns:a="http://schemas.openxmlformats.org/drawingml/2006/main">
          <a:off x="39594" y="4925359"/>
          <a:ext cx="770917" cy="1778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a:t>
          </a:r>
        </a:p>
      </cdr:txBody>
    </cdr:sp>
  </cdr:relSizeAnchor>
</c:userShapes>
</file>

<file path=xl/drawings/drawing70.xml><?xml version="1.0" encoding="utf-8"?>
<c:userShapes xmlns:c="http://schemas.openxmlformats.org/drawingml/2006/chart">
  <cdr:relSizeAnchor xmlns:cdr="http://schemas.openxmlformats.org/drawingml/2006/chartDrawing">
    <cdr:from>
      <cdr:x>0.00814</cdr:x>
      <cdr:y>0.95168</cdr:y>
    </cdr:from>
    <cdr:to>
      <cdr:x>0.52724</cdr:x>
      <cdr:y>0.99979</cdr:y>
    </cdr:to>
    <cdr:sp macro="" textlink="">
      <cdr:nvSpPr>
        <cdr:cNvPr id="4097" name="Text Box 1"/>
        <cdr:cNvSpPr txBox="1">
          <a:spLocks xmlns:a="http://schemas.openxmlformats.org/drawingml/2006/main" noChangeArrowheads="1"/>
        </cdr:cNvSpPr>
      </cdr:nvSpPr>
      <cdr:spPr bwMode="auto">
        <a:xfrm xmlns:a="http://schemas.openxmlformats.org/drawingml/2006/main">
          <a:off x="46983" y="4574085"/>
          <a:ext cx="2996324" cy="23123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BP</a:t>
          </a:r>
        </a:p>
      </cdr:txBody>
    </cdr:sp>
  </cdr:relSizeAnchor>
</c:userShapes>
</file>

<file path=xl/drawings/drawing71.xml><?xml version="1.0" encoding="utf-8"?>
<c:userShapes xmlns:c="http://schemas.openxmlformats.org/drawingml/2006/chart">
  <cdr:relSizeAnchor xmlns:cdr="http://schemas.openxmlformats.org/drawingml/2006/chartDrawing">
    <cdr:from>
      <cdr:x>0.00471</cdr:x>
      <cdr:y>0.95005</cdr:y>
    </cdr:from>
    <cdr:to>
      <cdr:x>0.53141</cdr:x>
      <cdr:y>0.99524</cdr:y>
    </cdr:to>
    <cdr:sp macro="" textlink="">
      <cdr:nvSpPr>
        <cdr:cNvPr id="7169" name="Text Box 1"/>
        <cdr:cNvSpPr txBox="1">
          <a:spLocks xmlns:a="http://schemas.openxmlformats.org/drawingml/2006/main" noChangeArrowheads="1"/>
        </cdr:cNvSpPr>
      </cdr:nvSpPr>
      <cdr:spPr bwMode="auto">
        <a:xfrm xmlns:a="http://schemas.openxmlformats.org/drawingml/2006/main">
          <a:off x="27108" y="3891177"/>
          <a:ext cx="3030158" cy="18508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BP</a:t>
          </a:r>
        </a:p>
      </cdr:txBody>
    </cdr:sp>
  </cdr:relSizeAnchor>
</c:userShapes>
</file>

<file path=xl/drawings/drawing72.xml><?xml version="1.0" encoding="utf-8"?>
<c:userShapes xmlns:c="http://schemas.openxmlformats.org/drawingml/2006/chart">
  <cdr:relSizeAnchor xmlns:cdr="http://schemas.openxmlformats.org/drawingml/2006/chartDrawing">
    <cdr:from>
      <cdr:x>0.00836</cdr:x>
      <cdr:y>0.94752</cdr:y>
    </cdr:from>
    <cdr:to>
      <cdr:x>0.52876</cdr:x>
      <cdr:y>1</cdr:y>
    </cdr:to>
    <cdr:sp macro="" textlink="">
      <cdr:nvSpPr>
        <cdr:cNvPr id="9217" name="Text Box 1"/>
        <cdr:cNvSpPr txBox="1">
          <a:spLocks xmlns:a="http://schemas.openxmlformats.org/drawingml/2006/main" noChangeArrowheads="1"/>
        </cdr:cNvSpPr>
      </cdr:nvSpPr>
      <cdr:spPr bwMode="auto">
        <a:xfrm xmlns:a="http://schemas.openxmlformats.org/drawingml/2006/main">
          <a:off x="51911" y="5144323"/>
          <a:ext cx="3231840" cy="2849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BP</a:t>
          </a:r>
        </a:p>
      </cdr:txBody>
    </cdr:sp>
  </cdr:relSizeAnchor>
  <cdr:relSizeAnchor xmlns:cdr="http://schemas.openxmlformats.org/drawingml/2006/chartDrawing">
    <cdr:from>
      <cdr:x>0.33024</cdr:x>
      <cdr:y>0.07631</cdr:y>
    </cdr:from>
    <cdr:to>
      <cdr:x>0.77737</cdr:x>
      <cdr:y>0.14458</cdr:y>
    </cdr:to>
    <cdr:sp macro="" textlink="">
      <cdr:nvSpPr>
        <cdr:cNvPr id="3" name="TextBox 2"/>
        <cdr:cNvSpPr txBox="1"/>
      </cdr:nvSpPr>
      <cdr:spPr>
        <a:xfrm xmlns:a="http://schemas.openxmlformats.org/drawingml/2006/main">
          <a:off x="1356360" y="289560"/>
          <a:ext cx="1836420" cy="2590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400" b="1"/>
        </a:p>
      </cdr:txBody>
    </cdr:sp>
  </cdr:relSizeAnchor>
</c:userShapes>
</file>

<file path=xl/drawings/drawing73.xml><?xml version="1.0" encoding="utf-8"?>
<c:userShapes xmlns:c="http://schemas.openxmlformats.org/drawingml/2006/chart">
  <cdr:relSizeAnchor xmlns:cdr="http://schemas.openxmlformats.org/drawingml/2006/chartDrawing">
    <cdr:from>
      <cdr:x>0.00533</cdr:x>
      <cdr:y>0.94752</cdr:y>
    </cdr:from>
    <cdr:to>
      <cdr:x>0.52573</cdr:x>
      <cdr:y>1</cdr:y>
    </cdr:to>
    <cdr:sp macro="" textlink="">
      <cdr:nvSpPr>
        <cdr:cNvPr id="9217" name="Text Box 1"/>
        <cdr:cNvSpPr txBox="1">
          <a:spLocks xmlns:a="http://schemas.openxmlformats.org/drawingml/2006/main" noChangeArrowheads="1"/>
        </cdr:cNvSpPr>
      </cdr:nvSpPr>
      <cdr:spPr bwMode="auto">
        <a:xfrm xmlns:a="http://schemas.openxmlformats.org/drawingml/2006/main">
          <a:off x="33231" y="5541428"/>
          <a:ext cx="3246711" cy="30692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BP</a:t>
          </a:r>
        </a:p>
      </cdr:txBody>
    </cdr:sp>
  </cdr:relSizeAnchor>
</c:userShapes>
</file>

<file path=xl/drawings/drawing74.xml><?xml version="1.0" encoding="utf-8"?>
<xdr:wsDr xmlns:xdr="http://schemas.openxmlformats.org/drawingml/2006/spreadsheetDrawing" xmlns:a="http://schemas.openxmlformats.org/drawingml/2006/main">
  <xdr:twoCellAnchor>
    <xdr:from>
      <xdr:col>6</xdr:col>
      <xdr:colOff>200024</xdr:colOff>
      <xdr:row>42</xdr:row>
      <xdr:rowOff>152400</xdr:rowOff>
    </xdr:from>
    <xdr:to>
      <xdr:col>15</xdr:col>
      <xdr:colOff>914399</xdr:colOff>
      <xdr:row>65</xdr:row>
      <xdr:rowOff>38100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552449</xdr:colOff>
      <xdr:row>19</xdr:row>
      <xdr:rowOff>176211</xdr:rowOff>
    </xdr:from>
    <xdr:to>
      <xdr:col>14</xdr:col>
      <xdr:colOff>409574</xdr:colOff>
      <xdr:row>42</xdr:row>
      <xdr:rowOff>28575</xdr:rowOff>
    </xdr:to>
    <xdr:grpSp>
      <xdr:nvGrpSpPr>
        <xdr:cNvPr id="7" name="Group 6"/>
        <xdr:cNvGrpSpPr/>
      </xdr:nvGrpSpPr>
      <xdr:grpSpPr>
        <a:xfrm>
          <a:off x="6010274" y="4024311"/>
          <a:ext cx="5572125" cy="4433889"/>
          <a:chOff x="6010274" y="4024311"/>
          <a:chExt cx="5572125" cy="4433889"/>
        </a:xfrm>
      </xdr:grpSpPr>
      <xdr:graphicFrame macro="">
        <xdr:nvGraphicFramePr>
          <xdr:cNvPr id="4" name="Chart 3"/>
          <xdr:cNvGraphicFramePr/>
        </xdr:nvGraphicFramePr>
        <xdr:xfrm>
          <a:off x="6010274" y="4024311"/>
          <a:ext cx="5572125" cy="4433889"/>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5" name="Picture 4"/>
          <xdr:cNvPicPr>
            <a:picLocks noChangeAspect="1"/>
          </xdr:cNvPicPr>
        </xdr:nvPicPr>
        <xdr:blipFill>
          <a:blip xmlns:r="http://schemas.openxmlformats.org/officeDocument/2006/relationships" r:embed="rId3"/>
          <a:stretch>
            <a:fillRect/>
          </a:stretch>
        </xdr:blipFill>
        <xdr:spPr>
          <a:xfrm>
            <a:off x="6619875" y="4695825"/>
            <a:ext cx="4315428" cy="181000"/>
          </a:xfrm>
          <a:prstGeom prst="rect">
            <a:avLst/>
          </a:prstGeom>
        </xdr:spPr>
      </xdr:pic>
    </xdr:grpSp>
    <xdr:clientData/>
  </xdr:twoCellAnchor>
  <xdr:twoCellAnchor>
    <xdr:from>
      <xdr:col>6</xdr:col>
      <xdr:colOff>581025</xdr:colOff>
      <xdr:row>40</xdr:row>
      <xdr:rowOff>152400</xdr:rowOff>
    </xdr:from>
    <xdr:to>
      <xdr:col>10</xdr:col>
      <xdr:colOff>504825</xdr:colOff>
      <xdr:row>42</xdr:row>
      <xdr:rowOff>0</xdr:rowOff>
    </xdr:to>
    <xdr:sp macro="" textlink="">
      <xdr:nvSpPr>
        <xdr:cNvPr id="8" name="TextBox 1"/>
        <xdr:cNvSpPr txBox="1"/>
      </xdr:nvSpPr>
      <xdr:spPr>
        <a:xfrm>
          <a:off x="6038850" y="8201025"/>
          <a:ext cx="2476500" cy="2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900" b="1"/>
            <a:t>Source: </a:t>
          </a:r>
          <a:r>
            <a:rPr lang="en-AU" sz="900" b="1" baseline="0"/>
            <a:t> BP</a:t>
          </a:r>
        </a:p>
      </xdr:txBody>
    </xdr:sp>
    <xdr:clientData/>
  </xdr:twoCellAnchor>
  <xdr:twoCellAnchor editAs="oneCell">
    <xdr:from>
      <xdr:col>0</xdr:col>
      <xdr:colOff>0</xdr:colOff>
      <xdr:row>0</xdr:row>
      <xdr:rowOff>0</xdr:rowOff>
    </xdr:from>
    <xdr:to>
      <xdr:col>4</xdr:col>
      <xdr:colOff>676895</xdr:colOff>
      <xdr:row>3</xdr:row>
      <xdr:rowOff>181080</xdr:rowOff>
    </xdr:to>
    <xdr:pic>
      <xdr:nvPicPr>
        <xdr:cNvPr id="3" name="Picture 2">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cdr:x>
      <cdr:y>0.94666</cdr:y>
    </cdr:from>
    <cdr:to>
      <cdr:x>0.35183</cdr:x>
      <cdr:y>1</cdr:y>
    </cdr:to>
    <cdr:sp macro="" textlink="">
      <cdr:nvSpPr>
        <cdr:cNvPr id="2" name="TextBox 1"/>
        <cdr:cNvSpPr txBox="1"/>
      </cdr:nvSpPr>
      <cdr:spPr>
        <a:xfrm xmlns:a="http://schemas.openxmlformats.org/drawingml/2006/main">
          <a:off x="0" y="4048605"/>
          <a:ext cx="2493279" cy="22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b="1"/>
            <a:t>Source: BP</a:t>
          </a:r>
        </a:p>
      </cdr:txBody>
    </cdr:sp>
  </cdr:relSizeAnchor>
</c:userShapes>
</file>

<file path=xl/drawings/drawing76.xml><?xml version="1.0" encoding="utf-8"?>
<xdr:wsDr xmlns:xdr="http://schemas.openxmlformats.org/drawingml/2006/spreadsheetDrawing" xmlns:a="http://schemas.openxmlformats.org/drawingml/2006/main">
  <xdr:twoCellAnchor>
    <xdr:from>
      <xdr:col>8</xdr:col>
      <xdr:colOff>581025</xdr:colOff>
      <xdr:row>6</xdr:row>
      <xdr:rowOff>14286</xdr:rowOff>
    </xdr:from>
    <xdr:to>
      <xdr:col>20</xdr:col>
      <xdr:colOff>257175</xdr:colOff>
      <xdr:row>23</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24</xdr:row>
      <xdr:rowOff>180975</xdr:rowOff>
    </xdr:from>
    <xdr:to>
      <xdr:col>20</xdr:col>
      <xdr:colOff>554131</xdr:colOff>
      <xdr:row>47</xdr:row>
      <xdr:rowOff>3361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381620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14</xdr:col>
      <xdr:colOff>523875</xdr:colOff>
      <xdr:row>17</xdr:row>
      <xdr:rowOff>97155</xdr:rowOff>
    </xdr:from>
    <xdr:to>
      <xdr:col>24</xdr:col>
      <xdr:colOff>41910</xdr:colOff>
      <xdr:row>37</xdr:row>
      <xdr:rowOff>64770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609601</xdr:colOff>
      <xdr:row>17</xdr:row>
      <xdr:rowOff>95249</xdr:rowOff>
    </xdr:from>
    <xdr:to>
      <xdr:col>14</xdr:col>
      <xdr:colOff>424639</xdr:colOff>
      <xdr:row>44</xdr:row>
      <xdr:rowOff>142875</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4439270</xdr:colOff>
      <xdr:row>2</xdr:row>
      <xdr:rowOff>219180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cdr:x>
      <cdr:y>0.95293</cdr:y>
    </cdr:from>
    <cdr:to>
      <cdr:x>0.22977</cdr:x>
      <cdr:y>1</cdr:y>
    </cdr:to>
    <cdr:sp macro="" textlink="">
      <cdr:nvSpPr>
        <cdr:cNvPr id="4097" name="Text Box 1"/>
        <cdr:cNvSpPr txBox="1">
          <a:spLocks xmlns:a="http://schemas.openxmlformats.org/drawingml/2006/main" noChangeArrowheads="1"/>
        </cdr:cNvSpPr>
      </cdr:nvSpPr>
      <cdr:spPr bwMode="auto">
        <a:xfrm xmlns:a="http://schemas.openxmlformats.org/drawingml/2006/main">
          <a:off x="-20005" y="3599809"/>
          <a:ext cx="1616020" cy="1778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EnergyQuest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odstore.internal.dom/OurDocs03/Users/Open/Users/Matt.WEBER/Digest%20Web%20Files/2016/000088.Matt.WEB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dstore.internal.dom/OurDocs01/Users/Open/Users/Hailey.ADAMS/Statistics%20and%20data/000271.Hailey.ADA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Sources"/>
      <sheetName val="How To Use"/>
      <sheetName val="Comparison 2014-15 and 2016"/>
      <sheetName val="US and A$"/>
      <sheetName val="Trade Weighted Index"/>
      <sheetName val="RBA spreadsheet of Comm prices"/>
      <sheetName val="Quick Resources Facts"/>
      <sheetName val="Exports"/>
      <sheetName val="WA vs Australia vs The World"/>
      <sheetName val="Mining Investment"/>
      <sheetName val="New Capital Expenditure"/>
      <sheetName val="Mineral Exploration"/>
      <sheetName val="Min. Expl. Major Commodities"/>
      <sheetName val="Mineral Exploration Drilling"/>
      <sheetName val="Petroleum Exploration"/>
      <sheetName val="Royalty Receipts - Latest"/>
      <sheetName val="Royalties - Historic"/>
      <sheetName val="Employment by Site - Minerals"/>
      <sheetName val="Employment by Site - Petroleum"/>
      <sheetName val="Employment Pie Graph"/>
      <sheetName val="Calendar Year Employment"/>
      <sheetName val="Financial Year Employment"/>
      <sheetName val="Historic Employment Monthly"/>
      <sheetName val="Cal. Year Employment Pre 2000"/>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e Data"/>
      <sheetName val="Monthly Report Data"/>
      <sheetName val="Monthly Report Graphs"/>
      <sheetName val="ABS Pricing Data"/>
      <sheetName val="Generated Quarter Averages"/>
      <sheetName val="Generated Calendar Averages"/>
      <sheetName val="Generated FY Averages"/>
      <sheetName val="Monthly Price Data Petroleum"/>
      <sheetName val="Monthly Price Data Petroleum GJ"/>
      <sheetName val="Generation - Digest Gas Graphs"/>
      <sheetName val="Generated Qtr Avgs Petroleum"/>
      <sheetName val="Generated Cal Avgs Petroleum"/>
      <sheetName val="Generated FY Avgs Petroleum"/>
      <sheetName val="Comparison AG"/>
      <sheetName val="Monthly Report Graphs (2)"/>
      <sheetName val="Commodity Price Graphs"/>
      <sheetName val="Data"/>
      <sheetName val="Superseded data"/>
    </sheetNames>
    <sheetDataSet>
      <sheetData sheetId="0"/>
      <sheetData sheetId="1"/>
      <sheetData sheetId="2"/>
      <sheetData sheetId="3"/>
      <sheetData sheetId="4">
        <row r="7">
          <cell r="E7" t="str">
            <v>Q11999</v>
          </cell>
        </row>
      </sheetData>
      <sheetData sheetId="5"/>
      <sheetData sheetId="6"/>
      <sheetData sheetId="7"/>
      <sheetData sheetId="8"/>
      <sheetData sheetId="9"/>
      <sheetData sheetId="10"/>
      <sheetData sheetId="11"/>
      <sheetData sheetId="12"/>
      <sheetData sheetId="13"/>
      <sheetData sheetId="14"/>
      <sheetData sheetId="15"/>
      <sheetData sheetId="16">
        <row r="3">
          <cell r="A3" t="str">
            <v>&gt;=</v>
          </cell>
        </row>
        <row r="4">
          <cell r="A4" t="str">
            <v>&lt;=</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hyperlink" Target="http://www.uxc.com/" TargetMode="External"/><Relationship Id="rId13" Type="http://schemas.openxmlformats.org/officeDocument/2006/relationships/hyperlink" Target="https://www.industry.gov.au/data-and-publications/resources-and-energy-quarterly-all" TargetMode="External"/><Relationship Id="rId18" Type="http://schemas.openxmlformats.org/officeDocument/2006/relationships/hyperlink" Target="https://www.industry.gov.au/data-and-publications/resources-and-energy-quarterly-all" TargetMode="External"/><Relationship Id="rId26" Type="http://schemas.openxmlformats.org/officeDocument/2006/relationships/drawing" Target="../drawings/drawing3.xml"/><Relationship Id="rId3" Type="http://schemas.openxmlformats.org/officeDocument/2006/relationships/hyperlink" Target="http://www.energyquest.com.au/" TargetMode="External"/><Relationship Id="rId21" Type="http://schemas.openxmlformats.org/officeDocument/2006/relationships/hyperlink" Target="https://www.watc.wa.gov.au/" TargetMode="External"/><Relationship Id="rId7" Type="http://schemas.openxmlformats.org/officeDocument/2006/relationships/hyperlink" Target="https://metals.argusmedia.com/" TargetMode="External"/><Relationship Id="rId12" Type="http://schemas.openxmlformats.org/officeDocument/2006/relationships/hyperlink" Target="https://www.abs.gov.au/" TargetMode="External"/><Relationship Id="rId17" Type="http://schemas.openxmlformats.org/officeDocument/2006/relationships/hyperlink" Target="https://www.industry.gov.au/data-and-publications/resources-and-energy-quarterly-all" TargetMode="External"/><Relationship Id="rId25" Type="http://schemas.openxmlformats.org/officeDocument/2006/relationships/printerSettings" Target="../printerSettings/printerSettings2.bin"/><Relationship Id="rId2" Type="http://schemas.openxmlformats.org/officeDocument/2006/relationships/hyperlink" Target="http://www.energyquest.com.au/" TargetMode="External"/><Relationship Id="rId16" Type="http://schemas.openxmlformats.org/officeDocument/2006/relationships/hyperlink" Target="https://www.industry.gov.au/data-and-publications/resources-and-energy-quarterly-all" TargetMode="External"/><Relationship Id="rId20" Type="http://schemas.openxmlformats.org/officeDocument/2006/relationships/hyperlink" Target="http://www.bp.com/en/global/corporate/energy-economics/statistical-review-of-world-energy.html" TargetMode="External"/><Relationship Id="rId1" Type="http://schemas.openxmlformats.org/officeDocument/2006/relationships/hyperlink" Target="http://www.bp.com/en/global/corporate/energy-economics/statistical-review-of-world-energy.html" TargetMode="External"/><Relationship Id="rId6" Type="http://schemas.openxmlformats.org/officeDocument/2006/relationships/hyperlink" Target="https://metals.argusmedia.com/" TargetMode="External"/><Relationship Id="rId11" Type="http://schemas.openxmlformats.org/officeDocument/2006/relationships/hyperlink" Target="http://stat.data.abs.gov.au/" TargetMode="External"/><Relationship Id="rId24" Type="http://schemas.openxmlformats.org/officeDocument/2006/relationships/hyperlink" Target="http://www.asianmetal.com/" TargetMode="External"/><Relationship Id="rId5" Type="http://schemas.openxmlformats.org/officeDocument/2006/relationships/hyperlink" Target="http://kitco.com/gold.londonfix.html" TargetMode="External"/><Relationship Id="rId15" Type="http://schemas.openxmlformats.org/officeDocument/2006/relationships/hyperlink" Target="https://www.industry.gov.au/data-and-publications/resources-and-energy-quarterly-all" TargetMode="External"/><Relationship Id="rId23" Type="http://schemas.openxmlformats.org/officeDocument/2006/relationships/hyperlink" Target="http://www.asianmetal.com/" TargetMode="External"/><Relationship Id="rId10" Type="http://schemas.openxmlformats.org/officeDocument/2006/relationships/hyperlink" Target="https://www.abs.gov.au/" TargetMode="External"/><Relationship Id="rId19" Type="http://schemas.openxmlformats.org/officeDocument/2006/relationships/hyperlink" Target="http://stat.data.abs.gov.au/" TargetMode="External"/><Relationship Id="rId4" Type="http://schemas.openxmlformats.org/officeDocument/2006/relationships/hyperlink" Target="http://www.worldsteel.org/" TargetMode="External"/><Relationship Id="rId9" Type="http://schemas.openxmlformats.org/officeDocument/2006/relationships/hyperlink" Target="http://www.energyquest.com.au/" TargetMode="External"/><Relationship Id="rId14" Type="http://schemas.openxmlformats.org/officeDocument/2006/relationships/hyperlink" Target="https://www.industry.gov.au/data-and-publications/resources-and-energy-quarterly-all" TargetMode="External"/><Relationship Id="rId22" Type="http://schemas.openxmlformats.org/officeDocument/2006/relationships/hyperlink" Target="http://english.customs.gov.cn/"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66"/>
  <sheetViews>
    <sheetView tabSelected="1" zoomScaleNormal="100" workbookViewId="0"/>
  </sheetViews>
  <sheetFormatPr defaultRowHeight="15"/>
  <cols>
    <col min="1" max="1" width="18.85546875" bestFit="1" customWidth="1"/>
    <col min="2" max="2" width="1.5703125" bestFit="1" customWidth="1"/>
    <col min="3" max="3" width="59.42578125" bestFit="1" customWidth="1"/>
    <col min="4" max="4" width="165" customWidth="1"/>
    <col min="5" max="5" width="2.140625" customWidth="1"/>
  </cols>
  <sheetData>
    <row r="1" spans="1:6">
      <c r="A1" s="1208"/>
      <c r="D1" s="1083"/>
    </row>
    <row r="2" spans="1:6">
      <c r="D2" s="1083"/>
    </row>
    <row r="3" spans="1:6">
      <c r="D3" s="1083"/>
    </row>
    <row r="4" spans="1:6">
      <c r="D4" s="1083"/>
    </row>
    <row r="5" spans="1:6">
      <c r="C5" s="1083"/>
      <c r="D5" s="1083"/>
    </row>
    <row r="6" spans="1:6">
      <c r="A6" s="410" t="s">
        <v>19</v>
      </c>
      <c r="B6" s="410" t="s">
        <v>8</v>
      </c>
      <c r="C6" s="1642" t="s">
        <v>185</v>
      </c>
      <c r="D6" s="1452" t="s">
        <v>635</v>
      </c>
    </row>
    <row r="7" spans="1:6">
      <c r="A7" s="410" t="s">
        <v>421</v>
      </c>
      <c r="B7" s="410" t="s">
        <v>8</v>
      </c>
      <c r="C7" s="1642" t="s">
        <v>678</v>
      </c>
      <c r="D7" s="1452" t="s">
        <v>768</v>
      </c>
      <c r="F7" s="537"/>
    </row>
    <row r="8" spans="1:6">
      <c r="A8" s="410"/>
      <c r="B8" s="410" t="s">
        <v>8</v>
      </c>
      <c r="C8" s="1642" t="s">
        <v>679</v>
      </c>
      <c r="D8" s="1452" t="s">
        <v>769</v>
      </c>
    </row>
    <row r="9" spans="1:6">
      <c r="A9" s="410"/>
      <c r="B9" s="410" t="s">
        <v>8</v>
      </c>
      <c r="C9" s="1642" t="s">
        <v>734</v>
      </c>
      <c r="D9" s="1452" t="s">
        <v>770</v>
      </c>
    </row>
    <row r="10" spans="1:6">
      <c r="A10" s="410"/>
      <c r="B10" s="410" t="s">
        <v>8</v>
      </c>
      <c r="C10" s="1642" t="s">
        <v>680</v>
      </c>
      <c r="D10" s="1452" t="s">
        <v>771</v>
      </c>
    </row>
    <row r="11" spans="1:6" s="798" customFormat="1">
      <c r="A11" s="410"/>
      <c r="B11" s="410" t="s">
        <v>8</v>
      </c>
      <c r="C11" s="1642" t="s">
        <v>681</v>
      </c>
      <c r="D11" s="1452" t="s">
        <v>772</v>
      </c>
      <c r="E11"/>
    </row>
    <row r="12" spans="1:6" s="798" customFormat="1">
      <c r="A12" s="410"/>
      <c r="B12" s="410" t="s">
        <v>8</v>
      </c>
      <c r="C12" s="1642" t="s">
        <v>682</v>
      </c>
      <c r="D12" s="1452" t="s">
        <v>773</v>
      </c>
      <c r="E12"/>
    </row>
    <row r="13" spans="1:6">
      <c r="A13" s="445" t="s">
        <v>0</v>
      </c>
      <c r="B13" s="445" t="s">
        <v>8</v>
      </c>
      <c r="C13" s="1642" t="s">
        <v>694</v>
      </c>
      <c r="D13" s="1453" t="s">
        <v>774</v>
      </c>
    </row>
    <row r="14" spans="1:6">
      <c r="A14" s="445"/>
      <c r="B14" s="445" t="s">
        <v>8</v>
      </c>
      <c r="C14" s="1642" t="s">
        <v>695</v>
      </c>
      <c r="D14" s="1453" t="s">
        <v>775</v>
      </c>
    </row>
    <row r="15" spans="1:6" s="8" customFormat="1">
      <c r="A15" s="445"/>
      <c r="B15" s="445" t="s">
        <v>8</v>
      </c>
      <c r="C15" s="1642" t="s">
        <v>696</v>
      </c>
      <c r="D15" s="1453" t="s">
        <v>776</v>
      </c>
      <c r="E15"/>
    </row>
    <row r="16" spans="1:6">
      <c r="A16" s="445"/>
      <c r="B16" s="445" t="s">
        <v>8</v>
      </c>
      <c r="C16" s="1642" t="s">
        <v>780</v>
      </c>
      <c r="D16" s="1453" t="s">
        <v>691</v>
      </c>
    </row>
    <row r="17" spans="1:5">
      <c r="A17" s="446" t="s">
        <v>350</v>
      </c>
      <c r="B17" s="446" t="s">
        <v>8</v>
      </c>
      <c r="C17" s="1642" t="s">
        <v>440</v>
      </c>
      <c r="D17" s="1454" t="s">
        <v>777</v>
      </c>
    </row>
    <row r="18" spans="1:5" s="323" customFormat="1">
      <c r="A18" s="446"/>
      <c r="B18" s="446" t="s">
        <v>8</v>
      </c>
      <c r="C18" s="1642" t="s">
        <v>441</v>
      </c>
      <c r="D18" s="1454" t="s">
        <v>636</v>
      </c>
      <c r="E18"/>
    </row>
    <row r="19" spans="1:5" s="323" customFormat="1">
      <c r="A19" s="446"/>
      <c r="B19" s="446" t="s">
        <v>8</v>
      </c>
      <c r="C19" s="1642" t="s">
        <v>442</v>
      </c>
      <c r="D19" s="1454" t="s">
        <v>443</v>
      </c>
      <c r="E19"/>
    </row>
    <row r="20" spans="1:5" s="323" customFormat="1">
      <c r="A20" s="446"/>
      <c r="B20" s="446" t="s">
        <v>8</v>
      </c>
      <c r="C20" s="1642" t="s">
        <v>781</v>
      </c>
      <c r="D20" s="1454" t="s">
        <v>444</v>
      </c>
    </row>
    <row r="21" spans="1:5" s="141" customFormat="1">
      <c r="A21" s="448" t="s">
        <v>1</v>
      </c>
      <c r="B21" s="448" t="s">
        <v>8</v>
      </c>
      <c r="C21" s="1642" t="s">
        <v>178</v>
      </c>
      <c r="D21" s="1456" t="s">
        <v>815</v>
      </c>
    </row>
    <row r="22" spans="1:5">
      <c r="A22" s="448"/>
      <c r="B22" s="448" t="s">
        <v>8</v>
      </c>
      <c r="C22" s="1642" t="s">
        <v>179</v>
      </c>
      <c r="D22" s="1456" t="s">
        <v>363</v>
      </c>
    </row>
    <row r="23" spans="1:5" s="141" customFormat="1">
      <c r="A23" s="448"/>
      <c r="B23" s="448" t="s">
        <v>8</v>
      </c>
      <c r="C23" s="1642" t="s">
        <v>180</v>
      </c>
      <c r="D23" s="1456" t="s">
        <v>364</v>
      </c>
    </row>
    <row r="24" spans="1:5" s="141" customFormat="1">
      <c r="A24" s="448"/>
      <c r="B24" s="448" t="s">
        <v>8</v>
      </c>
      <c r="C24" s="1642" t="s">
        <v>783</v>
      </c>
      <c r="D24" s="1456" t="s">
        <v>365</v>
      </c>
    </row>
    <row r="25" spans="1:5" s="141" customFormat="1">
      <c r="A25" s="448"/>
      <c r="B25" s="448" t="s">
        <v>8</v>
      </c>
      <c r="C25" s="1642" t="s">
        <v>177</v>
      </c>
      <c r="D25" s="1456" t="s">
        <v>767</v>
      </c>
    </row>
    <row r="26" spans="1:5">
      <c r="A26" s="450" t="s">
        <v>2</v>
      </c>
      <c r="B26" s="450" t="s">
        <v>8</v>
      </c>
      <c r="C26" s="1642" t="s">
        <v>181</v>
      </c>
      <c r="D26" s="1458" t="s">
        <v>817</v>
      </c>
    </row>
    <row r="27" spans="1:5">
      <c r="A27" s="450"/>
      <c r="B27" s="450" t="s">
        <v>8</v>
      </c>
      <c r="C27" s="1642" t="s">
        <v>182</v>
      </c>
      <c r="D27" s="1458" t="s">
        <v>412</v>
      </c>
    </row>
    <row r="28" spans="1:5" s="141" customFormat="1">
      <c r="A28" s="450"/>
      <c r="B28" s="450" t="s">
        <v>8</v>
      </c>
      <c r="C28" s="1642" t="s">
        <v>183</v>
      </c>
      <c r="D28" s="1458" t="s">
        <v>413</v>
      </c>
    </row>
    <row r="29" spans="1:5" s="141" customFormat="1">
      <c r="A29" s="450"/>
      <c r="B29" s="450" t="s">
        <v>8</v>
      </c>
      <c r="C29" s="1642" t="s">
        <v>784</v>
      </c>
      <c r="D29" s="1458" t="s">
        <v>414</v>
      </c>
    </row>
    <row r="30" spans="1:5" s="141" customFormat="1">
      <c r="A30" s="450"/>
      <c r="B30" s="450" t="s">
        <v>8</v>
      </c>
      <c r="C30" s="1642" t="s">
        <v>764</v>
      </c>
      <c r="D30" s="1458" t="s">
        <v>765</v>
      </c>
      <c r="E30" s="537"/>
    </row>
    <row r="31" spans="1:5" s="948" customFormat="1">
      <c r="A31" s="450"/>
      <c r="B31" s="450" t="s">
        <v>8</v>
      </c>
      <c r="C31" s="1642" t="s">
        <v>763</v>
      </c>
      <c r="D31" s="1458" t="s">
        <v>766</v>
      </c>
      <c r="E31" s="537"/>
    </row>
    <row r="32" spans="1:5" s="1244" customFormat="1">
      <c r="A32" s="1311" t="s">
        <v>732</v>
      </c>
      <c r="B32" s="1311" t="s">
        <v>8</v>
      </c>
      <c r="C32" s="1642" t="s">
        <v>830</v>
      </c>
      <c r="D32" s="1461" t="s">
        <v>838</v>
      </c>
    </row>
    <row r="33" spans="1:5" s="1244" customFormat="1">
      <c r="A33" s="1311"/>
      <c r="B33" s="1311" t="s">
        <v>8</v>
      </c>
      <c r="C33" s="1642" t="s">
        <v>829</v>
      </c>
      <c r="D33" s="1461" t="s">
        <v>831</v>
      </c>
    </row>
    <row r="34" spans="1:5" s="141" customFormat="1">
      <c r="A34" s="449" t="s">
        <v>538</v>
      </c>
      <c r="B34" s="449" t="s">
        <v>8</v>
      </c>
      <c r="C34" s="1642" t="s">
        <v>821</v>
      </c>
      <c r="D34" s="1457" t="s">
        <v>816</v>
      </c>
    </row>
    <row r="35" spans="1:5" s="141" customFormat="1">
      <c r="A35" s="449"/>
      <c r="B35" s="449" t="s">
        <v>8</v>
      </c>
      <c r="C35" s="1642" t="s">
        <v>822</v>
      </c>
      <c r="D35" s="1457" t="s">
        <v>542</v>
      </c>
      <c r="E35" s="1348"/>
    </row>
    <row r="36" spans="1:5" s="141" customFormat="1">
      <c r="A36" s="449"/>
      <c r="B36" s="449" t="s">
        <v>8</v>
      </c>
      <c r="C36" s="1642" t="s">
        <v>823</v>
      </c>
      <c r="D36" s="1457" t="s">
        <v>543</v>
      </c>
      <c r="E36" s="1348"/>
    </row>
    <row r="37" spans="1:5" s="141" customFormat="1">
      <c r="A37" s="449"/>
      <c r="B37" s="449" t="s">
        <v>8</v>
      </c>
      <c r="C37" s="1642" t="s">
        <v>824</v>
      </c>
      <c r="D37" s="1457" t="s">
        <v>544</v>
      </c>
    </row>
    <row r="38" spans="1:5">
      <c r="A38" s="795" t="s">
        <v>526</v>
      </c>
      <c r="B38" s="795" t="s">
        <v>8</v>
      </c>
      <c r="C38" s="1642" t="s">
        <v>813</v>
      </c>
      <c r="D38" s="1460" t="s">
        <v>818</v>
      </c>
    </row>
    <row r="39" spans="1:5" s="323" customFormat="1">
      <c r="A39" s="447" t="s">
        <v>3</v>
      </c>
      <c r="B39" s="447" t="s">
        <v>8</v>
      </c>
      <c r="C39" s="1642" t="s">
        <v>174</v>
      </c>
      <c r="D39" s="1455" t="s">
        <v>814</v>
      </c>
    </row>
    <row r="40" spans="1:5" s="141" customFormat="1">
      <c r="A40" s="447"/>
      <c r="B40" s="447" t="s">
        <v>8</v>
      </c>
      <c r="C40" s="1642" t="s">
        <v>175</v>
      </c>
      <c r="D40" s="1455" t="s">
        <v>360</v>
      </c>
    </row>
    <row r="41" spans="1:5" s="141" customFormat="1">
      <c r="A41" s="447"/>
      <c r="B41" s="447" t="s">
        <v>8</v>
      </c>
      <c r="C41" s="1642" t="s">
        <v>176</v>
      </c>
      <c r="D41" s="1455" t="s">
        <v>361</v>
      </c>
    </row>
    <row r="42" spans="1:5" s="141" customFormat="1">
      <c r="A42" s="447"/>
      <c r="B42" s="447" t="s">
        <v>8</v>
      </c>
      <c r="C42" s="1642" t="s">
        <v>782</v>
      </c>
      <c r="D42" s="1455" t="s">
        <v>362</v>
      </c>
    </row>
    <row r="43" spans="1:5" s="486" customFormat="1">
      <c r="A43" s="452" t="s">
        <v>4</v>
      </c>
      <c r="B43" s="452" t="s">
        <v>8</v>
      </c>
      <c r="C43" s="1642" t="s">
        <v>409</v>
      </c>
      <c r="D43" s="1462" t="s">
        <v>778</v>
      </c>
    </row>
    <row r="44" spans="1:5">
      <c r="A44" s="452"/>
      <c r="B44" s="452" t="s">
        <v>8</v>
      </c>
      <c r="C44" s="1642" t="s">
        <v>410</v>
      </c>
      <c r="D44" s="1462" t="s">
        <v>779</v>
      </c>
    </row>
    <row r="45" spans="1:5" s="141" customFormat="1">
      <c r="A45" s="452"/>
      <c r="B45" s="452" t="s">
        <v>8</v>
      </c>
      <c r="C45" s="1642" t="s">
        <v>832</v>
      </c>
      <c r="D45" s="1462" t="s">
        <v>424</v>
      </c>
      <c r="E45" s="537"/>
    </row>
    <row r="46" spans="1:5">
      <c r="A46" s="452"/>
      <c r="B46" s="452" t="s">
        <v>8</v>
      </c>
      <c r="C46" s="1642" t="s">
        <v>633</v>
      </c>
      <c r="D46" s="1462" t="s">
        <v>692</v>
      </c>
    </row>
    <row r="47" spans="1:5">
      <c r="A47" s="452"/>
      <c r="B47" s="452" t="s">
        <v>8</v>
      </c>
      <c r="C47" s="1642" t="s">
        <v>358</v>
      </c>
      <c r="D47" s="1462" t="s">
        <v>425</v>
      </c>
      <c r="E47" s="537"/>
    </row>
    <row r="48" spans="1:5">
      <c r="A48" s="452"/>
      <c r="B48" s="452" t="s">
        <v>8</v>
      </c>
      <c r="C48" s="1642" t="s">
        <v>359</v>
      </c>
      <c r="D48" s="1462" t="s">
        <v>426</v>
      </c>
      <c r="E48" s="537"/>
    </row>
    <row r="49" spans="1:5">
      <c r="A49" s="452"/>
      <c r="B49" s="452" t="s">
        <v>8</v>
      </c>
      <c r="C49" s="1642" t="s">
        <v>465</v>
      </c>
      <c r="D49" s="1462" t="s">
        <v>466</v>
      </c>
      <c r="E49" s="537"/>
    </row>
    <row r="50" spans="1:5" s="416" customFormat="1">
      <c r="A50" s="452"/>
      <c r="B50" s="452" t="s">
        <v>8</v>
      </c>
      <c r="C50" s="1642" t="s">
        <v>762</v>
      </c>
      <c r="D50" s="1462" t="s">
        <v>427</v>
      </c>
      <c r="E50" s="537"/>
    </row>
    <row r="51" spans="1:5" s="141" customFormat="1">
      <c r="A51" s="451" t="s">
        <v>5</v>
      </c>
      <c r="B51" s="451" t="s">
        <v>8</v>
      </c>
      <c r="C51" s="1642" t="s">
        <v>184</v>
      </c>
      <c r="D51" s="1459" t="s">
        <v>423</v>
      </c>
      <c r="E51" s="1083"/>
    </row>
    <row r="52" spans="1:5">
      <c r="A52" s="900" t="s">
        <v>628</v>
      </c>
      <c r="B52" s="900" t="s">
        <v>8</v>
      </c>
      <c r="C52" s="1642" t="s">
        <v>20</v>
      </c>
      <c r="D52" s="1452" t="s">
        <v>422</v>
      </c>
    </row>
    <row r="53" spans="1:5">
      <c r="A53" s="900" t="s">
        <v>629</v>
      </c>
      <c r="B53" s="900" t="s">
        <v>8</v>
      </c>
      <c r="C53" s="1642" t="s">
        <v>629</v>
      </c>
      <c r="D53" s="1452" t="s">
        <v>627</v>
      </c>
    </row>
    <row r="54" spans="1:5">
      <c r="C54" s="1083"/>
    </row>
    <row r="58" spans="1:5">
      <c r="C58" s="1083"/>
    </row>
    <row r="59" spans="1:5">
      <c r="C59" s="1083"/>
    </row>
    <row r="60" spans="1:5">
      <c r="C60" s="1083"/>
    </row>
    <row r="61" spans="1:5">
      <c r="C61" s="1083"/>
    </row>
    <row r="62" spans="1:5">
      <c r="C62" s="1083"/>
    </row>
    <row r="63" spans="1:5">
      <c r="C63" s="1083"/>
    </row>
    <row r="64" spans="1:5">
      <c r="C64" s="1083"/>
    </row>
    <row r="65" spans="3:3">
      <c r="C65" s="1083"/>
    </row>
    <row r="66" spans="3:3">
      <c r="C66" s="1083"/>
    </row>
  </sheetData>
  <hyperlinks>
    <hyperlink ref="C13" location="'Alumina - Q&amp;V'!A1" display="Alumina - Quantity and Value"/>
    <hyperlink ref="C14" location="'Alumina - Prices'!A1" display="Alumina - Prices"/>
    <hyperlink ref="C15" location="'Alumina - Exports'!A1" display="Alumina - Exports"/>
    <hyperlink ref="C16" location="'Alumina - WA vs Australia'!A1" display="Alumina - WA vs. Australia"/>
    <hyperlink ref="C39" location="'Nickel - Q&amp;V'!A1" display="Nickel - Quantity and Value"/>
    <hyperlink ref="C40" location="'Nickel - Prices'!A1" display="Nickel - Prices"/>
    <hyperlink ref="C41" location="'Nickel - Exports'!A1" display="Nickel - Exports"/>
    <hyperlink ref="C42" location="'Nickel - WA vs Australia'!A1" display="Nickel - WA vs. Australia"/>
    <hyperlink ref="C21" location="'Gold - Q&amp;V'!A1" display="Gold - Quantity and Value"/>
    <hyperlink ref="C22" location="'Gold - Prices'!A1" display="Gold - Prices"/>
    <hyperlink ref="C23" location="'Gold - Exports'!A1" display="Gold - Exports"/>
    <hyperlink ref="C24" location="'Gold - WA vs Australia'!A1" display="Gold - WA vs. Australia"/>
    <hyperlink ref="C25" location="'Gold - Cumulative Production'!A1" display="Gold - Cumulative Production"/>
    <hyperlink ref="C34" location="'Mineral Sands - Q&amp;V'!A1" display="Mineral Sands - Quantity and Value"/>
    <hyperlink ref="C36" location="'Mineral Sands - Exports'!A1" display="Mineral Sands - Exports"/>
    <hyperlink ref="C37" location="'Mineral Sands - WA vs Australia'!A1" display="Mineral Sands - WA vs Australia"/>
    <hyperlink ref="C26" location="'Iron Ore - Q&amp;V'!A1" display="Iron Ore - Quantity and Value"/>
    <hyperlink ref="C27" location="'Iron Ore - Prices'!A1" display="Iron Ore - Prices"/>
    <hyperlink ref="C28" location="'Iron Ore - Exports'!A1" display="Iron Ore - Exports"/>
    <hyperlink ref="C51" location="'Uranium - Prices'!A1" display="Uranium Prices"/>
    <hyperlink ref="C30" location="'China Steel Prod &amp; Iron Ore CY'!A1" display="China Crude Steel Production &amp; Iron Ore Imports (Calendar Year)"/>
    <hyperlink ref="C29" location="'Iron Ore - WA vs Australia'!A1" display="Iron Ore - WA vs. Australia"/>
    <hyperlink ref="C43" location="'Petroleum - Q&amp;V1'!A1" display="Petroleum - Quantity and Value (Crude Oil and Condensate)"/>
    <hyperlink ref="C45" location="'Petroleum - Oil Prices'!A1" display="Petroleum - Oil Prices"/>
    <hyperlink ref="C47" location="'Petroleum - Exports'!A1" display="Petroleum - Exports"/>
    <hyperlink ref="C48" location="'Petroleum - WA vs Australia'!A1" display="Petroleum - WA vs Australia"/>
    <hyperlink ref="C44" location="'Petroleum - Q&amp;V2'!A1" display="Petroleum - Quantity and Value (Natural Gas and Related)"/>
    <hyperlink ref="C6" location="'Data - Monthly Commodity Prices'!A1" display="Monthly Commodity Prices"/>
    <hyperlink ref="C7" location="'Q&amp;V 2 Yr Summary'!A1" display="Q&amp;V 2 Yr Summary"/>
    <hyperlink ref="C8" location="'Major Commodity Summary'!A1" display="Major Commodity Summary"/>
    <hyperlink ref="C9" location="'CY Q&amp;V 1886-2003'!A1" display="CY Q&amp;V 1886-2003"/>
    <hyperlink ref="C50" location="'Petroleum - Global Oil Reserves'!A1" display="Petroleum - Global Oil Reserves"/>
    <hyperlink ref="C17" location="'Base Metals - Q&amp;V'!A1" display="Base Metals - Quantity and Value"/>
    <hyperlink ref="C18" location="'Base Metals - Prices'!A1" display="Base Metals - Prices"/>
    <hyperlink ref="C19" location="'Base Metals - Exports'!A1" display="Base Metals - Exports"/>
    <hyperlink ref="C20" location="'Base Metals - WA vs Australia'!A1" display="Base Metals - WA vs. Australia"/>
    <hyperlink ref="C35" location="'Mineral Sands - Prices'!A1" display="Mineral Sands - Prices"/>
    <hyperlink ref="C49" location="'Petroleum - Global LNG Trade'!A1" display="Petroleum - Global LNG Trade"/>
    <hyperlink ref="C38" location="'Minor Commodities - Q&amp;V'!A1" display="Minor Commodities"/>
    <hyperlink ref="C11" location="'FY Q&amp;V 1984-85 to 2002-03'!A1" display="Financial Year Quantity &amp; Value - Historic"/>
    <hyperlink ref="C10" location="'CY Q&amp;V 2004-Now'!A1" display="CY Q&amp;V 2004-Now"/>
    <hyperlink ref="C12" location="'FY Q&amp;V 2003-04 to Now'!A1" display="FY Q&amp;V 2003-04 to Now"/>
    <hyperlink ref="C52" location="'Data Sources'!A1" display="Sources"/>
    <hyperlink ref="C53" location="'How To Use'!A1" display="How to Use"/>
    <hyperlink ref="C46" location="'Petroleum - Gas Prices'!A1" display="Petroleum - Gas Prices"/>
    <hyperlink ref="C32" location="'Lithium - Q&amp;V'!A1" display="Battery Minerals - Quantity &amp; Value"/>
    <hyperlink ref="C33" location="'Lithium - Prices'!A1" display="Battery Minerals - Prices"/>
    <hyperlink ref="C31" location="'China Steel Prod &amp; Iron Ore FY'!A1" display="China Crude Steel Production &amp; Iron Ore Imports (Financial Year)"/>
  </hyperlinks>
  <pageMargins left="0.25" right="0.25" top="0.75" bottom="0.75" header="0.3" footer="0.3"/>
  <pageSetup paperSize="8" scale="85" orientation="landscape" r:id="rId1"/>
  <drawing r:id="rId2"/>
  <legacyDrawing r:id="rId3"/>
  <oleObjects>
    <mc:AlternateContent xmlns:mc="http://schemas.openxmlformats.org/markup-compatibility/2006">
      <mc:Choice Requires="x14">
        <oleObject progId="Word.Document.12" shapeId="1025" r:id="rId4">
          <objectPr defaultSize="0" r:id="rId5">
            <anchor moveWithCells="1">
              <from>
                <xdr:col>4</xdr:col>
                <xdr:colOff>38100</xdr:colOff>
                <xdr:row>5</xdr:row>
                <xdr:rowOff>19050</xdr:rowOff>
              </from>
              <to>
                <xdr:col>11</xdr:col>
                <xdr:colOff>419100</xdr:colOff>
                <xdr:row>23</xdr:row>
                <xdr:rowOff>0</xdr:rowOff>
              </to>
            </anchor>
          </objectPr>
        </oleObject>
      </mc:Choice>
      <mc:Fallback>
        <oleObject progId="Word.Document.12" shapeId="1025"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P110"/>
  <sheetViews>
    <sheetView zoomScaleNormal="100" workbookViewId="0">
      <pane xSplit="2" ySplit="9" topLeftCell="AD67" activePane="bottomRight" state="frozen"/>
      <selection activeCell="V13" sqref="V13"/>
      <selection pane="topRight" activeCell="V13" sqref="V13"/>
      <selection pane="bottomLeft" activeCell="V13" sqref="V13"/>
      <selection pane="bottomRight"/>
    </sheetView>
  </sheetViews>
  <sheetFormatPr defaultRowHeight="15"/>
  <cols>
    <col min="1" max="1" width="46.42578125" style="630" customWidth="1"/>
    <col min="2" max="2" width="25.5703125" style="810" customWidth="1"/>
    <col min="3" max="3" width="16" bestFit="1" customWidth="1"/>
    <col min="4" max="4" width="14.85546875" bestFit="1" customWidth="1"/>
    <col min="5" max="5" width="16" bestFit="1" customWidth="1"/>
    <col min="6" max="6" width="14.85546875" bestFit="1" customWidth="1"/>
    <col min="7" max="7" width="16" bestFit="1" customWidth="1"/>
    <col min="8" max="8" width="14.85546875" bestFit="1" customWidth="1"/>
    <col min="9" max="9" width="16" bestFit="1" customWidth="1"/>
    <col min="10" max="10" width="14.85546875" bestFit="1" customWidth="1"/>
    <col min="11" max="11" width="16" bestFit="1" customWidth="1"/>
    <col min="12" max="12" width="14.85546875" bestFit="1" customWidth="1"/>
    <col min="13" max="13" width="16" bestFit="1" customWidth="1"/>
    <col min="14" max="14" width="14.85546875" bestFit="1" customWidth="1"/>
    <col min="15" max="15" width="16" bestFit="1" customWidth="1"/>
    <col min="16" max="16" width="14.85546875" bestFit="1" customWidth="1"/>
    <col min="17" max="17" width="16" bestFit="1" customWidth="1"/>
    <col min="18" max="18" width="15.85546875" bestFit="1" customWidth="1"/>
    <col min="19" max="19" width="16" bestFit="1" customWidth="1"/>
    <col min="20" max="20" width="15.85546875" bestFit="1" customWidth="1"/>
    <col min="21" max="21" width="16" bestFit="1" customWidth="1"/>
    <col min="22" max="22" width="22" bestFit="1" customWidth="1"/>
    <col min="23" max="23" width="19.28515625" bestFit="1" customWidth="1"/>
    <col min="24" max="26" width="19.28515625" customWidth="1"/>
    <col min="27" max="28" width="19.28515625" style="798" customWidth="1"/>
    <col min="29" max="30" width="19.28515625" style="1244" customWidth="1"/>
    <col min="31" max="32" width="19.28515625" style="1348" customWidth="1"/>
    <col min="33" max="34" width="19.28515625" style="1535" customWidth="1"/>
    <col min="35" max="36" width="19.28515625" customWidth="1"/>
    <col min="42" max="42" width="10.5703125" bestFit="1" customWidth="1"/>
  </cols>
  <sheetData>
    <row r="1" spans="1:36">
      <c r="AI1" s="950"/>
      <c r="AJ1" s="453"/>
    </row>
    <row r="2" spans="1:36" ht="26.25">
      <c r="Z2" s="1497"/>
      <c r="AI2" s="950"/>
      <c r="AJ2" s="453"/>
    </row>
    <row r="3" spans="1:36">
      <c r="AI3" s="950"/>
      <c r="AJ3" s="453"/>
    </row>
    <row r="4" spans="1:36">
      <c r="X4" s="1348"/>
      <c r="AH4" s="1672"/>
      <c r="AI4" s="950"/>
      <c r="AJ4" s="453"/>
    </row>
    <row r="5" spans="1:36">
      <c r="A5" s="572" t="s">
        <v>674</v>
      </c>
      <c r="B5" s="573"/>
      <c r="AE5" s="1672"/>
      <c r="AF5" s="1672"/>
      <c r="AI5" s="950"/>
      <c r="AJ5" s="453"/>
    </row>
    <row r="6" spans="1:36">
      <c r="A6" s="541"/>
      <c r="B6" s="573"/>
      <c r="F6" s="798"/>
      <c r="G6" s="798"/>
      <c r="H6" s="798"/>
      <c r="I6" s="798"/>
      <c r="J6" s="798"/>
      <c r="K6" s="798"/>
      <c r="L6" s="798"/>
      <c r="M6" s="798"/>
      <c r="N6" s="798"/>
      <c r="O6" s="798"/>
      <c r="P6" s="798"/>
      <c r="Q6" s="798"/>
      <c r="R6" s="798"/>
      <c r="S6" s="798"/>
      <c r="T6" s="798"/>
      <c r="U6" s="798"/>
      <c r="V6" s="798"/>
      <c r="W6" s="798"/>
      <c r="X6" s="798"/>
      <c r="Y6" s="798"/>
      <c r="Z6" s="798"/>
      <c r="AI6" s="950"/>
      <c r="AJ6" s="453"/>
    </row>
    <row r="7" spans="1:36">
      <c r="A7" s="877"/>
      <c r="B7" s="851"/>
      <c r="C7" s="1953" t="s">
        <v>605</v>
      </c>
      <c r="D7" s="1953"/>
      <c r="E7" s="1953" t="s">
        <v>582</v>
      </c>
      <c r="F7" s="1953"/>
      <c r="G7" s="1953" t="s">
        <v>606</v>
      </c>
      <c r="H7" s="1953"/>
      <c r="I7" s="1953" t="s">
        <v>607</v>
      </c>
      <c r="J7" s="1953"/>
      <c r="K7" s="1953" t="s">
        <v>608</v>
      </c>
      <c r="L7" s="1953"/>
      <c r="M7" s="1953" t="s">
        <v>609</v>
      </c>
      <c r="N7" s="1953"/>
      <c r="O7" s="1953" t="s">
        <v>610</v>
      </c>
      <c r="P7" s="1953"/>
      <c r="Q7" s="1953" t="s">
        <v>611</v>
      </c>
      <c r="R7" s="1953"/>
      <c r="S7" s="1953" t="s">
        <v>612</v>
      </c>
      <c r="T7" s="1953"/>
      <c r="U7" s="1953" t="s">
        <v>613</v>
      </c>
      <c r="V7" s="1953"/>
      <c r="W7" s="1953" t="s">
        <v>614</v>
      </c>
      <c r="X7" s="1953"/>
      <c r="Y7" s="1953" t="s">
        <v>615</v>
      </c>
      <c r="Z7" s="1953"/>
      <c r="AA7" s="1953" t="s">
        <v>616</v>
      </c>
      <c r="AB7" s="1953"/>
      <c r="AC7" s="1953" t="s">
        <v>669</v>
      </c>
      <c r="AD7" s="1953"/>
      <c r="AE7" s="1953" t="s">
        <v>704</v>
      </c>
      <c r="AF7" s="1953"/>
      <c r="AG7" s="1953" t="s">
        <v>730</v>
      </c>
      <c r="AH7" s="1955"/>
      <c r="AI7" s="1954" t="s">
        <v>115</v>
      </c>
      <c r="AJ7" s="1953"/>
    </row>
    <row r="8" spans="1:36">
      <c r="A8" s="877" t="s">
        <v>190</v>
      </c>
      <c r="B8" s="851" t="s">
        <v>191</v>
      </c>
      <c r="C8" s="853" t="str">
        <f>CONCATENATE(C7, " Quantity")</f>
        <v>2003-04 Quantity</v>
      </c>
      <c r="D8" s="853" t="str">
        <f>CONCATENATE(C7, " Value")</f>
        <v>2003-04 Value</v>
      </c>
      <c r="E8" s="853" t="str">
        <f>CONCATENATE(E7, " Quantity")</f>
        <v>2004-05 Quantity</v>
      </c>
      <c r="F8" s="853" t="str">
        <f>CONCATENATE(E7, " Value")</f>
        <v>2004-05 Value</v>
      </c>
      <c r="G8" s="853" t="str">
        <f>CONCATENATE(G7, " Quantity")</f>
        <v>2005-06 Quantity</v>
      </c>
      <c r="H8" s="853" t="str">
        <f>CONCATENATE(G7, " Value")</f>
        <v>2005-06 Value</v>
      </c>
      <c r="I8" s="853" t="str">
        <f>CONCATENATE(I7, " Quantity")</f>
        <v>2006-07 Quantity</v>
      </c>
      <c r="J8" s="853" t="str">
        <f>CONCATENATE(I7, " Value")</f>
        <v>2006-07 Value</v>
      </c>
      <c r="K8" s="853" t="str">
        <f>CONCATENATE(K7, " Quantity")</f>
        <v>2007-08 Quantity</v>
      </c>
      <c r="L8" s="853" t="str">
        <f>CONCATENATE(K7, " Value")</f>
        <v>2007-08 Value</v>
      </c>
      <c r="M8" s="853" t="str">
        <f>CONCATENATE(M7, " Quantity")</f>
        <v>2008-09 Quantity</v>
      </c>
      <c r="N8" s="853" t="str">
        <f>CONCATENATE(M7, " Value")</f>
        <v>2008-09 Value</v>
      </c>
      <c r="O8" s="853" t="str">
        <f>CONCATENATE(O7, " Quantity")</f>
        <v>2009-10 Quantity</v>
      </c>
      <c r="P8" s="853" t="str">
        <f>CONCATENATE(O7, " Value")</f>
        <v>2009-10 Value</v>
      </c>
      <c r="Q8" s="853" t="str">
        <f>CONCATENATE(Q7, " Quantity")</f>
        <v>2010-11 Quantity</v>
      </c>
      <c r="R8" s="853" t="str">
        <f>CONCATENATE(Q7, " Value")</f>
        <v>2010-11 Value</v>
      </c>
      <c r="S8" s="853" t="str">
        <f>CONCATENATE(S7, " Quantity")</f>
        <v>2011-12 Quantity</v>
      </c>
      <c r="T8" s="853" t="str">
        <f>CONCATENATE(S7, " Value")</f>
        <v>2011-12 Value</v>
      </c>
      <c r="U8" s="853" t="str">
        <f>CONCATENATE(U7, " Quantity")</f>
        <v>2012-13 Quantity</v>
      </c>
      <c r="V8" s="853" t="str">
        <f>CONCATENATE(U7, " Value")</f>
        <v>2012-13 Value</v>
      </c>
      <c r="W8" s="853" t="str">
        <f>CONCATENATE(W7, " Quantity")</f>
        <v>2013-14 Quantity</v>
      </c>
      <c r="X8" s="853" t="str">
        <f>CONCATENATE(W7, " Value")</f>
        <v>2013-14 Value</v>
      </c>
      <c r="Y8" s="851" t="str">
        <f>CONCATENATE(Y7, " Quantity")</f>
        <v>2014-15 Quantity</v>
      </c>
      <c r="Z8" s="851" t="str">
        <f>CONCATENATE(Y7, " Value")</f>
        <v>2014-15 Value</v>
      </c>
      <c r="AA8" s="853" t="str">
        <f>CONCATENATE(AA7, " Quantity")</f>
        <v>2015-16 Quantity</v>
      </c>
      <c r="AB8" s="853" t="str">
        <f>CONCATENATE(AA7, " Value")</f>
        <v>2015-16 Value</v>
      </c>
      <c r="AC8" s="853" t="str">
        <f>CONCATENATE(AC7, " Quantity")</f>
        <v>2016-17 Quantity</v>
      </c>
      <c r="AD8" s="853" t="str">
        <f>CONCATENATE(AC7, " Value")</f>
        <v>2016-17 Value</v>
      </c>
      <c r="AE8" s="853" t="str">
        <f>CONCATENATE(AE7, " Quantity")</f>
        <v>2017-18 Quantity</v>
      </c>
      <c r="AF8" s="853" t="str">
        <f>CONCATENATE(AE7, " Value")</f>
        <v>2017-18 Value</v>
      </c>
      <c r="AG8" s="853" t="str">
        <f>CONCATENATE(AG7, " Quantity")</f>
        <v>2018-19 Quantity</v>
      </c>
      <c r="AH8" s="853" t="str">
        <f>CONCATENATE(AG7, " Value")</f>
        <v>2018-19 Value</v>
      </c>
      <c r="AI8" s="951" t="s">
        <v>500</v>
      </c>
      <c r="AJ8" s="947" t="s">
        <v>803</v>
      </c>
    </row>
    <row r="9" spans="1:36">
      <c r="A9" s="877"/>
      <c r="B9" s="851"/>
      <c r="C9" s="1472">
        <f>IF(RIGHT(C8,8)="Quantity",1,0)</f>
        <v>1</v>
      </c>
      <c r="D9" s="1472">
        <f t="shared" ref="D9:AF9" si="0">IF(RIGHT(D8,8)="Quantity",1,0)</f>
        <v>0</v>
      </c>
      <c r="E9" s="1472">
        <f t="shared" si="0"/>
        <v>1</v>
      </c>
      <c r="F9" s="1472">
        <f t="shared" si="0"/>
        <v>0</v>
      </c>
      <c r="G9" s="1472">
        <f t="shared" si="0"/>
        <v>1</v>
      </c>
      <c r="H9" s="1472">
        <f t="shared" si="0"/>
        <v>0</v>
      </c>
      <c r="I9" s="1472">
        <f t="shared" si="0"/>
        <v>1</v>
      </c>
      <c r="J9" s="1472">
        <f t="shared" si="0"/>
        <v>0</v>
      </c>
      <c r="K9" s="1472">
        <f t="shared" si="0"/>
        <v>1</v>
      </c>
      <c r="L9" s="1472">
        <f t="shared" si="0"/>
        <v>0</v>
      </c>
      <c r="M9" s="1472">
        <f t="shared" si="0"/>
        <v>1</v>
      </c>
      <c r="N9" s="1472">
        <f t="shared" si="0"/>
        <v>0</v>
      </c>
      <c r="O9" s="1472">
        <f t="shared" si="0"/>
        <v>1</v>
      </c>
      <c r="P9" s="1472">
        <f t="shared" si="0"/>
        <v>0</v>
      </c>
      <c r="Q9" s="1472">
        <f t="shared" si="0"/>
        <v>1</v>
      </c>
      <c r="R9" s="1472">
        <f t="shared" si="0"/>
        <v>0</v>
      </c>
      <c r="S9" s="1472">
        <f t="shared" si="0"/>
        <v>1</v>
      </c>
      <c r="T9" s="1472">
        <f t="shared" si="0"/>
        <v>0</v>
      </c>
      <c r="U9" s="1472">
        <f t="shared" si="0"/>
        <v>1</v>
      </c>
      <c r="V9" s="1472">
        <f t="shared" si="0"/>
        <v>0</v>
      </c>
      <c r="W9" s="1472">
        <f t="shared" si="0"/>
        <v>1</v>
      </c>
      <c r="X9" s="1472">
        <f t="shared" si="0"/>
        <v>0</v>
      </c>
      <c r="Y9" s="1472">
        <f t="shared" si="0"/>
        <v>1</v>
      </c>
      <c r="Z9" s="1472">
        <f t="shared" si="0"/>
        <v>0</v>
      </c>
      <c r="AA9" s="1472">
        <f t="shared" si="0"/>
        <v>1</v>
      </c>
      <c r="AB9" s="1472">
        <f t="shared" si="0"/>
        <v>0</v>
      </c>
      <c r="AC9" s="1472">
        <f t="shared" si="0"/>
        <v>1</v>
      </c>
      <c r="AD9" s="1472">
        <f t="shared" si="0"/>
        <v>0</v>
      </c>
      <c r="AE9" s="1472">
        <f t="shared" si="0"/>
        <v>1</v>
      </c>
      <c r="AF9" s="1472">
        <f t="shared" si="0"/>
        <v>0</v>
      </c>
      <c r="AG9" s="1472">
        <f t="shared" ref="AG9:AH9" si="1">IF(RIGHT(AG8,8)="Quantity",1,0)</f>
        <v>1</v>
      </c>
      <c r="AH9" s="1472">
        <f t="shared" si="1"/>
        <v>0</v>
      </c>
      <c r="AI9" s="952"/>
      <c r="AJ9" s="947"/>
    </row>
    <row r="10" spans="1:36" s="1348" customFormat="1">
      <c r="A10" s="877"/>
      <c r="B10" s="1473"/>
      <c r="C10" s="1472"/>
      <c r="D10" s="1472"/>
      <c r="E10" s="1472"/>
      <c r="F10" s="1472"/>
      <c r="G10" s="1472"/>
      <c r="H10" s="1472"/>
      <c r="I10" s="1472"/>
      <c r="J10" s="1472"/>
      <c r="K10" s="1472"/>
      <c r="L10" s="1472"/>
      <c r="M10" s="1472"/>
      <c r="N10" s="1472"/>
      <c r="O10" s="1472"/>
      <c r="P10" s="1472"/>
      <c r="Q10" s="1472"/>
      <c r="R10" s="1472"/>
      <c r="S10" s="1472"/>
      <c r="T10" s="1472"/>
      <c r="U10" s="1472"/>
      <c r="V10" s="1472"/>
      <c r="W10" s="1472"/>
      <c r="X10" s="1472"/>
      <c r="Y10" s="1472"/>
      <c r="Z10" s="1472"/>
      <c r="AA10" s="1472"/>
      <c r="AB10" s="1472"/>
      <c r="AC10" s="1472"/>
      <c r="AD10" s="1472"/>
      <c r="AE10" s="1472"/>
      <c r="AF10" s="1472"/>
      <c r="AG10" s="1472"/>
      <c r="AH10" s="1472"/>
      <c r="AI10" s="1474"/>
      <c r="AJ10" s="1473"/>
    </row>
    <row r="11" spans="1:36">
      <c r="A11" s="884" t="s">
        <v>577</v>
      </c>
      <c r="B11" s="848"/>
      <c r="C11" s="1464"/>
      <c r="D11" s="1464"/>
      <c r="E11" s="1464"/>
      <c r="F11" s="1464"/>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81"/>
      <c r="AF11" s="1464"/>
      <c r="AG11" s="1464"/>
      <c r="AH11" s="1464"/>
      <c r="AI11" s="1485"/>
      <c r="AJ11" s="1464"/>
    </row>
    <row r="12" spans="1:36" s="1348" customFormat="1">
      <c r="A12" s="887" t="s">
        <v>0</v>
      </c>
      <c r="B12" s="848" t="s">
        <v>110</v>
      </c>
      <c r="C12" s="890">
        <f>(SUMIFS('Alumina - Q&amp;V'!$B$8:$B$250,'Alumina - Q&amp;V'!$H$8:$H$250,LEFT('FY Q&amp;V 2003-04 to Now'!C$7:D$7,4),'Alumina - Q&amp;V'!$I$8:$I$250,3)+
SUMIFS('Alumina - Q&amp;V'!$B$8:$B$250,'Alumina - Q&amp;V'!$H$8:$H$250,LEFT('FY Q&amp;V 2003-04 to Now'!C$7:D$7,4),'Alumina - Q&amp;V'!$I$8:$I$250,4)+
SUMIFS('Alumina - Q&amp;V'!$B$8:$B$250,'Alumina - Q&amp;V'!$H$8:$H$250,CONCATENATE("20",RIGHT('FY Q&amp;V 2003-04 to Now'!C$7:D$7,2)),'Alumina - Q&amp;V'!$I$8:$I$250,1)+
SUMIFS('Alumina - Q&amp;V'!$B$8:$B$250,'Alumina - Q&amp;V'!$H$8:$H$250,CONCATENATE("20",RIGHT('FY Q&amp;V 2003-04 to Now'!C$7:D$7,2)),'Alumina - Q&amp;V'!$I$8:$I$250,2))*1000000</f>
        <v>11165835</v>
      </c>
      <c r="D12" s="891">
        <f>(SUMIFS('Alumina - Q&amp;V'!$C$8:$C$250,'Alumina - Q&amp;V'!$H$8:$H$250,LEFT('FY Q&amp;V 2003-04 to Now'!C$7,4),'Alumina - Q&amp;V'!$I$8:$I$250,3)+
SUMIFS('Alumina - Q&amp;V'!$C$8:$C$250,'Alumina - Q&amp;V'!$H$8:$H$250,LEFT('FY Q&amp;V 2003-04 to Now'!C$7,4),'Alumina - Q&amp;V'!$I$8:$I$250,4)+
SUMIFS('Alumina - Q&amp;V'!$C$8:$C$250,'Alumina - Q&amp;V'!$H$8:$H$250,CONCATENATE("20",RIGHT('FY Q&amp;V 2003-04 to Now'!C$7,2)),'Alumina - Q&amp;V'!$I$8:$I$250,1)+
SUMIFS('Alumina - Q&amp;V'!$C$8:$C$250,'Alumina - Q&amp;V'!$H$8:$H$250,CONCATENATE("20",RIGHT('FY Q&amp;V 2003-04 to Now'!C$7,2)),'Alumina - Q&amp;V'!$I$8:$I$250,2))*1000000</f>
        <v>3085110024.75</v>
      </c>
      <c r="E12" s="890">
        <f>(SUMIFS('Alumina - Q&amp;V'!$B$8:$B$250,'Alumina - Q&amp;V'!$H$8:$H$250,LEFT('FY Q&amp;V 2003-04 to Now'!E$7:F$7,4),'Alumina - Q&amp;V'!$I$8:$I$250,3)+
SUMIFS('Alumina - Q&amp;V'!$B$8:$B$250,'Alumina - Q&amp;V'!$H$8:$H$250,LEFT('FY Q&amp;V 2003-04 to Now'!E$7:F$7,4),'Alumina - Q&amp;V'!$I$8:$I$250,4)+
SUMIFS('Alumina - Q&amp;V'!$B$8:$B$250,'Alumina - Q&amp;V'!$H$8:$H$250,CONCATENATE("20",RIGHT('FY Q&amp;V 2003-04 to Now'!E$7:F$7,2)),'Alumina - Q&amp;V'!$I$8:$I$250,1)+
SUMIFS('Alumina - Q&amp;V'!$B$8:$B$250,'Alumina - Q&amp;V'!$H$8:$H$250,CONCATENATE("20",RIGHT('FY Q&amp;V 2003-04 to Now'!E$7:F$7,2)),'Alumina - Q&amp;V'!$I$8:$I$250,2))*1000000</f>
        <v>11140179</v>
      </c>
      <c r="F12" s="891">
        <f>(SUMIFS('Alumina - Q&amp;V'!$C$8:$C$250,'Alumina - Q&amp;V'!$H$8:$H$250,LEFT('FY Q&amp;V 2003-04 to Now'!E$7,4),'Alumina - Q&amp;V'!$I$8:$I$250,3)+
SUMIFS('Alumina - Q&amp;V'!$C$8:$C$250,'Alumina - Q&amp;V'!$H$8:$H$250,LEFT('FY Q&amp;V 2003-04 to Now'!E$7,4),'Alumina - Q&amp;V'!$I$8:$I$250,4)+
SUMIFS('Alumina - Q&amp;V'!$C$8:$C$250,'Alumina - Q&amp;V'!$H$8:$H$250,CONCATENATE("20",RIGHT('FY Q&amp;V 2003-04 to Now'!E$7,2)),'Alumina - Q&amp;V'!$I$8:$I$250,1)+
SUMIFS('Alumina - Q&amp;V'!$C$8:$C$250,'Alumina - Q&amp;V'!$H$8:$H$250,CONCATENATE("20",RIGHT('FY Q&amp;V 2003-04 to Now'!E$7,2)),'Alumina - Q&amp;V'!$I$8:$I$250,2))*1000000</f>
        <v>3430690094.5099998</v>
      </c>
      <c r="G12" s="890">
        <f>(SUMIFS('Alumina - Q&amp;V'!$B$8:$B$250,'Alumina - Q&amp;V'!$H$8:$H$250,LEFT('FY Q&amp;V 2003-04 to Now'!G$7:H$7,4),'Alumina - Q&amp;V'!$I$8:$I$250,3)+
SUMIFS('Alumina - Q&amp;V'!$B$8:$B$250,'Alumina - Q&amp;V'!$H$8:$H$250,LEFT('FY Q&amp;V 2003-04 to Now'!G$7:H$7,4),'Alumina - Q&amp;V'!$I$8:$I$250,4)+
SUMIFS('Alumina - Q&amp;V'!$B$8:$B$250,'Alumina - Q&amp;V'!$H$8:$H$250,CONCATENATE("20",RIGHT('FY Q&amp;V 2003-04 to Now'!G$7:H$7,2)),'Alumina - Q&amp;V'!$I$8:$I$250,1)+
SUMIFS('Alumina - Q&amp;V'!$B$8:$B$250,'Alumina - Q&amp;V'!$H$8:$H$250,CONCATENATE("20",RIGHT('FY Q&amp;V 2003-04 to Now'!G$7:H$7,2)),'Alumina - Q&amp;V'!$I$8:$I$250,2))*1000000</f>
        <v>11453193.75</v>
      </c>
      <c r="H12" s="891">
        <f>(SUMIFS('Alumina - Q&amp;V'!$C$8:$C$250,'Alumina - Q&amp;V'!$H$8:$H$250,LEFT('FY Q&amp;V 2003-04 to Now'!G$7,4),'Alumina - Q&amp;V'!$I$8:$I$250,3)+
SUMIFS('Alumina - Q&amp;V'!$C$8:$C$250,'Alumina - Q&amp;V'!$H$8:$H$250,LEFT('FY Q&amp;V 2003-04 to Now'!G$7,4),'Alumina - Q&amp;V'!$I$8:$I$250,4)+
SUMIFS('Alumina - Q&amp;V'!$C$8:$C$250,'Alumina - Q&amp;V'!$H$8:$H$250,CONCATENATE("20",RIGHT('FY Q&amp;V 2003-04 to Now'!G$7,2)),'Alumina - Q&amp;V'!$I$8:$I$250,1)+
SUMIFS('Alumina - Q&amp;V'!$C$8:$C$250,'Alumina - Q&amp;V'!$H$8:$H$250,CONCATENATE("20",RIGHT('FY Q&amp;V 2003-04 to Now'!G$7,2)),'Alumina - Q&amp;V'!$I$8:$I$250,2))*1000000</f>
        <v>4152943630.5500002</v>
      </c>
      <c r="I12" s="890">
        <f>(SUMIFS('Alumina - Q&amp;V'!$B$8:$B$250,'Alumina - Q&amp;V'!$H$8:$H$250,LEFT('FY Q&amp;V 2003-04 to Now'!I$7:J$7,4),'Alumina - Q&amp;V'!$I$8:$I$250,3)+
SUMIFS('Alumina - Q&amp;V'!$B$8:$B$250,'Alumina - Q&amp;V'!$H$8:$H$250,LEFT('FY Q&amp;V 2003-04 to Now'!I$7:J$7,4),'Alumina - Q&amp;V'!$I$8:$I$250,4)+
SUMIFS('Alumina - Q&amp;V'!$B$8:$B$250,'Alumina - Q&amp;V'!$H$8:$H$250,CONCATENATE("20",RIGHT('FY Q&amp;V 2003-04 to Now'!I$7:J$7,2)),'Alumina - Q&amp;V'!$I$8:$I$250,1)+
SUMIFS('Alumina - Q&amp;V'!$B$8:$B$250,'Alumina - Q&amp;V'!$H$8:$H$250,CONCATENATE("20",RIGHT('FY Q&amp;V 2003-04 to Now'!I$7:J$7,2)),'Alumina - Q&amp;V'!$I$8:$I$250,2))*1000000</f>
        <v>11991247.063000001</v>
      </c>
      <c r="J12" s="891">
        <f>(SUMIFS('Alumina - Q&amp;V'!$C$8:$C$250,'Alumina - Q&amp;V'!$H$8:$H$250,LEFT('FY Q&amp;V 2003-04 to Now'!I$7,4),'Alumina - Q&amp;V'!$I$8:$I$250,3)+
SUMIFS('Alumina - Q&amp;V'!$C$8:$C$250,'Alumina - Q&amp;V'!$H$8:$H$250,LEFT('FY Q&amp;V 2003-04 to Now'!I$7,4),'Alumina - Q&amp;V'!$I$8:$I$250,4)+
SUMIFS('Alumina - Q&amp;V'!$C$8:$C$250,'Alumina - Q&amp;V'!$H$8:$H$250,CONCATENATE("20",RIGHT('FY Q&amp;V 2003-04 to Now'!I$7,2)),'Alumina - Q&amp;V'!$I$8:$I$250,1)+
SUMIFS('Alumina - Q&amp;V'!$C$8:$C$250,'Alumina - Q&amp;V'!$H$8:$H$250,CONCATENATE("20",RIGHT('FY Q&amp;V 2003-04 to Now'!I$7,2)),'Alumina - Q&amp;V'!$I$8:$I$250,2))*1000000</f>
        <v>5151288982.46</v>
      </c>
      <c r="K12" s="890">
        <f>(SUMIFS('Alumina - Q&amp;V'!$B$8:$B$250,'Alumina - Q&amp;V'!$H$8:$H$250,LEFT('FY Q&amp;V 2003-04 to Now'!K$7:L$7,4),'Alumina - Q&amp;V'!$I$8:$I$250,3)+
SUMIFS('Alumina - Q&amp;V'!$B$8:$B$250,'Alumina - Q&amp;V'!$H$8:$H$250,LEFT('FY Q&amp;V 2003-04 to Now'!K$7:L$7,4),'Alumina - Q&amp;V'!$I$8:$I$250,4)+
SUMIFS('Alumina - Q&amp;V'!$B$8:$B$250,'Alumina - Q&amp;V'!$H$8:$H$250,CONCATENATE("20",RIGHT('FY Q&amp;V 2003-04 to Now'!K$7:L$7,2)),'Alumina - Q&amp;V'!$I$8:$I$250,1)+
SUMIFS('Alumina - Q&amp;V'!$B$8:$B$250,'Alumina - Q&amp;V'!$H$8:$H$250,CONCATENATE("20",RIGHT('FY Q&amp;V 2003-04 to Now'!K$7:L$7,2)),'Alumina - Q&amp;V'!$I$8:$I$250,2))*1000000</f>
        <v>12321277.791999999</v>
      </c>
      <c r="L12" s="891">
        <f>(SUMIFS('Alumina - Q&amp;V'!$C$8:$C$250,'Alumina - Q&amp;V'!$H$8:$H$250,LEFT('FY Q&amp;V 2003-04 to Now'!K$7,4),'Alumina - Q&amp;V'!$I$8:$I$250,3)+
SUMIFS('Alumina - Q&amp;V'!$C$8:$C$250,'Alumina - Q&amp;V'!$H$8:$H$250,LEFT('FY Q&amp;V 2003-04 to Now'!K$7,4),'Alumina - Q&amp;V'!$I$8:$I$250,4)+
SUMIFS('Alumina - Q&amp;V'!$C$8:$C$250,'Alumina - Q&amp;V'!$H$8:$H$250,CONCATENATE("20",RIGHT('FY Q&amp;V 2003-04 to Now'!K$7,2)),'Alumina - Q&amp;V'!$I$8:$I$250,1)+
SUMIFS('Alumina - Q&amp;V'!$C$8:$C$250,'Alumina - Q&amp;V'!$H$8:$H$250,CONCATENATE("20",RIGHT('FY Q&amp;V 2003-04 to Now'!K$7,2)),'Alumina - Q&amp;V'!$I$8:$I$250,2))*1000000</f>
        <v>4838417453.5100002</v>
      </c>
      <c r="M12" s="890">
        <f>(SUMIFS('Alumina - Q&amp;V'!$B$8:$B$250,'Alumina - Q&amp;V'!$H$8:$H$250,LEFT('FY Q&amp;V 2003-04 to Now'!M$7:N$7,4),'Alumina - Q&amp;V'!$I$8:$I$250,3)+
SUMIFS('Alumina - Q&amp;V'!$B$8:$B$250,'Alumina - Q&amp;V'!$H$8:$H$250,LEFT('FY Q&amp;V 2003-04 to Now'!M$7:N$7,4),'Alumina - Q&amp;V'!$I$8:$I$250,4)+
SUMIFS('Alumina - Q&amp;V'!$B$8:$B$250,'Alumina - Q&amp;V'!$H$8:$H$250,CONCATENATE("20",RIGHT('FY Q&amp;V 2003-04 to Now'!M$7:N$7,2)),'Alumina - Q&amp;V'!$I$8:$I$250,1)+
SUMIFS('Alumina - Q&amp;V'!$B$8:$B$250,'Alumina - Q&amp;V'!$H$8:$H$250,CONCATENATE("20",RIGHT('FY Q&amp;V 2003-04 to Now'!M$7:N$7,2)),'Alumina - Q&amp;V'!$I$8:$I$250,2))*1000000</f>
        <v>12271552.999999998</v>
      </c>
      <c r="N12" s="891">
        <f>(SUMIFS('Alumina - Q&amp;V'!$C$8:$C$250,'Alumina - Q&amp;V'!$H$8:$H$250,LEFT('FY Q&amp;V 2003-04 to Now'!M$7,4),'Alumina - Q&amp;V'!$I$8:$I$250,3)+
SUMIFS('Alumina - Q&amp;V'!$C$8:$C$250,'Alumina - Q&amp;V'!$H$8:$H$250,LEFT('FY Q&amp;V 2003-04 to Now'!M$7,4),'Alumina - Q&amp;V'!$I$8:$I$250,4)+
SUMIFS('Alumina - Q&amp;V'!$C$8:$C$250,'Alumina - Q&amp;V'!$H$8:$H$250,CONCATENATE("20",RIGHT('FY Q&amp;V 2003-04 to Now'!M$7,2)),'Alumina - Q&amp;V'!$I$8:$I$250,1)+
SUMIFS('Alumina - Q&amp;V'!$C$8:$C$250,'Alumina - Q&amp;V'!$H$8:$H$250,CONCATENATE("20",RIGHT('FY Q&amp;V 2003-04 to Now'!M$7,2)),'Alumina - Q&amp;V'!$I$8:$I$250,2))*1000000</f>
        <v>4352643950.3800001</v>
      </c>
      <c r="O12" s="890">
        <f>(SUMIFS('Alumina - Q&amp;V'!$B$8:$B$250,'Alumina - Q&amp;V'!$H$8:$H$250,LEFT('FY Q&amp;V 2003-04 to Now'!O$7:P$7,4),'Alumina - Q&amp;V'!$I$8:$I$250,3)+
SUMIFS('Alumina - Q&amp;V'!$B$8:$B$250,'Alumina - Q&amp;V'!$H$8:$H$250,LEFT('FY Q&amp;V 2003-04 to Now'!O$7:P$7,4),'Alumina - Q&amp;V'!$I$8:$I$250,4)+
SUMIFS('Alumina - Q&amp;V'!$B$8:$B$250,'Alumina - Q&amp;V'!$H$8:$H$250,CONCATENATE("20",RIGHT('FY Q&amp;V 2003-04 to Now'!O$7:P$7,2)),'Alumina - Q&amp;V'!$I$8:$I$250,1)+
SUMIFS('Alumina - Q&amp;V'!$B$8:$B$250,'Alumina - Q&amp;V'!$H$8:$H$250,CONCATENATE("20",RIGHT('FY Q&amp;V 2003-04 to Now'!O$7:P$7,2)),'Alumina - Q&amp;V'!$I$8:$I$250,2))*1000000</f>
        <v>12643178</v>
      </c>
      <c r="P12" s="891">
        <f>(SUMIFS('Alumina - Q&amp;V'!$C$8:$C$250,'Alumina - Q&amp;V'!$H$8:$H$250,LEFT('FY Q&amp;V 2003-04 to Now'!O$7,4),'Alumina - Q&amp;V'!$I$8:$I$250,3)+
SUMIFS('Alumina - Q&amp;V'!$C$8:$C$250,'Alumina - Q&amp;V'!$H$8:$H$250,LEFT('FY Q&amp;V 2003-04 to Now'!O$7,4),'Alumina - Q&amp;V'!$I$8:$I$250,4)+
SUMIFS('Alumina - Q&amp;V'!$C$8:$C$250,'Alumina - Q&amp;V'!$H$8:$H$250,CONCATENATE("20",RIGHT('FY Q&amp;V 2003-04 to Now'!O$7,2)),'Alumina - Q&amp;V'!$I$8:$I$250,1)+
SUMIFS('Alumina - Q&amp;V'!$C$8:$C$250,'Alumina - Q&amp;V'!$H$8:$H$250,CONCATENATE("20",RIGHT('FY Q&amp;V 2003-04 to Now'!O$7,2)),'Alumina - Q&amp;V'!$I$8:$I$250,2))*1000000</f>
        <v>3871191801.6600003</v>
      </c>
      <c r="Q12" s="890">
        <f>(SUMIFS('Alumina - Q&amp;V'!$B$8:$B$250,'Alumina - Q&amp;V'!$H$8:$H$250,LEFT('FY Q&amp;V 2003-04 to Now'!Q$7:R$7,4),'Alumina - Q&amp;V'!$I$8:$I$250,3)+
SUMIFS('Alumina - Q&amp;V'!$B$8:$B$250,'Alumina - Q&amp;V'!$H$8:$H$250,LEFT('FY Q&amp;V 2003-04 to Now'!Q$7:R$7,4),'Alumina - Q&amp;V'!$I$8:$I$250,4)+
SUMIFS('Alumina - Q&amp;V'!$B$8:$B$250,'Alumina - Q&amp;V'!$H$8:$H$250,CONCATENATE("20",RIGHT('FY Q&amp;V 2003-04 to Now'!Q$7:R$7,2)),'Alumina - Q&amp;V'!$I$8:$I$250,1)+
SUMIFS('Alumina - Q&amp;V'!$B$8:$B$250,'Alumina - Q&amp;V'!$H$8:$H$250,CONCATENATE("20",RIGHT('FY Q&amp;V 2003-04 to Now'!Q$7:R$7,2)),'Alumina - Q&amp;V'!$I$8:$I$250,2))*1000000</f>
        <v>12280629.000000002</v>
      </c>
      <c r="R12" s="891">
        <f>(SUMIFS('Alumina - Q&amp;V'!$C$8:$C$250,'Alumina - Q&amp;V'!$H$8:$H$250,LEFT('FY Q&amp;V 2003-04 to Now'!Q$7,4),'Alumina - Q&amp;V'!$I$8:$I$250,3)+
SUMIFS('Alumina - Q&amp;V'!$C$8:$C$250,'Alumina - Q&amp;V'!$H$8:$H$250,LEFT('FY Q&amp;V 2003-04 to Now'!Q$7,4),'Alumina - Q&amp;V'!$I$8:$I$250,4)+
SUMIFS('Alumina - Q&amp;V'!$C$8:$C$250,'Alumina - Q&amp;V'!$H$8:$H$250,CONCATENATE("20",RIGHT('FY Q&amp;V 2003-04 to Now'!Q$7,2)),'Alumina - Q&amp;V'!$I$8:$I$250,1)+
SUMIFS('Alumina - Q&amp;V'!$C$8:$C$250,'Alumina - Q&amp;V'!$H$8:$H$250,CONCATENATE("20",RIGHT('FY Q&amp;V 2003-04 to Now'!Q$7,2)),'Alumina - Q&amp;V'!$I$8:$I$250,2))*1000000</f>
        <v>3990376375.1500001</v>
      </c>
      <c r="S12" s="890">
        <f>(SUMIFS('Alumina - Q&amp;V'!$B$8:$B$250,'Alumina - Q&amp;V'!$H$8:$H$250,LEFT('FY Q&amp;V 2003-04 to Now'!S$7:T$7,4),'Alumina - Q&amp;V'!$I$8:$I$250,3)+
SUMIFS('Alumina - Q&amp;V'!$B$8:$B$250,'Alumina - Q&amp;V'!$H$8:$H$250,LEFT('FY Q&amp;V 2003-04 to Now'!S$7:T$7,4),'Alumina - Q&amp;V'!$I$8:$I$250,4)+
SUMIFS('Alumina - Q&amp;V'!$B$8:$B$250,'Alumina - Q&amp;V'!$H$8:$H$250,CONCATENATE("20",RIGHT('FY Q&amp;V 2003-04 to Now'!S$7:T$7,2)),'Alumina - Q&amp;V'!$I$8:$I$250,1)+
SUMIFS('Alumina - Q&amp;V'!$B$8:$B$250,'Alumina - Q&amp;V'!$H$8:$H$250,CONCATENATE("20",RIGHT('FY Q&amp;V 2003-04 to Now'!S$7:T$7,2)),'Alumina - Q&amp;V'!$I$8:$I$250,2))*1000000</f>
        <v>12424860.330000002</v>
      </c>
      <c r="T12" s="891">
        <f>(SUMIFS('Alumina - Q&amp;V'!$C$8:$C$250,'Alumina - Q&amp;V'!$H$8:$H$250,LEFT('FY Q&amp;V 2003-04 to Now'!S$7,4),'Alumina - Q&amp;V'!$I$8:$I$250,3)+
SUMIFS('Alumina - Q&amp;V'!$C$8:$C$250,'Alumina - Q&amp;V'!$H$8:$H$250,LEFT('FY Q&amp;V 2003-04 to Now'!S$7,4),'Alumina - Q&amp;V'!$I$8:$I$250,4)+
SUMIFS('Alumina - Q&amp;V'!$C$8:$C$250,'Alumina - Q&amp;V'!$H$8:$H$250,CONCATENATE("20",RIGHT('FY Q&amp;V 2003-04 to Now'!S$7,2)),'Alumina - Q&amp;V'!$I$8:$I$250,1)+
SUMIFS('Alumina - Q&amp;V'!$C$8:$C$250,'Alumina - Q&amp;V'!$H$8:$H$250,CONCATENATE("20",RIGHT('FY Q&amp;V 2003-04 to Now'!S$7,2)),'Alumina - Q&amp;V'!$I$8:$I$250,2))*1000000</f>
        <v>4010219381.579999</v>
      </c>
      <c r="U12" s="890">
        <f>(SUMIFS('Alumina - Q&amp;V'!$B$8:$B$250,'Alumina - Q&amp;V'!$H$8:$H$250,LEFT('FY Q&amp;V 2003-04 to Now'!U$7:V$7,4),'Alumina - Q&amp;V'!$I$8:$I$250,3)+
SUMIFS('Alumina - Q&amp;V'!$B$8:$B$250,'Alumina - Q&amp;V'!$H$8:$H$250,LEFT('FY Q&amp;V 2003-04 to Now'!U$7:V$7,4),'Alumina - Q&amp;V'!$I$8:$I$250,4)+
SUMIFS('Alumina - Q&amp;V'!$B$8:$B$250,'Alumina - Q&amp;V'!$H$8:$H$250,CONCATENATE("20",RIGHT('FY Q&amp;V 2003-04 to Now'!U$7:V$7,2)),'Alumina - Q&amp;V'!$I$8:$I$250,1)+
SUMIFS('Alumina - Q&amp;V'!$B$8:$B$250,'Alumina - Q&amp;V'!$H$8:$H$250,CONCATENATE("20",RIGHT('FY Q&amp;V 2003-04 to Now'!U$7:V$7,2)),'Alumina - Q&amp;V'!$I$8:$I$250,2))*1000000</f>
        <v>13530752.17</v>
      </c>
      <c r="V12" s="891">
        <f>(SUMIFS('Alumina - Q&amp;V'!$C$8:$C$250,'Alumina - Q&amp;V'!$H$8:$H$250,LEFT('FY Q&amp;V 2003-04 to Now'!U$7,4),'Alumina - Q&amp;V'!$I$8:$I$250,3)+
SUMIFS('Alumina - Q&amp;V'!$C$8:$C$250,'Alumina - Q&amp;V'!$H$8:$H$250,LEFT('FY Q&amp;V 2003-04 to Now'!U$7,4),'Alumina - Q&amp;V'!$I$8:$I$250,4)+
SUMIFS('Alumina - Q&amp;V'!$C$8:$C$250,'Alumina - Q&amp;V'!$H$8:$H$250,CONCATENATE("20",RIGHT('FY Q&amp;V 2003-04 to Now'!U$7,2)),'Alumina - Q&amp;V'!$I$8:$I$250,1)+
SUMIFS('Alumina - Q&amp;V'!$C$8:$C$250,'Alumina - Q&amp;V'!$H$8:$H$250,CONCATENATE("20",RIGHT('FY Q&amp;V 2003-04 to Now'!U$7,2)),'Alumina - Q&amp;V'!$I$8:$I$250,2))*1000000</f>
        <v>4027810217.2099996</v>
      </c>
      <c r="W12" s="890">
        <f>(SUMIFS('Alumina - Q&amp;V'!$B$8:$B$250,'Alumina - Q&amp;V'!$H$8:$H$250,LEFT('FY Q&amp;V 2003-04 to Now'!W$7:X$7,4),'Alumina - Q&amp;V'!$I$8:$I$250,3)+
SUMIFS('Alumina - Q&amp;V'!$B$8:$B$250,'Alumina - Q&amp;V'!$H$8:$H$250,LEFT('FY Q&amp;V 2003-04 to Now'!W$7:X$7,4),'Alumina - Q&amp;V'!$I$8:$I$250,4)+
SUMIFS('Alumina - Q&amp;V'!$B$8:$B$250,'Alumina - Q&amp;V'!$H$8:$H$250,CONCATENATE("20",RIGHT('FY Q&amp;V 2003-04 to Now'!W$7:X$7,2)),'Alumina - Q&amp;V'!$I$8:$I$250,1)+
SUMIFS('Alumina - Q&amp;V'!$B$8:$B$250,'Alumina - Q&amp;V'!$H$8:$H$250,CONCATENATE("20",RIGHT('FY Q&amp;V 2003-04 to Now'!W$7:X$7,2)),'Alumina - Q&amp;V'!$I$8:$I$250,2))*1000000</f>
        <v>13717951.679999998</v>
      </c>
      <c r="X12" s="891">
        <f>(SUMIFS('Alumina - Q&amp;V'!$C$8:$C$250,'Alumina - Q&amp;V'!$H$8:$H$250,LEFT('FY Q&amp;V 2003-04 to Now'!W$7,4),'Alumina - Q&amp;V'!$I$8:$I$250,3)+
SUMIFS('Alumina - Q&amp;V'!$C$8:$C$250,'Alumina - Q&amp;V'!$H$8:$H$250,LEFT('FY Q&amp;V 2003-04 to Now'!W$7,4),'Alumina - Q&amp;V'!$I$8:$I$250,4)+
SUMIFS('Alumina - Q&amp;V'!$C$8:$C$250,'Alumina - Q&amp;V'!$H$8:$H$250,CONCATENATE("20",RIGHT('FY Q&amp;V 2003-04 to Now'!W$7,2)),'Alumina - Q&amp;V'!$I$8:$I$250,1)+
SUMIFS('Alumina - Q&amp;V'!$C$8:$C$250,'Alumina - Q&amp;V'!$H$8:$H$250,CONCATENATE("20",RIGHT('FY Q&amp;V 2003-04 to Now'!W$7,2)),'Alumina - Q&amp;V'!$I$8:$I$250,2))*1000000</f>
        <v>4295348699.0100002</v>
      </c>
      <c r="Y12" s="890">
        <f>(SUMIFS('Alumina - Q&amp;V'!$B$8:$B$250,'Alumina - Q&amp;V'!$H$8:$H$250,LEFT('FY Q&amp;V 2003-04 to Now'!Y$7:Z$7,4),'Alumina - Q&amp;V'!$I$8:$I$250,3)+
SUMIFS('Alumina - Q&amp;V'!$B$8:$B$250,'Alumina - Q&amp;V'!$H$8:$H$250,LEFT('FY Q&amp;V 2003-04 to Now'!Y$7:Z$7,4),'Alumina - Q&amp;V'!$I$8:$I$250,4)+
SUMIFS('Alumina - Q&amp;V'!$B$8:$B$250,'Alumina - Q&amp;V'!$H$8:$H$250,CONCATENATE("20",RIGHT('FY Q&amp;V 2003-04 to Now'!Y$7:Z$7,2)),'Alumina - Q&amp;V'!$I$8:$I$250,1)+
SUMIFS('Alumina - Q&amp;V'!$B$8:$B$250,'Alumina - Q&amp;V'!$H$8:$H$250,CONCATENATE("20",RIGHT('FY Q&amp;V 2003-04 to Now'!Y$7:Z$7,2)),'Alumina - Q&amp;V'!$I$8:$I$250,2))*1000000</f>
        <v>13771412.275999999</v>
      </c>
      <c r="Z12" s="891">
        <f>(SUMIFS('Alumina - Q&amp;V'!$C$8:$C$250,'Alumina - Q&amp;V'!$H$8:$H$250,LEFT('FY Q&amp;V 2003-04 to Now'!Y$7,4),'Alumina - Q&amp;V'!$I$8:$I$250,3)+
SUMIFS('Alumina - Q&amp;V'!$C$8:$C$250,'Alumina - Q&amp;V'!$H$8:$H$250,LEFT('FY Q&amp;V 2003-04 to Now'!Y$7,4),'Alumina - Q&amp;V'!$I$8:$I$250,4)+
SUMIFS('Alumina - Q&amp;V'!$C$8:$C$250,'Alumina - Q&amp;V'!$H$8:$H$250,CONCATENATE("20",RIGHT('FY Q&amp;V 2003-04 to Now'!Y$7,2)),'Alumina - Q&amp;V'!$I$8:$I$250,1)+
SUMIFS('Alumina - Q&amp;V'!$C$8:$C$250,'Alumina - Q&amp;V'!$H$8:$H$250,CONCATENATE("20",RIGHT('FY Q&amp;V 2003-04 to Now'!Y$7,2)),'Alumina - Q&amp;V'!$I$8:$I$250,2))*1000000</f>
        <v>5022721218</v>
      </c>
      <c r="AA12" s="890">
        <f>(SUMIFS('Alumina - Q&amp;V'!$B$8:$B$250,'Alumina - Q&amp;V'!$H$8:$H$250,LEFT('FY Q&amp;V 2003-04 to Now'!AA$7:AB$7,4),'Alumina - Q&amp;V'!$I$8:$I$250,3)+
SUMIFS('Alumina - Q&amp;V'!$B$8:$B$250,'Alumina - Q&amp;V'!$H$8:$H$250,LEFT('FY Q&amp;V 2003-04 to Now'!AA$7:AB$7,4),'Alumina - Q&amp;V'!$I$8:$I$250,4)+
SUMIFS('Alumina - Q&amp;V'!$B$8:$B$250,'Alumina - Q&amp;V'!$H$8:$H$250,CONCATENATE("20",RIGHT('FY Q&amp;V 2003-04 to Now'!AA$7:AB$7,2)),'Alumina - Q&amp;V'!$I$8:$I$250,1)+
SUMIFS('Alumina - Q&amp;V'!$B$8:$B$250,'Alumina - Q&amp;V'!$H$8:$H$250,CONCATENATE("20",RIGHT('FY Q&amp;V 2003-04 to Now'!AA$7:AB$7,2)),'Alumina - Q&amp;V'!$I$8:$I$250,2))*1000000</f>
        <v>13893539.520000001</v>
      </c>
      <c r="AB12" s="891">
        <f>(SUMIFS('Alumina - Q&amp;V'!$C$8:$C$250,'Alumina - Q&amp;V'!$H$8:$H$250,LEFT('FY Q&amp;V 2003-04 to Now'!AA$7,4),'Alumina - Q&amp;V'!$I$8:$I$250,3)+
SUMIFS('Alumina - Q&amp;V'!$C$8:$C$250,'Alumina - Q&amp;V'!$H$8:$H$250,LEFT('FY Q&amp;V 2003-04 to Now'!AA$7,4),'Alumina - Q&amp;V'!$I$8:$I$250,4)+
SUMIFS('Alumina - Q&amp;V'!$C$8:$C$250,'Alumina - Q&amp;V'!$H$8:$H$250,CONCATENATE("20",RIGHT('FY Q&amp;V 2003-04 to Now'!AA$7,2)),'Alumina - Q&amp;V'!$I$8:$I$250,1)+
SUMIFS('Alumina - Q&amp;V'!$C$8:$C$250,'Alumina - Q&amp;V'!$H$8:$H$250,CONCATENATE("20",RIGHT('FY Q&amp;V 2003-04 to Now'!AA$7,2)),'Alumina - Q&amp;V'!$I$8:$I$250,2))*1000000</f>
        <v>4937279870</v>
      </c>
      <c r="AC12" s="890">
        <f>(SUMIFS('Alumina - Q&amp;V'!$B$8:$B$250,'Alumina - Q&amp;V'!$H$8:$H$250,LEFT('FY Q&amp;V 2003-04 to Now'!AC$7:AD$7,4),'Alumina - Q&amp;V'!$I$8:$I$250,3)+
SUMIFS('Alumina - Q&amp;V'!$B$8:$B$250,'Alumina - Q&amp;V'!$H$8:$H$250,LEFT('FY Q&amp;V 2003-04 to Now'!AC$7:AD$7,4),'Alumina - Q&amp;V'!$I$8:$I$250,4)+
SUMIFS('Alumina - Q&amp;V'!$B$8:$B$250,'Alumina - Q&amp;V'!$H$8:$H$250,CONCATENATE("20",RIGHT('FY Q&amp;V 2003-04 to Now'!AC$7:AD$7,2)),'Alumina - Q&amp;V'!$I$8:$I$250,1)+
SUMIFS('Alumina - Q&amp;V'!$B$8:$B$250,'Alumina - Q&amp;V'!$H$8:$H$250,CONCATENATE("20",RIGHT('FY Q&amp;V 2003-04 to Now'!AC$7:AD$7,2)),'Alumina - Q&amp;V'!$I$8:$I$250,2))*1000000</f>
        <v>13855381.770000001</v>
      </c>
      <c r="AD12" s="891">
        <f>(SUMIFS('Alumina - Q&amp;V'!$C$8:$C$250,'Alumina - Q&amp;V'!$H$8:$H$250,LEFT('FY Q&amp;V 2003-04 to Now'!AC$7,4),'Alumina - Q&amp;V'!$I$8:$I$250,3)+
SUMIFS('Alumina - Q&amp;V'!$C$8:$C$250,'Alumina - Q&amp;V'!$H$8:$H$250,LEFT('FY Q&amp;V 2003-04 to Now'!AC$7,4),'Alumina - Q&amp;V'!$I$8:$I$250,4)+
SUMIFS('Alumina - Q&amp;V'!$C$8:$C$250,'Alumina - Q&amp;V'!$H$8:$H$250,CONCATENATE("20",RIGHT('FY Q&amp;V 2003-04 to Now'!AC$7,2)),'Alumina - Q&amp;V'!$I$8:$I$250,1)+
SUMIFS('Alumina - Q&amp;V'!$C$8:$C$250,'Alumina - Q&amp;V'!$H$8:$H$250,CONCATENATE("20",RIGHT('FY Q&amp;V 2003-04 to Now'!AC$7,2)),'Alumina - Q&amp;V'!$I$8:$I$250,2))*1000000</f>
        <v>5073995897</v>
      </c>
      <c r="AE12" s="1308">
        <f>(SUMIFS('Alumina - Q&amp;V'!$B$8:$B$250,'Alumina - Q&amp;V'!$H$8:$H$250,LEFT('FY Q&amp;V 2003-04 to Now'!AE$7:AF$7,4),'Alumina - Q&amp;V'!$I$8:$I$250,3)+
SUMIFS('Alumina - Q&amp;V'!$B$8:$B$250,'Alumina - Q&amp;V'!$H$8:$H$250,LEFT('FY Q&amp;V 2003-04 to Now'!AE$7:AF$7,4),'Alumina - Q&amp;V'!$I$8:$I$250,4)+
SUMIFS('Alumina - Q&amp;V'!$B$8:$B$250,'Alumina - Q&amp;V'!$H$8:$H$250,CONCATENATE("20",RIGHT('FY Q&amp;V 2003-04 to Now'!AE$7:AF$7,2)),'Alumina - Q&amp;V'!$I$8:$I$250,1)+
SUMIFS('Alumina - Q&amp;V'!$B$8:$B$250,'Alumina - Q&amp;V'!$H$8:$H$250,CONCATENATE("20",RIGHT('FY Q&amp;V 2003-04 to Now'!AE$7:AF$7,2)),'Alumina - Q&amp;V'!$I$8:$I$250,2))*1000000</f>
        <v>13669466.950000001</v>
      </c>
      <c r="AF12" s="891">
        <f>(SUMIFS('Alumina - Q&amp;V'!$C$8:$C$250,'Alumina - Q&amp;V'!$H$8:$H$250,LEFT('FY Q&amp;V 2003-04 to Now'!AE$7,4),'Alumina - Q&amp;V'!$I$8:$I$250,3)+
SUMIFS('Alumina - Q&amp;V'!$C$8:$C$250,'Alumina - Q&amp;V'!$H$8:$H$250,LEFT('FY Q&amp;V 2003-04 to Now'!AE$7,4),'Alumina - Q&amp;V'!$I$8:$I$250,4)+
SUMIFS('Alumina - Q&amp;V'!$C$8:$C$250,'Alumina - Q&amp;V'!$H$8:$H$250,CONCATENATE("20",RIGHT('FY Q&amp;V 2003-04 to Now'!AE$7,2)),'Alumina - Q&amp;V'!$I$8:$I$250,1)+
SUMIFS('Alumina - Q&amp;V'!$C$8:$C$250,'Alumina - Q&amp;V'!$H$8:$H$250,CONCATENATE("20",RIGHT('FY Q&amp;V 2003-04 to Now'!AE$7,2)),'Alumina - Q&amp;V'!$I$8:$I$250,2))*1000000</f>
        <v>6596818325</v>
      </c>
      <c r="AG12" s="1308">
        <f>(SUMIFS('Alumina - Q&amp;V'!$B$8:$B$250,'Alumina - Q&amp;V'!$H$8:$H$250,LEFT('FY Q&amp;V 2003-04 to Now'!AG$7:AH$7,4),'Alumina - Q&amp;V'!$I$8:$I$250,3)+
SUMIFS('Alumina - Q&amp;V'!$B$8:$B$250,'Alumina - Q&amp;V'!$H$8:$H$250,LEFT('FY Q&amp;V 2003-04 to Now'!AG$7:AH$7,4),'Alumina - Q&amp;V'!$I$8:$I$250,4)+
SUMIFS('Alumina - Q&amp;V'!$B$8:$B$250,'Alumina - Q&amp;V'!$H$8:$H$250,CONCATENATE("20",RIGHT('FY Q&amp;V 2003-04 to Now'!AG$7:AH$7,2)),'Alumina - Q&amp;V'!$I$8:$I$250,1)+
SUMIFS('Alumina - Q&amp;V'!$B$8:$B$250,'Alumina - Q&amp;V'!$H$8:$H$250,CONCATENATE("20",RIGHT('FY Q&amp;V 2003-04 to Now'!AG$7:AH$7,2)),'Alumina - Q&amp;V'!$I$8:$I$250,2))*1000000</f>
        <v>13643398.140000001</v>
      </c>
      <c r="AH12" s="891">
        <f>(SUMIFS('Alumina - Q&amp;V'!$C$8:$C$250,'Alumina - Q&amp;V'!$H$8:$H$250,LEFT('FY Q&amp;V 2003-04 to Now'!AG$7,4),'Alumina - Q&amp;V'!$I$8:$I$250,3)+
SUMIFS('Alumina - Q&amp;V'!$C$8:$C$250,'Alumina - Q&amp;V'!$H$8:$H$250,LEFT('FY Q&amp;V 2003-04 to Now'!AG$7,4),'Alumina - Q&amp;V'!$I$8:$I$250,4)+
SUMIFS('Alumina - Q&amp;V'!$C$8:$C$250,'Alumina - Q&amp;V'!$H$8:$H$250,CONCATENATE("20",RIGHT('FY Q&amp;V 2003-04 to Now'!AG$7,2)),'Alumina - Q&amp;V'!$I$8:$I$250,1)+
SUMIFS('Alumina - Q&amp;V'!$C$8:$C$250,'Alumina - Q&amp;V'!$H$8:$H$250,CONCATENATE("20",RIGHT('FY Q&amp;V 2003-04 to Now'!AG$7,2)),'Alumina - Q&amp;V'!$I$8:$I$250,2))*1000000</f>
        <v>8211838274</v>
      </c>
      <c r="AI12" s="953">
        <f>SUMIF($C$9:AH$9,1,$C12:AH12)</f>
        <v>203773855.44099998</v>
      </c>
      <c r="AJ12" s="891">
        <f>SUMIF($C$9:AH$9,0,$C12:AH12)</f>
        <v>75048694194.770004</v>
      </c>
    </row>
    <row r="13" spans="1:36" s="1348" customFormat="1">
      <c r="A13" s="887" t="s">
        <v>697</v>
      </c>
      <c r="B13" s="848" t="s">
        <v>110</v>
      </c>
      <c r="C13" s="890">
        <f>(SUMIFS('Alumina - Q&amp;V'!$D$8:$D$250,'Alumina - Q&amp;V'!$H$8:$H$250,LEFT('FY Q&amp;V 2003-04 to Now'!C$7:D$7,4),'Alumina - Q&amp;V'!$I$8:$I$250,3)+
SUMIFS('Alumina - Q&amp;V'!$D$8:$D$250,'Alumina - Q&amp;V'!$H$8:$H$250,LEFT('FY Q&amp;V 2003-04 to Now'!C$7:D$7,4),'Alumina - Q&amp;V'!$I$8:$I$250,4)+
SUMIFS('Alumina - Q&amp;V'!$D$8:$D$250,'Alumina - Q&amp;V'!$H$8:$H$250,CONCATENATE("20",RIGHT('FY Q&amp;V 2003-04 to Now'!C$7:D$7,2)),'Alumina - Q&amp;V'!$I$8:$I$250,1)+
SUMIFS('Alumina - Q&amp;V'!$D$8:$D$250,'Alumina - Q&amp;V'!$H$8:$H$250,CONCATENATE("20",RIGHT('FY Q&amp;V 2003-04 to Now'!C$7:D$7,2)),'Alumina - Q&amp;V'!$I$8:$I$250,2))*1000000</f>
        <v>0</v>
      </c>
      <c r="D13" s="891">
        <f>(SUMIFS('Alumina - Q&amp;V'!$E$8:$E$250,'Alumina - Q&amp;V'!$H$8:$H$250,LEFT('FY Q&amp;V 2003-04 to Now'!C$7,4),'Alumina - Q&amp;V'!$I$8:$I$250,3)+
SUMIFS('Alumina - Q&amp;V'!$E$8:$E$250,'Alumina - Q&amp;V'!$H$8:$H$250,LEFT('FY Q&amp;V 2003-04 to Now'!C$7,4),'Alumina - Q&amp;V'!$I$8:$I$250,4)+
SUMIFS('Alumina - Q&amp;V'!$E$8:$E$250,'Alumina - Q&amp;V'!$H$8:$H$250,CONCATENATE("20",RIGHT('FY Q&amp;V 2003-04 to Now'!C$7,2)),'Alumina - Q&amp;V'!$I$8:$I$250,1)+
SUMIFS('Alumina - Q&amp;V'!$E$8:$E$250,'Alumina - Q&amp;V'!$H$8:$H$250,CONCATENATE("20",RIGHT('FY Q&amp;V 2003-04 to Now'!C$7,2)),'Alumina - Q&amp;V'!$I$8:$I$250,2))*1000000</f>
        <v>0</v>
      </c>
      <c r="E13" s="890">
        <f>(SUMIFS('Alumina - Q&amp;V'!$D$8:$D$250,'Alumina - Q&amp;V'!$H$8:$H$250,LEFT('FY Q&amp;V 2003-04 to Now'!E$7:F$7,4),'Alumina - Q&amp;V'!$I$8:$I$250,3)+
SUMIFS('Alumina - Q&amp;V'!$D$8:$D$250,'Alumina - Q&amp;V'!$H$8:$H$250,LEFT('FY Q&amp;V 2003-04 to Now'!E$7:F$7,4),'Alumina - Q&amp;V'!$I$8:$I$250,4)+
SUMIFS('Alumina - Q&amp;V'!$D$8:$D$250,'Alumina - Q&amp;V'!$H$8:$H$250,CONCATENATE("20",RIGHT('FY Q&amp;V 2003-04 to Now'!E$7:F$7,2)),'Alumina - Q&amp;V'!$I$8:$I$250,1)+
SUMIFS('Alumina - Q&amp;V'!$D$8:$D$250,'Alumina - Q&amp;V'!$H$8:$H$250,CONCATENATE("20",RIGHT('FY Q&amp;V 2003-04 to Now'!E$7:F$7,2)),'Alumina - Q&amp;V'!$I$8:$I$250,2))*1000000</f>
        <v>0</v>
      </c>
      <c r="F13" s="891">
        <f>(SUMIFS('Alumina - Q&amp;V'!$E$8:$E$250,'Alumina - Q&amp;V'!$H$8:$H$250,LEFT('FY Q&amp;V 2003-04 to Now'!E$7,4),'Alumina - Q&amp;V'!$I$8:$I$250,3)+
SUMIFS('Alumina - Q&amp;V'!$E$8:$E$250,'Alumina - Q&amp;V'!$H$8:$H$250,LEFT('FY Q&amp;V 2003-04 to Now'!E$7,4),'Alumina - Q&amp;V'!$I$8:$I$250,4)+
SUMIFS('Alumina - Q&amp;V'!$E$8:$E$250,'Alumina - Q&amp;V'!$H$8:$H$250,CONCATENATE("20",RIGHT('FY Q&amp;V 2003-04 to Now'!E$7,2)),'Alumina - Q&amp;V'!$I$8:$I$250,1)+
SUMIFS('Alumina - Q&amp;V'!$E$8:$E$250,'Alumina - Q&amp;V'!$H$8:$H$250,CONCATENATE("20",RIGHT('FY Q&amp;V 2003-04 to Now'!E$7,2)),'Alumina - Q&amp;V'!$I$8:$I$250,2))*1000000</f>
        <v>0</v>
      </c>
      <c r="G13" s="890">
        <f>(SUMIFS('Alumina - Q&amp;V'!$D$8:$D$250,'Alumina - Q&amp;V'!$H$8:$H$250,LEFT('FY Q&amp;V 2003-04 to Now'!G$7:H$7,4),'Alumina - Q&amp;V'!$I$8:$I$250,3)+
SUMIFS('Alumina - Q&amp;V'!$D$8:$D$250,'Alumina - Q&amp;V'!$H$8:$H$250,LEFT('FY Q&amp;V 2003-04 to Now'!G$7:H$7,4),'Alumina - Q&amp;V'!$I$8:$I$250,4)+
SUMIFS('Alumina - Q&amp;V'!$D$8:$D$250,'Alumina - Q&amp;V'!$H$8:$H$250,CONCATENATE("20",RIGHT('FY Q&amp;V 2003-04 to Now'!G$7:H$7,2)),'Alumina - Q&amp;V'!$I$8:$I$250,1)+
SUMIFS('Alumina - Q&amp;V'!$D$8:$D$250,'Alumina - Q&amp;V'!$H$8:$H$250,CONCATENATE("20",RIGHT('FY Q&amp;V 2003-04 to Now'!G$7:H$7,2)),'Alumina - Q&amp;V'!$I$8:$I$250,2))*1000000</f>
        <v>0</v>
      </c>
      <c r="H13" s="891">
        <f>(SUMIFS('Alumina - Q&amp;V'!$E$8:$E$250,'Alumina - Q&amp;V'!$H$8:$H$250,LEFT('FY Q&amp;V 2003-04 to Now'!G$7,4),'Alumina - Q&amp;V'!$I$8:$I$250,3)+
SUMIFS('Alumina - Q&amp;V'!$E$8:$E$250,'Alumina - Q&amp;V'!$H$8:$H$250,LEFT('FY Q&amp;V 2003-04 to Now'!G$7,4),'Alumina - Q&amp;V'!$I$8:$I$250,4)+
SUMIFS('Alumina - Q&amp;V'!$E$8:$E$250,'Alumina - Q&amp;V'!$H$8:$H$250,CONCATENATE("20",RIGHT('FY Q&amp;V 2003-04 to Now'!G$7,2)),'Alumina - Q&amp;V'!$I$8:$I$250,1)+
SUMIFS('Alumina - Q&amp;V'!$E$8:$E$250,'Alumina - Q&amp;V'!$H$8:$H$250,CONCATENATE("20",RIGHT('FY Q&amp;V 2003-04 to Now'!G$7,2)),'Alumina - Q&amp;V'!$I$8:$I$250,2))*1000000</f>
        <v>0</v>
      </c>
      <c r="I13" s="890">
        <f>(SUMIFS('Alumina - Q&amp;V'!$D$8:$D$250,'Alumina - Q&amp;V'!$H$8:$H$250,LEFT('FY Q&amp;V 2003-04 to Now'!I$7:J$7,4),'Alumina - Q&amp;V'!$I$8:$I$250,3)+
SUMIFS('Alumina - Q&amp;V'!$D$8:$D$250,'Alumina - Q&amp;V'!$H$8:$H$250,LEFT('FY Q&amp;V 2003-04 to Now'!I$7:J$7,4),'Alumina - Q&amp;V'!$I$8:$I$250,4)+
SUMIFS('Alumina - Q&amp;V'!$D$8:$D$250,'Alumina - Q&amp;V'!$H$8:$H$250,CONCATENATE("20",RIGHT('FY Q&amp;V 2003-04 to Now'!I$7:J$7,2)),'Alumina - Q&amp;V'!$I$8:$I$250,1)+
SUMIFS('Alumina - Q&amp;V'!$D$8:$D$250,'Alumina - Q&amp;V'!$H$8:$H$250,CONCATENATE("20",RIGHT('FY Q&amp;V 2003-04 to Now'!I$7:J$7,2)),'Alumina - Q&amp;V'!$I$8:$I$250,2))*1000000</f>
        <v>0</v>
      </c>
      <c r="J13" s="891">
        <f>(SUMIFS('Alumina - Q&amp;V'!$E$8:$E$250,'Alumina - Q&amp;V'!$H$8:$H$250,LEFT('FY Q&amp;V 2003-04 to Now'!I$7,4),'Alumina - Q&amp;V'!$I$8:$I$250,3)+
SUMIFS('Alumina - Q&amp;V'!$E$8:$E$250,'Alumina - Q&amp;V'!$H$8:$H$250,LEFT('FY Q&amp;V 2003-04 to Now'!I$7,4),'Alumina - Q&amp;V'!$I$8:$I$250,4)+
SUMIFS('Alumina - Q&amp;V'!$E$8:$E$250,'Alumina - Q&amp;V'!$H$8:$H$250,CONCATENATE("20",RIGHT('FY Q&amp;V 2003-04 to Now'!I$7,2)),'Alumina - Q&amp;V'!$I$8:$I$250,1)+
SUMIFS('Alumina - Q&amp;V'!$E$8:$E$250,'Alumina - Q&amp;V'!$H$8:$H$250,CONCATENATE("20",RIGHT('FY Q&amp;V 2003-04 to Now'!I$7,2)),'Alumina - Q&amp;V'!$I$8:$I$250,2))*1000000</f>
        <v>0</v>
      </c>
      <c r="K13" s="890">
        <f>(SUMIFS('Alumina - Q&amp;V'!$D$8:$D$250,'Alumina - Q&amp;V'!$H$8:$H$250,LEFT('FY Q&amp;V 2003-04 to Now'!K$7:L$7,4),'Alumina - Q&amp;V'!$I$8:$I$250,3)+
SUMIFS('Alumina - Q&amp;V'!$D$8:$D$250,'Alumina - Q&amp;V'!$H$8:$H$250,LEFT('FY Q&amp;V 2003-04 to Now'!K$7:L$7,4),'Alumina - Q&amp;V'!$I$8:$I$250,4)+
SUMIFS('Alumina - Q&amp;V'!$D$8:$D$250,'Alumina - Q&amp;V'!$H$8:$H$250,CONCATENATE("20",RIGHT('FY Q&amp;V 2003-04 to Now'!K$7:L$7,2)),'Alumina - Q&amp;V'!$I$8:$I$250,1)+
SUMIFS('Alumina - Q&amp;V'!$D$8:$D$250,'Alumina - Q&amp;V'!$H$8:$H$250,CONCATENATE("20",RIGHT('FY Q&amp;V 2003-04 to Now'!K$7:L$7,2)),'Alumina - Q&amp;V'!$I$8:$I$250,2))*1000000</f>
        <v>0</v>
      </c>
      <c r="L13" s="891">
        <f>(SUMIFS('Alumina - Q&amp;V'!$E$8:$E$250,'Alumina - Q&amp;V'!$H$8:$H$250,LEFT('FY Q&amp;V 2003-04 to Now'!K$7,4),'Alumina - Q&amp;V'!$I$8:$I$250,3)+
SUMIFS('Alumina - Q&amp;V'!$E$8:$E$250,'Alumina - Q&amp;V'!$H$8:$H$250,LEFT('FY Q&amp;V 2003-04 to Now'!K$7,4),'Alumina - Q&amp;V'!$I$8:$I$250,4)+
SUMIFS('Alumina - Q&amp;V'!$E$8:$E$250,'Alumina - Q&amp;V'!$H$8:$H$250,CONCATENATE("20",RIGHT('FY Q&amp;V 2003-04 to Now'!K$7,2)),'Alumina - Q&amp;V'!$I$8:$I$250,1)+
SUMIFS('Alumina - Q&amp;V'!$E$8:$E$250,'Alumina - Q&amp;V'!$H$8:$H$250,CONCATENATE("20",RIGHT('FY Q&amp;V 2003-04 to Now'!K$7,2)),'Alumina - Q&amp;V'!$I$8:$I$250,2))*1000000</f>
        <v>0</v>
      </c>
      <c r="M13" s="890">
        <f>(SUMIFS('Alumina - Q&amp;V'!$D$8:$D$250,'Alumina - Q&amp;V'!$H$8:$H$250,LEFT('FY Q&amp;V 2003-04 to Now'!M$7:N$7,4),'Alumina - Q&amp;V'!$I$8:$I$250,3)+
SUMIFS('Alumina - Q&amp;V'!$D$8:$D$250,'Alumina - Q&amp;V'!$H$8:$H$250,LEFT('FY Q&amp;V 2003-04 to Now'!M$7:N$7,4),'Alumina - Q&amp;V'!$I$8:$I$250,4)+
SUMIFS('Alumina - Q&amp;V'!$D$8:$D$250,'Alumina - Q&amp;V'!$H$8:$H$250,CONCATENATE("20",RIGHT('FY Q&amp;V 2003-04 to Now'!M$7:N$7,2)),'Alumina - Q&amp;V'!$I$8:$I$250,1)+
SUMIFS('Alumina - Q&amp;V'!$D$8:$D$250,'Alumina - Q&amp;V'!$H$8:$H$250,CONCATENATE("20",RIGHT('FY Q&amp;V 2003-04 to Now'!M$7:N$7,2)),'Alumina - Q&amp;V'!$I$8:$I$250,2))*1000000</f>
        <v>0</v>
      </c>
      <c r="N13" s="891">
        <f>(SUMIFS('Alumina - Q&amp;V'!$E$8:$E$250,'Alumina - Q&amp;V'!$H$8:$H$250,LEFT('FY Q&amp;V 2003-04 to Now'!M$7,4),'Alumina - Q&amp;V'!$I$8:$I$250,3)+
SUMIFS('Alumina - Q&amp;V'!$E$8:$E$250,'Alumina - Q&amp;V'!$H$8:$H$250,LEFT('FY Q&amp;V 2003-04 to Now'!M$7,4),'Alumina - Q&amp;V'!$I$8:$I$250,4)+
SUMIFS('Alumina - Q&amp;V'!$E$8:$E$250,'Alumina - Q&amp;V'!$H$8:$H$250,CONCATENATE("20",RIGHT('FY Q&amp;V 2003-04 to Now'!M$7,2)),'Alumina - Q&amp;V'!$I$8:$I$250,1)+
SUMIFS('Alumina - Q&amp;V'!$E$8:$E$250,'Alumina - Q&amp;V'!$H$8:$H$250,CONCATENATE("20",RIGHT('FY Q&amp;V 2003-04 to Now'!M$7,2)),'Alumina - Q&amp;V'!$I$8:$I$250,2))*1000000</f>
        <v>0</v>
      </c>
      <c r="O13" s="890">
        <f>(SUMIFS('Alumina - Q&amp;V'!$D$8:$D$250,'Alumina - Q&amp;V'!$H$8:$H$250,LEFT('FY Q&amp;V 2003-04 to Now'!O$7:P$7,4),'Alumina - Q&amp;V'!$I$8:$I$250,3)+
SUMIFS('Alumina - Q&amp;V'!$D$8:$D$250,'Alumina - Q&amp;V'!$H$8:$H$250,LEFT('FY Q&amp;V 2003-04 to Now'!O$7:P$7,4),'Alumina - Q&amp;V'!$I$8:$I$250,4)+
SUMIFS('Alumina - Q&amp;V'!$D$8:$D$250,'Alumina - Q&amp;V'!$H$8:$H$250,CONCATENATE("20",RIGHT('FY Q&amp;V 2003-04 to Now'!O$7:P$7,2)),'Alumina - Q&amp;V'!$I$8:$I$250,1)+
SUMIFS('Alumina - Q&amp;V'!$D$8:$D$250,'Alumina - Q&amp;V'!$H$8:$H$250,CONCATENATE("20",RIGHT('FY Q&amp;V 2003-04 to Now'!O$7:P$7,2)),'Alumina - Q&amp;V'!$I$8:$I$250,2))*1000000</f>
        <v>0</v>
      </c>
      <c r="P13" s="891">
        <f>(SUMIFS('Alumina - Q&amp;V'!$E$8:$E$250,'Alumina - Q&amp;V'!$H$8:$H$250,LEFT('FY Q&amp;V 2003-04 to Now'!O$7,4),'Alumina - Q&amp;V'!$I$8:$I$250,3)+
SUMIFS('Alumina - Q&amp;V'!$E$8:$E$250,'Alumina - Q&amp;V'!$H$8:$H$250,LEFT('FY Q&amp;V 2003-04 to Now'!O$7,4),'Alumina - Q&amp;V'!$I$8:$I$250,4)+
SUMIFS('Alumina - Q&amp;V'!$E$8:$E$250,'Alumina - Q&amp;V'!$H$8:$H$250,CONCATENATE("20",RIGHT('FY Q&amp;V 2003-04 to Now'!O$7,2)),'Alumina - Q&amp;V'!$I$8:$I$250,1)+
SUMIFS('Alumina - Q&amp;V'!$E$8:$E$250,'Alumina - Q&amp;V'!$H$8:$H$250,CONCATENATE("20",RIGHT('FY Q&amp;V 2003-04 to Now'!O$7,2)),'Alumina - Q&amp;V'!$I$8:$I$250,2))*1000000</f>
        <v>0</v>
      </c>
      <c r="Q13" s="890">
        <f>(SUMIFS('Alumina - Q&amp;V'!$D$8:$D$250,'Alumina - Q&amp;V'!$H$8:$H$250,LEFT('FY Q&amp;V 2003-04 to Now'!Q$7:R$7,4),'Alumina - Q&amp;V'!$I$8:$I$250,3)+
SUMIFS('Alumina - Q&amp;V'!$D$8:$D$250,'Alumina - Q&amp;V'!$H$8:$H$250,LEFT('FY Q&amp;V 2003-04 to Now'!Q$7:R$7,4),'Alumina - Q&amp;V'!$I$8:$I$250,4)+
SUMIFS('Alumina - Q&amp;V'!$D$8:$D$250,'Alumina - Q&amp;V'!$H$8:$H$250,CONCATENATE("20",RIGHT('FY Q&amp;V 2003-04 to Now'!Q$7:R$7,2)),'Alumina - Q&amp;V'!$I$8:$I$250,1)+
SUMIFS('Alumina - Q&amp;V'!$D$8:$D$250,'Alumina - Q&amp;V'!$H$8:$H$250,CONCATENATE("20",RIGHT('FY Q&amp;V 2003-04 to Now'!Q$7:R$7,2)),'Alumina - Q&amp;V'!$I$8:$I$250,2))*1000000</f>
        <v>0</v>
      </c>
      <c r="R13" s="891">
        <f>(SUMIFS('Alumina - Q&amp;V'!$E$8:$E$250,'Alumina - Q&amp;V'!$H$8:$H$250,LEFT('FY Q&amp;V 2003-04 to Now'!Q$7,4),'Alumina - Q&amp;V'!$I$8:$I$250,3)+
SUMIFS('Alumina - Q&amp;V'!$E$8:$E$250,'Alumina - Q&amp;V'!$H$8:$H$250,LEFT('FY Q&amp;V 2003-04 to Now'!Q$7,4),'Alumina - Q&amp;V'!$I$8:$I$250,4)+
SUMIFS('Alumina - Q&amp;V'!$E$8:$E$250,'Alumina - Q&amp;V'!$H$8:$H$250,CONCATENATE("20",RIGHT('FY Q&amp;V 2003-04 to Now'!Q$7,2)),'Alumina - Q&amp;V'!$I$8:$I$250,1)+
SUMIFS('Alumina - Q&amp;V'!$E$8:$E$250,'Alumina - Q&amp;V'!$H$8:$H$250,CONCATENATE("20",RIGHT('FY Q&amp;V 2003-04 to Now'!Q$7,2)),'Alumina - Q&amp;V'!$I$8:$I$250,2))*1000000</f>
        <v>0</v>
      </c>
      <c r="S13" s="890">
        <f>(SUMIFS('Alumina - Q&amp;V'!$D$8:$D$250,'Alumina - Q&amp;V'!$H$8:$H$250,LEFT('FY Q&amp;V 2003-04 to Now'!S$7:T$7,4),'Alumina - Q&amp;V'!$I$8:$I$250,3)+
SUMIFS('Alumina - Q&amp;V'!$D$8:$D$250,'Alumina - Q&amp;V'!$H$8:$H$250,LEFT('FY Q&amp;V 2003-04 to Now'!S$7:T$7,4),'Alumina - Q&amp;V'!$I$8:$I$250,4)+
SUMIFS('Alumina - Q&amp;V'!$D$8:$D$250,'Alumina - Q&amp;V'!$H$8:$H$250,CONCATENATE("20",RIGHT('FY Q&amp;V 2003-04 to Now'!S$7:T$7,2)),'Alumina - Q&amp;V'!$I$8:$I$250,1)+
SUMIFS('Alumina - Q&amp;V'!$D$8:$D$250,'Alumina - Q&amp;V'!$H$8:$H$250,CONCATENATE("20",RIGHT('FY Q&amp;V 2003-04 to Now'!S$7:T$7,2)),'Alumina - Q&amp;V'!$I$8:$I$250,2))*1000000</f>
        <v>0</v>
      </c>
      <c r="T13" s="891">
        <f>(SUMIFS('Alumina - Q&amp;V'!$E$8:$E$250,'Alumina - Q&amp;V'!$H$8:$H$250,LEFT('FY Q&amp;V 2003-04 to Now'!S$7,4),'Alumina - Q&amp;V'!$I$8:$I$250,3)+
SUMIFS('Alumina - Q&amp;V'!$E$8:$E$250,'Alumina - Q&amp;V'!$H$8:$H$250,LEFT('FY Q&amp;V 2003-04 to Now'!S$7,4),'Alumina - Q&amp;V'!$I$8:$I$250,4)+
SUMIFS('Alumina - Q&amp;V'!$E$8:$E$250,'Alumina - Q&amp;V'!$H$8:$H$250,CONCATENATE("20",RIGHT('FY Q&amp;V 2003-04 to Now'!S$7,2)),'Alumina - Q&amp;V'!$I$8:$I$250,1)+
SUMIFS('Alumina - Q&amp;V'!$E$8:$E$250,'Alumina - Q&amp;V'!$H$8:$H$250,CONCATENATE("20",RIGHT('FY Q&amp;V 2003-04 to Now'!S$7,2)),'Alumina - Q&amp;V'!$I$8:$I$250,2))*1000000</f>
        <v>0</v>
      </c>
      <c r="U13" s="890">
        <f>(SUMIFS('Alumina - Q&amp;V'!$D$8:$D$250,'Alumina - Q&amp;V'!$H$8:$H$250,LEFT('FY Q&amp;V 2003-04 to Now'!U$7:V$7,4),'Alumina - Q&amp;V'!$I$8:$I$250,3)+
SUMIFS('Alumina - Q&amp;V'!$D$8:$D$250,'Alumina - Q&amp;V'!$H$8:$H$250,LEFT('FY Q&amp;V 2003-04 to Now'!U$7:V$7,4),'Alumina - Q&amp;V'!$I$8:$I$250,4)+
SUMIFS('Alumina - Q&amp;V'!$D$8:$D$250,'Alumina - Q&amp;V'!$H$8:$H$250,CONCATENATE("20",RIGHT('FY Q&amp;V 2003-04 to Now'!U$7:V$7,2)),'Alumina - Q&amp;V'!$I$8:$I$250,1)+
SUMIFS('Alumina - Q&amp;V'!$D$8:$D$250,'Alumina - Q&amp;V'!$H$8:$H$250,CONCATENATE("20",RIGHT('FY Q&amp;V 2003-04 to Now'!U$7:V$7,2)),'Alumina - Q&amp;V'!$I$8:$I$250,2))*1000000</f>
        <v>0</v>
      </c>
      <c r="V13" s="891">
        <f>(SUMIFS('Alumina - Q&amp;V'!$E$8:$E$250,'Alumina - Q&amp;V'!$H$8:$H$250,LEFT('FY Q&amp;V 2003-04 to Now'!U$7,4),'Alumina - Q&amp;V'!$I$8:$I$250,3)+
SUMIFS('Alumina - Q&amp;V'!$E$8:$E$250,'Alumina - Q&amp;V'!$H$8:$H$250,LEFT('FY Q&amp;V 2003-04 to Now'!U$7,4),'Alumina - Q&amp;V'!$I$8:$I$250,4)+
SUMIFS('Alumina - Q&amp;V'!$E$8:$E$250,'Alumina - Q&amp;V'!$H$8:$H$250,CONCATENATE("20",RIGHT('FY Q&amp;V 2003-04 to Now'!U$7,2)),'Alumina - Q&amp;V'!$I$8:$I$250,1)+
SUMIFS('Alumina - Q&amp;V'!$E$8:$E$250,'Alumina - Q&amp;V'!$H$8:$H$250,CONCATENATE("20",RIGHT('FY Q&amp;V 2003-04 to Now'!U$7,2)),'Alumina - Q&amp;V'!$I$8:$I$250,2))*1000000</f>
        <v>0</v>
      </c>
      <c r="W13" s="890">
        <f>(SUMIFS('Alumina - Q&amp;V'!$D$8:$D$250,'Alumina - Q&amp;V'!$H$8:$H$250,LEFT('FY Q&amp;V 2003-04 to Now'!W$7:X$7,4),'Alumina - Q&amp;V'!$I$8:$I$250,3)+
SUMIFS('Alumina - Q&amp;V'!$D$8:$D$250,'Alumina - Q&amp;V'!$H$8:$H$250,LEFT('FY Q&amp;V 2003-04 to Now'!W$7:X$7,4),'Alumina - Q&amp;V'!$I$8:$I$250,4)+
SUMIFS('Alumina - Q&amp;V'!$D$8:$D$250,'Alumina - Q&amp;V'!$H$8:$H$250,CONCATENATE("20",RIGHT('FY Q&amp;V 2003-04 to Now'!W$7:X$7,2)),'Alumina - Q&amp;V'!$I$8:$I$250,1)+
SUMIFS('Alumina - Q&amp;V'!$D$8:$D$250,'Alumina - Q&amp;V'!$H$8:$H$250,CONCATENATE("20",RIGHT('FY Q&amp;V 2003-04 to Now'!W$7:X$7,2)),'Alumina - Q&amp;V'!$I$8:$I$250,2))*1000000</f>
        <v>0</v>
      </c>
      <c r="X13" s="891">
        <f>(SUMIFS('Alumina - Q&amp;V'!$E$8:$E$250,'Alumina - Q&amp;V'!$H$8:$H$250,LEFT('FY Q&amp;V 2003-04 to Now'!W$7,4),'Alumina - Q&amp;V'!$I$8:$I$250,3)+
SUMIFS('Alumina - Q&amp;V'!$E$8:$E$250,'Alumina - Q&amp;V'!$H$8:$H$250,LEFT('FY Q&amp;V 2003-04 to Now'!W$7,4),'Alumina - Q&amp;V'!$I$8:$I$250,4)+
SUMIFS('Alumina - Q&amp;V'!$E$8:$E$250,'Alumina - Q&amp;V'!$H$8:$H$250,CONCATENATE("20",RIGHT('FY Q&amp;V 2003-04 to Now'!W$7,2)),'Alumina - Q&amp;V'!$I$8:$I$250,1)+
SUMIFS('Alumina - Q&amp;V'!$E$8:$E$250,'Alumina - Q&amp;V'!$H$8:$H$250,CONCATENATE("20",RIGHT('FY Q&amp;V 2003-04 to Now'!W$7,2)),'Alumina - Q&amp;V'!$I$8:$I$250,2))*1000000</f>
        <v>0</v>
      </c>
      <c r="Y13" s="890">
        <f>(SUMIFS('Alumina - Q&amp;V'!$D$8:$D$250,'Alumina - Q&amp;V'!$H$8:$H$250,LEFT('FY Q&amp;V 2003-04 to Now'!Y$7:Z$7,4),'Alumina - Q&amp;V'!$I$8:$I$250,3)+
SUMIFS('Alumina - Q&amp;V'!$D$8:$D$250,'Alumina - Q&amp;V'!$H$8:$H$250,LEFT('FY Q&amp;V 2003-04 to Now'!Y$7:Z$7,4),'Alumina - Q&amp;V'!$I$8:$I$250,4)+
SUMIFS('Alumina - Q&amp;V'!$D$8:$D$250,'Alumina - Q&amp;V'!$H$8:$H$250,CONCATENATE("20",RIGHT('FY Q&amp;V 2003-04 to Now'!Y$7:Z$7,2)),'Alumina - Q&amp;V'!$I$8:$I$250,1)+
SUMIFS('Alumina - Q&amp;V'!$D$8:$D$250,'Alumina - Q&amp;V'!$H$8:$H$250,CONCATENATE("20",RIGHT('FY Q&amp;V 2003-04 to Now'!Y$7:Z$7,2)),'Alumina - Q&amp;V'!$I$8:$I$250,2))*1000000</f>
        <v>0</v>
      </c>
      <c r="Z13" s="891">
        <f>(SUMIFS('Alumina - Q&amp;V'!$E$8:$E$250,'Alumina - Q&amp;V'!$H$8:$H$250,LEFT('FY Q&amp;V 2003-04 to Now'!Y$7,4),'Alumina - Q&amp;V'!$I$8:$I$250,3)+
SUMIFS('Alumina - Q&amp;V'!$E$8:$E$250,'Alumina - Q&amp;V'!$H$8:$H$250,LEFT('FY Q&amp;V 2003-04 to Now'!Y$7,4),'Alumina - Q&amp;V'!$I$8:$I$250,4)+
SUMIFS('Alumina - Q&amp;V'!$E$8:$E$250,'Alumina - Q&amp;V'!$H$8:$H$250,CONCATENATE("20",RIGHT('FY Q&amp;V 2003-04 to Now'!Y$7,2)),'Alumina - Q&amp;V'!$I$8:$I$250,1)+
SUMIFS('Alumina - Q&amp;V'!$E$8:$E$250,'Alumina - Q&amp;V'!$H$8:$H$250,CONCATENATE("20",RIGHT('FY Q&amp;V 2003-04 to Now'!Y$7,2)),'Alumina - Q&amp;V'!$I$8:$I$250,2))*1000000</f>
        <v>0</v>
      </c>
      <c r="AA13" s="890">
        <f>(SUMIFS('Alumina - Q&amp;V'!$D$8:$D$250,'Alumina - Q&amp;V'!$H$8:$H$250,LEFT('FY Q&amp;V 2003-04 to Now'!AA$7:AB$7,4),'Alumina - Q&amp;V'!$I$8:$I$250,3)+
SUMIFS('Alumina - Q&amp;V'!$D$8:$D$250,'Alumina - Q&amp;V'!$H$8:$H$250,LEFT('FY Q&amp;V 2003-04 to Now'!AA$7:AB$7,4),'Alumina - Q&amp;V'!$I$8:$I$250,4)+
SUMIFS('Alumina - Q&amp;V'!$D$8:$D$250,'Alumina - Q&amp;V'!$H$8:$H$250,CONCATENATE("20",RIGHT('FY Q&amp;V 2003-04 to Now'!AA$7:AB$7,2)),'Alumina - Q&amp;V'!$I$8:$I$250,1)+
SUMIFS('Alumina - Q&amp;V'!$D$8:$D$250,'Alumina - Q&amp;V'!$H$8:$H$250,CONCATENATE("20",RIGHT('FY Q&amp;V 2003-04 to Now'!AA$7:AB$7,2)),'Alumina - Q&amp;V'!$I$8:$I$250,2))*1000000</f>
        <v>47703</v>
      </c>
      <c r="AB13" s="891">
        <f>(SUMIFS('Alumina - Q&amp;V'!$E$8:$E$250,'Alumina - Q&amp;V'!$H$8:$H$250,LEFT('FY Q&amp;V 2003-04 to Now'!AA$7,4),'Alumina - Q&amp;V'!$I$8:$I$250,3)+
SUMIFS('Alumina - Q&amp;V'!$E$8:$E$250,'Alumina - Q&amp;V'!$H$8:$H$250,LEFT('FY Q&amp;V 2003-04 to Now'!AA$7,4),'Alumina - Q&amp;V'!$I$8:$I$250,4)+
SUMIFS('Alumina - Q&amp;V'!$E$8:$E$250,'Alumina - Q&amp;V'!$H$8:$H$250,CONCATENATE("20",RIGHT('FY Q&amp;V 2003-04 to Now'!AA$7,2)),'Alumina - Q&amp;V'!$I$8:$I$250,1)+
SUMIFS('Alumina - Q&amp;V'!$E$8:$E$250,'Alumina - Q&amp;V'!$H$8:$H$250,CONCATENATE("20",RIGHT('FY Q&amp;V 2003-04 to Now'!AA$7,2)),'Alumina - Q&amp;V'!$I$8:$I$250,2))*1000000</f>
        <v>1952600</v>
      </c>
      <c r="AC13" s="890">
        <f>(SUMIFS('Alumina - Q&amp;V'!$D$8:$D$250,'Alumina - Q&amp;V'!$H$8:$H$250,LEFT('FY Q&amp;V 2003-04 to Now'!AC$7:AD$7,4),'Alumina - Q&amp;V'!$I$8:$I$250,3)+
SUMIFS('Alumina - Q&amp;V'!$D$8:$D$250,'Alumina - Q&amp;V'!$H$8:$H$250,LEFT('FY Q&amp;V 2003-04 to Now'!AC$7:AD$7,4),'Alumina - Q&amp;V'!$I$8:$I$250,4)+
SUMIFS('Alumina - Q&amp;V'!$D$8:$D$250,'Alumina - Q&amp;V'!$H$8:$H$250,CONCATENATE("20",RIGHT('FY Q&amp;V 2003-04 to Now'!AC$7:AD$7,2)),'Alumina - Q&amp;V'!$I$8:$I$250,1)+
SUMIFS('Alumina - Q&amp;V'!$D$8:$D$250,'Alumina - Q&amp;V'!$H$8:$H$250,CONCATENATE("20",RIGHT('FY Q&amp;V 2003-04 to Now'!AC$7:AD$7,2)),'Alumina - Q&amp;V'!$I$8:$I$250,2))*1000000</f>
        <v>310340.53000000003</v>
      </c>
      <c r="AD13" s="891">
        <f>(SUMIFS('Alumina - Q&amp;V'!$E$8:$E$250,'Alumina - Q&amp;V'!$H$8:$H$250,LEFT('FY Q&amp;V 2003-04 to Now'!AC$7,4),'Alumina - Q&amp;V'!$I$8:$I$250,3)+
SUMIFS('Alumina - Q&amp;V'!$E$8:$E$250,'Alumina - Q&amp;V'!$H$8:$H$250,LEFT('FY Q&amp;V 2003-04 to Now'!AC$7,4),'Alumina - Q&amp;V'!$I$8:$I$250,4)+
SUMIFS('Alumina - Q&amp;V'!$E$8:$E$250,'Alumina - Q&amp;V'!$H$8:$H$250,CONCATENATE("20",RIGHT('FY Q&amp;V 2003-04 to Now'!AC$7,2)),'Alumina - Q&amp;V'!$I$8:$I$250,1)+
SUMIFS('Alumina - Q&amp;V'!$E$8:$E$250,'Alumina - Q&amp;V'!$H$8:$H$250,CONCATENATE("20",RIGHT('FY Q&amp;V 2003-04 to Now'!AC$7,2)),'Alumina - Q&amp;V'!$I$8:$I$250,2))*1000000</f>
        <v>14563469</v>
      </c>
      <c r="AE13" s="1308">
        <f>(SUMIFS('Alumina - Q&amp;V'!$D$8:$D$250,'Alumina - Q&amp;V'!$H$8:$H$250,LEFT('FY Q&amp;V 2003-04 to Now'!AE$7:AF$7,4),'Alumina - Q&amp;V'!$I$8:$I$250,3)+
SUMIFS('Alumina - Q&amp;V'!$D$8:$D$250,'Alumina - Q&amp;V'!$H$8:$H$250,LEFT('FY Q&amp;V 2003-04 to Now'!AE$7:AF$7,4),'Alumina - Q&amp;V'!$I$8:$I$250,4)+
SUMIFS('Alumina - Q&amp;V'!$D$8:$D$250,'Alumina - Q&amp;V'!$H$8:$H$250,CONCATENATE("20",RIGHT('FY Q&amp;V 2003-04 to Now'!AE$7:AF$7,2)),'Alumina - Q&amp;V'!$I$8:$I$250,1)+
SUMIFS('Alumina - Q&amp;V'!$D$8:$D$250,'Alumina - Q&amp;V'!$H$8:$H$250,CONCATENATE("20",RIGHT('FY Q&amp;V 2003-04 to Now'!AE$7:AF$7,2)),'Alumina - Q&amp;V'!$I$8:$I$250,2))*1000000</f>
        <v>1117322.69</v>
      </c>
      <c r="AF13" s="891">
        <f>(SUMIFS('Alumina - Q&amp;V'!$E$8:$E$250,'Alumina - Q&amp;V'!$H$8:$H$250,LEFT('FY Q&amp;V 2003-04 to Now'!AE$7,4),'Alumina - Q&amp;V'!$I$8:$I$250,3)+
SUMIFS('Alumina - Q&amp;V'!$E$8:$E$250,'Alumina - Q&amp;V'!$H$8:$H$250,LEFT('FY Q&amp;V 2003-04 to Now'!AE$7,4),'Alumina - Q&amp;V'!$I$8:$I$250,4)+
SUMIFS('Alumina - Q&amp;V'!$E$8:$E$250,'Alumina - Q&amp;V'!$H$8:$H$250,CONCATENATE("20",RIGHT('FY Q&amp;V 2003-04 to Now'!AE$7,2)),'Alumina - Q&amp;V'!$I$8:$I$250,1)+
SUMIFS('Alumina - Q&amp;V'!$E$8:$E$250,'Alumina - Q&amp;V'!$H$8:$H$250,CONCATENATE("20",RIGHT('FY Q&amp;V 2003-04 to Now'!AE$7,2)),'Alumina - Q&amp;V'!$I$8:$I$250,2))*1000000</f>
        <v>46704951</v>
      </c>
      <c r="AG13" s="1308">
        <f>(SUMIFS('Alumina - Q&amp;V'!$D$8:$D$250,'Alumina - Q&amp;V'!$H$8:$H$250,LEFT('FY Q&amp;V 2003-04 to Now'!AG$7:AH$7,4),'Alumina - Q&amp;V'!$I$8:$I$250,3)+
SUMIFS('Alumina - Q&amp;V'!$D$8:$D$250,'Alumina - Q&amp;V'!$H$8:$H$250,LEFT('FY Q&amp;V 2003-04 to Now'!AG$7:AH$7,4),'Alumina - Q&amp;V'!$I$8:$I$250,4)+
SUMIFS('Alumina - Q&amp;V'!$D$8:$D$250,'Alumina - Q&amp;V'!$H$8:$H$250,CONCATENATE("20",RIGHT('FY Q&amp;V 2003-04 to Now'!AG$7:AH$7,2)),'Alumina - Q&amp;V'!$I$8:$I$250,1)+
SUMIFS('Alumina - Q&amp;V'!$D$8:$D$250,'Alumina - Q&amp;V'!$H$8:$H$250,CONCATENATE("20",RIGHT('FY Q&amp;V 2003-04 to Now'!AG$7:AH$7,2)),'Alumina - Q&amp;V'!$I$8:$I$250,2))*1000000</f>
        <v>1784088.45</v>
      </c>
      <c r="AH13" s="891">
        <f>(SUMIFS('Alumina - Q&amp;V'!$E$8:$E$250,'Alumina - Q&amp;V'!$H$8:$H$250,LEFT('FY Q&amp;V 2003-04 to Now'!AG$7,4),'Alumina - Q&amp;V'!$I$8:$I$250,3)+
SUMIFS('Alumina - Q&amp;V'!$E$8:$E$250,'Alumina - Q&amp;V'!$H$8:$H$250,LEFT('FY Q&amp;V 2003-04 to Now'!AG$7,4),'Alumina - Q&amp;V'!$I$8:$I$250,4)+
SUMIFS('Alumina - Q&amp;V'!$E$8:$E$250,'Alumina - Q&amp;V'!$H$8:$H$250,CONCATENATE("20",RIGHT('FY Q&amp;V 2003-04 to Now'!AG$7,2)),'Alumina - Q&amp;V'!$I$8:$I$250,1)+
SUMIFS('Alumina - Q&amp;V'!$E$8:$E$250,'Alumina - Q&amp;V'!$H$8:$H$250,CONCATENATE("20",RIGHT('FY Q&amp;V 2003-04 to Now'!AG$7,2)),'Alumina - Q&amp;V'!$I$8:$I$250,2))*1000000</f>
        <v>67576671</v>
      </c>
      <c r="AI13" s="953">
        <f>SUMIF($C$9:AH$9,1,$C13:AH13)</f>
        <v>3259454.67</v>
      </c>
      <c r="AJ13" s="891">
        <f>SUMIF($C$9:AH$9,0,$C13:AH13)</f>
        <v>130797691</v>
      </c>
    </row>
    <row r="14" spans="1:36" s="1348" customFormat="1">
      <c r="A14" s="888" t="s">
        <v>705</v>
      </c>
      <c r="B14" s="848"/>
      <c r="C14" s="890"/>
      <c r="D14" s="891">
        <f t="shared" ref="D14" si="2">SUM(D12:D13)</f>
        <v>3085110024.75</v>
      </c>
      <c r="E14" s="890"/>
      <c r="F14" s="891">
        <f t="shared" ref="F14" si="3">SUM(F12:F13)</f>
        <v>3430690094.5099998</v>
      </c>
      <c r="G14" s="890"/>
      <c r="H14" s="891">
        <f t="shared" ref="H14" si="4">SUM(H12:H13)</f>
        <v>4152943630.5500002</v>
      </c>
      <c r="I14" s="890"/>
      <c r="J14" s="891">
        <f t="shared" ref="J14" si="5">SUM(J12:J13)</f>
        <v>5151288982.46</v>
      </c>
      <c r="K14" s="890"/>
      <c r="L14" s="891">
        <f t="shared" ref="L14" si="6">SUM(L12:L13)</f>
        <v>4838417453.5100002</v>
      </c>
      <c r="M14" s="890"/>
      <c r="N14" s="891">
        <f t="shared" ref="N14" si="7">SUM(N12:N13)</f>
        <v>4352643950.3800001</v>
      </c>
      <c r="O14" s="890"/>
      <c r="P14" s="891">
        <f t="shared" ref="P14" si="8">SUM(P12:P13)</f>
        <v>3871191801.6600003</v>
      </c>
      <c r="Q14" s="890"/>
      <c r="R14" s="891">
        <f t="shared" ref="R14" si="9">SUM(R12:R13)</f>
        <v>3990376375.1500001</v>
      </c>
      <c r="S14" s="890"/>
      <c r="T14" s="891">
        <f t="shared" ref="T14" si="10">SUM(T12:T13)</f>
        <v>4010219381.579999</v>
      </c>
      <c r="U14" s="890"/>
      <c r="V14" s="891">
        <f t="shared" ref="V14" si="11">SUM(V12:V13)</f>
        <v>4027810217.2099996</v>
      </c>
      <c r="W14" s="890"/>
      <c r="X14" s="891">
        <f t="shared" ref="X14" si="12">SUM(X12:X13)</f>
        <v>4295348699.0100002</v>
      </c>
      <c r="Y14" s="890"/>
      <c r="Z14" s="891">
        <f t="shared" ref="Z14" si="13">SUM(Z12:Z13)</f>
        <v>5022721218</v>
      </c>
      <c r="AA14" s="890"/>
      <c r="AB14" s="891">
        <f t="shared" ref="AB14" si="14">SUM(AB12:AB13)</f>
        <v>4939232470</v>
      </c>
      <c r="AC14" s="890">
        <f t="shared" ref="AC14:AH14" si="15">SUM(AC12:AC13)</f>
        <v>14165722.300000001</v>
      </c>
      <c r="AD14" s="891">
        <f t="shared" si="15"/>
        <v>5088559366</v>
      </c>
      <c r="AE14" s="1308">
        <f t="shared" si="15"/>
        <v>14786789.640000001</v>
      </c>
      <c r="AF14" s="891">
        <f t="shared" si="15"/>
        <v>6643523276</v>
      </c>
      <c r="AG14" s="1308">
        <f t="shared" si="15"/>
        <v>15427486.59</v>
      </c>
      <c r="AH14" s="891">
        <f t="shared" si="15"/>
        <v>8279414945</v>
      </c>
      <c r="AI14" s="953">
        <f>SUMIF($C$9:AH$9,1,$C14:AH14)</f>
        <v>44379998.530000001</v>
      </c>
      <c r="AJ14" s="891">
        <f>SUMIF($C$9:AH$9,0,$C14:AH14)</f>
        <v>75179491885.770004</v>
      </c>
    </row>
    <row r="15" spans="1:36">
      <c r="A15" s="851"/>
      <c r="B15" s="851"/>
      <c r="C15" s="896"/>
      <c r="D15" s="878"/>
      <c r="E15" s="896"/>
      <c r="F15" s="878"/>
      <c r="G15" s="896"/>
      <c r="H15" s="878"/>
      <c r="I15" s="896"/>
      <c r="J15" s="878"/>
      <c r="K15" s="896"/>
      <c r="L15" s="878"/>
      <c r="M15" s="896"/>
      <c r="N15" s="878"/>
      <c r="O15" s="896"/>
      <c r="P15" s="878"/>
      <c r="Q15" s="896"/>
      <c r="R15" s="878"/>
      <c r="S15" s="896"/>
      <c r="T15" s="878"/>
      <c r="U15" s="896"/>
      <c r="V15" s="878"/>
      <c r="W15" s="896"/>
      <c r="X15" s="878"/>
      <c r="Y15" s="896"/>
      <c r="Z15" s="878"/>
      <c r="AA15" s="896"/>
      <c r="AB15" s="878"/>
      <c r="AC15" s="878"/>
      <c r="AD15" s="878"/>
      <c r="AE15" s="1309"/>
      <c r="AF15" s="878"/>
      <c r="AG15" s="1309"/>
      <c r="AH15" s="878"/>
      <c r="AI15" s="953"/>
      <c r="AJ15" s="891"/>
    </row>
    <row r="16" spans="1:36">
      <c r="A16" s="885" t="s">
        <v>208</v>
      </c>
      <c r="B16" s="638"/>
      <c r="C16" s="895"/>
      <c r="D16" s="892"/>
      <c r="E16" s="895"/>
      <c r="F16" s="892"/>
      <c r="G16" s="895"/>
      <c r="H16" s="892"/>
      <c r="I16" s="895"/>
      <c r="J16" s="892"/>
      <c r="K16" s="895"/>
      <c r="L16" s="892"/>
      <c r="M16" s="895"/>
      <c r="N16" s="892"/>
      <c r="O16" s="895"/>
      <c r="P16" s="892"/>
      <c r="Q16" s="895"/>
      <c r="R16" s="892"/>
      <c r="S16" s="895"/>
      <c r="T16" s="892"/>
      <c r="U16" s="895"/>
      <c r="V16" s="892"/>
      <c r="W16" s="895"/>
      <c r="X16" s="892"/>
      <c r="Y16" s="895"/>
      <c r="Z16" s="892"/>
      <c r="AA16" s="895"/>
      <c r="AB16" s="892"/>
      <c r="AC16" s="892"/>
      <c r="AD16" s="892"/>
      <c r="AE16" s="1307"/>
      <c r="AF16" s="892"/>
      <c r="AG16" s="1307"/>
      <c r="AH16" s="892"/>
      <c r="AI16" s="954"/>
      <c r="AJ16" s="955"/>
    </row>
    <row r="17" spans="1:36">
      <c r="A17" s="886" t="s">
        <v>332</v>
      </c>
      <c r="B17" s="594" t="s">
        <v>110</v>
      </c>
      <c r="C17" s="893">
        <f>(SUMIFS('Base Metals - Q&amp;V'!$B$8:$B$250,'Base Metals - Q&amp;V'!$H$8:$H$250,LEFT('FY Q&amp;V 2003-04 to Now'!C$7,4),'Base Metals - Q&amp;V'!$I$8:$I$250,3)+
SUMIFS('Base Metals - Q&amp;V'!$B$8:$B$250,'Base Metals - Q&amp;V'!$H$8:$H$250,LEFT('FY Q&amp;V 2003-04 to Now'!C$7:D$7,4),'Base Metals - Q&amp;V'!$I$8:$I$250,4)+
SUMIFS('Base Metals - Q&amp;V'!$B$8:$B$250,'Base Metals - Q&amp;V'!$H$8:$H$250,CONCATENATE("20",RIGHT('FY Q&amp;V 2003-04 to Now'!C$7,2)),'Base Metals - Q&amp;V'!$I$8:$I$250,1)+
SUMIFS('Base Metals - Q&amp;V'!$B$8:$B$250,'Base Metals - Q&amp;V'!$H$8:$H$250,CONCATENATE("20",RIGHT('FY Q&amp;V 2003-04 to Now'!C$7,2)),'Base Metals - Q&amp;V'!$I$8:$I$250,2))*1000</f>
        <v>54944.894000000008</v>
      </c>
      <c r="D17" s="894">
        <f>(SUMIFS('Base Metals - Q&amp;V'!$C$8:$C$250,'Base Metals - Q&amp;V'!$H$8:$H$250,LEFT('FY Q&amp;V 2003-04 to Now'!C$7,4),'Base Metals - Q&amp;V'!$I$8:$I$250,3)+
SUMIFS('Base Metals - Q&amp;V'!$C$8:$C$250,'Base Metals - Q&amp;V'!$H$8:$H$250,LEFT('FY Q&amp;V 2003-04 to Now'!C$7,4),'Base Metals - Q&amp;V'!$I$8:$I$250,4)+
SUMIFS('Base Metals - Q&amp;V'!$C$8:$C$250,'Base Metals - Q&amp;V'!$H$8:$H$250,CONCATENATE("20",RIGHT('FY Q&amp;V 2003-04 to Now'!C$7,2)),'Base Metals - Q&amp;V'!$I$8:$I$250,1)+
SUMIFS('Base Metals - Q&amp;V'!$C$8:$C$250,'Base Metals - Q&amp;V'!$H$8:$H$250,CONCATENATE("20",RIGHT('FY Q&amp;V 2003-04 to Now'!C$7,2)),'Base Metals - Q&amp;V'!$I$8:$I$250,2))*1000000</f>
        <v>166922499.05000001</v>
      </c>
      <c r="E17" s="893">
        <f>(SUMIFS('Base Metals - Q&amp;V'!$B$8:$B$250,'Base Metals - Q&amp;V'!$H$8:$H$250,LEFT('FY Q&amp;V 2003-04 to Now'!E$7,4),'Base Metals - Q&amp;V'!$I$8:$I$250,3)+
SUMIFS('Base Metals - Q&amp;V'!$B$8:$B$250,'Base Metals - Q&amp;V'!$H$8:$H$250,LEFT('FY Q&amp;V 2003-04 to Now'!E$7:F$7,4),'Base Metals - Q&amp;V'!$I$8:$I$250,4)+
SUMIFS('Base Metals - Q&amp;V'!$B$8:$B$250,'Base Metals - Q&amp;V'!$H$8:$H$250,CONCATENATE("20",RIGHT('FY Q&amp;V 2003-04 to Now'!E$7,2)),'Base Metals - Q&amp;V'!$I$8:$I$250,1)+
SUMIFS('Base Metals - Q&amp;V'!$B$8:$B$250,'Base Metals - Q&amp;V'!$H$8:$H$250,CONCATENATE("20",RIGHT('FY Q&amp;V 2003-04 to Now'!E$7,2)),'Base Metals - Q&amp;V'!$I$8:$I$250,2))*1000</f>
        <v>60710.827000000005</v>
      </c>
      <c r="F17" s="894">
        <f>(SUMIFS('Base Metals - Q&amp;V'!$C$8:$C$250,'Base Metals - Q&amp;V'!$H$8:$H$250,LEFT('FY Q&amp;V 2003-04 to Now'!E$7,4),'Base Metals - Q&amp;V'!$I$8:$I$250,3)+
SUMIFS('Base Metals - Q&amp;V'!$C$8:$C$250,'Base Metals - Q&amp;V'!$H$8:$H$250,LEFT('FY Q&amp;V 2003-04 to Now'!E$7,4),'Base Metals - Q&amp;V'!$I$8:$I$250,4)+
SUMIFS('Base Metals - Q&amp;V'!$C$8:$C$250,'Base Metals - Q&amp;V'!$H$8:$H$250,CONCATENATE("20",RIGHT('FY Q&amp;V 2003-04 to Now'!E$7,2)),'Base Metals - Q&amp;V'!$I$8:$I$250,1)+
SUMIFS('Base Metals - Q&amp;V'!$C$8:$C$250,'Base Metals - Q&amp;V'!$H$8:$H$250,CONCATENATE("20",RIGHT('FY Q&amp;V 2003-04 to Now'!E$7,2)),'Base Metals - Q&amp;V'!$I$8:$I$250,2))*1000000</f>
        <v>267678966.38999999</v>
      </c>
      <c r="G17" s="893">
        <f>(SUMIFS('Base Metals - Q&amp;V'!$B$8:$B$250,'Base Metals - Q&amp;V'!$H$8:$H$250,LEFT('FY Q&amp;V 2003-04 to Now'!G$7,4),'Base Metals - Q&amp;V'!$I$8:$I$250,3)+
SUMIFS('Base Metals - Q&amp;V'!$B$8:$B$250,'Base Metals - Q&amp;V'!$H$8:$H$250,LEFT('FY Q&amp;V 2003-04 to Now'!G$7:H$7,4),'Base Metals - Q&amp;V'!$I$8:$I$250,4)+
SUMIFS('Base Metals - Q&amp;V'!$B$8:$B$250,'Base Metals - Q&amp;V'!$H$8:$H$250,CONCATENATE("20",RIGHT('FY Q&amp;V 2003-04 to Now'!G$7,2)),'Base Metals - Q&amp;V'!$I$8:$I$250,1)+
SUMIFS('Base Metals - Q&amp;V'!$B$8:$B$250,'Base Metals - Q&amp;V'!$H$8:$H$250,CONCATENATE("20",RIGHT('FY Q&amp;V 2003-04 to Now'!G$7,2)),'Base Metals - Q&amp;V'!$I$8:$I$250,2))*1000</f>
        <v>84673.21699999999</v>
      </c>
      <c r="H17" s="894">
        <f>(SUMIFS('Base Metals - Q&amp;V'!$C$8:$C$250,'Base Metals - Q&amp;V'!$H$8:$H$250,LEFT('FY Q&amp;V 2003-04 to Now'!G$7,4),'Base Metals - Q&amp;V'!$I$8:$I$250,3)+
SUMIFS('Base Metals - Q&amp;V'!$C$8:$C$250,'Base Metals - Q&amp;V'!$H$8:$H$250,LEFT('FY Q&amp;V 2003-04 to Now'!G$7,4),'Base Metals - Q&amp;V'!$I$8:$I$250,4)+
SUMIFS('Base Metals - Q&amp;V'!$C$8:$C$250,'Base Metals - Q&amp;V'!$H$8:$H$250,CONCATENATE("20",RIGHT('FY Q&amp;V 2003-04 to Now'!G$7,2)),'Base Metals - Q&amp;V'!$I$8:$I$250,1)+
SUMIFS('Base Metals - Q&amp;V'!$C$8:$C$250,'Base Metals - Q&amp;V'!$H$8:$H$250,CONCATENATE("20",RIGHT('FY Q&amp;V 2003-04 to Now'!G$7,2)),'Base Metals - Q&amp;V'!$I$8:$I$250,2))*1000000</f>
        <v>611113709.88999999</v>
      </c>
      <c r="I17" s="893">
        <f>(SUMIFS('Base Metals - Q&amp;V'!$B$8:$B$250,'Base Metals - Q&amp;V'!$H$8:$H$250,LEFT('FY Q&amp;V 2003-04 to Now'!I$7,4),'Base Metals - Q&amp;V'!$I$8:$I$250,3)+
SUMIFS('Base Metals - Q&amp;V'!$B$8:$B$250,'Base Metals - Q&amp;V'!$H$8:$H$250,LEFT('FY Q&amp;V 2003-04 to Now'!I$7:J$7,4),'Base Metals - Q&amp;V'!$I$8:$I$250,4)+
SUMIFS('Base Metals - Q&amp;V'!$B$8:$B$250,'Base Metals - Q&amp;V'!$H$8:$H$250,CONCATENATE("20",RIGHT('FY Q&amp;V 2003-04 to Now'!I$7,2)),'Base Metals - Q&amp;V'!$I$8:$I$250,1)+
SUMIFS('Base Metals - Q&amp;V'!$B$8:$B$250,'Base Metals - Q&amp;V'!$H$8:$H$250,CONCATENATE("20",RIGHT('FY Q&amp;V 2003-04 to Now'!I$7,2)),'Base Metals - Q&amp;V'!$I$8:$I$250,2))*1000</f>
        <v>108677.836</v>
      </c>
      <c r="J17" s="894">
        <f>(SUMIFS('Base Metals - Q&amp;V'!$C$8:$C$250,'Base Metals - Q&amp;V'!$H$8:$H$250,LEFT('FY Q&amp;V 2003-04 to Now'!I$7,4),'Base Metals - Q&amp;V'!$I$8:$I$250,3)+
SUMIFS('Base Metals - Q&amp;V'!$C$8:$C$250,'Base Metals - Q&amp;V'!$H$8:$H$250,LEFT('FY Q&amp;V 2003-04 to Now'!I$7,4),'Base Metals - Q&amp;V'!$I$8:$I$250,4)+
SUMIFS('Base Metals - Q&amp;V'!$C$8:$C$250,'Base Metals - Q&amp;V'!$H$8:$H$250,CONCATENATE("20",RIGHT('FY Q&amp;V 2003-04 to Now'!I$7,2)),'Base Metals - Q&amp;V'!$I$8:$I$250,1)+
SUMIFS('Base Metals - Q&amp;V'!$C$8:$C$250,'Base Metals - Q&amp;V'!$H$8:$H$250,CONCATENATE("20",RIGHT('FY Q&amp;V 2003-04 to Now'!I$7,2)),'Base Metals - Q&amp;V'!$I$8:$I$250,2))*1000000</f>
        <v>951656715.81999993</v>
      </c>
      <c r="K17" s="893">
        <f>(SUMIFS('Base Metals - Q&amp;V'!$B$8:$B$250,'Base Metals - Q&amp;V'!$H$8:$H$250,LEFT('FY Q&amp;V 2003-04 to Now'!K$7,4),'Base Metals - Q&amp;V'!$I$8:$I$250,3)+
SUMIFS('Base Metals - Q&amp;V'!$B$8:$B$250,'Base Metals - Q&amp;V'!$H$8:$H$250,LEFT('FY Q&amp;V 2003-04 to Now'!K$7:L$7,4),'Base Metals - Q&amp;V'!$I$8:$I$250,4)+
SUMIFS('Base Metals - Q&amp;V'!$B$8:$B$250,'Base Metals - Q&amp;V'!$H$8:$H$250,CONCATENATE("20",RIGHT('FY Q&amp;V 2003-04 to Now'!K$7,2)),'Base Metals - Q&amp;V'!$I$8:$I$250,1)+
SUMIFS('Base Metals - Q&amp;V'!$B$8:$B$250,'Base Metals - Q&amp;V'!$H$8:$H$250,CONCATENATE("20",RIGHT('FY Q&amp;V 2003-04 to Now'!K$7,2)),'Base Metals - Q&amp;V'!$I$8:$I$250,2))*1000</f>
        <v>123361.59</v>
      </c>
      <c r="L17" s="894">
        <f>(SUMIFS('Base Metals - Q&amp;V'!$C$8:$C$250,'Base Metals - Q&amp;V'!$H$8:$H$250,LEFT('FY Q&amp;V 2003-04 to Now'!K$7,4),'Base Metals - Q&amp;V'!$I$8:$I$250,3)+
SUMIFS('Base Metals - Q&amp;V'!$C$8:$C$250,'Base Metals - Q&amp;V'!$H$8:$H$250,LEFT('FY Q&amp;V 2003-04 to Now'!K$7,4),'Base Metals - Q&amp;V'!$I$8:$I$250,4)+
SUMIFS('Base Metals - Q&amp;V'!$C$8:$C$250,'Base Metals - Q&amp;V'!$H$8:$H$250,CONCATENATE("20",RIGHT('FY Q&amp;V 2003-04 to Now'!K$7,2)),'Base Metals - Q&amp;V'!$I$8:$I$250,1)+
SUMIFS('Base Metals - Q&amp;V'!$C$8:$C$250,'Base Metals - Q&amp;V'!$H$8:$H$250,CONCATENATE("20",RIGHT('FY Q&amp;V 2003-04 to Now'!K$7,2)),'Base Metals - Q&amp;V'!$I$8:$I$250,2))*1000000</f>
        <v>1031135089.14</v>
      </c>
      <c r="M17" s="893">
        <f>(SUMIFS('Base Metals - Q&amp;V'!$B$8:$B$250,'Base Metals - Q&amp;V'!$H$8:$H$250,LEFT('FY Q&amp;V 2003-04 to Now'!M$7,4),'Base Metals - Q&amp;V'!$I$8:$I$250,3)+
SUMIFS('Base Metals - Q&amp;V'!$B$8:$B$250,'Base Metals - Q&amp;V'!$H$8:$H$250,LEFT('FY Q&amp;V 2003-04 to Now'!M$7:N$7,4),'Base Metals - Q&amp;V'!$I$8:$I$250,4)+
SUMIFS('Base Metals - Q&amp;V'!$B$8:$B$250,'Base Metals - Q&amp;V'!$H$8:$H$250,CONCATENATE("20",RIGHT('FY Q&amp;V 2003-04 to Now'!M$7,2)),'Base Metals - Q&amp;V'!$I$8:$I$250,1)+
SUMIFS('Base Metals - Q&amp;V'!$B$8:$B$250,'Base Metals - Q&amp;V'!$H$8:$H$250,CONCATENATE("20",RIGHT('FY Q&amp;V 2003-04 to Now'!M$7,2)),'Base Metals - Q&amp;V'!$I$8:$I$250,2))*1000</f>
        <v>128232.43400000001</v>
      </c>
      <c r="N17" s="894">
        <f>(SUMIFS('Base Metals - Q&amp;V'!$C$8:$C$250,'Base Metals - Q&amp;V'!$H$8:$H$250,LEFT('FY Q&amp;V 2003-04 to Now'!M$7,4),'Base Metals - Q&amp;V'!$I$8:$I$250,3)+
SUMIFS('Base Metals - Q&amp;V'!$C$8:$C$250,'Base Metals - Q&amp;V'!$H$8:$H$250,LEFT('FY Q&amp;V 2003-04 to Now'!M$7,4),'Base Metals - Q&amp;V'!$I$8:$I$250,4)+
SUMIFS('Base Metals - Q&amp;V'!$C$8:$C$250,'Base Metals - Q&amp;V'!$H$8:$H$250,CONCATENATE("20",RIGHT('FY Q&amp;V 2003-04 to Now'!M$7,2)),'Base Metals - Q&amp;V'!$I$8:$I$250,1)+
SUMIFS('Base Metals - Q&amp;V'!$C$8:$C$250,'Base Metals - Q&amp;V'!$H$8:$H$250,CONCATENATE("20",RIGHT('FY Q&amp;V 2003-04 to Now'!M$7,2)),'Base Metals - Q&amp;V'!$I$8:$I$250,2))*1000000</f>
        <v>656718318.56000006</v>
      </c>
      <c r="O17" s="893">
        <f>(SUMIFS('Base Metals - Q&amp;V'!$B$8:$B$250,'Base Metals - Q&amp;V'!$H$8:$H$250,LEFT('FY Q&amp;V 2003-04 to Now'!O$7,4),'Base Metals - Q&amp;V'!$I$8:$I$250,3)+
SUMIFS('Base Metals - Q&amp;V'!$B$8:$B$250,'Base Metals - Q&amp;V'!$H$8:$H$250,LEFT('FY Q&amp;V 2003-04 to Now'!O$7:P$7,4),'Base Metals - Q&amp;V'!$I$8:$I$250,4)+
SUMIFS('Base Metals - Q&amp;V'!$B$8:$B$250,'Base Metals - Q&amp;V'!$H$8:$H$250,CONCATENATE("20",RIGHT('FY Q&amp;V 2003-04 to Now'!O$7,2)),'Base Metals - Q&amp;V'!$I$8:$I$250,1)+
SUMIFS('Base Metals - Q&amp;V'!$B$8:$B$250,'Base Metals - Q&amp;V'!$H$8:$H$250,CONCATENATE("20",RIGHT('FY Q&amp;V 2003-04 to Now'!O$7,2)),'Base Metals - Q&amp;V'!$I$8:$I$250,2))*1000</f>
        <v>151963.34899999999</v>
      </c>
      <c r="P17" s="894">
        <f>(SUMIFS('Base Metals - Q&amp;V'!$C$8:$C$250,'Base Metals - Q&amp;V'!$H$8:$H$250,LEFT('FY Q&amp;V 2003-04 to Now'!O$7,4),'Base Metals - Q&amp;V'!$I$8:$I$250,3)+
SUMIFS('Base Metals - Q&amp;V'!$C$8:$C$250,'Base Metals - Q&amp;V'!$H$8:$H$250,LEFT('FY Q&amp;V 2003-04 to Now'!O$7,4),'Base Metals - Q&amp;V'!$I$8:$I$250,4)+
SUMIFS('Base Metals - Q&amp;V'!$C$8:$C$250,'Base Metals - Q&amp;V'!$H$8:$H$250,CONCATENATE("20",RIGHT('FY Q&amp;V 2003-04 to Now'!O$7,2)),'Base Metals - Q&amp;V'!$I$8:$I$250,1)+
SUMIFS('Base Metals - Q&amp;V'!$C$8:$C$250,'Base Metals - Q&amp;V'!$H$8:$H$250,CONCATENATE("20",RIGHT('FY Q&amp;V 2003-04 to Now'!O$7,2)),'Base Metals - Q&amp;V'!$I$8:$I$250,2))*1000000</f>
        <v>1172476450.76</v>
      </c>
      <c r="Q17" s="893">
        <f>(SUMIFS('Base Metals - Q&amp;V'!$B$8:$B$250,'Base Metals - Q&amp;V'!$H$8:$H$250,LEFT('FY Q&amp;V 2003-04 to Now'!Q$7,4),'Base Metals - Q&amp;V'!$I$8:$I$250,3)+
SUMIFS('Base Metals - Q&amp;V'!$B$8:$B$250,'Base Metals - Q&amp;V'!$H$8:$H$250,LEFT('FY Q&amp;V 2003-04 to Now'!Q$7:R$7,4),'Base Metals - Q&amp;V'!$I$8:$I$250,4)+
SUMIFS('Base Metals - Q&amp;V'!$B$8:$B$250,'Base Metals - Q&amp;V'!$H$8:$H$250,CONCATENATE("20",RIGHT('FY Q&amp;V 2003-04 to Now'!Q$7,2)),'Base Metals - Q&amp;V'!$I$8:$I$250,1)+
SUMIFS('Base Metals - Q&amp;V'!$B$8:$B$250,'Base Metals - Q&amp;V'!$H$8:$H$250,CONCATENATE("20",RIGHT('FY Q&amp;V 2003-04 to Now'!Q$7,2)),'Base Metals - Q&amp;V'!$I$8:$I$250,2))*1000</f>
        <v>150030.321</v>
      </c>
      <c r="R17" s="894">
        <f>(SUMIFS('Base Metals - Q&amp;V'!$C$8:$C$250,'Base Metals - Q&amp;V'!$H$8:$H$250,LEFT('FY Q&amp;V 2003-04 to Now'!Q$7,4),'Base Metals - Q&amp;V'!$I$8:$I$250,3)+
SUMIFS('Base Metals - Q&amp;V'!$C$8:$C$250,'Base Metals - Q&amp;V'!$H$8:$H$250,LEFT('FY Q&amp;V 2003-04 to Now'!Q$7,4),'Base Metals - Q&amp;V'!$I$8:$I$250,4)+
SUMIFS('Base Metals - Q&amp;V'!$C$8:$C$250,'Base Metals - Q&amp;V'!$H$8:$H$250,CONCATENATE("20",RIGHT('FY Q&amp;V 2003-04 to Now'!Q$7,2)),'Base Metals - Q&amp;V'!$I$8:$I$250,1)+
SUMIFS('Base Metals - Q&amp;V'!$C$8:$C$250,'Base Metals - Q&amp;V'!$H$8:$H$250,CONCATENATE("20",RIGHT('FY Q&amp;V 2003-04 to Now'!Q$7,2)),'Base Metals - Q&amp;V'!$I$8:$I$250,2))*1000000</f>
        <v>1332356150.23</v>
      </c>
      <c r="S17" s="893">
        <f>(SUMIFS('Base Metals - Q&amp;V'!$B$8:$B$250,'Base Metals - Q&amp;V'!$H$8:$H$250,LEFT('FY Q&amp;V 2003-04 to Now'!S$7,4),'Base Metals - Q&amp;V'!$I$8:$I$250,3)+
SUMIFS('Base Metals - Q&amp;V'!$B$8:$B$250,'Base Metals - Q&amp;V'!$H$8:$H$250,LEFT('FY Q&amp;V 2003-04 to Now'!S$7:T$7,4),'Base Metals - Q&amp;V'!$I$8:$I$250,4)+
SUMIFS('Base Metals - Q&amp;V'!$B$8:$B$250,'Base Metals - Q&amp;V'!$H$8:$H$250,CONCATENATE("20",RIGHT('FY Q&amp;V 2003-04 to Now'!S$7,2)),'Base Metals - Q&amp;V'!$I$8:$I$250,1)+
SUMIFS('Base Metals - Q&amp;V'!$B$8:$B$250,'Base Metals - Q&amp;V'!$H$8:$H$250,CONCATENATE("20",RIGHT('FY Q&amp;V 2003-04 to Now'!S$7,2)),'Base Metals - Q&amp;V'!$I$8:$I$250,2))*1000</f>
        <v>159171.31195199999</v>
      </c>
      <c r="T17" s="894">
        <f>(SUMIFS('Base Metals - Q&amp;V'!$C$8:$C$250,'Base Metals - Q&amp;V'!$H$8:$H$250,LEFT('FY Q&amp;V 2003-04 to Now'!S$7,4),'Base Metals - Q&amp;V'!$I$8:$I$250,3)+
SUMIFS('Base Metals - Q&amp;V'!$C$8:$C$250,'Base Metals - Q&amp;V'!$H$8:$H$250,LEFT('FY Q&amp;V 2003-04 to Now'!S$7,4),'Base Metals - Q&amp;V'!$I$8:$I$250,4)+
SUMIFS('Base Metals - Q&amp;V'!$C$8:$C$250,'Base Metals - Q&amp;V'!$H$8:$H$250,CONCATENATE("20",RIGHT('FY Q&amp;V 2003-04 to Now'!S$7,2)),'Base Metals - Q&amp;V'!$I$8:$I$250,1)+
SUMIFS('Base Metals - Q&amp;V'!$C$8:$C$250,'Base Metals - Q&amp;V'!$H$8:$H$250,CONCATENATE("20",RIGHT('FY Q&amp;V 2003-04 to Now'!S$7,2)),'Base Metals - Q&amp;V'!$I$8:$I$250,2))*1000000</f>
        <v>1180779699.3599999</v>
      </c>
      <c r="U17" s="893">
        <f>(SUMIFS('Base Metals - Q&amp;V'!$B$8:$B$250,'Base Metals - Q&amp;V'!$H$8:$H$250,LEFT('FY Q&amp;V 2003-04 to Now'!U$7,4),'Base Metals - Q&amp;V'!$I$8:$I$250,3)+
SUMIFS('Base Metals - Q&amp;V'!$B$8:$B$250,'Base Metals - Q&amp;V'!$H$8:$H$250,LEFT('FY Q&amp;V 2003-04 to Now'!U$7:V$7,4),'Base Metals - Q&amp;V'!$I$8:$I$250,4)+
SUMIFS('Base Metals - Q&amp;V'!$B$8:$B$250,'Base Metals - Q&amp;V'!$H$8:$H$250,CONCATENATE("20",RIGHT('FY Q&amp;V 2003-04 to Now'!U$7,2)),'Base Metals - Q&amp;V'!$I$8:$I$250,1)+
SUMIFS('Base Metals - Q&amp;V'!$B$8:$B$250,'Base Metals - Q&amp;V'!$H$8:$H$250,CONCATENATE("20",RIGHT('FY Q&amp;V 2003-04 to Now'!U$7,2)),'Base Metals - Q&amp;V'!$I$8:$I$250,2))*1000</f>
        <v>209266.334817</v>
      </c>
      <c r="V17" s="894">
        <f>(SUMIFS('Base Metals - Q&amp;V'!$C$8:$C$250,'Base Metals - Q&amp;V'!$H$8:$H$250,LEFT('FY Q&amp;V 2003-04 to Now'!U$7,4),'Base Metals - Q&amp;V'!$I$8:$I$250,3)+
SUMIFS('Base Metals - Q&amp;V'!$C$8:$C$250,'Base Metals - Q&amp;V'!$H$8:$H$250,LEFT('FY Q&amp;V 2003-04 to Now'!U$7,4),'Base Metals - Q&amp;V'!$I$8:$I$250,4)+
SUMIFS('Base Metals - Q&amp;V'!$C$8:$C$250,'Base Metals - Q&amp;V'!$H$8:$H$250,CONCATENATE("20",RIGHT('FY Q&amp;V 2003-04 to Now'!U$7,2)),'Base Metals - Q&amp;V'!$I$8:$I$250,1)+
SUMIFS('Base Metals - Q&amp;V'!$C$8:$C$250,'Base Metals - Q&amp;V'!$H$8:$H$250,CONCATENATE("20",RIGHT('FY Q&amp;V 2003-04 to Now'!U$7,2)),'Base Metals - Q&amp;V'!$I$8:$I$250,2))*1000000</f>
        <v>1423043554.4100001</v>
      </c>
      <c r="W17" s="893">
        <f>(SUMIFS('Base Metals - Q&amp;V'!$B$8:$B$250,'Base Metals - Q&amp;V'!$H$8:$H$250,LEFT('FY Q&amp;V 2003-04 to Now'!W$7,4),'Base Metals - Q&amp;V'!$I$8:$I$250,3)+
SUMIFS('Base Metals - Q&amp;V'!$B$8:$B$250,'Base Metals - Q&amp;V'!$H$8:$H$250,LEFT('FY Q&amp;V 2003-04 to Now'!W$7:X$7,4),'Base Metals - Q&amp;V'!$I$8:$I$250,4)+
SUMIFS('Base Metals - Q&amp;V'!$B$8:$B$250,'Base Metals - Q&amp;V'!$H$8:$H$250,CONCATENATE("20",RIGHT('FY Q&amp;V 2003-04 to Now'!W$7,2)),'Base Metals - Q&amp;V'!$I$8:$I$250,1)+
SUMIFS('Base Metals - Q&amp;V'!$B$8:$B$250,'Base Metals - Q&amp;V'!$H$8:$H$250,CONCATENATE("20",RIGHT('FY Q&amp;V 2003-04 to Now'!W$7,2)),'Base Metals - Q&amp;V'!$I$8:$I$250,2))*1000</f>
        <v>211186.32200000001</v>
      </c>
      <c r="X17" s="894">
        <f>(SUMIFS('Base Metals - Q&amp;V'!$C$8:$C$250,'Base Metals - Q&amp;V'!$H$8:$H$250,LEFT('FY Q&amp;V 2003-04 to Now'!W$7,4),'Base Metals - Q&amp;V'!$I$8:$I$250,3)+
SUMIFS('Base Metals - Q&amp;V'!$C$8:$C$250,'Base Metals - Q&amp;V'!$H$8:$H$250,LEFT('FY Q&amp;V 2003-04 to Now'!W$7,4),'Base Metals - Q&amp;V'!$I$8:$I$250,4)+
SUMIFS('Base Metals - Q&amp;V'!$C$8:$C$250,'Base Metals - Q&amp;V'!$H$8:$H$250,CONCATENATE("20",RIGHT('FY Q&amp;V 2003-04 to Now'!W$7,2)),'Base Metals - Q&amp;V'!$I$8:$I$250,1)+
SUMIFS('Base Metals - Q&amp;V'!$C$8:$C$250,'Base Metals - Q&amp;V'!$H$8:$H$250,CONCATENATE("20",RIGHT('FY Q&amp;V 2003-04 to Now'!W$7,2)),'Base Metals - Q&amp;V'!$I$8:$I$250,2))*1000000</f>
        <v>1559565609.8399999</v>
      </c>
      <c r="Y17" s="893">
        <f>(SUMIFS('Base Metals - Q&amp;V'!$B$8:$B$250,'Base Metals - Q&amp;V'!$H$8:$H$250,LEFT('FY Q&amp;V 2003-04 to Now'!Y$7,4),'Base Metals - Q&amp;V'!$I$8:$I$250,3)+
SUMIFS('Base Metals - Q&amp;V'!$B$8:$B$250,'Base Metals - Q&amp;V'!$H$8:$H$250,LEFT('FY Q&amp;V 2003-04 to Now'!Y$7:Z$7,4),'Base Metals - Q&amp;V'!$I$8:$I$250,4)+
SUMIFS('Base Metals - Q&amp;V'!$B$8:$B$250,'Base Metals - Q&amp;V'!$H$8:$H$250,CONCATENATE("20",RIGHT('FY Q&amp;V 2003-04 to Now'!Y$7,2)),'Base Metals - Q&amp;V'!$I$8:$I$250,1)+
SUMIFS('Base Metals - Q&amp;V'!$B$8:$B$250,'Base Metals - Q&amp;V'!$H$8:$H$250,CONCATENATE("20",RIGHT('FY Q&amp;V 2003-04 to Now'!Y$7,2)),'Base Metals - Q&amp;V'!$I$8:$I$250,2))*1000</f>
        <v>184494.89700000003</v>
      </c>
      <c r="Z17" s="894">
        <f>(SUMIFS('Base Metals - Q&amp;V'!$C$8:$C$250,'Base Metals - Q&amp;V'!$H$8:$H$250,LEFT('FY Q&amp;V 2003-04 to Now'!Y$7,4),'Base Metals - Q&amp;V'!$I$8:$I$250,3)+
SUMIFS('Base Metals - Q&amp;V'!$C$8:$C$250,'Base Metals - Q&amp;V'!$H$8:$H$250,LEFT('FY Q&amp;V 2003-04 to Now'!Y$7,4),'Base Metals - Q&amp;V'!$I$8:$I$250,4)+
SUMIFS('Base Metals - Q&amp;V'!$C$8:$C$250,'Base Metals - Q&amp;V'!$H$8:$H$250,CONCATENATE("20",RIGHT('FY Q&amp;V 2003-04 to Now'!Y$7,2)),'Base Metals - Q&amp;V'!$I$8:$I$250,1)+
SUMIFS('Base Metals - Q&amp;V'!$C$8:$C$250,'Base Metals - Q&amp;V'!$H$8:$H$250,CONCATENATE("20",RIGHT('FY Q&amp;V 2003-04 to Now'!Y$7,2)),'Base Metals - Q&amp;V'!$I$8:$I$250,2))*1000000</f>
        <v>1283046797</v>
      </c>
      <c r="AA17" s="893">
        <f>(SUMIFS('Base Metals - Q&amp;V'!$B$8:$B$250,'Base Metals - Q&amp;V'!$H$8:$H$250,LEFT('FY Q&amp;V 2003-04 to Now'!AA$7,4),'Base Metals - Q&amp;V'!$I$8:$I$250,3)+
SUMIFS('Base Metals - Q&amp;V'!$B$8:$B$250,'Base Metals - Q&amp;V'!$H$8:$H$250,LEFT('FY Q&amp;V 2003-04 to Now'!AA$7:AB$7,4),'Base Metals - Q&amp;V'!$I$8:$I$250,4)+
SUMIFS('Base Metals - Q&amp;V'!$B$8:$B$250,'Base Metals - Q&amp;V'!$H$8:$H$250,CONCATENATE("20",RIGHT('FY Q&amp;V 2003-04 to Now'!AA$7,2)),'Base Metals - Q&amp;V'!$I$8:$I$250,1)+
SUMIFS('Base Metals - Q&amp;V'!$B$8:$B$250,'Base Metals - Q&amp;V'!$H$8:$H$250,CONCATENATE("20",RIGHT('FY Q&amp;V 2003-04 to Now'!AA$7,2)),'Base Metals - Q&amp;V'!$I$8:$I$250,2))*1000</f>
        <v>190274.75599999999</v>
      </c>
      <c r="AB17" s="894">
        <f>(SUMIFS('Base Metals - Q&amp;V'!$C$8:$C$250,'Base Metals - Q&amp;V'!$H$8:$H$250,LEFT('FY Q&amp;V 2003-04 to Now'!AA$7,4),'Base Metals - Q&amp;V'!$I$8:$I$250,3)+
SUMIFS('Base Metals - Q&amp;V'!$C$8:$C$250,'Base Metals - Q&amp;V'!$H$8:$H$250,LEFT('FY Q&amp;V 2003-04 to Now'!AA$7,4),'Base Metals - Q&amp;V'!$I$8:$I$250,4)+
SUMIFS('Base Metals - Q&amp;V'!$C$8:$C$250,'Base Metals - Q&amp;V'!$H$8:$H$250,CONCATENATE("20",RIGHT('FY Q&amp;V 2003-04 to Now'!AA$7,2)),'Base Metals - Q&amp;V'!$I$8:$I$250,1)+
SUMIFS('Base Metals - Q&amp;V'!$C$8:$C$250,'Base Metals - Q&amp;V'!$H$8:$H$250,CONCATENATE("20",RIGHT('FY Q&amp;V 2003-04 to Now'!AA$7,2)),'Base Metals - Q&amp;V'!$I$8:$I$250,2))*1000000</f>
        <v>1181262087</v>
      </c>
      <c r="AC17" s="893">
        <f>(SUMIFS('Base Metals - Q&amp;V'!$B$8:$B$250,'Base Metals - Q&amp;V'!$H$8:$H$250,LEFT('FY Q&amp;V 2003-04 to Now'!AC$7,4),'Base Metals - Q&amp;V'!$I$8:$I$250,3)+
SUMIFS('Base Metals - Q&amp;V'!$B$8:$B$250,'Base Metals - Q&amp;V'!$H$8:$H$250,LEFT('FY Q&amp;V 2003-04 to Now'!AC$7:AD$7,4),'Base Metals - Q&amp;V'!$I$8:$I$250,4)+
SUMIFS('Base Metals - Q&amp;V'!$B$8:$B$250,'Base Metals - Q&amp;V'!$H$8:$H$250,CONCATENATE("20",RIGHT('FY Q&amp;V 2003-04 to Now'!AC$7,2)),'Base Metals - Q&amp;V'!$I$8:$I$250,1)+
SUMIFS('Base Metals - Q&amp;V'!$B$8:$B$250,'Base Metals - Q&amp;V'!$H$8:$H$250,CONCATENATE("20",RIGHT('FY Q&amp;V 2003-04 to Now'!AC$7,2)),'Base Metals - Q&amp;V'!$I$8:$I$250,2))*1000</f>
        <v>170730.21500000003</v>
      </c>
      <c r="AD17" s="894">
        <f>(SUMIFS('Base Metals - Q&amp;V'!$C$8:$C$250,'Base Metals - Q&amp;V'!$H$8:$H$250,LEFT('FY Q&amp;V 2003-04 to Now'!AC$7,4),'Base Metals - Q&amp;V'!$I$8:$I$250,3)+
SUMIFS('Base Metals - Q&amp;V'!$C$8:$C$250,'Base Metals - Q&amp;V'!$H$8:$H$250,LEFT('FY Q&amp;V 2003-04 to Now'!AC$7,4),'Base Metals - Q&amp;V'!$I$8:$I$250,4)+
SUMIFS('Base Metals - Q&amp;V'!$C$8:$C$250,'Base Metals - Q&amp;V'!$H$8:$H$250,CONCATENATE("20",RIGHT('FY Q&amp;V 2003-04 to Now'!AC$7,2)),'Base Metals - Q&amp;V'!$I$8:$I$250,1)+
SUMIFS('Base Metals - Q&amp;V'!$C$8:$C$250,'Base Metals - Q&amp;V'!$H$8:$H$250,CONCATENATE("20",RIGHT('FY Q&amp;V 2003-04 to Now'!AC$7,2)),'Base Metals - Q&amp;V'!$I$8:$I$250,2))*1000000</f>
        <v>1240528049</v>
      </c>
      <c r="AE17" s="1240">
        <f>(SUMIFS('Base Metals - Q&amp;V'!$B$8:$B$250,'Base Metals - Q&amp;V'!$H$8:$H$250,LEFT('FY Q&amp;V 2003-04 to Now'!AE$7,4),'Base Metals - Q&amp;V'!$I$8:$I$250,3)+
SUMIFS('Base Metals - Q&amp;V'!$B$8:$B$250,'Base Metals - Q&amp;V'!$H$8:$H$250,LEFT('FY Q&amp;V 2003-04 to Now'!AE$7:AF$7,4),'Base Metals - Q&amp;V'!$I$8:$I$250,4)+
SUMIFS('Base Metals - Q&amp;V'!$B$8:$B$250,'Base Metals - Q&amp;V'!$H$8:$H$250,CONCATENATE("20",RIGHT('FY Q&amp;V 2003-04 to Now'!AE$7,2)),'Base Metals - Q&amp;V'!$I$8:$I$250,1)+
SUMIFS('Base Metals - Q&amp;V'!$B$8:$B$250,'Base Metals - Q&amp;V'!$H$8:$H$250,CONCATENATE("20",RIGHT('FY Q&amp;V 2003-04 to Now'!AE$7,2)),'Base Metals - Q&amp;V'!$I$8:$I$250,2))*1000</f>
        <v>174073.62299999999</v>
      </c>
      <c r="AF17" s="894">
        <f>(SUMIFS('Base Metals - Q&amp;V'!$C$8:$C$250,'Base Metals - Q&amp;V'!$H$8:$H$250,LEFT('FY Q&amp;V 2003-04 to Now'!AE$7,4),'Base Metals - Q&amp;V'!$I$8:$I$250,3)+
SUMIFS('Base Metals - Q&amp;V'!$C$8:$C$250,'Base Metals - Q&amp;V'!$H$8:$H$250,LEFT('FY Q&amp;V 2003-04 to Now'!AE$7,4),'Base Metals - Q&amp;V'!$I$8:$I$250,4)+
SUMIFS('Base Metals - Q&amp;V'!$C$8:$C$250,'Base Metals - Q&amp;V'!$H$8:$H$250,CONCATENATE("20",RIGHT('FY Q&amp;V 2003-04 to Now'!AE$7,2)),'Base Metals - Q&amp;V'!$I$8:$I$250,1)+
SUMIFS('Base Metals - Q&amp;V'!$C$8:$C$250,'Base Metals - Q&amp;V'!$H$8:$H$250,CONCATENATE("20",RIGHT('FY Q&amp;V 2003-04 to Now'!AE$7,2)),'Base Metals - Q&amp;V'!$I$8:$I$250,2))*1000000</f>
        <v>1347798370.9999998</v>
      </c>
      <c r="AG17" s="1240">
        <f>(SUMIFS('Base Metals - Q&amp;V'!$B$8:$B$250,'Base Metals - Q&amp;V'!$H$8:$H$250,LEFT('FY Q&amp;V 2003-04 to Now'!AG$7,4),'Base Metals - Q&amp;V'!$I$8:$I$250,3)+
SUMIFS('Base Metals - Q&amp;V'!$B$8:$B$250,'Base Metals - Q&amp;V'!$H$8:$H$250,LEFT('FY Q&amp;V 2003-04 to Now'!AG$7:AH$7,4),'Base Metals - Q&amp;V'!$I$8:$I$250,4)+
SUMIFS('Base Metals - Q&amp;V'!$B$8:$B$250,'Base Metals - Q&amp;V'!$H$8:$H$250,CONCATENATE("20",RIGHT('FY Q&amp;V 2003-04 to Now'!AG$7,2)),'Base Metals - Q&amp;V'!$I$8:$I$250,1)+
SUMIFS('Base Metals - Q&amp;V'!$B$8:$B$250,'Base Metals - Q&amp;V'!$H$8:$H$250,CONCATENATE("20",RIGHT('FY Q&amp;V 2003-04 to Now'!AG$7,2)),'Base Metals - Q&amp;V'!$I$8:$I$250,2))*1000</f>
        <v>162337.51799999998</v>
      </c>
      <c r="AH17" s="894">
        <f>(SUMIFS('Base Metals - Q&amp;V'!$C$8:$C$250,'Base Metals - Q&amp;V'!$H$8:$H$250,LEFT('FY Q&amp;V 2003-04 to Now'!AG$7,4),'Base Metals - Q&amp;V'!$I$8:$I$250,3)+
SUMIFS('Base Metals - Q&amp;V'!$C$8:$C$250,'Base Metals - Q&amp;V'!$H$8:$H$250,LEFT('FY Q&amp;V 2003-04 to Now'!AG$7,4),'Base Metals - Q&amp;V'!$I$8:$I$250,4)+
SUMIFS('Base Metals - Q&amp;V'!$C$8:$C$250,'Base Metals - Q&amp;V'!$H$8:$H$250,CONCATENATE("20",RIGHT('FY Q&amp;V 2003-04 to Now'!AG$7,2)),'Base Metals - Q&amp;V'!$I$8:$I$250,1)+
SUMIFS('Base Metals - Q&amp;V'!$C$8:$C$250,'Base Metals - Q&amp;V'!$H$8:$H$250,CONCATENATE("20",RIGHT('FY Q&amp;V 2003-04 to Now'!AG$7,2)),'Base Metals - Q&amp;V'!$I$8:$I$250,2))*1000000</f>
        <v>1319598380.9999998</v>
      </c>
      <c r="AI17" s="954">
        <f>SUMIF($C$9:AH$9,1,$C17:AH17)</f>
        <v>2324129.4457690003</v>
      </c>
      <c r="AJ17" s="955">
        <f>SUMIF($C$9:AH$9,0,$C17:AH17)</f>
        <v>16725680448.450001</v>
      </c>
    </row>
    <row r="18" spans="1:36">
      <c r="A18" s="886" t="s">
        <v>333</v>
      </c>
      <c r="B18" s="594" t="s">
        <v>110</v>
      </c>
      <c r="C18" s="893">
        <f>(SUMIFS('Base Metals - Q&amp;V'!$D$8:$D$250,'Base Metals - Q&amp;V'!$H$8:$H$250,LEFT('FY Q&amp;V 2003-04 to Now'!C$7,4),'Base Metals - Q&amp;V'!$I$8:$I$250,3)+
SUMIFS('Base Metals - Q&amp;V'!$D$8:$D$250,'Base Metals - Q&amp;V'!$H$8:$H$250,LEFT('FY Q&amp;V 2003-04 to Now'!C$7:D$7,4),'Base Metals - Q&amp;V'!$I$8:$I$250,4)+
SUMIFS('Base Metals - Q&amp;V'!$D$8:$D$250,'Base Metals - Q&amp;V'!$H$8:$H$250,CONCATENATE("20",RIGHT('FY Q&amp;V 2003-04 to Now'!C$7,2)),'Base Metals - Q&amp;V'!$I$8:$I$250,1)+
SUMIFS('Base Metals - Q&amp;V'!$D$8:$D$250,'Base Metals - Q&amp;V'!$H$8:$H$250,CONCATENATE("20",RIGHT('FY Q&amp;V 2003-04 to Now'!C$7,2)),'Base Metals - Q&amp;V'!$I$8:$I$250,2))*1000</f>
        <v>23393</v>
      </c>
      <c r="D18" s="894">
        <f>(SUMIFS('Base Metals - Q&amp;V'!$E$8:$E$250,'Base Metals - Q&amp;V'!$H$8:$H$250,LEFT('FY Q&amp;V 2003-04 to Now'!C$7,4),'Base Metals - Q&amp;V'!$I$8:$I$250,3)+
SUMIFS('Base Metals - Q&amp;V'!$E$8:$E$250,'Base Metals - Q&amp;V'!$H$8:$H$250,LEFT('FY Q&amp;V 2003-04 to Now'!C$7,4),'Base Metals - Q&amp;V'!$I$8:$I$250,4)+
SUMIFS('Base Metals - Q&amp;V'!$E$8:$E$250,'Base Metals - Q&amp;V'!$H$8:$H$250,CONCATENATE("20",RIGHT('FY Q&amp;V 2003-04 to Now'!C$7,2)),'Base Metals - Q&amp;V'!$I$8:$I$250,1)+
SUMIFS('Base Metals - Q&amp;V'!$E$8:$E$250,'Base Metals - Q&amp;V'!$H$8:$H$250,CONCATENATE("20",RIGHT('FY Q&amp;V 2003-04 to Now'!C$7,2)),'Base Metals - Q&amp;V'!$I$8:$I$250,2))*1000000</f>
        <v>11971687.92</v>
      </c>
      <c r="E18" s="893">
        <f>(SUMIFS('Base Metals - Q&amp;V'!$D$8:$D$250,'Base Metals - Q&amp;V'!$H$8:$H$250,LEFT('FY Q&amp;V 2003-04 to Now'!E$7,4),'Base Metals - Q&amp;V'!$I$8:$I$250,3)+
SUMIFS('Base Metals - Q&amp;V'!$D$8:$D$250,'Base Metals - Q&amp;V'!$H$8:$H$250,LEFT('FY Q&amp;V 2003-04 to Now'!E$7:F$7,4),'Base Metals - Q&amp;V'!$I$8:$I$250,4)+
SUMIFS('Base Metals - Q&amp;V'!$D$8:$D$250,'Base Metals - Q&amp;V'!$H$8:$H$250,CONCATENATE("20",RIGHT('FY Q&amp;V 2003-04 to Now'!E$7,2)),'Base Metals - Q&amp;V'!$I$8:$I$250,1)+
SUMIFS('Base Metals - Q&amp;V'!$D$8:$D$250,'Base Metals - Q&amp;V'!$H$8:$H$250,CONCATENATE("20",RIGHT('FY Q&amp;V 2003-04 to Now'!E$7,2)),'Base Metals - Q&amp;V'!$I$8:$I$250,2))*1000</f>
        <v>2324.3399999999997</v>
      </c>
      <c r="F18" s="894">
        <f>(SUMIFS('Base Metals - Q&amp;V'!$E$8:$E$250,'Base Metals - Q&amp;V'!$H$8:$H$250,LEFT('FY Q&amp;V 2003-04 to Now'!E$7,4),'Base Metals - Q&amp;V'!$I$8:$I$250,3)+
SUMIFS('Base Metals - Q&amp;V'!$E$8:$E$250,'Base Metals - Q&amp;V'!$H$8:$H$250,LEFT('FY Q&amp;V 2003-04 to Now'!E$7,4),'Base Metals - Q&amp;V'!$I$8:$I$250,4)+
SUMIFS('Base Metals - Q&amp;V'!$E$8:$E$250,'Base Metals - Q&amp;V'!$H$8:$H$250,CONCATENATE("20",RIGHT('FY Q&amp;V 2003-04 to Now'!E$7,2)),'Base Metals - Q&amp;V'!$I$8:$I$250,1)+
SUMIFS('Base Metals - Q&amp;V'!$E$8:$E$250,'Base Metals - Q&amp;V'!$H$8:$H$250,CONCATENATE("20",RIGHT('FY Q&amp;V 2003-04 to Now'!E$7,2)),'Base Metals - Q&amp;V'!$I$8:$I$250,2))*1000000</f>
        <v>3006367.22</v>
      </c>
      <c r="G18" s="893">
        <f>(SUMIFS('Base Metals - Q&amp;V'!$D$8:$D$250,'Base Metals - Q&amp;V'!$H$8:$H$250,LEFT('FY Q&amp;V 2003-04 to Now'!G$7,4),'Base Metals - Q&amp;V'!$I$8:$I$250,3)+
SUMIFS('Base Metals - Q&amp;V'!$D$8:$D$250,'Base Metals - Q&amp;V'!$H$8:$H$250,LEFT('FY Q&amp;V 2003-04 to Now'!G$7:H$7,4),'Base Metals - Q&amp;V'!$I$8:$I$250,4)+
SUMIFS('Base Metals - Q&amp;V'!$D$8:$D$250,'Base Metals - Q&amp;V'!$H$8:$H$250,CONCATENATE("20",RIGHT('FY Q&amp;V 2003-04 to Now'!G$7,2)),'Base Metals - Q&amp;V'!$I$8:$I$250,1)+
SUMIFS('Base Metals - Q&amp;V'!$D$8:$D$250,'Base Metals - Q&amp;V'!$H$8:$H$250,CONCATENATE("20",RIGHT('FY Q&amp;V 2003-04 to Now'!G$7,2)),'Base Metals - Q&amp;V'!$I$8:$I$250,2))*1000</f>
        <v>57265.385999999999</v>
      </c>
      <c r="H18" s="894">
        <f>(SUMIFS('Base Metals - Q&amp;V'!$E$8:$E$250,'Base Metals - Q&amp;V'!$H$8:$H$250,LEFT('FY Q&amp;V 2003-04 to Now'!G$7,4),'Base Metals - Q&amp;V'!$I$8:$I$250,3)+
SUMIFS('Base Metals - Q&amp;V'!$E$8:$E$250,'Base Metals - Q&amp;V'!$H$8:$H$250,LEFT('FY Q&amp;V 2003-04 to Now'!G$7,4),'Base Metals - Q&amp;V'!$I$8:$I$250,4)+
SUMIFS('Base Metals - Q&amp;V'!$E$8:$E$250,'Base Metals - Q&amp;V'!$H$8:$H$250,CONCATENATE("20",RIGHT('FY Q&amp;V 2003-04 to Now'!G$7,2)),'Base Metals - Q&amp;V'!$I$8:$I$250,1)+
SUMIFS('Base Metals - Q&amp;V'!$E$8:$E$250,'Base Metals - Q&amp;V'!$H$8:$H$250,CONCATENATE("20",RIGHT('FY Q&amp;V 2003-04 to Now'!G$7,2)),'Base Metals - Q&amp;V'!$I$8:$I$250,2))*1000000</f>
        <v>84970520.390000001</v>
      </c>
      <c r="I18" s="893">
        <f>(SUMIFS('Base Metals - Q&amp;V'!$D$8:$D$250,'Base Metals - Q&amp;V'!$H$8:$H$250,LEFT('FY Q&amp;V 2003-04 to Now'!I$7,4),'Base Metals - Q&amp;V'!$I$8:$I$250,3)+
SUMIFS('Base Metals - Q&amp;V'!$D$8:$D$250,'Base Metals - Q&amp;V'!$H$8:$H$250,LEFT('FY Q&amp;V 2003-04 to Now'!I$7:J$7,4),'Base Metals - Q&amp;V'!$I$8:$I$250,4)+
SUMIFS('Base Metals - Q&amp;V'!$D$8:$D$250,'Base Metals - Q&amp;V'!$H$8:$H$250,CONCATENATE("20",RIGHT('FY Q&amp;V 2003-04 to Now'!I$7,2)),'Base Metals - Q&amp;V'!$I$8:$I$250,1)+
SUMIFS('Base Metals - Q&amp;V'!$D$8:$D$250,'Base Metals - Q&amp;V'!$H$8:$H$250,CONCATENATE("20",RIGHT('FY Q&amp;V 2003-04 to Now'!I$7,2)),'Base Metals - Q&amp;V'!$I$8:$I$250,2))*1000</f>
        <v>59563.004000000001</v>
      </c>
      <c r="J18" s="894">
        <f>(SUMIFS('Base Metals - Q&amp;V'!$E$8:$E$250,'Base Metals - Q&amp;V'!$H$8:$H$250,LEFT('FY Q&amp;V 2003-04 to Now'!I$7,4),'Base Metals - Q&amp;V'!$I$8:$I$250,3)+
SUMIFS('Base Metals - Q&amp;V'!$E$8:$E$250,'Base Metals - Q&amp;V'!$H$8:$H$250,LEFT('FY Q&amp;V 2003-04 to Now'!I$7,4),'Base Metals - Q&amp;V'!$I$8:$I$250,4)+
SUMIFS('Base Metals - Q&amp;V'!$E$8:$E$250,'Base Metals - Q&amp;V'!$H$8:$H$250,CONCATENATE("20",RIGHT('FY Q&amp;V 2003-04 to Now'!I$7,2)),'Base Metals - Q&amp;V'!$I$8:$I$250,1)+
SUMIFS('Base Metals - Q&amp;V'!$E$8:$E$250,'Base Metals - Q&amp;V'!$H$8:$H$250,CONCATENATE("20",RIGHT('FY Q&amp;V 2003-04 to Now'!I$7,2)),'Base Metals - Q&amp;V'!$I$8:$I$250,2))*1000000</f>
        <v>127759765.98</v>
      </c>
      <c r="K18" s="893">
        <f>(SUMIFS('Base Metals - Q&amp;V'!$D$8:$D$250,'Base Metals - Q&amp;V'!$H$8:$H$250,LEFT('FY Q&amp;V 2003-04 to Now'!K$7,4),'Base Metals - Q&amp;V'!$I$8:$I$250,3)+
SUMIFS('Base Metals - Q&amp;V'!$D$8:$D$250,'Base Metals - Q&amp;V'!$H$8:$H$250,LEFT('FY Q&amp;V 2003-04 to Now'!K$7:L$7,4),'Base Metals - Q&amp;V'!$I$8:$I$250,4)+
SUMIFS('Base Metals - Q&amp;V'!$D$8:$D$250,'Base Metals - Q&amp;V'!$H$8:$H$250,CONCATENATE("20",RIGHT('FY Q&amp;V 2003-04 to Now'!K$7,2)),'Base Metals - Q&amp;V'!$I$8:$I$250,1)+
SUMIFS('Base Metals - Q&amp;V'!$D$8:$D$250,'Base Metals - Q&amp;V'!$H$8:$H$250,CONCATENATE("20",RIGHT('FY Q&amp;V 2003-04 to Now'!K$7,2)),'Base Metals - Q&amp;V'!$I$8:$I$250,2))*1000</f>
        <v>25851.064999999999</v>
      </c>
      <c r="L18" s="894">
        <f>(SUMIFS('Base Metals - Q&amp;V'!$E$8:$E$250,'Base Metals - Q&amp;V'!$H$8:$H$250,LEFT('FY Q&amp;V 2003-04 to Now'!K$7,4),'Base Metals - Q&amp;V'!$I$8:$I$250,3)+
SUMIFS('Base Metals - Q&amp;V'!$E$8:$E$250,'Base Metals - Q&amp;V'!$H$8:$H$250,LEFT('FY Q&amp;V 2003-04 to Now'!K$7,4),'Base Metals - Q&amp;V'!$I$8:$I$250,4)+
SUMIFS('Base Metals - Q&amp;V'!$E$8:$E$250,'Base Metals - Q&amp;V'!$H$8:$H$250,CONCATENATE("20",RIGHT('FY Q&amp;V 2003-04 to Now'!K$7,2)),'Base Metals - Q&amp;V'!$I$8:$I$250,1)+
SUMIFS('Base Metals - Q&amp;V'!$E$8:$E$250,'Base Metals - Q&amp;V'!$H$8:$H$250,CONCATENATE("20",RIGHT('FY Q&amp;V 2003-04 to Now'!K$7,2)),'Base Metals - Q&amp;V'!$I$8:$I$250,2))*1000000</f>
        <v>63313165.580000006</v>
      </c>
      <c r="M18" s="893">
        <f>(SUMIFS('Base Metals - Q&amp;V'!$D$8:$D$250,'Base Metals - Q&amp;V'!$H$8:$H$250,LEFT('FY Q&amp;V 2003-04 to Now'!M$7,4),'Base Metals - Q&amp;V'!$I$8:$I$250,3)+
SUMIFS('Base Metals - Q&amp;V'!$D$8:$D$250,'Base Metals - Q&amp;V'!$H$8:$H$250,LEFT('FY Q&amp;V 2003-04 to Now'!M$7:N$7,4),'Base Metals - Q&amp;V'!$I$8:$I$250,4)+
SUMIFS('Base Metals - Q&amp;V'!$D$8:$D$250,'Base Metals - Q&amp;V'!$H$8:$H$250,CONCATENATE("20",RIGHT('FY Q&amp;V 2003-04 to Now'!M$7,2)),'Base Metals - Q&amp;V'!$I$8:$I$250,1)+
SUMIFS('Base Metals - Q&amp;V'!$D$8:$D$250,'Base Metals - Q&amp;V'!$H$8:$H$250,CONCATENATE("20",RIGHT('FY Q&amp;V 2003-04 to Now'!M$7,2)),'Base Metals - Q&amp;V'!$I$8:$I$250,2))*1000</f>
        <v>25203.105</v>
      </c>
      <c r="N18" s="894">
        <f>(SUMIFS('Base Metals - Q&amp;V'!$E$8:$E$250,'Base Metals - Q&amp;V'!$H$8:$H$250,LEFT('FY Q&amp;V 2003-04 to Now'!M$7,4),'Base Metals - Q&amp;V'!$I$8:$I$250,3)+
SUMIFS('Base Metals - Q&amp;V'!$E$8:$E$250,'Base Metals - Q&amp;V'!$H$8:$H$250,LEFT('FY Q&amp;V 2003-04 to Now'!M$7,4),'Base Metals - Q&amp;V'!$I$8:$I$250,4)+
SUMIFS('Base Metals - Q&amp;V'!$E$8:$E$250,'Base Metals - Q&amp;V'!$H$8:$H$250,CONCATENATE("20",RIGHT('FY Q&amp;V 2003-04 to Now'!M$7,2)),'Base Metals - Q&amp;V'!$I$8:$I$250,1)+
SUMIFS('Base Metals - Q&amp;V'!$E$8:$E$250,'Base Metals - Q&amp;V'!$H$8:$H$250,CONCATENATE("20",RIGHT('FY Q&amp;V 2003-04 to Now'!M$7,2)),'Base Metals - Q&amp;V'!$I$8:$I$250,2))*1000000</f>
        <v>42115327.649999999</v>
      </c>
      <c r="O18" s="893">
        <f>(SUMIFS('Base Metals - Q&amp;V'!$D$8:$D$250,'Base Metals - Q&amp;V'!$H$8:$H$250,LEFT('FY Q&amp;V 2003-04 to Now'!O$7,4),'Base Metals - Q&amp;V'!$I$8:$I$250,3)+
SUMIFS('Base Metals - Q&amp;V'!$D$8:$D$250,'Base Metals - Q&amp;V'!$H$8:$H$250,LEFT('FY Q&amp;V 2003-04 to Now'!O$7:P$7,4),'Base Metals - Q&amp;V'!$I$8:$I$250,4)+
SUMIFS('Base Metals - Q&amp;V'!$D$8:$D$250,'Base Metals - Q&amp;V'!$H$8:$H$250,CONCATENATE("20",RIGHT('FY Q&amp;V 2003-04 to Now'!O$7,2)),'Base Metals - Q&amp;V'!$I$8:$I$250,1)+
SUMIFS('Base Metals - Q&amp;V'!$D$8:$D$250,'Base Metals - Q&amp;V'!$H$8:$H$250,CONCATENATE("20",RIGHT('FY Q&amp;V 2003-04 to Now'!O$7,2)),'Base Metals - Q&amp;V'!$I$8:$I$250,2))*1000</f>
        <v>26011.457999999999</v>
      </c>
      <c r="P18" s="894">
        <f>(SUMIFS('Base Metals - Q&amp;V'!$E$8:$E$250,'Base Metals - Q&amp;V'!$H$8:$H$250,LEFT('FY Q&amp;V 2003-04 to Now'!O$7,4),'Base Metals - Q&amp;V'!$I$8:$I$250,3)+
SUMIFS('Base Metals - Q&amp;V'!$E$8:$E$250,'Base Metals - Q&amp;V'!$H$8:$H$250,LEFT('FY Q&amp;V 2003-04 to Now'!O$7,4),'Base Metals - Q&amp;V'!$I$8:$I$250,4)+
SUMIFS('Base Metals - Q&amp;V'!$E$8:$E$250,'Base Metals - Q&amp;V'!$H$8:$H$250,CONCATENATE("20",RIGHT('FY Q&amp;V 2003-04 to Now'!O$7,2)),'Base Metals - Q&amp;V'!$I$8:$I$250,1)+
SUMIFS('Base Metals - Q&amp;V'!$E$8:$E$250,'Base Metals - Q&amp;V'!$H$8:$H$250,CONCATENATE("20",RIGHT('FY Q&amp;V 2003-04 to Now'!O$7,2)),'Base Metals - Q&amp;V'!$I$8:$I$250,2))*1000000</f>
        <v>61554965.920000002</v>
      </c>
      <c r="Q18" s="893">
        <f>(SUMIFS('Base Metals - Q&amp;V'!$D$8:$D$250,'Base Metals - Q&amp;V'!$H$8:$H$250,LEFT('FY Q&amp;V 2003-04 to Now'!Q$7,4),'Base Metals - Q&amp;V'!$I$8:$I$250,3)+
SUMIFS('Base Metals - Q&amp;V'!$D$8:$D$250,'Base Metals - Q&amp;V'!$H$8:$H$250,LEFT('FY Q&amp;V 2003-04 to Now'!Q$7:R$7,4),'Base Metals - Q&amp;V'!$I$8:$I$250,4)+
SUMIFS('Base Metals - Q&amp;V'!$D$8:$D$250,'Base Metals - Q&amp;V'!$H$8:$H$250,CONCATENATE("20",RIGHT('FY Q&amp;V 2003-04 to Now'!Q$7,2)),'Base Metals - Q&amp;V'!$I$8:$I$250,1)+
SUMIFS('Base Metals - Q&amp;V'!$D$8:$D$250,'Base Metals - Q&amp;V'!$H$8:$H$250,CONCATENATE("20",RIGHT('FY Q&amp;V 2003-04 to Now'!Q$7,2)),'Base Metals - Q&amp;V'!$I$8:$I$250,2))*1000</f>
        <v>40763.701000000008</v>
      </c>
      <c r="R18" s="894">
        <f>(SUMIFS('Base Metals - Q&amp;V'!$E$8:$E$250,'Base Metals - Q&amp;V'!$H$8:$H$250,LEFT('FY Q&amp;V 2003-04 to Now'!Q$7,4),'Base Metals - Q&amp;V'!$I$8:$I$250,3)+
SUMIFS('Base Metals - Q&amp;V'!$E$8:$E$250,'Base Metals - Q&amp;V'!$H$8:$H$250,LEFT('FY Q&amp;V 2003-04 to Now'!Q$7,4),'Base Metals - Q&amp;V'!$I$8:$I$250,4)+
SUMIFS('Base Metals - Q&amp;V'!$E$8:$E$250,'Base Metals - Q&amp;V'!$H$8:$H$250,CONCATENATE("20",RIGHT('FY Q&amp;V 2003-04 to Now'!Q$7,2)),'Base Metals - Q&amp;V'!$I$8:$I$250,1)+
SUMIFS('Base Metals - Q&amp;V'!$E$8:$E$250,'Base Metals - Q&amp;V'!$H$8:$H$250,CONCATENATE("20",RIGHT('FY Q&amp;V 2003-04 to Now'!Q$7,2)),'Base Metals - Q&amp;V'!$I$8:$I$250,2))*1000000</f>
        <v>100068469.13</v>
      </c>
      <c r="S18" s="893">
        <f>(SUMIFS('Base Metals - Q&amp;V'!$D$8:$D$250,'Base Metals - Q&amp;V'!$H$8:$H$250,LEFT('FY Q&amp;V 2003-04 to Now'!S$7,4),'Base Metals - Q&amp;V'!$I$8:$I$250,3)+
SUMIFS('Base Metals - Q&amp;V'!$D$8:$D$250,'Base Metals - Q&amp;V'!$H$8:$H$250,LEFT('FY Q&amp;V 2003-04 to Now'!S$7:T$7,4),'Base Metals - Q&amp;V'!$I$8:$I$250,4)+
SUMIFS('Base Metals - Q&amp;V'!$D$8:$D$250,'Base Metals - Q&amp;V'!$H$8:$H$250,CONCATENATE("20",RIGHT('FY Q&amp;V 2003-04 to Now'!S$7,2)),'Base Metals - Q&amp;V'!$I$8:$I$250,1)+
SUMIFS('Base Metals - Q&amp;V'!$D$8:$D$250,'Base Metals - Q&amp;V'!$H$8:$H$250,CONCATENATE("20",RIGHT('FY Q&amp;V 2003-04 to Now'!S$7,2)),'Base Metals - Q&amp;V'!$I$8:$I$250,2))*1000</f>
        <v>6921.7059999999992</v>
      </c>
      <c r="T18" s="894">
        <f>(SUMIFS('Base Metals - Q&amp;V'!$E$8:$E$250,'Base Metals - Q&amp;V'!$H$8:$H$250,LEFT('FY Q&amp;V 2003-04 to Now'!S$7,4),'Base Metals - Q&amp;V'!$I$8:$I$250,3)+
SUMIFS('Base Metals - Q&amp;V'!$E$8:$E$250,'Base Metals - Q&amp;V'!$H$8:$H$250,LEFT('FY Q&amp;V 2003-04 to Now'!S$7,4),'Base Metals - Q&amp;V'!$I$8:$I$250,4)+
SUMIFS('Base Metals - Q&amp;V'!$E$8:$E$250,'Base Metals - Q&amp;V'!$H$8:$H$250,CONCATENATE("20",RIGHT('FY Q&amp;V 2003-04 to Now'!S$7,2)),'Base Metals - Q&amp;V'!$I$8:$I$250,1)+
SUMIFS('Base Metals - Q&amp;V'!$E$8:$E$250,'Base Metals - Q&amp;V'!$H$8:$H$250,CONCATENATE("20",RIGHT('FY Q&amp;V 2003-04 to Now'!S$7,2)),'Base Metals - Q&amp;V'!$I$8:$I$250,2))*1000000</f>
        <v>13839830.629999999</v>
      </c>
      <c r="U18" s="893">
        <f>(SUMIFS('Base Metals - Q&amp;V'!$D$8:$D$250,'Base Metals - Q&amp;V'!$H$8:$H$250,LEFT('FY Q&amp;V 2003-04 to Now'!U$7,4),'Base Metals - Q&amp;V'!$I$8:$I$250,3)+
SUMIFS('Base Metals - Q&amp;V'!$D$8:$D$250,'Base Metals - Q&amp;V'!$H$8:$H$250,LEFT('FY Q&amp;V 2003-04 to Now'!U$7:V$7,4),'Base Metals - Q&amp;V'!$I$8:$I$250,4)+
SUMIFS('Base Metals - Q&amp;V'!$D$8:$D$250,'Base Metals - Q&amp;V'!$H$8:$H$250,CONCATENATE("20",RIGHT('FY Q&amp;V 2003-04 to Now'!U$7,2)),'Base Metals - Q&amp;V'!$I$8:$I$250,1)+
SUMIFS('Base Metals - Q&amp;V'!$D$8:$D$250,'Base Metals - Q&amp;V'!$H$8:$H$250,CONCATENATE("20",RIGHT('FY Q&amp;V 2003-04 to Now'!U$7,2)),'Base Metals - Q&amp;V'!$I$8:$I$250,2))*1000</f>
        <v>16640.839999999997</v>
      </c>
      <c r="V18" s="894">
        <f>(SUMIFS('Base Metals - Q&amp;V'!$E$8:$E$250,'Base Metals - Q&amp;V'!$H$8:$H$250,LEFT('FY Q&amp;V 2003-04 to Now'!U$7,4),'Base Metals - Q&amp;V'!$I$8:$I$250,3)+
SUMIFS('Base Metals - Q&amp;V'!$E$8:$E$250,'Base Metals - Q&amp;V'!$H$8:$H$250,LEFT('FY Q&amp;V 2003-04 to Now'!U$7,4),'Base Metals - Q&amp;V'!$I$8:$I$250,4)+
SUMIFS('Base Metals - Q&amp;V'!$E$8:$E$250,'Base Metals - Q&amp;V'!$H$8:$H$250,CONCATENATE("20",RIGHT('FY Q&amp;V 2003-04 to Now'!U$7,2)),'Base Metals - Q&amp;V'!$I$8:$I$250,1)+
SUMIFS('Base Metals - Q&amp;V'!$E$8:$E$250,'Base Metals - Q&amp;V'!$H$8:$H$250,CONCATENATE("20",RIGHT('FY Q&amp;V 2003-04 to Now'!U$7,2)),'Base Metals - Q&amp;V'!$I$8:$I$250,2))*1000000</f>
        <v>35049524.680000007</v>
      </c>
      <c r="W18" s="893">
        <f>(SUMIFS('Base Metals - Q&amp;V'!$D$8:$D$250,'Base Metals - Q&amp;V'!$H$8:$H$250,LEFT('FY Q&amp;V 2003-04 to Now'!W$7,4),'Base Metals - Q&amp;V'!$I$8:$I$250,3)+
SUMIFS('Base Metals - Q&amp;V'!$D$8:$D$250,'Base Metals - Q&amp;V'!$H$8:$H$250,LEFT('FY Q&amp;V 2003-04 to Now'!W$7:X$7,4),'Base Metals - Q&amp;V'!$I$8:$I$250,4)+
SUMIFS('Base Metals - Q&amp;V'!$D$8:$D$250,'Base Metals - Q&amp;V'!$H$8:$H$250,CONCATENATE("20",RIGHT('FY Q&amp;V 2003-04 to Now'!W$7,2)),'Base Metals - Q&amp;V'!$I$8:$I$250,1)+
SUMIFS('Base Metals - Q&amp;V'!$D$8:$D$250,'Base Metals - Q&amp;V'!$H$8:$H$250,CONCATENATE("20",RIGHT('FY Q&amp;V 2003-04 to Now'!W$7,2)),'Base Metals - Q&amp;V'!$I$8:$I$250,2))*1000</f>
        <v>78650.710000000006</v>
      </c>
      <c r="X18" s="894">
        <f>(SUMIFS('Base Metals - Q&amp;V'!$E$8:$E$250,'Base Metals - Q&amp;V'!$H$8:$H$250,LEFT('FY Q&amp;V 2003-04 to Now'!W$7,4),'Base Metals - Q&amp;V'!$I$8:$I$250,3)+
SUMIFS('Base Metals - Q&amp;V'!$E$8:$E$250,'Base Metals - Q&amp;V'!$H$8:$H$250,LEFT('FY Q&amp;V 2003-04 to Now'!W$7,4),'Base Metals - Q&amp;V'!$I$8:$I$250,4)+
SUMIFS('Base Metals - Q&amp;V'!$E$8:$E$250,'Base Metals - Q&amp;V'!$H$8:$H$250,CONCATENATE("20",RIGHT('FY Q&amp;V 2003-04 to Now'!W$7,2)),'Base Metals - Q&amp;V'!$I$8:$I$250,1)+
SUMIFS('Base Metals - Q&amp;V'!$E$8:$E$250,'Base Metals - Q&amp;V'!$H$8:$H$250,CONCATENATE("20",RIGHT('FY Q&amp;V 2003-04 to Now'!W$7,2)),'Base Metals - Q&amp;V'!$I$8:$I$250,2))*1000000</f>
        <v>178764058.46000001</v>
      </c>
      <c r="Y18" s="893">
        <f>(SUMIFS('Base Metals - Q&amp;V'!$D$8:$D$250,'Base Metals - Q&amp;V'!$H$8:$H$250,LEFT('FY Q&amp;V 2003-04 to Now'!Y$7,4),'Base Metals - Q&amp;V'!$I$8:$I$250,3)+
SUMIFS('Base Metals - Q&amp;V'!$D$8:$D$250,'Base Metals - Q&amp;V'!$H$8:$H$250,LEFT('FY Q&amp;V 2003-04 to Now'!Y$7:Z$7,4),'Base Metals - Q&amp;V'!$I$8:$I$250,4)+
SUMIFS('Base Metals - Q&amp;V'!$D$8:$D$250,'Base Metals - Q&amp;V'!$H$8:$H$250,CONCATENATE("20",RIGHT('FY Q&amp;V 2003-04 to Now'!Y$7,2)),'Base Metals - Q&amp;V'!$I$8:$I$250,1)+
SUMIFS('Base Metals - Q&amp;V'!$D$8:$D$250,'Base Metals - Q&amp;V'!$H$8:$H$250,CONCATENATE("20",RIGHT('FY Q&amp;V 2003-04 to Now'!Y$7,2)),'Base Metals - Q&amp;V'!$I$8:$I$250,2))*1000</f>
        <v>59248.420000000006</v>
      </c>
      <c r="Z18" s="894">
        <f>(SUMIFS('Base Metals - Q&amp;V'!$E$8:$E$250,'Base Metals - Q&amp;V'!$H$8:$H$250,LEFT('FY Q&amp;V 2003-04 to Now'!Y$7,4),'Base Metals - Q&amp;V'!$I$8:$I$250,3)+
SUMIFS('Base Metals - Q&amp;V'!$E$8:$E$250,'Base Metals - Q&amp;V'!$H$8:$H$250,LEFT('FY Q&amp;V 2003-04 to Now'!Y$7,4),'Base Metals - Q&amp;V'!$I$8:$I$250,4)+
SUMIFS('Base Metals - Q&amp;V'!$E$8:$E$250,'Base Metals - Q&amp;V'!$H$8:$H$250,CONCATENATE("20",RIGHT('FY Q&amp;V 2003-04 to Now'!Y$7,2)),'Base Metals - Q&amp;V'!$I$8:$I$250,1)+
SUMIFS('Base Metals - Q&amp;V'!$E$8:$E$250,'Base Metals - Q&amp;V'!$H$8:$H$250,CONCATENATE("20",RIGHT('FY Q&amp;V 2003-04 to Now'!Y$7,2)),'Base Metals - Q&amp;V'!$I$8:$I$250,2))*1000000</f>
        <v>136949662.00000003</v>
      </c>
      <c r="AA18" s="893">
        <f>(SUMIFS('Base Metals - Q&amp;V'!$D$8:$D$250,'Base Metals - Q&amp;V'!$H$8:$H$250,LEFT('FY Q&amp;V 2003-04 to Now'!AA$7,4),'Base Metals - Q&amp;V'!$I$8:$I$250,3)+
SUMIFS('Base Metals - Q&amp;V'!$D$8:$D$250,'Base Metals - Q&amp;V'!$H$8:$H$250,LEFT('FY Q&amp;V 2003-04 to Now'!AA$7:AB$7,4),'Base Metals - Q&amp;V'!$I$8:$I$250,4)+
SUMIFS('Base Metals - Q&amp;V'!$D$8:$D$250,'Base Metals - Q&amp;V'!$H$8:$H$250,CONCATENATE("20",RIGHT('FY Q&amp;V 2003-04 to Now'!AA$7,2)),'Base Metals - Q&amp;V'!$I$8:$I$250,1)+
SUMIFS('Base Metals - Q&amp;V'!$D$8:$D$250,'Base Metals - Q&amp;V'!$H$8:$H$250,CONCATENATE("20",RIGHT('FY Q&amp;V 2003-04 to Now'!AA$7,2)),'Base Metals - Q&amp;V'!$I$8:$I$250,2))*1000</f>
        <v>5988</v>
      </c>
      <c r="AB18" s="894">
        <f>(SUMIFS('Base Metals - Q&amp;V'!$E$8:$E$250,'Base Metals - Q&amp;V'!$H$8:$H$250,LEFT('FY Q&amp;V 2003-04 to Now'!AA$7,4),'Base Metals - Q&amp;V'!$I$8:$I$250,3)+
SUMIFS('Base Metals - Q&amp;V'!$E$8:$E$250,'Base Metals - Q&amp;V'!$H$8:$H$250,LEFT('FY Q&amp;V 2003-04 to Now'!AA$7,4),'Base Metals - Q&amp;V'!$I$8:$I$250,4)+
SUMIFS('Base Metals - Q&amp;V'!$E$8:$E$250,'Base Metals - Q&amp;V'!$H$8:$H$250,CONCATENATE("20",RIGHT('FY Q&amp;V 2003-04 to Now'!AA$7,2)),'Base Metals - Q&amp;V'!$I$8:$I$250,1)+
SUMIFS('Base Metals - Q&amp;V'!$E$8:$E$250,'Base Metals - Q&amp;V'!$H$8:$H$250,CONCATENATE("20",RIGHT('FY Q&amp;V 2003-04 to Now'!AA$7,2)),'Base Metals - Q&amp;V'!$I$8:$I$250,2))*1000000</f>
        <v>14810595</v>
      </c>
      <c r="AC18" s="893">
        <f>(SUMIFS('Base Metals - Q&amp;V'!$D$8:$D$250,'Base Metals - Q&amp;V'!$H$8:$H$250,LEFT('FY Q&amp;V 2003-04 to Now'!AC$7,4),'Base Metals - Q&amp;V'!$I$8:$I$250,3)+
SUMIFS('Base Metals - Q&amp;V'!$D$8:$D$250,'Base Metals - Q&amp;V'!$H$8:$H$250,LEFT('FY Q&amp;V 2003-04 to Now'!AC$7:AD$7,4),'Base Metals - Q&amp;V'!$I$8:$I$250,4)+
SUMIFS('Base Metals - Q&amp;V'!$D$8:$D$250,'Base Metals - Q&amp;V'!$H$8:$H$250,CONCATENATE("20",RIGHT('FY Q&amp;V 2003-04 to Now'!AC$7,2)),'Base Metals - Q&amp;V'!$I$8:$I$250,1)+
SUMIFS('Base Metals - Q&amp;V'!$D$8:$D$250,'Base Metals - Q&amp;V'!$H$8:$H$250,CONCATENATE("20",RIGHT('FY Q&amp;V 2003-04 to Now'!AC$7,2)),'Base Metals - Q&amp;V'!$I$8:$I$250,2))*1000</f>
        <v>3507.4799999999996</v>
      </c>
      <c r="AD18" s="894">
        <f>(SUMIFS('Base Metals - Q&amp;V'!$E$8:$E$250,'Base Metals - Q&amp;V'!$H$8:$H$250,LEFT('FY Q&amp;V 2003-04 to Now'!AC$7,4),'Base Metals - Q&amp;V'!$I$8:$I$250,3)+
SUMIFS('Base Metals - Q&amp;V'!$E$8:$E$250,'Base Metals - Q&amp;V'!$H$8:$H$250,LEFT('FY Q&amp;V 2003-04 to Now'!AC$7,4),'Base Metals - Q&amp;V'!$I$8:$I$250,4)+
SUMIFS('Base Metals - Q&amp;V'!$E$8:$E$250,'Base Metals - Q&amp;V'!$H$8:$H$250,CONCATENATE("20",RIGHT('FY Q&amp;V 2003-04 to Now'!AC$7,2)),'Base Metals - Q&amp;V'!$I$8:$I$250,1)+
SUMIFS('Base Metals - Q&amp;V'!$E$8:$E$250,'Base Metals - Q&amp;V'!$H$8:$H$250,CONCATENATE("20",RIGHT('FY Q&amp;V 2003-04 to Now'!AC$7,2)),'Base Metals - Q&amp;V'!$I$8:$I$250,2))*1000000</f>
        <v>10146717</v>
      </c>
      <c r="AE18" s="1240">
        <f>(SUMIFS('Base Metals - Q&amp;V'!$D$8:$D$250,'Base Metals - Q&amp;V'!$H$8:$H$250,LEFT('FY Q&amp;V 2003-04 to Now'!AE$7,4),'Base Metals - Q&amp;V'!$I$8:$I$250,3)+
SUMIFS('Base Metals - Q&amp;V'!$D$8:$D$250,'Base Metals - Q&amp;V'!$H$8:$H$250,LEFT('FY Q&amp;V 2003-04 to Now'!AE$7:AF$7,4),'Base Metals - Q&amp;V'!$I$8:$I$250,4)+
SUMIFS('Base Metals - Q&amp;V'!$D$8:$D$250,'Base Metals - Q&amp;V'!$H$8:$H$250,CONCATENATE("20",RIGHT('FY Q&amp;V 2003-04 to Now'!AE$7,2)),'Base Metals - Q&amp;V'!$I$8:$I$250,1)+
SUMIFS('Base Metals - Q&amp;V'!$D$8:$D$250,'Base Metals - Q&amp;V'!$H$8:$H$250,CONCATENATE("20",RIGHT('FY Q&amp;V 2003-04 to Now'!AE$7,2)),'Base Metals - Q&amp;V'!$I$8:$I$250,2))*1000</f>
        <v>7397.2800000000007</v>
      </c>
      <c r="AF18" s="894">
        <f>(SUMIFS('Base Metals - Q&amp;V'!$E$8:$E$250,'Base Metals - Q&amp;V'!$H$8:$H$250,LEFT('FY Q&amp;V 2003-04 to Now'!AE$7,4),'Base Metals - Q&amp;V'!$I$8:$I$250,3)+
SUMIFS('Base Metals - Q&amp;V'!$E$8:$E$250,'Base Metals - Q&amp;V'!$H$8:$H$250,LEFT('FY Q&amp;V 2003-04 to Now'!AE$7,4),'Base Metals - Q&amp;V'!$I$8:$I$250,4)+
SUMIFS('Base Metals - Q&amp;V'!$E$8:$E$250,'Base Metals - Q&amp;V'!$H$8:$H$250,CONCATENATE("20",RIGHT('FY Q&amp;V 2003-04 to Now'!AE$7,2)),'Base Metals - Q&amp;V'!$I$8:$I$250,1)+
SUMIFS('Base Metals - Q&amp;V'!$E$8:$E$250,'Base Metals - Q&amp;V'!$H$8:$H$250,CONCATENATE("20",RIGHT('FY Q&amp;V 2003-04 to Now'!AE$7,2)),'Base Metals - Q&amp;V'!$I$8:$I$250,2))*1000000</f>
        <v>22799222.999999996</v>
      </c>
      <c r="AG18" s="1240">
        <f>(SUMIFS('Base Metals - Q&amp;V'!$D$8:$D$250,'Base Metals - Q&amp;V'!$H$8:$H$250,LEFT('FY Q&amp;V 2003-04 to Now'!AG$7,4),'Base Metals - Q&amp;V'!$I$8:$I$250,3)+
SUMIFS('Base Metals - Q&amp;V'!$D$8:$D$250,'Base Metals - Q&amp;V'!$H$8:$H$250,LEFT('FY Q&amp;V 2003-04 to Now'!AG$7:AH$7,4),'Base Metals - Q&amp;V'!$I$8:$I$250,4)+
SUMIFS('Base Metals - Q&amp;V'!$D$8:$D$250,'Base Metals - Q&amp;V'!$H$8:$H$250,CONCATENATE("20",RIGHT('FY Q&amp;V 2003-04 to Now'!AG$7,2)),'Base Metals - Q&amp;V'!$I$8:$I$250,1)+
SUMIFS('Base Metals - Q&amp;V'!$D$8:$D$250,'Base Metals - Q&amp;V'!$H$8:$H$250,CONCATENATE("20",RIGHT('FY Q&amp;V 2003-04 to Now'!AG$7,2)),'Base Metals - Q&amp;V'!$I$8:$I$250,2))*1000</f>
        <v>4852.01</v>
      </c>
      <c r="AH18" s="894">
        <f>(SUMIFS('Base Metals - Q&amp;V'!$E$8:$E$250,'Base Metals - Q&amp;V'!$H$8:$H$250,LEFT('FY Q&amp;V 2003-04 to Now'!AG$7,4),'Base Metals - Q&amp;V'!$I$8:$I$250,3)+
SUMIFS('Base Metals - Q&amp;V'!$E$8:$E$250,'Base Metals - Q&amp;V'!$H$8:$H$250,LEFT('FY Q&amp;V 2003-04 to Now'!AG$7,4),'Base Metals - Q&amp;V'!$I$8:$I$250,4)+
SUMIFS('Base Metals - Q&amp;V'!$E$8:$E$250,'Base Metals - Q&amp;V'!$H$8:$H$250,CONCATENATE("20",RIGHT('FY Q&amp;V 2003-04 to Now'!AG$7,2)),'Base Metals - Q&amp;V'!$I$8:$I$250,1)+
SUMIFS('Base Metals - Q&amp;V'!$E$8:$E$250,'Base Metals - Q&amp;V'!$H$8:$H$250,CONCATENATE("20",RIGHT('FY Q&amp;V 2003-04 to Now'!AG$7,2)),'Base Metals - Q&amp;V'!$I$8:$I$250,2))*1000000</f>
        <v>13344177.000000002</v>
      </c>
      <c r="AI18" s="954">
        <f>SUMIF($C$9:AH$9,1,$C18:AH18)</f>
        <v>443581.505</v>
      </c>
      <c r="AJ18" s="955">
        <f>SUMIF($C$9:AH$9,0,$C18:AH18)</f>
        <v>920464057.55999994</v>
      </c>
    </row>
    <row r="19" spans="1:36">
      <c r="A19" s="886" t="s">
        <v>334</v>
      </c>
      <c r="B19" s="594" t="s">
        <v>110</v>
      </c>
      <c r="C19" s="893">
        <f>(SUMIFS('Base Metals - Q&amp;V'!$F$8:$F$250,'Base Metals - Q&amp;V'!$H$8:$H$250,LEFT('FY Q&amp;V 2003-04 to Now'!C$7,4),'Base Metals - Q&amp;V'!$I$8:$I$250,3)+
SUMIFS('Base Metals - Q&amp;V'!$F$8:$F$250,'Base Metals - Q&amp;V'!$H$8:$H$250,LEFT('FY Q&amp;V 2003-04 to Now'!C$7:D$7,4),'Base Metals - Q&amp;V'!$I$8:$I$250,4)+
SUMIFS('Base Metals - Q&amp;V'!$F$8:$F$250,'Base Metals - Q&amp;V'!$H$8:$H$250,CONCATENATE("20",RIGHT('FY Q&amp;V 2003-04 to Now'!C$7,2)),'Base Metals - Q&amp;V'!$I$8:$I$250,1)+
SUMIFS('Base Metals - Q&amp;V'!$F$8:$F$250,'Base Metals - Q&amp;V'!$H$8:$H$250,CONCATENATE("20",RIGHT('FY Q&amp;V 2003-04 to Now'!C$7,2)),'Base Metals - Q&amp;V'!$I$8:$I$250,2))*1000</f>
        <v>106476.63</v>
      </c>
      <c r="D19" s="894">
        <f>(SUMIFS('Base Metals - Q&amp;V'!$G$8:$G$250,'Base Metals - Q&amp;V'!$H$8:$H$250,LEFT('FY Q&amp;V 2003-04 to Now'!C$7,4),'Base Metals - Q&amp;V'!$I$8:$I$250,3)+
SUMIFS('Base Metals - Q&amp;V'!$G$8:$G$250,'Base Metals - Q&amp;V'!$H$8:$H$250,LEFT('FY Q&amp;V 2003-04 to Now'!C$7,4),'Base Metals - Q&amp;V'!$I$8:$I$250,4)+
SUMIFS('Base Metals - Q&amp;V'!$G$8:$G$250,'Base Metals - Q&amp;V'!$H$8:$H$250,CONCATENATE("20",RIGHT('FY Q&amp;V 2003-04 to Now'!C$7,2)),'Base Metals - Q&amp;V'!$I$8:$I$250,1)+
SUMIFS('Base Metals - Q&amp;V'!$G$8:$G$250,'Base Metals - Q&amp;V'!$H$8:$H$250,CONCATENATE("20",RIGHT('FY Q&amp;V 2003-04 to Now'!C$7,2)),'Base Metals - Q&amp;V'!$I$8:$I$250,2))*1000000</f>
        <v>102822632.67</v>
      </c>
      <c r="E19" s="893">
        <f>(SUMIFS('Base Metals - Q&amp;V'!$F$8:$F$250,'Base Metals - Q&amp;V'!$H$8:$H$250,LEFT('FY Q&amp;V 2003-04 to Now'!E$7,4),'Base Metals - Q&amp;V'!$I$8:$I$250,3)+
SUMIFS('Base Metals - Q&amp;V'!$F$8:$F$250,'Base Metals - Q&amp;V'!$H$8:$H$250,LEFT('FY Q&amp;V 2003-04 to Now'!E$7:F$7,4),'Base Metals - Q&amp;V'!$I$8:$I$250,4)+
SUMIFS('Base Metals - Q&amp;V'!$F$8:$F$250,'Base Metals - Q&amp;V'!$H$8:$H$250,CONCATENATE("20",RIGHT('FY Q&amp;V 2003-04 to Now'!E$7,2)),'Base Metals - Q&amp;V'!$I$8:$I$250,1)+
SUMIFS('Base Metals - Q&amp;V'!$F$8:$F$250,'Base Metals - Q&amp;V'!$H$8:$H$250,CONCATENATE("20",RIGHT('FY Q&amp;V 2003-04 to Now'!E$7,2)),'Base Metals - Q&amp;V'!$I$8:$I$250,2))*1000</f>
        <v>48400.89</v>
      </c>
      <c r="F19" s="894">
        <f>(SUMIFS('Base Metals - Q&amp;V'!$G$8:$G$250,'Base Metals - Q&amp;V'!$H$8:$H$250,LEFT('FY Q&amp;V 2003-04 to Now'!E$7,4),'Base Metals - Q&amp;V'!$I$8:$I$250,3)+
SUMIFS('Base Metals - Q&amp;V'!$G$8:$G$250,'Base Metals - Q&amp;V'!$H$8:$H$250,LEFT('FY Q&amp;V 2003-04 to Now'!E$7,4),'Base Metals - Q&amp;V'!$I$8:$I$250,4)+
SUMIFS('Base Metals - Q&amp;V'!$G$8:$G$250,'Base Metals - Q&amp;V'!$H$8:$H$250,CONCATENATE("20",RIGHT('FY Q&amp;V 2003-04 to Now'!E$7,2)),'Base Metals - Q&amp;V'!$I$8:$I$250,1)+
SUMIFS('Base Metals - Q&amp;V'!$G$8:$G$250,'Base Metals - Q&amp;V'!$H$8:$H$250,CONCATENATE("20",RIGHT('FY Q&amp;V 2003-04 to Now'!E$7,2)),'Base Metals - Q&amp;V'!$I$8:$I$250,2))*1000000</f>
        <v>72516304.789999992</v>
      </c>
      <c r="G19" s="893">
        <f>(SUMIFS('Base Metals - Q&amp;V'!$F$8:$F$250,'Base Metals - Q&amp;V'!$H$8:$H$250,LEFT('FY Q&amp;V 2003-04 to Now'!G$7,4),'Base Metals - Q&amp;V'!$I$8:$I$250,3)+
SUMIFS('Base Metals - Q&amp;V'!$F$8:$F$250,'Base Metals - Q&amp;V'!$H$8:$H$250,LEFT('FY Q&amp;V 2003-04 to Now'!G$7:H$7,4),'Base Metals - Q&amp;V'!$I$8:$I$250,4)+
SUMIFS('Base Metals - Q&amp;V'!$F$8:$F$250,'Base Metals - Q&amp;V'!$H$8:$H$250,CONCATENATE("20",RIGHT('FY Q&amp;V 2003-04 to Now'!G$7,2)),'Base Metals - Q&amp;V'!$I$8:$I$250,1)+
SUMIFS('Base Metals - Q&amp;V'!$F$8:$F$250,'Base Metals - Q&amp;V'!$H$8:$H$250,CONCATENATE("20",RIGHT('FY Q&amp;V 2003-04 to Now'!G$7,2)),'Base Metals - Q&amp;V'!$I$8:$I$250,2))*1000</f>
        <v>80007.273000000001</v>
      </c>
      <c r="H19" s="894">
        <f>(SUMIFS('Base Metals - Q&amp;V'!$G$8:$G$250,'Base Metals - Q&amp;V'!$H$8:$H$250,LEFT('FY Q&amp;V 2003-04 to Now'!G$7,4),'Base Metals - Q&amp;V'!$I$8:$I$250,3)+
SUMIFS('Base Metals - Q&amp;V'!$G$8:$G$250,'Base Metals - Q&amp;V'!$H$8:$H$250,LEFT('FY Q&amp;V 2003-04 to Now'!G$7,4),'Base Metals - Q&amp;V'!$I$8:$I$250,4)+
SUMIFS('Base Metals - Q&amp;V'!$G$8:$G$250,'Base Metals - Q&amp;V'!$H$8:$H$250,CONCATENATE("20",RIGHT('FY Q&amp;V 2003-04 to Now'!G$7,2)),'Base Metals - Q&amp;V'!$I$8:$I$250,1)+
SUMIFS('Base Metals - Q&amp;V'!$G$8:$G$250,'Base Metals - Q&amp;V'!$H$8:$H$250,CONCATENATE("20",RIGHT('FY Q&amp;V 2003-04 to Now'!G$7,2)),'Base Metals - Q&amp;V'!$I$8:$I$250,2))*1000000</f>
        <v>274244835.53000003</v>
      </c>
      <c r="I19" s="893">
        <f>(SUMIFS('Base Metals - Q&amp;V'!$F$8:$F$250,'Base Metals - Q&amp;V'!$H$8:$H$250,LEFT('FY Q&amp;V 2003-04 to Now'!I$7,4),'Base Metals - Q&amp;V'!$I$8:$I$250,3)+
SUMIFS('Base Metals - Q&amp;V'!$F$8:$F$250,'Base Metals - Q&amp;V'!$H$8:$H$250,LEFT('FY Q&amp;V 2003-04 to Now'!I$7:J$7,4),'Base Metals - Q&amp;V'!$I$8:$I$250,4)+
SUMIFS('Base Metals - Q&amp;V'!$F$8:$F$250,'Base Metals - Q&amp;V'!$H$8:$H$250,CONCATENATE("20",RIGHT('FY Q&amp;V 2003-04 to Now'!I$7,2)),'Base Metals - Q&amp;V'!$I$8:$I$250,1)+
SUMIFS('Base Metals - Q&amp;V'!$F$8:$F$250,'Base Metals - Q&amp;V'!$H$8:$H$250,CONCATENATE("20",RIGHT('FY Q&amp;V 2003-04 to Now'!I$7,2)),'Base Metals - Q&amp;V'!$I$8:$I$250,2))*1000</f>
        <v>122964.92499999999</v>
      </c>
      <c r="J19" s="894">
        <f>(SUMIFS('Base Metals - Q&amp;V'!$G$8:$G$250,'Base Metals - Q&amp;V'!$H$8:$H$250,LEFT('FY Q&amp;V 2003-04 to Now'!I$7,4),'Base Metals - Q&amp;V'!$I$8:$I$250,3)+
SUMIFS('Base Metals - Q&amp;V'!$G$8:$G$250,'Base Metals - Q&amp;V'!$H$8:$H$250,LEFT('FY Q&amp;V 2003-04 to Now'!I$7,4),'Base Metals - Q&amp;V'!$I$8:$I$250,4)+
SUMIFS('Base Metals - Q&amp;V'!$G$8:$G$250,'Base Metals - Q&amp;V'!$H$8:$H$250,CONCATENATE("20",RIGHT('FY Q&amp;V 2003-04 to Now'!I$7,2)),'Base Metals - Q&amp;V'!$I$8:$I$250,1)+
SUMIFS('Base Metals - Q&amp;V'!$G$8:$G$250,'Base Metals - Q&amp;V'!$H$8:$H$250,CONCATENATE("20",RIGHT('FY Q&amp;V 2003-04 to Now'!I$7,2)),'Base Metals - Q&amp;V'!$I$8:$I$250,2))*1000000</f>
        <v>539954783.70000005</v>
      </c>
      <c r="K19" s="893">
        <f>(SUMIFS('Base Metals - Q&amp;V'!$F$8:$F$250,'Base Metals - Q&amp;V'!$H$8:$H$250,LEFT('FY Q&amp;V 2003-04 to Now'!K$7,4),'Base Metals - Q&amp;V'!$I$8:$I$250,3)+
SUMIFS('Base Metals - Q&amp;V'!$F$8:$F$250,'Base Metals - Q&amp;V'!$H$8:$H$250,LEFT('FY Q&amp;V 2003-04 to Now'!K$7:L$7,4),'Base Metals - Q&amp;V'!$I$8:$I$250,4)+
SUMIFS('Base Metals - Q&amp;V'!$F$8:$F$250,'Base Metals - Q&amp;V'!$H$8:$H$250,CONCATENATE("20",RIGHT('FY Q&amp;V 2003-04 to Now'!K$7,2)),'Base Metals - Q&amp;V'!$I$8:$I$250,1)+
SUMIFS('Base Metals - Q&amp;V'!$F$8:$F$250,'Base Metals - Q&amp;V'!$H$8:$H$250,CONCATENATE("20",RIGHT('FY Q&amp;V 2003-04 to Now'!K$7,2)),'Base Metals - Q&amp;V'!$I$8:$I$250,2))*1000</f>
        <v>216018.26</v>
      </c>
      <c r="L19" s="894">
        <f>(SUMIFS('Base Metals - Q&amp;V'!$G$8:$G$250,'Base Metals - Q&amp;V'!$H$8:$H$250,LEFT('FY Q&amp;V 2003-04 to Now'!K$7,4),'Base Metals - Q&amp;V'!$I$8:$I$250,3)+
SUMIFS('Base Metals - Q&amp;V'!$G$8:$G$250,'Base Metals - Q&amp;V'!$H$8:$H$250,LEFT('FY Q&amp;V 2003-04 to Now'!K$7,4),'Base Metals - Q&amp;V'!$I$8:$I$250,4)+
SUMIFS('Base Metals - Q&amp;V'!$G$8:$G$250,'Base Metals - Q&amp;V'!$H$8:$H$250,CONCATENATE("20",RIGHT('FY Q&amp;V 2003-04 to Now'!K$7,2)),'Base Metals - Q&amp;V'!$I$8:$I$250,1)+
SUMIFS('Base Metals - Q&amp;V'!$G$8:$G$250,'Base Metals - Q&amp;V'!$H$8:$H$250,CONCATENATE("20",RIGHT('FY Q&amp;V 2003-04 to Now'!K$7,2)),'Base Metals - Q&amp;V'!$I$8:$I$250,2))*1000000</f>
        <v>415932401.48999995</v>
      </c>
      <c r="M19" s="893">
        <f>(SUMIFS('Base Metals - Q&amp;V'!$F$8:$F$250,'Base Metals - Q&amp;V'!$H$8:$H$250,LEFT('FY Q&amp;V 2003-04 to Now'!M$7,4),'Base Metals - Q&amp;V'!$I$8:$I$250,3)+
SUMIFS('Base Metals - Q&amp;V'!$F$8:$F$250,'Base Metals - Q&amp;V'!$H$8:$H$250,LEFT('FY Q&amp;V 2003-04 to Now'!M$7:N$7,4),'Base Metals - Q&amp;V'!$I$8:$I$250,4)+
SUMIFS('Base Metals - Q&amp;V'!$F$8:$F$250,'Base Metals - Q&amp;V'!$H$8:$H$250,CONCATENATE("20",RIGHT('FY Q&amp;V 2003-04 to Now'!M$7,2)),'Base Metals - Q&amp;V'!$I$8:$I$250,1)+
SUMIFS('Base Metals - Q&amp;V'!$F$8:$F$250,'Base Metals - Q&amp;V'!$H$8:$H$250,CONCATENATE("20",RIGHT('FY Q&amp;V 2003-04 to Now'!M$7,2)),'Base Metals - Q&amp;V'!$I$8:$I$250,2))*1000</f>
        <v>142610.24599999998</v>
      </c>
      <c r="N19" s="894">
        <f>(SUMIFS('Base Metals - Q&amp;V'!$G$8:$G$250,'Base Metals - Q&amp;V'!$H$8:$H$250,LEFT('FY Q&amp;V 2003-04 to Now'!M$7,4),'Base Metals - Q&amp;V'!$I$8:$I$250,3)+
SUMIFS('Base Metals - Q&amp;V'!$G$8:$G$250,'Base Metals - Q&amp;V'!$H$8:$H$250,LEFT('FY Q&amp;V 2003-04 to Now'!M$7,4),'Base Metals - Q&amp;V'!$I$8:$I$250,4)+
SUMIFS('Base Metals - Q&amp;V'!$G$8:$G$250,'Base Metals - Q&amp;V'!$H$8:$H$250,CONCATENATE("20",RIGHT('FY Q&amp;V 2003-04 to Now'!M$7,2)),'Base Metals - Q&amp;V'!$I$8:$I$250,1)+
SUMIFS('Base Metals - Q&amp;V'!$G$8:$G$250,'Base Metals - Q&amp;V'!$H$8:$H$250,CONCATENATE("20",RIGHT('FY Q&amp;V 2003-04 to Now'!M$7,2)),'Base Metals - Q&amp;V'!$I$8:$I$250,2))*1000000</f>
        <v>232603528.29000002</v>
      </c>
      <c r="O19" s="893">
        <f>(SUMIFS('Base Metals - Q&amp;V'!$F$8:$F$250,'Base Metals - Q&amp;V'!$H$8:$H$250,LEFT('FY Q&amp;V 2003-04 to Now'!O$7,4),'Base Metals - Q&amp;V'!$I$8:$I$250,3)+
SUMIFS('Base Metals - Q&amp;V'!$F$8:$F$250,'Base Metals - Q&amp;V'!$H$8:$H$250,LEFT('FY Q&amp;V 2003-04 to Now'!O$7:P$7,4),'Base Metals - Q&amp;V'!$I$8:$I$250,4)+
SUMIFS('Base Metals - Q&amp;V'!$F$8:$F$250,'Base Metals - Q&amp;V'!$H$8:$H$250,CONCATENATE("20",RIGHT('FY Q&amp;V 2003-04 to Now'!O$7,2)),'Base Metals - Q&amp;V'!$I$8:$I$250,1)+
SUMIFS('Base Metals - Q&amp;V'!$F$8:$F$250,'Base Metals - Q&amp;V'!$H$8:$H$250,CONCATENATE("20",RIGHT('FY Q&amp;V 2003-04 to Now'!O$7,2)),'Base Metals - Q&amp;V'!$I$8:$I$250,2))*1000</f>
        <v>87558.923999999999</v>
      </c>
      <c r="P19" s="894">
        <f>(SUMIFS('Base Metals - Q&amp;V'!$G$8:$G$250,'Base Metals - Q&amp;V'!$H$8:$H$250,LEFT('FY Q&amp;V 2003-04 to Now'!O$7,4),'Base Metals - Q&amp;V'!$I$8:$I$250,3)+
SUMIFS('Base Metals - Q&amp;V'!$G$8:$G$250,'Base Metals - Q&amp;V'!$H$8:$H$250,LEFT('FY Q&amp;V 2003-04 to Now'!O$7,4),'Base Metals - Q&amp;V'!$I$8:$I$250,4)+
SUMIFS('Base Metals - Q&amp;V'!$G$8:$G$250,'Base Metals - Q&amp;V'!$H$8:$H$250,CONCATENATE("20",RIGHT('FY Q&amp;V 2003-04 to Now'!O$7,2)),'Base Metals - Q&amp;V'!$I$8:$I$250,1)+
SUMIFS('Base Metals - Q&amp;V'!$G$8:$G$250,'Base Metals - Q&amp;V'!$H$8:$H$250,CONCATENATE("20",RIGHT('FY Q&amp;V 2003-04 to Now'!O$7,2)),'Base Metals - Q&amp;V'!$I$8:$I$250,2))*1000000</f>
        <v>210118736.43000001</v>
      </c>
      <c r="Q19" s="893">
        <f>(SUMIFS('Base Metals - Q&amp;V'!$F$8:$F$250,'Base Metals - Q&amp;V'!$H$8:$H$250,LEFT('FY Q&amp;V 2003-04 to Now'!Q$7,4),'Base Metals - Q&amp;V'!$I$8:$I$250,3)+
SUMIFS('Base Metals - Q&amp;V'!$F$8:$F$250,'Base Metals - Q&amp;V'!$H$8:$H$250,LEFT('FY Q&amp;V 2003-04 to Now'!Q$7:R$7,4),'Base Metals - Q&amp;V'!$I$8:$I$250,4)+
SUMIFS('Base Metals - Q&amp;V'!$F$8:$F$250,'Base Metals - Q&amp;V'!$H$8:$H$250,CONCATENATE("20",RIGHT('FY Q&amp;V 2003-04 to Now'!Q$7,2)),'Base Metals - Q&amp;V'!$I$8:$I$250,1)+
SUMIFS('Base Metals - Q&amp;V'!$F$8:$F$250,'Base Metals - Q&amp;V'!$H$8:$H$250,CONCATENATE("20",RIGHT('FY Q&amp;V 2003-04 to Now'!Q$7,2)),'Base Metals - Q&amp;V'!$I$8:$I$250,2))*1000</f>
        <v>70536.544999999984</v>
      </c>
      <c r="R19" s="894">
        <f>(SUMIFS('Base Metals - Q&amp;V'!$G$8:$G$250,'Base Metals - Q&amp;V'!$H$8:$H$250,LEFT('FY Q&amp;V 2003-04 to Now'!Q$7,4),'Base Metals - Q&amp;V'!$I$8:$I$250,3)+
SUMIFS('Base Metals - Q&amp;V'!$G$8:$G$250,'Base Metals - Q&amp;V'!$H$8:$H$250,LEFT('FY Q&amp;V 2003-04 to Now'!Q$7,4),'Base Metals - Q&amp;V'!$I$8:$I$250,4)+
SUMIFS('Base Metals - Q&amp;V'!$G$8:$G$250,'Base Metals - Q&amp;V'!$H$8:$H$250,CONCATENATE("20",RIGHT('FY Q&amp;V 2003-04 to Now'!Q$7,2)),'Base Metals - Q&amp;V'!$I$8:$I$250,1)+
SUMIFS('Base Metals - Q&amp;V'!$G$8:$G$250,'Base Metals - Q&amp;V'!$H$8:$H$250,CONCATENATE("20",RIGHT('FY Q&amp;V 2003-04 to Now'!Q$7,2)),'Base Metals - Q&amp;V'!$I$8:$I$250,2))*1000000</f>
        <v>162108264.53999999</v>
      </c>
      <c r="S19" s="893">
        <f>(SUMIFS('Base Metals - Q&amp;V'!$F$8:$F$250,'Base Metals - Q&amp;V'!$H$8:$H$250,LEFT('FY Q&amp;V 2003-04 to Now'!S$7,4),'Base Metals - Q&amp;V'!$I$8:$I$250,3)+
SUMIFS('Base Metals - Q&amp;V'!$F$8:$F$250,'Base Metals - Q&amp;V'!$H$8:$H$250,LEFT('FY Q&amp;V 2003-04 to Now'!S$7:T$7,4),'Base Metals - Q&amp;V'!$I$8:$I$250,4)+
SUMIFS('Base Metals - Q&amp;V'!$F$8:$F$250,'Base Metals - Q&amp;V'!$H$8:$H$250,CONCATENATE("20",RIGHT('FY Q&amp;V 2003-04 to Now'!S$7,2)),'Base Metals - Q&amp;V'!$I$8:$I$250,1)+
SUMIFS('Base Metals - Q&amp;V'!$F$8:$F$250,'Base Metals - Q&amp;V'!$H$8:$H$250,CONCATENATE("20",RIGHT('FY Q&amp;V 2003-04 to Now'!S$7,2)),'Base Metals - Q&amp;V'!$I$8:$I$250,2))*1000</f>
        <v>63503.200999999994</v>
      </c>
      <c r="T19" s="894">
        <f>(SUMIFS('Base Metals - Q&amp;V'!$G$8:$G$250,'Base Metals - Q&amp;V'!$H$8:$H$250,LEFT('FY Q&amp;V 2003-04 to Now'!S$7,4),'Base Metals - Q&amp;V'!$I$8:$I$250,3)+
SUMIFS('Base Metals - Q&amp;V'!$G$8:$G$250,'Base Metals - Q&amp;V'!$H$8:$H$250,LEFT('FY Q&amp;V 2003-04 to Now'!S$7,4),'Base Metals - Q&amp;V'!$I$8:$I$250,4)+
SUMIFS('Base Metals - Q&amp;V'!$G$8:$G$250,'Base Metals - Q&amp;V'!$H$8:$H$250,CONCATENATE("20",RIGHT('FY Q&amp;V 2003-04 to Now'!S$7,2)),'Base Metals - Q&amp;V'!$I$8:$I$250,1)+
SUMIFS('Base Metals - Q&amp;V'!$G$8:$G$250,'Base Metals - Q&amp;V'!$H$8:$H$250,CONCATENATE("20",RIGHT('FY Q&amp;V 2003-04 to Now'!S$7,2)),'Base Metals - Q&amp;V'!$I$8:$I$250,2))*1000000</f>
        <v>121984209.99999999</v>
      </c>
      <c r="U19" s="893">
        <f>(SUMIFS('Base Metals - Q&amp;V'!$F$8:$F$250,'Base Metals - Q&amp;V'!$H$8:$H$250,LEFT('FY Q&amp;V 2003-04 to Now'!U$7,4),'Base Metals - Q&amp;V'!$I$8:$I$250,3)+
SUMIFS('Base Metals - Q&amp;V'!$F$8:$F$250,'Base Metals - Q&amp;V'!$H$8:$H$250,LEFT('FY Q&amp;V 2003-04 to Now'!U$7:V$7,4),'Base Metals - Q&amp;V'!$I$8:$I$250,4)+
SUMIFS('Base Metals - Q&amp;V'!$F$8:$F$250,'Base Metals - Q&amp;V'!$H$8:$H$250,CONCATENATE("20",RIGHT('FY Q&amp;V 2003-04 to Now'!U$7,2)),'Base Metals - Q&amp;V'!$I$8:$I$250,1)+
SUMIFS('Base Metals - Q&amp;V'!$F$8:$F$250,'Base Metals - Q&amp;V'!$H$8:$H$250,CONCATENATE("20",RIGHT('FY Q&amp;V 2003-04 to Now'!U$7,2)),'Base Metals - Q&amp;V'!$I$8:$I$250,2))*1000</f>
        <v>55847.680000000008</v>
      </c>
      <c r="V19" s="894">
        <f>(SUMIFS('Base Metals - Q&amp;V'!$G$8:$G$250,'Base Metals - Q&amp;V'!$H$8:$H$250,LEFT('FY Q&amp;V 2003-04 to Now'!U$7,4),'Base Metals - Q&amp;V'!$I$8:$I$250,3)+
SUMIFS('Base Metals - Q&amp;V'!$G$8:$G$250,'Base Metals - Q&amp;V'!$H$8:$H$250,LEFT('FY Q&amp;V 2003-04 to Now'!U$7,4),'Base Metals - Q&amp;V'!$I$8:$I$250,4)+
SUMIFS('Base Metals - Q&amp;V'!$G$8:$G$250,'Base Metals - Q&amp;V'!$H$8:$H$250,CONCATENATE("20",RIGHT('FY Q&amp;V 2003-04 to Now'!U$7,2)),'Base Metals - Q&amp;V'!$I$8:$I$250,1)+
SUMIFS('Base Metals - Q&amp;V'!$G$8:$G$250,'Base Metals - Q&amp;V'!$H$8:$H$250,CONCATENATE("20",RIGHT('FY Q&amp;V 2003-04 to Now'!U$7,2)),'Base Metals - Q&amp;V'!$I$8:$I$250,2))*1000000</f>
        <v>103867912.80999999</v>
      </c>
      <c r="W19" s="893">
        <f>(SUMIFS('Base Metals - Q&amp;V'!$F$8:$F$250,'Base Metals - Q&amp;V'!$H$8:$H$250,LEFT('FY Q&amp;V 2003-04 to Now'!W$7,4),'Base Metals - Q&amp;V'!$I$8:$I$250,3)+
SUMIFS('Base Metals - Q&amp;V'!$F$8:$F$250,'Base Metals - Q&amp;V'!$H$8:$H$250,LEFT('FY Q&amp;V 2003-04 to Now'!W$7:X$7,4),'Base Metals - Q&amp;V'!$I$8:$I$250,4)+
SUMIFS('Base Metals - Q&amp;V'!$F$8:$F$250,'Base Metals - Q&amp;V'!$H$8:$H$250,CONCATENATE("20",RIGHT('FY Q&amp;V 2003-04 to Now'!W$7,2)),'Base Metals - Q&amp;V'!$I$8:$I$250,1)+
SUMIFS('Base Metals - Q&amp;V'!$F$8:$F$250,'Base Metals - Q&amp;V'!$H$8:$H$250,CONCATENATE("20",RIGHT('FY Q&amp;V 2003-04 to Now'!W$7,2)),'Base Metals - Q&amp;V'!$I$8:$I$250,2))*1000</f>
        <v>54060.29</v>
      </c>
      <c r="X19" s="894">
        <f>(SUMIFS('Base Metals - Q&amp;V'!$G$8:$G$250,'Base Metals - Q&amp;V'!$H$8:$H$250,LEFT('FY Q&amp;V 2003-04 to Now'!W$7,4),'Base Metals - Q&amp;V'!$I$8:$I$250,3)+
SUMIFS('Base Metals - Q&amp;V'!$G$8:$G$250,'Base Metals - Q&amp;V'!$H$8:$H$250,LEFT('FY Q&amp;V 2003-04 to Now'!W$7,4),'Base Metals - Q&amp;V'!$I$8:$I$250,4)+
SUMIFS('Base Metals - Q&amp;V'!$G$8:$G$250,'Base Metals - Q&amp;V'!$H$8:$H$250,CONCATENATE("20",RIGHT('FY Q&amp;V 2003-04 to Now'!W$7,2)),'Base Metals - Q&amp;V'!$I$8:$I$250,1)+
SUMIFS('Base Metals - Q&amp;V'!$G$8:$G$250,'Base Metals - Q&amp;V'!$H$8:$H$250,CONCATENATE("20",RIGHT('FY Q&amp;V 2003-04 to Now'!W$7,2)),'Base Metals - Q&amp;V'!$I$8:$I$250,2))*1000000</f>
        <v>118261576.29999998</v>
      </c>
      <c r="Y19" s="893">
        <f>(SUMIFS('Base Metals - Q&amp;V'!$F$8:$F$250,'Base Metals - Q&amp;V'!$H$8:$H$250,LEFT('FY Q&amp;V 2003-04 to Now'!Y$7,4),'Base Metals - Q&amp;V'!$I$8:$I$250,3)+
SUMIFS('Base Metals - Q&amp;V'!$F$8:$F$250,'Base Metals - Q&amp;V'!$H$8:$H$250,LEFT('FY Q&amp;V 2003-04 to Now'!Y$7:Z$7,4),'Base Metals - Q&amp;V'!$I$8:$I$250,4)+
SUMIFS('Base Metals - Q&amp;V'!$F$8:$F$250,'Base Metals - Q&amp;V'!$H$8:$H$250,CONCATENATE("20",RIGHT('FY Q&amp;V 2003-04 to Now'!Y$7,2)),'Base Metals - Q&amp;V'!$I$8:$I$250,1)+
SUMIFS('Base Metals - Q&amp;V'!$F$8:$F$250,'Base Metals - Q&amp;V'!$H$8:$H$250,CONCATENATE("20",RIGHT('FY Q&amp;V 2003-04 to Now'!Y$7,2)),'Base Metals - Q&amp;V'!$I$8:$I$250,2))*1000</f>
        <v>77830.909999999989</v>
      </c>
      <c r="Z19" s="894">
        <f>(SUMIFS('Base Metals - Q&amp;V'!$G$8:$G$250,'Base Metals - Q&amp;V'!$H$8:$H$250,LEFT('FY Q&amp;V 2003-04 to Now'!Y$7,4),'Base Metals - Q&amp;V'!$I$8:$I$250,3)+
SUMIFS('Base Metals - Q&amp;V'!$G$8:$G$250,'Base Metals - Q&amp;V'!$H$8:$H$250,LEFT('FY Q&amp;V 2003-04 to Now'!Y$7,4),'Base Metals - Q&amp;V'!$I$8:$I$250,4)+
SUMIFS('Base Metals - Q&amp;V'!$G$8:$G$250,'Base Metals - Q&amp;V'!$H$8:$H$250,CONCATENATE("20",RIGHT('FY Q&amp;V 2003-04 to Now'!Y$7,2)),'Base Metals - Q&amp;V'!$I$8:$I$250,1)+
SUMIFS('Base Metals - Q&amp;V'!$G$8:$G$250,'Base Metals - Q&amp;V'!$H$8:$H$250,CONCATENATE("20",RIGHT('FY Q&amp;V 2003-04 to Now'!Y$7,2)),'Base Metals - Q&amp;V'!$I$8:$I$250,2))*1000000</f>
        <v>197040406.00000003</v>
      </c>
      <c r="AA19" s="893">
        <f>(SUMIFS('Base Metals - Q&amp;V'!$F$8:$F$250,'Base Metals - Q&amp;V'!$H$8:$H$250,LEFT('FY Q&amp;V 2003-04 to Now'!AA$7,4),'Base Metals - Q&amp;V'!$I$8:$I$250,3)+
SUMIFS('Base Metals - Q&amp;V'!$F$8:$F$250,'Base Metals - Q&amp;V'!$H$8:$H$250,LEFT('FY Q&amp;V 2003-04 to Now'!AA$7:AB$7,4),'Base Metals - Q&amp;V'!$I$8:$I$250,4)+
SUMIFS('Base Metals - Q&amp;V'!$F$8:$F$250,'Base Metals - Q&amp;V'!$H$8:$H$250,CONCATENATE("20",RIGHT('FY Q&amp;V 2003-04 to Now'!AA$7,2)),'Base Metals - Q&amp;V'!$I$8:$I$250,1)+
SUMIFS('Base Metals - Q&amp;V'!$F$8:$F$250,'Base Metals - Q&amp;V'!$H$8:$H$250,CONCATENATE("20",RIGHT('FY Q&amp;V 2003-04 to Now'!AA$7,2)),'Base Metals - Q&amp;V'!$I$8:$I$250,2))*1000</f>
        <v>82675.94</v>
      </c>
      <c r="AB19" s="894">
        <f>(SUMIFS('Base Metals - Q&amp;V'!$G$8:$G$250,'Base Metals - Q&amp;V'!$H$8:$H$250,LEFT('FY Q&amp;V 2003-04 to Now'!AA$7,4),'Base Metals - Q&amp;V'!$I$8:$I$250,3)+
SUMIFS('Base Metals - Q&amp;V'!$G$8:$G$250,'Base Metals - Q&amp;V'!$H$8:$H$250,LEFT('FY Q&amp;V 2003-04 to Now'!AA$7,4),'Base Metals - Q&amp;V'!$I$8:$I$250,4)+
SUMIFS('Base Metals - Q&amp;V'!$G$8:$G$250,'Base Metals - Q&amp;V'!$H$8:$H$250,CONCATENATE("20",RIGHT('FY Q&amp;V 2003-04 to Now'!AA$7,2)),'Base Metals - Q&amp;V'!$I$8:$I$250,1)+
SUMIFS('Base Metals - Q&amp;V'!$G$8:$G$250,'Base Metals - Q&amp;V'!$H$8:$H$250,CONCATENATE("20",RIGHT('FY Q&amp;V 2003-04 to Now'!AA$7,2)),'Base Metals - Q&amp;V'!$I$8:$I$250,2))*1000000</f>
        <v>195494453.00000003</v>
      </c>
      <c r="AC19" s="893">
        <f>(SUMIFS('Base Metals - Q&amp;V'!$F$8:$F$250,'Base Metals - Q&amp;V'!$H$8:$H$250,LEFT('FY Q&amp;V 2003-04 to Now'!AC$7,4),'Base Metals - Q&amp;V'!$I$8:$I$250,3)+
SUMIFS('Base Metals - Q&amp;V'!$F$8:$F$250,'Base Metals - Q&amp;V'!$H$8:$H$250,LEFT('FY Q&amp;V 2003-04 to Now'!AC$7:AD$7,4),'Base Metals - Q&amp;V'!$I$8:$I$250,4)+
SUMIFS('Base Metals - Q&amp;V'!$F$8:$F$250,'Base Metals - Q&amp;V'!$H$8:$H$250,CONCATENATE("20",RIGHT('FY Q&amp;V 2003-04 to Now'!AC$7,2)),'Base Metals - Q&amp;V'!$I$8:$I$250,1)+
SUMIFS('Base Metals - Q&amp;V'!$F$8:$F$250,'Base Metals - Q&amp;V'!$H$8:$H$250,CONCATENATE("20",RIGHT('FY Q&amp;V 2003-04 to Now'!AC$7,2)),'Base Metals - Q&amp;V'!$I$8:$I$250,2))*1000</f>
        <v>82942.66</v>
      </c>
      <c r="AD19" s="894">
        <f>(SUMIFS('Base Metals - Q&amp;V'!$G$8:$G$250,'Base Metals - Q&amp;V'!$H$8:$H$250,LEFT('FY Q&amp;V 2003-04 to Now'!AC$7,4),'Base Metals - Q&amp;V'!$I$8:$I$250,3)+
SUMIFS('Base Metals - Q&amp;V'!$G$8:$G$250,'Base Metals - Q&amp;V'!$H$8:$H$250,LEFT('FY Q&amp;V 2003-04 to Now'!AC$7,4),'Base Metals - Q&amp;V'!$I$8:$I$250,4)+
SUMIFS('Base Metals - Q&amp;V'!$G$8:$G$250,'Base Metals - Q&amp;V'!$H$8:$H$250,CONCATENATE("20",RIGHT('FY Q&amp;V 2003-04 to Now'!AC$7,2)),'Base Metals - Q&amp;V'!$I$8:$I$250,1)+
SUMIFS('Base Metals - Q&amp;V'!$G$8:$G$250,'Base Metals - Q&amp;V'!$H$8:$H$250,CONCATENATE("20",RIGHT('FY Q&amp;V 2003-04 to Now'!AC$7,2)),'Base Metals - Q&amp;V'!$I$8:$I$250,2))*1000000</f>
        <v>204161259.00000003</v>
      </c>
      <c r="AE19" s="1240">
        <f>(SUMIFS('Base Metals - Q&amp;V'!$F$8:$F$250,'Base Metals - Q&amp;V'!$H$8:$H$250,LEFT('FY Q&amp;V 2003-04 to Now'!AE$7,4),'Base Metals - Q&amp;V'!$I$8:$I$250,3)+
SUMIFS('Base Metals - Q&amp;V'!$F$8:$F$250,'Base Metals - Q&amp;V'!$H$8:$H$250,LEFT('FY Q&amp;V 2003-04 to Now'!AE$7:AF$7,4),'Base Metals - Q&amp;V'!$I$8:$I$250,4)+
SUMIFS('Base Metals - Q&amp;V'!$F$8:$F$250,'Base Metals - Q&amp;V'!$H$8:$H$250,CONCATENATE("20",RIGHT('FY Q&amp;V 2003-04 to Now'!AE$7,2)),'Base Metals - Q&amp;V'!$I$8:$I$250,1)+
SUMIFS('Base Metals - Q&amp;V'!$F$8:$F$250,'Base Metals - Q&amp;V'!$H$8:$H$250,CONCATENATE("20",RIGHT('FY Q&amp;V 2003-04 to Now'!AE$7,2)),'Base Metals - Q&amp;V'!$I$8:$I$250,2))*1000</f>
        <v>93373.287000000011</v>
      </c>
      <c r="AF19" s="894">
        <f>(SUMIFS('Base Metals - Q&amp;V'!$G$8:$G$250,'Base Metals - Q&amp;V'!$H$8:$H$250,LEFT('FY Q&amp;V 2003-04 to Now'!AE$7,4),'Base Metals - Q&amp;V'!$I$8:$I$250,3)+
SUMIFS('Base Metals - Q&amp;V'!$G$8:$G$250,'Base Metals - Q&amp;V'!$H$8:$H$250,LEFT('FY Q&amp;V 2003-04 to Now'!AE$7,4),'Base Metals - Q&amp;V'!$I$8:$I$250,4)+
SUMIFS('Base Metals - Q&amp;V'!$G$8:$G$250,'Base Metals - Q&amp;V'!$H$8:$H$250,CONCATENATE("20",RIGHT('FY Q&amp;V 2003-04 to Now'!AE$7,2)),'Base Metals - Q&amp;V'!$I$8:$I$250,1)+
SUMIFS('Base Metals - Q&amp;V'!$G$8:$G$250,'Base Metals - Q&amp;V'!$H$8:$H$250,CONCATENATE("20",RIGHT('FY Q&amp;V 2003-04 to Now'!AE$7,2)),'Base Metals - Q&amp;V'!$I$8:$I$250,2))*1000000</f>
        <v>323504398.00000006</v>
      </c>
      <c r="AG19" s="1240">
        <f>(SUMIFS('Base Metals - Q&amp;V'!$F$8:$F$250,'Base Metals - Q&amp;V'!$H$8:$H$250,LEFT('FY Q&amp;V 2003-04 to Now'!AG$7,4),'Base Metals - Q&amp;V'!$I$8:$I$250,3)+
SUMIFS('Base Metals - Q&amp;V'!$F$8:$F$250,'Base Metals - Q&amp;V'!$H$8:$H$250,LEFT('FY Q&amp;V 2003-04 to Now'!AG$7:AH$7,4),'Base Metals - Q&amp;V'!$I$8:$I$250,4)+
SUMIFS('Base Metals - Q&amp;V'!$F$8:$F$250,'Base Metals - Q&amp;V'!$H$8:$H$250,CONCATENATE("20",RIGHT('FY Q&amp;V 2003-04 to Now'!AG$7,2)),'Base Metals - Q&amp;V'!$I$8:$I$250,1)+
SUMIFS('Base Metals - Q&amp;V'!$F$8:$F$250,'Base Metals - Q&amp;V'!$H$8:$H$250,CONCATENATE("20",RIGHT('FY Q&amp;V 2003-04 to Now'!AG$7,2)),'Base Metals - Q&amp;V'!$I$8:$I$250,2))*1000</f>
        <v>71404.652999999991</v>
      </c>
      <c r="AH19" s="894">
        <f>(SUMIFS('Base Metals - Q&amp;V'!$G$8:$G$250,'Base Metals - Q&amp;V'!$H$8:$H$250,LEFT('FY Q&amp;V 2003-04 to Now'!AG$7,4),'Base Metals - Q&amp;V'!$I$8:$I$250,3)+
SUMIFS('Base Metals - Q&amp;V'!$G$8:$G$250,'Base Metals - Q&amp;V'!$H$8:$H$250,LEFT('FY Q&amp;V 2003-04 to Now'!AG$7,4),'Base Metals - Q&amp;V'!$I$8:$I$250,4)+
SUMIFS('Base Metals - Q&amp;V'!$G$8:$G$250,'Base Metals - Q&amp;V'!$H$8:$H$250,CONCATENATE("20",RIGHT('FY Q&amp;V 2003-04 to Now'!AG$7,2)),'Base Metals - Q&amp;V'!$I$8:$I$250,1)+
SUMIFS('Base Metals - Q&amp;V'!$G$8:$G$250,'Base Metals - Q&amp;V'!$H$8:$H$250,CONCATENATE("20",RIGHT('FY Q&amp;V 2003-04 to Now'!AG$7,2)),'Base Metals - Q&amp;V'!$I$8:$I$250,2))*1000000</f>
        <v>263162702.99999997</v>
      </c>
      <c r="AI19" s="954">
        <f>SUMIF($C$9:AH$9,1,$C19:AH19)</f>
        <v>1456212.3139999998</v>
      </c>
      <c r="AJ19" s="955">
        <f>SUMIF($C$9:AH$9,0,$C19:AH19)</f>
        <v>3537778405.5500002</v>
      </c>
    </row>
    <row r="20" spans="1:36">
      <c r="A20" s="889" t="s">
        <v>215</v>
      </c>
      <c r="B20" s="638"/>
      <c r="C20" s="895"/>
      <c r="D20" s="892">
        <f>SUM(D17:D19)</f>
        <v>281716819.63999999</v>
      </c>
      <c r="E20" s="895"/>
      <c r="F20" s="892">
        <f>SUM(F17:F19)</f>
        <v>343201638.39999998</v>
      </c>
      <c r="G20" s="895"/>
      <c r="H20" s="892">
        <f>SUM(H17:H19)</f>
        <v>970329065.80999994</v>
      </c>
      <c r="I20" s="895"/>
      <c r="J20" s="892">
        <f>SUM(J17:J19)</f>
        <v>1619371265.5</v>
      </c>
      <c r="K20" s="895"/>
      <c r="L20" s="892">
        <f>SUM(L17:L19)</f>
        <v>1510380656.21</v>
      </c>
      <c r="M20" s="895"/>
      <c r="N20" s="892">
        <f>SUM(N17:N19)</f>
        <v>931437174.5</v>
      </c>
      <c r="O20" s="895"/>
      <c r="P20" s="892">
        <f>SUM(P17:P19)</f>
        <v>1444150153.1100001</v>
      </c>
      <c r="Q20" s="895"/>
      <c r="R20" s="892">
        <f>SUM(R17:R19)</f>
        <v>1594532883.9000001</v>
      </c>
      <c r="S20" s="895"/>
      <c r="T20" s="892">
        <f>SUM(T17:T19)</f>
        <v>1316603739.99</v>
      </c>
      <c r="U20" s="895"/>
      <c r="V20" s="892">
        <f>SUM(V17:V19)</f>
        <v>1561960991.9000001</v>
      </c>
      <c r="W20" s="895"/>
      <c r="X20" s="892">
        <f>SUM(X17:X19)</f>
        <v>1856591244.5999999</v>
      </c>
      <c r="Y20" s="895"/>
      <c r="Z20" s="892">
        <f>SUM(Z17:Z19)</f>
        <v>1617036865</v>
      </c>
      <c r="AA20" s="895"/>
      <c r="AB20" s="892">
        <f>SUM(AB17:AB19)</f>
        <v>1391567135</v>
      </c>
      <c r="AC20" s="895"/>
      <c r="AD20" s="892">
        <f>SUM(AD17:AD19)</f>
        <v>1454836025</v>
      </c>
      <c r="AE20" s="1307"/>
      <c r="AF20" s="892">
        <f>SUM(AF17:AF19)</f>
        <v>1694101991.9999998</v>
      </c>
      <c r="AG20" s="1307"/>
      <c r="AH20" s="892">
        <f>SUM(AH17:AH19)</f>
        <v>1596105260.9999998</v>
      </c>
      <c r="AI20" s="954"/>
      <c r="AJ20" s="955">
        <f>SUMIF($C$9:AH$9,0,$C20:AH20)</f>
        <v>21183922911.559998</v>
      </c>
    </row>
    <row r="21" spans="1:36">
      <c r="A21" s="591"/>
      <c r="B21" s="638"/>
      <c r="C21" s="895"/>
      <c r="D21" s="892"/>
      <c r="E21" s="895"/>
      <c r="F21" s="892"/>
      <c r="G21" s="895"/>
      <c r="H21" s="892"/>
      <c r="I21" s="895"/>
      <c r="J21" s="892"/>
      <c r="K21" s="895"/>
      <c r="L21" s="892"/>
      <c r="M21" s="895"/>
      <c r="N21" s="892"/>
      <c r="O21" s="895"/>
      <c r="P21" s="892"/>
      <c r="Q21" s="895"/>
      <c r="R21" s="892"/>
      <c r="S21" s="895"/>
      <c r="T21" s="892"/>
      <c r="U21" s="895"/>
      <c r="V21" s="892"/>
      <c r="W21" s="895"/>
      <c r="X21" s="892"/>
      <c r="Y21" s="895"/>
      <c r="Z21" s="892"/>
      <c r="AA21" s="895"/>
      <c r="AB21" s="892"/>
      <c r="AC21" s="892"/>
      <c r="AD21" s="892"/>
      <c r="AE21" s="1307"/>
      <c r="AF21" s="892"/>
      <c r="AG21" s="1307"/>
      <c r="AH21" s="892"/>
      <c r="AI21" s="954"/>
      <c r="AJ21" s="955"/>
    </row>
    <row r="22" spans="1:36">
      <c r="A22" s="884" t="s">
        <v>217</v>
      </c>
      <c r="B22" s="848" t="s">
        <v>110</v>
      </c>
      <c r="C22" s="890">
        <v>103207.6</v>
      </c>
      <c r="D22" s="891">
        <v>29334844.600000005</v>
      </c>
      <c r="E22" s="890">
        <v>107085.16999999998</v>
      </c>
      <c r="F22" s="891">
        <v>38249908.710000001</v>
      </c>
      <c r="G22" s="890">
        <v>107869.82999999999</v>
      </c>
      <c r="H22" s="891">
        <v>45532614.649999999</v>
      </c>
      <c r="I22" s="890">
        <v>91284</v>
      </c>
      <c r="J22" s="891" t="s">
        <v>273</v>
      </c>
      <c r="K22" s="890">
        <v>87635.331000000006</v>
      </c>
      <c r="L22" s="891" t="s">
        <v>273</v>
      </c>
      <c r="M22" s="890">
        <v>74898.459000000003</v>
      </c>
      <c r="N22" s="891" t="s">
        <v>273</v>
      </c>
      <c r="O22" s="890">
        <v>59033.538</v>
      </c>
      <c r="P22" s="891" t="s">
        <v>273</v>
      </c>
      <c r="Q22" s="890">
        <v>81925.062000000005</v>
      </c>
      <c r="R22" s="891" t="s">
        <v>273</v>
      </c>
      <c r="S22" s="890">
        <v>164219.49</v>
      </c>
      <c r="T22" s="891" t="s">
        <v>273</v>
      </c>
      <c r="U22" s="890">
        <v>195772.05</v>
      </c>
      <c r="V22" s="891" t="s">
        <v>273</v>
      </c>
      <c r="W22" s="890">
        <v>66540.209999999992</v>
      </c>
      <c r="X22" s="891" t="s">
        <v>273</v>
      </c>
      <c r="Y22" s="890">
        <v>0</v>
      </c>
      <c r="Z22" s="891">
        <v>0</v>
      </c>
      <c r="AA22" s="890">
        <v>0</v>
      </c>
      <c r="AB22" s="891">
        <v>0</v>
      </c>
      <c r="AC22" s="890">
        <v>0</v>
      </c>
      <c r="AD22" s="891">
        <v>0</v>
      </c>
      <c r="AE22" s="1308">
        <v>0</v>
      </c>
      <c r="AF22" s="891">
        <v>0</v>
      </c>
      <c r="AG22" s="1308">
        <v>0</v>
      </c>
      <c r="AH22" s="891">
        <v>0</v>
      </c>
      <c r="AI22" s="953">
        <f>SUMIF($C$9:AH$9,1,$C22:AH22)</f>
        <v>1139470.74</v>
      </c>
      <c r="AJ22" s="891">
        <f>SUMIF($C$9:AH$9,0,$C22:AH22)</f>
        <v>113117367.96000001</v>
      </c>
    </row>
    <row r="23" spans="1:36">
      <c r="A23" s="847"/>
      <c r="B23" s="848"/>
      <c r="C23" s="896"/>
      <c r="D23" s="878"/>
      <c r="E23" s="896"/>
      <c r="F23" s="878"/>
      <c r="G23" s="896"/>
      <c r="H23" s="878"/>
      <c r="I23" s="896"/>
      <c r="J23" s="878"/>
      <c r="K23" s="896"/>
      <c r="L23" s="878"/>
      <c r="M23" s="896"/>
      <c r="N23" s="878"/>
      <c r="O23" s="896"/>
      <c r="P23" s="878"/>
      <c r="Q23" s="896"/>
      <c r="R23" s="878"/>
      <c r="S23" s="896"/>
      <c r="T23" s="878"/>
      <c r="U23" s="896"/>
      <c r="V23" s="878"/>
      <c r="W23" s="896"/>
      <c r="X23" s="878"/>
      <c r="Y23" s="896"/>
      <c r="Z23" s="878"/>
      <c r="AA23" s="896"/>
      <c r="AB23" s="878"/>
      <c r="AC23" s="878"/>
      <c r="AD23" s="878"/>
      <c r="AE23" s="1309"/>
      <c r="AF23" s="878"/>
      <c r="AG23" s="1309"/>
      <c r="AH23" s="878"/>
      <c r="AI23" s="953"/>
      <c r="AJ23" s="891"/>
    </row>
    <row r="24" spans="1:36">
      <c r="A24" s="885" t="s">
        <v>218</v>
      </c>
      <c r="B24" s="638"/>
      <c r="C24" s="895"/>
      <c r="D24" s="892"/>
      <c r="E24" s="895"/>
      <c r="F24" s="892"/>
      <c r="G24" s="895"/>
      <c r="H24" s="892"/>
      <c r="I24" s="895"/>
      <c r="J24" s="892"/>
      <c r="K24" s="895"/>
      <c r="L24" s="892"/>
      <c r="M24" s="895"/>
      <c r="N24" s="892"/>
      <c r="O24" s="895"/>
      <c r="P24" s="892"/>
      <c r="Q24" s="895"/>
      <c r="R24" s="892"/>
      <c r="S24" s="895">
        <v>75091</v>
      </c>
      <c r="T24" s="895">
        <v>1663209</v>
      </c>
      <c r="V24" s="892"/>
      <c r="W24" s="895">
        <v>5139</v>
      </c>
      <c r="X24" s="892">
        <v>345148</v>
      </c>
      <c r="Y24" s="895">
        <v>17670</v>
      </c>
      <c r="Z24" s="892">
        <v>1043438</v>
      </c>
      <c r="AA24" s="895">
        <v>21968.609999999997</v>
      </c>
      <c r="AB24" s="892">
        <v>1104708</v>
      </c>
      <c r="AC24" s="893">
        <v>20864.89</v>
      </c>
      <c r="AD24" s="892">
        <v>1390448</v>
      </c>
      <c r="AE24" s="1307">
        <v>18278.240000000002</v>
      </c>
      <c r="AF24" s="892">
        <v>1274478</v>
      </c>
      <c r="AG24" s="1307">
        <v>19259.239999999998</v>
      </c>
      <c r="AH24" s="892">
        <v>1662231</v>
      </c>
      <c r="AI24" s="954">
        <f>SUMIF($C$9:AH$9,1,$C24:AH24)</f>
        <v>178270.97999999998</v>
      </c>
      <c r="AJ24" s="955">
        <f>SUMIF($C$9:AH$9,0,$C24:AH24)</f>
        <v>8483660</v>
      </c>
    </row>
    <row r="25" spans="1:36">
      <c r="A25" s="599"/>
      <c r="B25" s="638"/>
      <c r="C25" s="895"/>
      <c r="D25" s="892"/>
      <c r="E25" s="895"/>
      <c r="F25" s="892"/>
      <c r="G25" s="895"/>
      <c r="H25" s="892"/>
      <c r="I25" s="895"/>
      <c r="J25" s="892"/>
      <c r="K25" s="895"/>
      <c r="L25" s="892"/>
      <c r="M25" s="895"/>
      <c r="N25" s="892"/>
      <c r="O25" s="895"/>
      <c r="P25" s="892"/>
      <c r="Q25" s="895"/>
      <c r="R25" s="892"/>
      <c r="S25" s="895"/>
      <c r="T25" s="892"/>
      <c r="U25" s="895"/>
      <c r="V25" s="892"/>
      <c r="W25" s="895"/>
      <c r="X25" s="892"/>
      <c r="Y25" s="895"/>
      <c r="Z25" s="892"/>
      <c r="AA25" s="895"/>
      <c r="AB25" s="892"/>
      <c r="AC25" s="892"/>
      <c r="AD25" s="892"/>
      <c r="AE25" s="1307"/>
      <c r="AF25" s="892"/>
      <c r="AG25" s="1307"/>
      <c r="AH25" s="892"/>
      <c r="AI25" s="954"/>
      <c r="AJ25" s="955"/>
    </row>
    <row r="26" spans="1:36">
      <c r="A26" s="884" t="s">
        <v>230</v>
      </c>
      <c r="B26" s="848" t="s">
        <v>110</v>
      </c>
      <c r="C26" s="890">
        <f>(SUMIFS('Minor Commodities - Q&amp;V'!$D$8:$D$250,'Minor Commodities - Q&amp;V'!$N$8:$N$250,LEFT('FY Q&amp;V 2003-04 to Now'!C$7,4),'Minor Commodities - Q&amp;V'!$O$8:$O$250,3)+
SUMIFS('Minor Commodities - Q&amp;V'!$D$8:$D$250,'Minor Commodities - Q&amp;V'!$N$8:$N$250,LEFT('FY Q&amp;V 2003-04 to Now'!C$7,4),'Minor Commodities - Q&amp;V'!$O$8:$O$250,4)+
SUMIFS('Minor Commodities - Q&amp;V'!$D$8:$D$250,'Minor Commodities - Q&amp;V'!$N$8:$N$250,CONCATENATE("20",RIGHT('FY Q&amp;V 2003-04 to Now'!C$7,2)),'Minor Commodities - Q&amp;V'!$O$8:$O$250,1)+
SUMIFS('Minor Commodities - Q&amp;V'!$D$8:$D$250,'Minor Commodities - Q&amp;V'!$N$8:$N$250,CONCATENATE("20",RIGHT('FY Q&amp;V 2003-04 to Now'!C$7,2)),'Minor Commodities - Q&amp;V'!$O$8:$O$250,2))*1000000</f>
        <v>5973013</v>
      </c>
      <c r="D26" s="891">
        <f>(SUMIFS('Minor Commodities - Q&amp;V'!$E$8:$E$250,'Minor Commodities - Q&amp;V'!$N$8:$N$250,LEFT('FY Q&amp;V 2003-04 to Now'!C$7,4),'Minor Commodities - Q&amp;V'!$O$8:$O$250,3)+
SUMIFS('Minor Commodities - Q&amp;V'!$E$8:$E$250,'Minor Commodities - Q&amp;V'!$N$8:$N$250,LEFT('FY Q&amp;V 2003-04 to Now'!C$7,4),'Minor Commodities - Q&amp;V'!$O$8:$O$250,4)+
SUMIFS('Minor Commodities - Q&amp;V'!$E$8:$E$250,'Minor Commodities - Q&amp;V'!$N$8:$N$250,CONCATENATE("20",RIGHT('FY Q&amp;V 2003-04 to Now'!C$7,2)),'Minor Commodities - Q&amp;V'!$O$8:$O$250,1)+
SUMIFS('Minor Commodities - Q&amp;V'!$E$8:$E$250,'Minor Commodities - Q&amp;V'!$N$8:$N$250,CONCATENATE("20",RIGHT('FY Q&amp;V 2003-04 to Now'!C$7,2)),'Minor Commodities - Q&amp;V'!$O$8:$O$250,2))*1000000</f>
        <v>268842784.5</v>
      </c>
      <c r="E26" s="890">
        <f>(SUMIFS('Minor Commodities - Q&amp;V'!$D$8:$D$250,'Minor Commodities - Q&amp;V'!$N$8:$N$250,LEFT('FY Q&amp;V 2003-04 to Now'!E$7,4),'Minor Commodities - Q&amp;V'!$O$8:$O$250,3)+
SUMIFS('Minor Commodities - Q&amp;V'!$D$8:$D$250,'Minor Commodities - Q&amp;V'!$N$8:$N$250,LEFT('FY Q&amp;V 2003-04 to Now'!E$7,4),'Minor Commodities - Q&amp;V'!$O$8:$O$250,4)+
SUMIFS('Minor Commodities - Q&amp;V'!$D$8:$D$250,'Minor Commodities - Q&amp;V'!$N$8:$N$250,CONCATENATE("20",RIGHT('FY Q&amp;V 2003-04 to Now'!E$7,2)),'Minor Commodities - Q&amp;V'!$O$8:$O$250,1)+
SUMIFS('Minor Commodities - Q&amp;V'!$D$8:$D$250,'Minor Commodities - Q&amp;V'!$N$8:$N$250,CONCATENATE("20",RIGHT('FY Q&amp;V 2003-04 to Now'!E$7,2)),'Minor Commodities - Q&amp;V'!$O$8:$O$250,2))*1000000</f>
        <v>6204065.0000000009</v>
      </c>
      <c r="F26" s="891">
        <f>(SUMIFS('Minor Commodities - Q&amp;V'!$E$8:$E$250,'Minor Commodities - Q&amp;V'!$N$8:$N$250,LEFT('FY Q&amp;V 2003-04 to Now'!E$7,4),'Minor Commodities - Q&amp;V'!$O$8:$O$250,3)+
SUMIFS('Minor Commodities - Q&amp;V'!$E$8:$E$250,'Minor Commodities - Q&amp;V'!$N$8:$N$250,LEFT('FY Q&amp;V 2003-04 to Now'!E$7,4),'Minor Commodities - Q&amp;V'!$O$8:$O$250,4)+
SUMIFS('Minor Commodities - Q&amp;V'!$E$8:$E$250,'Minor Commodities - Q&amp;V'!$N$8:$N$250,CONCATENATE("20",RIGHT('FY Q&amp;V 2003-04 to Now'!E$7,2)),'Minor Commodities - Q&amp;V'!$O$8:$O$250,1)+
SUMIFS('Minor Commodities - Q&amp;V'!$E$8:$E$250,'Minor Commodities - Q&amp;V'!$N$8:$N$250,CONCATENATE("20",RIGHT('FY Q&amp;V 2003-04 to Now'!E$7,2)),'Minor Commodities - Q&amp;V'!$O$8:$O$250,2))*1000000</f>
        <v>268638250.99999994</v>
      </c>
      <c r="G26" s="890">
        <f>(SUMIFS('Minor Commodities - Q&amp;V'!$D$8:$D$250,'Minor Commodities - Q&amp;V'!$N$8:$N$250,LEFT('FY Q&amp;V 2003-04 to Now'!G$7,4),'Minor Commodities - Q&amp;V'!$O$8:$O$250,3)+
SUMIFS('Minor Commodities - Q&amp;V'!$D$8:$D$250,'Minor Commodities - Q&amp;V'!$N$8:$N$250,LEFT('FY Q&amp;V 2003-04 to Now'!G$7,4),'Minor Commodities - Q&amp;V'!$O$8:$O$250,4)+
SUMIFS('Minor Commodities - Q&amp;V'!$D$8:$D$250,'Minor Commodities - Q&amp;V'!$N$8:$N$250,CONCATENATE("20",RIGHT('FY Q&amp;V 2003-04 to Now'!G$7,2)),'Minor Commodities - Q&amp;V'!$O$8:$O$250,1)+
SUMIFS('Minor Commodities - Q&amp;V'!$D$8:$D$250,'Minor Commodities - Q&amp;V'!$N$8:$N$250,CONCATENATE("20",RIGHT('FY Q&amp;V 2003-04 to Now'!G$7,2)),'Minor Commodities - Q&amp;V'!$O$8:$O$250,2))*1000000</f>
        <v>6700698.0000000009</v>
      </c>
      <c r="H26" s="891">
        <f>(SUMIFS('Minor Commodities - Q&amp;V'!$E$8:$E$250,'Minor Commodities - Q&amp;V'!$N$8:$N$250,LEFT('FY Q&amp;V 2003-04 to Now'!G$7,4),'Minor Commodities - Q&amp;V'!$O$8:$O$250,3)+
SUMIFS('Minor Commodities - Q&amp;V'!$E$8:$E$250,'Minor Commodities - Q&amp;V'!$N$8:$N$250,LEFT('FY Q&amp;V 2003-04 to Now'!G$7,4),'Minor Commodities - Q&amp;V'!$O$8:$O$250,4)+
SUMIFS('Minor Commodities - Q&amp;V'!$E$8:$E$250,'Minor Commodities - Q&amp;V'!$N$8:$N$250,CONCATENATE("20",RIGHT('FY Q&amp;V 2003-04 to Now'!G$7,2)),'Minor Commodities - Q&amp;V'!$O$8:$O$250,1)+
SUMIFS('Minor Commodities - Q&amp;V'!$E$8:$E$250,'Minor Commodities - Q&amp;V'!$N$8:$N$250,CONCATENATE("20",RIGHT('FY Q&amp;V 2003-04 to Now'!G$7,2)),'Minor Commodities - Q&amp;V'!$O$8:$O$250,2))*1000000</f>
        <v>296917683</v>
      </c>
      <c r="I26" s="890">
        <f>(SUMIFS('Minor Commodities - Q&amp;V'!$D$8:$D$250,'Minor Commodities - Q&amp;V'!$N$8:$N$250,LEFT('FY Q&amp;V 2003-04 to Now'!I$7,4),'Minor Commodities - Q&amp;V'!$O$8:$O$250,3)+
SUMIFS('Minor Commodities - Q&amp;V'!$D$8:$D$250,'Minor Commodities - Q&amp;V'!$N$8:$N$250,LEFT('FY Q&amp;V 2003-04 to Now'!I$7,4),'Minor Commodities - Q&amp;V'!$O$8:$O$250,4)+
SUMIFS('Minor Commodities - Q&amp;V'!$D$8:$D$250,'Minor Commodities - Q&amp;V'!$N$8:$N$250,CONCATENATE("20",RIGHT('FY Q&amp;V 2003-04 to Now'!I$7,2)),'Minor Commodities - Q&amp;V'!$O$8:$O$250,1)+
SUMIFS('Minor Commodities - Q&amp;V'!$D$8:$D$250,'Minor Commodities - Q&amp;V'!$N$8:$N$250,CONCATENATE("20",RIGHT('FY Q&amp;V 2003-04 to Now'!I$7,2)),'Minor Commodities - Q&amp;V'!$O$8:$O$250,2))*1000000</f>
        <v>6017627</v>
      </c>
      <c r="J26" s="891">
        <f>(SUMIFS('Minor Commodities - Q&amp;V'!$E$8:$E$250,'Minor Commodities - Q&amp;V'!$N$8:$N$250,LEFT('FY Q&amp;V 2003-04 to Now'!I$7,4),'Minor Commodities - Q&amp;V'!$O$8:$O$250,3)+
SUMIFS('Minor Commodities - Q&amp;V'!$E$8:$E$250,'Minor Commodities - Q&amp;V'!$N$8:$N$250,LEFT('FY Q&amp;V 2003-04 to Now'!I$7,4),'Minor Commodities - Q&amp;V'!$O$8:$O$250,4)+
SUMIFS('Minor Commodities - Q&amp;V'!$E$8:$E$250,'Minor Commodities - Q&amp;V'!$N$8:$N$250,CONCATENATE("20",RIGHT('FY Q&amp;V 2003-04 to Now'!I$7,2)),'Minor Commodities - Q&amp;V'!$O$8:$O$250,1)+
SUMIFS('Minor Commodities - Q&amp;V'!$E$8:$E$250,'Minor Commodities - Q&amp;V'!$N$8:$N$250,CONCATENATE("20",RIGHT('FY Q&amp;V 2003-04 to Now'!I$7,2)),'Minor Commodities - Q&amp;V'!$O$8:$O$250,2))*1000000</f>
        <v>271523196</v>
      </c>
      <c r="K26" s="890">
        <f>(SUMIFS('Minor Commodities - Q&amp;V'!$D$8:$D$250,'Minor Commodities - Q&amp;V'!$N$8:$N$250,LEFT('FY Q&amp;V 2003-04 to Now'!K$7,4),'Minor Commodities - Q&amp;V'!$O$8:$O$250,3)+
SUMIFS('Minor Commodities - Q&amp;V'!$D$8:$D$250,'Minor Commodities - Q&amp;V'!$N$8:$N$250,LEFT('FY Q&amp;V 2003-04 to Now'!K$7,4),'Minor Commodities - Q&amp;V'!$O$8:$O$250,4)+
SUMIFS('Minor Commodities - Q&amp;V'!$D$8:$D$250,'Minor Commodities - Q&amp;V'!$N$8:$N$250,CONCATENATE("20",RIGHT('FY Q&amp;V 2003-04 to Now'!K$7,2)),'Minor Commodities - Q&amp;V'!$O$8:$O$250,1)+
SUMIFS('Minor Commodities - Q&amp;V'!$D$8:$D$250,'Minor Commodities - Q&amp;V'!$N$8:$N$250,CONCATENATE("20",RIGHT('FY Q&amp;V 2003-04 to Now'!K$7,2)),'Minor Commodities - Q&amp;V'!$O$8:$O$250,2))*1000000</f>
        <v>6231426</v>
      </c>
      <c r="L26" s="891">
        <f>(SUMIFS('Minor Commodities - Q&amp;V'!$E$8:$E$250,'Minor Commodities - Q&amp;V'!$N$8:$N$250,LEFT('FY Q&amp;V 2003-04 to Now'!K$7,4),'Minor Commodities - Q&amp;V'!$O$8:$O$250,3)+
SUMIFS('Minor Commodities - Q&amp;V'!$E$8:$E$250,'Minor Commodities - Q&amp;V'!$N$8:$N$250,LEFT('FY Q&amp;V 2003-04 to Now'!K$7,4),'Minor Commodities - Q&amp;V'!$O$8:$O$250,4)+
SUMIFS('Minor Commodities - Q&amp;V'!$E$8:$E$250,'Minor Commodities - Q&amp;V'!$N$8:$N$250,CONCATENATE("20",RIGHT('FY Q&amp;V 2003-04 to Now'!K$7,2)),'Minor Commodities - Q&amp;V'!$O$8:$O$250,1)+
SUMIFS('Minor Commodities - Q&amp;V'!$E$8:$E$250,'Minor Commodities - Q&amp;V'!$N$8:$N$250,CONCATENATE("20",RIGHT('FY Q&amp;V 2003-04 to Now'!K$7,2)),'Minor Commodities - Q&amp;V'!$O$8:$O$250,2))*1000000</f>
        <v>270424457.99999994</v>
      </c>
      <c r="M26" s="890">
        <f>(SUMIFS('Minor Commodities - Q&amp;V'!$D$8:$D$250,'Minor Commodities - Q&amp;V'!$N$8:$N$250,LEFT('FY Q&amp;V 2003-04 to Now'!M$7,4),'Minor Commodities - Q&amp;V'!$O$8:$O$250,3)+
SUMIFS('Minor Commodities - Q&amp;V'!$D$8:$D$250,'Minor Commodities - Q&amp;V'!$N$8:$N$250,LEFT('FY Q&amp;V 2003-04 to Now'!M$7,4),'Minor Commodities - Q&amp;V'!$O$8:$O$250,4)+
SUMIFS('Minor Commodities - Q&amp;V'!$D$8:$D$250,'Minor Commodities - Q&amp;V'!$N$8:$N$250,CONCATENATE("20",RIGHT('FY Q&amp;V 2003-04 to Now'!M$7,2)),'Minor Commodities - Q&amp;V'!$O$8:$O$250,1)+
SUMIFS('Minor Commodities - Q&amp;V'!$D$8:$D$250,'Minor Commodities - Q&amp;V'!$N$8:$N$250,CONCATENATE("20",RIGHT('FY Q&amp;V 2003-04 to Now'!M$7,2)),'Minor Commodities - Q&amp;V'!$O$8:$O$250,2))*1000000</f>
        <v>6979209.0000000009</v>
      </c>
      <c r="N26" s="891">
        <f>(SUMIFS('Minor Commodities - Q&amp;V'!$E$8:$E$250,'Minor Commodities - Q&amp;V'!$N$8:$N$250,LEFT('FY Q&amp;V 2003-04 to Now'!M$7,4),'Minor Commodities - Q&amp;V'!$O$8:$O$250,3)+
SUMIFS('Minor Commodities - Q&amp;V'!$E$8:$E$250,'Minor Commodities - Q&amp;V'!$N$8:$N$250,LEFT('FY Q&amp;V 2003-04 to Now'!M$7,4),'Minor Commodities - Q&amp;V'!$O$8:$O$250,4)+
SUMIFS('Minor Commodities - Q&amp;V'!$E$8:$E$250,'Minor Commodities - Q&amp;V'!$N$8:$N$250,CONCATENATE("20",RIGHT('FY Q&amp;V 2003-04 to Now'!M$7,2)),'Minor Commodities - Q&amp;V'!$O$8:$O$250,1)+
SUMIFS('Minor Commodities - Q&amp;V'!$E$8:$E$250,'Minor Commodities - Q&amp;V'!$N$8:$N$250,CONCATENATE("20",RIGHT('FY Q&amp;V 2003-04 to Now'!M$7,2)),'Minor Commodities - Q&amp;V'!$O$8:$O$250,2))*1000000</f>
        <v>332572499</v>
      </c>
      <c r="O26" s="890">
        <f>(SUMIFS('Minor Commodities - Q&amp;V'!$D$8:$D$250,'Minor Commodities - Q&amp;V'!$N$8:$N$250,LEFT('FY Q&amp;V 2003-04 to Now'!O$7,4),'Minor Commodities - Q&amp;V'!$O$8:$O$250,3)+
SUMIFS('Minor Commodities - Q&amp;V'!$D$8:$D$250,'Minor Commodities - Q&amp;V'!$N$8:$N$250,LEFT('FY Q&amp;V 2003-04 to Now'!O$7,4),'Minor Commodities - Q&amp;V'!$O$8:$O$250,4)+
SUMIFS('Minor Commodities - Q&amp;V'!$D$8:$D$250,'Minor Commodities - Q&amp;V'!$N$8:$N$250,CONCATENATE("20",RIGHT('FY Q&amp;V 2003-04 to Now'!O$7,2)),'Minor Commodities - Q&amp;V'!$O$8:$O$250,1)+
SUMIFS('Minor Commodities - Q&amp;V'!$D$8:$D$250,'Minor Commodities - Q&amp;V'!$N$8:$N$250,CONCATENATE("20",RIGHT('FY Q&amp;V 2003-04 to Now'!O$7,2)),'Minor Commodities - Q&amp;V'!$O$8:$O$250,2))*1000000</f>
        <v>6712019</v>
      </c>
      <c r="P26" s="891">
        <f>(SUMIFS('Minor Commodities - Q&amp;V'!$E$8:$E$250,'Minor Commodities - Q&amp;V'!$N$8:$N$250,LEFT('FY Q&amp;V 2003-04 to Now'!O$7,4),'Minor Commodities - Q&amp;V'!$O$8:$O$250,3)+
SUMIFS('Minor Commodities - Q&amp;V'!$E$8:$E$250,'Minor Commodities - Q&amp;V'!$N$8:$N$250,LEFT('FY Q&amp;V 2003-04 to Now'!O$7,4),'Minor Commodities - Q&amp;V'!$O$8:$O$250,4)+
SUMIFS('Minor Commodities - Q&amp;V'!$E$8:$E$250,'Minor Commodities - Q&amp;V'!$N$8:$N$250,CONCATENATE("20",RIGHT('FY Q&amp;V 2003-04 to Now'!O$7,2)),'Minor Commodities - Q&amp;V'!$O$8:$O$250,1)+
SUMIFS('Minor Commodities - Q&amp;V'!$E$8:$E$250,'Minor Commodities - Q&amp;V'!$N$8:$N$250,CONCATENATE("20",RIGHT('FY Q&amp;V 2003-04 to Now'!O$7,2)),'Minor Commodities - Q&amp;V'!$O$8:$O$250,2))*1000000</f>
        <v>325855375</v>
      </c>
      <c r="Q26" s="890">
        <f>(SUMIFS('Minor Commodities - Q&amp;V'!$D$8:$D$250,'Minor Commodities - Q&amp;V'!$N$8:$N$250,LEFT('FY Q&amp;V 2003-04 to Now'!Q$7,4),'Minor Commodities - Q&amp;V'!$O$8:$O$250,3)+
SUMIFS('Minor Commodities - Q&amp;V'!$D$8:$D$250,'Minor Commodities - Q&amp;V'!$N$8:$N$250,LEFT('FY Q&amp;V 2003-04 to Now'!Q$7,4),'Minor Commodities - Q&amp;V'!$O$8:$O$250,4)+
SUMIFS('Minor Commodities - Q&amp;V'!$D$8:$D$250,'Minor Commodities - Q&amp;V'!$N$8:$N$250,CONCATENATE("20",RIGHT('FY Q&amp;V 2003-04 to Now'!Q$7,2)),'Minor Commodities - Q&amp;V'!$O$8:$O$250,1)+
SUMIFS('Minor Commodities - Q&amp;V'!$D$8:$D$250,'Minor Commodities - Q&amp;V'!$N$8:$N$250,CONCATENATE("20",RIGHT('FY Q&amp;V 2003-04 to Now'!Q$7,2)),'Minor Commodities - Q&amp;V'!$O$8:$O$250,2))*1000000</f>
        <v>7234455</v>
      </c>
      <c r="R26" s="891">
        <f>(SUMIFS('Minor Commodities - Q&amp;V'!$E$8:$E$250,'Minor Commodities - Q&amp;V'!$N$8:$N$250,LEFT('FY Q&amp;V 2003-04 to Now'!Q$7,4),'Minor Commodities - Q&amp;V'!$O$8:$O$250,3)+
SUMIFS('Minor Commodities - Q&amp;V'!$E$8:$E$250,'Minor Commodities - Q&amp;V'!$N$8:$N$250,LEFT('FY Q&amp;V 2003-04 to Now'!Q$7,4),'Minor Commodities - Q&amp;V'!$O$8:$O$250,4)+
SUMIFS('Minor Commodities - Q&amp;V'!$E$8:$E$250,'Minor Commodities - Q&amp;V'!$N$8:$N$250,CONCATENATE("20",RIGHT('FY Q&amp;V 2003-04 to Now'!Q$7,2)),'Minor Commodities - Q&amp;V'!$O$8:$O$250,1)+
SUMIFS('Minor Commodities - Q&amp;V'!$E$8:$E$250,'Minor Commodities - Q&amp;V'!$N$8:$N$250,CONCATENATE("20",RIGHT('FY Q&amp;V 2003-04 to Now'!Q$7,2)),'Minor Commodities - Q&amp;V'!$O$8:$O$250,2))*1000000</f>
        <v>296259551.00000006</v>
      </c>
      <c r="S26" s="890">
        <f>(SUMIFS('Minor Commodities - Q&amp;V'!$D$8:$D$250,'Minor Commodities - Q&amp;V'!$N$8:$N$250,LEFT('FY Q&amp;V 2003-04 to Now'!S$7,4),'Minor Commodities - Q&amp;V'!$O$8:$O$250,3)+
SUMIFS('Minor Commodities - Q&amp;V'!$D$8:$D$250,'Minor Commodities - Q&amp;V'!$N$8:$N$250,LEFT('FY Q&amp;V 2003-04 to Now'!S$7,4),'Minor Commodities - Q&amp;V'!$O$8:$O$250,4)+
SUMIFS('Minor Commodities - Q&amp;V'!$D$8:$D$250,'Minor Commodities - Q&amp;V'!$N$8:$N$250,CONCATENATE("20",RIGHT('FY Q&amp;V 2003-04 to Now'!S$7,2)),'Minor Commodities - Q&amp;V'!$O$8:$O$250,1)+
SUMIFS('Minor Commodities - Q&amp;V'!$D$8:$D$250,'Minor Commodities - Q&amp;V'!$N$8:$N$250,CONCATENATE("20",RIGHT('FY Q&amp;V 2003-04 to Now'!S$7,2)),'Minor Commodities - Q&amp;V'!$O$8:$O$250,2))*1000000</f>
        <v>6986433</v>
      </c>
      <c r="T26" s="891">
        <f>(SUMIFS('Minor Commodities - Q&amp;V'!$E$8:$E$250,'Minor Commodities - Q&amp;V'!$N$8:$N$250,LEFT('FY Q&amp;V 2003-04 to Now'!S$7,4),'Minor Commodities - Q&amp;V'!$O$8:$O$250,3)+
SUMIFS('Minor Commodities - Q&amp;V'!$E$8:$E$250,'Minor Commodities - Q&amp;V'!$N$8:$N$250,LEFT('FY Q&amp;V 2003-04 to Now'!S$7,4),'Minor Commodities - Q&amp;V'!$O$8:$O$250,4)+
SUMIFS('Minor Commodities - Q&amp;V'!$E$8:$E$250,'Minor Commodities - Q&amp;V'!$N$8:$N$250,CONCATENATE("20",RIGHT('FY Q&amp;V 2003-04 to Now'!S$7,2)),'Minor Commodities - Q&amp;V'!$O$8:$O$250,1)+
SUMIFS('Minor Commodities - Q&amp;V'!$E$8:$E$250,'Minor Commodities - Q&amp;V'!$N$8:$N$250,CONCATENATE("20",RIGHT('FY Q&amp;V 2003-04 to Now'!S$7,2)),'Minor Commodities - Q&amp;V'!$O$8:$O$250,2))*1000000</f>
        <v>289629252</v>
      </c>
      <c r="U26" s="890">
        <f>(SUMIFS('Minor Commodities - Q&amp;V'!$D$8:$D$250,'Minor Commodities - Q&amp;V'!$N$8:$N$250,LEFT('FY Q&amp;V 2003-04 to Now'!U$7,4),'Minor Commodities - Q&amp;V'!$O$8:$O$250,3)+
SUMIFS('Minor Commodities - Q&amp;V'!$D$8:$D$250,'Minor Commodities - Q&amp;V'!$N$8:$N$250,LEFT('FY Q&amp;V 2003-04 to Now'!U$7,4),'Minor Commodities - Q&amp;V'!$O$8:$O$250,4)+
SUMIFS('Minor Commodities - Q&amp;V'!$D$8:$D$250,'Minor Commodities - Q&amp;V'!$N$8:$N$250,CONCATENATE("20",RIGHT('FY Q&amp;V 2003-04 to Now'!U$7,2)),'Minor Commodities - Q&amp;V'!$O$8:$O$250,1)+
SUMIFS('Minor Commodities - Q&amp;V'!$D$8:$D$250,'Minor Commodities - Q&amp;V'!$N$8:$N$250,CONCATENATE("20",RIGHT('FY Q&amp;V 2003-04 to Now'!U$7,2)),'Minor Commodities - Q&amp;V'!$O$8:$O$250,2))*1000000</f>
        <v>7494280</v>
      </c>
      <c r="V26" s="891">
        <f>(SUMIFS('Minor Commodities - Q&amp;V'!$E$8:$E$250,'Minor Commodities - Q&amp;V'!$N$8:$N$250,LEFT('FY Q&amp;V 2003-04 to Now'!U$7,4),'Minor Commodities - Q&amp;V'!$O$8:$O$250,3)+
SUMIFS('Minor Commodities - Q&amp;V'!$E$8:$E$250,'Minor Commodities - Q&amp;V'!$N$8:$N$250,LEFT('FY Q&amp;V 2003-04 to Now'!U$7,4),'Minor Commodities - Q&amp;V'!$O$8:$O$250,4)+
SUMIFS('Minor Commodities - Q&amp;V'!$E$8:$E$250,'Minor Commodities - Q&amp;V'!$N$8:$N$250,CONCATENATE("20",RIGHT('FY Q&amp;V 2003-04 to Now'!U$7,2)),'Minor Commodities - Q&amp;V'!$O$8:$O$250,1)+
SUMIFS('Minor Commodities - Q&amp;V'!$E$8:$E$250,'Minor Commodities - Q&amp;V'!$N$8:$N$250,CONCATENATE("20",RIGHT('FY Q&amp;V 2003-04 to Now'!U$7,2)),'Minor Commodities - Q&amp;V'!$O$8:$O$250,2))*1000000</f>
        <v>310812886</v>
      </c>
      <c r="W26" s="890">
        <f>(SUMIFS('Minor Commodities - Q&amp;V'!$D$8:$D$250,'Minor Commodities - Q&amp;V'!$N$8:$N$250,LEFT('FY Q&amp;V 2003-04 to Now'!W$7,4),'Minor Commodities - Q&amp;V'!$O$8:$O$250,3)+
SUMIFS('Minor Commodities - Q&amp;V'!$D$8:$D$250,'Minor Commodities - Q&amp;V'!$N$8:$N$250,LEFT('FY Q&amp;V 2003-04 to Now'!W$7,4),'Minor Commodities - Q&amp;V'!$O$8:$O$250,4)+
SUMIFS('Minor Commodities - Q&amp;V'!$D$8:$D$250,'Minor Commodities - Q&amp;V'!$N$8:$N$250,CONCATENATE("20",RIGHT('FY Q&amp;V 2003-04 to Now'!W$7,2)),'Minor Commodities - Q&amp;V'!$O$8:$O$250,1)+
SUMIFS('Minor Commodities - Q&amp;V'!$D$8:$D$250,'Minor Commodities - Q&amp;V'!$N$8:$N$250,CONCATENATE("20",RIGHT('FY Q&amp;V 2003-04 to Now'!W$7,2)),'Minor Commodities - Q&amp;V'!$O$8:$O$250,2))*1000000</f>
        <v>6275421.7800000003</v>
      </c>
      <c r="X26" s="891">
        <f>(SUMIFS('Minor Commodities - Q&amp;V'!$E$8:$E$250,'Minor Commodities - Q&amp;V'!$N$8:$N$250,LEFT('FY Q&amp;V 2003-04 to Now'!W$7,4),'Minor Commodities - Q&amp;V'!$O$8:$O$250,3)+
SUMIFS('Minor Commodities - Q&amp;V'!$E$8:$E$250,'Minor Commodities - Q&amp;V'!$N$8:$N$250,LEFT('FY Q&amp;V 2003-04 to Now'!W$7,4),'Minor Commodities - Q&amp;V'!$O$8:$O$250,4)+
SUMIFS('Minor Commodities - Q&amp;V'!$E$8:$E$250,'Minor Commodities - Q&amp;V'!$N$8:$N$250,CONCATENATE("20",RIGHT('FY Q&amp;V 2003-04 to Now'!W$7,2)),'Minor Commodities - Q&amp;V'!$O$8:$O$250,1)+
SUMIFS('Minor Commodities - Q&amp;V'!$E$8:$E$250,'Minor Commodities - Q&amp;V'!$N$8:$N$250,CONCATENATE("20",RIGHT('FY Q&amp;V 2003-04 to Now'!W$7,2)),'Minor Commodities - Q&amp;V'!$O$8:$O$250,2))*1000000</f>
        <v>263701680</v>
      </c>
      <c r="Y26" s="890">
        <f>(SUMIFS('Minor Commodities - Q&amp;V'!$D$8:$D$250,'Minor Commodities - Q&amp;V'!$N$8:$N$250,LEFT('FY Q&amp;V 2003-04 to Now'!Y$7,4),'Minor Commodities - Q&amp;V'!$O$8:$O$250,3)+
SUMIFS('Minor Commodities - Q&amp;V'!$D$8:$D$250,'Minor Commodities - Q&amp;V'!$N$8:$N$250,LEFT('FY Q&amp;V 2003-04 to Now'!Y$7,4),'Minor Commodities - Q&amp;V'!$O$8:$O$250,4)+
SUMIFS('Minor Commodities - Q&amp;V'!$D$8:$D$250,'Minor Commodities - Q&amp;V'!$N$8:$N$250,CONCATENATE("20",RIGHT('FY Q&amp;V 2003-04 to Now'!Y$7,2)),'Minor Commodities - Q&amp;V'!$O$8:$O$250,1)+
SUMIFS('Minor Commodities - Q&amp;V'!$D$8:$D$250,'Minor Commodities - Q&amp;V'!$N$8:$N$250,CONCATENATE("20",RIGHT('FY Q&amp;V 2003-04 to Now'!Y$7,2)),'Minor Commodities - Q&amp;V'!$O$8:$O$250,2))*1000000</f>
        <v>6553063.75</v>
      </c>
      <c r="Z26" s="891">
        <f>(SUMIFS('Minor Commodities - Q&amp;V'!$E$8:$E$250,'Minor Commodities - Q&amp;V'!$N$8:$N$250,LEFT('FY Q&amp;V 2003-04 to Now'!Y$7,4),'Minor Commodities - Q&amp;V'!$O$8:$O$250,3)+
SUMIFS('Minor Commodities - Q&amp;V'!$E$8:$E$250,'Minor Commodities - Q&amp;V'!$N$8:$N$250,LEFT('FY Q&amp;V 2003-04 to Now'!Y$7,4),'Minor Commodities - Q&amp;V'!$O$8:$O$250,4)+
SUMIFS('Minor Commodities - Q&amp;V'!$E$8:$E$250,'Minor Commodities - Q&amp;V'!$N$8:$N$250,CONCATENATE("20",RIGHT('FY Q&amp;V 2003-04 to Now'!Y$7,2)),'Minor Commodities - Q&amp;V'!$O$8:$O$250,1)+
SUMIFS('Minor Commodities - Q&amp;V'!$E$8:$E$250,'Minor Commodities - Q&amp;V'!$N$8:$N$250,CONCATENATE("20",RIGHT('FY Q&amp;V 2003-04 to Now'!Y$7,2)),'Minor Commodities - Q&amp;V'!$O$8:$O$250,2))*1000000</f>
        <v>306733911</v>
      </c>
      <c r="AA26" s="890">
        <f>(SUMIFS('Minor Commodities - Q&amp;V'!$D$8:$D$250,'Minor Commodities - Q&amp;V'!$N$8:$N$250,LEFT('FY Q&amp;V 2003-04 to Now'!AA$7,4),'Minor Commodities - Q&amp;V'!$O$8:$O$250,3)+
SUMIFS('Minor Commodities - Q&amp;V'!$D$8:$D$250,'Minor Commodities - Q&amp;V'!$N$8:$N$250,LEFT('FY Q&amp;V 2003-04 to Now'!AA$7,4),'Minor Commodities - Q&amp;V'!$O$8:$O$250,4)+
SUMIFS('Minor Commodities - Q&amp;V'!$D$8:$D$250,'Minor Commodities - Q&amp;V'!$N$8:$N$250,CONCATENATE("20",RIGHT('FY Q&amp;V 2003-04 to Now'!AA$7,2)),'Minor Commodities - Q&amp;V'!$O$8:$O$250,1)+
SUMIFS('Minor Commodities - Q&amp;V'!$D$8:$D$250,'Minor Commodities - Q&amp;V'!$N$8:$N$250,CONCATENATE("20",RIGHT('FY Q&amp;V 2003-04 to Now'!AA$7,2)),'Minor Commodities - Q&amp;V'!$O$8:$O$250,2))*1000000</f>
        <v>6890950.7599999998</v>
      </c>
      <c r="AB26" s="891">
        <f>(SUMIFS('Minor Commodities - Q&amp;V'!$E$8:$E$250,'Minor Commodities - Q&amp;V'!$N$8:$N$250,LEFT('FY Q&amp;V 2003-04 to Now'!AA$7,4),'Minor Commodities - Q&amp;V'!$O$8:$O$250,3)+
SUMIFS('Minor Commodities - Q&amp;V'!$E$8:$E$250,'Minor Commodities - Q&amp;V'!$N$8:$N$250,LEFT('FY Q&amp;V 2003-04 to Now'!AA$7,4),'Minor Commodities - Q&amp;V'!$O$8:$O$250,4)+
SUMIFS('Minor Commodities - Q&amp;V'!$E$8:$E$250,'Minor Commodities - Q&amp;V'!$N$8:$N$250,CONCATENATE("20",RIGHT('FY Q&amp;V 2003-04 to Now'!AA$7,2)),'Minor Commodities - Q&amp;V'!$O$8:$O$250,1)+
SUMIFS('Minor Commodities - Q&amp;V'!$E$8:$E$250,'Minor Commodities - Q&amp;V'!$N$8:$N$250,CONCATENATE("20",RIGHT('FY Q&amp;V 2003-04 to Now'!AA$7,2)),'Minor Commodities - Q&amp;V'!$O$8:$O$250,2))*1000000</f>
        <v>336466825</v>
      </c>
      <c r="AC26" s="1308">
        <f>(SUMIFS('Minor Commodities - Q&amp;V'!$D$8:$D$250,'Minor Commodities - Q&amp;V'!$N$8:$N$250,LEFT('FY Q&amp;V 2003-04 to Now'!AC$7,4),'Minor Commodities - Q&amp;V'!$O$8:$O$250,3)+
SUMIFS('Minor Commodities - Q&amp;V'!$D$8:$D$250,'Minor Commodities - Q&amp;V'!$N$8:$N$250,LEFT('FY Q&amp;V 2003-04 to Now'!AC$7,4),'Minor Commodities - Q&amp;V'!$O$8:$O$250,4)+
SUMIFS('Minor Commodities - Q&amp;V'!$D$8:$D$250,'Minor Commodities - Q&amp;V'!$N$8:$N$250,CONCATENATE("20",RIGHT('FY Q&amp;V 2003-04 to Now'!AC$7,2)),'Minor Commodities - Q&amp;V'!$O$8:$O$250,1)+
SUMIFS('Minor Commodities - Q&amp;V'!$D$8:$D$250,'Minor Commodities - Q&amp;V'!$N$8:$N$250,CONCATENATE("20",RIGHT('FY Q&amp;V 2003-04 to Now'!AC$7,2)),'Minor Commodities - Q&amp;V'!$O$8:$O$250,2))*1000000</f>
        <v>6806389.2209999999</v>
      </c>
      <c r="AD26" s="891">
        <f>(SUMIFS('Minor Commodities - Q&amp;V'!$E$8:$E$250,'Minor Commodities - Q&amp;V'!$N$8:$N$250,LEFT('FY Q&amp;V 2003-04 to Now'!AC$7,4),'Minor Commodities - Q&amp;V'!$O$8:$O$250,3)+
SUMIFS('Minor Commodities - Q&amp;V'!$E$8:$E$250,'Minor Commodities - Q&amp;V'!$N$8:$N$250,LEFT('FY Q&amp;V 2003-04 to Now'!AC$7,4),'Minor Commodities - Q&amp;V'!$O$8:$O$250,4)+
SUMIFS('Minor Commodities - Q&amp;V'!$E$8:$E$250,'Minor Commodities - Q&amp;V'!$N$8:$N$250,CONCATENATE("20",RIGHT('FY Q&amp;V 2003-04 to Now'!AC$7,2)),'Minor Commodities - Q&amp;V'!$O$8:$O$250,1)+
SUMIFS('Minor Commodities - Q&amp;V'!$E$8:$E$250,'Minor Commodities - Q&amp;V'!$N$8:$N$250,CONCATENATE("20",RIGHT('FY Q&amp;V 2003-04 to Now'!AC$7,2)),'Minor Commodities - Q&amp;V'!$O$8:$O$250,2))*1000000</f>
        <v>338435045</v>
      </c>
      <c r="AE26" s="1308">
        <f>(SUMIFS('Minor Commodities - Q&amp;V'!$D$8:$D$250,'Minor Commodities - Q&amp;V'!$N$8:$N$250,LEFT('FY Q&amp;V 2003-04 to Now'!AE$7,4),'Minor Commodities - Q&amp;V'!$O$8:$O$250,3)+
SUMIFS('Minor Commodities - Q&amp;V'!$D$8:$D$250,'Minor Commodities - Q&amp;V'!$N$8:$N$250,LEFT('FY Q&amp;V 2003-04 to Now'!AE$7,4),'Minor Commodities - Q&amp;V'!$O$8:$O$250,4)+
SUMIFS('Minor Commodities - Q&amp;V'!$D$8:$D$250,'Minor Commodities - Q&amp;V'!$N$8:$N$250,CONCATENATE("20",RIGHT('FY Q&amp;V 2003-04 to Now'!AE$7,2)),'Minor Commodities - Q&amp;V'!$O$8:$O$250,1)+
SUMIFS('Minor Commodities - Q&amp;V'!$D$8:$D$250,'Minor Commodities - Q&amp;V'!$N$8:$N$250,CONCATENATE("20",RIGHT('FY Q&amp;V 2003-04 to Now'!AE$7,2)),'Minor Commodities - Q&amp;V'!$O$8:$O$250,2))*1000000</f>
        <v>6679934.8399999999</v>
      </c>
      <c r="AF26" s="891">
        <f>(SUMIFS('Minor Commodities - Q&amp;V'!$E$8:$E$250,'Minor Commodities - Q&amp;V'!$N$8:$N$250,LEFT('FY Q&amp;V 2003-04 to Now'!AE$7,4),'Minor Commodities - Q&amp;V'!$O$8:$O$250,3)+
SUMIFS('Minor Commodities - Q&amp;V'!$E$8:$E$250,'Minor Commodities - Q&amp;V'!$N$8:$N$250,LEFT('FY Q&amp;V 2003-04 to Now'!AE$7,4),'Minor Commodities - Q&amp;V'!$O$8:$O$250,4)+
SUMIFS('Minor Commodities - Q&amp;V'!$E$8:$E$250,'Minor Commodities - Q&amp;V'!$N$8:$N$250,CONCATENATE("20",RIGHT('FY Q&amp;V 2003-04 to Now'!AE$7,2)),'Minor Commodities - Q&amp;V'!$O$8:$O$250,1)+
SUMIFS('Minor Commodities - Q&amp;V'!$E$8:$E$250,'Minor Commodities - Q&amp;V'!$N$8:$N$250,CONCATENATE("20",RIGHT('FY Q&amp;V 2003-04 to Now'!AE$7,2)),'Minor Commodities - Q&amp;V'!$O$8:$O$250,2))*1000000</f>
        <v>331959621.63</v>
      </c>
      <c r="AG26" s="1308">
        <f>(SUMIFS('Minor Commodities - Q&amp;V'!$D$8:$D$250,'Minor Commodities - Q&amp;V'!$N$8:$N$250,LEFT('FY Q&amp;V 2003-04 to Now'!AG$7,4),'Minor Commodities - Q&amp;V'!$O$8:$O$250,3)+
SUMIFS('Minor Commodities - Q&amp;V'!$D$8:$D$250,'Minor Commodities - Q&amp;V'!$N$8:$N$250,LEFT('FY Q&amp;V 2003-04 to Now'!AG$7,4),'Minor Commodities - Q&amp;V'!$O$8:$O$250,4)+
SUMIFS('Minor Commodities - Q&amp;V'!$D$8:$D$250,'Minor Commodities - Q&amp;V'!$N$8:$N$250,CONCATENATE("20",RIGHT('FY Q&amp;V 2003-04 to Now'!AG$7,2)),'Minor Commodities - Q&amp;V'!$O$8:$O$250,1)+
SUMIFS('Minor Commodities - Q&amp;V'!$D$8:$D$250,'Minor Commodities - Q&amp;V'!$N$8:$N$250,CONCATENATE("20",RIGHT('FY Q&amp;V 2003-04 to Now'!AG$7,2)),'Minor Commodities - Q&amp;V'!$O$8:$O$250,2))*1000000</f>
        <v>6275190.46</v>
      </c>
      <c r="AH26" s="891">
        <f>(SUMIFS('Minor Commodities - Q&amp;V'!$E$8:$E$250,'Minor Commodities - Q&amp;V'!$N$8:$N$250,LEFT('FY Q&amp;V 2003-04 to Now'!AG$7,4),'Minor Commodities - Q&amp;V'!$O$8:$O$250,3)+
SUMIFS('Minor Commodities - Q&amp;V'!$E$8:$E$250,'Minor Commodities - Q&amp;V'!$N$8:$N$250,LEFT('FY Q&amp;V 2003-04 to Now'!AG$7,4),'Minor Commodities - Q&amp;V'!$O$8:$O$250,4)+
SUMIFS('Minor Commodities - Q&amp;V'!$E$8:$E$250,'Minor Commodities - Q&amp;V'!$N$8:$N$250,CONCATENATE("20",RIGHT('FY Q&amp;V 2003-04 to Now'!AG$7,2)),'Minor Commodities - Q&amp;V'!$O$8:$O$250,1)+
SUMIFS('Minor Commodities - Q&amp;V'!$E$8:$E$250,'Minor Commodities - Q&amp;V'!$N$8:$N$250,CONCATENATE("20",RIGHT('FY Q&amp;V 2003-04 to Now'!AG$7,2)),'Minor Commodities - Q&amp;V'!$O$8:$O$250,2))*1000000</f>
        <v>319370156</v>
      </c>
      <c r="AI26" s="953">
        <f>SUMIF($C$9:AH$9,1,$C26:AH26)</f>
        <v>106014175.811</v>
      </c>
      <c r="AJ26" s="891">
        <f>SUMIF($C$9:AH$9,0,$C26:AH26)</f>
        <v>4828143174.1300001</v>
      </c>
    </row>
    <row r="27" spans="1:36">
      <c r="A27" s="847"/>
      <c r="B27" s="848"/>
      <c r="C27" s="896"/>
      <c r="D27" s="878"/>
      <c r="E27" s="896"/>
      <c r="F27" s="878"/>
      <c r="G27" s="896"/>
      <c r="H27" s="878"/>
      <c r="I27" s="896"/>
      <c r="J27" s="878"/>
      <c r="K27" s="896"/>
      <c r="L27" s="878"/>
      <c r="M27" s="896"/>
      <c r="N27" s="878"/>
      <c r="O27" s="896"/>
      <c r="P27" s="878"/>
      <c r="Q27" s="896"/>
      <c r="R27" s="878"/>
      <c r="S27" s="896"/>
      <c r="T27" s="878"/>
      <c r="U27" s="896"/>
      <c r="V27" s="878"/>
      <c r="W27" s="896"/>
      <c r="X27" s="878"/>
      <c r="Y27" s="896"/>
      <c r="Z27" s="878"/>
      <c r="AA27" s="896"/>
      <c r="AB27" s="878"/>
      <c r="AC27" s="878"/>
      <c r="AD27" s="878"/>
      <c r="AE27" s="1309"/>
      <c r="AF27" s="878"/>
      <c r="AG27" s="1309"/>
      <c r="AH27" s="878"/>
      <c r="AI27" s="953"/>
      <c r="AJ27" s="891"/>
    </row>
    <row r="28" spans="1:36">
      <c r="A28" s="885" t="s">
        <v>231</v>
      </c>
      <c r="B28" s="638"/>
      <c r="C28" s="895"/>
      <c r="D28" s="892"/>
      <c r="E28" s="895"/>
      <c r="F28" s="892"/>
      <c r="G28" s="895"/>
      <c r="H28" s="892"/>
      <c r="I28" s="895"/>
      <c r="J28" s="892"/>
      <c r="K28" s="895"/>
      <c r="L28" s="892"/>
      <c r="M28" s="895"/>
      <c r="N28" s="892"/>
      <c r="O28" s="895"/>
      <c r="P28" s="892"/>
      <c r="Q28" s="895"/>
      <c r="R28" s="892"/>
      <c r="S28" s="895"/>
      <c r="T28" s="892"/>
      <c r="U28" s="895"/>
      <c r="V28" s="892"/>
      <c r="W28" s="895"/>
      <c r="X28" s="892"/>
      <c r="Y28" s="895"/>
      <c r="Z28" s="892"/>
      <c r="AA28" s="895"/>
      <c r="AB28" s="892"/>
      <c r="AC28" s="892"/>
      <c r="AD28" s="892"/>
      <c r="AE28" s="1307"/>
      <c r="AF28" s="892"/>
      <c r="AG28" s="1307"/>
      <c r="AH28" s="892"/>
      <c r="AI28" s="954"/>
      <c r="AJ28" s="955"/>
    </row>
    <row r="29" spans="1:36">
      <c r="A29" s="886" t="s">
        <v>335</v>
      </c>
      <c r="B29" s="594" t="s">
        <v>110</v>
      </c>
      <c r="C29" s="893">
        <v>461384.4</v>
      </c>
      <c r="D29" s="894">
        <v>3576081.85</v>
      </c>
      <c r="E29" s="893">
        <v>430979.08</v>
      </c>
      <c r="F29" s="894">
        <v>4069958.05</v>
      </c>
      <c r="G29" s="893">
        <v>948468</v>
      </c>
      <c r="H29" s="894">
        <v>22553670</v>
      </c>
      <c r="I29" s="893">
        <v>1102664.5</v>
      </c>
      <c r="J29" s="894">
        <v>28307131</v>
      </c>
      <c r="K29" s="893">
        <v>1814234.37</v>
      </c>
      <c r="L29" s="894">
        <v>45320296</v>
      </c>
      <c r="M29" s="893">
        <v>3941262.0600000005</v>
      </c>
      <c r="N29" s="894">
        <v>91104572</v>
      </c>
      <c r="O29" s="893">
        <v>3167933.6899999995</v>
      </c>
      <c r="P29" s="894">
        <v>79231292</v>
      </c>
      <c r="Q29" s="893">
        <v>1934859.53</v>
      </c>
      <c r="R29" s="894">
        <v>43801513.850000001</v>
      </c>
      <c r="S29" s="893">
        <v>3722254.2</v>
      </c>
      <c r="T29" s="894">
        <v>97854120.720189855</v>
      </c>
      <c r="U29" s="893">
        <v>4391375.63</v>
      </c>
      <c r="V29" s="894">
        <v>148775763.64999998</v>
      </c>
      <c r="W29" s="893">
        <v>2154534</v>
      </c>
      <c r="X29" s="894">
        <v>47255402</v>
      </c>
      <c r="Y29" s="893">
        <v>1963871.24</v>
      </c>
      <c r="Z29" s="894">
        <v>69239675.900000006</v>
      </c>
      <c r="AA29" s="893">
        <v>1313696.3399999999</v>
      </c>
      <c r="AB29" s="894">
        <v>42256612.86825148</v>
      </c>
      <c r="AC29" s="893">
        <v>1053310.5589999999</v>
      </c>
      <c r="AD29" s="894">
        <v>29764624.100000001</v>
      </c>
      <c r="AE29" s="1240">
        <v>1236604.611</v>
      </c>
      <c r="AF29" s="894">
        <v>37736094.870499998</v>
      </c>
      <c r="AG29" s="1240">
        <v>1503716.7140000002</v>
      </c>
      <c r="AH29" s="894">
        <v>51318476.579999998</v>
      </c>
      <c r="AI29" s="956">
        <f>SUMIF($C$9:AH$9,1,$C29:AH29)</f>
        <v>31141148.923999999</v>
      </c>
      <c r="AJ29" s="894">
        <f>SUMIF($C$9:AH$9,0,$C29:AH29)</f>
        <v>842165285.43894136</v>
      </c>
    </row>
    <row r="30" spans="1:36">
      <c r="A30" s="886" t="s">
        <v>336</v>
      </c>
      <c r="B30" s="594" t="s">
        <v>110</v>
      </c>
      <c r="C30" s="893">
        <v>136627.37</v>
      </c>
      <c r="D30" s="894">
        <v>933421</v>
      </c>
      <c r="E30" s="893">
        <v>303085.81</v>
      </c>
      <c r="F30" s="894">
        <v>1044043.2</v>
      </c>
      <c r="G30" s="893">
        <v>131119</v>
      </c>
      <c r="H30" s="894">
        <v>848142</v>
      </c>
      <c r="I30" s="893">
        <v>176724.28</v>
      </c>
      <c r="J30" s="894">
        <v>1303316.05</v>
      </c>
      <c r="K30" s="893">
        <v>160704.35</v>
      </c>
      <c r="L30" s="894">
        <v>1159687.5</v>
      </c>
      <c r="M30" s="893">
        <v>165262.66</v>
      </c>
      <c r="N30" s="894">
        <v>1694272.35</v>
      </c>
      <c r="O30" s="893">
        <v>184992.63000000003</v>
      </c>
      <c r="P30" s="894">
        <v>1521930.25</v>
      </c>
      <c r="Q30" s="893">
        <v>230784.54</v>
      </c>
      <c r="R30" s="894">
        <v>1760531.2</v>
      </c>
      <c r="S30" s="893">
        <v>283898.75</v>
      </c>
      <c r="T30" s="894">
        <v>2454937.8499999996</v>
      </c>
      <c r="U30" s="893">
        <v>561134.68500000006</v>
      </c>
      <c r="V30" s="894">
        <v>3947124.8200000008</v>
      </c>
      <c r="W30" s="893">
        <v>51853</v>
      </c>
      <c r="X30" s="894">
        <v>338431</v>
      </c>
      <c r="Y30" s="893">
        <v>172555.71000000002</v>
      </c>
      <c r="Z30" s="894">
        <v>993902.7</v>
      </c>
      <c r="AA30" s="893">
        <v>177243.17</v>
      </c>
      <c r="AB30" s="894">
        <v>1055083.1625000001</v>
      </c>
      <c r="AC30" s="893">
        <v>261219</v>
      </c>
      <c r="AD30" s="894">
        <v>1652110</v>
      </c>
      <c r="AE30" s="1240">
        <v>155130.21999999997</v>
      </c>
      <c r="AF30" s="894">
        <v>1067113.9668000001</v>
      </c>
      <c r="AG30" s="1240">
        <v>155900.49</v>
      </c>
      <c r="AH30" s="894">
        <v>2196350.3692347533</v>
      </c>
      <c r="AI30" s="956">
        <f>SUMIF($C$9:AH$9,1,$C30:AH30)</f>
        <v>3308235.665</v>
      </c>
      <c r="AJ30" s="894">
        <f>SUMIF($C$9:AH$9,0,$C30:AH30)</f>
        <v>23970397.418534752</v>
      </c>
    </row>
    <row r="31" spans="1:36">
      <c r="A31" s="886" t="s">
        <v>337</v>
      </c>
      <c r="B31" s="594" t="s">
        <v>110</v>
      </c>
      <c r="C31" s="893">
        <v>364612.16</v>
      </c>
      <c r="D31" s="894">
        <v>3129657.5</v>
      </c>
      <c r="E31" s="893">
        <v>329688.84000000003</v>
      </c>
      <c r="F31" s="894">
        <v>1917061.3</v>
      </c>
      <c r="G31" s="893">
        <v>531801.06999999995</v>
      </c>
      <c r="H31" s="894">
        <v>6115996</v>
      </c>
      <c r="I31" s="893">
        <v>389747.96</v>
      </c>
      <c r="J31" s="894">
        <v>2084403</v>
      </c>
      <c r="K31" s="893">
        <v>1324957.28</v>
      </c>
      <c r="L31" s="894">
        <v>22108330</v>
      </c>
      <c r="M31" s="893">
        <v>194471.1</v>
      </c>
      <c r="N31" s="894">
        <v>1703510</v>
      </c>
      <c r="O31" s="893">
        <v>531077.84</v>
      </c>
      <c r="P31" s="894">
        <v>9160687</v>
      </c>
      <c r="Q31" s="893">
        <v>298261.63999999996</v>
      </c>
      <c r="R31" s="894">
        <v>3251623.9</v>
      </c>
      <c r="S31" s="893">
        <v>509982.87</v>
      </c>
      <c r="T31" s="894">
        <v>6262935.21</v>
      </c>
      <c r="U31" s="893">
        <v>1109760.8900000001</v>
      </c>
      <c r="V31" s="894">
        <v>27142817.800000001</v>
      </c>
      <c r="W31" s="893">
        <v>402652</v>
      </c>
      <c r="X31" s="894">
        <v>10070061</v>
      </c>
      <c r="Y31" s="893">
        <v>1746693.4500000002</v>
      </c>
      <c r="Z31" s="894">
        <v>46504730.765000001</v>
      </c>
      <c r="AA31" s="893">
        <v>220401.58000000002</v>
      </c>
      <c r="AB31" s="894">
        <v>1828017.75</v>
      </c>
      <c r="AC31" s="893">
        <v>411657.74</v>
      </c>
      <c r="AD31" s="894">
        <v>6367558</v>
      </c>
      <c r="AE31" s="1240">
        <v>267387.93000000005</v>
      </c>
      <c r="AF31" s="894">
        <v>4417887.6520000007</v>
      </c>
      <c r="AG31" s="1240">
        <v>259672.44999999998</v>
      </c>
      <c r="AH31" s="894">
        <v>3865595.517248515</v>
      </c>
      <c r="AI31" s="956">
        <f>SUMIF($C$9:AH$9,1,$C31:AH31)</f>
        <v>8892826.8000000007</v>
      </c>
      <c r="AJ31" s="894">
        <f>SUMIF($C$9:AH$9,0,$C31:AH31)</f>
        <v>155930872.39424852</v>
      </c>
    </row>
    <row r="32" spans="1:36">
      <c r="A32" s="886" t="s">
        <v>338</v>
      </c>
      <c r="B32" s="594" t="s">
        <v>110</v>
      </c>
      <c r="C32" s="893">
        <v>2239610.81</v>
      </c>
      <c r="D32" s="894">
        <v>11095273.689999999</v>
      </c>
      <c r="E32" s="893">
        <v>2730454.24</v>
      </c>
      <c r="F32" s="894">
        <v>13547686.399999999</v>
      </c>
      <c r="G32" s="893">
        <v>3659544</v>
      </c>
      <c r="H32" s="894">
        <v>22118522</v>
      </c>
      <c r="I32" s="893">
        <v>4220897.3499999996</v>
      </c>
      <c r="J32" s="894">
        <v>22705249.399999999</v>
      </c>
      <c r="K32" s="893">
        <v>3360103</v>
      </c>
      <c r="L32" s="894">
        <v>20772902.75</v>
      </c>
      <c r="M32" s="893">
        <v>3836059.16</v>
      </c>
      <c r="N32" s="894">
        <v>29591018.649999999</v>
      </c>
      <c r="O32" s="893">
        <v>3226617.9000000008</v>
      </c>
      <c r="P32" s="894">
        <v>27573977.661281966</v>
      </c>
      <c r="Q32" s="893">
        <v>4818062.1500000022</v>
      </c>
      <c r="R32" s="894">
        <v>34712548.649999999</v>
      </c>
      <c r="S32" s="893">
        <v>6286702.410000002</v>
      </c>
      <c r="T32" s="894">
        <v>54502064.729999997</v>
      </c>
      <c r="U32" s="893">
        <v>5415504</v>
      </c>
      <c r="V32" s="894">
        <v>62093159.759999998</v>
      </c>
      <c r="W32" s="893">
        <v>3796749</v>
      </c>
      <c r="X32" s="894">
        <v>28420888</v>
      </c>
      <c r="Y32" s="893">
        <v>5658758.2910000011</v>
      </c>
      <c r="Z32" s="894">
        <v>46314767.219999999</v>
      </c>
      <c r="AA32" s="893">
        <v>3434991.824</v>
      </c>
      <c r="AB32" s="894">
        <v>34591599.397</v>
      </c>
      <c r="AC32" s="893">
        <v>2580585.3789999997</v>
      </c>
      <c r="AD32" s="894">
        <v>25287679.214000002</v>
      </c>
      <c r="AE32" s="1240">
        <v>4099134.2059999993</v>
      </c>
      <c r="AF32" s="894">
        <v>28281900.829000004</v>
      </c>
      <c r="AG32" s="1240">
        <v>2029391.5260000001</v>
      </c>
      <c r="AH32" s="894">
        <v>28319280.683875993</v>
      </c>
      <c r="AI32" s="956">
        <f>SUMIF($C$9:AH$9,1,$C32:AH32)</f>
        <v>61393165.246000014</v>
      </c>
      <c r="AJ32" s="894">
        <f>SUMIF($C$9:AH$9,0,$C32:AH32)</f>
        <v>489928519.03515792</v>
      </c>
    </row>
    <row r="33" spans="1:42">
      <c r="A33" s="886" t="s">
        <v>45</v>
      </c>
      <c r="B33" s="594"/>
      <c r="C33" s="893"/>
      <c r="D33" s="894"/>
      <c r="E33" s="893"/>
      <c r="F33" s="894"/>
      <c r="G33" s="893"/>
      <c r="H33" s="894"/>
      <c r="I33" s="893"/>
      <c r="J33" s="894"/>
      <c r="K33" s="893"/>
      <c r="L33" s="894"/>
      <c r="M33" s="893"/>
      <c r="N33" s="894"/>
      <c r="O33" s="893"/>
      <c r="P33" s="894"/>
      <c r="Q33" s="893"/>
      <c r="R33" s="894"/>
      <c r="S33" s="893"/>
      <c r="T33" s="894"/>
      <c r="U33" s="893"/>
      <c r="V33" s="894"/>
      <c r="W33" s="893"/>
      <c r="X33" s="894" t="s">
        <v>653</v>
      </c>
      <c r="Y33" s="893"/>
      <c r="Z33" s="894">
        <v>0</v>
      </c>
      <c r="AA33" s="893"/>
      <c r="AB33" s="894">
        <v>0</v>
      </c>
      <c r="AC33" s="894"/>
      <c r="AD33" s="894" t="s">
        <v>653</v>
      </c>
      <c r="AE33" s="893"/>
      <c r="AG33" s="893"/>
      <c r="AI33" s="956">
        <f>SUMIF($C$9:AH$9,1,$C33:AH33)</f>
        <v>0</v>
      </c>
      <c r="AJ33" s="894">
        <f>SUMIF($C$9:AH$9,0,$C33:AH33)</f>
        <v>0</v>
      </c>
    </row>
    <row r="34" spans="1:42">
      <c r="A34" s="889" t="s">
        <v>233</v>
      </c>
      <c r="B34" s="638"/>
      <c r="C34" s="893"/>
      <c r="D34" s="894">
        <f t="shared" ref="D34:F34" si="16">SUM(D29:D33)</f>
        <v>18734434.039999999</v>
      </c>
      <c r="E34" s="893"/>
      <c r="F34" s="894">
        <f t="shared" si="16"/>
        <v>20578748.949999999</v>
      </c>
      <c r="G34" s="893"/>
      <c r="H34" s="894">
        <f t="shared" ref="H34" si="17">SUM(H29:H33)</f>
        <v>51636330</v>
      </c>
      <c r="I34" s="893"/>
      <c r="J34" s="894">
        <f>SUM(J29:J33)</f>
        <v>54400099.450000003</v>
      </c>
      <c r="K34" s="893"/>
      <c r="L34" s="894">
        <f t="shared" ref="L34" si="18">SUM(L29:L33)</f>
        <v>89361216.25</v>
      </c>
      <c r="M34" s="893"/>
      <c r="N34" s="894">
        <f t="shared" ref="N34" si="19">SUM(N29:N33)</f>
        <v>124093373</v>
      </c>
      <c r="O34" s="893"/>
      <c r="P34" s="894">
        <f t="shared" ref="P34" si="20">SUM(P29:P33)</f>
        <v>117487886.91128197</v>
      </c>
      <c r="Q34" s="893"/>
      <c r="R34" s="894">
        <f t="shared" ref="R34" si="21">SUM(R29:R33)</f>
        <v>83526217.599999994</v>
      </c>
      <c r="S34" s="893"/>
      <c r="T34" s="894">
        <f t="shared" ref="T34" si="22">SUM(T29:T33)</f>
        <v>161074058.51018983</v>
      </c>
      <c r="U34" s="893"/>
      <c r="V34" s="894">
        <f t="shared" ref="V34" si="23">SUM(V29:V33)</f>
        <v>241958866.02999997</v>
      </c>
      <c r="W34" s="893"/>
      <c r="X34" s="894">
        <v>86084782</v>
      </c>
      <c r="Y34" s="893"/>
      <c r="Z34" s="894">
        <v>163053076.58500001</v>
      </c>
      <c r="AA34" s="893"/>
      <c r="AB34" s="894">
        <v>79731313.177751482</v>
      </c>
      <c r="AC34" s="894"/>
      <c r="AD34" s="894">
        <v>63071971.503999993</v>
      </c>
      <c r="AF34" s="894">
        <v>71502997.318300009</v>
      </c>
      <c r="AG34" s="1240"/>
      <c r="AH34" s="894">
        <v>85699703.150359258</v>
      </c>
      <c r="AI34" s="954"/>
      <c r="AJ34" s="894">
        <f>SUMIF($C$9:AH$9,0,$C34:AH34)</f>
        <v>1511995074.4768825</v>
      </c>
    </row>
    <row r="35" spans="1:42">
      <c r="A35" s="596"/>
      <c r="B35" s="638"/>
      <c r="C35" s="895"/>
      <c r="D35" s="892"/>
      <c r="E35" s="895"/>
      <c r="F35" s="892"/>
      <c r="G35" s="895"/>
      <c r="H35" s="892"/>
      <c r="I35" s="895"/>
      <c r="J35" s="892"/>
      <c r="K35" s="895"/>
      <c r="L35" s="892"/>
      <c r="M35" s="895"/>
      <c r="N35" s="892"/>
      <c r="O35" s="895"/>
      <c r="P35" s="892"/>
      <c r="Q35" s="895"/>
      <c r="R35" s="944"/>
      <c r="S35" s="895"/>
      <c r="T35" s="892"/>
      <c r="U35" s="895"/>
      <c r="V35" s="892"/>
      <c r="W35" s="895"/>
      <c r="X35" s="892"/>
      <c r="Y35" s="895"/>
      <c r="Z35" s="892"/>
      <c r="AA35" s="895"/>
      <c r="AB35" s="892"/>
      <c r="AC35" s="892"/>
      <c r="AD35" s="892"/>
      <c r="AE35" s="1307"/>
      <c r="AF35" s="892"/>
      <c r="AG35" s="1307"/>
      <c r="AH35" s="892"/>
      <c r="AI35" s="954"/>
      <c r="AJ35" s="955"/>
      <c r="AP35" s="1240"/>
    </row>
    <row r="36" spans="1:42">
      <c r="A36" s="884" t="s">
        <v>234</v>
      </c>
      <c r="B36" s="880" t="s">
        <v>235</v>
      </c>
      <c r="C36" s="890">
        <f>(SUMIFS('Minor Commodities - Q&amp;V'!$H$8:$H$250,'Minor Commodities - Q&amp;V'!$N$8:$N$250,LEFT('FY Q&amp;V 2003-04 to Now'!C$7,4),'Minor Commodities - Q&amp;V'!$O$8:$O$250,3)+
SUMIFS('Minor Commodities - Q&amp;V'!$H$8:$H$250,'Minor Commodities - Q&amp;V'!$N$8:$N$250,LEFT('FY Q&amp;V 2003-04 to Now'!C$7,4),'Minor Commodities - Q&amp;V'!$O$8:$O$250,4)+
SUMIFS('Minor Commodities - Q&amp;V'!$H$8:$H$250,'Minor Commodities - Q&amp;V'!$N$8:$N$250,CONCATENATE("20",RIGHT('FY Q&amp;V 2003-04 to Now'!C$7,2)),'Minor Commodities - Q&amp;V'!$O$8:$O$250,1)+
SUMIFS('Minor Commodities - Q&amp;V'!$H$8:$H$250,'Minor Commodities - Q&amp;V'!$N$8:$N$250,CONCATENATE("20",RIGHT('FY Q&amp;V 2003-04 to Now'!C$7,2)),'Minor Commodities - Q&amp;V'!$O$8:$O$250,2))*1000000</f>
        <v>32499111.999999996</v>
      </c>
      <c r="D36" s="891">
        <f>(SUMIFS('Minor Commodities - Q&amp;V'!$I$8:$I$250,'Minor Commodities - Q&amp;V'!$N$8:$N$250,LEFT('FY Q&amp;V 2003-04 to Now'!C$7,4),'Minor Commodities - Q&amp;V'!$O$8:$O$250,3)+
SUMIFS('Minor Commodities - Q&amp;V'!$I$8:$I$250,'Minor Commodities - Q&amp;V'!$N$8:$N$250,LEFT('FY Q&amp;V 2003-04 to Now'!C$7,4),'Minor Commodities - Q&amp;V'!$O$8:$O$250,4)+
SUMIFS('Minor Commodities - Q&amp;V'!$I$8:$I$250,'Minor Commodities - Q&amp;V'!$N$8:$N$250,CONCATENATE("20",RIGHT('FY Q&amp;V 2003-04 to Now'!C$7,2)),'Minor Commodities - Q&amp;V'!$O$8:$O$250,1)+
SUMIFS('Minor Commodities - Q&amp;V'!$I$8:$I$250,'Minor Commodities - Q&amp;V'!$N$8:$N$250,CONCATENATE("20",RIGHT('FY Q&amp;V 2003-04 to Now'!C$7,2)),'Minor Commodities - Q&amp;V'!$O$8:$O$250,2))*1000000</f>
        <v>519865332.99999994</v>
      </c>
      <c r="E36" s="890">
        <f>(SUMIFS('Minor Commodities - Q&amp;V'!$H$8:$H$250,'Minor Commodities - Q&amp;V'!$N$8:$N$250,LEFT('FY Q&amp;V 2003-04 to Now'!E$7,4),'Minor Commodities - Q&amp;V'!$O$8:$O$250,3)+
SUMIFS('Minor Commodities - Q&amp;V'!$H$8:$H$250,'Minor Commodities - Q&amp;V'!$N$8:$N$250,LEFT('FY Q&amp;V 2003-04 to Now'!E$7,4),'Minor Commodities - Q&amp;V'!$O$8:$O$250,4)+
SUMIFS('Minor Commodities - Q&amp;V'!$H$8:$H$250,'Minor Commodities - Q&amp;V'!$N$8:$N$250,CONCATENATE("20",RIGHT('FY Q&amp;V 2003-04 to Now'!E$7,2)),'Minor Commodities - Q&amp;V'!$O$8:$O$250,1)+
SUMIFS('Minor Commodities - Q&amp;V'!$H$8:$H$250,'Minor Commodities - Q&amp;V'!$N$8:$N$250,CONCATENATE("20",RIGHT('FY Q&amp;V 2003-04 to Now'!E$7,2)),'Minor Commodities - Q&amp;V'!$O$8:$O$250,2))*1000000</f>
        <v>22799773</v>
      </c>
      <c r="F36" s="891">
        <f>(SUMIFS('Minor Commodities - Q&amp;V'!$I$8:$I$250,'Minor Commodities - Q&amp;V'!$N$8:$N$250,LEFT('FY Q&amp;V 2003-04 to Now'!E$7,4),'Minor Commodities - Q&amp;V'!$O$8:$O$250,3)+
SUMIFS('Minor Commodities - Q&amp;V'!$I$8:$I$250,'Minor Commodities - Q&amp;V'!$N$8:$N$250,LEFT('FY Q&amp;V 2003-04 to Now'!E$7,4),'Minor Commodities - Q&amp;V'!$O$8:$O$250,4)+
SUMIFS('Minor Commodities - Q&amp;V'!$I$8:$I$250,'Minor Commodities - Q&amp;V'!$N$8:$N$250,CONCATENATE("20",RIGHT('FY Q&amp;V 2003-04 to Now'!E$7,2)),'Minor Commodities - Q&amp;V'!$O$8:$O$250,1)+
SUMIFS('Minor Commodities - Q&amp;V'!$I$8:$I$250,'Minor Commodities - Q&amp;V'!$N$8:$N$250,CONCATENATE("20",RIGHT('FY Q&amp;V 2003-04 to Now'!E$7,2)),'Minor Commodities - Q&amp;V'!$O$8:$O$250,2))*1000000</f>
        <v>479842597</v>
      </c>
      <c r="G36" s="890">
        <f>(SUMIFS('Minor Commodities - Q&amp;V'!$H$8:$H$250,'Minor Commodities - Q&amp;V'!$N$8:$N$250,LEFT('FY Q&amp;V 2003-04 to Now'!G$7,4),'Minor Commodities - Q&amp;V'!$O$8:$O$250,3)+
SUMIFS('Minor Commodities - Q&amp;V'!$H$8:$H$250,'Minor Commodities - Q&amp;V'!$N$8:$N$250,LEFT('FY Q&amp;V 2003-04 to Now'!G$7,4),'Minor Commodities - Q&amp;V'!$O$8:$O$250,4)+
SUMIFS('Minor Commodities - Q&amp;V'!$H$8:$H$250,'Minor Commodities - Q&amp;V'!$N$8:$N$250,CONCATENATE("20",RIGHT('FY Q&amp;V 2003-04 to Now'!G$7,2)),'Minor Commodities - Q&amp;V'!$O$8:$O$250,1)+
SUMIFS('Minor Commodities - Q&amp;V'!$H$8:$H$250,'Minor Commodities - Q&amp;V'!$N$8:$N$250,CONCATENATE("20",RIGHT('FY Q&amp;V 2003-04 to Now'!G$7,2)),'Minor Commodities - Q&amp;V'!$O$8:$O$250,2))*1000000</f>
        <v>29263869</v>
      </c>
      <c r="H36" s="891">
        <f>(SUMIFS('Minor Commodities - Q&amp;V'!$I$8:$I$250,'Minor Commodities - Q&amp;V'!$N$8:$N$250,LEFT('FY Q&amp;V 2003-04 to Now'!G$7,4),'Minor Commodities - Q&amp;V'!$O$8:$O$250,3)+
SUMIFS('Minor Commodities - Q&amp;V'!$I$8:$I$250,'Minor Commodities - Q&amp;V'!$N$8:$N$250,LEFT('FY Q&amp;V 2003-04 to Now'!G$7,4),'Minor Commodities - Q&amp;V'!$O$8:$O$250,4)+
SUMIFS('Minor Commodities - Q&amp;V'!$I$8:$I$250,'Minor Commodities - Q&amp;V'!$N$8:$N$250,CONCATENATE("20",RIGHT('FY Q&amp;V 2003-04 to Now'!G$7,2)),'Minor Commodities - Q&amp;V'!$O$8:$O$250,1)+
SUMIFS('Minor Commodities - Q&amp;V'!$I$8:$I$250,'Minor Commodities - Q&amp;V'!$N$8:$N$250,CONCATENATE("20",RIGHT('FY Q&amp;V 2003-04 to Now'!G$7,2)),'Minor Commodities - Q&amp;V'!$O$8:$O$250,2))*1000000</f>
        <v>696209547.99999988</v>
      </c>
      <c r="I36" s="890">
        <f>(SUMIFS('Minor Commodities - Q&amp;V'!$H$8:$H$250,'Minor Commodities - Q&amp;V'!$N$8:$N$250,LEFT('FY Q&amp;V 2003-04 to Now'!I$7,4),'Minor Commodities - Q&amp;V'!$O$8:$O$250,3)+
SUMIFS('Minor Commodities - Q&amp;V'!$H$8:$H$250,'Minor Commodities - Q&amp;V'!$N$8:$N$250,LEFT('FY Q&amp;V 2003-04 to Now'!I$7,4),'Minor Commodities - Q&amp;V'!$O$8:$O$250,4)+
SUMIFS('Minor Commodities - Q&amp;V'!$H$8:$H$250,'Minor Commodities - Q&amp;V'!$N$8:$N$250,CONCATENATE("20",RIGHT('FY Q&amp;V 2003-04 to Now'!I$7,2)),'Minor Commodities - Q&amp;V'!$O$8:$O$250,1)+
SUMIFS('Minor Commodities - Q&amp;V'!$H$8:$H$250,'Minor Commodities - Q&amp;V'!$N$8:$N$250,CONCATENATE("20",RIGHT('FY Q&amp;V 2003-04 to Now'!I$7,2)),'Minor Commodities - Q&amp;V'!$O$8:$O$250,2))*1000000</f>
        <v>18223318.999999996</v>
      </c>
      <c r="J36" s="891">
        <f>(SUMIFS('Minor Commodities - Q&amp;V'!$I$8:$I$250,'Minor Commodities - Q&amp;V'!$N$8:$N$250,LEFT('FY Q&amp;V 2003-04 to Now'!I$7,4),'Minor Commodities - Q&amp;V'!$O$8:$O$250,3)+
SUMIFS('Minor Commodities - Q&amp;V'!$I$8:$I$250,'Minor Commodities - Q&amp;V'!$N$8:$N$250,LEFT('FY Q&amp;V 2003-04 to Now'!I$7,4),'Minor Commodities - Q&amp;V'!$O$8:$O$250,4)+
SUMIFS('Minor Commodities - Q&amp;V'!$I$8:$I$250,'Minor Commodities - Q&amp;V'!$N$8:$N$250,CONCATENATE("20",RIGHT('FY Q&amp;V 2003-04 to Now'!I$7,2)),'Minor Commodities - Q&amp;V'!$O$8:$O$250,1)+
SUMIFS('Minor Commodities - Q&amp;V'!$I$8:$I$250,'Minor Commodities - Q&amp;V'!$N$8:$N$250,CONCATENATE("20",RIGHT('FY Q&amp;V 2003-04 to Now'!I$7,2)),'Minor Commodities - Q&amp;V'!$O$8:$O$250,2))*1000000</f>
        <v>461923761</v>
      </c>
      <c r="K36" s="890">
        <f>(SUMIFS('Minor Commodities - Q&amp;V'!$H$8:$H$250,'Minor Commodities - Q&amp;V'!$N$8:$N$250,LEFT('FY Q&amp;V 2003-04 to Now'!K$7,4),'Minor Commodities - Q&amp;V'!$O$8:$O$250,3)+
SUMIFS('Minor Commodities - Q&amp;V'!$H$8:$H$250,'Minor Commodities - Q&amp;V'!$N$8:$N$250,LEFT('FY Q&amp;V 2003-04 to Now'!K$7,4),'Minor Commodities - Q&amp;V'!$O$8:$O$250,4)+
SUMIFS('Minor Commodities - Q&amp;V'!$H$8:$H$250,'Minor Commodities - Q&amp;V'!$N$8:$N$250,CONCATENATE("20",RIGHT('FY Q&amp;V 2003-04 to Now'!K$7,2)),'Minor Commodities - Q&amp;V'!$O$8:$O$250,1)+
SUMIFS('Minor Commodities - Q&amp;V'!$H$8:$H$250,'Minor Commodities - Q&amp;V'!$N$8:$N$250,CONCATENATE("20",RIGHT('FY Q&amp;V 2003-04 to Now'!K$7,2)),'Minor Commodities - Q&amp;V'!$O$8:$O$250,2))*1000000</f>
        <v>27968098</v>
      </c>
      <c r="L36" s="891">
        <f>(SUMIFS('Minor Commodities - Q&amp;V'!$I$8:$I$250,'Minor Commodities - Q&amp;V'!$N$8:$N$250,LEFT('FY Q&amp;V 2003-04 to Now'!K$7,4),'Minor Commodities - Q&amp;V'!$O$8:$O$250,3)+
SUMIFS('Minor Commodities - Q&amp;V'!$I$8:$I$250,'Minor Commodities - Q&amp;V'!$N$8:$N$250,LEFT('FY Q&amp;V 2003-04 to Now'!K$7,4),'Minor Commodities - Q&amp;V'!$O$8:$O$250,4)+
SUMIFS('Minor Commodities - Q&amp;V'!$I$8:$I$250,'Minor Commodities - Q&amp;V'!$N$8:$N$250,CONCATENATE("20",RIGHT('FY Q&amp;V 2003-04 to Now'!K$7,2)),'Minor Commodities - Q&amp;V'!$O$8:$O$250,1)+
SUMIFS('Minor Commodities - Q&amp;V'!$I$8:$I$250,'Minor Commodities - Q&amp;V'!$N$8:$N$250,CONCATENATE("20",RIGHT('FY Q&amp;V 2003-04 to Now'!K$7,2)),'Minor Commodities - Q&amp;V'!$O$8:$O$250,2))*1000000</f>
        <v>612985558</v>
      </c>
      <c r="M36" s="890">
        <f>(SUMIFS('Minor Commodities - Q&amp;V'!$H$8:$H$250,'Minor Commodities - Q&amp;V'!$N$8:$N$250,LEFT('FY Q&amp;V 2003-04 to Now'!M$7,4),'Minor Commodities - Q&amp;V'!$O$8:$O$250,3)+
SUMIFS('Minor Commodities - Q&amp;V'!$H$8:$H$250,'Minor Commodities - Q&amp;V'!$N$8:$N$250,LEFT('FY Q&amp;V 2003-04 to Now'!M$7,4),'Minor Commodities - Q&amp;V'!$O$8:$O$250,4)+
SUMIFS('Minor Commodities - Q&amp;V'!$H$8:$H$250,'Minor Commodities - Q&amp;V'!$N$8:$N$250,CONCATENATE("20",RIGHT('FY Q&amp;V 2003-04 to Now'!M$7,2)),'Minor Commodities - Q&amp;V'!$O$8:$O$250,1)+
SUMIFS('Minor Commodities - Q&amp;V'!$H$8:$H$250,'Minor Commodities - Q&amp;V'!$N$8:$N$250,CONCATENATE("20",RIGHT('FY Q&amp;V 2003-04 to Now'!M$7,2)),'Minor Commodities - Q&amp;V'!$O$8:$O$250,2))*1000000</f>
        <v>23187842</v>
      </c>
      <c r="N36" s="891">
        <f>(SUMIFS('Minor Commodities - Q&amp;V'!$I$8:$I$250,'Minor Commodities - Q&amp;V'!$N$8:$N$250,LEFT('FY Q&amp;V 2003-04 to Now'!M$7,4),'Minor Commodities - Q&amp;V'!$O$8:$O$250,3)+
SUMIFS('Minor Commodities - Q&amp;V'!$I$8:$I$250,'Minor Commodities - Q&amp;V'!$N$8:$N$250,LEFT('FY Q&amp;V 2003-04 to Now'!M$7,4),'Minor Commodities - Q&amp;V'!$O$8:$O$250,4)+
SUMIFS('Minor Commodities - Q&amp;V'!$I$8:$I$250,'Minor Commodities - Q&amp;V'!$N$8:$N$250,CONCATENATE("20",RIGHT('FY Q&amp;V 2003-04 to Now'!M$7,2)),'Minor Commodities - Q&amp;V'!$O$8:$O$250,1)+
SUMIFS('Minor Commodities - Q&amp;V'!$I$8:$I$250,'Minor Commodities - Q&amp;V'!$N$8:$N$250,CONCATENATE("20",RIGHT('FY Q&amp;V 2003-04 to Now'!M$7,2)),'Minor Commodities - Q&amp;V'!$O$8:$O$250,2))*1000000</f>
        <v>272693003</v>
      </c>
      <c r="O36" s="890">
        <f>(SUMIFS('Minor Commodities - Q&amp;V'!$H$8:$H$250,'Minor Commodities - Q&amp;V'!$N$8:$N$250,LEFT('FY Q&amp;V 2003-04 to Now'!O$7,4),'Minor Commodities - Q&amp;V'!$O$8:$O$250,3)+
SUMIFS('Minor Commodities - Q&amp;V'!$H$8:$H$250,'Minor Commodities - Q&amp;V'!$N$8:$N$250,LEFT('FY Q&amp;V 2003-04 to Now'!O$7,4),'Minor Commodities - Q&amp;V'!$O$8:$O$250,4)+
SUMIFS('Minor Commodities - Q&amp;V'!$H$8:$H$250,'Minor Commodities - Q&amp;V'!$N$8:$N$250,CONCATENATE("20",RIGHT('FY Q&amp;V 2003-04 to Now'!O$7,2)),'Minor Commodities - Q&amp;V'!$O$8:$O$250,1)+
SUMIFS('Minor Commodities - Q&amp;V'!$H$8:$H$250,'Minor Commodities - Q&amp;V'!$N$8:$N$250,CONCATENATE("20",RIGHT('FY Q&amp;V 2003-04 to Now'!O$7,2)),'Minor Commodities - Q&amp;V'!$O$8:$O$250,2))*1000000</f>
        <v>16280757.000000002</v>
      </c>
      <c r="P36" s="891">
        <f>(SUMIFS('Minor Commodities - Q&amp;V'!$I$8:$I$250,'Minor Commodities - Q&amp;V'!$N$8:$N$250,LEFT('FY Q&amp;V 2003-04 to Now'!O$7,4),'Minor Commodities - Q&amp;V'!$O$8:$O$250,3)+
SUMIFS('Minor Commodities - Q&amp;V'!$I$8:$I$250,'Minor Commodities - Q&amp;V'!$N$8:$N$250,LEFT('FY Q&amp;V 2003-04 to Now'!O$7,4),'Minor Commodities - Q&amp;V'!$O$8:$O$250,4)+
SUMIFS('Minor Commodities - Q&amp;V'!$I$8:$I$250,'Minor Commodities - Q&amp;V'!$N$8:$N$250,CONCATENATE("20",RIGHT('FY Q&amp;V 2003-04 to Now'!O$7,2)),'Minor Commodities - Q&amp;V'!$O$8:$O$250,1)+
SUMIFS('Minor Commodities - Q&amp;V'!$I$8:$I$250,'Minor Commodities - Q&amp;V'!$N$8:$N$250,CONCATENATE("20",RIGHT('FY Q&amp;V 2003-04 to Now'!O$7,2)),'Minor Commodities - Q&amp;V'!$O$8:$O$250,2))*1000000</f>
        <v>304332534</v>
      </c>
      <c r="Q36" s="890">
        <f>(SUMIFS('Minor Commodities - Q&amp;V'!$H$8:$H$250,'Minor Commodities - Q&amp;V'!$N$8:$N$250,LEFT('FY Q&amp;V 2003-04 to Now'!Q$7,4),'Minor Commodities - Q&amp;V'!$O$8:$O$250,3)+
SUMIFS('Minor Commodities - Q&amp;V'!$H$8:$H$250,'Minor Commodities - Q&amp;V'!$N$8:$N$250,LEFT('FY Q&amp;V 2003-04 to Now'!Q$7,4),'Minor Commodities - Q&amp;V'!$O$8:$O$250,4)+
SUMIFS('Minor Commodities - Q&amp;V'!$H$8:$H$250,'Minor Commodities - Q&amp;V'!$N$8:$N$250,CONCATENATE("20",RIGHT('FY Q&amp;V 2003-04 to Now'!Q$7,2)),'Minor Commodities - Q&amp;V'!$O$8:$O$250,1)+
SUMIFS('Minor Commodities - Q&amp;V'!$H$8:$H$250,'Minor Commodities - Q&amp;V'!$N$8:$N$250,CONCATENATE("20",RIGHT('FY Q&amp;V 2003-04 to Now'!Q$7,2)),'Minor Commodities - Q&amp;V'!$O$8:$O$250,2))*1000000</f>
        <v>10121587</v>
      </c>
      <c r="R36" s="891">
        <f>(SUMIFS('Minor Commodities - Q&amp;V'!$I$8:$I$250,'Minor Commodities - Q&amp;V'!$N$8:$N$250,LEFT('FY Q&amp;V 2003-04 to Now'!Q$7,4),'Minor Commodities - Q&amp;V'!$O$8:$O$250,3)+
SUMIFS('Minor Commodities - Q&amp;V'!$I$8:$I$250,'Minor Commodities - Q&amp;V'!$N$8:$N$250,LEFT('FY Q&amp;V 2003-04 to Now'!Q$7,4),'Minor Commodities - Q&amp;V'!$O$8:$O$250,4)+
SUMIFS('Minor Commodities - Q&amp;V'!$I$8:$I$250,'Minor Commodities - Q&amp;V'!$N$8:$N$250,CONCATENATE("20",RIGHT('FY Q&amp;V 2003-04 to Now'!Q$7,2)),'Minor Commodities - Q&amp;V'!$O$8:$O$250,1)+
SUMIFS('Minor Commodities - Q&amp;V'!$I$8:$I$250,'Minor Commodities - Q&amp;V'!$N$8:$N$250,CONCATENATE("20",RIGHT('FY Q&amp;V 2003-04 to Now'!Q$7,2)),'Minor Commodities - Q&amp;V'!$O$8:$O$250,2))*1000000</f>
        <v>303092471.00000006</v>
      </c>
      <c r="S36" s="890">
        <f>(SUMIFS('Minor Commodities - Q&amp;V'!$H$8:$H$250,'Minor Commodities - Q&amp;V'!$N$8:$N$250,LEFT('FY Q&amp;V 2003-04 to Now'!S$7,4),'Minor Commodities - Q&amp;V'!$O$8:$O$250,3)+
SUMIFS('Minor Commodities - Q&amp;V'!$H$8:$H$250,'Minor Commodities - Q&amp;V'!$N$8:$N$250,LEFT('FY Q&amp;V 2003-04 to Now'!S$7,4),'Minor Commodities - Q&amp;V'!$O$8:$O$250,4)+
SUMIFS('Minor Commodities - Q&amp;V'!$H$8:$H$250,'Minor Commodities - Q&amp;V'!$N$8:$N$250,CONCATENATE("20",RIGHT('FY Q&amp;V 2003-04 to Now'!S$7,2)),'Minor Commodities - Q&amp;V'!$O$8:$O$250,1)+
SUMIFS('Minor Commodities - Q&amp;V'!$H$8:$H$250,'Minor Commodities - Q&amp;V'!$N$8:$N$250,CONCATENATE("20",RIGHT('FY Q&amp;V 2003-04 to Now'!S$7,2)),'Minor Commodities - Q&amp;V'!$O$8:$O$250,2))*1000000</f>
        <v>8689501</v>
      </c>
      <c r="T36" s="891">
        <f>(SUMIFS('Minor Commodities - Q&amp;V'!$I$8:$I$250,'Minor Commodities - Q&amp;V'!$N$8:$N$250,LEFT('FY Q&amp;V 2003-04 to Now'!S$7,4),'Minor Commodities - Q&amp;V'!$O$8:$O$250,3)+
SUMIFS('Minor Commodities - Q&amp;V'!$I$8:$I$250,'Minor Commodities - Q&amp;V'!$N$8:$N$250,LEFT('FY Q&amp;V 2003-04 to Now'!S$7,4),'Minor Commodities - Q&amp;V'!$O$8:$O$250,4)+
SUMIFS('Minor Commodities - Q&amp;V'!$I$8:$I$250,'Minor Commodities - Q&amp;V'!$N$8:$N$250,CONCATENATE("20",RIGHT('FY Q&amp;V 2003-04 to Now'!S$7,2)),'Minor Commodities - Q&amp;V'!$O$8:$O$250,1)+
SUMIFS('Minor Commodities - Q&amp;V'!$I$8:$I$250,'Minor Commodities - Q&amp;V'!$N$8:$N$250,CONCATENATE("20",RIGHT('FY Q&amp;V 2003-04 to Now'!S$7,2)),'Minor Commodities - Q&amp;V'!$O$8:$O$250,2))*1000000</f>
        <v>343293394.00000006</v>
      </c>
      <c r="U36" s="890">
        <f>(SUMIFS('Minor Commodities - Q&amp;V'!$H$8:$H$250,'Minor Commodities - Q&amp;V'!$N$8:$N$250,LEFT('FY Q&amp;V 2003-04 to Now'!U$7,4),'Minor Commodities - Q&amp;V'!$O$8:$O$250,3)+
SUMIFS('Minor Commodities - Q&amp;V'!$H$8:$H$250,'Minor Commodities - Q&amp;V'!$N$8:$N$250,LEFT('FY Q&amp;V 2003-04 to Now'!U$7,4),'Minor Commodities - Q&amp;V'!$O$8:$O$250,4)+
SUMIFS('Minor Commodities - Q&amp;V'!$H$8:$H$250,'Minor Commodities - Q&amp;V'!$N$8:$N$250,CONCATENATE("20",RIGHT('FY Q&amp;V 2003-04 to Now'!U$7,2)),'Minor Commodities - Q&amp;V'!$O$8:$O$250,1)+
SUMIFS('Minor Commodities - Q&amp;V'!$H$8:$H$250,'Minor Commodities - Q&amp;V'!$N$8:$N$250,CONCATENATE("20",RIGHT('FY Q&amp;V 2003-04 to Now'!U$7,2)),'Minor Commodities - Q&amp;V'!$O$8:$O$250,2))*1000000</f>
        <v>9608685</v>
      </c>
      <c r="V36" s="891">
        <f>(SUMIFS('Minor Commodities - Q&amp;V'!$I$8:$I$250,'Minor Commodities - Q&amp;V'!$N$8:$N$250,LEFT('FY Q&amp;V 2003-04 to Now'!U$7,4),'Minor Commodities - Q&amp;V'!$O$8:$O$250,3)+
SUMIFS('Minor Commodities - Q&amp;V'!$I$8:$I$250,'Minor Commodities - Q&amp;V'!$N$8:$N$250,LEFT('FY Q&amp;V 2003-04 to Now'!U$7,4),'Minor Commodities - Q&amp;V'!$O$8:$O$250,4)+
SUMIFS('Minor Commodities - Q&amp;V'!$I$8:$I$250,'Minor Commodities - Q&amp;V'!$N$8:$N$250,CONCATENATE("20",RIGHT('FY Q&amp;V 2003-04 to Now'!U$7,2)),'Minor Commodities - Q&amp;V'!$O$8:$O$250,1)+
SUMIFS('Minor Commodities - Q&amp;V'!$I$8:$I$250,'Minor Commodities - Q&amp;V'!$N$8:$N$250,CONCATENATE("20",RIGHT('FY Q&amp;V 2003-04 to Now'!U$7,2)),'Minor Commodities - Q&amp;V'!$O$8:$O$250,2))*1000000</f>
        <v>355964877</v>
      </c>
      <c r="W36" s="890">
        <f>(SUMIFS('Minor Commodities - Q&amp;V'!$H$8:$H$250,'Minor Commodities - Q&amp;V'!$N$8:$N$250,LEFT('FY Q&amp;V 2003-04 to Now'!W$7,4),'Minor Commodities - Q&amp;V'!$O$8:$O$250,3)+
SUMIFS('Minor Commodities - Q&amp;V'!$H$8:$H$250,'Minor Commodities - Q&amp;V'!$N$8:$N$250,LEFT('FY Q&amp;V 2003-04 to Now'!W$7,4),'Minor Commodities - Q&amp;V'!$O$8:$O$250,4)+
SUMIFS('Minor Commodities - Q&amp;V'!$H$8:$H$250,'Minor Commodities - Q&amp;V'!$N$8:$N$250,CONCATENATE("20",RIGHT('FY Q&amp;V 2003-04 to Now'!W$7,2)),'Minor Commodities - Q&amp;V'!$O$8:$O$250,1)+
SUMIFS('Minor Commodities - Q&amp;V'!$H$8:$H$250,'Minor Commodities - Q&amp;V'!$N$8:$N$250,CONCATENATE("20",RIGHT('FY Q&amp;V 2003-04 to Now'!W$7,2)),'Minor Commodities - Q&amp;V'!$O$8:$O$250,2))*1000000</f>
        <v>11610630.99</v>
      </c>
      <c r="X36" s="891">
        <f>(SUMIFS('Minor Commodities - Q&amp;V'!$I$8:$I$250,'Minor Commodities - Q&amp;V'!$N$8:$N$250,LEFT('FY Q&amp;V 2003-04 to Now'!W$7,4),'Minor Commodities - Q&amp;V'!$O$8:$O$250,3)+
SUMIFS('Minor Commodities - Q&amp;V'!$I$8:$I$250,'Minor Commodities - Q&amp;V'!$N$8:$N$250,LEFT('FY Q&amp;V 2003-04 to Now'!W$7,4),'Minor Commodities - Q&amp;V'!$O$8:$O$250,4)+
SUMIFS('Minor Commodities - Q&amp;V'!$I$8:$I$250,'Minor Commodities - Q&amp;V'!$N$8:$N$250,CONCATENATE("20",RIGHT('FY Q&amp;V 2003-04 to Now'!W$7,2)),'Minor Commodities - Q&amp;V'!$O$8:$O$250,1)+
SUMIFS('Minor Commodities - Q&amp;V'!$I$8:$I$250,'Minor Commodities - Q&amp;V'!$N$8:$N$250,CONCATENATE("20",RIGHT('FY Q&amp;V 2003-04 to Now'!W$7,2)),'Minor Commodities - Q&amp;V'!$O$8:$O$250,2))*1000000</f>
        <v>398210926</v>
      </c>
      <c r="Y36" s="890">
        <f>(SUMIFS('Minor Commodities - Q&amp;V'!$H$8:$H$250,'Minor Commodities - Q&amp;V'!$N$8:$N$250,LEFT('FY Q&amp;V 2003-04 to Now'!Y$7,4),'Minor Commodities - Q&amp;V'!$O$8:$O$250,3)+
SUMIFS('Minor Commodities - Q&amp;V'!$H$8:$H$250,'Minor Commodities - Q&amp;V'!$N$8:$N$250,LEFT('FY Q&amp;V 2003-04 to Now'!Y$7,4),'Minor Commodities - Q&amp;V'!$O$8:$O$250,4)+
SUMIFS('Minor Commodities - Q&amp;V'!$H$8:$H$250,'Minor Commodities - Q&amp;V'!$N$8:$N$250,CONCATENATE("20",RIGHT('FY Q&amp;V 2003-04 to Now'!Y$7,2)),'Minor Commodities - Q&amp;V'!$O$8:$O$250,1)+
SUMIFS('Minor Commodities - Q&amp;V'!$H$8:$H$250,'Minor Commodities - Q&amp;V'!$N$8:$N$250,CONCATENATE("20",RIGHT('FY Q&amp;V 2003-04 to Now'!Y$7,2)),'Minor Commodities - Q&amp;V'!$O$8:$O$250,2))*1000000</f>
        <v>10387926.220000001</v>
      </c>
      <c r="Z36" s="891">
        <f>(SUMIFS('Minor Commodities - Q&amp;V'!$I$8:$I$250,'Minor Commodities - Q&amp;V'!$N$8:$N$250,LEFT('FY Q&amp;V 2003-04 to Now'!Y$7,4),'Minor Commodities - Q&amp;V'!$O$8:$O$250,3)+
SUMIFS('Minor Commodities - Q&amp;V'!$I$8:$I$250,'Minor Commodities - Q&amp;V'!$N$8:$N$250,LEFT('FY Q&amp;V 2003-04 to Now'!Y$7,4),'Minor Commodities - Q&amp;V'!$O$8:$O$250,4)+
SUMIFS('Minor Commodities - Q&amp;V'!$I$8:$I$250,'Minor Commodities - Q&amp;V'!$N$8:$N$250,CONCATENATE("20",RIGHT('FY Q&amp;V 2003-04 to Now'!Y$7,2)),'Minor Commodities - Q&amp;V'!$O$8:$O$250,1)+
SUMIFS('Minor Commodities - Q&amp;V'!$I$8:$I$250,'Minor Commodities - Q&amp;V'!$N$8:$N$250,CONCATENATE("20",RIGHT('FY Q&amp;V 2003-04 to Now'!Y$7,2)),'Minor Commodities - Q&amp;V'!$O$8:$O$250,2))*1000000</f>
        <v>342313663.99999994</v>
      </c>
      <c r="AA36" s="890">
        <f>(SUMIFS('Minor Commodities - Q&amp;V'!$H$8:$H$250,'Minor Commodities - Q&amp;V'!$N$8:$N$250,LEFT('FY Q&amp;V 2003-04 to Now'!AA$7,4),'Minor Commodities - Q&amp;V'!$O$8:$O$250,3)+
SUMIFS('Minor Commodities - Q&amp;V'!$H$8:$H$250,'Minor Commodities - Q&amp;V'!$N$8:$N$250,LEFT('FY Q&amp;V 2003-04 to Now'!AA$7,4),'Minor Commodities - Q&amp;V'!$O$8:$O$250,4)+
SUMIFS('Minor Commodities - Q&amp;V'!$H$8:$H$250,'Minor Commodities - Q&amp;V'!$N$8:$N$250,CONCATENATE("20",RIGHT('FY Q&amp;V 2003-04 to Now'!AA$7,2)),'Minor Commodities - Q&amp;V'!$O$8:$O$250,1)+
SUMIFS('Minor Commodities - Q&amp;V'!$H$8:$H$250,'Minor Commodities - Q&amp;V'!$N$8:$N$250,CONCATENATE("20",RIGHT('FY Q&amp;V 2003-04 to Now'!AA$7,2)),'Minor Commodities - Q&amp;V'!$O$8:$O$250,2))*1000000</f>
        <v>13869547.099999998</v>
      </c>
      <c r="AB36" s="891">
        <f>(SUMIFS('Minor Commodities - Q&amp;V'!$I$8:$I$250,'Minor Commodities - Q&amp;V'!$N$8:$N$250,LEFT('FY Q&amp;V 2003-04 to Now'!AA$7,4),'Minor Commodities - Q&amp;V'!$O$8:$O$250,3)+
SUMIFS('Minor Commodities - Q&amp;V'!$I$8:$I$250,'Minor Commodities - Q&amp;V'!$N$8:$N$250,LEFT('FY Q&amp;V 2003-04 to Now'!AA$7,4),'Minor Commodities - Q&amp;V'!$O$8:$O$250,4)+
SUMIFS('Minor Commodities - Q&amp;V'!$I$8:$I$250,'Minor Commodities - Q&amp;V'!$N$8:$N$250,CONCATENATE("20",RIGHT('FY Q&amp;V 2003-04 to Now'!AA$7,2)),'Minor Commodities - Q&amp;V'!$O$8:$O$250,1)+
SUMIFS('Minor Commodities - Q&amp;V'!$I$8:$I$250,'Minor Commodities - Q&amp;V'!$N$8:$N$250,CONCATENATE("20",RIGHT('FY Q&amp;V 2003-04 to Now'!AA$7,2)),'Minor Commodities - Q&amp;V'!$O$8:$O$250,2))*1000000</f>
        <v>354047664</v>
      </c>
      <c r="AC36" s="1308">
        <f>(SUMIFS('Minor Commodities - Q&amp;V'!$H$8:$H$250,'Minor Commodities - Q&amp;V'!$N$8:$N$250,LEFT('FY Q&amp;V 2003-04 to Now'!AC$7,4),'Minor Commodities - Q&amp;V'!$O$8:$O$250,3)+
SUMIFS('Minor Commodities - Q&amp;V'!$H$8:$H$250,'Minor Commodities - Q&amp;V'!$N$8:$N$250,LEFT('FY Q&amp;V 2003-04 to Now'!AC$7,4),'Minor Commodities - Q&amp;V'!$O$8:$O$250,4)+
SUMIFS('Minor Commodities - Q&amp;V'!$H$8:$H$250,'Minor Commodities - Q&amp;V'!$N$8:$N$250,CONCATENATE("20",RIGHT('FY Q&amp;V 2003-04 to Now'!AC$7,2)),'Minor Commodities - Q&amp;V'!$O$8:$O$250,1)+
SUMIFS('Minor Commodities - Q&amp;V'!$H$8:$H$250,'Minor Commodities - Q&amp;V'!$N$8:$N$250,CONCATENATE("20",RIGHT('FY Q&amp;V 2003-04 to Now'!AC$7,2)),'Minor Commodities - Q&amp;V'!$O$8:$O$250,2))*1000000</f>
        <v>12607032.439999999</v>
      </c>
      <c r="AD36" s="891">
        <f>(SUMIFS('Minor Commodities - Q&amp;V'!$I$8:$I$250,'Minor Commodities - Q&amp;V'!$N$8:$N$250,LEFT('FY Q&amp;V 2003-04 to Now'!AC$7,4),'Minor Commodities - Q&amp;V'!$O$8:$O$250,3)+
SUMIFS('Minor Commodities - Q&amp;V'!$I$8:$I$250,'Minor Commodities - Q&amp;V'!$N$8:$N$250,LEFT('FY Q&amp;V 2003-04 to Now'!AC$7,4),'Minor Commodities - Q&amp;V'!$O$8:$O$250,4)+
SUMIFS('Minor Commodities - Q&amp;V'!$I$8:$I$250,'Minor Commodities - Q&amp;V'!$N$8:$N$250,CONCATENATE("20",RIGHT('FY Q&amp;V 2003-04 to Now'!AC$7,2)),'Minor Commodities - Q&amp;V'!$O$8:$O$250,1)+
SUMIFS('Minor Commodities - Q&amp;V'!$I$8:$I$250,'Minor Commodities - Q&amp;V'!$N$8:$N$250,CONCATENATE("20",RIGHT('FY Q&amp;V 2003-04 to Now'!AC$7,2)),'Minor Commodities - Q&amp;V'!$O$8:$O$250,2))*1000000</f>
        <v>268383094.00000003</v>
      </c>
      <c r="AE36" s="1308">
        <f>(SUMIFS('Minor Commodities - Q&amp;V'!$H$8:$H$250,'Minor Commodities - Q&amp;V'!$N$8:$N$250,LEFT('FY Q&amp;V 2003-04 to Now'!AE$7,4),'Minor Commodities - Q&amp;V'!$O$8:$O$250,3)+
SUMIFS('Minor Commodities - Q&amp;V'!$H$8:$H$250,'Minor Commodities - Q&amp;V'!$N$8:$N$250,LEFT('FY Q&amp;V 2003-04 to Now'!AE$7,4),'Minor Commodities - Q&amp;V'!$O$8:$O$250,4)+
SUMIFS('Minor Commodities - Q&amp;V'!$H$8:$H$250,'Minor Commodities - Q&amp;V'!$N$8:$N$250,CONCATENATE("20",RIGHT('FY Q&amp;V 2003-04 to Now'!AE$7,2)),'Minor Commodities - Q&amp;V'!$O$8:$O$250,1)+
SUMIFS('Minor Commodities - Q&amp;V'!$H$8:$H$250,'Minor Commodities - Q&amp;V'!$N$8:$N$250,CONCATENATE("20",RIGHT('FY Q&amp;V 2003-04 to Now'!AE$7,2)),'Minor Commodities - Q&amp;V'!$O$8:$O$250,2))*1000000</f>
        <v>15281302.73</v>
      </c>
      <c r="AF36" s="891">
        <f>(SUMIFS('Minor Commodities - Q&amp;V'!$I$8:$I$250,'Minor Commodities - Q&amp;V'!$N$8:$N$250,LEFT('FY Q&amp;V 2003-04 to Now'!AE$7,4),'Minor Commodities - Q&amp;V'!$O$8:$O$250,3)+
SUMIFS('Minor Commodities - Q&amp;V'!$I$8:$I$250,'Minor Commodities - Q&amp;V'!$N$8:$N$250,LEFT('FY Q&amp;V 2003-04 to Now'!AE$7,4),'Minor Commodities - Q&amp;V'!$O$8:$O$250,4)+
SUMIFS('Minor Commodities - Q&amp;V'!$I$8:$I$250,'Minor Commodities - Q&amp;V'!$N$8:$N$250,CONCATENATE("20",RIGHT('FY Q&amp;V 2003-04 to Now'!AE$7,2)),'Minor Commodities - Q&amp;V'!$O$8:$O$250,1)+
SUMIFS('Minor Commodities - Q&amp;V'!$I$8:$I$250,'Minor Commodities - Q&amp;V'!$N$8:$N$250,CONCATENATE("20",RIGHT('FY Q&amp;V 2003-04 to Now'!AE$7,2)),'Minor Commodities - Q&amp;V'!$O$8:$O$250,2))*1000000</f>
        <v>249759751</v>
      </c>
      <c r="AG36" s="1308">
        <f>(SUMIFS('Minor Commodities - Q&amp;V'!$H$8:$H$250,'Minor Commodities - Q&amp;V'!$N$8:$N$250,LEFT('FY Q&amp;V 2003-04 to Now'!AG$7,4),'Minor Commodities - Q&amp;V'!$O$8:$O$250,3)+
SUMIFS('Minor Commodities - Q&amp;V'!$H$8:$H$250,'Minor Commodities - Q&amp;V'!$N$8:$N$250,LEFT('FY Q&amp;V 2003-04 to Now'!AG$7,4),'Minor Commodities - Q&amp;V'!$O$8:$O$250,4)+
SUMIFS('Minor Commodities - Q&amp;V'!$H$8:$H$250,'Minor Commodities - Q&amp;V'!$N$8:$N$250,CONCATENATE("20",RIGHT('FY Q&amp;V 2003-04 to Now'!AG$7,2)),'Minor Commodities - Q&amp;V'!$O$8:$O$250,1)+
SUMIFS('Minor Commodities - Q&amp;V'!$H$8:$H$250,'Minor Commodities - Q&amp;V'!$N$8:$N$250,CONCATENATE("20",RIGHT('FY Q&amp;V 2003-04 to Now'!AG$7,2)),'Minor Commodities - Q&amp;V'!$O$8:$O$250,2))*1000000</f>
        <v>11149894.85</v>
      </c>
      <c r="AH36" s="891">
        <f>(SUMIFS('Minor Commodities - Q&amp;V'!$I$8:$I$250,'Minor Commodities - Q&amp;V'!$N$8:$N$250,LEFT('FY Q&amp;V 2003-04 to Now'!AG$7,4),'Minor Commodities - Q&amp;V'!$O$8:$O$250,3)+
SUMIFS('Minor Commodities - Q&amp;V'!$I$8:$I$250,'Minor Commodities - Q&amp;V'!$N$8:$N$250,LEFT('FY Q&amp;V 2003-04 to Now'!AG$7,4),'Minor Commodities - Q&amp;V'!$O$8:$O$250,4)+
SUMIFS('Minor Commodities - Q&amp;V'!$I$8:$I$250,'Minor Commodities - Q&amp;V'!$N$8:$N$250,CONCATENATE("20",RIGHT('FY Q&amp;V 2003-04 to Now'!AG$7,2)),'Minor Commodities - Q&amp;V'!$O$8:$O$250,1)+
SUMIFS('Minor Commodities - Q&amp;V'!$I$8:$I$250,'Minor Commodities - Q&amp;V'!$N$8:$N$250,CONCATENATE("20",RIGHT('FY Q&amp;V 2003-04 to Now'!AG$7,2)),'Minor Commodities - Q&amp;V'!$O$8:$O$250,2))*1000000</f>
        <v>219221184.00000003</v>
      </c>
      <c r="AI36" s="953">
        <f>SUMIF($C$9:AH$9,1,$C36:AH36)</f>
        <v>273548877.32999998</v>
      </c>
      <c r="AJ36" s="891" t="s">
        <v>273</v>
      </c>
    </row>
    <row r="37" spans="1:42">
      <c r="A37" s="881"/>
      <c r="B37" s="880"/>
      <c r="C37" s="896"/>
      <c r="D37" s="878"/>
      <c r="E37" s="896"/>
      <c r="F37" s="878"/>
      <c r="G37" s="896"/>
      <c r="H37" s="878"/>
      <c r="I37" s="896"/>
      <c r="J37" s="878"/>
      <c r="K37" s="896"/>
      <c r="L37" s="878"/>
      <c r="M37" s="896"/>
      <c r="N37" s="878"/>
      <c r="O37" s="896"/>
      <c r="P37" s="878"/>
      <c r="Q37" s="896"/>
      <c r="R37" s="878"/>
      <c r="S37" s="896"/>
      <c r="T37" s="878"/>
      <c r="U37" s="896"/>
      <c r="V37" s="878"/>
      <c r="W37" s="896"/>
      <c r="X37" s="878"/>
      <c r="Y37" s="896"/>
      <c r="Z37" s="878"/>
      <c r="AA37" s="896"/>
      <c r="AB37" s="878"/>
      <c r="AC37" s="878"/>
      <c r="AD37" s="878"/>
      <c r="AE37" s="1309"/>
      <c r="AF37" s="878"/>
      <c r="AG37" s="1309"/>
      <c r="AH37" s="878"/>
      <c r="AI37" s="953"/>
      <c r="AJ37" s="891"/>
    </row>
    <row r="38" spans="1:42">
      <c r="A38" s="885" t="s">
        <v>237</v>
      </c>
      <c r="B38" s="638"/>
      <c r="C38" s="895">
        <v>3081.04</v>
      </c>
      <c r="D38" s="892">
        <v>987504</v>
      </c>
      <c r="E38" s="895">
        <v>4520.8599999999997</v>
      </c>
      <c r="F38" s="892">
        <v>854816.4</v>
      </c>
      <c r="G38" s="895">
        <v>1951</v>
      </c>
      <c r="H38" s="892">
        <v>770591</v>
      </c>
      <c r="I38" s="895">
        <v>1976.04</v>
      </c>
      <c r="J38" s="892">
        <v>342863</v>
      </c>
      <c r="K38" s="895">
        <v>491.74</v>
      </c>
      <c r="L38" s="892">
        <v>157224</v>
      </c>
      <c r="M38" s="895">
        <v>3142.63</v>
      </c>
      <c r="N38" s="892">
        <v>329863</v>
      </c>
      <c r="O38" s="895">
        <v>5371.19</v>
      </c>
      <c r="P38" s="892">
        <v>339102</v>
      </c>
      <c r="Q38" s="895">
        <v>8669.33</v>
      </c>
      <c r="R38" s="892">
        <v>861017</v>
      </c>
      <c r="S38" s="895">
        <v>7590</v>
      </c>
      <c r="T38" s="892">
        <v>1450510</v>
      </c>
      <c r="U38" s="895">
        <v>4196.3099999999995</v>
      </c>
      <c r="V38" s="892">
        <v>1221243</v>
      </c>
      <c r="W38" s="895">
        <v>5020.97</v>
      </c>
      <c r="X38" s="892">
        <v>1365020</v>
      </c>
      <c r="Y38" s="895">
        <v>21250</v>
      </c>
      <c r="Z38" s="892">
        <v>2892731</v>
      </c>
      <c r="AA38" s="895">
        <v>4113</v>
      </c>
      <c r="AB38" s="892">
        <v>2205326</v>
      </c>
      <c r="AC38" s="942">
        <v>4795</v>
      </c>
      <c r="AD38" s="892">
        <v>1823218</v>
      </c>
      <c r="AE38" s="1307">
        <v>6396.9800000000014</v>
      </c>
      <c r="AF38" s="892">
        <v>2372892</v>
      </c>
      <c r="AG38" s="1307">
        <v>8909.9699999999993</v>
      </c>
      <c r="AH38" s="892">
        <v>2257771.3282764172</v>
      </c>
      <c r="AI38" s="954">
        <f>SUMIF($C$9:AH$9,1,$C38:AH38)</f>
        <v>91476.059999999983</v>
      </c>
      <c r="AJ38" s="955">
        <f>SUMIF($C$9:AH$9,0,$C38:AH38)</f>
        <v>20231691.728276417</v>
      </c>
    </row>
    <row r="39" spans="1:42">
      <c r="A39" s="596"/>
      <c r="B39" s="638"/>
      <c r="C39" s="895"/>
      <c r="D39" s="892"/>
      <c r="E39" s="895"/>
      <c r="F39" s="892"/>
      <c r="G39" s="895"/>
      <c r="H39" s="892"/>
      <c r="I39" s="895"/>
      <c r="J39" s="892"/>
      <c r="K39" s="895"/>
      <c r="L39" s="892"/>
      <c r="M39" s="895"/>
      <c r="N39" s="892"/>
      <c r="O39" s="895"/>
      <c r="P39" s="892"/>
      <c r="Q39" s="895"/>
      <c r="R39" s="892"/>
      <c r="S39" s="895"/>
      <c r="T39" s="892"/>
      <c r="U39" s="895"/>
      <c r="V39" s="892"/>
      <c r="W39" s="895"/>
      <c r="X39" s="892"/>
      <c r="Y39" s="895"/>
      <c r="Z39" s="892"/>
      <c r="AA39" s="895"/>
      <c r="AB39" s="892"/>
      <c r="AC39" s="892"/>
      <c r="AD39" s="892"/>
      <c r="AE39" s="1307"/>
      <c r="AF39" s="892"/>
      <c r="AG39" s="1307"/>
      <c r="AH39" s="892"/>
      <c r="AI39" s="954"/>
      <c r="AJ39" s="955"/>
    </row>
    <row r="40" spans="1:42">
      <c r="A40" s="884" t="s">
        <v>248</v>
      </c>
      <c r="B40" s="848" t="s">
        <v>196</v>
      </c>
      <c r="C40" s="890">
        <v>345617.5</v>
      </c>
      <c r="D40" s="891">
        <v>198691</v>
      </c>
      <c r="E40" s="890">
        <v>310050.76</v>
      </c>
      <c r="F40" s="891">
        <v>243114</v>
      </c>
      <c r="G40" s="890">
        <v>195162.92</v>
      </c>
      <c r="H40" s="891">
        <v>180938</v>
      </c>
      <c r="I40" s="890">
        <v>316716.03000000003</v>
      </c>
      <c r="J40" s="891">
        <v>245279</v>
      </c>
      <c r="K40" s="890">
        <v>2730675.03</v>
      </c>
      <c r="L40" s="891">
        <v>401644</v>
      </c>
      <c r="M40" s="890">
        <v>316420.38</v>
      </c>
      <c r="N40" s="891">
        <v>210961</v>
      </c>
      <c r="O40" s="890">
        <v>300509.38</v>
      </c>
      <c r="P40" s="891">
        <v>308238</v>
      </c>
      <c r="Q40" s="890">
        <v>292458.05</v>
      </c>
      <c r="R40" s="891">
        <v>288460</v>
      </c>
      <c r="S40" s="890">
        <v>227963.18</v>
      </c>
      <c r="T40" s="891">
        <v>280727</v>
      </c>
      <c r="U40" s="890">
        <v>197832.13</v>
      </c>
      <c r="V40" s="891">
        <v>254158</v>
      </c>
      <c r="W40" s="890">
        <v>309575.27</v>
      </c>
      <c r="X40" s="891">
        <v>401960</v>
      </c>
      <c r="Y40" s="890">
        <v>720552</v>
      </c>
      <c r="Z40" s="891">
        <v>1402333</v>
      </c>
      <c r="AA40" s="890">
        <v>243375.86499999996</v>
      </c>
      <c r="AB40" s="891">
        <v>627546</v>
      </c>
      <c r="AC40" s="1308">
        <v>334786.37333333329</v>
      </c>
      <c r="AD40" s="891">
        <v>725556.5</v>
      </c>
      <c r="AE40" s="1308">
        <v>204227.223</v>
      </c>
      <c r="AF40" s="891">
        <v>443041</v>
      </c>
      <c r="AG40" s="1308">
        <v>129384.90300000001</v>
      </c>
      <c r="AH40" s="891">
        <v>343859</v>
      </c>
      <c r="AI40" s="953">
        <f>SUMIF($C$9:AH$9,1,$C40:AH40)</f>
        <v>7175306.9943333324</v>
      </c>
      <c r="AJ40" s="891">
        <f>SUMIF($C$9:AH$9,0,$C40:AH40)</f>
        <v>6556505.5</v>
      </c>
    </row>
    <row r="41" spans="1:42">
      <c r="A41" s="881"/>
      <c r="B41" s="880"/>
      <c r="C41" s="896"/>
      <c r="D41" s="878"/>
      <c r="E41" s="896"/>
      <c r="F41" s="878"/>
      <c r="G41" s="896"/>
      <c r="H41" s="878"/>
      <c r="I41" s="896"/>
      <c r="J41" s="878"/>
      <c r="K41" s="896"/>
      <c r="L41" s="878"/>
      <c r="M41" s="896"/>
      <c r="N41" s="878"/>
      <c r="O41" s="896"/>
      <c r="P41" s="878"/>
      <c r="Q41" s="896"/>
      <c r="R41" s="878"/>
      <c r="S41" s="896"/>
      <c r="T41" s="878"/>
      <c r="U41" s="896"/>
      <c r="V41" s="878"/>
      <c r="W41" s="896"/>
      <c r="X41" s="878"/>
      <c r="Y41" s="896"/>
      <c r="Z41" s="878"/>
      <c r="AA41" s="896"/>
      <c r="AB41" s="878"/>
      <c r="AC41" s="878"/>
      <c r="AD41" s="878"/>
      <c r="AE41" s="1309"/>
      <c r="AF41" s="878"/>
      <c r="AG41" s="1309"/>
      <c r="AH41" s="878"/>
      <c r="AI41" s="953"/>
      <c r="AJ41" s="891"/>
    </row>
    <row r="42" spans="1:42">
      <c r="A42" s="885" t="s">
        <v>269</v>
      </c>
      <c r="B42" s="594" t="s">
        <v>196</v>
      </c>
      <c r="C42" s="895">
        <f>(SUMIFS('Gold - Q&amp;V'!$B$8:$B$250,'Gold - Q&amp;V'!$D$8:$D$250,LEFT('FY Q&amp;V 2003-04 to Now'!C$7:D$7,4),'Gold - Q&amp;V'!$E$8:$E$250,3)+
SUMIFS('Gold - Q&amp;V'!$B$8:$B$250,'Gold - Q&amp;V'!$D$8:$D$250,LEFT('FY Q&amp;V 2003-04 to Now'!C$7:D$7,4),'Gold - Q&amp;V'!$E$8:$E$250,4)+
SUMIFS('Gold - Q&amp;V'!$B$8:$B$250,'Gold - Q&amp;V'!$D$8:$D$250,CONCATENATE("20",RIGHT('FY Q&amp;V 2003-04 to Now'!C$7,2)),'Gold - Q&amp;V'!$E$8:$E$250,1)+
SUMIFS('Gold - Q&amp;V'!$B$8:$B$250,'Gold - Q&amp;V'!$D$8:$D$250,CONCATENATE("20",RIGHT('FY Q&amp;V 2003-04 to Now'!C$7,2)),'Gold - Q&amp;V'!$E$8:$E$250,2))*1000</f>
        <v>176730</v>
      </c>
      <c r="D42" s="892">
        <f>(SUMIFS('Gold - Q&amp;V'!$C$8:$C$250,'Gold - Q&amp;V'!$D$8:$D$250,LEFT('FY Q&amp;V 2003-04 to Now'!C$7,4),'Gold - Q&amp;V'!$E$8:$E$250,3)+
SUMIFS('Gold - Q&amp;V'!$C$8:$C$250,'Gold - Q&amp;V'!$D$8:$D$250,LEFT('FY Q&amp;V 2003-04 to Now'!C$7,4),'Gold - Q&amp;V'!$E$8:$E$250,4)+
SUMIFS('Gold - Q&amp;V'!$C$8:$C$250,'Gold - Q&amp;V'!$D$8:$D$250,CONCATENATE("20",RIGHT('FY Q&amp;V 2003-04 to Now'!C$7,2)),'Gold - Q&amp;V'!$E$8:$E$250,1)+
SUMIFS('Gold - Q&amp;V'!$C$8:$C$250,'Gold - Q&amp;V'!$D$8:$D$250,CONCATENATE("20",RIGHT('FY Q&amp;V 2003-04 to Now'!C$7,2)),'Gold - Q&amp;V'!$E$8:$E$250,2))*1000000</f>
        <v>3104170000</v>
      </c>
      <c r="E42" s="895">
        <f>(SUMIFS('Gold - Q&amp;V'!$B$8:$B$250,'Gold - Q&amp;V'!$D$8:$D$250,LEFT('FY Q&amp;V 2003-04 to Now'!E$7:F$7,4),'Gold - Q&amp;V'!$E$8:$E$250,3)+
SUMIFS('Gold - Q&amp;V'!$B$8:$B$250,'Gold - Q&amp;V'!$D$8:$D$250,LEFT('FY Q&amp;V 2003-04 to Now'!E$7:F$7,4),'Gold - Q&amp;V'!$E$8:$E$250,4)+
SUMIFS('Gold - Q&amp;V'!$B$8:$B$250,'Gold - Q&amp;V'!$D$8:$D$250,CONCATENATE("20",RIGHT('FY Q&amp;V 2003-04 to Now'!E$7,2)),'Gold - Q&amp;V'!$E$8:$E$250,1)+
SUMIFS('Gold - Q&amp;V'!$B$8:$B$250,'Gold - Q&amp;V'!$D$8:$D$250,CONCATENATE("20",RIGHT('FY Q&amp;V 2003-04 to Now'!E$7,2)),'Gold - Q&amp;V'!$E$8:$E$250,2))*1000</f>
        <v>166587.05940999999</v>
      </c>
      <c r="F42" s="892">
        <f>(SUMIFS('Gold - Q&amp;V'!$C$8:$C$250,'Gold - Q&amp;V'!$D$8:$D$250,LEFT('FY Q&amp;V 2003-04 to Now'!E$7,4),'Gold - Q&amp;V'!$E$8:$E$250,3)+
SUMIFS('Gold - Q&amp;V'!$C$8:$C$250,'Gold - Q&amp;V'!$D$8:$D$250,LEFT('FY Q&amp;V 2003-04 to Now'!E$7,4),'Gold - Q&amp;V'!$E$8:$E$250,4)+
SUMIFS('Gold - Q&amp;V'!$C$8:$C$250,'Gold - Q&amp;V'!$D$8:$D$250,CONCATENATE("20",RIGHT('FY Q&amp;V 2003-04 to Now'!E$7,2)),'Gold - Q&amp;V'!$E$8:$E$250,1)+
SUMIFS('Gold - Q&amp;V'!$C$8:$C$250,'Gold - Q&amp;V'!$D$8:$D$250,CONCATENATE("20",RIGHT('FY Q&amp;V 2003-04 to Now'!E$7,2)),'Gold - Q&amp;V'!$E$8:$E$250,2))*1000000</f>
        <v>3006500215</v>
      </c>
      <c r="G42" s="895">
        <f>(SUMIFS('Gold - Q&amp;V'!$B$8:$B$250,'Gold - Q&amp;V'!$D$8:$D$250,LEFT('FY Q&amp;V 2003-04 to Now'!G$7:H$7,4),'Gold - Q&amp;V'!$E$8:$E$250,3)+
SUMIFS('Gold - Q&amp;V'!$B$8:$B$250,'Gold - Q&amp;V'!$D$8:$D$250,LEFT('FY Q&amp;V 2003-04 to Now'!G$7:H$7,4),'Gold - Q&amp;V'!$E$8:$E$250,4)+
SUMIFS('Gold - Q&amp;V'!$B$8:$B$250,'Gold - Q&amp;V'!$D$8:$D$250,CONCATENATE("20",RIGHT('FY Q&amp;V 2003-04 to Now'!G$7,2)),'Gold - Q&amp;V'!$E$8:$E$250,1)+
SUMIFS('Gold - Q&amp;V'!$B$8:$B$250,'Gold - Q&amp;V'!$D$8:$D$250,CONCATENATE("20",RIGHT('FY Q&amp;V 2003-04 to Now'!G$7,2)),'Gold - Q&amp;V'!$E$8:$E$250,2))*1000</f>
        <v>163340.26466000002</v>
      </c>
      <c r="H42" s="892">
        <f>(SUMIFS('Gold - Q&amp;V'!$C$8:$C$250,'Gold - Q&amp;V'!$D$8:$D$250,LEFT('FY Q&amp;V 2003-04 to Now'!G$7,4),'Gold - Q&amp;V'!$E$8:$E$250,3)+
SUMIFS('Gold - Q&amp;V'!$C$8:$C$250,'Gold - Q&amp;V'!$D$8:$D$250,LEFT('FY Q&amp;V 2003-04 to Now'!G$7,4),'Gold - Q&amp;V'!$E$8:$E$250,4)+
SUMIFS('Gold - Q&amp;V'!$C$8:$C$250,'Gold - Q&amp;V'!$D$8:$D$250,CONCATENATE("20",RIGHT('FY Q&amp;V 2003-04 to Now'!G$7,2)),'Gold - Q&amp;V'!$E$8:$E$250,1)+
SUMIFS('Gold - Q&amp;V'!$C$8:$C$250,'Gold - Q&amp;V'!$D$8:$D$250,CONCATENATE("20",RIGHT('FY Q&amp;V 2003-04 to Now'!G$7,2)),'Gold - Q&amp;V'!$E$8:$E$250,2))*1000000</f>
        <v>3696336325</v>
      </c>
      <c r="I42" s="895">
        <f>(SUMIFS('Gold - Q&amp;V'!$B$8:$B$250,'Gold - Q&amp;V'!$D$8:$D$250,LEFT('FY Q&amp;V 2003-04 to Now'!I$7:J$7,4),'Gold - Q&amp;V'!$E$8:$E$250,3)+
SUMIFS('Gold - Q&amp;V'!$B$8:$B$250,'Gold - Q&amp;V'!$D$8:$D$250,LEFT('FY Q&amp;V 2003-04 to Now'!I$7:J$7,4),'Gold - Q&amp;V'!$E$8:$E$250,4)+
SUMIFS('Gold - Q&amp;V'!$B$8:$B$250,'Gold - Q&amp;V'!$D$8:$D$250,CONCATENATE("20",RIGHT('FY Q&amp;V 2003-04 to Now'!I$7,2)),'Gold - Q&amp;V'!$E$8:$E$250,1)+
SUMIFS('Gold - Q&amp;V'!$B$8:$B$250,'Gold - Q&amp;V'!$D$8:$D$250,CONCATENATE("20",RIGHT('FY Q&amp;V 2003-04 to Now'!I$7,2)),'Gold - Q&amp;V'!$E$8:$E$250,2))*1000</f>
        <v>159574.94859999997</v>
      </c>
      <c r="J42" s="892">
        <f>(SUMIFS('Gold - Q&amp;V'!$C$8:$C$250,'Gold - Q&amp;V'!$D$8:$D$250,LEFT('FY Q&amp;V 2003-04 to Now'!I$7,4),'Gold - Q&amp;V'!$E$8:$E$250,3)+
SUMIFS('Gold - Q&amp;V'!$C$8:$C$250,'Gold - Q&amp;V'!$D$8:$D$250,LEFT('FY Q&amp;V 2003-04 to Now'!I$7,4),'Gold - Q&amp;V'!$E$8:$E$250,4)+
SUMIFS('Gold - Q&amp;V'!$C$8:$C$250,'Gold - Q&amp;V'!$D$8:$D$250,CONCATENATE("20",RIGHT('FY Q&amp;V 2003-04 to Now'!I$7,2)),'Gold - Q&amp;V'!$E$8:$E$250,1)+
SUMIFS('Gold - Q&amp;V'!$C$8:$C$250,'Gold - Q&amp;V'!$D$8:$D$250,CONCATENATE("20",RIGHT('FY Q&amp;V 2003-04 to Now'!I$7,2)),'Gold - Q&amp;V'!$E$8:$E$250,2))*1000000</f>
        <v>4166106485.9999995</v>
      </c>
      <c r="K42" s="895">
        <f>(SUMIFS('Gold - Q&amp;V'!$B$8:$B$250,'Gold - Q&amp;V'!$D$8:$D$250,LEFT('FY Q&amp;V 2003-04 to Now'!K$7:L$7,4),'Gold - Q&amp;V'!$E$8:$E$250,3)+
SUMIFS('Gold - Q&amp;V'!$B$8:$B$250,'Gold - Q&amp;V'!$D$8:$D$250,LEFT('FY Q&amp;V 2003-04 to Now'!K$7:L$7,4),'Gold - Q&amp;V'!$E$8:$E$250,4)+
SUMIFS('Gold - Q&amp;V'!$B$8:$B$250,'Gold - Q&amp;V'!$D$8:$D$250,CONCATENATE("20",RIGHT('FY Q&amp;V 2003-04 to Now'!K$7,2)),'Gold - Q&amp;V'!$E$8:$E$250,1)+
SUMIFS('Gold - Q&amp;V'!$B$8:$B$250,'Gold - Q&amp;V'!$D$8:$D$250,CONCATENATE("20",RIGHT('FY Q&amp;V 2003-04 to Now'!K$7,2)),'Gold - Q&amp;V'!$E$8:$E$250,2))*1000</f>
        <v>141113.80408999999</v>
      </c>
      <c r="L42" s="892">
        <f>(SUMIFS('Gold - Q&amp;V'!$C$8:$C$250,'Gold - Q&amp;V'!$D$8:$D$250,LEFT('FY Q&amp;V 2003-04 to Now'!K$7,4),'Gold - Q&amp;V'!$E$8:$E$250,3)+
SUMIFS('Gold - Q&amp;V'!$C$8:$C$250,'Gold - Q&amp;V'!$D$8:$D$250,LEFT('FY Q&amp;V 2003-04 to Now'!K$7,4),'Gold - Q&amp;V'!$E$8:$E$250,4)+
SUMIFS('Gold - Q&amp;V'!$C$8:$C$250,'Gold - Q&amp;V'!$D$8:$D$250,CONCATENATE("20",RIGHT('FY Q&amp;V 2003-04 to Now'!K$7,2)),'Gold - Q&amp;V'!$E$8:$E$250,1)+
SUMIFS('Gold - Q&amp;V'!$C$8:$C$250,'Gold - Q&amp;V'!$D$8:$D$250,CONCATENATE("20",RIGHT('FY Q&amp;V 2003-04 to Now'!K$7,2)),'Gold - Q&amp;V'!$E$8:$E$250,2))*1000000</f>
        <v>4126598530.9999995</v>
      </c>
      <c r="M42" s="895">
        <f>(SUMIFS('Gold - Q&amp;V'!$B$8:$B$250,'Gold - Q&amp;V'!$D$8:$D$250,LEFT('FY Q&amp;V 2003-04 to Now'!M$7:N$7,4),'Gold - Q&amp;V'!$E$8:$E$250,3)+
SUMIFS('Gold - Q&amp;V'!$B$8:$B$250,'Gold - Q&amp;V'!$D$8:$D$250,LEFT('FY Q&amp;V 2003-04 to Now'!M$7:N$7,4),'Gold - Q&amp;V'!$E$8:$E$250,4)+
SUMIFS('Gold - Q&amp;V'!$B$8:$B$250,'Gold - Q&amp;V'!$D$8:$D$250,CONCATENATE("20",RIGHT('FY Q&amp;V 2003-04 to Now'!M$7,2)),'Gold - Q&amp;V'!$E$8:$E$250,1)+
SUMIFS('Gold - Q&amp;V'!$B$8:$B$250,'Gold - Q&amp;V'!$D$8:$D$250,CONCATENATE("20",RIGHT('FY Q&amp;V 2003-04 to Now'!M$7,2)),'Gold - Q&amp;V'!$E$8:$E$250,2))*1000</f>
        <v>136996.85978999999</v>
      </c>
      <c r="N42" s="892">
        <f>(SUMIFS('Gold - Q&amp;V'!$C$8:$C$250,'Gold - Q&amp;V'!$D$8:$D$250,LEFT('FY Q&amp;V 2003-04 to Now'!M$7,4),'Gold - Q&amp;V'!$E$8:$E$250,3)+
SUMIFS('Gold - Q&amp;V'!$C$8:$C$250,'Gold - Q&amp;V'!$D$8:$D$250,LEFT('FY Q&amp;V 2003-04 to Now'!M$7,4),'Gold - Q&amp;V'!$E$8:$E$250,4)+
SUMIFS('Gold - Q&amp;V'!$C$8:$C$250,'Gold - Q&amp;V'!$D$8:$D$250,CONCATENATE("20",RIGHT('FY Q&amp;V 2003-04 to Now'!M$7,2)),'Gold - Q&amp;V'!$E$8:$E$250,1)+
SUMIFS('Gold - Q&amp;V'!$C$8:$C$250,'Gold - Q&amp;V'!$D$8:$D$250,CONCATENATE("20",RIGHT('FY Q&amp;V 2003-04 to Now'!M$7,2)),'Gold - Q&amp;V'!$E$8:$E$250,2))*1000000</f>
        <v>5248104326.000001</v>
      </c>
      <c r="O42" s="895">
        <f>(SUMIFS('Gold - Q&amp;V'!$B$8:$B$250,'Gold - Q&amp;V'!$D$8:$D$250,LEFT('FY Q&amp;V 2003-04 to Now'!O$7:P$7,4),'Gold - Q&amp;V'!$E$8:$E$250,3)+
SUMIFS('Gold - Q&amp;V'!$B$8:$B$250,'Gold - Q&amp;V'!$D$8:$D$250,LEFT('FY Q&amp;V 2003-04 to Now'!O$7:P$7,4),'Gold - Q&amp;V'!$E$8:$E$250,4)+
SUMIFS('Gold - Q&amp;V'!$B$8:$B$250,'Gold - Q&amp;V'!$D$8:$D$250,CONCATENATE("20",RIGHT('FY Q&amp;V 2003-04 to Now'!O$7,2)),'Gold - Q&amp;V'!$E$8:$E$250,1)+
SUMIFS('Gold - Q&amp;V'!$B$8:$B$250,'Gold - Q&amp;V'!$D$8:$D$250,CONCATENATE("20",RIGHT('FY Q&amp;V 2003-04 to Now'!O$7,2)),'Gold - Q&amp;V'!$E$8:$E$250,2))*1000</f>
        <v>164039.14952000004</v>
      </c>
      <c r="P42" s="892">
        <f>(SUMIFS('Gold - Q&amp;V'!$C$8:$C$250,'Gold - Q&amp;V'!$D$8:$D$250,LEFT('FY Q&amp;V 2003-04 to Now'!O$7,4),'Gold - Q&amp;V'!$E$8:$E$250,3)+
SUMIFS('Gold - Q&amp;V'!$C$8:$C$250,'Gold - Q&amp;V'!$D$8:$D$250,LEFT('FY Q&amp;V 2003-04 to Now'!O$7,4),'Gold - Q&amp;V'!$E$8:$E$250,4)+
SUMIFS('Gold - Q&amp;V'!$C$8:$C$250,'Gold - Q&amp;V'!$D$8:$D$250,CONCATENATE("20",RIGHT('FY Q&amp;V 2003-04 to Now'!O$7,2)),'Gold - Q&amp;V'!$E$8:$E$250,1)+
SUMIFS('Gold - Q&amp;V'!$C$8:$C$250,'Gold - Q&amp;V'!$D$8:$D$250,CONCATENATE("20",RIGHT('FY Q&amp;V 2003-04 to Now'!O$7,2)),'Gold - Q&amp;V'!$E$8:$E$250,2))*1000000</f>
        <v>6558256060</v>
      </c>
      <c r="Q42" s="895">
        <f>(SUMIFS('Gold - Q&amp;V'!$B$8:$B$250,'Gold - Q&amp;V'!$D$8:$D$250,LEFT('FY Q&amp;V 2003-04 to Now'!Q$7:R$7,4),'Gold - Q&amp;V'!$E$8:$E$250,3)+
SUMIFS('Gold - Q&amp;V'!$B$8:$B$250,'Gold - Q&amp;V'!$D$8:$D$250,LEFT('FY Q&amp;V 2003-04 to Now'!Q$7:R$7,4),'Gold - Q&amp;V'!$E$8:$E$250,4)+
SUMIFS('Gold - Q&amp;V'!$B$8:$B$250,'Gold - Q&amp;V'!$D$8:$D$250,CONCATENATE("20",RIGHT('FY Q&amp;V 2003-04 to Now'!Q$7,2)),'Gold - Q&amp;V'!$E$8:$E$250,1)+
SUMIFS('Gold - Q&amp;V'!$B$8:$B$250,'Gold - Q&amp;V'!$D$8:$D$250,CONCATENATE("20",RIGHT('FY Q&amp;V 2003-04 to Now'!Q$7,2)),'Gold - Q&amp;V'!$E$8:$E$250,2))*1000</f>
        <v>183750.74137999999</v>
      </c>
      <c r="R42" s="892">
        <f>(SUMIFS('Gold - Q&amp;V'!$C$8:$C$250,'Gold - Q&amp;V'!$D$8:$D$250,LEFT('FY Q&amp;V 2003-04 to Now'!Q$7,4),'Gold - Q&amp;V'!$E$8:$E$250,3)+
SUMIFS('Gold - Q&amp;V'!$C$8:$C$250,'Gold - Q&amp;V'!$D$8:$D$250,LEFT('FY Q&amp;V 2003-04 to Now'!Q$7,4),'Gold - Q&amp;V'!$E$8:$E$250,4)+
SUMIFS('Gold - Q&amp;V'!$C$8:$C$250,'Gold - Q&amp;V'!$D$8:$D$250,CONCATENATE("20",RIGHT('FY Q&amp;V 2003-04 to Now'!Q$7,2)),'Gold - Q&amp;V'!$E$8:$E$250,1)+
SUMIFS('Gold - Q&amp;V'!$C$8:$C$250,'Gold - Q&amp;V'!$D$8:$D$250,CONCATENATE("20",RIGHT('FY Q&amp;V 2003-04 to Now'!Q$7,2)),'Gold - Q&amp;V'!$E$8:$E$250,2))*1000000</f>
        <v>8184187456</v>
      </c>
      <c r="S42" s="895">
        <f>(SUMIFS('Gold - Q&amp;V'!$B$8:$B$250,'Gold - Q&amp;V'!$D$8:$D$250,LEFT('FY Q&amp;V 2003-04 to Now'!S$7:T$7,4),'Gold - Q&amp;V'!$E$8:$E$250,3)+
SUMIFS('Gold - Q&amp;V'!$B$8:$B$250,'Gold - Q&amp;V'!$D$8:$D$250,LEFT('FY Q&amp;V 2003-04 to Now'!S$7:T$7,4),'Gold - Q&amp;V'!$E$8:$E$250,4)+
SUMIFS('Gold - Q&amp;V'!$B$8:$B$250,'Gold - Q&amp;V'!$D$8:$D$250,CONCATENATE("20",RIGHT('FY Q&amp;V 2003-04 to Now'!S$7,2)),'Gold - Q&amp;V'!$E$8:$E$250,1)+
SUMIFS('Gold - Q&amp;V'!$B$8:$B$250,'Gold - Q&amp;V'!$D$8:$D$250,CONCATENATE("20",RIGHT('FY Q&amp;V 2003-04 to Now'!S$7,2)),'Gold - Q&amp;V'!$E$8:$E$250,2))*1000</f>
        <v>180771.23628000001</v>
      </c>
      <c r="T42" s="892">
        <f>(SUMIFS('Gold - Q&amp;V'!$C$8:$C$250,'Gold - Q&amp;V'!$D$8:$D$250,LEFT('FY Q&amp;V 2003-04 to Now'!S$7,4),'Gold - Q&amp;V'!$E$8:$E$250,3)+
SUMIFS('Gold - Q&amp;V'!$C$8:$C$250,'Gold - Q&amp;V'!$D$8:$D$250,LEFT('FY Q&amp;V 2003-04 to Now'!S$7,4),'Gold - Q&amp;V'!$E$8:$E$250,4)+
SUMIFS('Gold - Q&amp;V'!$C$8:$C$250,'Gold - Q&amp;V'!$D$8:$D$250,CONCATENATE("20",RIGHT('FY Q&amp;V 2003-04 to Now'!S$7,2)),'Gold - Q&amp;V'!$E$8:$E$250,1)+
SUMIFS('Gold - Q&amp;V'!$C$8:$C$250,'Gold - Q&amp;V'!$D$8:$D$250,CONCATENATE("20",RIGHT('FY Q&amp;V 2003-04 to Now'!S$7,2)),'Gold - Q&amp;V'!$E$8:$E$250,2))*1000000</f>
        <v>9421483327.0000019</v>
      </c>
      <c r="U42" s="895">
        <f>(SUMIFS('Gold - Q&amp;V'!$B$8:$B$250,'Gold - Q&amp;V'!$D$8:$D$250,LEFT('FY Q&amp;V 2003-04 to Now'!U$7:V$7,4),'Gold - Q&amp;V'!$E$8:$E$250,3)+
SUMIFS('Gold - Q&amp;V'!$B$8:$B$250,'Gold - Q&amp;V'!$D$8:$D$250,LEFT('FY Q&amp;V 2003-04 to Now'!U$7:V$7,4),'Gold - Q&amp;V'!$E$8:$E$250,4)+
SUMIFS('Gold - Q&amp;V'!$B$8:$B$250,'Gold - Q&amp;V'!$D$8:$D$250,CONCATENATE("20",RIGHT('FY Q&amp;V 2003-04 to Now'!U$7,2)),'Gold - Q&amp;V'!$E$8:$E$250,1)+
SUMIFS('Gold - Q&amp;V'!$B$8:$B$250,'Gold - Q&amp;V'!$D$8:$D$250,CONCATENATE("20",RIGHT('FY Q&amp;V 2003-04 to Now'!U$7,2)),'Gold - Q&amp;V'!$E$8:$E$250,2))*1000</f>
        <v>179849.01528999998</v>
      </c>
      <c r="V42" s="892">
        <f>(SUMIFS('Gold - Q&amp;V'!$C$8:$C$250,'Gold - Q&amp;V'!$D$8:$D$250,LEFT('FY Q&amp;V 2003-04 to Now'!U$7,4),'Gold - Q&amp;V'!$E$8:$E$250,3)+
SUMIFS('Gold - Q&amp;V'!$C$8:$C$250,'Gold - Q&amp;V'!$D$8:$D$250,LEFT('FY Q&amp;V 2003-04 to Now'!U$7,4),'Gold - Q&amp;V'!$E$8:$E$250,4)+
SUMIFS('Gold - Q&amp;V'!$C$8:$C$250,'Gold - Q&amp;V'!$D$8:$D$250,CONCATENATE("20",RIGHT('FY Q&amp;V 2003-04 to Now'!U$7,2)),'Gold - Q&amp;V'!$E$8:$E$250,1)+
SUMIFS('Gold - Q&amp;V'!$C$8:$C$250,'Gold - Q&amp;V'!$D$8:$D$250,CONCATENATE("20",RIGHT('FY Q&amp;V 2003-04 to Now'!U$7,2)),'Gold - Q&amp;V'!$E$8:$E$250,2))*1000000</f>
        <v>9022522018</v>
      </c>
      <c r="W42" s="895">
        <f>(SUMIFS('Gold - Q&amp;V'!$B$8:$B$250,'Gold - Q&amp;V'!$D$8:$D$250,LEFT('FY Q&amp;V 2003-04 to Now'!W$7:X$7,4),'Gold - Q&amp;V'!$E$8:$E$250,3)+
SUMIFS('Gold - Q&amp;V'!$B$8:$B$250,'Gold - Q&amp;V'!$D$8:$D$250,LEFT('FY Q&amp;V 2003-04 to Now'!W$7:X$7,4),'Gold - Q&amp;V'!$E$8:$E$250,4)+
SUMIFS('Gold - Q&amp;V'!$B$8:$B$250,'Gold - Q&amp;V'!$D$8:$D$250,CONCATENATE("20",RIGHT('FY Q&amp;V 2003-04 to Now'!W$7,2)),'Gold - Q&amp;V'!$E$8:$E$250,1)+
SUMIFS('Gold - Q&amp;V'!$B$8:$B$250,'Gold - Q&amp;V'!$D$8:$D$250,CONCATENATE("20",RIGHT('FY Q&amp;V 2003-04 to Now'!W$7,2)),'Gold - Q&amp;V'!$E$8:$E$250,2))*1000</f>
        <v>196073.56325673001</v>
      </c>
      <c r="X42" s="892">
        <f>(SUMIFS('Gold - Q&amp;V'!$C$8:$C$250,'Gold - Q&amp;V'!$D$8:$D$250,LEFT('FY Q&amp;V 2003-04 to Now'!W$7,4),'Gold - Q&amp;V'!$E$8:$E$250,3)+
SUMIFS('Gold - Q&amp;V'!$C$8:$C$250,'Gold - Q&amp;V'!$D$8:$D$250,LEFT('FY Q&amp;V 2003-04 to Now'!W$7,4),'Gold - Q&amp;V'!$E$8:$E$250,4)+
SUMIFS('Gold - Q&amp;V'!$C$8:$C$250,'Gold - Q&amp;V'!$D$8:$D$250,CONCATENATE("20",RIGHT('FY Q&amp;V 2003-04 to Now'!W$7,2)),'Gold - Q&amp;V'!$E$8:$E$250,1)+
SUMIFS('Gold - Q&amp;V'!$C$8:$C$250,'Gold - Q&amp;V'!$D$8:$D$250,CONCATENATE("20",RIGHT('FY Q&amp;V 2003-04 to Now'!W$7,2)),'Gold - Q&amp;V'!$E$8:$E$250,2))*1000000</f>
        <v>8890995046</v>
      </c>
      <c r="Y42" s="895">
        <f>(SUMIFS('Gold - Q&amp;V'!$B$8:$B$250,'Gold - Q&amp;V'!$D$8:$D$250,LEFT('FY Q&amp;V 2003-04 to Now'!Y$7:Z$7,4),'Gold - Q&amp;V'!$E$8:$E$250,3)+
SUMIFS('Gold - Q&amp;V'!$B$8:$B$250,'Gold - Q&amp;V'!$D$8:$D$250,LEFT('FY Q&amp;V 2003-04 to Now'!Y$7:Z$7,4),'Gold - Q&amp;V'!$E$8:$E$250,4)+
SUMIFS('Gold - Q&amp;V'!$B$8:$B$250,'Gold - Q&amp;V'!$D$8:$D$250,CONCATENATE("20",RIGHT('FY Q&amp;V 2003-04 to Now'!Y$7,2)),'Gold - Q&amp;V'!$E$8:$E$250,1)+
SUMIFS('Gold - Q&amp;V'!$B$8:$B$250,'Gold - Q&amp;V'!$D$8:$D$250,CONCATENATE("20",RIGHT('FY Q&amp;V 2003-04 to Now'!Y$7,2)),'Gold - Q&amp;V'!$E$8:$E$250,2))*1000</f>
        <v>193162.36458304175</v>
      </c>
      <c r="Z42" s="892">
        <f>(SUMIFS('Gold - Q&amp;V'!$C$8:$C$250,'Gold - Q&amp;V'!$D$8:$D$250,LEFT('FY Q&amp;V 2003-04 to Now'!Y$7,4),'Gold - Q&amp;V'!$E$8:$E$250,3)+
SUMIFS('Gold - Q&amp;V'!$C$8:$C$250,'Gold - Q&amp;V'!$D$8:$D$250,LEFT('FY Q&amp;V 2003-04 to Now'!Y$7,4),'Gold - Q&amp;V'!$E$8:$E$250,4)+
SUMIFS('Gold - Q&amp;V'!$C$8:$C$250,'Gold - Q&amp;V'!$D$8:$D$250,CONCATENATE("20",RIGHT('FY Q&amp;V 2003-04 to Now'!Y$7,2)),'Gold - Q&amp;V'!$E$8:$E$250,1)+
SUMIFS('Gold - Q&amp;V'!$C$8:$C$250,'Gold - Q&amp;V'!$D$8:$D$250,CONCATENATE("20",RIGHT('FY Q&amp;V 2003-04 to Now'!Y$7,2)),'Gold - Q&amp;V'!$E$8:$E$250,2))*1000000</f>
        <v>9107167942</v>
      </c>
      <c r="AA42" s="895">
        <f>(SUMIFS('Gold - Q&amp;V'!$B$8:$B$250,'Gold - Q&amp;V'!$D$8:$D$250,LEFT('FY Q&amp;V 2003-04 to Now'!AA$7:AB$7,4),'Gold - Q&amp;V'!$E$8:$E$250,3)+
SUMIFS('Gold - Q&amp;V'!$B$8:$B$250,'Gold - Q&amp;V'!$D$8:$D$250,LEFT('FY Q&amp;V 2003-04 to Now'!AA$7:AB$7,4),'Gold - Q&amp;V'!$E$8:$E$250,4)+
SUMIFS('Gold - Q&amp;V'!$B$8:$B$250,'Gold - Q&amp;V'!$D$8:$D$250,CONCATENATE("20",RIGHT('FY Q&amp;V 2003-04 to Now'!AA$7,2)),'Gold - Q&amp;V'!$E$8:$E$250,1)+
SUMIFS('Gold - Q&amp;V'!$B$8:$B$250,'Gold - Q&amp;V'!$D$8:$D$250,CONCATENATE("20",RIGHT('FY Q&amp;V 2003-04 to Now'!AA$7,2)),'Gold - Q&amp;V'!$E$8:$E$250,2))*1000</f>
        <v>195968.32781245821</v>
      </c>
      <c r="AB42" s="892">
        <f>(SUMIFS('Gold - Q&amp;V'!$C$8:$C$250,'Gold - Q&amp;V'!$D$8:$D$250,LEFT('FY Q&amp;V 2003-04 to Now'!AA$7,4),'Gold - Q&amp;V'!$E$8:$E$250,3)+
SUMIFS('Gold - Q&amp;V'!$C$8:$C$250,'Gold - Q&amp;V'!$D$8:$D$250,LEFT('FY Q&amp;V 2003-04 to Now'!AA$7,4),'Gold - Q&amp;V'!$E$8:$E$250,4)+
SUMIFS('Gold - Q&amp;V'!$C$8:$C$250,'Gold - Q&amp;V'!$D$8:$D$250,CONCATENATE("20",RIGHT('FY Q&amp;V 2003-04 to Now'!AA$7,2)),'Gold - Q&amp;V'!$E$8:$E$250,1)+
SUMIFS('Gold - Q&amp;V'!$C$8:$C$250,'Gold - Q&amp;V'!$D$8:$D$250,CONCATENATE("20",RIGHT('FY Q&amp;V 2003-04 to Now'!AA$7,2)),'Gold - Q&amp;V'!$E$8:$E$250,2))*1000000</f>
        <v>10104514299</v>
      </c>
      <c r="AC42" s="942">
        <f>(SUMIFS('Gold - Q&amp;V'!$B$8:$B$250,'Gold - Q&amp;V'!$D$8:$D$250,LEFT('FY Q&amp;V 2003-04 to Now'!AC$7:AD$7,4),'Gold - Q&amp;V'!$E$8:$E$250,3)+
SUMIFS('Gold - Q&amp;V'!$B$8:$B$250,'Gold - Q&amp;V'!$D$8:$D$250,LEFT('FY Q&amp;V 2003-04 to Now'!AC$7:AD$7,4),'Gold - Q&amp;V'!$E$8:$E$250,4)+
SUMIFS('Gold - Q&amp;V'!$B$8:$B$250,'Gold - Q&amp;V'!$D$8:$D$250,CONCATENATE("20",RIGHT('FY Q&amp;V 2003-04 to Now'!AC$7,2)),'Gold - Q&amp;V'!$E$8:$E$250,1)+
SUMIFS('Gold - Q&amp;V'!$B$8:$B$250,'Gold - Q&amp;V'!$D$8:$D$250,CONCATENATE("20",RIGHT('FY Q&amp;V 2003-04 to Now'!AC$7,2)),'Gold - Q&amp;V'!$E$8:$E$250,2))*1000</f>
        <v>203002.87275238175</v>
      </c>
      <c r="AD42" s="892">
        <f>(SUMIFS('Gold - Q&amp;V'!$C$8:$C$250,'Gold - Q&amp;V'!$D$8:$D$250,LEFT('FY Q&amp;V 2003-04 to Now'!AC$7,4),'Gold - Q&amp;V'!$E$8:$E$250,3)+
SUMIFS('Gold - Q&amp;V'!$C$8:$C$250,'Gold - Q&amp;V'!$D$8:$D$250,LEFT('FY Q&amp;V 2003-04 to Now'!AC$7,4),'Gold - Q&amp;V'!$E$8:$E$250,4)+
SUMIFS('Gold - Q&amp;V'!$C$8:$C$250,'Gold - Q&amp;V'!$D$8:$D$250,CONCATENATE("20",RIGHT('FY Q&amp;V 2003-04 to Now'!AC$7,2)),'Gold - Q&amp;V'!$E$8:$E$250,1)+
SUMIFS('Gold - Q&amp;V'!$C$8:$C$250,'Gold - Q&amp;V'!$D$8:$D$250,CONCATENATE("20",RIGHT('FY Q&amp;V 2003-04 to Now'!AC$7,2)),'Gold - Q&amp;V'!$E$8:$E$250,2))*1000000</f>
        <v>10859574220.999998</v>
      </c>
      <c r="AE42" s="960">
        <f>(SUMIFS('Gold - Q&amp;V'!$B$8:$B$250,'Gold - Q&amp;V'!$D$8:$D$250,LEFT('FY Q&amp;V 2003-04 to Now'!AE$7:AF$7,4),'Gold - Q&amp;V'!$E$8:$E$250,3)+
SUMIFS('Gold - Q&amp;V'!$B$8:$B$250,'Gold - Q&amp;V'!$D$8:$D$250,LEFT('FY Q&amp;V 2003-04 to Now'!AE$7:AF$7,4),'Gold - Q&amp;V'!$E$8:$E$250,4)+
SUMIFS('Gold - Q&amp;V'!$B$8:$B$250,'Gold - Q&amp;V'!$D$8:$D$250,CONCATENATE("20",RIGHT('FY Q&amp;V 2003-04 to Now'!AE$7,2)),'Gold - Q&amp;V'!$E$8:$E$250,1)+
SUMIFS('Gold - Q&amp;V'!$B$8:$B$250,'Gold - Q&amp;V'!$D$8:$D$250,CONCATENATE("20",RIGHT('FY Q&amp;V 2003-04 to Now'!AE$7,2)),'Gold - Q&amp;V'!$E$8:$E$250,2))*1000</f>
        <v>221042.11415528745</v>
      </c>
      <c r="AF42" s="943">
        <f>(SUMIFS('Gold - Q&amp;V'!$C$8:$C$250,'Gold - Q&amp;V'!$D$8:$D$250,LEFT('FY Q&amp;V 2003-04 to Now'!AE$7,4),'Gold - Q&amp;V'!$E$8:$E$250,3)+
SUMIFS('Gold - Q&amp;V'!$C$8:$C$250,'Gold - Q&amp;V'!$D$8:$D$250,LEFT('FY Q&amp;V 2003-04 to Now'!AE$7,4),'Gold - Q&amp;V'!$E$8:$E$250,4)+
SUMIFS('Gold - Q&amp;V'!$C$8:$C$250,'Gold - Q&amp;V'!$D$8:$D$250,CONCATENATE("20",RIGHT('FY Q&amp;V 2003-04 to Now'!AE$7,2)),'Gold - Q&amp;V'!$E$8:$E$250,1)+
SUMIFS('Gold - Q&amp;V'!$C$8:$C$250,'Gold - Q&amp;V'!$D$8:$D$250,CONCATENATE("20",RIGHT('FY Q&amp;V 2003-04 to Now'!AE$7,2)),'Gold - Q&amp;V'!$E$8:$E$250,2))*1000000</f>
        <v>11435566249</v>
      </c>
      <c r="AG42" s="1307">
        <f>(SUMIFS('Gold - Q&amp;V'!$B$8:$B$250,'Gold - Q&amp;V'!$D$8:$D$250,LEFT('FY Q&amp;V 2003-04 to Now'!AG$7:AH$7,4),'Gold - Q&amp;V'!$E$8:$E$250,3)+
SUMIFS('Gold - Q&amp;V'!$B$8:$B$250,'Gold - Q&amp;V'!$D$8:$D$250,LEFT('FY Q&amp;V 2003-04 to Now'!AG$7:AH$7,4),'Gold - Q&amp;V'!$E$8:$E$250,4)+
SUMIFS('Gold - Q&amp;V'!$B$8:$B$250,'Gold - Q&amp;V'!$D$8:$D$250,CONCATENATE("20",RIGHT('FY Q&amp;V 2003-04 to Now'!AG$7,2)),'Gold - Q&amp;V'!$E$8:$E$250,1)+
SUMIFS('Gold - Q&amp;V'!$B$8:$B$250,'Gold - Q&amp;V'!$D$8:$D$250,CONCATENATE("20",RIGHT('FY Q&amp;V 2003-04 to Now'!AG$7,2)),'Gold - Q&amp;V'!$E$8:$E$250,2))*1000</f>
        <v>211533.56716788746</v>
      </c>
      <c r="AH42" s="892">
        <f>(SUMIFS('Gold - Q&amp;V'!$C$8:$C$250,'Gold - Q&amp;V'!$D$8:$D$250,LEFT('FY Q&amp;V 2003-04 to Now'!AG$7,4),'Gold - Q&amp;V'!$E$8:$E$250,3)+
SUMIFS('Gold - Q&amp;V'!$C$8:$C$250,'Gold - Q&amp;V'!$D$8:$D$250,LEFT('FY Q&amp;V 2003-04 to Now'!AG$7,4),'Gold - Q&amp;V'!$E$8:$E$250,4)+
SUMIFS('Gold - Q&amp;V'!$C$8:$C$250,'Gold - Q&amp;V'!$D$8:$D$250,CONCATENATE("20",RIGHT('FY Q&amp;V 2003-04 to Now'!AG$7,2)),'Gold - Q&amp;V'!$E$8:$E$250,1)+
SUMIFS('Gold - Q&amp;V'!$C$8:$C$250,'Gold - Q&amp;V'!$D$8:$D$250,CONCATENATE("20",RIGHT('FY Q&amp;V 2003-04 to Now'!AG$7,2)),'Gold - Q&amp;V'!$E$8:$E$250,2))*1000000</f>
        <v>11957739953.999998</v>
      </c>
      <c r="AI42" s="954">
        <f>SUMIF($C$9:AH$9,1,$C42:AH42)</f>
        <v>2873535.8887477871</v>
      </c>
      <c r="AJ42" s="955">
        <f>SUMIF($C$9:AH$9,0,$C42:AH42)</f>
        <v>118889822455</v>
      </c>
      <c r="AM42" s="1672"/>
      <c r="AN42" s="1672"/>
      <c r="AO42" s="1672"/>
    </row>
    <row r="43" spans="1:42">
      <c r="A43" s="599"/>
      <c r="B43" s="594"/>
      <c r="C43" s="895"/>
      <c r="D43" s="892"/>
      <c r="E43" s="895"/>
      <c r="F43" s="892"/>
      <c r="G43" s="895"/>
      <c r="H43" s="892"/>
      <c r="I43" s="895"/>
      <c r="J43" s="892"/>
      <c r="K43" s="895"/>
      <c r="L43" s="892"/>
      <c r="M43" s="895"/>
      <c r="N43" s="892"/>
      <c r="O43" s="895"/>
      <c r="P43" s="892"/>
      <c r="Q43" s="895"/>
      <c r="R43" s="892"/>
      <c r="S43" s="895"/>
      <c r="T43" s="892"/>
      <c r="U43" s="895"/>
      <c r="V43" s="892"/>
      <c r="W43" s="895"/>
      <c r="X43" s="892"/>
      <c r="Y43" s="895"/>
      <c r="Z43" s="892"/>
      <c r="AA43" s="895"/>
      <c r="AB43" s="892"/>
      <c r="AC43" s="892"/>
      <c r="AD43" s="892"/>
      <c r="AE43" s="1307"/>
      <c r="AF43" s="892"/>
      <c r="AG43" s="1307"/>
      <c r="AH43" s="892"/>
      <c r="AI43" s="954"/>
      <c r="AJ43" s="955"/>
    </row>
    <row r="44" spans="1:42">
      <c r="A44" s="884" t="s">
        <v>271</v>
      </c>
      <c r="B44" s="848" t="s">
        <v>110</v>
      </c>
      <c r="C44" s="890">
        <v>1546182.4760000003</v>
      </c>
      <c r="D44" s="891">
        <v>24138386.410000004</v>
      </c>
      <c r="E44" s="890">
        <v>1407202.7169999999</v>
      </c>
      <c r="F44" s="891">
        <v>23725373.02</v>
      </c>
      <c r="G44" s="890">
        <v>1598511.3479999998</v>
      </c>
      <c r="H44" s="891">
        <v>27327397.959999997</v>
      </c>
      <c r="I44" s="890">
        <v>1552490.2009999999</v>
      </c>
      <c r="J44" s="891">
        <v>26999655.759999998</v>
      </c>
      <c r="K44" s="890">
        <v>1011975.09</v>
      </c>
      <c r="L44" s="891">
        <v>16043327.220000003</v>
      </c>
      <c r="M44" s="890">
        <v>846712.01899999997</v>
      </c>
      <c r="N44" s="891">
        <v>16915694.149999999</v>
      </c>
      <c r="O44" s="890">
        <v>877669.47</v>
      </c>
      <c r="P44" s="891">
        <v>17980732.5</v>
      </c>
      <c r="Q44" s="890">
        <v>587374.19000000006</v>
      </c>
      <c r="R44" s="891">
        <v>10931443.359999999</v>
      </c>
      <c r="S44" s="890">
        <v>334178.43</v>
      </c>
      <c r="T44" s="891">
        <v>4690979.8900000006</v>
      </c>
      <c r="U44" s="890">
        <v>1575768.9</v>
      </c>
      <c r="V44" s="891">
        <v>7027902.5500000007</v>
      </c>
      <c r="W44" s="890">
        <v>532919.02</v>
      </c>
      <c r="X44" s="891">
        <v>9496857.4100000001</v>
      </c>
      <c r="Y44" s="890">
        <v>576879.67999999993</v>
      </c>
      <c r="Z44" s="891">
        <v>12240631.59</v>
      </c>
      <c r="AA44" s="890">
        <v>551910</v>
      </c>
      <c r="AB44" s="891">
        <v>13830966</v>
      </c>
      <c r="AC44" s="891">
        <v>531399.01099999994</v>
      </c>
      <c r="AD44" s="891">
        <v>12980852.875</v>
      </c>
      <c r="AE44" s="1308">
        <v>895501.66900000011</v>
      </c>
      <c r="AF44" s="891">
        <v>20462106.1182</v>
      </c>
      <c r="AG44" s="1308">
        <v>987740.53999999992</v>
      </c>
      <c r="AH44" s="891">
        <v>22770120.6627158</v>
      </c>
      <c r="AI44" s="953">
        <f>SUMIF($C$9:AH$9,1,$C44:AH44)</f>
        <v>15414414.760999996</v>
      </c>
      <c r="AJ44" s="891">
        <f>SUMIF($C$9:AH$9,0,$C44:AH44)</f>
        <v>267562427.47591579</v>
      </c>
    </row>
    <row r="45" spans="1:42">
      <c r="A45" s="847"/>
      <c r="B45" s="848"/>
      <c r="C45" s="896"/>
      <c r="D45" s="878"/>
      <c r="E45" s="896"/>
      <c r="F45" s="878"/>
      <c r="G45" s="896"/>
      <c r="H45" s="878"/>
      <c r="I45" s="896"/>
      <c r="J45" s="878"/>
      <c r="K45" s="896"/>
      <c r="L45" s="878"/>
      <c r="M45" s="896"/>
      <c r="N45" s="878"/>
      <c r="O45" s="896"/>
      <c r="P45" s="878"/>
      <c r="Q45" s="896"/>
      <c r="R45" s="878"/>
      <c r="S45" s="896"/>
      <c r="T45" s="878"/>
      <c r="U45" s="896"/>
      <c r="V45" s="878"/>
      <c r="W45" s="896"/>
      <c r="X45" s="878"/>
      <c r="Y45" s="896"/>
      <c r="Z45" s="878"/>
      <c r="AA45" s="896"/>
      <c r="AB45" s="878"/>
      <c r="AC45" s="878"/>
      <c r="AD45" s="878"/>
      <c r="AE45" s="1309"/>
      <c r="AF45" s="878"/>
      <c r="AG45" s="1309"/>
      <c r="AH45" s="878"/>
      <c r="AI45" s="953"/>
      <c r="AJ45" s="891"/>
    </row>
    <row r="46" spans="1:42">
      <c r="A46" s="885" t="s">
        <v>541</v>
      </c>
      <c r="B46" s="638"/>
      <c r="C46" s="942"/>
      <c r="D46" s="943"/>
      <c r="E46" s="942"/>
      <c r="F46" s="943"/>
      <c r="G46" s="942"/>
      <c r="H46" s="943"/>
      <c r="I46" s="942"/>
      <c r="J46" s="943"/>
      <c r="K46" s="942"/>
      <c r="L46" s="943"/>
      <c r="M46" s="942"/>
      <c r="N46" s="943"/>
      <c r="O46" s="942"/>
      <c r="P46" s="943"/>
      <c r="Q46" s="942"/>
      <c r="R46" s="943"/>
      <c r="S46" s="942"/>
      <c r="T46" s="943"/>
      <c r="U46" s="942"/>
      <c r="V46" s="943"/>
      <c r="W46" s="942"/>
      <c r="X46" s="943"/>
      <c r="Y46" s="942"/>
      <c r="Z46" s="943"/>
      <c r="AA46" s="942"/>
      <c r="AB46" s="943"/>
      <c r="AC46" s="942"/>
      <c r="AD46" s="943"/>
      <c r="AE46" s="960"/>
      <c r="AF46" s="943"/>
      <c r="AG46" s="960"/>
      <c r="AH46" s="943"/>
      <c r="AI46" s="954"/>
      <c r="AJ46" s="955"/>
    </row>
    <row r="47" spans="1:42">
      <c r="A47" s="886" t="s">
        <v>339</v>
      </c>
      <c r="B47" s="594" t="s">
        <v>110</v>
      </c>
      <c r="C47" s="942">
        <v>128379.38</v>
      </c>
      <c r="D47" s="943">
        <v>16306801.329999998</v>
      </c>
      <c r="E47" s="942">
        <v>186667.1</v>
      </c>
      <c r="F47" s="943">
        <v>19446761.800000001</v>
      </c>
      <c r="G47" s="942">
        <v>278576.92000000004</v>
      </c>
      <c r="H47" s="943">
        <v>29805653.34</v>
      </c>
      <c r="I47" s="942">
        <v>265550.41000000003</v>
      </c>
      <c r="J47" s="943">
        <v>31845413.109999999</v>
      </c>
      <c r="K47" s="942">
        <v>327521</v>
      </c>
      <c r="L47" s="943">
        <v>54414406.459999993</v>
      </c>
      <c r="M47" s="942">
        <v>290884.25</v>
      </c>
      <c r="N47" s="943">
        <v>52723152.800000004</v>
      </c>
      <c r="O47" s="942">
        <v>237977.79</v>
      </c>
      <c r="P47" s="943">
        <v>45356185</v>
      </c>
      <c r="Q47" s="942">
        <v>226619.89</v>
      </c>
      <c r="R47" s="943">
        <v>42689083.030000001</v>
      </c>
      <c r="S47" s="942">
        <v>301944.67</v>
      </c>
      <c r="T47" s="943">
        <v>59591878.449999996</v>
      </c>
      <c r="U47" s="942">
        <v>317335.87</v>
      </c>
      <c r="V47" s="943">
        <v>64834324.370000005</v>
      </c>
      <c r="W47" s="942">
        <v>357266.36</v>
      </c>
      <c r="X47" s="943">
        <v>68896503.510000005</v>
      </c>
      <c r="Y47" s="942">
        <v>299022</v>
      </c>
      <c r="Z47" s="943" t="s">
        <v>652</v>
      </c>
      <c r="AA47" s="942">
        <v>251161.69</v>
      </c>
      <c r="AB47" s="943" t="s">
        <v>273</v>
      </c>
      <c r="AC47" s="942">
        <v>565618.23</v>
      </c>
      <c r="AD47" s="943" t="s">
        <v>273</v>
      </c>
      <c r="AE47" s="960">
        <v>379724.45999999996</v>
      </c>
      <c r="AF47" s="943" t="s">
        <v>273</v>
      </c>
      <c r="AG47" s="960">
        <v>388470.11</v>
      </c>
      <c r="AH47" s="943" t="s">
        <v>273</v>
      </c>
      <c r="AI47" s="954">
        <f>SUMIF($C$9:AH$9,1,$C47:AH47)</f>
        <v>4802720.13</v>
      </c>
      <c r="AJ47" s="894" t="s">
        <v>273</v>
      </c>
    </row>
    <row r="48" spans="1:42">
      <c r="A48" s="886" t="s">
        <v>340</v>
      </c>
      <c r="B48" s="594" t="s">
        <v>110</v>
      </c>
      <c r="C48" s="942">
        <v>762649.24</v>
      </c>
      <c r="D48" s="943">
        <v>100913869.98</v>
      </c>
      <c r="E48" s="942">
        <v>706243.51</v>
      </c>
      <c r="F48" s="943">
        <v>80513224.680000007</v>
      </c>
      <c r="G48" s="942">
        <v>590243.99699999997</v>
      </c>
      <c r="H48" s="943">
        <v>65897621.859999985</v>
      </c>
      <c r="I48" s="942">
        <v>922296.30999999994</v>
      </c>
      <c r="J48" s="943">
        <v>103354486.05000001</v>
      </c>
      <c r="K48" s="942">
        <v>725120.17299999995</v>
      </c>
      <c r="L48" s="943">
        <v>83744751.210000008</v>
      </c>
      <c r="M48" s="942">
        <v>452043.91500000004</v>
      </c>
      <c r="N48" s="943">
        <v>65165654.31000001</v>
      </c>
      <c r="O48" s="942">
        <v>508584.15</v>
      </c>
      <c r="P48" s="943">
        <v>68516762.780000001</v>
      </c>
      <c r="Q48" s="942">
        <v>394033.44</v>
      </c>
      <c r="R48" s="943">
        <v>52763228.199999996</v>
      </c>
      <c r="S48" s="942">
        <v>332012.35000000003</v>
      </c>
      <c r="T48" s="943">
        <v>58190544.020000003</v>
      </c>
      <c r="U48" s="942">
        <v>270770.13</v>
      </c>
      <c r="V48" s="943">
        <v>72680422.280000001</v>
      </c>
      <c r="W48" s="942">
        <v>78900.359999999986</v>
      </c>
      <c r="X48" s="943">
        <v>19515065.91</v>
      </c>
      <c r="Y48" s="942">
        <v>99674</v>
      </c>
      <c r="Z48" s="943">
        <v>21000789</v>
      </c>
      <c r="AA48" s="942">
        <v>174687.28</v>
      </c>
      <c r="AB48" s="943">
        <v>39692103</v>
      </c>
      <c r="AC48" s="942">
        <v>178527.5</v>
      </c>
      <c r="AD48" s="943">
        <v>42912243</v>
      </c>
      <c r="AE48" s="960">
        <v>120227</v>
      </c>
      <c r="AF48" s="943">
        <v>25279255</v>
      </c>
      <c r="AG48" s="960">
        <v>224717.78</v>
      </c>
      <c r="AH48" s="943">
        <v>47419700</v>
      </c>
      <c r="AI48" s="954">
        <f>SUMIF($C$9:AH$9,1,$C48:AH48)</f>
        <v>6540731.1350000007</v>
      </c>
      <c r="AJ48" s="894">
        <f>SUMIF($C$9:AH$9,0,$C48:AH48)</f>
        <v>947559721.28000009</v>
      </c>
    </row>
    <row r="49" spans="1:37">
      <c r="A49" s="886" t="s">
        <v>341</v>
      </c>
      <c r="B49" s="594" t="s">
        <v>110</v>
      </c>
      <c r="C49" s="942">
        <v>51733.33</v>
      </c>
      <c r="D49" s="943">
        <v>21574054.840000004</v>
      </c>
      <c r="E49" s="942">
        <v>70729.88</v>
      </c>
      <c r="F49" s="943">
        <v>22706700.339999996</v>
      </c>
      <c r="G49" s="942">
        <v>77024.28</v>
      </c>
      <c r="H49" s="943">
        <v>23947658.210000001</v>
      </c>
      <c r="I49" s="942">
        <v>62752</v>
      </c>
      <c r="J49" s="943">
        <v>23455267.079999998</v>
      </c>
      <c r="K49" s="942">
        <v>82456.59</v>
      </c>
      <c r="L49" s="943">
        <v>22072513.259999998</v>
      </c>
      <c r="M49" s="942">
        <v>49608.289999999994</v>
      </c>
      <c r="N49" s="943">
        <v>19224805.540000003</v>
      </c>
      <c r="O49" s="942">
        <v>76590.94</v>
      </c>
      <c r="P49" s="943">
        <v>24831504.810000002</v>
      </c>
      <c r="Q49" s="942">
        <v>26029.95</v>
      </c>
      <c r="R49" s="943">
        <v>12165130.050000003</v>
      </c>
      <c r="S49" s="942">
        <v>22230.65</v>
      </c>
      <c r="T49" s="943">
        <v>16691847.319999997</v>
      </c>
      <c r="U49" s="942">
        <v>29071.34</v>
      </c>
      <c r="V49" s="943">
        <v>31231788.140000004</v>
      </c>
      <c r="W49" s="942">
        <v>29268.089999999997</v>
      </c>
      <c r="X49" s="943">
        <v>26205649.59</v>
      </c>
      <c r="Y49" s="942">
        <v>16965</v>
      </c>
      <c r="Z49" s="943">
        <v>14636208</v>
      </c>
      <c r="AA49" s="942">
        <v>18137.07</v>
      </c>
      <c r="AB49" s="943">
        <v>16452584</v>
      </c>
      <c r="AC49" s="942">
        <v>7144</v>
      </c>
      <c r="AD49" s="943">
        <v>6492778</v>
      </c>
      <c r="AE49" s="960">
        <v>14286.82</v>
      </c>
      <c r="AF49" s="943">
        <v>13031604</v>
      </c>
      <c r="AG49" s="960">
        <v>15175.675999999999</v>
      </c>
      <c r="AH49" s="943">
        <v>18209118</v>
      </c>
      <c r="AI49" s="954">
        <f>SUMIF($C$9:AH$9,1,$C49:AH49)</f>
        <v>649203.90599999984</v>
      </c>
      <c r="AJ49" s="894">
        <f>SUMIF($C$9:AH$9,0,$C49:AH49)</f>
        <v>312929211.18000001</v>
      </c>
    </row>
    <row r="50" spans="1:37">
      <c r="A50" s="886" t="s">
        <v>353</v>
      </c>
      <c r="B50" s="594" t="s">
        <v>110</v>
      </c>
      <c r="C50" s="942">
        <v>138790.57</v>
      </c>
      <c r="D50" s="943">
        <v>85623473.780000001</v>
      </c>
      <c r="E50" s="942">
        <v>101708.83</v>
      </c>
      <c r="F50" s="943">
        <v>63725523.490000002</v>
      </c>
      <c r="G50" s="942">
        <v>89954.495999999999</v>
      </c>
      <c r="H50" s="943">
        <v>58673948.350000001</v>
      </c>
      <c r="I50" s="942">
        <v>108973.04999999999</v>
      </c>
      <c r="J50" s="943">
        <v>68497752.609999999</v>
      </c>
      <c r="K50" s="942">
        <v>95486.512000000002</v>
      </c>
      <c r="L50" s="943">
        <v>54967974.07</v>
      </c>
      <c r="M50" s="942">
        <v>74033.680000000008</v>
      </c>
      <c r="N50" s="943">
        <v>53162366.980000004</v>
      </c>
      <c r="O50" s="942">
        <v>118234.23000000001</v>
      </c>
      <c r="P50" s="943">
        <v>77691649.189999998</v>
      </c>
      <c r="Q50" s="942">
        <v>49744.5</v>
      </c>
      <c r="R50" s="943">
        <v>35431242.170000002</v>
      </c>
      <c r="S50" s="322">
        <v>38870.25</v>
      </c>
      <c r="T50" s="943">
        <v>52250226.769999996</v>
      </c>
      <c r="U50" s="942">
        <v>46937.54</v>
      </c>
      <c r="V50" s="943">
        <v>80261378.810000002</v>
      </c>
      <c r="W50" s="942">
        <v>65083.87</v>
      </c>
      <c r="X50" s="943">
        <v>65938306.339999996</v>
      </c>
      <c r="Y50" s="942">
        <v>30206</v>
      </c>
      <c r="Z50" s="943">
        <v>29582184</v>
      </c>
      <c r="AA50" s="942">
        <v>45887.87</v>
      </c>
      <c r="AB50" s="943">
        <v>44260114</v>
      </c>
      <c r="AC50" s="942">
        <v>21561.97</v>
      </c>
      <c r="AD50" s="943">
        <v>21953547</v>
      </c>
      <c r="AE50" s="960">
        <v>20596.260000000002</v>
      </c>
      <c r="AF50" s="943">
        <v>22170174</v>
      </c>
      <c r="AG50" s="960">
        <v>23906</v>
      </c>
      <c r="AH50" s="943">
        <v>29470430</v>
      </c>
      <c r="AI50" s="954">
        <f>SUMIF($C$9:AH$9,1,$C50:AH50)</f>
        <v>1069975.628</v>
      </c>
      <c r="AJ50" s="894">
        <f>SUMIF($C$9:AH$9,0,$C50:AH50)</f>
        <v>843660291.56000006</v>
      </c>
    </row>
    <row r="51" spans="1:37">
      <c r="A51" s="886" t="s">
        <v>342</v>
      </c>
      <c r="B51" s="594" t="s">
        <v>110</v>
      </c>
      <c r="C51" s="942">
        <v>443699.14999999997</v>
      </c>
      <c r="D51" s="943">
        <v>260418224.21000001</v>
      </c>
      <c r="E51" s="942">
        <v>451205.51999999996</v>
      </c>
      <c r="F51" s="943">
        <v>304838808.88</v>
      </c>
      <c r="G51" s="942">
        <v>407915.73</v>
      </c>
      <c r="H51" s="943">
        <v>354604945.01999998</v>
      </c>
      <c r="I51" s="942">
        <v>413664.87900000002</v>
      </c>
      <c r="J51" s="943">
        <v>336501960.62</v>
      </c>
      <c r="K51" s="942">
        <v>283042.17300000001</v>
      </c>
      <c r="L51" s="943">
        <v>204335099.34000003</v>
      </c>
      <c r="M51" s="942">
        <v>264546.799</v>
      </c>
      <c r="N51" s="943">
        <v>231446448.66</v>
      </c>
      <c r="O51" s="942">
        <v>351957.11000000004</v>
      </c>
      <c r="P51" s="943">
        <v>270549395.88999999</v>
      </c>
      <c r="Q51" s="942">
        <v>298644.24900000001</v>
      </c>
      <c r="R51" s="943">
        <v>197514000.79000002</v>
      </c>
      <c r="S51" s="942">
        <v>180429.25300000003</v>
      </c>
      <c r="T51" s="943">
        <v>219219648.86999995</v>
      </c>
      <c r="U51" s="942">
        <v>215831.04599999997</v>
      </c>
      <c r="V51" s="943">
        <v>189547781.68999997</v>
      </c>
      <c r="W51" s="942">
        <v>212068.06899999999</v>
      </c>
      <c r="X51" s="943">
        <v>114307404.53</v>
      </c>
      <c r="Y51" s="942">
        <v>182859</v>
      </c>
      <c r="Z51" s="943">
        <v>136321656</v>
      </c>
      <c r="AA51" s="942">
        <v>191551.26534946065</v>
      </c>
      <c r="AB51" s="943">
        <v>151297003</v>
      </c>
      <c r="AC51" s="942">
        <v>184700.02</v>
      </c>
      <c r="AD51" s="943">
        <v>101083491</v>
      </c>
      <c r="AE51" s="1399">
        <v>72567.17</v>
      </c>
      <c r="AF51" s="943">
        <v>100649559</v>
      </c>
      <c r="AG51" s="960">
        <v>133958.08800000002</v>
      </c>
      <c r="AH51" s="943">
        <v>247119166</v>
      </c>
      <c r="AI51" s="954">
        <f>SUMIF($C$9:AH$9,1,$C51:AH51)</f>
        <v>4288639.5213494608</v>
      </c>
      <c r="AJ51" s="894">
        <f>SUMIF($C$9:AH$9,0,$C51:AH51)</f>
        <v>3419754593.5000005</v>
      </c>
    </row>
    <row r="52" spans="1:37" s="1535" customFormat="1">
      <c r="A52" s="886" t="s">
        <v>849</v>
      </c>
      <c r="B52" s="594"/>
      <c r="C52" s="942"/>
      <c r="D52" s="943"/>
      <c r="E52" s="942"/>
      <c r="F52" s="943"/>
      <c r="G52" s="942"/>
      <c r="H52" s="943"/>
      <c r="I52" s="942"/>
      <c r="J52" s="943"/>
      <c r="K52" s="942"/>
      <c r="L52" s="943"/>
      <c r="M52" s="942"/>
      <c r="N52" s="943"/>
      <c r="O52" s="942"/>
      <c r="P52" s="943"/>
      <c r="Q52" s="942"/>
      <c r="R52" s="943"/>
      <c r="S52" s="942"/>
      <c r="T52" s="943"/>
      <c r="U52" s="942"/>
      <c r="V52" s="943"/>
      <c r="W52" s="942"/>
      <c r="X52" s="943"/>
      <c r="Y52" s="942">
        <v>198231.56363636369</v>
      </c>
      <c r="Z52" s="943">
        <v>215809868.26065212</v>
      </c>
      <c r="AA52" s="942">
        <v>271220.46060606057</v>
      </c>
      <c r="AB52" s="943">
        <v>254260587.13582832</v>
      </c>
      <c r="AC52" s="942">
        <v>298482.04000000004</v>
      </c>
      <c r="AD52" s="943">
        <v>252213036.04640046</v>
      </c>
      <c r="AE52" s="1399">
        <v>264426.86278787878</v>
      </c>
      <c r="AF52" s="943">
        <v>279071092.8773964</v>
      </c>
      <c r="AG52" s="960">
        <v>197897.06278787879</v>
      </c>
      <c r="AH52" s="943">
        <v>244256417.44203156</v>
      </c>
      <c r="AI52" s="954">
        <f>SUMIF($C$9:AH$9,1,$C52:AH52)</f>
        <v>1230257.9898181818</v>
      </c>
      <c r="AJ52" s="894">
        <f>SUMIF($C$9:AH$9,0,$C52:AH52)</f>
        <v>1245611001.7623088</v>
      </c>
    </row>
    <row r="53" spans="1:37">
      <c r="A53" s="886" t="s">
        <v>837</v>
      </c>
      <c r="B53" s="594" t="s">
        <v>110</v>
      </c>
      <c r="C53" s="942">
        <v>1011378.7</v>
      </c>
      <c r="D53" s="943">
        <v>292701469.47151518</v>
      </c>
      <c r="E53" s="942">
        <v>1083644</v>
      </c>
      <c r="F53" s="943">
        <v>317215898.49030304</v>
      </c>
      <c r="G53" s="942">
        <v>1004131.7259999999</v>
      </c>
      <c r="H53" s="943">
        <v>302701422.50512731</v>
      </c>
      <c r="I53" s="942">
        <v>971265.98999999987</v>
      </c>
      <c r="J53" s="943">
        <v>281872129.454</v>
      </c>
      <c r="K53" s="942">
        <v>979353.66999999993</v>
      </c>
      <c r="L53" s="943">
        <v>257719561.2910291</v>
      </c>
      <c r="M53" s="942">
        <v>858319.20600000012</v>
      </c>
      <c r="N53" s="943">
        <v>282879838.97060996</v>
      </c>
      <c r="O53" s="942">
        <v>606241.16</v>
      </c>
      <c r="P53" s="943">
        <v>177539531.95650181</v>
      </c>
      <c r="Q53" s="942">
        <v>421723</v>
      </c>
      <c r="R53" s="943">
        <v>135619862.7269091</v>
      </c>
      <c r="S53" s="942">
        <v>540074.27</v>
      </c>
      <c r="T53" s="943">
        <v>458168417.6431855</v>
      </c>
      <c r="U53" s="942">
        <v>475411</v>
      </c>
      <c r="V53" s="943">
        <v>372123979.28436369</v>
      </c>
      <c r="W53" s="942">
        <v>335684</v>
      </c>
      <c r="X53" s="943">
        <v>176168376.74545455</v>
      </c>
      <c r="Y53" s="942">
        <v>440970</v>
      </c>
      <c r="Z53" s="1675">
        <f>Z54-SUM(Z47:Z52)</f>
        <v>75356169.00000006</v>
      </c>
      <c r="AA53" s="960"/>
      <c r="AB53" s="1675">
        <f>AB54-SUM(AB47:AB52)</f>
        <v>65585668.99999994</v>
      </c>
      <c r="AC53" s="942"/>
      <c r="AD53" s="1675">
        <f>AD54-SUM(AD47:AD52)</f>
        <v>158791842</v>
      </c>
      <c r="AE53" s="1674"/>
      <c r="AF53" s="1675">
        <f>AF54-SUM(AF47:AF52)</f>
        <v>110190572.99999994</v>
      </c>
      <c r="AG53" s="1674"/>
      <c r="AH53" s="1675">
        <f>AH54-SUM(AH47:AH52)</f>
        <v>116708350</v>
      </c>
      <c r="AI53" s="954">
        <f>SUMIF($C$9:AH$9,1,$C53:AH53)</f>
        <v>8728196.7219999991</v>
      </c>
      <c r="AJ53" s="894">
        <f>SUMIF($C$9:AH$9,0,$C53:AH53)</f>
        <v>3581343091.5389996</v>
      </c>
    </row>
    <row r="54" spans="1:37">
      <c r="A54" s="889" t="s">
        <v>547</v>
      </c>
      <c r="B54" s="638"/>
      <c r="C54" s="942">
        <f>(SUMIFS('Mineral Sands - Q&amp;V'!$B$8:$B$250,'Mineral Sands - Q&amp;V'!$D$8:$D$250,LEFT('FY Q&amp;V 2003-04 to Now'!C$7:D$7,4),'Mineral Sands - Q&amp;V'!$E$8:$E$250,3)+
SUMIFS('Mineral Sands - Q&amp;V'!$B$8:$B$250,'Mineral Sands - Q&amp;V'!$D$8:$D$250,LEFT('FY Q&amp;V 2003-04 to Now'!C$7:D$7,4),'Mineral Sands - Q&amp;V'!$E$8:$E$250,4)+
SUMIFS('Mineral Sands - Q&amp;V'!$B$8:$B$250,'Mineral Sands - Q&amp;V'!$D$8:$D$250,CONCATENATE("20",RIGHT('FY Q&amp;V 2003-04 to Now'!C$7,2)),'Mineral Sands - Q&amp;V'!$E$8:$E$250,1)+
SUMIFS('Mineral Sands - Q&amp;V'!$B$8:$B$250,'Mineral Sands - Q&amp;V'!$D$8:$D$250,CONCATENATE("20",RIGHT('FY Q&amp;V 2003-04 to Now'!C$7,2)),'Mineral Sands - Q&amp;V'!$E$8:$E$250,2))*1000</f>
        <v>2536630.3699999996</v>
      </c>
      <c r="D54" s="943">
        <f>(SUMIFS('Mineral Sands - Q&amp;V'!$C$8:$C$250,'Mineral Sands - Q&amp;V'!$D$8:$D$250,LEFT('FY Q&amp;V 2003-04 to Now'!C$7,4),'Mineral Sands - Q&amp;V'!$E$8:$E$250,3)+
SUMIFS('Mineral Sands - Q&amp;V'!$C$8:$C$250,'Mineral Sands - Q&amp;V'!$D$8:$D$250,LEFT('FY Q&amp;V 2003-04 to Now'!C$7,4),'Mineral Sands - Q&amp;V'!$E$8:$E$250,4)+
SUMIFS('Mineral Sands - Q&amp;V'!$C$8:$C$250,'Mineral Sands - Q&amp;V'!$D$8:$D$250,CONCATENATE("20",RIGHT('FY Q&amp;V 2003-04 to Now'!C$7,2)),'Mineral Sands - Q&amp;V'!$E$8:$E$250,1)+
SUMIFS('Mineral Sands - Q&amp;V'!$C$8:$C$250,'Mineral Sands - Q&amp;V'!$D$8:$D$250,CONCATENATE("20",RIGHT('FY Q&amp;V 2003-04 to Now'!C$7,2)),'Mineral Sands - Q&amp;V'!$E$8:$E$250,2))*1000000</f>
        <v>777537893.61151516</v>
      </c>
      <c r="E54" s="942">
        <f>(SUMIFS('Mineral Sands - Q&amp;V'!$B$8:$B$250,'Mineral Sands - Q&amp;V'!$D$8:$D$250,LEFT('FY Q&amp;V 2003-04 to Now'!E$7:F$7,4),'Mineral Sands - Q&amp;V'!$E$8:$E$250,3)+
SUMIFS('Mineral Sands - Q&amp;V'!$B$8:$B$250,'Mineral Sands - Q&amp;V'!$D$8:$D$250,LEFT('FY Q&amp;V 2003-04 to Now'!E$7:F$7,4),'Mineral Sands - Q&amp;V'!$E$8:$E$250,4)+
SUMIFS('Mineral Sands - Q&amp;V'!$B$8:$B$250,'Mineral Sands - Q&amp;V'!$D$8:$D$250,CONCATENATE("20",RIGHT('FY Q&amp;V 2003-04 to Now'!E$7,2)),'Mineral Sands - Q&amp;V'!$E$8:$E$250,1)+
SUMIFS('Mineral Sands - Q&amp;V'!$B$8:$B$250,'Mineral Sands - Q&amp;V'!$D$8:$D$250,CONCATENATE("20",RIGHT('FY Q&amp;V 2003-04 to Now'!E$7,2)),'Mineral Sands - Q&amp;V'!$E$8:$E$250,2))*1000</f>
        <v>2600198.84</v>
      </c>
      <c r="F54" s="943">
        <f>(SUMIFS('Mineral Sands - Q&amp;V'!$C$8:$C$250,'Mineral Sands - Q&amp;V'!$D$8:$D$250,LEFT('FY Q&amp;V 2003-04 to Now'!E$7,4),'Mineral Sands - Q&amp;V'!$E$8:$E$250,3)+
SUMIFS('Mineral Sands - Q&amp;V'!$C$8:$C$250,'Mineral Sands - Q&amp;V'!$D$8:$D$250,LEFT('FY Q&amp;V 2003-04 to Now'!E$7,4),'Mineral Sands - Q&amp;V'!$E$8:$E$250,4)+
SUMIFS('Mineral Sands - Q&amp;V'!$C$8:$C$250,'Mineral Sands - Q&amp;V'!$D$8:$D$250,CONCATENATE("20",RIGHT('FY Q&amp;V 2003-04 to Now'!E$7,2)),'Mineral Sands - Q&amp;V'!$E$8:$E$250,1)+
SUMIFS('Mineral Sands - Q&amp;V'!$C$8:$C$250,'Mineral Sands - Q&amp;V'!$D$8:$D$250,CONCATENATE("20",RIGHT('FY Q&amp;V 2003-04 to Now'!E$7,2)),'Mineral Sands - Q&amp;V'!$E$8:$E$250,2))*1000000</f>
        <v>808446917.6803031</v>
      </c>
      <c r="G54" s="942">
        <f>(SUMIFS('Mineral Sands - Q&amp;V'!$B$8:$B$250,'Mineral Sands - Q&amp;V'!$D$8:$D$250,LEFT('FY Q&amp;V 2003-04 to Now'!G$7:H$7,4),'Mineral Sands - Q&amp;V'!$E$8:$E$250,3)+
SUMIFS('Mineral Sands - Q&amp;V'!$B$8:$B$250,'Mineral Sands - Q&amp;V'!$D$8:$D$250,LEFT('FY Q&amp;V 2003-04 to Now'!G$7:H$7,4),'Mineral Sands - Q&amp;V'!$E$8:$E$250,4)+
SUMIFS('Mineral Sands - Q&amp;V'!$B$8:$B$250,'Mineral Sands - Q&amp;V'!$D$8:$D$250,CONCATENATE("20",RIGHT('FY Q&amp;V 2003-04 to Now'!G$7,2)),'Mineral Sands - Q&amp;V'!$E$8:$E$250,1)+
SUMIFS('Mineral Sands - Q&amp;V'!$B$8:$B$250,'Mineral Sands - Q&amp;V'!$D$8:$D$250,CONCATENATE("20",RIGHT('FY Q&amp;V 2003-04 to Now'!G$7,2)),'Mineral Sands - Q&amp;V'!$E$8:$E$250,2))*1000</f>
        <v>2447847.1490000002</v>
      </c>
      <c r="H54" s="943">
        <f>(SUMIFS('Mineral Sands - Q&amp;V'!$C$8:$C$250,'Mineral Sands - Q&amp;V'!$D$8:$D$250,LEFT('FY Q&amp;V 2003-04 to Now'!G$7,4),'Mineral Sands - Q&amp;V'!$E$8:$E$250,3)+
SUMIFS('Mineral Sands - Q&amp;V'!$C$8:$C$250,'Mineral Sands - Q&amp;V'!$D$8:$D$250,LEFT('FY Q&amp;V 2003-04 to Now'!G$7,4),'Mineral Sands - Q&amp;V'!$E$8:$E$250,4)+
SUMIFS('Mineral Sands - Q&amp;V'!$C$8:$C$250,'Mineral Sands - Q&amp;V'!$D$8:$D$250,CONCATENATE("20",RIGHT('FY Q&amp;V 2003-04 to Now'!G$7,2)),'Mineral Sands - Q&amp;V'!$E$8:$E$250,1)+
SUMIFS('Mineral Sands - Q&amp;V'!$C$8:$C$250,'Mineral Sands - Q&amp;V'!$D$8:$D$250,CONCATENATE("20",RIGHT('FY Q&amp;V 2003-04 to Now'!G$7,2)),'Mineral Sands - Q&amp;V'!$E$8:$E$250,2))*1000000</f>
        <v>835631249.28512728</v>
      </c>
      <c r="I54" s="942">
        <f>(SUMIFS('Mineral Sands - Q&amp;V'!$B$8:$B$250,'Mineral Sands - Q&amp;V'!$D$8:$D$250,LEFT('FY Q&amp;V 2003-04 to Now'!I$7:J$7,4),'Mineral Sands - Q&amp;V'!$E$8:$E$250,3)+
SUMIFS('Mineral Sands - Q&amp;V'!$B$8:$B$250,'Mineral Sands - Q&amp;V'!$D$8:$D$250,LEFT('FY Q&amp;V 2003-04 to Now'!I$7:J$7,4),'Mineral Sands - Q&amp;V'!$E$8:$E$250,4)+
SUMIFS('Mineral Sands - Q&amp;V'!$B$8:$B$250,'Mineral Sands - Q&amp;V'!$D$8:$D$250,CONCATENATE("20",RIGHT('FY Q&amp;V 2003-04 to Now'!I$7,2)),'Mineral Sands - Q&amp;V'!$E$8:$E$250,1)+
SUMIFS('Mineral Sands - Q&amp;V'!$B$8:$B$250,'Mineral Sands - Q&amp;V'!$D$8:$D$250,CONCATENATE("20",RIGHT('FY Q&amp;V 2003-04 to Now'!I$7,2)),'Mineral Sands - Q&amp;V'!$E$8:$E$250,2))*1000</f>
        <v>2744502.6390000004</v>
      </c>
      <c r="J54" s="943">
        <f>(SUMIFS('Mineral Sands - Q&amp;V'!$C$8:$C$250,'Mineral Sands - Q&amp;V'!$D$8:$D$250,LEFT('FY Q&amp;V 2003-04 to Now'!I$7,4),'Mineral Sands - Q&amp;V'!$E$8:$E$250,3)+
SUMIFS('Mineral Sands - Q&amp;V'!$C$8:$C$250,'Mineral Sands - Q&amp;V'!$D$8:$D$250,LEFT('FY Q&amp;V 2003-04 to Now'!I$7,4),'Mineral Sands - Q&amp;V'!$E$8:$E$250,4)+
SUMIFS('Mineral Sands - Q&amp;V'!$C$8:$C$250,'Mineral Sands - Q&amp;V'!$D$8:$D$250,CONCATENATE("20",RIGHT('FY Q&amp;V 2003-04 to Now'!I$7,2)),'Mineral Sands - Q&amp;V'!$E$8:$E$250,1)+
SUMIFS('Mineral Sands - Q&amp;V'!$C$8:$C$250,'Mineral Sands - Q&amp;V'!$D$8:$D$250,CONCATENATE("20",RIGHT('FY Q&amp;V 2003-04 to Now'!I$7,2)),'Mineral Sands - Q&amp;V'!$E$8:$E$250,2))*1000000</f>
        <v>845527008.92400002</v>
      </c>
      <c r="K54" s="942">
        <f>(SUMIFS('Mineral Sands - Q&amp;V'!$B$8:$B$250,'Mineral Sands - Q&amp;V'!$D$8:$D$250,LEFT('FY Q&amp;V 2003-04 to Now'!K$7:L$7,4),'Mineral Sands - Q&amp;V'!$E$8:$E$250,3)+
SUMIFS('Mineral Sands - Q&amp;V'!$B$8:$B$250,'Mineral Sands - Q&amp;V'!$D$8:$D$250,LEFT('FY Q&amp;V 2003-04 to Now'!K$7:L$7,4),'Mineral Sands - Q&amp;V'!$E$8:$E$250,4)+
SUMIFS('Mineral Sands - Q&amp;V'!$B$8:$B$250,'Mineral Sands - Q&amp;V'!$D$8:$D$250,CONCATENATE("20",RIGHT('FY Q&amp;V 2003-04 to Now'!K$7,2)),'Mineral Sands - Q&amp;V'!$E$8:$E$250,1)+
SUMIFS('Mineral Sands - Q&amp;V'!$B$8:$B$250,'Mineral Sands - Q&amp;V'!$D$8:$D$250,CONCATENATE("20",RIGHT('FY Q&amp;V 2003-04 to Now'!K$7,2)),'Mineral Sands - Q&amp;V'!$E$8:$E$250,2))*1000</f>
        <v>2492980.1179999998</v>
      </c>
      <c r="L54" s="943">
        <f>(SUMIFS('Mineral Sands - Q&amp;V'!$C$8:$C$250,'Mineral Sands - Q&amp;V'!$D$8:$D$250,LEFT('FY Q&amp;V 2003-04 to Now'!K$7,4),'Mineral Sands - Q&amp;V'!$E$8:$E$250,3)+
SUMIFS('Mineral Sands - Q&amp;V'!$C$8:$C$250,'Mineral Sands - Q&amp;V'!$D$8:$D$250,LEFT('FY Q&amp;V 2003-04 to Now'!K$7,4),'Mineral Sands - Q&amp;V'!$E$8:$E$250,4)+
SUMIFS('Mineral Sands - Q&amp;V'!$C$8:$C$250,'Mineral Sands - Q&amp;V'!$D$8:$D$250,CONCATENATE("20",RIGHT('FY Q&amp;V 2003-04 to Now'!K$7,2)),'Mineral Sands - Q&amp;V'!$E$8:$E$250,1)+
SUMIFS('Mineral Sands - Q&amp;V'!$C$8:$C$250,'Mineral Sands - Q&amp;V'!$D$8:$D$250,CONCATENATE("20",RIGHT('FY Q&amp;V 2003-04 to Now'!K$7,2)),'Mineral Sands - Q&amp;V'!$E$8:$E$250,2))*1000000</f>
        <v>677254305.63102913</v>
      </c>
      <c r="M54" s="942">
        <f>(SUMIFS('Mineral Sands - Q&amp;V'!$B$8:$B$250,'Mineral Sands - Q&amp;V'!$D$8:$D$250,LEFT('FY Q&amp;V 2003-04 to Now'!M$7:N$7,4),'Mineral Sands - Q&amp;V'!$E$8:$E$250,3)+
SUMIFS('Mineral Sands - Q&amp;V'!$B$8:$B$250,'Mineral Sands - Q&amp;V'!$D$8:$D$250,LEFT('FY Q&amp;V 2003-04 to Now'!M$7:N$7,4),'Mineral Sands - Q&amp;V'!$E$8:$E$250,4)+
SUMIFS('Mineral Sands - Q&amp;V'!$B$8:$B$250,'Mineral Sands - Q&amp;V'!$D$8:$D$250,CONCATENATE("20",RIGHT('FY Q&amp;V 2003-04 to Now'!M$7,2)),'Mineral Sands - Q&amp;V'!$E$8:$E$250,1)+
SUMIFS('Mineral Sands - Q&amp;V'!$B$8:$B$250,'Mineral Sands - Q&amp;V'!$D$8:$D$250,CONCATENATE("20",RIGHT('FY Q&amp;V 2003-04 to Now'!M$7,2)),'Mineral Sands - Q&amp;V'!$E$8:$E$250,2))*1000</f>
        <v>1989436.1400000001</v>
      </c>
      <c r="N54" s="943">
        <f>(SUMIFS('Mineral Sands - Q&amp;V'!$C$8:$C$250,'Mineral Sands - Q&amp;V'!$D$8:$D$250,LEFT('FY Q&amp;V 2003-04 to Now'!M$7,4),'Mineral Sands - Q&amp;V'!$E$8:$E$250,3)+
SUMIFS('Mineral Sands - Q&amp;V'!$C$8:$C$250,'Mineral Sands - Q&amp;V'!$D$8:$D$250,LEFT('FY Q&amp;V 2003-04 to Now'!M$7,4),'Mineral Sands - Q&amp;V'!$E$8:$E$250,4)+
SUMIFS('Mineral Sands - Q&amp;V'!$C$8:$C$250,'Mineral Sands - Q&amp;V'!$D$8:$D$250,CONCATENATE("20",RIGHT('FY Q&amp;V 2003-04 to Now'!M$7,2)),'Mineral Sands - Q&amp;V'!$E$8:$E$250,1)+
SUMIFS('Mineral Sands - Q&amp;V'!$C$8:$C$250,'Mineral Sands - Q&amp;V'!$D$8:$D$250,CONCATENATE("20",RIGHT('FY Q&amp;V 2003-04 to Now'!M$7,2)),'Mineral Sands - Q&amp;V'!$E$8:$E$250,2))*1000000</f>
        <v>704602267.2606101</v>
      </c>
      <c r="O54" s="942">
        <f>(SUMIFS('Mineral Sands - Q&amp;V'!$B$8:$B$250,'Mineral Sands - Q&amp;V'!$D$8:$D$250,LEFT('FY Q&amp;V 2003-04 to Now'!O$7:P$7,4),'Mineral Sands - Q&amp;V'!$E$8:$E$250,3)+
SUMIFS('Mineral Sands - Q&amp;V'!$B$8:$B$250,'Mineral Sands - Q&amp;V'!$D$8:$D$250,LEFT('FY Q&amp;V 2003-04 to Now'!O$7:P$7,4),'Mineral Sands - Q&amp;V'!$E$8:$E$250,4)+
SUMIFS('Mineral Sands - Q&amp;V'!$B$8:$B$250,'Mineral Sands - Q&amp;V'!$D$8:$D$250,CONCATENATE("20",RIGHT('FY Q&amp;V 2003-04 to Now'!O$7,2)),'Mineral Sands - Q&amp;V'!$E$8:$E$250,1)+
SUMIFS('Mineral Sands - Q&amp;V'!$B$8:$B$250,'Mineral Sands - Q&amp;V'!$D$8:$D$250,CONCATENATE("20",RIGHT('FY Q&amp;V 2003-04 to Now'!O$7,2)),'Mineral Sands - Q&amp;V'!$E$8:$E$250,2))*1000</f>
        <v>1899585.38</v>
      </c>
      <c r="P54" s="943">
        <f>(SUMIFS('Mineral Sands - Q&amp;V'!$C$8:$C$250,'Mineral Sands - Q&amp;V'!$D$8:$D$250,LEFT('FY Q&amp;V 2003-04 to Now'!O$7,4),'Mineral Sands - Q&amp;V'!$E$8:$E$250,3)+
SUMIFS('Mineral Sands - Q&amp;V'!$C$8:$C$250,'Mineral Sands - Q&amp;V'!$D$8:$D$250,LEFT('FY Q&amp;V 2003-04 to Now'!O$7,4),'Mineral Sands - Q&amp;V'!$E$8:$E$250,4)+
SUMIFS('Mineral Sands - Q&amp;V'!$C$8:$C$250,'Mineral Sands - Q&amp;V'!$D$8:$D$250,CONCATENATE("20",RIGHT('FY Q&amp;V 2003-04 to Now'!O$7,2)),'Mineral Sands - Q&amp;V'!$E$8:$E$250,1)+
SUMIFS('Mineral Sands - Q&amp;V'!$C$8:$C$250,'Mineral Sands - Q&amp;V'!$D$8:$D$250,CONCATENATE("20",RIGHT('FY Q&amp;V 2003-04 to Now'!O$7,2)),'Mineral Sands - Q&amp;V'!$E$8:$E$250,2))*1000000</f>
        <v>664485029.62650192</v>
      </c>
      <c r="Q54" s="942">
        <f>(SUMIFS('Mineral Sands - Q&amp;V'!$B$8:$B$250,'Mineral Sands - Q&amp;V'!$D$8:$D$250,LEFT('FY Q&amp;V 2003-04 to Now'!Q$7:R$7,4),'Mineral Sands - Q&amp;V'!$E$8:$E$250,3)+
SUMIFS('Mineral Sands - Q&amp;V'!$B$8:$B$250,'Mineral Sands - Q&amp;V'!$D$8:$D$250,LEFT('FY Q&amp;V 2003-04 to Now'!Q$7:R$7,4),'Mineral Sands - Q&amp;V'!$E$8:$E$250,4)+
SUMIFS('Mineral Sands - Q&amp;V'!$B$8:$B$250,'Mineral Sands - Q&amp;V'!$D$8:$D$250,CONCATENATE("20",RIGHT('FY Q&amp;V 2003-04 to Now'!Q$7,2)),'Mineral Sands - Q&amp;V'!$E$8:$E$250,1)+
SUMIFS('Mineral Sands - Q&amp;V'!$B$8:$B$250,'Mineral Sands - Q&amp;V'!$D$8:$D$250,CONCATENATE("20",RIGHT('FY Q&amp;V 2003-04 to Now'!Q$7,2)),'Mineral Sands - Q&amp;V'!$E$8:$E$250,2))*1000</f>
        <v>1416795.0290000001</v>
      </c>
      <c r="R54" s="943">
        <f>(SUMIFS('Mineral Sands - Q&amp;V'!$C$8:$C$250,'Mineral Sands - Q&amp;V'!$D$8:$D$250,LEFT('FY Q&amp;V 2003-04 to Now'!Q$7,4),'Mineral Sands - Q&amp;V'!$E$8:$E$250,3)+
SUMIFS('Mineral Sands - Q&amp;V'!$C$8:$C$250,'Mineral Sands - Q&amp;V'!$D$8:$D$250,LEFT('FY Q&amp;V 2003-04 to Now'!Q$7,4),'Mineral Sands - Q&amp;V'!$E$8:$E$250,4)+
SUMIFS('Mineral Sands - Q&amp;V'!$C$8:$C$250,'Mineral Sands - Q&amp;V'!$D$8:$D$250,CONCATENATE("20",RIGHT('FY Q&amp;V 2003-04 to Now'!Q$7,2)),'Mineral Sands - Q&amp;V'!$E$8:$E$250,1)+
SUMIFS('Mineral Sands - Q&amp;V'!$C$8:$C$250,'Mineral Sands - Q&amp;V'!$D$8:$D$250,CONCATENATE("20",RIGHT('FY Q&amp;V 2003-04 to Now'!Q$7,2)),'Mineral Sands - Q&amp;V'!$E$8:$E$250,2))*1000000</f>
        <v>476182546.96690905</v>
      </c>
      <c r="S54" s="942">
        <f>(SUMIFS('Mineral Sands - Q&amp;V'!$B$8:$B$250,'Mineral Sands - Q&amp;V'!$D$8:$D$250,LEFT('FY Q&amp;V 2003-04 to Now'!S$7:T$7,4),'Mineral Sands - Q&amp;V'!$E$8:$E$250,3)+
SUMIFS('Mineral Sands - Q&amp;V'!$B$8:$B$250,'Mineral Sands - Q&amp;V'!$D$8:$D$250,LEFT('FY Q&amp;V 2003-04 to Now'!S$7:T$7,4),'Mineral Sands - Q&amp;V'!$E$8:$E$250,4)+
SUMIFS('Mineral Sands - Q&amp;V'!$B$8:$B$250,'Mineral Sands - Q&amp;V'!$D$8:$D$250,CONCATENATE("20",RIGHT('FY Q&amp;V 2003-04 to Now'!S$7,2)),'Mineral Sands - Q&amp;V'!$E$8:$E$250,1)+
SUMIFS('Mineral Sands - Q&amp;V'!$B$8:$B$250,'Mineral Sands - Q&amp;V'!$D$8:$D$250,CONCATENATE("20",RIGHT('FY Q&amp;V 2003-04 to Now'!S$7,2)),'Mineral Sands - Q&amp;V'!$E$8:$E$250,2))*1000</f>
        <v>1415561.443</v>
      </c>
      <c r="T54" s="943">
        <f>(SUMIFS('Mineral Sands - Q&amp;V'!$C$8:$C$250,'Mineral Sands - Q&amp;V'!$D$8:$D$250,LEFT('FY Q&amp;V 2003-04 to Now'!S$7,4),'Mineral Sands - Q&amp;V'!$E$8:$E$250,3)+
SUMIFS('Mineral Sands - Q&amp;V'!$C$8:$C$250,'Mineral Sands - Q&amp;V'!$D$8:$D$250,LEFT('FY Q&amp;V 2003-04 to Now'!S$7,4),'Mineral Sands - Q&amp;V'!$E$8:$E$250,4)+
SUMIFS('Mineral Sands - Q&amp;V'!$C$8:$C$250,'Mineral Sands - Q&amp;V'!$D$8:$D$250,CONCATENATE("20",RIGHT('FY Q&amp;V 2003-04 to Now'!S$7,2)),'Mineral Sands - Q&amp;V'!$E$8:$E$250,1)+
SUMIFS('Mineral Sands - Q&amp;V'!$C$8:$C$250,'Mineral Sands - Q&amp;V'!$D$8:$D$250,CONCATENATE("20",RIGHT('FY Q&amp;V 2003-04 to Now'!S$7,2)),'Mineral Sands - Q&amp;V'!$E$8:$E$250,2))*1000000</f>
        <v>864112563.07318532</v>
      </c>
      <c r="U54" s="942">
        <f>(SUMIFS('Mineral Sands - Q&amp;V'!$B$8:$B$250,'Mineral Sands - Q&amp;V'!$D$8:$D$250,LEFT('FY Q&amp;V 2003-04 to Now'!U$7:V$7,4),'Mineral Sands - Q&amp;V'!$E$8:$E$250,3)+
SUMIFS('Mineral Sands - Q&amp;V'!$B$8:$B$250,'Mineral Sands - Q&amp;V'!$D$8:$D$250,LEFT('FY Q&amp;V 2003-04 to Now'!U$7:V$7,4),'Mineral Sands - Q&amp;V'!$E$8:$E$250,4)+
SUMIFS('Mineral Sands - Q&amp;V'!$B$8:$B$250,'Mineral Sands - Q&amp;V'!$D$8:$D$250,CONCATENATE("20",RIGHT('FY Q&amp;V 2003-04 to Now'!U$7,2)),'Mineral Sands - Q&amp;V'!$E$8:$E$250,1)+
SUMIFS('Mineral Sands - Q&amp;V'!$B$8:$B$250,'Mineral Sands - Q&amp;V'!$D$8:$D$250,CONCATENATE("20",RIGHT('FY Q&amp;V 2003-04 to Now'!U$7,2)),'Mineral Sands - Q&amp;V'!$E$8:$E$250,2))*1000</f>
        <v>1355356.926</v>
      </c>
      <c r="V54" s="943">
        <f>(SUMIFS('Mineral Sands - Q&amp;V'!$C$8:$C$250,'Mineral Sands - Q&amp;V'!$D$8:$D$250,LEFT('FY Q&amp;V 2003-04 to Now'!U$7,4),'Mineral Sands - Q&amp;V'!$E$8:$E$250,3)+
SUMIFS('Mineral Sands - Q&amp;V'!$C$8:$C$250,'Mineral Sands - Q&amp;V'!$D$8:$D$250,LEFT('FY Q&amp;V 2003-04 to Now'!U$7,4),'Mineral Sands - Q&amp;V'!$E$8:$E$250,4)+
SUMIFS('Mineral Sands - Q&amp;V'!$C$8:$C$250,'Mineral Sands - Q&amp;V'!$D$8:$D$250,CONCATENATE("20",RIGHT('FY Q&amp;V 2003-04 to Now'!U$7,2)),'Mineral Sands - Q&amp;V'!$E$8:$E$250,1)+
SUMIFS('Mineral Sands - Q&amp;V'!$C$8:$C$250,'Mineral Sands - Q&amp;V'!$D$8:$D$250,CONCATENATE("20",RIGHT('FY Q&amp;V 2003-04 to Now'!U$7,2)),'Mineral Sands - Q&amp;V'!$E$8:$E$250,2))*1000000</f>
        <v>810679674.57436359</v>
      </c>
      <c r="W54" s="942">
        <f>(SUMIFS('Mineral Sands - Q&amp;V'!$B$8:$B$250,'Mineral Sands - Q&amp;V'!$D$8:$D$250,LEFT('FY Q&amp;V 2003-04 to Now'!W$7:X$7,4),'Mineral Sands - Q&amp;V'!$E$8:$E$250,3)+
SUMIFS('Mineral Sands - Q&amp;V'!$B$8:$B$250,'Mineral Sands - Q&amp;V'!$D$8:$D$250,LEFT('FY Q&amp;V 2003-04 to Now'!W$7:X$7,4),'Mineral Sands - Q&amp;V'!$E$8:$E$250,4)+
SUMIFS('Mineral Sands - Q&amp;V'!$B$8:$B$250,'Mineral Sands - Q&amp;V'!$D$8:$D$250,CONCATENATE("20",RIGHT('FY Q&amp;V 2003-04 to Now'!W$7,2)),'Mineral Sands - Q&amp;V'!$E$8:$E$250,1)+
SUMIFS('Mineral Sands - Q&amp;V'!$B$8:$B$250,'Mineral Sands - Q&amp;V'!$D$8:$D$250,CONCATENATE("20",RIGHT('FY Q&amp;V 2003-04 to Now'!W$7,2)),'Mineral Sands - Q&amp;V'!$E$8:$E$250,2))*1000</f>
        <v>1078270.7490000001</v>
      </c>
      <c r="X54" s="943">
        <f>(SUMIFS('Mineral Sands - Q&amp;V'!$C$8:$C$250,'Mineral Sands - Q&amp;V'!$D$8:$D$250,LEFT('FY Q&amp;V 2003-04 to Now'!W$7,4),'Mineral Sands - Q&amp;V'!$E$8:$E$250,3)+
SUMIFS('Mineral Sands - Q&amp;V'!$C$8:$C$250,'Mineral Sands - Q&amp;V'!$D$8:$D$250,LEFT('FY Q&amp;V 2003-04 to Now'!W$7,4),'Mineral Sands - Q&amp;V'!$E$8:$E$250,4)+
SUMIFS('Mineral Sands - Q&amp;V'!$C$8:$C$250,'Mineral Sands - Q&amp;V'!$D$8:$D$250,CONCATENATE("20",RIGHT('FY Q&amp;V 2003-04 to Now'!W$7,2)),'Mineral Sands - Q&amp;V'!$E$8:$E$250,1)+
SUMIFS('Mineral Sands - Q&amp;V'!$C$8:$C$250,'Mineral Sands - Q&amp;V'!$D$8:$D$250,CONCATENATE("20",RIGHT('FY Q&amp;V 2003-04 to Now'!W$7,2)),'Mineral Sands - Q&amp;V'!$E$8:$E$250,2))*1000000</f>
        <v>471031306.40545458</v>
      </c>
      <c r="Y54" s="942"/>
      <c r="Z54" s="943">
        <f>(SUMIFS('Mineral Sands - Q&amp;V'!$C$8:$C$250,'Mineral Sands - Q&amp;V'!$D$8:$D$250,LEFT('FY Q&amp;V 2003-04 to Now'!Y$7,4),'Mineral Sands - Q&amp;V'!$E$8:$E$250,3)+
SUMIFS('Mineral Sands - Q&amp;V'!$C$8:$C$250,'Mineral Sands - Q&amp;V'!$D$8:$D$250,LEFT('FY Q&amp;V 2003-04 to Now'!Y$7,4),'Mineral Sands - Q&amp;V'!$E$8:$E$250,4)+
SUMIFS('Mineral Sands - Q&amp;V'!$C$8:$C$250,'Mineral Sands - Q&amp;V'!$D$8:$D$250,CONCATENATE("20",RIGHT('FY Q&amp;V 2003-04 to Now'!Y$7,2)),'Mineral Sands - Q&amp;V'!$E$8:$E$250,1)+
SUMIFS('Mineral Sands - Q&amp;V'!$C$8:$C$250,'Mineral Sands - Q&amp;V'!$D$8:$D$250,CONCATENATE("20",RIGHT('FY Q&amp;V 2003-04 to Now'!Y$7,2)),'Mineral Sands - Q&amp;V'!$E$8:$E$250,2))*1000000</f>
        <v>492706874.26065218</v>
      </c>
      <c r="AA54" s="942">
        <f>(SUMIFS('Mineral Sands - Q&amp;V'!$B$8:$B$250,'Mineral Sands - Q&amp;V'!$D$8:$D$250,LEFT('FY Q&amp;V 2003-04 to Now'!AA$7:AB$7,4),'Mineral Sands - Q&amp;V'!$E$8:$E$250,3)+
SUMIFS('Mineral Sands - Q&amp;V'!$B$8:$B$250,'Mineral Sands - Q&amp;V'!$D$8:$D$250,LEFT('FY Q&amp;V 2003-04 to Now'!AA$7:AB$7,4),'Mineral Sands - Q&amp;V'!$E$8:$E$250,4)+
SUMIFS('Mineral Sands - Q&amp;V'!$B$8:$B$250,'Mineral Sands - Q&amp;V'!$D$8:$D$250,CONCATENATE("20",RIGHT('FY Q&amp;V 2003-04 to Now'!AA$7,2)),'Mineral Sands - Q&amp;V'!$E$8:$E$250,1)+
SUMIFS('Mineral Sands - Q&amp;V'!$B$8:$B$250,'Mineral Sands - Q&amp;V'!$D$8:$D$250,CONCATENATE("20",RIGHT('FY Q&amp;V 2003-04 to Now'!AA$7,2)),'Mineral Sands - Q&amp;V'!$E$8:$E$250,2))*1000</f>
        <v>1170840.1753494609</v>
      </c>
      <c r="AB54" s="943">
        <f>(SUMIFS('Mineral Sands - Q&amp;V'!$C$8:$C$250,'Mineral Sands - Q&amp;V'!$D$8:$D$250,LEFT('FY Q&amp;V 2003-04 to Now'!AA$7,4),'Mineral Sands - Q&amp;V'!$E$8:$E$250,3)+
SUMIFS('Mineral Sands - Q&amp;V'!$C$8:$C$250,'Mineral Sands - Q&amp;V'!$D$8:$D$250,LEFT('FY Q&amp;V 2003-04 to Now'!AA$7,4),'Mineral Sands - Q&amp;V'!$E$8:$E$250,4)+
SUMIFS('Mineral Sands - Q&amp;V'!$C$8:$C$250,'Mineral Sands - Q&amp;V'!$D$8:$D$250,CONCATENATE("20",RIGHT('FY Q&amp;V 2003-04 to Now'!AA$7,2)),'Mineral Sands - Q&amp;V'!$E$8:$E$250,1)+
SUMIFS('Mineral Sands - Q&amp;V'!$C$8:$C$250,'Mineral Sands - Q&amp;V'!$D$8:$D$250,CONCATENATE("20",RIGHT('FY Q&amp;V 2003-04 to Now'!AA$7,2)),'Mineral Sands - Q&amp;V'!$E$8:$E$250,2))*1000000</f>
        <v>571548060.13582826</v>
      </c>
      <c r="AC54" s="942">
        <f>(SUMIFS('Mineral Sands - Q&amp;V'!$B$8:$B$250,'Mineral Sands - Q&amp;V'!$D$8:$D$250,LEFT('FY Q&amp;V 2003-04 to Now'!AC$7:AD$7,4),'Mineral Sands - Q&amp;V'!$E$8:$E$250,3)+
SUMIFS('Mineral Sands - Q&amp;V'!$B$8:$B$250,'Mineral Sands - Q&amp;V'!$D$8:$D$250,LEFT('FY Q&amp;V 2003-04 to Now'!AC$7:AD$7,4),'Mineral Sands - Q&amp;V'!$E$8:$E$250,4)+
SUMIFS('Mineral Sands - Q&amp;V'!$B$8:$B$250,'Mineral Sands - Q&amp;V'!$D$8:$D$250,CONCATENATE("20",RIGHT('FY Q&amp;V 2003-04 to Now'!AC$7,2)),'Mineral Sands - Q&amp;V'!$E$8:$E$250,1)+
SUMIFS('Mineral Sands - Q&amp;V'!$B$8:$B$250,'Mineral Sands - Q&amp;V'!$D$8:$D$250,CONCATENATE("20",RIGHT('FY Q&amp;V 2003-04 to Now'!AC$7,2)),'Mineral Sands - Q&amp;V'!$E$8:$E$250,2))*1000</f>
        <v>1457132.99</v>
      </c>
      <c r="AD54" s="943">
        <f>(SUMIFS('Mineral Sands - Q&amp;V'!$C$8:$C$250,'Mineral Sands - Q&amp;V'!$D$8:$D$250,LEFT('FY Q&amp;V 2003-04 to Now'!AC$7,4),'Mineral Sands - Q&amp;V'!$E$8:$E$250,3)+
SUMIFS('Mineral Sands - Q&amp;V'!$C$8:$C$250,'Mineral Sands - Q&amp;V'!$D$8:$D$250,LEFT('FY Q&amp;V 2003-04 to Now'!AC$7,4),'Mineral Sands - Q&amp;V'!$E$8:$E$250,4)+
SUMIFS('Mineral Sands - Q&amp;V'!$C$8:$C$250,'Mineral Sands - Q&amp;V'!$D$8:$D$250,CONCATENATE("20",RIGHT('FY Q&amp;V 2003-04 to Now'!AC$7,2)),'Mineral Sands - Q&amp;V'!$E$8:$E$250,1)+
SUMIFS('Mineral Sands - Q&amp;V'!$C$8:$C$250,'Mineral Sands - Q&amp;V'!$D$8:$D$250,CONCATENATE("20",RIGHT('FY Q&amp;V 2003-04 to Now'!AC$7,2)),'Mineral Sands - Q&amp;V'!$E$8:$E$250,2))*1000000</f>
        <v>583446937.04640043</v>
      </c>
      <c r="AE54" s="960">
        <f>(SUMIFS('Mineral Sands - Q&amp;V'!$B$8:$B$250,'Mineral Sands - Q&amp;V'!$D$8:$D$250,LEFT('FY Q&amp;V 2003-04 to Now'!AE$7:AF$7,4),'Mineral Sands - Q&amp;V'!$E$8:$E$250,3)+
SUMIFS('Mineral Sands - Q&amp;V'!$B$8:$B$250,'Mineral Sands - Q&amp;V'!$D$8:$D$250,LEFT('FY Q&amp;V 2003-04 to Now'!AE$7:AF$7,4),'Mineral Sands - Q&amp;V'!$E$8:$E$250,4)+
SUMIFS('Mineral Sands - Q&amp;V'!$B$8:$B$250,'Mineral Sands - Q&amp;V'!$D$8:$D$250,CONCATENATE("20",RIGHT('FY Q&amp;V 2003-04 to Now'!AE$7,2)),'Mineral Sands - Q&amp;V'!$E$8:$E$250,1)+
SUMIFS('Mineral Sands - Q&amp;V'!$B$8:$B$250,'Mineral Sands - Q&amp;V'!$D$8:$D$250,CONCATENATE("20",RIGHT('FY Q&amp;V 2003-04 to Now'!AE$7,2)),'Mineral Sands - Q&amp;V'!$E$8:$E$250,2))*1000</f>
        <v>1118276.18</v>
      </c>
      <c r="AF54" s="943">
        <f>(SUMIFS('Mineral Sands - Q&amp;V'!$C$8:$C$250,'Mineral Sands - Q&amp;V'!$D$8:$D$250,LEFT('FY Q&amp;V 2003-04 to Now'!AE$7,4),'Mineral Sands - Q&amp;V'!$E$8:$E$250,3)+
SUMIFS('Mineral Sands - Q&amp;V'!$C$8:$C$250,'Mineral Sands - Q&amp;V'!$D$8:$D$250,LEFT('FY Q&amp;V 2003-04 to Now'!AE$7,4),'Mineral Sands - Q&amp;V'!$E$8:$E$250,4)+
SUMIFS('Mineral Sands - Q&amp;V'!$C$8:$C$250,'Mineral Sands - Q&amp;V'!$D$8:$D$250,CONCATENATE("20",RIGHT('FY Q&amp;V 2003-04 to Now'!AE$7,2)),'Mineral Sands - Q&amp;V'!$E$8:$E$250,1)+
SUMIFS('Mineral Sands - Q&amp;V'!$C$8:$C$250,'Mineral Sands - Q&amp;V'!$D$8:$D$250,CONCATENATE("20",RIGHT('FY Q&amp;V 2003-04 to Now'!AE$7,2)),'Mineral Sands - Q&amp;V'!$E$8:$E$250,2))*1000000</f>
        <v>550392257.87739635</v>
      </c>
      <c r="AG54" s="960">
        <f>(SUMIFS('Mineral Sands - Q&amp;V'!$B$8:$B$250,'Mineral Sands - Q&amp;V'!$D$8:$D$250,LEFT('FY Q&amp;V 2003-04 to Now'!AG$7:AH$7,4),'Mineral Sands - Q&amp;V'!$E$8:$E$250,3)+
SUMIFS('Mineral Sands - Q&amp;V'!$B$8:$B$250,'Mineral Sands - Q&amp;V'!$D$8:$D$250,LEFT('FY Q&amp;V 2003-04 to Now'!AG$7:AH$7,4),'Mineral Sands - Q&amp;V'!$E$8:$E$250,4)+
SUMIFS('Mineral Sands - Q&amp;V'!$B$8:$B$250,'Mineral Sands - Q&amp;V'!$D$8:$D$250,CONCATENATE("20",RIGHT('FY Q&amp;V 2003-04 to Now'!AG$7,2)),'Mineral Sands - Q&amp;V'!$E$8:$E$250,1)+
SUMIFS('Mineral Sands - Q&amp;V'!$B$8:$B$250,'Mineral Sands - Q&amp;V'!$D$8:$D$250,CONCATENATE("20",RIGHT('FY Q&amp;V 2003-04 to Now'!AG$7,2)),'Mineral Sands - Q&amp;V'!$E$8:$E$250,2))*1000</f>
        <v>1179677.6540000001</v>
      </c>
      <c r="AH54" s="943">
        <f>(SUMIFS('Mineral Sands - Q&amp;V'!$C$8:$C$250,'Mineral Sands - Q&amp;V'!$D$8:$D$250,LEFT('FY Q&amp;V 2003-04 to Now'!AG$7,4),'Mineral Sands - Q&amp;V'!$E$8:$E$250,3)+
SUMIFS('Mineral Sands - Q&amp;V'!$C$8:$C$250,'Mineral Sands - Q&amp;V'!$D$8:$D$250,LEFT('FY Q&amp;V 2003-04 to Now'!AG$7,4),'Mineral Sands - Q&amp;V'!$E$8:$E$250,4)+
SUMIFS('Mineral Sands - Q&amp;V'!$C$8:$C$250,'Mineral Sands - Q&amp;V'!$D$8:$D$250,CONCATENATE("20",RIGHT('FY Q&amp;V 2003-04 to Now'!AG$7,2)),'Mineral Sands - Q&amp;V'!$E$8:$E$250,1)+
SUMIFS('Mineral Sands - Q&amp;V'!$C$8:$C$250,'Mineral Sands - Q&amp;V'!$D$8:$D$250,CONCATENATE("20",RIGHT('FY Q&amp;V 2003-04 to Now'!AG$7,2)),'Mineral Sands - Q&amp;V'!$E$8:$E$250,2))*1000000</f>
        <v>703183181.44203162</v>
      </c>
      <c r="AI54" s="954">
        <f>SUMIF($C$9:AH$9,1,$C54:AH54)</f>
        <v>26903091.782349456</v>
      </c>
      <c r="AJ54" s="894">
        <f>SUMIF($C$9:AH$9,0,$C54:AH54)</f>
        <v>10836768073.801308</v>
      </c>
    </row>
    <row r="55" spans="1:37">
      <c r="A55" s="596"/>
      <c r="B55" s="638"/>
      <c r="C55" s="895"/>
      <c r="D55" s="892"/>
      <c r="E55" s="895"/>
      <c r="F55" s="892"/>
      <c r="G55" s="895"/>
      <c r="H55" s="892"/>
      <c r="I55" s="895"/>
      <c r="J55" s="892"/>
      <c r="K55" s="895"/>
      <c r="L55" s="892"/>
      <c r="M55" s="895"/>
      <c r="N55" s="892"/>
      <c r="O55" s="895"/>
      <c r="P55" s="892"/>
      <c r="Q55" s="895"/>
      <c r="R55" s="892"/>
      <c r="S55" s="895"/>
      <c r="T55" s="892"/>
      <c r="U55" s="895"/>
      <c r="V55" s="892"/>
      <c r="W55" s="895"/>
      <c r="X55" s="892"/>
      <c r="Y55" s="895"/>
      <c r="Z55" s="892"/>
      <c r="AA55" s="895"/>
      <c r="AB55" s="892"/>
      <c r="AC55" s="892"/>
      <c r="AD55" s="892"/>
      <c r="AE55" s="1307"/>
      <c r="AF55" s="892"/>
      <c r="AG55" s="1307"/>
      <c r="AH55" s="892"/>
      <c r="AI55" s="954"/>
      <c r="AJ55" s="955"/>
    </row>
    <row r="56" spans="1:37">
      <c r="A56" s="884" t="s">
        <v>284</v>
      </c>
      <c r="B56" s="880" t="s">
        <v>110</v>
      </c>
      <c r="C56" s="890">
        <f>(SUMIFS('Iron Ore - Q&amp;V'!$D$8:$D$250,'Iron Ore - Q&amp;V'!$F$8:$F$250,LEFT('FY Q&amp;V 2003-04 to Now'!C$7:D$7,4),'Iron Ore - Q&amp;V'!$G$8:$G$250,3)+
SUMIFS('Iron Ore - Q&amp;V'!$D$8:$D$250,'Iron Ore - Q&amp;V'!$F$8:$F$250,LEFT('FY Q&amp;V 2003-04 to Now'!C$7:D$7,4),'Iron Ore - Q&amp;V'!$G$8:$G$250,4)+
SUMIFS('Iron Ore - Q&amp;V'!$D$8:$D$250,'Iron Ore - Q&amp;V'!$F$8:$F$250,CONCATENATE("20",RIGHT('FY Q&amp;V 2003-04 to Now'!C$7,2)),'Iron Ore - Q&amp;V'!$G$8:$G$250,1)+
SUMIFS('Iron Ore - Q&amp;V'!$D$8:$D$250,'Iron Ore - Q&amp;V'!$F$8:$F$250,CONCATENATE("20",RIGHT('FY Q&amp;V 2003-04 to Now'!C$7,2)),'Iron Ore - Q&amp;V'!$G$8:$G$250,2))*1000000</f>
        <v>200936683.13</v>
      </c>
      <c r="D56" s="891">
        <f>(SUMIFS('Iron Ore - Q&amp;V'!$E$8:$E$250,'Iron Ore - Q&amp;V'!$F$8:$F$250,LEFT('FY Q&amp;V 2003-04 to Now'!C$7,4),'Iron Ore - Q&amp;V'!$G$8:$G$250,3)+
SUMIFS('Iron Ore - Q&amp;V'!$E$8:$E$250,'Iron Ore - Q&amp;V'!$F$8:$F$250,LEFT('FY Q&amp;V 2003-04 to Now'!C$7,4),'Iron Ore - Q&amp;V'!$G$8:$G$250,4)+
SUMIFS('Iron Ore - Q&amp;V'!$E$8:$E$250,'Iron Ore - Q&amp;V'!$F$8:$F$250,CONCATENATE("20",RIGHT('FY Q&amp;V 2003-04 to Now'!C$7,2)),'Iron Ore - Q&amp;V'!$G$8:$G$250,1)+
SUMIFS('Iron Ore - Q&amp;V'!$E$8:$E$250,'Iron Ore - Q&amp;V'!$F$8:$F$250,CONCATENATE("20",RIGHT('FY Q&amp;V 2003-04 to Now'!C$7,2)),'Iron Ore - Q&amp;V'!$G$8:$G$250,2))*1000000</f>
        <v>5360459976.1599998</v>
      </c>
      <c r="E56" s="890">
        <f>(SUMIFS('Iron Ore - Q&amp;V'!$D$8:$D$250,'Iron Ore - Q&amp;V'!$F$8:$F$250,LEFT('FY Q&amp;V 2003-04 to Now'!E$7:F$7,4),'Iron Ore - Q&amp;V'!$G$8:$G$250,3)+
SUMIFS('Iron Ore - Q&amp;V'!$D$8:$D$250,'Iron Ore - Q&amp;V'!$F$8:$F$250,LEFT('FY Q&amp;V 2003-04 to Now'!E$7:F$7,4),'Iron Ore - Q&amp;V'!$G$8:$G$250,4)+
SUMIFS('Iron Ore - Q&amp;V'!$D$8:$D$250,'Iron Ore - Q&amp;V'!$F$8:$F$250,CONCATENATE("20",RIGHT('FY Q&amp;V 2003-04 to Now'!E$7,2)),'Iron Ore - Q&amp;V'!$G$8:$G$250,1)+
SUMIFS('Iron Ore - Q&amp;V'!$D$8:$D$250,'Iron Ore - Q&amp;V'!$F$8:$F$250,CONCATENATE("20",RIGHT('FY Q&amp;V 2003-04 to Now'!E$7,2)),'Iron Ore - Q&amp;V'!$G$8:$G$250,2))*1000000</f>
        <v>230114648.62</v>
      </c>
      <c r="F56" s="891">
        <f>(SUMIFS('Iron Ore - Q&amp;V'!$E$8:$E$250,'Iron Ore - Q&amp;V'!$F$8:$F$250,LEFT('FY Q&amp;V 2003-04 to Now'!E$7,4),'Iron Ore - Q&amp;V'!$G$8:$G$250,3)+
SUMIFS('Iron Ore - Q&amp;V'!$E$8:$E$250,'Iron Ore - Q&amp;V'!$F$8:$F$250,LEFT('FY Q&amp;V 2003-04 to Now'!E$7,4),'Iron Ore - Q&amp;V'!$G$8:$G$250,4)+
SUMIFS('Iron Ore - Q&amp;V'!$E$8:$E$250,'Iron Ore - Q&amp;V'!$F$8:$F$250,CONCATENATE("20",RIGHT('FY Q&amp;V 2003-04 to Now'!E$7,2)),'Iron Ore - Q&amp;V'!$G$8:$G$250,1)+
SUMIFS('Iron Ore - Q&amp;V'!$E$8:$E$250,'Iron Ore - Q&amp;V'!$F$8:$F$250,CONCATENATE("20",RIGHT('FY Q&amp;V 2003-04 to Now'!E$7,2)),'Iron Ore - Q&amp;V'!$G$8:$G$250,2))*1000000</f>
        <v>8287180143.1499987</v>
      </c>
      <c r="G56" s="890">
        <f>(SUMIFS('Iron Ore - Q&amp;V'!$D$8:$D$250,'Iron Ore - Q&amp;V'!$F$8:$F$250,LEFT('FY Q&amp;V 2003-04 to Now'!G$7:H$7,4),'Iron Ore - Q&amp;V'!$G$8:$G$250,3)+
SUMIFS('Iron Ore - Q&amp;V'!$D$8:$D$250,'Iron Ore - Q&amp;V'!$F$8:$F$250,LEFT('FY Q&amp;V 2003-04 to Now'!G$7:H$7,4),'Iron Ore - Q&amp;V'!$G$8:$G$250,4)+
SUMIFS('Iron Ore - Q&amp;V'!$D$8:$D$250,'Iron Ore - Q&amp;V'!$F$8:$F$250,CONCATENATE("20",RIGHT('FY Q&amp;V 2003-04 to Now'!G$7,2)),'Iron Ore - Q&amp;V'!$G$8:$G$250,1)+
SUMIFS('Iron Ore - Q&amp;V'!$D$8:$D$250,'Iron Ore - Q&amp;V'!$F$8:$F$250,CONCATENATE("20",RIGHT('FY Q&amp;V 2003-04 to Now'!G$7,2)),'Iron Ore - Q&amp;V'!$G$8:$G$250,2))*1000000</f>
        <v>240568391.38800001</v>
      </c>
      <c r="H56" s="891">
        <f>(SUMIFS('Iron Ore - Q&amp;V'!$E$8:$E$250,'Iron Ore - Q&amp;V'!$F$8:$F$250,LEFT('FY Q&amp;V 2003-04 to Now'!G$7,4),'Iron Ore - Q&amp;V'!$G$8:$G$250,3)+
SUMIFS('Iron Ore - Q&amp;V'!$E$8:$E$250,'Iron Ore - Q&amp;V'!$F$8:$F$250,LEFT('FY Q&amp;V 2003-04 to Now'!G$7,4),'Iron Ore - Q&amp;V'!$G$8:$G$250,4)+
SUMIFS('Iron Ore - Q&amp;V'!$E$8:$E$250,'Iron Ore - Q&amp;V'!$F$8:$F$250,CONCATENATE("20",RIGHT('FY Q&amp;V 2003-04 to Now'!G$7,2)),'Iron Ore - Q&amp;V'!$G$8:$G$250,1)+
SUMIFS('Iron Ore - Q&amp;V'!$E$8:$E$250,'Iron Ore - Q&amp;V'!$F$8:$F$250,CONCATENATE("20",RIGHT('FY Q&amp;V 2003-04 to Now'!G$7,2)),'Iron Ore - Q&amp;V'!$G$8:$G$250,2))*1000000</f>
        <v>13040826036.820002</v>
      </c>
      <c r="I56" s="890">
        <f>(SUMIFS('Iron Ore - Q&amp;V'!$D$8:$D$250,'Iron Ore - Q&amp;V'!$F$8:$F$250,LEFT('FY Q&amp;V 2003-04 to Now'!I$7:J$7,4),'Iron Ore - Q&amp;V'!$G$8:$G$250,3)+
SUMIFS('Iron Ore - Q&amp;V'!$D$8:$D$250,'Iron Ore - Q&amp;V'!$F$8:$F$250,LEFT('FY Q&amp;V 2003-04 to Now'!I$7:J$7,4),'Iron Ore - Q&amp;V'!$G$8:$G$250,4)+
SUMIFS('Iron Ore - Q&amp;V'!$D$8:$D$250,'Iron Ore - Q&amp;V'!$F$8:$F$250,CONCATENATE("20",RIGHT('FY Q&amp;V 2003-04 to Now'!I$7,2)),'Iron Ore - Q&amp;V'!$G$8:$G$250,1)+
SUMIFS('Iron Ore - Q&amp;V'!$D$8:$D$250,'Iron Ore - Q&amp;V'!$F$8:$F$250,CONCATENATE("20",RIGHT('FY Q&amp;V 2003-04 to Now'!I$7,2)),'Iron Ore - Q&amp;V'!$G$8:$G$250,2))*1000000</f>
        <v>258996921.59300002</v>
      </c>
      <c r="J56" s="891">
        <f>(SUMIFS('Iron Ore - Q&amp;V'!$E$8:$E$250,'Iron Ore - Q&amp;V'!$F$8:$F$250,LEFT('FY Q&amp;V 2003-04 to Now'!I$7,4),'Iron Ore - Q&amp;V'!$G$8:$G$250,3)+
SUMIFS('Iron Ore - Q&amp;V'!$E$8:$E$250,'Iron Ore - Q&amp;V'!$F$8:$F$250,LEFT('FY Q&amp;V 2003-04 to Now'!I$7,4),'Iron Ore - Q&amp;V'!$G$8:$G$250,4)+
SUMIFS('Iron Ore - Q&amp;V'!$E$8:$E$250,'Iron Ore - Q&amp;V'!$F$8:$F$250,CONCATENATE("20",RIGHT('FY Q&amp;V 2003-04 to Now'!I$7,2)),'Iron Ore - Q&amp;V'!$G$8:$G$250,1)+
SUMIFS('Iron Ore - Q&amp;V'!$E$8:$E$250,'Iron Ore - Q&amp;V'!$F$8:$F$250,CONCATENATE("20",RIGHT('FY Q&amp;V 2003-04 to Now'!I$7,2)),'Iron Ore - Q&amp;V'!$G$8:$G$250,2))*1000000</f>
        <v>15779191450.360001</v>
      </c>
      <c r="K56" s="890">
        <f>(SUMIFS('Iron Ore - Q&amp;V'!$D$8:$D$250,'Iron Ore - Q&amp;V'!$F$8:$F$250,LEFT('FY Q&amp;V 2003-04 to Now'!K$7:L$7,4),'Iron Ore - Q&amp;V'!$G$8:$G$250,3)+
SUMIFS('Iron Ore - Q&amp;V'!$D$8:$D$250,'Iron Ore - Q&amp;V'!$F$8:$F$250,LEFT('FY Q&amp;V 2003-04 to Now'!K$7:L$7,4),'Iron Ore - Q&amp;V'!$G$8:$G$250,4)+
SUMIFS('Iron Ore - Q&amp;V'!$D$8:$D$250,'Iron Ore - Q&amp;V'!$F$8:$F$250,CONCATENATE("20",RIGHT('FY Q&amp;V 2003-04 to Now'!K$7,2)),'Iron Ore - Q&amp;V'!$G$8:$G$250,1)+
SUMIFS('Iron Ore - Q&amp;V'!$D$8:$D$250,'Iron Ore - Q&amp;V'!$F$8:$F$250,CONCATENATE("20",RIGHT('FY Q&amp;V 2003-04 to Now'!K$7,2)),'Iron Ore - Q&amp;V'!$G$8:$G$250,2))*1000000</f>
        <v>291166115.31199998</v>
      </c>
      <c r="L56" s="891">
        <f>(SUMIFS('Iron Ore - Q&amp;V'!$E$8:$E$250,'Iron Ore - Q&amp;V'!$F$8:$F$250,LEFT('FY Q&amp;V 2003-04 to Now'!K$7,4),'Iron Ore - Q&amp;V'!$G$8:$G$250,3)+
SUMIFS('Iron Ore - Q&amp;V'!$E$8:$E$250,'Iron Ore - Q&amp;V'!$F$8:$F$250,LEFT('FY Q&amp;V 2003-04 to Now'!K$7,4),'Iron Ore - Q&amp;V'!$G$8:$G$250,4)+
SUMIFS('Iron Ore - Q&amp;V'!$E$8:$E$250,'Iron Ore - Q&amp;V'!$F$8:$F$250,CONCATENATE("20",RIGHT('FY Q&amp;V 2003-04 to Now'!K$7,2)),'Iron Ore - Q&amp;V'!$G$8:$G$250,1)+
SUMIFS('Iron Ore - Q&amp;V'!$E$8:$E$250,'Iron Ore - Q&amp;V'!$F$8:$F$250,CONCATENATE("20",RIGHT('FY Q&amp;V 2003-04 to Now'!K$7,2)),'Iron Ore - Q&amp;V'!$G$8:$G$250,2))*1000000</f>
        <v>21960406709.939999</v>
      </c>
      <c r="M56" s="890">
        <f>(SUMIFS('Iron Ore - Q&amp;V'!$D$8:$D$250,'Iron Ore - Q&amp;V'!$F$8:$F$250,LEFT('FY Q&amp;V 2003-04 to Now'!M$7:N$7,4),'Iron Ore - Q&amp;V'!$G$8:$G$250,3)+
SUMIFS('Iron Ore - Q&amp;V'!$D$8:$D$250,'Iron Ore - Q&amp;V'!$F$8:$F$250,LEFT('FY Q&amp;V 2003-04 to Now'!M$7:N$7,4),'Iron Ore - Q&amp;V'!$G$8:$G$250,4)+
SUMIFS('Iron Ore - Q&amp;V'!$D$8:$D$250,'Iron Ore - Q&amp;V'!$F$8:$F$250,CONCATENATE("20",RIGHT('FY Q&amp;V 2003-04 to Now'!M$7,2)),'Iron Ore - Q&amp;V'!$G$8:$G$250,1)+
SUMIFS('Iron Ore - Q&amp;V'!$D$8:$D$250,'Iron Ore - Q&amp;V'!$F$8:$F$250,CONCATENATE("20",RIGHT('FY Q&amp;V 2003-04 to Now'!M$7,2)),'Iron Ore - Q&amp;V'!$G$8:$G$250,2))*1000000</f>
        <v>316545932.79799998</v>
      </c>
      <c r="N56" s="891">
        <f>(SUMIFS('Iron Ore - Q&amp;V'!$E$8:$E$250,'Iron Ore - Q&amp;V'!$F$8:$F$250,LEFT('FY Q&amp;V 2003-04 to Now'!M$7,4),'Iron Ore - Q&amp;V'!$G$8:$G$250,3)+
SUMIFS('Iron Ore - Q&amp;V'!$E$8:$E$250,'Iron Ore - Q&amp;V'!$F$8:$F$250,LEFT('FY Q&amp;V 2003-04 to Now'!M$7,4),'Iron Ore - Q&amp;V'!$G$8:$G$250,4)+
SUMIFS('Iron Ore - Q&amp;V'!$E$8:$E$250,'Iron Ore - Q&amp;V'!$F$8:$F$250,CONCATENATE("20",RIGHT('FY Q&amp;V 2003-04 to Now'!M$7,2)),'Iron Ore - Q&amp;V'!$G$8:$G$250,1)+
SUMIFS('Iron Ore - Q&amp;V'!$E$8:$E$250,'Iron Ore - Q&amp;V'!$F$8:$F$250,CONCATENATE("20",RIGHT('FY Q&amp;V 2003-04 to Now'!M$7,2)),'Iron Ore - Q&amp;V'!$G$8:$G$250,2))*1000000</f>
        <v>33621877296.689999</v>
      </c>
      <c r="O56" s="890">
        <f>(SUMIFS('Iron Ore - Q&amp;V'!$D$8:$D$250,'Iron Ore - Q&amp;V'!$F$8:$F$250,LEFT('FY Q&amp;V 2003-04 to Now'!O$7:P$7,4),'Iron Ore - Q&amp;V'!$G$8:$G$250,3)+
SUMIFS('Iron Ore - Q&amp;V'!$D$8:$D$250,'Iron Ore - Q&amp;V'!$F$8:$F$250,LEFT('FY Q&amp;V 2003-04 to Now'!O$7:P$7,4),'Iron Ore - Q&amp;V'!$G$8:$G$250,4)+
SUMIFS('Iron Ore - Q&amp;V'!$D$8:$D$250,'Iron Ore - Q&amp;V'!$F$8:$F$250,CONCATENATE("20",RIGHT('FY Q&amp;V 2003-04 to Now'!O$7,2)),'Iron Ore - Q&amp;V'!$G$8:$G$250,1)+
SUMIFS('Iron Ore - Q&amp;V'!$D$8:$D$250,'Iron Ore - Q&amp;V'!$F$8:$F$250,CONCATENATE("20",RIGHT('FY Q&amp;V 2003-04 to Now'!O$7,2)),'Iron Ore - Q&amp;V'!$G$8:$G$250,2))*1000000</f>
        <v>384964867.80599999</v>
      </c>
      <c r="P56" s="891">
        <f>(SUMIFS('Iron Ore - Q&amp;V'!$E$8:$E$250,'Iron Ore - Q&amp;V'!$F$8:$F$250,LEFT('FY Q&amp;V 2003-04 to Now'!O$7,4),'Iron Ore - Q&amp;V'!$G$8:$G$250,3)+
SUMIFS('Iron Ore - Q&amp;V'!$E$8:$E$250,'Iron Ore - Q&amp;V'!$F$8:$F$250,LEFT('FY Q&amp;V 2003-04 to Now'!O$7,4),'Iron Ore - Q&amp;V'!$G$8:$G$250,4)+
SUMIFS('Iron Ore - Q&amp;V'!$E$8:$E$250,'Iron Ore - Q&amp;V'!$F$8:$F$250,CONCATENATE("20",RIGHT('FY Q&amp;V 2003-04 to Now'!O$7,2)),'Iron Ore - Q&amp;V'!$G$8:$G$250,1)+
SUMIFS('Iron Ore - Q&amp;V'!$E$8:$E$250,'Iron Ore - Q&amp;V'!$F$8:$F$250,CONCATENATE("20",RIGHT('FY Q&amp;V 2003-04 to Now'!O$7,2)),'Iron Ore - Q&amp;V'!$G$8:$G$250,2))*1000000</f>
        <v>35214420583.349998</v>
      </c>
      <c r="Q56" s="890">
        <f>(SUMIFS('Iron Ore - Q&amp;V'!$D$8:$D$250,'Iron Ore - Q&amp;V'!$F$8:$F$250,LEFT('FY Q&amp;V 2003-04 to Now'!Q$7:R$7,4),'Iron Ore - Q&amp;V'!$G$8:$G$250,3)+
SUMIFS('Iron Ore - Q&amp;V'!$D$8:$D$250,'Iron Ore - Q&amp;V'!$F$8:$F$250,LEFT('FY Q&amp;V 2003-04 to Now'!Q$7:R$7,4),'Iron Ore - Q&amp;V'!$G$8:$G$250,4)+
SUMIFS('Iron Ore - Q&amp;V'!$D$8:$D$250,'Iron Ore - Q&amp;V'!$F$8:$F$250,CONCATENATE("20",RIGHT('FY Q&amp;V 2003-04 to Now'!Q$7,2)),'Iron Ore - Q&amp;V'!$G$8:$G$250,1)+
SUMIFS('Iron Ore - Q&amp;V'!$D$8:$D$250,'Iron Ore - Q&amp;V'!$F$8:$F$250,CONCATENATE("20",RIGHT('FY Q&amp;V 2003-04 to Now'!Q$7,2)),'Iron Ore - Q&amp;V'!$G$8:$G$250,2))*1000000</f>
        <v>397604213.46799999</v>
      </c>
      <c r="R56" s="891">
        <f>(SUMIFS('Iron Ore - Q&amp;V'!$E$8:$E$250,'Iron Ore - Q&amp;V'!$F$8:$F$250,LEFT('FY Q&amp;V 2003-04 to Now'!Q$7,4),'Iron Ore - Q&amp;V'!$G$8:$G$250,3)+
SUMIFS('Iron Ore - Q&amp;V'!$E$8:$E$250,'Iron Ore - Q&amp;V'!$F$8:$F$250,LEFT('FY Q&amp;V 2003-04 to Now'!Q$7,4),'Iron Ore - Q&amp;V'!$G$8:$G$250,4)+
SUMIFS('Iron Ore - Q&amp;V'!$E$8:$E$250,'Iron Ore - Q&amp;V'!$F$8:$F$250,CONCATENATE("20",RIGHT('FY Q&amp;V 2003-04 to Now'!Q$7,2)),'Iron Ore - Q&amp;V'!$G$8:$G$250,1)+
SUMIFS('Iron Ore - Q&amp;V'!$E$8:$E$250,'Iron Ore - Q&amp;V'!$F$8:$F$250,CONCATENATE("20",RIGHT('FY Q&amp;V 2003-04 to Now'!Q$7,2)),'Iron Ore - Q&amp;V'!$G$8:$G$250,2))*1000000</f>
        <v>57533101328.700005</v>
      </c>
      <c r="S56" s="890">
        <f>(SUMIFS('Iron Ore - Q&amp;V'!$D$8:$D$250,'Iron Ore - Q&amp;V'!$F$8:$F$250,LEFT('FY Q&amp;V 2003-04 to Now'!S$7:T$7,4),'Iron Ore - Q&amp;V'!$G$8:$G$250,3)+
SUMIFS('Iron Ore - Q&amp;V'!$D$8:$D$250,'Iron Ore - Q&amp;V'!$F$8:$F$250,LEFT('FY Q&amp;V 2003-04 to Now'!S$7:T$7,4),'Iron Ore - Q&amp;V'!$G$8:$G$250,4)+
SUMIFS('Iron Ore - Q&amp;V'!$D$8:$D$250,'Iron Ore - Q&amp;V'!$F$8:$F$250,CONCATENATE("20",RIGHT('FY Q&amp;V 2003-04 to Now'!S$7,2)),'Iron Ore - Q&amp;V'!$G$8:$G$250,1)+
SUMIFS('Iron Ore - Q&amp;V'!$D$8:$D$250,'Iron Ore - Q&amp;V'!$F$8:$F$250,CONCATENATE("20",RIGHT('FY Q&amp;V 2003-04 to Now'!S$7,2)),'Iron Ore - Q&amp;V'!$G$8:$G$250,2))*1000000</f>
        <v>454385063.56699997</v>
      </c>
      <c r="T56" s="891">
        <f>(SUMIFS('Iron Ore - Q&amp;V'!$E$8:$E$250,'Iron Ore - Q&amp;V'!$F$8:$F$250,LEFT('FY Q&amp;V 2003-04 to Now'!S$7,4),'Iron Ore - Q&amp;V'!$G$8:$G$250,3)+
SUMIFS('Iron Ore - Q&amp;V'!$E$8:$E$250,'Iron Ore - Q&amp;V'!$F$8:$F$250,LEFT('FY Q&amp;V 2003-04 to Now'!S$7,4),'Iron Ore - Q&amp;V'!$G$8:$G$250,4)+
SUMIFS('Iron Ore - Q&amp;V'!$E$8:$E$250,'Iron Ore - Q&amp;V'!$F$8:$F$250,CONCATENATE("20",RIGHT('FY Q&amp;V 2003-04 to Now'!S$7,2)),'Iron Ore - Q&amp;V'!$G$8:$G$250,1)+
SUMIFS('Iron Ore - Q&amp;V'!$E$8:$E$250,'Iron Ore - Q&amp;V'!$F$8:$F$250,CONCATENATE("20",RIGHT('FY Q&amp;V 2003-04 to Now'!S$7,2)),'Iron Ore - Q&amp;V'!$G$8:$G$250,2))*1000000</f>
        <v>60972726991.370003</v>
      </c>
      <c r="U56" s="890">
        <f>(SUMIFS('Iron Ore - Q&amp;V'!$D$8:$D$250,'Iron Ore - Q&amp;V'!$F$8:$F$250,LEFT('FY Q&amp;V 2003-04 to Now'!U$7:V$7,4),'Iron Ore - Q&amp;V'!$G$8:$G$250,3)+
SUMIFS('Iron Ore - Q&amp;V'!$D$8:$D$250,'Iron Ore - Q&amp;V'!$F$8:$F$250,LEFT('FY Q&amp;V 2003-04 to Now'!U$7:V$7,4),'Iron Ore - Q&amp;V'!$G$8:$G$250,4)+
SUMIFS('Iron Ore - Q&amp;V'!$D$8:$D$250,'Iron Ore - Q&amp;V'!$F$8:$F$250,CONCATENATE("20",RIGHT('FY Q&amp;V 2003-04 to Now'!U$7,2)),'Iron Ore - Q&amp;V'!$G$8:$G$250,1)+
SUMIFS('Iron Ore - Q&amp;V'!$D$8:$D$250,'Iron Ore - Q&amp;V'!$F$8:$F$250,CONCATENATE("20",RIGHT('FY Q&amp;V 2003-04 to Now'!U$7,2)),'Iron Ore - Q&amp;V'!$G$8:$G$250,2))*1000000</f>
        <v>511760416.48500001</v>
      </c>
      <c r="V56" s="891">
        <f>(SUMIFS('Iron Ore - Q&amp;V'!$E$8:$E$250,'Iron Ore - Q&amp;V'!$F$8:$F$250,LEFT('FY Q&amp;V 2003-04 to Now'!U$7,4),'Iron Ore - Q&amp;V'!$G$8:$G$250,3)+
SUMIFS('Iron Ore - Q&amp;V'!$E$8:$E$250,'Iron Ore - Q&amp;V'!$F$8:$F$250,LEFT('FY Q&amp;V 2003-04 to Now'!U$7,4),'Iron Ore - Q&amp;V'!$G$8:$G$250,4)+
SUMIFS('Iron Ore - Q&amp;V'!$E$8:$E$250,'Iron Ore - Q&amp;V'!$F$8:$F$250,CONCATENATE("20",RIGHT('FY Q&amp;V 2003-04 to Now'!U$7,2)),'Iron Ore - Q&amp;V'!$G$8:$G$250,1)+
SUMIFS('Iron Ore - Q&amp;V'!$E$8:$E$250,'Iron Ore - Q&amp;V'!$F$8:$F$250,CONCATENATE("20",RIGHT('FY Q&amp;V 2003-04 to Now'!U$7,2)),'Iron Ore - Q&amp;V'!$G$8:$G$250,2))*1000000</f>
        <v>56204322877.489998</v>
      </c>
      <c r="W56" s="890">
        <f>(SUMIFS('Iron Ore - Q&amp;V'!$D$8:$D$250,'Iron Ore - Q&amp;V'!$F$8:$F$250,LEFT('FY Q&amp;V 2003-04 to Now'!W$7:X$7,4),'Iron Ore - Q&amp;V'!$G$8:$G$250,3)+
SUMIFS('Iron Ore - Q&amp;V'!$D$8:$D$250,'Iron Ore - Q&amp;V'!$F$8:$F$250,LEFT('FY Q&amp;V 2003-04 to Now'!W$7:X$7,4),'Iron Ore - Q&amp;V'!$G$8:$G$250,4)+
SUMIFS('Iron Ore - Q&amp;V'!$D$8:$D$250,'Iron Ore - Q&amp;V'!$F$8:$F$250,CONCATENATE("20",RIGHT('FY Q&amp;V 2003-04 to Now'!W$7,2)),'Iron Ore - Q&amp;V'!$G$8:$G$250,1)+
SUMIFS('Iron Ore - Q&amp;V'!$D$8:$D$250,'Iron Ore - Q&amp;V'!$F$8:$F$250,CONCATENATE("20",RIGHT('FY Q&amp;V 2003-04 to Now'!W$7,2)),'Iron Ore - Q&amp;V'!$G$8:$G$250,2))*1000000</f>
        <v>623507314.77399993</v>
      </c>
      <c r="X56" s="891">
        <f>(SUMIFS('Iron Ore - Q&amp;V'!$E$8:$E$250,'Iron Ore - Q&amp;V'!$F$8:$F$250,LEFT('FY Q&amp;V 2003-04 to Now'!W$7,4),'Iron Ore - Q&amp;V'!$G$8:$G$250,3)+
SUMIFS('Iron Ore - Q&amp;V'!$E$8:$E$250,'Iron Ore - Q&amp;V'!$F$8:$F$250,LEFT('FY Q&amp;V 2003-04 to Now'!W$7,4),'Iron Ore - Q&amp;V'!$G$8:$G$250,4)+
SUMIFS('Iron Ore - Q&amp;V'!$E$8:$E$250,'Iron Ore - Q&amp;V'!$F$8:$F$250,CONCATENATE("20",RIGHT('FY Q&amp;V 2003-04 to Now'!W$7,2)),'Iron Ore - Q&amp;V'!$G$8:$G$250,1)+
SUMIFS('Iron Ore - Q&amp;V'!$E$8:$E$250,'Iron Ore - Q&amp;V'!$F$8:$F$250,CONCATENATE("20",RIGHT('FY Q&amp;V 2003-04 to Now'!W$7,2)),'Iron Ore - Q&amp;V'!$G$8:$G$250,2))*1000000</f>
        <v>75165715685.289993</v>
      </c>
      <c r="Y56" s="890">
        <f>(SUMIFS('Iron Ore - Q&amp;V'!$D$8:$D$250,'Iron Ore - Q&amp;V'!$F$8:$F$250,LEFT('FY Q&amp;V 2003-04 to Now'!Y$7:Z$7,4),'Iron Ore - Q&amp;V'!$G$8:$G$250,3)+
SUMIFS('Iron Ore - Q&amp;V'!$D$8:$D$250,'Iron Ore - Q&amp;V'!$F$8:$F$250,LEFT('FY Q&amp;V 2003-04 to Now'!Y$7:Z$7,4),'Iron Ore - Q&amp;V'!$G$8:$G$250,4)+
SUMIFS('Iron Ore - Q&amp;V'!$D$8:$D$250,'Iron Ore - Q&amp;V'!$F$8:$F$250,CONCATENATE("20",RIGHT('FY Q&amp;V 2003-04 to Now'!Y$7,2)),'Iron Ore - Q&amp;V'!$G$8:$G$250,1)+
SUMIFS('Iron Ore - Q&amp;V'!$D$8:$D$250,'Iron Ore - Q&amp;V'!$F$8:$F$250,CONCATENATE("20",RIGHT('FY Q&amp;V 2003-04 to Now'!Y$7,2)),'Iron Ore - Q&amp;V'!$G$8:$G$250,2))*1000000</f>
        <v>718806407.94700003</v>
      </c>
      <c r="Z56" s="891">
        <f>(SUMIFS('Iron Ore - Q&amp;V'!$E$8:$E$250,'Iron Ore - Q&amp;V'!$F$8:$F$250,LEFT('FY Q&amp;V 2003-04 to Now'!Y$7,4),'Iron Ore - Q&amp;V'!$G$8:$G$250,3)+
SUMIFS('Iron Ore - Q&amp;V'!$E$8:$E$250,'Iron Ore - Q&amp;V'!$F$8:$F$250,LEFT('FY Q&amp;V 2003-04 to Now'!Y$7,4),'Iron Ore - Q&amp;V'!$G$8:$G$250,4)+
SUMIFS('Iron Ore - Q&amp;V'!$E$8:$E$250,'Iron Ore - Q&amp;V'!$F$8:$F$250,CONCATENATE("20",RIGHT('FY Q&amp;V 2003-04 to Now'!Y$7,2)),'Iron Ore - Q&amp;V'!$G$8:$G$250,1)+
SUMIFS('Iron Ore - Q&amp;V'!$E$8:$E$250,'Iron Ore - Q&amp;V'!$F$8:$F$250,CONCATENATE("20",RIGHT('FY Q&amp;V 2003-04 to Now'!Y$7,2)),'Iron Ore - Q&amp;V'!$G$8:$G$250,2))*1000000</f>
        <v>54375667290</v>
      </c>
      <c r="AA56" s="890">
        <f>(SUMIFS('Iron Ore - Q&amp;V'!$D$8:$D$250,'Iron Ore - Q&amp;V'!$F$8:$F$250,LEFT('FY Q&amp;V 2003-04 to Now'!AA$7:AB$7,4),'Iron Ore - Q&amp;V'!$G$8:$G$250,3)+
SUMIFS('Iron Ore - Q&amp;V'!$D$8:$D$250,'Iron Ore - Q&amp;V'!$F$8:$F$250,LEFT('FY Q&amp;V 2003-04 to Now'!AA$7:AB$7,4),'Iron Ore - Q&amp;V'!$G$8:$G$250,4)+
SUMIFS('Iron Ore - Q&amp;V'!$D$8:$D$250,'Iron Ore - Q&amp;V'!$F$8:$F$250,CONCATENATE("20",RIGHT('FY Q&amp;V 2003-04 to Now'!AA$7,2)),'Iron Ore - Q&amp;V'!$G$8:$G$250,1)+
SUMIFS('Iron Ore - Q&amp;V'!$D$8:$D$250,'Iron Ore - Q&amp;V'!$F$8:$F$250,CONCATENATE("20",RIGHT('FY Q&amp;V 2003-04 to Now'!AA$7,2)),'Iron Ore - Q&amp;V'!$G$8:$G$250,2))*1000000</f>
        <v>748100420.95899999</v>
      </c>
      <c r="AB56" s="891">
        <f>(SUMIFS('Iron Ore - Q&amp;V'!$E$8:$E$250,'Iron Ore - Q&amp;V'!$F$8:$F$250,LEFT('FY Q&amp;V 2003-04 to Now'!AA$7,4),'Iron Ore - Q&amp;V'!$G$8:$G$250,3)+
SUMIFS('Iron Ore - Q&amp;V'!$E$8:$E$250,'Iron Ore - Q&amp;V'!$F$8:$F$250,LEFT('FY Q&amp;V 2003-04 to Now'!AA$7,4),'Iron Ore - Q&amp;V'!$G$8:$G$250,4)+
SUMIFS('Iron Ore - Q&amp;V'!$E$8:$E$250,'Iron Ore - Q&amp;V'!$F$8:$F$250,CONCATENATE("20",RIGHT('FY Q&amp;V 2003-04 to Now'!AA$7,2)),'Iron Ore - Q&amp;V'!$G$8:$G$250,1)+
SUMIFS('Iron Ore - Q&amp;V'!$E$8:$E$250,'Iron Ore - Q&amp;V'!$F$8:$F$250,CONCATENATE("20",RIGHT('FY Q&amp;V 2003-04 to Now'!AA$7,2)),'Iron Ore - Q&amp;V'!$G$8:$G$250,2))*1000000</f>
        <v>48767746598</v>
      </c>
      <c r="AC56" s="1308">
        <f>(SUMIFS('Iron Ore - Q&amp;V'!$D$8:$D$250,'Iron Ore - Q&amp;V'!$F$8:$F$250,LEFT('FY Q&amp;V 2003-04 to Now'!AC$7:AD$7,4),'Iron Ore - Q&amp;V'!$G$8:$G$250,3)+
SUMIFS('Iron Ore - Q&amp;V'!$D$8:$D$250,'Iron Ore - Q&amp;V'!$F$8:$F$250,LEFT('FY Q&amp;V 2003-04 to Now'!AC$7:AD$7,4),'Iron Ore - Q&amp;V'!$G$8:$G$250,4)+
SUMIFS('Iron Ore - Q&amp;V'!$D$8:$D$250,'Iron Ore - Q&amp;V'!$F$8:$F$250,CONCATENATE("20",RIGHT('FY Q&amp;V 2003-04 to Now'!AC$7,2)),'Iron Ore - Q&amp;V'!$G$8:$G$250,1)+
SUMIFS('Iron Ore - Q&amp;V'!$D$8:$D$250,'Iron Ore - Q&amp;V'!$F$8:$F$250,CONCATENATE("20",RIGHT('FY Q&amp;V 2003-04 to Now'!AC$7,2)),'Iron Ore - Q&amp;V'!$G$8:$G$250,2))*1000000</f>
        <v>792984562.87600005</v>
      </c>
      <c r="AD56" s="891">
        <f>(SUMIFS('Iron Ore - Q&amp;V'!$E$8:$E$250,'Iron Ore - Q&amp;V'!$F$8:$F$250,LEFT('FY Q&amp;V 2003-04 to Now'!AC$7,4),'Iron Ore - Q&amp;V'!$G$8:$G$250,3)+
SUMIFS('Iron Ore - Q&amp;V'!$E$8:$E$250,'Iron Ore - Q&amp;V'!$F$8:$F$250,LEFT('FY Q&amp;V 2003-04 to Now'!AC$7,4),'Iron Ore - Q&amp;V'!$G$8:$G$250,4)+
SUMIFS('Iron Ore - Q&amp;V'!$E$8:$E$250,'Iron Ore - Q&amp;V'!$F$8:$F$250,CONCATENATE("20",RIGHT('FY Q&amp;V 2003-04 to Now'!AC$7,2)),'Iron Ore - Q&amp;V'!$G$8:$G$250,1)+
SUMIFS('Iron Ore - Q&amp;V'!$E$8:$E$250,'Iron Ore - Q&amp;V'!$F$8:$F$250,CONCATENATE("20",RIGHT('FY Q&amp;V 2003-04 to Now'!AC$7,2)),'Iron Ore - Q&amp;V'!$G$8:$G$250,2))*1000000</f>
        <v>64319249452</v>
      </c>
      <c r="AE56" s="1308">
        <f>(SUMIFS('Iron Ore - Q&amp;V'!$D$8:$D$250,'Iron Ore - Q&amp;V'!$F$8:$F$250,LEFT('FY Q&amp;V 2003-04 to Now'!AE$7:AF$7,4),'Iron Ore - Q&amp;V'!$G$8:$G$250,3)+
SUMIFS('Iron Ore - Q&amp;V'!$D$8:$D$250,'Iron Ore - Q&amp;V'!$F$8:$F$250,LEFT('FY Q&amp;V 2003-04 to Now'!AE$7:AF$7,4),'Iron Ore - Q&amp;V'!$G$8:$G$250,4)+
SUMIFS('Iron Ore - Q&amp;V'!$D$8:$D$250,'Iron Ore - Q&amp;V'!$F$8:$F$250,CONCATENATE("20",RIGHT('FY Q&amp;V 2003-04 to Now'!AE$7,2)),'Iron Ore - Q&amp;V'!$G$8:$G$250,1)+
SUMIFS('Iron Ore - Q&amp;V'!$D$8:$D$250,'Iron Ore - Q&amp;V'!$F$8:$F$250,CONCATENATE("20",RIGHT('FY Q&amp;V 2003-04 to Now'!AE$7,2)),'Iron Ore - Q&amp;V'!$G$8:$G$250,2))*1000000</f>
        <v>839424190.125</v>
      </c>
      <c r="AF56" s="891">
        <f>(SUMIFS('Iron Ore - Q&amp;V'!$E$8:$E$250,'Iron Ore - Q&amp;V'!$F$8:$F$250,LEFT('FY Q&amp;V 2003-04 to Now'!AE$7,4),'Iron Ore - Q&amp;V'!$G$8:$G$250,3)+
SUMIFS('Iron Ore - Q&amp;V'!$E$8:$E$250,'Iron Ore - Q&amp;V'!$F$8:$F$250,LEFT('FY Q&amp;V 2003-04 to Now'!AE$7,4),'Iron Ore - Q&amp;V'!$G$8:$G$250,4)+
SUMIFS('Iron Ore - Q&amp;V'!$E$8:$E$250,'Iron Ore - Q&amp;V'!$F$8:$F$250,CONCATENATE("20",RIGHT('FY Q&amp;V 2003-04 to Now'!AE$7,2)),'Iron Ore - Q&amp;V'!$G$8:$G$250,1)+
SUMIFS('Iron Ore - Q&amp;V'!$E$8:$E$250,'Iron Ore - Q&amp;V'!$F$8:$F$250,CONCATENATE("20",RIGHT('FY Q&amp;V 2003-04 to Now'!AE$7,2)),'Iron Ore - Q&amp;V'!$G$8:$G$250,2))*1000000</f>
        <v>62074172938</v>
      </c>
      <c r="AG56" s="1308">
        <f>(SUMIFS('Iron Ore - Q&amp;V'!$D$8:$D$250,'Iron Ore - Q&amp;V'!$F$8:$F$250,LEFT('FY Q&amp;V 2003-04 to Now'!AG$7:AH$7,4),'Iron Ore - Q&amp;V'!$G$8:$G$250,3)+
SUMIFS('Iron Ore - Q&amp;V'!$D$8:$D$250,'Iron Ore - Q&amp;V'!$F$8:$F$250,LEFT('FY Q&amp;V 2003-04 to Now'!AG$7:AH$7,4),'Iron Ore - Q&amp;V'!$G$8:$G$250,4)+
SUMIFS('Iron Ore - Q&amp;V'!$D$8:$D$250,'Iron Ore - Q&amp;V'!$F$8:$F$250,CONCATENATE("20",RIGHT('FY Q&amp;V 2003-04 to Now'!AG$7,2)),'Iron Ore - Q&amp;V'!$G$8:$G$250,1)+
SUMIFS('Iron Ore - Q&amp;V'!$D$8:$D$250,'Iron Ore - Q&amp;V'!$F$8:$F$250,CONCATENATE("20",RIGHT('FY Q&amp;V 2003-04 to Now'!AG$7,2)),'Iron Ore - Q&amp;V'!$G$8:$G$250,2))*1000000</f>
        <v>794652146.56400013</v>
      </c>
      <c r="AH56" s="891">
        <f>(SUMIFS('Iron Ore - Q&amp;V'!$E$8:$E$250,'Iron Ore - Q&amp;V'!$F$8:$F$250,LEFT('FY Q&amp;V 2003-04 to Now'!AG$7,4),'Iron Ore - Q&amp;V'!$G$8:$G$250,3)+
SUMIFS('Iron Ore - Q&amp;V'!$E$8:$E$250,'Iron Ore - Q&amp;V'!$F$8:$F$250,LEFT('FY Q&amp;V 2003-04 to Now'!AG$7,4),'Iron Ore - Q&amp;V'!$G$8:$G$250,4)+
SUMIFS('Iron Ore - Q&amp;V'!$E$8:$E$250,'Iron Ore - Q&amp;V'!$F$8:$F$250,CONCATENATE("20",RIGHT('FY Q&amp;V 2003-04 to Now'!AG$7,2)),'Iron Ore - Q&amp;V'!$G$8:$G$250,1)+
SUMIFS('Iron Ore - Q&amp;V'!$E$8:$E$250,'Iron Ore - Q&amp;V'!$F$8:$F$250,CONCATENATE("20",RIGHT('FY Q&amp;V 2003-04 to Now'!AG$7,2)),'Iron Ore - Q&amp;V'!$G$8:$G$250,2))*1000000</f>
        <v>80544633955</v>
      </c>
      <c r="AI56" s="953">
        <f>SUMIF($C$9:AH$9,1,$C56:AH56)</f>
        <v>7804518297.4120007</v>
      </c>
      <c r="AJ56" s="891">
        <f>SUMIF($C$9:AH$9,0,$C56:AH56)</f>
        <v>693221699312.32007</v>
      </c>
    </row>
    <row r="57" spans="1:37">
      <c r="A57" s="858"/>
      <c r="B57" s="880"/>
      <c r="C57" s="896"/>
      <c r="D57" s="878"/>
      <c r="E57" s="896"/>
      <c r="F57" s="878"/>
      <c r="G57" s="896"/>
      <c r="H57" s="878"/>
      <c r="I57" s="896"/>
      <c r="J57" s="878"/>
      <c r="K57" s="896"/>
      <c r="L57" s="878"/>
      <c r="M57" s="896"/>
      <c r="N57" s="878"/>
      <c r="O57" s="896"/>
      <c r="P57" s="878"/>
      <c r="Q57" s="896"/>
      <c r="R57" s="878"/>
      <c r="S57" s="896"/>
      <c r="T57" s="878"/>
      <c r="U57" s="896"/>
      <c r="V57" s="878"/>
      <c r="W57" s="896"/>
      <c r="X57" s="878"/>
      <c r="Y57" s="896"/>
      <c r="Z57" s="878"/>
      <c r="AA57" s="896"/>
      <c r="AB57" s="878"/>
      <c r="AC57" s="878"/>
      <c r="AD57" s="878"/>
      <c r="AE57" s="1309"/>
      <c r="AF57" s="878"/>
      <c r="AG57" s="1309"/>
      <c r="AH57" s="878"/>
      <c r="AI57" s="953"/>
      <c r="AJ57" s="891"/>
    </row>
    <row r="58" spans="1:37">
      <c r="A58" s="885" t="s">
        <v>290</v>
      </c>
      <c r="B58" s="638"/>
      <c r="C58" s="895">
        <v>4099466.3669999996</v>
      </c>
      <c r="D58" s="892">
        <v>32885039.690000005</v>
      </c>
      <c r="E58" s="895">
        <v>4079782.1860000002</v>
      </c>
      <c r="F58" s="892">
        <v>39422579.100000009</v>
      </c>
      <c r="G58" s="895">
        <v>4032988.5779999997</v>
      </c>
      <c r="H58" s="892">
        <v>43237134.020000003</v>
      </c>
      <c r="I58" s="895">
        <v>3836357.8820000002</v>
      </c>
      <c r="J58" s="892">
        <v>22397355.969999999</v>
      </c>
      <c r="K58" s="895">
        <v>3885943.8760000002</v>
      </c>
      <c r="L58" s="892">
        <v>19979614.639999997</v>
      </c>
      <c r="M58" s="895">
        <v>3720978.852</v>
      </c>
      <c r="N58" s="892">
        <v>18951732.790000003</v>
      </c>
      <c r="O58" s="895">
        <v>4017735.65</v>
      </c>
      <c r="P58" s="892">
        <v>22695365.710000001</v>
      </c>
      <c r="Q58" s="895">
        <v>3721270.0129999998</v>
      </c>
      <c r="R58" s="892">
        <v>17742837.869999997</v>
      </c>
      <c r="S58" s="895">
        <v>4157629.7340000002</v>
      </c>
      <c r="T58" s="892">
        <v>21403514.879999995</v>
      </c>
      <c r="U58" s="895">
        <v>4091848.8079999997</v>
      </c>
      <c r="V58" s="892">
        <v>24239571.09</v>
      </c>
      <c r="W58" s="895">
        <v>3116622.7649999997</v>
      </c>
      <c r="X58" s="892">
        <v>23378197.300000001</v>
      </c>
      <c r="Y58" s="895">
        <v>4903039.1349999988</v>
      </c>
      <c r="Z58" s="892">
        <v>33175834.405000001</v>
      </c>
      <c r="AA58" s="895">
        <v>4446486</v>
      </c>
      <c r="AB58" s="892">
        <v>28826046</v>
      </c>
      <c r="AC58" s="942">
        <v>4178360</v>
      </c>
      <c r="AD58" s="892">
        <v>26012783</v>
      </c>
      <c r="AE58" s="1307">
        <v>3943155.1459999997</v>
      </c>
      <c r="AF58" s="892">
        <v>30401104.195</v>
      </c>
      <c r="AG58" s="1307">
        <v>4305108.41</v>
      </c>
      <c r="AH58" s="892">
        <v>34079633.181772321</v>
      </c>
      <c r="AI58" s="954">
        <f>SUMIF($C$9:AH$9,1,$C58:AH58)</f>
        <v>64536773.401999995</v>
      </c>
      <c r="AJ58" s="955">
        <f>SUMIF($C$9:AH$9,0,$C58:AH58)</f>
        <v>438828343.84177232</v>
      </c>
      <c r="AK58" s="1348"/>
    </row>
    <row r="59" spans="1:37">
      <c r="A59" s="599"/>
      <c r="B59" s="638"/>
      <c r="C59" s="895"/>
      <c r="D59" s="892"/>
      <c r="E59" s="895"/>
      <c r="F59" s="892"/>
      <c r="G59" s="895"/>
      <c r="H59" s="892"/>
      <c r="I59" s="895"/>
      <c r="J59" s="892"/>
      <c r="K59" s="895"/>
      <c r="L59" s="892"/>
      <c r="M59" s="895"/>
      <c r="N59" s="892"/>
      <c r="O59" s="895"/>
      <c r="P59" s="892"/>
      <c r="Q59" s="895"/>
      <c r="R59" s="892"/>
      <c r="S59" s="895"/>
      <c r="T59" s="892"/>
      <c r="U59" s="895"/>
      <c r="V59" s="892"/>
      <c r="W59" s="895"/>
      <c r="X59" s="892"/>
      <c r="Y59" s="895"/>
      <c r="Z59" s="892"/>
      <c r="AA59" s="895"/>
      <c r="AB59" s="892"/>
      <c r="AC59" s="892"/>
      <c r="AD59" s="892"/>
      <c r="AE59" s="1307"/>
      <c r="AF59" s="892"/>
      <c r="AG59" s="1307"/>
      <c r="AH59" s="892"/>
      <c r="AI59" s="954"/>
      <c r="AJ59" s="955"/>
    </row>
    <row r="60" spans="1:37">
      <c r="A60" s="884" t="s">
        <v>295</v>
      </c>
      <c r="B60" s="848" t="s">
        <v>110</v>
      </c>
      <c r="C60" s="890">
        <v>281241</v>
      </c>
      <c r="D60" s="891" t="s">
        <v>273</v>
      </c>
      <c r="E60" s="890">
        <v>293148.90999999997</v>
      </c>
      <c r="F60" s="891" t="s">
        <v>273</v>
      </c>
      <c r="G60" s="890">
        <v>402542.48</v>
      </c>
      <c r="H60" s="891" t="s">
        <v>273</v>
      </c>
      <c r="I60" s="890">
        <v>426651.75</v>
      </c>
      <c r="J60" s="891" t="s">
        <v>273</v>
      </c>
      <c r="K60" s="890">
        <v>373470.27</v>
      </c>
      <c r="L60" s="891" t="s">
        <v>273</v>
      </c>
      <c r="M60" s="890">
        <v>419269.89</v>
      </c>
      <c r="N60" s="891">
        <v>226007453</v>
      </c>
      <c r="O60" s="890">
        <v>746742.34</v>
      </c>
      <c r="P60" s="891">
        <v>382592192</v>
      </c>
      <c r="Q60" s="890">
        <v>873063.68</v>
      </c>
      <c r="R60" s="891">
        <v>392302135</v>
      </c>
      <c r="S60" s="890">
        <v>846292.54</v>
      </c>
      <c r="T60" s="891">
        <v>331693574</v>
      </c>
      <c r="U60" s="890">
        <v>649695.39</v>
      </c>
      <c r="V60" s="891" t="s">
        <v>273</v>
      </c>
      <c r="W60" s="890">
        <v>711536.3</v>
      </c>
      <c r="X60" s="891" t="s">
        <v>273</v>
      </c>
      <c r="Y60" s="890">
        <v>800985</v>
      </c>
      <c r="Z60" s="891" t="s">
        <v>273</v>
      </c>
      <c r="AA60" s="890">
        <v>425303.35</v>
      </c>
      <c r="AB60" s="891">
        <v>146188090</v>
      </c>
      <c r="AC60" s="1308">
        <v>236565.08000000002</v>
      </c>
      <c r="AD60" s="891" t="s">
        <v>273</v>
      </c>
      <c r="AE60" s="1308">
        <v>378889.47</v>
      </c>
      <c r="AF60" s="891">
        <v>282549758</v>
      </c>
      <c r="AG60" s="1308">
        <v>572835.74</v>
      </c>
      <c r="AH60" s="891">
        <v>477281090</v>
      </c>
      <c r="AI60" s="953">
        <f>SUMIF($C$9:AH$9,1,$C60:AH60)</f>
        <v>8438233.1899999976</v>
      </c>
      <c r="AJ60" s="891" t="s">
        <v>273</v>
      </c>
    </row>
    <row r="61" spans="1:37">
      <c r="A61" s="884"/>
      <c r="B61" s="848"/>
      <c r="C61" s="896"/>
      <c r="D61" s="891"/>
      <c r="E61" s="896"/>
      <c r="F61" s="891"/>
      <c r="G61" s="896"/>
      <c r="H61" s="891"/>
      <c r="I61" s="896"/>
      <c r="J61" s="891"/>
      <c r="K61" s="896"/>
      <c r="L61" s="891"/>
      <c r="M61" s="896"/>
      <c r="N61" s="878"/>
      <c r="O61" s="896"/>
      <c r="P61" s="878"/>
      <c r="Q61" s="896"/>
      <c r="R61" s="878"/>
      <c r="S61" s="896"/>
      <c r="T61" s="878"/>
      <c r="U61" s="896"/>
      <c r="V61" s="878"/>
      <c r="W61" s="896"/>
      <c r="X61" s="878"/>
      <c r="Y61" s="896"/>
      <c r="Z61" s="878"/>
      <c r="AA61" s="896"/>
      <c r="AB61" s="878"/>
      <c r="AC61" s="878"/>
      <c r="AD61" s="878"/>
      <c r="AE61" s="1309"/>
      <c r="AF61" s="878"/>
      <c r="AG61" s="1309"/>
      <c r="AH61" s="878"/>
      <c r="AI61" s="953"/>
      <c r="AJ61" s="891"/>
    </row>
    <row r="62" spans="1:37">
      <c r="A62" s="885" t="s">
        <v>297</v>
      </c>
      <c r="B62" s="594"/>
      <c r="C62" s="942"/>
      <c r="D62" s="943"/>
      <c r="E62" s="942"/>
      <c r="F62" s="943"/>
      <c r="G62" s="942"/>
      <c r="H62" s="943"/>
      <c r="I62" s="942"/>
      <c r="J62" s="943"/>
      <c r="K62" s="942"/>
      <c r="L62" s="943"/>
      <c r="M62" s="942"/>
      <c r="N62" s="943"/>
      <c r="O62" s="942"/>
      <c r="P62" s="943"/>
      <c r="Q62" s="942"/>
      <c r="R62" s="943"/>
      <c r="S62" s="942"/>
      <c r="T62" s="943"/>
      <c r="U62" s="942"/>
      <c r="V62" s="943"/>
      <c r="W62" s="942"/>
      <c r="X62" s="943"/>
      <c r="Y62" s="942"/>
      <c r="Z62" s="943"/>
      <c r="AA62" s="942"/>
      <c r="AB62" s="943"/>
      <c r="AC62" s="943"/>
      <c r="AD62" s="943"/>
      <c r="AE62" s="960"/>
      <c r="AF62" s="943"/>
      <c r="AG62" s="960"/>
      <c r="AH62" s="943"/>
      <c r="AI62" s="957"/>
      <c r="AJ62" s="958"/>
      <c r="AK62" s="949"/>
    </row>
    <row r="63" spans="1:37">
      <c r="A63" s="886" t="s">
        <v>343</v>
      </c>
      <c r="B63" s="594" t="s">
        <v>110</v>
      </c>
      <c r="C63" s="942">
        <f>(SUMIFS('Minor Commodities - Q&amp;V'!$J$8:$J$250,'Minor Commodities - Q&amp;V'!$N$8:$N$250,LEFT('FY Q&amp;V 2003-04 to Now'!C$7,4),'Minor Commodities - Q&amp;V'!$O$8:$O$250,3)+
SUMIFS('Minor Commodities - Q&amp;V'!$J$8:$J$250,'Minor Commodities - Q&amp;V'!$N$8:$N$250,LEFT('FY Q&amp;V 2003-04 to Now'!C$7,4),'Minor Commodities - Q&amp;V'!$O$8:$O$250,4)+
SUMIFS('Minor Commodities - Q&amp;V'!$J$8:$J$250,'Minor Commodities - Q&amp;V'!$N$8:$N$250,CONCATENATE("20",RIGHT('FY Q&amp;V 2003-04 to Now'!C$7,2)),'Minor Commodities - Q&amp;V'!$O$8:$O$250,1)+
SUMIFS('Minor Commodities - Q&amp;V'!$J$8:$J$250,'Minor Commodities - Q&amp;V'!$N$8:$N$250,CONCATENATE("20",RIGHT('FY Q&amp;V 2003-04 to Now'!C$7,2)),'Minor Commodities - Q&amp;V'!$O$8:$O$250,2))*1000</f>
        <v>4673.7269999999999</v>
      </c>
      <c r="D63" s="943">
        <f>(SUMIFS('Minor Commodities - Q&amp;V'!$K$8:$K$250,'Minor Commodities - Q&amp;V'!$N$8:$N$250,LEFT('FY Q&amp;V 2003-04 to Now'!C$7,4),'Minor Commodities - Q&amp;V'!$O$8:$O$250,3)+
SUMIFS('Minor Commodities - Q&amp;V'!$K$8:$K$250,'Minor Commodities - Q&amp;V'!$N$8:$N$250,LEFT('FY Q&amp;V 2003-04 to Now'!C$7,4),'Minor Commodities - Q&amp;V'!$O$8:$O$250,4)+
SUMIFS('Minor Commodities - Q&amp;V'!$K$8:$K$250,'Minor Commodities - Q&amp;V'!$N$8:$N$250,CONCATENATE("20",RIGHT('FY Q&amp;V 2003-04 to Now'!C$7,2)),'Minor Commodities - Q&amp;V'!$O$8:$O$250,1)+
SUMIFS('Minor Commodities - Q&amp;V'!$K$8:$K$250,'Minor Commodities - Q&amp;V'!$N$8:$N$250,CONCATENATE("20",RIGHT('FY Q&amp;V 2003-04 to Now'!C$7,2)),'Minor Commodities - Q&amp;V'!$O$8:$O$250,2))*1000000</f>
        <v>214514960.00000003</v>
      </c>
      <c r="E63" s="942">
        <f>(SUMIFS('Minor Commodities - Q&amp;V'!$J$8:$J$250,'Minor Commodities - Q&amp;V'!$N$8:$N$250,LEFT('FY Q&amp;V 2003-04 to Now'!E$7,4),'Minor Commodities - Q&amp;V'!$O$8:$O$250,3)+
SUMIFS('Minor Commodities - Q&amp;V'!$J$8:$J$250,'Minor Commodities - Q&amp;V'!$N$8:$N$250,LEFT('FY Q&amp;V 2003-04 to Now'!E$7,4),'Minor Commodities - Q&amp;V'!$O$8:$O$250,4)+
SUMIFS('Minor Commodities - Q&amp;V'!$J$8:$J$250,'Minor Commodities - Q&amp;V'!$N$8:$N$250,CONCATENATE("20",RIGHT('FY Q&amp;V 2003-04 to Now'!E$7,2)),'Minor Commodities - Q&amp;V'!$O$8:$O$250,1)+
SUMIFS('Minor Commodities - Q&amp;V'!$J$8:$J$250,'Minor Commodities - Q&amp;V'!$N$8:$N$250,CONCATENATE("20",RIGHT('FY Q&amp;V 2003-04 to Now'!E$7,2)),'Minor Commodities - Q&amp;V'!$O$8:$O$250,2))*1000</f>
        <v>4338.49</v>
      </c>
      <c r="F63" s="943">
        <f>(SUMIFS('Minor Commodities - Q&amp;V'!$K$8:$K$250,'Minor Commodities - Q&amp;V'!$N$8:$N$250,LEFT('FY Q&amp;V 2003-04 to Now'!E$7,4),'Minor Commodities - Q&amp;V'!$O$8:$O$250,3)+
SUMIFS('Minor Commodities - Q&amp;V'!$K$8:$K$250,'Minor Commodities - Q&amp;V'!$N$8:$N$250,LEFT('FY Q&amp;V 2003-04 to Now'!E$7,4),'Minor Commodities - Q&amp;V'!$O$8:$O$250,4)+
SUMIFS('Minor Commodities - Q&amp;V'!$K$8:$K$250,'Minor Commodities - Q&amp;V'!$N$8:$N$250,CONCATENATE("20",RIGHT('FY Q&amp;V 2003-04 to Now'!E$7,2)),'Minor Commodities - Q&amp;V'!$O$8:$O$250,1)+
SUMIFS('Minor Commodities - Q&amp;V'!$K$8:$K$250,'Minor Commodities - Q&amp;V'!$N$8:$N$250,CONCATENATE("20",RIGHT('FY Q&amp;V 2003-04 to Now'!E$7,2)),'Minor Commodities - Q&amp;V'!$O$8:$O$250,2))*1000000</f>
        <v>203263544.00000003</v>
      </c>
      <c r="G63" s="942">
        <f>(SUMIFS('Minor Commodities - Q&amp;V'!$J$8:$J$250,'Minor Commodities - Q&amp;V'!$N$8:$N$250,LEFT('FY Q&amp;V 2003-04 to Now'!G$7,4),'Minor Commodities - Q&amp;V'!$O$8:$O$250,3)+
SUMIFS('Minor Commodities - Q&amp;V'!$J$8:$J$250,'Minor Commodities - Q&amp;V'!$N$8:$N$250,LEFT('FY Q&amp;V 2003-04 to Now'!G$7,4),'Minor Commodities - Q&amp;V'!$O$8:$O$250,4)+
SUMIFS('Minor Commodities - Q&amp;V'!$J$8:$J$250,'Minor Commodities - Q&amp;V'!$N$8:$N$250,CONCATENATE("20",RIGHT('FY Q&amp;V 2003-04 to Now'!G$7,2)),'Minor Commodities - Q&amp;V'!$O$8:$O$250,1)+
SUMIFS('Minor Commodities - Q&amp;V'!$J$8:$J$250,'Minor Commodities - Q&amp;V'!$N$8:$N$250,CONCATENATE("20",RIGHT('FY Q&amp;V 2003-04 to Now'!G$7,2)),'Minor Commodities - Q&amp;V'!$O$8:$O$250,2))*1000</f>
        <v>5029.3550000000005</v>
      </c>
      <c r="H63" s="943">
        <f>(SUMIFS('Minor Commodities - Q&amp;V'!$K$8:$K$250,'Minor Commodities - Q&amp;V'!$N$8:$N$250,LEFT('FY Q&amp;V 2003-04 to Now'!G$7,4),'Minor Commodities - Q&amp;V'!$O$8:$O$250,3)+
SUMIFS('Minor Commodities - Q&amp;V'!$K$8:$K$250,'Minor Commodities - Q&amp;V'!$N$8:$N$250,LEFT('FY Q&amp;V 2003-04 to Now'!G$7,4),'Minor Commodities - Q&amp;V'!$O$8:$O$250,4)+
SUMIFS('Minor Commodities - Q&amp;V'!$K$8:$K$250,'Minor Commodities - Q&amp;V'!$N$8:$N$250,CONCATENATE("20",RIGHT('FY Q&amp;V 2003-04 to Now'!G$7,2)),'Minor Commodities - Q&amp;V'!$O$8:$O$250,1)+
SUMIFS('Minor Commodities - Q&amp;V'!$K$8:$K$250,'Minor Commodities - Q&amp;V'!$N$8:$N$250,CONCATENATE("20",RIGHT('FY Q&amp;V 2003-04 to Now'!G$7,2)),'Minor Commodities - Q&amp;V'!$O$8:$O$250,2))*1000000</f>
        <v>184907807</v>
      </c>
      <c r="I63" s="942">
        <f>(SUMIFS('Minor Commodities - Q&amp;V'!$J$8:$J$250,'Minor Commodities - Q&amp;V'!$N$8:$N$250,LEFT('FY Q&amp;V 2003-04 to Now'!I$7,4),'Minor Commodities - Q&amp;V'!$O$8:$O$250,3)+
SUMIFS('Minor Commodities - Q&amp;V'!$J$8:$J$250,'Minor Commodities - Q&amp;V'!$N$8:$N$250,LEFT('FY Q&amp;V 2003-04 to Now'!I$7,4),'Minor Commodities - Q&amp;V'!$O$8:$O$250,4)+
SUMIFS('Minor Commodities - Q&amp;V'!$J$8:$J$250,'Minor Commodities - Q&amp;V'!$N$8:$N$250,CONCATENATE("20",RIGHT('FY Q&amp;V 2003-04 to Now'!I$7,2)),'Minor Commodities - Q&amp;V'!$O$8:$O$250,1)+
SUMIFS('Minor Commodities - Q&amp;V'!$J$8:$J$250,'Minor Commodities - Q&amp;V'!$N$8:$N$250,CONCATENATE("20",RIGHT('FY Q&amp;V 2003-04 to Now'!I$7,2)),'Minor Commodities - Q&amp;V'!$O$8:$O$250,2))*1000</f>
        <v>4656.7780000000002</v>
      </c>
      <c r="J63" s="943">
        <f>(SUMIFS('Minor Commodities - Q&amp;V'!$K$8:$K$250,'Minor Commodities - Q&amp;V'!$N$8:$N$250,LEFT('FY Q&amp;V 2003-04 to Now'!I$7,4),'Minor Commodities - Q&amp;V'!$O$8:$O$250,3)+
SUMIFS('Minor Commodities - Q&amp;V'!$K$8:$K$250,'Minor Commodities - Q&amp;V'!$N$8:$N$250,LEFT('FY Q&amp;V 2003-04 to Now'!I$7,4),'Minor Commodities - Q&amp;V'!$O$8:$O$250,4)+
SUMIFS('Minor Commodities - Q&amp;V'!$K$8:$K$250,'Minor Commodities - Q&amp;V'!$N$8:$N$250,CONCATENATE("20",RIGHT('FY Q&amp;V 2003-04 to Now'!I$7,2)),'Minor Commodities - Q&amp;V'!$O$8:$O$250,1)+
SUMIFS('Minor Commodities - Q&amp;V'!$K$8:$K$250,'Minor Commodities - Q&amp;V'!$N$8:$N$250,CONCATENATE("20",RIGHT('FY Q&amp;V 2003-04 to Now'!I$7,2)),'Minor Commodities - Q&amp;V'!$O$8:$O$250,2))*1000000</f>
        <v>277492827.00000006</v>
      </c>
      <c r="K63" s="942">
        <f>(SUMIFS('Minor Commodities - Q&amp;V'!$J$8:$J$250,'Minor Commodities - Q&amp;V'!$N$8:$N$250,LEFT('FY Q&amp;V 2003-04 to Now'!K$7,4),'Minor Commodities - Q&amp;V'!$O$8:$O$250,3)+
SUMIFS('Minor Commodities - Q&amp;V'!$J$8:$J$250,'Minor Commodities - Q&amp;V'!$N$8:$N$250,LEFT('FY Q&amp;V 2003-04 to Now'!K$7,4),'Minor Commodities - Q&amp;V'!$O$8:$O$250,4)+
SUMIFS('Minor Commodities - Q&amp;V'!$J$8:$J$250,'Minor Commodities - Q&amp;V'!$N$8:$N$250,CONCATENATE("20",RIGHT('FY Q&amp;V 2003-04 to Now'!K$7,2)),'Minor Commodities - Q&amp;V'!$O$8:$O$250,1)+
SUMIFS('Minor Commodities - Q&amp;V'!$J$8:$J$250,'Minor Commodities - Q&amp;V'!$N$8:$N$250,CONCATENATE("20",RIGHT('FY Q&amp;V 2003-04 to Now'!K$7,2)),'Minor Commodities - Q&amp;V'!$O$8:$O$250,2))*1000</f>
        <v>5072.831000000001</v>
      </c>
      <c r="L63" s="943">
        <f>(SUMIFS('Minor Commodities - Q&amp;V'!$K$8:$K$250,'Minor Commodities - Q&amp;V'!$N$8:$N$250,LEFT('FY Q&amp;V 2003-04 to Now'!K$7,4),'Minor Commodities - Q&amp;V'!$O$8:$O$250,3)+
SUMIFS('Minor Commodities - Q&amp;V'!$K$8:$K$250,'Minor Commodities - Q&amp;V'!$N$8:$N$250,LEFT('FY Q&amp;V 2003-04 to Now'!K$7,4),'Minor Commodities - Q&amp;V'!$O$8:$O$250,4)+
SUMIFS('Minor Commodities - Q&amp;V'!$K$8:$K$250,'Minor Commodities - Q&amp;V'!$N$8:$N$250,CONCATENATE("20",RIGHT('FY Q&amp;V 2003-04 to Now'!K$7,2)),'Minor Commodities - Q&amp;V'!$O$8:$O$250,1)+
SUMIFS('Minor Commodities - Q&amp;V'!$K$8:$K$250,'Minor Commodities - Q&amp;V'!$N$8:$N$250,CONCATENATE("20",RIGHT('FY Q&amp;V 2003-04 to Now'!K$7,2)),'Minor Commodities - Q&amp;V'!$O$8:$O$250,2))*1000000</f>
        <v>443055397</v>
      </c>
      <c r="M63" s="942">
        <f>(SUMIFS('Minor Commodities - Q&amp;V'!$J$8:$J$250,'Minor Commodities - Q&amp;V'!$N$8:$N$250,LEFT('FY Q&amp;V 2003-04 to Now'!M$7,4),'Minor Commodities - Q&amp;V'!$O$8:$O$250,3)+
SUMIFS('Minor Commodities - Q&amp;V'!$J$8:$J$250,'Minor Commodities - Q&amp;V'!$N$8:$N$250,LEFT('FY Q&amp;V 2003-04 to Now'!M$7,4),'Minor Commodities - Q&amp;V'!$O$8:$O$250,4)+
SUMIFS('Minor Commodities - Q&amp;V'!$J$8:$J$250,'Minor Commodities - Q&amp;V'!$N$8:$N$250,CONCATENATE("20",RIGHT('FY Q&amp;V 2003-04 to Now'!M$7,2)),'Minor Commodities - Q&amp;V'!$O$8:$O$250,1)+
SUMIFS('Minor Commodities - Q&amp;V'!$J$8:$J$250,'Minor Commodities - Q&amp;V'!$N$8:$N$250,CONCATENATE("20",RIGHT('FY Q&amp;V 2003-04 to Now'!M$7,2)),'Minor Commodities - Q&amp;V'!$O$8:$O$250,2))*1000</f>
        <v>4674.9679999999998</v>
      </c>
      <c r="N63" s="943">
        <f>(SUMIFS('Minor Commodities - Q&amp;V'!$K$8:$K$250,'Minor Commodities - Q&amp;V'!$N$8:$N$250,LEFT('FY Q&amp;V 2003-04 to Now'!M$7,4),'Minor Commodities - Q&amp;V'!$O$8:$O$250,3)+
SUMIFS('Minor Commodities - Q&amp;V'!$K$8:$K$250,'Minor Commodities - Q&amp;V'!$N$8:$N$250,LEFT('FY Q&amp;V 2003-04 to Now'!M$7,4),'Minor Commodities - Q&amp;V'!$O$8:$O$250,4)+
SUMIFS('Minor Commodities - Q&amp;V'!$K$8:$K$250,'Minor Commodities - Q&amp;V'!$N$8:$N$250,CONCATENATE("20",RIGHT('FY Q&amp;V 2003-04 to Now'!M$7,2)),'Minor Commodities - Q&amp;V'!$O$8:$O$250,1)+
SUMIFS('Minor Commodities - Q&amp;V'!$K$8:$K$250,'Minor Commodities - Q&amp;V'!$N$8:$N$250,CONCATENATE("20",RIGHT('FY Q&amp;V 2003-04 to Now'!M$7,2)),'Minor Commodities - Q&amp;V'!$O$8:$O$250,2))*1000000</f>
        <v>219071343.99999997</v>
      </c>
      <c r="O63" s="942">
        <f>(SUMIFS('Minor Commodities - Q&amp;V'!$J$8:$J$250,'Minor Commodities - Q&amp;V'!$N$8:$N$250,LEFT('FY Q&amp;V 2003-04 to Now'!O$7,4),'Minor Commodities - Q&amp;V'!$O$8:$O$250,3)+
SUMIFS('Minor Commodities - Q&amp;V'!$J$8:$J$250,'Minor Commodities - Q&amp;V'!$N$8:$N$250,LEFT('FY Q&amp;V 2003-04 to Now'!O$7,4),'Minor Commodities - Q&amp;V'!$O$8:$O$250,4)+
SUMIFS('Minor Commodities - Q&amp;V'!$J$8:$J$250,'Minor Commodities - Q&amp;V'!$N$8:$N$250,CONCATENATE("20",RIGHT('FY Q&amp;V 2003-04 to Now'!O$7,2)),'Minor Commodities - Q&amp;V'!$O$8:$O$250,1)+
SUMIFS('Minor Commodities - Q&amp;V'!$J$8:$J$250,'Minor Commodities - Q&amp;V'!$N$8:$N$250,CONCATENATE("20",RIGHT('FY Q&amp;V 2003-04 to Now'!O$7,2)),'Minor Commodities - Q&amp;V'!$O$8:$O$250,2))*1000</f>
        <v>4398.4319999999998</v>
      </c>
      <c r="P63" s="943">
        <f>(SUMIFS('Minor Commodities - Q&amp;V'!$K$8:$K$250,'Minor Commodities - Q&amp;V'!$N$8:$N$250,LEFT('FY Q&amp;V 2003-04 to Now'!O$7,4),'Minor Commodities - Q&amp;V'!$O$8:$O$250,3)+
SUMIFS('Minor Commodities - Q&amp;V'!$K$8:$K$250,'Minor Commodities - Q&amp;V'!$N$8:$N$250,LEFT('FY Q&amp;V 2003-04 to Now'!O$7,4),'Minor Commodities - Q&amp;V'!$O$8:$O$250,4)+
SUMIFS('Minor Commodities - Q&amp;V'!$K$8:$K$250,'Minor Commodities - Q&amp;V'!$N$8:$N$250,CONCATENATE("20",RIGHT('FY Q&amp;V 2003-04 to Now'!O$7,2)),'Minor Commodities - Q&amp;V'!$O$8:$O$250,1)+
SUMIFS('Minor Commodities - Q&amp;V'!$K$8:$K$250,'Minor Commodities - Q&amp;V'!$N$8:$N$250,CONCATENATE("20",RIGHT('FY Q&amp;V 2003-04 to Now'!O$7,2)),'Minor Commodities - Q&amp;V'!$O$8:$O$250,2))*1000000</f>
        <v>193325946</v>
      </c>
      <c r="Q63" s="942">
        <f>(SUMIFS('Minor Commodities - Q&amp;V'!$J$8:$J$250,'Minor Commodities - Q&amp;V'!$N$8:$N$250,LEFT('FY Q&amp;V 2003-04 to Now'!Q$7,4),'Minor Commodities - Q&amp;V'!$O$8:$O$250,3)+
SUMIFS('Minor Commodities - Q&amp;V'!$J$8:$J$250,'Minor Commodities - Q&amp;V'!$N$8:$N$250,LEFT('FY Q&amp;V 2003-04 to Now'!Q$7,4),'Minor Commodities - Q&amp;V'!$O$8:$O$250,4)+
SUMIFS('Minor Commodities - Q&amp;V'!$J$8:$J$250,'Minor Commodities - Q&amp;V'!$N$8:$N$250,CONCATENATE("20",RIGHT('FY Q&amp;V 2003-04 to Now'!Q$7,2)),'Minor Commodities - Q&amp;V'!$O$8:$O$250,1)+
SUMIFS('Minor Commodities - Q&amp;V'!$J$8:$J$250,'Minor Commodities - Q&amp;V'!$N$8:$N$250,CONCATENATE("20",RIGHT('FY Q&amp;V 2003-04 to Now'!Q$7,2)),'Minor Commodities - Q&amp;V'!$O$8:$O$250,2))*1000</f>
        <v>3767.152</v>
      </c>
      <c r="R63" s="943">
        <f>(SUMIFS('Minor Commodities - Q&amp;V'!$K$8:$K$250,'Minor Commodities - Q&amp;V'!$N$8:$N$250,LEFT('FY Q&amp;V 2003-04 to Now'!Q$7,4),'Minor Commodities - Q&amp;V'!$O$8:$O$250,3)+
SUMIFS('Minor Commodities - Q&amp;V'!$K$8:$K$250,'Minor Commodities - Q&amp;V'!$N$8:$N$250,LEFT('FY Q&amp;V 2003-04 to Now'!Q$7,4),'Minor Commodities - Q&amp;V'!$O$8:$O$250,4)+
SUMIFS('Minor Commodities - Q&amp;V'!$K$8:$K$250,'Minor Commodities - Q&amp;V'!$N$8:$N$250,CONCATENATE("20",RIGHT('FY Q&amp;V 2003-04 to Now'!Q$7,2)),'Minor Commodities - Q&amp;V'!$O$8:$O$250,1)+
SUMIFS('Minor Commodities - Q&amp;V'!$K$8:$K$250,'Minor Commodities - Q&amp;V'!$N$8:$N$250,CONCATENATE("20",RIGHT('FY Q&amp;V 2003-04 to Now'!Q$7,2)),'Minor Commodities - Q&amp;V'!$O$8:$O$250,2))*1000000</f>
        <v>146480315</v>
      </c>
      <c r="S63" s="942">
        <f>(SUMIFS('Minor Commodities - Q&amp;V'!$J$8:$J$250,'Minor Commodities - Q&amp;V'!$N$8:$N$250,LEFT('FY Q&amp;V 2003-04 to Now'!S$7,4),'Minor Commodities - Q&amp;V'!$O$8:$O$250,3)+
SUMIFS('Minor Commodities - Q&amp;V'!$J$8:$J$250,'Minor Commodities - Q&amp;V'!$N$8:$N$250,LEFT('FY Q&amp;V 2003-04 to Now'!S$7,4),'Minor Commodities - Q&amp;V'!$O$8:$O$250,4)+
SUMIFS('Minor Commodities - Q&amp;V'!$J$8:$J$250,'Minor Commodities - Q&amp;V'!$N$8:$N$250,CONCATENATE("20",RIGHT('FY Q&amp;V 2003-04 to Now'!S$7,2)),'Minor Commodities - Q&amp;V'!$O$8:$O$250,1)+
SUMIFS('Minor Commodities - Q&amp;V'!$J$8:$J$250,'Minor Commodities - Q&amp;V'!$N$8:$N$250,CONCATENATE("20",RIGHT('FY Q&amp;V 2003-04 to Now'!S$7,2)),'Minor Commodities - Q&amp;V'!$O$8:$O$250,2))*1000</f>
        <v>4950</v>
      </c>
      <c r="T63" s="943">
        <f>(SUMIFS('Minor Commodities - Q&amp;V'!$K$8:$K$250,'Minor Commodities - Q&amp;V'!$N$8:$N$250,LEFT('FY Q&amp;V 2003-04 to Now'!S$7,4),'Minor Commodities - Q&amp;V'!$O$8:$O$250,3)+
SUMIFS('Minor Commodities - Q&amp;V'!$K$8:$K$250,'Minor Commodities - Q&amp;V'!$N$8:$N$250,LEFT('FY Q&amp;V 2003-04 to Now'!S$7,4),'Minor Commodities - Q&amp;V'!$O$8:$O$250,4)+
SUMIFS('Minor Commodities - Q&amp;V'!$K$8:$K$250,'Minor Commodities - Q&amp;V'!$N$8:$N$250,CONCATENATE("20",RIGHT('FY Q&amp;V 2003-04 to Now'!S$7,2)),'Minor Commodities - Q&amp;V'!$O$8:$O$250,1)+
SUMIFS('Minor Commodities - Q&amp;V'!$K$8:$K$250,'Minor Commodities - Q&amp;V'!$N$8:$N$250,CONCATENATE("20",RIGHT('FY Q&amp;V 2003-04 to Now'!S$7,2)),'Minor Commodities - Q&amp;V'!$O$8:$O$250,2))*1000000</f>
        <v>143627595.99999997</v>
      </c>
      <c r="U63" s="942">
        <f>(SUMIFS('Minor Commodities - Q&amp;V'!$J$8:$J$250,'Minor Commodities - Q&amp;V'!$N$8:$N$250,LEFT('FY Q&amp;V 2003-04 to Now'!U$7,4),'Minor Commodities - Q&amp;V'!$O$8:$O$250,3)+
SUMIFS('Minor Commodities - Q&amp;V'!$J$8:$J$250,'Minor Commodities - Q&amp;V'!$N$8:$N$250,LEFT('FY Q&amp;V 2003-04 to Now'!U$7,4),'Minor Commodities - Q&amp;V'!$O$8:$O$250,4)+
SUMIFS('Minor Commodities - Q&amp;V'!$J$8:$J$250,'Minor Commodities - Q&amp;V'!$N$8:$N$250,CONCATENATE("20",RIGHT('FY Q&amp;V 2003-04 to Now'!U$7,2)),'Minor Commodities - Q&amp;V'!$O$8:$O$250,1)+
SUMIFS('Minor Commodities - Q&amp;V'!$J$8:$J$250,'Minor Commodities - Q&amp;V'!$N$8:$N$250,CONCATENATE("20",RIGHT('FY Q&amp;V 2003-04 to Now'!U$7,2)),'Minor Commodities - Q&amp;V'!$O$8:$O$250,2))*1000</f>
        <v>6200</v>
      </c>
      <c r="V63" s="943">
        <f>(SUMIFS('Minor Commodities - Q&amp;V'!$K$8:$K$250,'Minor Commodities - Q&amp;V'!$N$8:$N$250,LEFT('FY Q&amp;V 2003-04 to Now'!U$7,4),'Minor Commodities - Q&amp;V'!$O$8:$O$250,3)+
SUMIFS('Minor Commodities - Q&amp;V'!$K$8:$K$250,'Minor Commodities - Q&amp;V'!$N$8:$N$250,LEFT('FY Q&amp;V 2003-04 to Now'!U$7,4),'Minor Commodities - Q&amp;V'!$O$8:$O$250,4)+
SUMIFS('Minor Commodities - Q&amp;V'!$K$8:$K$250,'Minor Commodities - Q&amp;V'!$N$8:$N$250,CONCATENATE("20",RIGHT('FY Q&amp;V 2003-04 to Now'!U$7,2)),'Minor Commodities - Q&amp;V'!$O$8:$O$250,1)+
SUMIFS('Minor Commodities - Q&amp;V'!$K$8:$K$250,'Minor Commodities - Q&amp;V'!$N$8:$N$250,CONCATENATE("20",RIGHT('FY Q&amp;V 2003-04 to Now'!U$7,2)),'Minor Commodities - Q&amp;V'!$O$8:$O$250,2))*1000000</f>
        <v>159147804.99999997</v>
      </c>
      <c r="W63" s="942">
        <f>(SUMIFS('Minor Commodities - Q&amp;V'!$J$8:$J$250,'Minor Commodities - Q&amp;V'!$N$8:$N$250,LEFT('FY Q&amp;V 2003-04 to Now'!W$7,4),'Minor Commodities - Q&amp;V'!$O$8:$O$250,3)+
SUMIFS('Minor Commodities - Q&amp;V'!$J$8:$J$250,'Minor Commodities - Q&amp;V'!$N$8:$N$250,LEFT('FY Q&amp;V 2003-04 to Now'!W$7,4),'Minor Commodities - Q&amp;V'!$O$8:$O$250,4)+
SUMIFS('Minor Commodities - Q&amp;V'!$J$8:$J$250,'Minor Commodities - Q&amp;V'!$N$8:$N$250,CONCATENATE("20",RIGHT('FY Q&amp;V 2003-04 to Now'!W$7,2)),'Minor Commodities - Q&amp;V'!$O$8:$O$250,1)+
SUMIFS('Minor Commodities - Q&amp;V'!$J$8:$J$250,'Minor Commodities - Q&amp;V'!$N$8:$N$250,CONCATENATE("20",RIGHT('FY Q&amp;V 2003-04 to Now'!W$7,2)),'Minor Commodities - Q&amp;V'!$O$8:$O$250,2))*1000</f>
        <v>6235.884</v>
      </c>
      <c r="X63" s="943">
        <f>(SUMIFS('Minor Commodities - Q&amp;V'!$K$8:$K$250,'Minor Commodities - Q&amp;V'!$N$8:$N$250,LEFT('FY Q&amp;V 2003-04 to Now'!W$7,4),'Minor Commodities - Q&amp;V'!$O$8:$O$250,3)+
SUMIFS('Minor Commodities - Q&amp;V'!$K$8:$K$250,'Minor Commodities - Q&amp;V'!$N$8:$N$250,LEFT('FY Q&amp;V 2003-04 to Now'!W$7,4),'Minor Commodities - Q&amp;V'!$O$8:$O$250,4)+
SUMIFS('Minor Commodities - Q&amp;V'!$K$8:$K$250,'Minor Commodities - Q&amp;V'!$N$8:$N$250,CONCATENATE("20",RIGHT('FY Q&amp;V 2003-04 to Now'!W$7,2)),'Minor Commodities - Q&amp;V'!$O$8:$O$250,1)+
SUMIFS('Minor Commodities - Q&amp;V'!$K$8:$K$250,'Minor Commodities - Q&amp;V'!$N$8:$N$250,CONCATENATE("20",RIGHT('FY Q&amp;V 2003-04 to Now'!W$7,2)),'Minor Commodities - Q&amp;V'!$O$8:$O$250,2))*1000000</f>
        <v>175117787.99999997</v>
      </c>
      <c r="Y63" s="942">
        <f>(SUMIFS('Minor Commodities - Q&amp;V'!$J$8:$J$250,'Minor Commodities - Q&amp;V'!$N$8:$N$250,LEFT('FY Q&amp;V 2003-04 to Now'!Y$7,4),'Minor Commodities - Q&amp;V'!$O$8:$O$250,3)+
SUMIFS('Minor Commodities - Q&amp;V'!$J$8:$J$250,'Minor Commodities - Q&amp;V'!$N$8:$N$250,LEFT('FY Q&amp;V 2003-04 to Now'!Y$7,4),'Minor Commodities - Q&amp;V'!$O$8:$O$250,4)+
SUMIFS('Minor Commodities - Q&amp;V'!$J$8:$J$250,'Minor Commodities - Q&amp;V'!$N$8:$N$250,CONCATENATE("20",RIGHT('FY Q&amp;V 2003-04 to Now'!Y$7,2)),'Minor Commodities - Q&amp;V'!$O$8:$O$250,1)+
SUMIFS('Minor Commodities - Q&amp;V'!$J$8:$J$250,'Minor Commodities - Q&amp;V'!$N$8:$N$250,CONCATENATE("20",RIGHT('FY Q&amp;V 2003-04 to Now'!Y$7,2)),'Minor Commodities - Q&amp;V'!$O$8:$O$250,2))*1000</f>
        <v>6036.3409999999994</v>
      </c>
      <c r="Z63" s="943">
        <f>(SUMIFS('Minor Commodities - Q&amp;V'!$K$8:$K$250,'Minor Commodities - Q&amp;V'!$N$8:$N$250,LEFT('FY Q&amp;V 2003-04 to Now'!Y$7,4),'Minor Commodities - Q&amp;V'!$O$8:$O$250,3)+
SUMIFS('Minor Commodities - Q&amp;V'!$K$8:$K$250,'Minor Commodities - Q&amp;V'!$N$8:$N$250,LEFT('FY Q&amp;V 2003-04 to Now'!Y$7,4),'Minor Commodities - Q&amp;V'!$O$8:$O$250,4)+
SUMIFS('Minor Commodities - Q&amp;V'!$K$8:$K$250,'Minor Commodities - Q&amp;V'!$N$8:$N$250,CONCATENATE("20",RIGHT('FY Q&amp;V 2003-04 to Now'!Y$7,2)),'Minor Commodities - Q&amp;V'!$O$8:$O$250,1)+
SUMIFS('Minor Commodities - Q&amp;V'!$K$8:$K$250,'Minor Commodities - Q&amp;V'!$N$8:$N$250,CONCATENATE("20",RIGHT('FY Q&amp;V 2003-04 to Now'!Y$7,2)),'Minor Commodities - Q&amp;V'!$O$8:$O$250,2))*1000000</f>
        <v>210567512.00000003</v>
      </c>
      <c r="AA63" s="942">
        <f>(SUMIFS('Minor Commodities - Q&amp;V'!$J$8:$J$250,'Minor Commodities - Q&amp;V'!$N$8:$N$250,LEFT('FY Q&amp;V 2003-04 to Now'!AA$7,4),'Minor Commodities - Q&amp;V'!$O$8:$O$250,3)+
SUMIFS('Minor Commodities - Q&amp;V'!$J$8:$J$250,'Minor Commodities - Q&amp;V'!$N$8:$N$250,LEFT('FY Q&amp;V 2003-04 to Now'!AA$7,4),'Minor Commodities - Q&amp;V'!$O$8:$O$250,4)+
SUMIFS('Minor Commodities - Q&amp;V'!$J$8:$J$250,'Minor Commodities - Q&amp;V'!$N$8:$N$250,CONCATENATE("20",RIGHT('FY Q&amp;V 2003-04 to Now'!AA$7,2)),'Minor Commodities - Q&amp;V'!$O$8:$O$250,1)+
SUMIFS('Minor Commodities - Q&amp;V'!$J$8:$J$250,'Minor Commodities - Q&amp;V'!$N$8:$N$250,CONCATENATE("20",RIGHT('FY Q&amp;V 2003-04 to Now'!AA$7,2)),'Minor Commodities - Q&amp;V'!$O$8:$O$250,2))*1000</f>
        <v>5478.87</v>
      </c>
      <c r="AB63" s="943">
        <f>(SUMIFS('Minor Commodities - Q&amp;V'!$K$8:$K$250,'Minor Commodities - Q&amp;V'!$N$8:$N$250,LEFT('FY Q&amp;V 2003-04 to Now'!AA$7,4),'Minor Commodities - Q&amp;V'!$O$8:$O$250,3)+
SUMIFS('Minor Commodities - Q&amp;V'!$K$8:$K$250,'Minor Commodities - Q&amp;V'!$N$8:$N$250,LEFT('FY Q&amp;V 2003-04 to Now'!AA$7,4),'Minor Commodities - Q&amp;V'!$O$8:$O$250,4)+
SUMIFS('Minor Commodities - Q&amp;V'!$K$8:$K$250,'Minor Commodities - Q&amp;V'!$N$8:$N$250,CONCATENATE("20",RIGHT('FY Q&amp;V 2003-04 to Now'!AA$7,2)),'Minor Commodities - Q&amp;V'!$O$8:$O$250,1)+
SUMIFS('Minor Commodities - Q&amp;V'!$K$8:$K$250,'Minor Commodities - Q&amp;V'!$N$8:$N$250,CONCATENATE("20",RIGHT('FY Q&amp;V 2003-04 to Now'!AA$7,2)),'Minor Commodities - Q&amp;V'!$O$8:$O$250,2))*1000000</f>
        <v>174846826</v>
      </c>
      <c r="AC63" s="942">
        <f>(SUMIFS('Minor Commodities - Q&amp;V'!$J$8:$J$250,'Minor Commodities - Q&amp;V'!$N$8:$N$250,LEFT('FY Q&amp;V 2003-04 to Now'!AC$7,4),'Minor Commodities - Q&amp;V'!$O$8:$O$250,3)+
SUMIFS('Minor Commodities - Q&amp;V'!$J$8:$J$250,'Minor Commodities - Q&amp;V'!$N$8:$N$250,LEFT('FY Q&amp;V 2003-04 to Now'!AC$7,4),'Minor Commodities - Q&amp;V'!$O$8:$O$250,4)+
SUMIFS('Minor Commodities - Q&amp;V'!$J$8:$J$250,'Minor Commodities - Q&amp;V'!$N$8:$N$250,CONCATENATE("20",RIGHT('FY Q&amp;V 2003-04 to Now'!AC$7,2)),'Minor Commodities - Q&amp;V'!$O$8:$O$250,1)+
SUMIFS('Minor Commodities - Q&amp;V'!$J$8:$J$250,'Minor Commodities - Q&amp;V'!$N$8:$N$250,CONCATENATE("20",RIGHT('FY Q&amp;V 2003-04 to Now'!AC$7,2)),'Minor Commodities - Q&amp;V'!$O$8:$O$250,2))*1000</f>
        <v>4758.8490000000002</v>
      </c>
      <c r="AD63" s="943">
        <f>(SUMIFS('Minor Commodities - Q&amp;V'!$K$8:$K$250,'Minor Commodities - Q&amp;V'!$N$8:$N$250,LEFT('FY Q&amp;V 2003-04 to Now'!AC$7,4),'Minor Commodities - Q&amp;V'!$O$8:$O$250,3)+
SUMIFS('Minor Commodities - Q&amp;V'!$K$8:$K$250,'Minor Commodities - Q&amp;V'!$N$8:$N$250,LEFT('FY Q&amp;V 2003-04 to Now'!AC$7,4),'Minor Commodities - Q&amp;V'!$O$8:$O$250,4)+
SUMIFS('Minor Commodities - Q&amp;V'!$K$8:$K$250,'Minor Commodities - Q&amp;V'!$N$8:$N$250,CONCATENATE("20",RIGHT('FY Q&amp;V 2003-04 to Now'!AC$7,2)),'Minor Commodities - Q&amp;V'!$O$8:$O$250,1)+
SUMIFS('Minor Commodities - Q&amp;V'!$K$8:$K$250,'Minor Commodities - Q&amp;V'!$N$8:$N$250,CONCATENATE("20",RIGHT('FY Q&amp;V 2003-04 to Now'!AC$7,2)),'Minor Commodities - Q&amp;V'!$O$8:$O$250,2))*1000000</f>
        <v>239639935.00000003</v>
      </c>
      <c r="AE63" s="960">
        <f>(SUMIFS('Minor Commodities - Q&amp;V'!$J$8:$J$250,'Minor Commodities - Q&amp;V'!$N$8:$N$250,LEFT('FY Q&amp;V 2003-04 to Now'!AE$7,4),'Minor Commodities - Q&amp;V'!$O$8:$O$250,3)+
SUMIFS('Minor Commodities - Q&amp;V'!$J$8:$J$250,'Minor Commodities - Q&amp;V'!$N$8:$N$250,LEFT('FY Q&amp;V 2003-04 to Now'!AE$7,4),'Minor Commodities - Q&amp;V'!$O$8:$O$250,4)+
SUMIFS('Minor Commodities - Q&amp;V'!$J$8:$J$250,'Minor Commodities - Q&amp;V'!$N$8:$N$250,CONCATENATE("20",RIGHT('FY Q&amp;V 2003-04 to Now'!AE$7,2)),'Minor Commodities - Q&amp;V'!$O$8:$O$250,1)+
SUMIFS('Minor Commodities - Q&amp;V'!$J$8:$J$250,'Minor Commodities - Q&amp;V'!$N$8:$N$250,CONCATENATE("20",RIGHT('FY Q&amp;V 2003-04 to Now'!AE$7,2)),'Minor Commodities - Q&amp;V'!$O$8:$O$250,2))*1000</f>
        <v>5200.4849999999997</v>
      </c>
      <c r="AF63" s="943">
        <f>(SUMIFS('Minor Commodities - Q&amp;V'!$K$8:$K$250,'Minor Commodities - Q&amp;V'!$N$8:$N$250,LEFT('FY Q&amp;V 2003-04 to Now'!AE$7,4),'Minor Commodities - Q&amp;V'!$O$8:$O$250,3)+
SUMIFS('Minor Commodities - Q&amp;V'!$K$8:$K$250,'Minor Commodities - Q&amp;V'!$N$8:$N$250,LEFT('FY Q&amp;V 2003-04 to Now'!AE$7,4),'Minor Commodities - Q&amp;V'!$O$8:$O$250,4)+
SUMIFS('Minor Commodities - Q&amp;V'!$K$8:$K$250,'Minor Commodities - Q&amp;V'!$N$8:$N$250,CONCATENATE("20",RIGHT('FY Q&amp;V 2003-04 to Now'!AE$7,2)),'Minor Commodities - Q&amp;V'!$O$8:$O$250,1)+
SUMIFS('Minor Commodities - Q&amp;V'!$K$8:$K$250,'Minor Commodities - Q&amp;V'!$N$8:$N$250,CONCATENATE("20",RIGHT('FY Q&amp;V 2003-04 to Now'!AE$7,2)),'Minor Commodities - Q&amp;V'!$O$8:$O$250,2))*1000000</f>
        <v>510247330.00000006</v>
      </c>
      <c r="AG63" s="960">
        <f>(SUMIFS('Minor Commodities - Q&amp;V'!$J$8:$J$250,'Minor Commodities - Q&amp;V'!$N$8:$N$250,LEFT('FY Q&amp;V 2003-04 to Now'!AG$7,4),'Minor Commodities - Q&amp;V'!$O$8:$O$250,3)+
SUMIFS('Minor Commodities - Q&amp;V'!$J$8:$J$250,'Minor Commodities - Q&amp;V'!$N$8:$N$250,LEFT('FY Q&amp;V 2003-04 to Now'!AG$7,4),'Minor Commodities - Q&amp;V'!$O$8:$O$250,4)+
SUMIFS('Minor Commodities - Q&amp;V'!$J$8:$J$250,'Minor Commodities - Q&amp;V'!$N$8:$N$250,CONCATENATE("20",RIGHT('FY Q&amp;V 2003-04 to Now'!AG$7,2)),'Minor Commodities - Q&amp;V'!$O$8:$O$250,1)+
SUMIFS('Minor Commodities - Q&amp;V'!$J$8:$J$250,'Minor Commodities - Q&amp;V'!$N$8:$N$250,CONCATENATE("20",RIGHT('FY Q&amp;V 2003-04 to Now'!AG$7,2)),'Minor Commodities - Q&amp;V'!$O$8:$O$250,2))*1000</f>
        <v>5227.6230000000005</v>
      </c>
      <c r="AH63" s="943">
        <f>(SUMIFS('Minor Commodities - Q&amp;V'!$K$8:$K$250,'Minor Commodities - Q&amp;V'!$N$8:$N$250,LEFT('FY Q&amp;V 2003-04 to Now'!AG$7,4),'Minor Commodities - Q&amp;V'!$O$8:$O$250,3)+
SUMIFS('Minor Commodities - Q&amp;V'!$K$8:$K$250,'Minor Commodities - Q&amp;V'!$N$8:$N$250,LEFT('FY Q&amp;V 2003-04 to Now'!AG$7,4),'Minor Commodities - Q&amp;V'!$O$8:$O$250,4)+
SUMIFS('Minor Commodities - Q&amp;V'!$K$8:$K$250,'Minor Commodities - Q&amp;V'!$N$8:$N$250,CONCATENATE("20",RIGHT('FY Q&amp;V 2003-04 to Now'!AG$7,2)),'Minor Commodities - Q&amp;V'!$O$8:$O$250,1)+
SUMIFS('Minor Commodities - Q&amp;V'!$K$8:$K$250,'Minor Commodities - Q&amp;V'!$N$8:$N$250,CONCATENATE("20",RIGHT('FY Q&amp;V 2003-04 to Now'!AG$7,2)),'Minor Commodities - Q&amp;V'!$O$8:$O$250,2))*1000000</f>
        <v>332389018</v>
      </c>
      <c r="AI63" s="957">
        <f>SUMIF($C$9:AH$9,1,$C63:AH63)</f>
        <v>80699.785000000003</v>
      </c>
      <c r="AJ63" s="958">
        <f>SUMIF($C$9:AH$9,0,$C63:AH63)</f>
        <v>3827695950</v>
      </c>
      <c r="AK63" s="949"/>
    </row>
    <row r="64" spans="1:37">
      <c r="A64" s="886" t="s">
        <v>3</v>
      </c>
      <c r="B64" s="594" t="s">
        <v>110</v>
      </c>
      <c r="C64" s="942">
        <f>(SUMIFS('Nickel - Q&amp;V'!$B$8:$B$250,'Nickel - Q&amp;V'!$D$8:$D$250,LEFT('FY Q&amp;V 2003-04 to Now'!C$7:D$7,4),'Nickel - Q&amp;V'!$E$8:$E$250,3)+
SUMIFS('Nickel - Q&amp;V'!$B$8:$B$250,'Nickel - Q&amp;V'!$D$8:$D$250,LEFT('FY Q&amp;V 2003-04 to Now'!C$7:D$7,4),'Nickel - Q&amp;V'!$E$8:$E$250,4)+
SUMIFS('Nickel - Q&amp;V'!$B$8:$B$250,'Nickel - Q&amp;V'!$D$8:$D$250,CONCATENATE("20",RIGHT('FY Q&amp;V 2003-04 to Now'!C$7,2)),'Nickel - Q&amp;V'!$E$8:$E$250,1)+
SUMIFS('Nickel - Q&amp;V'!$B$8:$B$250,'Nickel - Q&amp;V'!$D$8:$D$250,CONCATENATE("20",RIGHT('FY Q&amp;V 2003-04 to Now'!C$7,2)),'Nickel - Q&amp;V'!$E$8:$E$250,2))*1000</f>
        <v>182605</v>
      </c>
      <c r="D64" s="943">
        <f>(SUMIFS('Nickel - Q&amp;V'!$C$8:$C$250,'Nickel - Q&amp;V'!$D$8:$D$250,LEFT('FY Q&amp;V 2003-04 to Now'!C$7,4),'Nickel - Q&amp;V'!$E$8:$E$250,3)+
SUMIFS('Nickel - Q&amp;V'!$C$8:$C$250,'Nickel - Q&amp;V'!$D$8:$D$250,LEFT('FY Q&amp;V 2003-04 to Now'!C$7,4),'Nickel - Q&amp;V'!$E$8:$E$250,4)+
SUMIFS('Nickel - Q&amp;V'!$C$8:$C$250,'Nickel - Q&amp;V'!$D$8:$D$250,CONCATENATE("20",RIGHT('FY Q&amp;V 2003-04 to Now'!C$7,2)),'Nickel - Q&amp;V'!$E$8:$E$250,1)+
SUMIFS('Nickel - Q&amp;V'!$C$8:$C$250,'Nickel - Q&amp;V'!$D$8:$D$250,CONCATENATE("20",RIGHT('FY Q&amp;V 2003-04 to Now'!C$7,2)),'Nickel - Q&amp;V'!$E$8:$E$250,2))*1000000</f>
        <v>3035937570</v>
      </c>
      <c r="E64" s="942">
        <f>(SUMIFS('Nickel - Q&amp;V'!$B$8:$B$250,'Nickel - Q&amp;V'!$D$8:$D$250,LEFT('FY Q&amp;V 2003-04 to Now'!E$7:F$7,4),'Nickel - Q&amp;V'!$E$8:$E$250,3)+
SUMIFS('Nickel - Q&amp;V'!$B$8:$B$250,'Nickel - Q&amp;V'!$D$8:$D$250,LEFT('FY Q&amp;V 2003-04 to Now'!E$7:F$7,4),'Nickel - Q&amp;V'!$E$8:$E$250,4)+
SUMIFS('Nickel - Q&amp;V'!$B$8:$B$250,'Nickel - Q&amp;V'!$D$8:$D$250,CONCATENATE("20",RIGHT('FY Q&amp;V 2003-04 to Now'!E$7,2)),'Nickel - Q&amp;V'!$E$8:$E$250,1)+
SUMIFS('Nickel - Q&amp;V'!$B$8:$B$250,'Nickel - Q&amp;V'!$D$8:$D$250,CONCATENATE("20",RIGHT('FY Q&amp;V 2003-04 to Now'!E$7,2)),'Nickel - Q&amp;V'!$E$8:$E$250,2))*1000</f>
        <v>180386</v>
      </c>
      <c r="F64" s="943">
        <f>(SUMIFS('Nickel - Q&amp;V'!$C$8:$C$250,'Nickel - Q&amp;V'!$D$8:$D$250,LEFT('FY Q&amp;V 2003-04 to Now'!E$7,4),'Nickel - Q&amp;V'!$E$8:$E$250,3)+
SUMIFS('Nickel - Q&amp;V'!$C$8:$C$250,'Nickel - Q&amp;V'!$D$8:$D$250,LEFT('FY Q&amp;V 2003-04 to Now'!E$7,4),'Nickel - Q&amp;V'!$E$8:$E$250,4)+
SUMIFS('Nickel - Q&amp;V'!$C$8:$C$250,'Nickel - Q&amp;V'!$D$8:$D$250,CONCATENATE("20",RIGHT('FY Q&amp;V 2003-04 to Now'!E$7,2)),'Nickel - Q&amp;V'!$E$8:$E$250,1)+
SUMIFS('Nickel - Q&amp;V'!$C$8:$C$250,'Nickel - Q&amp;V'!$D$8:$D$250,CONCATENATE("20",RIGHT('FY Q&amp;V 2003-04 to Now'!E$7,2)),'Nickel - Q&amp;V'!$E$8:$E$250,2))*1000000</f>
        <v>3501466609</v>
      </c>
      <c r="G64" s="942">
        <f>(SUMIFS('Nickel - Q&amp;V'!$B$8:$B$250,'Nickel - Q&amp;V'!$D$8:$D$250,LEFT('FY Q&amp;V 2003-04 to Now'!G$7:H$7,4),'Nickel - Q&amp;V'!$E$8:$E$250,3)+
SUMIFS('Nickel - Q&amp;V'!$B$8:$B$250,'Nickel - Q&amp;V'!$D$8:$D$250,LEFT('FY Q&amp;V 2003-04 to Now'!G$7:H$7,4),'Nickel - Q&amp;V'!$E$8:$E$250,4)+
SUMIFS('Nickel - Q&amp;V'!$B$8:$B$250,'Nickel - Q&amp;V'!$D$8:$D$250,CONCATENATE("20",RIGHT('FY Q&amp;V 2003-04 to Now'!G$7,2)),'Nickel - Q&amp;V'!$E$8:$E$250,1)+
SUMIFS('Nickel - Q&amp;V'!$B$8:$B$250,'Nickel - Q&amp;V'!$D$8:$D$250,CONCATENATE("20",RIGHT('FY Q&amp;V 2003-04 to Now'!G$7,2)),'Nickel - Q&amp;V'!$E$8:$E$250,2))*1000</f>
        <v>183572</v>
      </c>
      <c r="H64" s="943">
        <f>(SUMIFS('Nickel - Q&amp;V'!$C$8:$C$250,'Nickel - Q&amp;V'!$D$8:$D$250,LEFT('FY Q&amp;V 2003-04 to Now'!G$7,4),'Nickel - Q&amp;V'!$E$8:$E$250,3)+
SUMIFS('Nickel - Q&amp;V'!$C$8:$C$250,'Nickel - Q&amp;V'!$D$8:$D$250,LEFT('FY Q&amp;V 2003-04 to Now'!G$7,4),'Nickel - Q&amp;V'!$E$8:$E$250,4)+
SUMIFS('Nickel - Q&amp;V'!$C$8:$C$250,'Nickel - Q&amp;V'!$D$8:$D$250,CONCATENATE("20",RIGHT('FY Q&amp;V 2003-04 to Now'!G$7,2)),'Nickel - Q&amp;V'!$E$8:$E$250,1)+
SUMIFS('Nickel - Q&amp;V'!$C$8:$C$250,'Nickel - Q&amp;V'!$D$8:$D$250,CONCATENATE("20",RIGHT('FY Q&amp;V 2003-04 to Now'!G$7,2)),'Nickel - Q&amp;V'!$E$8:$E$250,2))*1000000</f>
        <v>3811452005</v>
      </c>
      <c r="I64" s="942">
        <f>(SUMIFS('Nickel - Q&amp;V'!$B$8:$B$250,'Nickel - Q&amp;V'!$D$8:$D$250,LEFT('FY Q&amp;V 2003-04 to Now'!I$7:J$7,4),'Nickel - Q&amp;V'!$E$8:$E$250,3)+
SUMIFS('Nickel - Q&amp;V'!$B$8:$B$250,'Nickel - Q&amp;V'!$D$8:$D$250,LEFT('FY Q&amp;V 2003-04 to Now'!I$7:J$7,4),'Nickel - Q&amp;V'!$E$8:$E$250,4)+
SUMIFS('Nickel - Q&amp;V'!$B$8:$B$250,'Nickel - Q&amp;V'!$D$8:$D$250,CONCATENATE("20",RIGHT('FY Q&amp;V 2003-04 to Now'!I$7,2)),'Nickel - Q&amp;V'!$E$8:$E$250,1)+
SUMIFS('Nickel - Q&amp;V'!$B$8:$B$250,'Nickel - Q&amp;V'!$D$8:$D$250,CONCATENATE("20",RIGHT('FY Q&amp;V 2003-04 to Now'!I$7,2)),'Nickel - Q&amp;V'!$E$8:$E$250,2))*1000</f>
        <v>173569</v>
      </c>
      <c r="J64" s="943">
        <f>(SUMIFS('Nickel - Q&amp;V'!$C$8:$C$250,'Nickel - Q&amp;V'!$D$8:$D$250,LEFT('FY Q&amp;V 2003-04 to Now'!I$7,4),'Nickel - Q&amp;V'!$E$8:$E$250,3)+
SUMIFS('Nickel - Q&amp;V'!$C$8:$C$250,'Nickel - Q&amp;V'!$D$8:$D$250,LEFT('FY Q&amp;V 2003-04 to Now'!I$7,4),'Nickel - Q&amp;V'!$E$8:$E$250,4)+
SUMIFS('Nickel - Q&amp;V'!$C$8:$C$250,'Nickel - Q&amp;V'!$D$8:$D$250,CONCATENATE("20",RIGHT('FY Q&amp;V 2003-04 to Now'!I$7,2)),'Nickel - Q&amp;V'!$E$8:$E$250,1)+
SUMIFS('Nickel - Q&amp;V'!$C$8:$C$250,'Nickel - Q&amp;V'!$D$8:$D$250,CONCATENATE("20",RIGHT('FY Q&amp;V 2003-04 to Now'!I$7,2)),'Nickel - Q&amp;V'!$E$8:$E$250,2))*1000000</f>
        <v>8059379171.000001</v>
      </c>
      <c r="K64" s="942">
        <f>(SUMIFS('Nickel - Q&amp;V'!$B$8:$B$250,'Nickel - Q&amp;V'!$D$8:$D$250,LEFT('FY Q&amp;V 2003-04 to Now'!K$7:L$7,4),'Nickel - Q&amp;V'!$E$8:$E$250,3)+
SUMIFS('Nickel - Q&amp;V'!$B$8:$B$250,'Nickel - Q&amp;V'!$D$8:$D$250,LEFT('FY Q&amp;V 2003-04 to Now'!K$7:L$7,4),'Nickel - Q&amp;V'!$E$8:$E$250,4)+
SUMIFS('Nickel - Q&amp;V'!$B$8:$B$250,'Nickel - Q&amp;V'!$D$8:$D$250,CONCATENATE("20",RIGHT('FY Q&amp;V 2003-04 to Now'!K$7,2)),'Nickel - Q&amp;V'!$E$8:$E$250,1)+
SUMIFS('Nickel - Q&amp;V'!$B$8:$B$250,'Nickel - Q&amp;V'!$D$8:$D$250,CONCATENATE("20",RIGHT('FY Q&amp;V 2003-04 to Now'!K$7,2)),'Nickel - Q&amp;V'!$E$8:$E$250,2))*1000</f>
        <v>172801</v>
      </c>
      <c r="L64" s="943">
        <f>(SUMIFS('Nickel - Q&amp;V'!$C$8:$C$250,'Nickel - Q&amp;V'!$D$8:$D$250,LEFT('FY Q&amp;V 2003-04 to Now'!K$7,4),'Nickel - Q&amp;V'!$E$8:$E$250,3)+
SUMIFS('Nickel - Q&amp;V'!$C$8:$C$250,'Nickel - Q&amp;V'!$D$8:$D$250,LEFT('FY Q&amp;V 2003-04 to Now'!K$7,4),'Nickel - Q&amp;V'!$E$8:$E$250,4)+
SUMIFS('Nickel - Q&amp;V'!$C$8:$C$250,'Nickel - Q&amp;V'!$D$8:$D$250,CONCATENATE("20",RIGHT('FY Q&amp;V 2003-04 to Now'!K$7,2)),'Nickel - Q&amp;V'!$E$8:$E$250,1)+
SUMIFS('Nickel - Q&amp;V'!$C$8:$C$250,'Nickel - Q&amp;V'!$D$8:$D$250,CONCATENATE("20",RIGHT('FY Q&amp;V 2003-04 to Now'!K$7,2)),'Nickel - Q&amp;V'!$E$8:$E$250,2))*1000000</f>
        <v>5143604739</v>
      </c>
      <c r="M64" s="942">
        <f>(SUMIFS('Nickel - Q&amp;V'!$B$8:$B$250,'Nickel - Q&amp;V'!$D$8:$D$250,LEFT('FY Q&amp;V 2003-04 to Now'!M$7:N$7,4),'Nickel - Q&amp;V'!$E$8:$E$250,3)+
SUMIFS('Nickel - Q&amp;V'!$B$8:$B$250,'Nickel - Q&amp;V'!$D$8:$D$250,LEFT('FY Q&amp;V 2003-04 to Now'!M$7:N$7,4),'Nickel - Q&amp;V'!$E$8:$E$250,4)+
SUMIFS('Nickel - Q&amp;V'!$B$8:$B$250,'Nickel - Q&amp;V'!$D$8:$D$250,CONCATENATE("20",RIGHT('FY Q&amp;V 2003-04 to Now'!M$7,2)),'Nickel - Q&amp;V'!$E$8:$E$250,1)+
SUMIFS('Nickel - Q&amp;V'!$B$8:$B$250,'Nickel - Q&amp;V'!$D$8:$D$250,CONCATENATE("20",RIGHT('FY Q&amp;V 2003-04 to Now'!M$7,2)),'Nickel - Q&amp;V'!$E$8:$E$250,2))*1000</f>
        <v>178365</v>
      </c>
      <c r="N64" s="943">
        <f>(SUMIFS('Nickel - Q&amp;V'!$C$8:$C$250,'Nickel - Q&amp;V'!$D$8:$D$250,LEFT('FY Q&amp;V 2003-04 to Now'!M$7,4),'Nickel - Q&amp;V'!$E$8:$E$250,3)+
SUMIFS('Nickel - Q&amp;V'!$C$8:$C$250,'Nickel - Q&amp;V'!$D$8:$D$250,LEFT('FY Q&amp;V 2003-04 to Now'!M$7,4),'Nickel - Q&amp;V'!$E$8:$E$250,4)+
SUMIFS('Nickel - Q&amp;V'!$C$8:$C$250,'Nickel - Q&amp;V'!$D$8:$D$250,CONCATENATE("20",RIGHT('FY Q&amp;V 2003-04 to Now'!M$7,2)),'Nickel - Q&amp;V'!$E$8:$E$250,1)+
SUMIFS('Nickel - Q&amp;V'!$C$8:$C$250,'Nickel - Q&amp;V'!$D$8:$D$250,CONCATENATE("20",RIGHT('FY Q&amp;V 2003-04 to Now'!M$7,2)),'Nickel - Q&amp;V'!$E$8:$E$250,2))*1000000</f>
        <v>2996908794</v>
      </c>
      <c r="O64" s="942">
        <f>(SUMIFS('Nickel - Q&amp;V'!$B$8:$B$250,'Nickel - Q&amp;V'!$D$8:$D$250,LEFT('FY Q&amp;V 2003-04 to Now'!O$7:P$7,4),'Nickel - Q&amp;V'!$E$8:$E$250,3)+
SUMIFS('Nickel - Q&amp;V'!$B$8:$B$250,'Nickel - Q&amp;V'!$D$8:$D$250,LEFT('FY Q&amp;V 2003-04 to Now'!O$7:P$7,4),'Nickel - Q&amp;V'!$E$8:$E$250,4)+
SUMIFS('Nickel - Q&amp;V'!$B$8:$B$250,'Nickel - Q&amp;V'!$D$8:$D$250,CONCATENATE("20",RIGHT('FY Q&amp;V 2003-04 to Now'!O$7,2)),'Nickel - Q&amp;V'!$E$8:$E$250,1)+
SUMIFS('Nickel - Q&amp;V'!$B$8:$B$250,'Nickel - Q&amp;V'!$D$8:$D$250,CONCATENATE("20",RIGHT('FY Q&amp;V 2003-04 to Now'!O$7,2)),'Nickel - Q&amp;V'!$E$8:$E$250,2))*1000</f>
        <v>180152</v>
      </c>
      <c r="P64" s="943">
        <f>(SUMIFS('Nickel - Q&amp;V'!$C$8:$C$250,'Nickel - Q&amp;V'!$D$8:$D$250,LEFT('FY Q&amp;V 2003-04 to Now'!O$7,4),'Nickel - Q&amp;V'!$E$8:$E$250,3)+
SUMIFS('Nickel - Q&amp;V'!$C$8:$C$250,'Nickel - Q&amp;V'!$D$8:$D$250,LEFT('FY Q&amp;V 2003-04 to Now'!O$7,4),'Nickel - Q&amp;V'!$E$8:$E$250,4)+
SUMIFS('Nickel - Q&amp;V'!$C$8:$C$250,'Nickel - Q&amp;V'!$D$8:$D$250,CONCATENATE("20",RIGHT('FY Q&amp;V 2003-04 to Now'!O$7,2)),'Nickel - Q&amp;V'!$E$8:$E$250,1)+
SUMIFS('Nickel - Q&amp;V'!$C$8:$C$250,'Nickel - Q&amp;V'!$D$8:$D$250,CONCATENATE("20",RIGHT('FY Q&amp;V 2003-04 to Now'!O$7,2)),'Nickel - Q&amp;V'!$E$8:$E$250,2))*1000000</f>
        <v>3976771528.9999995</v>
      </c>
      <c r="Q64" s="942">
        <f>(SUMIFS('Nickel - Q&amp;V'!$B$8:$B$250,'Nickel - Q&amp;V'!$D$8:$D$250,LEFT('FY Q&amp;V 2003-04 to Now'!Q$7:R$7,4),'Nickel - Q&amp;V'!$E$8:$E$250,3)+
SUMIFS('Nickel - Q&amp;V'!$B$8:$B$250,'Nickel - Q&amp;V'!$D$8:$D$250,LEFT('FY Q&amp;V 2003-04 to Now'!Q$7:R$7,4),'Nickel - Q&amp;V'!$E$8:$E$250,4)+
SUMIFS('Nickel - Q&amp;V'!$B$8:$B$250,'Nickel - Q&amp;V'!$D$8:$D$250,CONCATENATE("20",RIGHT('FY Q&amp;V 2003-04 to Now'!Q$7,2)),'Nickel - Q&amp;V'!$E$8:$E$250,1)+
SUMIFS('Nickel - Q&amp;V'!$B$8:$B$250,'Nickel - Q&amp;V'!$D$8:$D$250,CONCATENATE("20",RIGHT('FY Q&amp;V 2003-04 to Now'!Q$7,2)),'Nickel - Q&amp;V'!$E$8:$E$250,2))*1000</f>
        <v>194177.00000000003</v>
      </c>
      <c r="R64" s="943">
        <f>(SUMIFS('Nickel - Q&amp;V'!$C$8:$C$250,'Nickel - Q&amp;V'!$D$8:$D$250,LEFT('FY Q&amp;V 2003-04 to Now'!Q$7,4),'Nickel - Q&amp;V'!$E$8:$E$250,3)+
SUMIFS('Nickel - Q&amp;V'!$C$8:$C$250,'Nickel - Q&amp;V'!$D$8:$D$250,LEFT('FY Q&amp;V 2003-04 to Now'!Q$7,4),'Nickel - Q&amp;V'!$E$8:$E$250,4)+
SUMIFS('Nickel - Q&amp;V'!$C$8:$C$250,'Nickel - Q&amp;V'!$D$8:$D$250,CONCATENATE("20",RIGHT('FY Q&amp;V 2003-04 to Now'!Q$7,2)),'Nickel - Q&amp;V'!$E$8:$E$250,1)+
SUMIFS('Nickel - Q&amp;V'!$C$8:$C$250,'Nickel - Q&amp;V'!$D$8:$D$250,CONCATENATE("20",RIGHT('FY Q&amp;V 2003-04 to Now'!Q$7,2)),'Nickel - Q&amp;V'!$E$8:$E$250,2))*1000000</f>
        <v>4686173467</v>
      </c>
      <c r="S64" s="942">
        <f>(SUMIFS('Nickel - Q&amp;V'!$B$8:$B$250,'Nickel - Q&amp;V'!$D$8:$D$250,LEFT('FY Q&amp;V 2003-04 to Now'!S$7:T$7,4),'Nickel - Q&amp;V'!$E$8:$E$250,3)+
SUMIFS('Nickel - Q&amp;V'!$B$8:$B$250,'Nickel - Q&amp;V'!$D$8:$D$250,LEFT('FY Q&amp;V 2003-04 to Now'!S$7:T$7,4),'Nickel - Q&amp;V'!$E$8:$E$250,4)+
SUMIFS('Nickel - Q&amp;V'!$B$8:$B$250,'Nickel - Q&amp;V'!$D$8:$D$250,CONCATENATE("20",RIGHT('FY Q&amp;V 2003-04 to Now'!S$7,2)),'Nickel - Q&amp;V'!$E$8:$E$250,1)+
SUMIFS('Nickel - Q&amp;V'!$B$8:$B$250,'Nickel - Q&amp;V'!$D$8:$D$250,CONCATENATE("20",RIGHT('FY Q&amp;V 2003-04 to Now'!S$7,2)),'Nickel - Q&amp;V'!$E$8:$E$250,2))*1000</f>
        <v>209369.76440000001</v>
      </c>
      <c r="T64" s="943">
        <f>(SUMIFS('Nickel - Q&amp;V'!$C$8:$C$250,'Nickel - Q&amp;V'!$D$8:$D$250,LEFT('FY Q&amp;V 2003-04 to Now'!S$7,4),'Nickel - Q&amp;V'!$E$8:$E$250,3)+
SUMIFS('Nickel - Q&amp;V'!$C$8:$C$250,'Nickel - Q&amp;V'!$D$8:$D$250,LEFT('FY Q&amp;V 2003-04 to Now'!S$7,4),'Nickel - Q&amp;V'!$E$8:$E$250,4)+
SUMIFS('Nickel - Q&amp;V'!$C$8:$C$250,'Nickel - Q&amp;V'!$D$8:$D$250,CONCATENATE("20",RIGHT('FY Q&amp;V 2003-04 to Now'!S$7,2)),'Nickel - Q&amp;V'!$E$8:$E$250,1)+
SUMIFS('Nickel - Q&amp;V'!$C$8:$C$250,'Nickel - Q&amp;V'!$D$8:$D$250,CONCATENATE("20",RIGHT('FY Q&amp;V 2003-04 to Now'!S$7,2)),'Nickel - Q&amp;V'!$E$8:$E$250,2))*1000000</f>
        <v>3721964396.23</v>
      </c>
      <c r="U64" s="942">
        <f>(SUMIFS('Nickel - Q&amp;V'!$B$8:$B$250,'Nickel - Q&amp;V'!$D$8:$D$250,LEFT('FY Q&amp;V 2003-04 to Now'!U$7:V$7,4),'Nickel - Q&amp;V'!$E$8:$E$250,3)+
SUMIFS('Nickel - Q&amp;V'!$B$8:$B$250,'Nickel - Q&amp;V'!$D$8:$D$250,LEFT('FY Q&amp;V 2003-04 to Now'!U$7:V$7,4),'Nickel - Q&amp;V'!$E$8:$E$250,4)+
SUMIFS('Nickel - Q&amp;V'!$B$8:$B$250,'Nickel - Q&amp;V'!$D$8:$D$250,CONCATENATE("20",RIGHT('FY Q&amp;V 2003-04 to Now'!U$7,2)),'Nickel - Q&amp;V'!$E$8:$E$250,1)+
SUMIFS('Nickel - Q&amp;V'!$B$8:$B$250,'Nickel - Q&amp;V'!$D$8:$D$250,CONCATENATE("20",RIGHT('FY Q&amp;V 2003-04 to Now'!U$7,2)),'Nickel - Q&amp;V'!$E$8:$E$250,2))*1000</f>
        <v>227463.33595740909</v>
      </c>
      <c r="V64" s="943">
        <f>(SUMIFS('Nickel - Q&amp;V'!$C$8:$C$250,'Nickel - Q&amp;V'!$D$8:$D$250,LEFT('FY Q&amp;V 2003-04 to Now'!U$7,4),'Nickel - Q&amp;V'!$E$8:$E$250,3)+
SUMIFS('Nickel - Q&amp;V'!$C$8:$C$250,'Nickel - Q&amp;V'!$D$8:$D$250,LEFT('FY Q&amp;V 2003-04 to Now'!U$7,4),'Nickel - Q&amp;V'!$E$8:$E$250,4)+
SUMIFS('Nickel - Q&amp;V'!$C$8:$C$250,'Nickel - Q&amp;V'!$D$8:$D$250,CONCATENATE("20",RIGHT('FY Q&amp;V 2003-04 to Now'!U$7,2)),'Nickel - Q&amp;V'!$E$8:$E$250,1)+
SUMIFS('Nickel - Q&amp;V'!$C$8:$C$250,'Nickel - Q&amp;V'!$D$8:$D$250,CONCATENATE("20",RIGHT('FY Q&amp;V 2003-04 to Now'!U$7,2)),'Nickel - Q&amp;V'!$E$8:$E$250,2))*1000000</f>
        <v>3511711762.3099999</v>
      </c>
      <c r="W64" s="942">
        <f>(SUMIFS('Nickel - Q&amp;V'!$B$8:$B$250,'Nickel - Q&amp;V'!$D$8:$D$250,LEFT('FY Q&amp;V 2003-04 to Now'!W$7:X$7,4),'Nickel - Q&amp;V'!$E$8:$E$250,3)+
SUMIFS('Nickel - Q&amp;V'!$B$8:$B$250,'Nickel - Q&amp;V'!$D$8:$D$250,LEFT('FY Q&amp;V 2003-04 to Now'!W$7:X$7,4),'Nickel - Q&amp;V'!$E$8:$E$250,4)+
SUMIFS('Nickel - Q&amp;V'!$B$8:$B$250,'Nickel - Q&amp;V'!$D$8:$D$250,CONCATENATE("20",RIGHT('FY Q&amp;V 2003-04 to Now'!W$7,2)),'Nickel - Q&amp;V'!$E$8:$E$250,1)+
SUMIFS('Nickel - Q&amp;V'!$B$8:$B$250,'Nickel - Q&amp;V'!$D$8:$D$250,CONCATENATE("20",RIGHT('FY Q&amp;V 2003-04 to Now'!W$7,2)),'Nickel - Q&amp;V'!$E$8:$E$250,2))*1000</f>
        <v>232672.758</v>
      </c>
      <c r="X64" s="943">
        <f>(SUMIFS('Nickel - Q&amp;V'!$C$8:$C$250,'Nickel - Q&amp;V'!$D$8:$D$250,LEFT('FY Q&amp;V 2003-04 to Now'!W$7,4),'Nickel - Q&amp;V'!$E$8:$E$250,3)+
SUMIFS('Nickel - Q&amp;V'!$C$8:$C$250,'Nickel - Q&amp;V'!$D$8:$D$250,LEFT('FY Q&amp;V 2003-04 to Now'!W$7,4),'Nickel - Q&amp;V'!$E$8:$E$250,4)+
SUMIFS('Nickel - Q&amp;V'!$C$8:$C$250,'Nickel - Q&amp;V'!$D$8:$D$250,CONCATENATE("20",RIGHT('FY Q&amp;V 2003-04 to Now'!W$7,2)),'Nickel - Q&amp;V'!$E$8:$E$250,1)+
SUMIFS('Nickel - Q&amp;V'!$C$8:$C$250,'Nickel - Q&amp;V'!$D$8:$D$250,CONCATENATE("20",RIGHT('FY Q&amp;V 2003-04 to Now'!W$7,2)),'Nickel - Q&amp;V'!$E$8:$E$250,2))*1000000</f>
        <v>3419023120.0000005</v>
      </c>
      <c r="Y64" s="942">
        <f>(SUMIFS('Nickel - Q&amp;V'!$B$8:$B$250,'Nickel - Q&amp;V'!$D$8:$D$250,LEFT('FY Q&amp;V 2003-04 to Now'!Y$7:Z$7,4),'Nickel - Q&amp;V'!$E$8:$E$250,3)+
SUMIFS('Nickel - Q&amp;V'!$B$8:$B$250,'Nickel - Q&amp;V'!$D$8:$D$250,LEFT('FY Q&amp;V 2003-04 to Now'!Y$7:Z$7,4),'Nickel - Q&amp;V'!$E$8:$E$250,4)+
SUMIFS('Nickel - Q&amp;V'!$B$8:$B$250,'Nickel - Q&amp;V'!$D$8:$D$250,CONCATENATE("20",RIGHT('FY Q&amp;V 2003-04 to Now'!Y$7,2)),'Nickel - Q&amp;V'!$E$8:$E$250,1)+
SUMIFS('Nickel - Q&amp;V'!$B$8:$B$250,'Nickel - Q&amp;V'!$D$8:$D$250,CONCATENATE("20",RIGHT('FY Q&amp;V 2003-04 to Now'!Y$7,2)),'Nickel - Q&amp;V'!$E$8:$E$250,2))*1000</f>
        <v>183319.95199999999</v>
      </c>
      <c r="Z64" s="943">
        <f>(SUMIFS('Nickel - Q&amp;V'!$C$8:$C$250,'Nickel - Q&amp;V'!$D$8:$D$250,LEFT('FY Q&amp;V 2003-04 to Now'!Y$7,4),'Nickel - Q&amp;V'!$E$8:$E$250,3)+
SUMIFS('Nickel - Q&amp;V'!$C$8:$C$250,'Nickel - Q&amp;V'!$D$8:$D$250,LEFT('FY Q&amp;V 2003-04 to Now'!Y$7,4),'Nickel - Q&amp;V'!$E$8:$E$250,4)+
SUMIFS('Nickel - Q&amp;V'!$C$8:$C$250,'Nickel - Q&amp;V'!$D$8:$D$250,CONCATENATE("20",RIGHT('FY Q&amp;V 2003-04 to Now'!Y$7,2)),'Nickel - Q&amp;V'!$E$8:$E$250,1)+
SUMIFS('Nickel - Q&amp;V'!$C$8:$C$250,'Nickel - Q&amp;V'!$D$8:$D$250,CONCATENATE("20",RIGHT('FY Q&amp;V 2003-04 to Now'!Y$7,2)),'Nickel - Q&amp;V'!$E$8:$E$250,2))*1000000</f>
        <v>3169605001</v>
      </c>
      <c r="AA64" s="942">
        <f>(SUMIFS('Nickel - Q&amp;V'!$B$8:$B$250,'Nickel - Q&amp;V'!$D$8:$D$250,LEFT('FY Q&amp;V 2003-04 to Now'!AA$7:AB$7,4),'Nickel - Q&amp;V'!$E$8:$E$250,3)+
SUMIFS('Nickel - Q&amp;V'!$B$8:$B$250,'Nickel - Q&amp;V'!$D$8:$D$250,LEFT('FY Q&amp;V 2003-04 to Now'!AA$7:AB$7,4),'Nickel - Q&amp;V'!$E$8:$E$250,4)+
SUMIFS('Nickel - Q&amp;V'!$B$8:$B$250,'Nickel - Q&amp;V'!$D$8:$D$250,CONCATENATE("20",RIGHT('FY Q&amp;V 2003-04 to Now'!AA$7,2)),'Nickel - Q&amp;V'!$E$8:$E$250,1)+
SUMIFS('Nickel - Q&amp;V'!$B$8:$B$250,'Nickel - Q&amp;V'!$D$8:$D$250,CONCATENATE("20",RIGHT('FY Q&amp;V 2003-04 to Now'!AA$7,2)),'Nickel - Q&amp;V'!$E$8:$E$250,2))*1000</f>
        <v>175751.53100000002</v>
      </c>
      <c r="AB64" s="943">
        <f>(SUMIFS('Nickel - Q&amp;V'!$C$8:$C$250,'Nickel - Q&amp;V'!$D$8:$D$250,LEFT('FY Q&amp;V 2003-04 to Now'!AA$7,4),'Nickel - Q&amp;V'!$E$8:$E$250,3)+
SUMIFS('Nickel - Q&amp;V'!$C$8:$C$250,'Nickel - Q&amp;V'!$D$8:$D$250,LEFT('FY Q&amp;V 2003-04 to Now'!AA$7,4),'Nickel - Q&amp;V'!$E$8:$E$250,4)+
SUMIFS('Nickel - Q&amp;V'!$C$8:$C$250,'Nickel - Q&amp;V'!$D$8:$D$250,CONCATENATE("20",RIGHT('FY Q&amp;V 2003-04 to Now'!AA$7,2)),'Nickel - Q&amp;V'!$E$8:$E$250,1)+
SUMIFS('Nickel - Q&amp;V'!$C$8:$C$250,'Nickel - Q&amp;V'!$D$8:$D$250,CONCATENATE("20",RIGHT('FY Q&amp;V 2003-04 to Now'!AA$7,2)),'Nickel - Q&amp;V'!$E$8:$E$250,2))*1000000</f>
        <v>2202734451</v>
      </c>
      <c r="AC64" s="942">
        <f>(SUMIFS('Nickel - Q&amp;V'!$B$8:$B$250,'Nickel - Q&amp;V'!$D$8:$D$250,LEFT('FY Q&amp;V 2003-04 to Now'!AC$7:AD$7,4),'Nickel - Q&amp;V'!$E$8:$E$250,3)+
SUMIFS('Nickel - Q&amp;V'!$B$8:$B$250,'Nickel - Q&amp;V'!$D$8:$D$250,LEFT('FY Q&amp;V 2003-04 to Now'!AC$7:AD$7,4),'Nickel - Q&amp;V'!$E$8:$E$250,4)+
SUMIFS('Nickel - Q&amp;V'!$B$8:$B$250,'Nickel - Q&amp;V'!$D$8:$D$250,CONCATENATE("20",RIGHT('FY Q&amp;V 2003-04 to Now'!AC$7,2)),'Nickel - Q&amp;V'!$E$8:$E$250,1)+
SUMIFS('Nickel - Q&amp;V'!$B$8:$B$250,'Nickel - Q&amp;V'!$D$8:$D$250,CONCATENATE("20",RIGHT('FY Q&amp;V 2003-04 to Now'!AC$7,2)),'Nickel - Q&amp;V'!$E$8:$E$250,2))*1000</f>
        <v>157564.31399999998</v>
      </c>
      <c r="AD64" s="943">
        <f>(SUMIFS('Nickel - Q&amp;V'!$C$8:$C$250,'Nickel - Q&amp;V'!$D$8:$D$250,LEFT('FY Q&amp;V 2003-04 to Now'!AC$7,4),'Nickel - Q&amp;V'!$E$8:$E$250,3)+
SUMIFS('Nickel - Q&amp;V'!$C$8:$C$250,'Nickel - Q&amp;V'!$D$8:$D$250,LEFT('FY Q&amp;V 2003-04 to Now'!AC$7,4),'Nickel - Q&amp;V'!$E$8:$E$250,4)+
SUMIFS('Nickel - Q&amp;V'!$C$8:$C$250,'Nickel - Q&amp;V'!$D$8:$D$250,CONCATENATE("20",RIGHT('FY Q&amp;V 2003-04 to Now'!AC$7,2)),'Nickel - Q&amp;V'!$E$8:$E$250,1)+
SUMIFS('Nickel - Q&amp;V'!$C$8:$C$250,'Nickel - Q&amp;V'!$D$8:$D$250,CONCATENATE("20",RIGHT('FY Q&amp;V 2003-04 to Now'!AC$7,2)),'Nickel - Q&amp;V'!$E$8:$E$250,2))*1000000</f>
        <v>2094500242</v>
      </c>
      <c r="AE64" s="960">
        <f>(SUMIFS('Nickel - Q&amp;V'!$B$8:$B$250,'Nickel - Q&amp;V'!$D$8:$D$250,LEFT('FY Q&amp;V 2003-04 to Now'!AE$7:AF$7,4),'Nickel - Q&amp;V'!$E$8:$E$250,3)+
SUMIFS('Nickel - Q&amp;V'!$B$8:$B$250,'Nickel - Q&amp;V'!$D$8:$D$250,LEFT('FY Q&amp;V 2003-04 to Now'!AE$7:AF$7,4),'Nickel - Q&amp;V'!$E$8:$E$250,4)+
SUMIFS('Nickel - Q&amp;V'!$B$8:$B$250,'Nickel - Q&amp;V'!$D$8:$D$250,CONCATENATE("20",RIGHT('FY Q&amp;V 2003-04 to Now'!AE$7,2)),'Nickel - Q&amp;V'!$E$8:$E$250,1)+
SUMIFS('Nickel - Q&amp;V'!$B$8:$B$250,'Nickel - Q&amp;V'!$D$8:$D$250,CONCATENATE("20",RIGHT('FY Q&amp;V 2003-04 to Now'!AE$7,2)),'Nickel - Q&amp;V'!$E$8:$E$250,2))*1000</f>
        <v>163373.53200000001</v>
      </c>
      <c r="AF64" s="943">
        <f>(SUMIFS('Nickel - Q&amp;V'!$C$8:$C$250,'Nickel - Q&amp;V'!$D$8:$D$250,LEFT('FY Q&amp;V 2003-04 to Now'!AE$7,4),'Nickel - Q&amp;V'!$E$8:$E$250,3)+
SUMIFS('Nickel - Q&amp;V'!$C$8:$C$250,'Nickel - Q&amp;V'!$D$8:$D$250,LEFT('FY Q&amp;V 2003-04 to Now'!AE$7,4),'Nickel - Q&amp;V'!$E$8:$E$250,4)+
SUMIFS('Nickel - Q&amp;V'!$C$8:$C$250,'Nickel - Q&amp;V'!$D$8:$D$250,CONCATENATE("20",RIGHT('FY Q&amp;V 2003-04 to Now'!AE$7,2)),'Nickel - Q&amp;V'!$E$8:$E$250,1)+
SUMIFS('Nickel - Q&amp;V'!$C$8:$C$250,'Nickel - Q&amp;V'!$D$8:$D$250,CONCATENATE("20",RIGHT('FY Q&amp;V 2003-04 to Now'!AE$7,2)),'Nickel - Q&amp;V'!$E$8:$E$250,2))*1000000</f>
        <v>2635829872.0000005</v>
      </c>
      <c r="AG64" s="960">
        <f>(SUMIFS('Nickel - Q&amp;V'!$B$8:$B$250,'Nickel - Q&amp;V'!$D$8:$D$250,LEFT('FY Q&amp;V 2003-04 to Now'!AG$7:AH$7,4),'Nickel - Q&amp;V'!$E$8:$E$250,3)+
SUMIFS('Nickel - Q&amp;V'!$B$8:$B$250,'Nickel - Q&amp;V'!$D$8:$D$250,LEFT('FY Q&amp;V 2003-04 to Now'!AG$7:AH$7,4),'Nickel - Q&amp;V'!$E$8:$E$250,4)+
SUMIFS('Nickel - Q&amp;V'!$B$8:$B$250,'Nickel - Q&amp;V'!$D$8:$D$250,CONCATENATE("20",RIGHT('FY Q&amp;V 2003-04 to Now'!AG$7,2)),'Nickel - Q&amp;V'!$E$8:$E$250,1)+
SUMIFS('Nickel - Q&amp;V'!$B$8:$B$250,'Nickel - Q&amp;V'!$D$8:$D$250,CONCATENATE("20",RIGHT('FY Q&amp;V 2003-04 to Now'!AG$7,2)),'Nickel - Q&amp;V'!$E$8:$E$250,2))*1000</f>
        <v>154383.46799999999</v>
      </c>
      <c r="AH64" s="943">
        <f>(SUMIFS('Nickel - Q&amp;V'!$C$8:$C$250,'Nickel - Q&amp;V'!$D$8:$D$250,LEFT('FY Q&amp;V 2003-04 to Now'!AG$7,4),'Nickel - Q&amp;V'!$E$8:$E$250,3)+
SUMIFS('Nickel - Q&amp;V'!$C$8:$C$250,'Nickel - Q&amp;V'!$D$8:$D$250,LEFT('FY Q&amp;V 2003-04 to Now'!AG$7,4),'Nickel - Q&amp;V'!$E$8:$E$250,4)+
SUMIFS('Nickel - Q&amp;V'!$C$8:$C$250,'Nickel - Q&amp;V'!$D$8:$D$250,CONCATENATE("20",RIGHT('FY Q&amp;V 2003-04 to Now'!AG$7,2)),'Nickel - Q&amp;V'!$E$8:$E$250,1)+
SUMIFS('Nickel - Q&amp;V'!$C$8:$C$250,'Nickel - Q&amp;V'!$D$8:$D$250,CONCATENATE("20",RIGHT('FY Q&amp;V 2003-04 to Now'!AG$7,2)),'Nickel - Q&amp;V'!$E$8:$E$250,2))*1000000</f>
        <v>2699898111.0000005</v>
      </c>
      <c r="AI64" s="957">
        <f>SUMIF($C$9:AH$9,1,$C64:AH64)</f>
        <v>2949525.6553574088</v>
      </c>
      <c r="AJ64" s="958">
        <f>SUMIF($C$9:AH$9,0,$C64:AH64)</f>
        <v>58666960839.540001</v>
      </c>
      <c r="AK64" s="949"/>
    </row>
    <row r="65" spans="1:41">
      <c r="A65" s="886" t="s">
        <v>344</v>
      </c>
      <c r="B65" s="594" t="s">
        <v>196</v>
      </c>
      <c r="C65" s="942">
        <f>(SUMIFS('Minor Commodities - Q&amp;V'!$L$8:$L$250,'Minor Commodities - Q&amp;V'!$N$8:$N$250,LEFT('FY Q&amp;V 2003-04 to Now'!C$7,4),'Minor Commodities - Q&amp;V'!$O$8:$O$250,3)+
SUMIFS('Minor Commodities - Q&amp;V'!$L$8:$L$250,'Minor Commodities - Q&amp;V'!$N$8:$N$250,LEFT('FY Q&amp;V 2003-04 to Now'!C$7,4),'Minor Commodities - Q&amp;V'!$O$8:$O$250,4)+
SUMIFS('Minor Commodities - Q&amp;V'!$L$8:$L$250,'Minor Commodities - Q&amp;V'!$N$8:$N$250,CONCATENATE("20",RIGHT('FY Q&amp;V 2003-04 to Now'!C$7,2)),'Minor Commodities - Q&amp;V'!$O$8:$O$250,1)+
SUMIFS('Minor Commodities - Q&amp;V'!$L$8:$L$250,'Minor Commodities - Q&amp;V'!$N$8:$N$250,CONCATENATE("20",RIGHT('FY Q&amp;V 2003-04 to Now'!C$7,2)),'Minor Commodities - Q&amp;V'!$O$8:$O$250,2))</f>
        <v>666.68599999999992</v>
      </c>
      <c r="D65" s="943">
        <f>(SUMIFS('Minor Commodities - Q&amp;V'!$M$8:$M$250,'Minor Commodities - Q&amp;V'!$N$8:$N$250,LEFT('FY Q&amp;V 2003-04 to Now'!C$7,4),'Minor Commodities - Q&amp;V'!$O$8:$O$250,3)+
SUMIFS('Minor Commodities - Q&amp;V'!$M$8:$M$250,'Minor Commodities - Q&amp;V'!$N$8:$N$250,LEFT('FY Q&amp;V 2003-04 to Now'!C$7,4),'Minor Commodities - Q&amp;V'!$O$8:$O$250,4)+
SUMIFS('Minor Commodities - Q&amp;V'!$M$8:$M$250,'Minor Commodities - Q&amp;V'!$N$8:$N$250,CONCATENATE("20",RIGHT('FY Q&amp;V 2003-04 to Now'!C$7,2)),'Minor Commodities - Q&amp;V'!$O$8:$O$250,1)+
SUMIFS('Minor Commodities - Q&amp;V'!$M$8:$M$250,'Minor Commodities - Q&amp;V'!$N$8:$N$250,CONCATENATE("20",RIGHT('FY Q&amp;V 2003-04 to Now'!C$7,2)),'Minor Commodities - Q&amp;V'!$O$8:$O$250,2))*1000000</f>
        <v>8205197</v>
      </c>
      <c r="E65" s="942">
        <f>(SUMIFS('Minor Commodities - Q&amp;V'!$L$8:$L$250,'Minor Commodities - Q&amp;V'!$N$8:$N$250,LEFT('FY Q&amp;V 2003-04 to Now'!E$7,4),'Minor Commodities - Q&amp;V'!$O$8:$O$250,3)+
SUMIFS('Minor Commodities - Q&amp;V'!$L$8:$L$250,'Minor Commodities - Q&amp;V'!$N$8:$N$250,LEFT('FY Q&amp;V 2003-04 to Now'!E$7,4),'Minor Commodities - Q&amp;V'!$O$8:$O$250,4)+
SUMIFS('Minor Commodities - Q&amp;V'!$L$8:$L$250,'Minor Commodities - Q&amp;V'!$N$8:$N$250,CONCATENATE("20",RIGHT('FY Q&amp;V 2003-04 to Now'!E$7,2)),'Minor Commodities - Q&amp;V'!$O$8:$O$250,1)+
SUMIFS('Minor Commodities - Q&amp;V'!$L$8:$L$250,'Minor Commodities - Q&amp;V'!$N$8:$N$250,CONCATENATE("20",RIGHT('FY Q&amp;V 2003-04 to Now'!E$7,2)),'Minor Commodities - Q&amp;V'!$O$8:$O$250,2))</f>
        <v>1051</v>
      </c>
      <c r="F65" s="943">
        <f>(SUMIFS('Minor Commodities - Q&amp;V'!$M$8:$M$250,'Minor Commodities - Q&amp;V'!$N$8:$N$250,LEFT('FY Q&amp;V 2003-04 to Now'!E$7,4),'Minor Commodities - Q&amp;V'!$O$8:$O$250,3)+
SUMIFS('Minor Commodities - Q&amp;V'!$M$8:$M$250,'Minor Commodities - Q&amp;V'!$N$8:$N$250,LEFT('FY Q&amp;V 2003-04 to Now'!E$7,4),'Minor Commodities - Q&amp;V'!$O$8:$O$250,4)+
SUMIFS('Minor Commodities - Q&amp;V'!$M$8:$M$250,'Minor Commodities - Q&amp;V'!$N$8:$N$250,CONCATENATE("20",RIGHT('FY Q&amp;V 2003-04 to Now'!E$7,2)),'Minor Commodities - Q&amp;V'!$O$8:$O$250,1)+
SUMIFS('Minor Commodities - Q&amp;V'!$M$8:$M$250,'Minor Commodities - Q&amp;V'!$N$8:$N$250,CONCATENATE("20",RIGHT('FY Q&amp;V 2003-04 to Now'!E$7,2)),'Minor Commodities - Q&amp;V'!$O$8:$O$250,2))*1000000</f>
        <v>9150844</v>
      </c>
      <c r="G65" s="942">
        <f>(SUMIFS('Minor Commodities - Q&amp;V'!$L$8:$L$250,'Minor Commodities - Q&amp;V'!$N$8:$N$250,LEFT('FY Q&amp;V 2003-04 to Now'!G$7,4),'Minor Commodities - Q&amp;V'!$O$8:$O$250,3)+
SUMIFS('Minor Commodities - Q&amp;V'!$L$8:$L$250,'Minor Commodities - Q&amp;V'!$N$8:$N$250,LEFT('FY Q&amp;V 2003-04 to Now'!G$7,4),'Minor Commodities - Q&amp;V'!$O$8:$O$250,4)+
SUMIFS('Minor Commodities - Q&amp;V'!$L$8:$L$250,'Minor Commodities - Q&amp;V'!$N$8:$N$250,CONCATENATE("20",RIGHT('FY Q&amp;V 2003-04 to Now'!G$7,2)),'Minor Commodities - Q&amp;V'!$O$8:$O$250,1)+
SUMIFS('Minor Commodities - Q&amp;V'!$L$8:$L$250,'Minor Commodities - Q&amp;V'!$N$8:$N$250,CONCATENATE("20",RIGHT('FY Q&amp;V 2003-04 to Now'!G$7,2)),'Minor Commodities - Q&amp;V'!$O$8:$O$250,2))</f>
        <v>859.63</v>
      </c>
      <c r="H65" s="943">
        <f>(SUMIFS('Minor Commodities - Q&amp;V'!$M$8:$M$250,'Minor Commodities - Q&amp;V'!$N$8:$N$250,LEFT('FY Q&amp;V 2003-04 to Now'!G$7,4),'Minor Commodities - Q&amp;V'!$O$8:$O$250,3)+
SUMIFS('Minor Commodities - Q&amp;V'!$M$8:$M$250,'Minor Commodities - Q&amp;V'!$N$8:$N$250,LEFT('FY Q&amp;V 2003-04 to Now'!G$7,4),'Minor Commodities - Q&amp;V'!$O$8:$O$250,4)+
SUMIFS('Minor Commodities - Q&amp;V'!$M$8:$M$250,'Minor Commodities - Q&amp;V'!$N$8:$N$250,CONCATENATE("20",RIGHT('FY Q&amp;V 2003-04 to Now'!G$7,2)),'Minor Commodities - Q&amp;V'!$O$8:$O$250,1)+
SUMIFS('Minor Commodities - Q&amp;V'!$M$8:$M$250,'Minor Commodities - Q&amp;V'!$N$8:$N$250,CONCATENATE("20",RIGHT('FY Q&amp;V 2003-04 to Now'!G$7,2)),'Minor Commodities - Q&amp;V'!$O$8:$O$250,2))*1000000</f>
        <v>9742690</v>
      </c>
      <c r="I65" s="942">
        <f>(SUMIFS('Minor Commodities - Q&amp;V'!$L$8:$L$250,'Minor Commodities - Q&amp;V'!$N$8:$N$250,LEFT('FY Q&amp;V 2003-04 to Now'!I$7,4),'Minor Commodities - Q&amp;V'!$O$8:$O$250,3)+
SUMIFS('Minor Commodities - Q&amp;V'!$L$8:$L$250,'Minor Commodities - Q&amp;V'!$N$8:$N$250,LEFT('FY Q&amp;V 2003-04 to Now'!I$7,4),'Minor Commodities - Q&amp;V'!$O$8:$O$250,4)+
SUMIFS('Minor Commodities - Q&amp;V'!$L$8:$L$250,'Minor Commodities - Q&amp;V'!$N$8:$N$250,CONCATENATE("20",RIGHT('FY Q&amp;V 2003-04 to Now'!I$7,2)),'Minor Commodities - Q&amp;V'!$O$8:$O$250,1)+
SUMIFS('Minor Commodities - Q&amp;V'!$L$8:$L$250,'Minor Commodities - Q&amp;V'!$N$8:$N$250,CONCATENATE("20",RIGHT('FY Q&amp;V 2003-04 to Now'!I$7,2)),'Minor Commodities - Q&amp;V'!$O$8:$O$250,2))</f>
        <v>713.59</v>
      </c>
      <c r="J65" s="943">
        <f>(SUMIFS('Minor Commodities - Q&amp;V'!$M$8:$M$250,'Minor Commodities - Q&amp;V'!$N$8:$N$250,LEFT('FY Q&amp;V 2003-04 to Now'!I$7,4),'Minor Commodities - Q&amp;V'!$O$8:$O$250,3)+
SUMIFS('Minor Commodities - Q&amp;V'!$M$8:$M$250,'Minor Commodities - Q&amp;V'!$N$8:$N$250,LEFT('FY Q&amp;V 2003-04 to Now'!I$7,4),'Minor Commodities - Q&amp;V'!$O$8:$O$250,4)+
SUMIFS('Minor Commodities - Q&amp;V'!$M$8:$M$250,'Minor Commodities - Q&amp;V'!$N$8:$N$250,CONCATENATE("20",RIGHT('FY Q&amp;V 2003-04 to Now'!I$7,2)),'Minor Commodities - Q&amp;V'!$O$8:$O$250,1)+
SUMIFS('Minor Commodities - Q&amp;V'!$M$8:$M$250,'Minor Commodities - Q&amp;V'!$N$8:$N$250,CONCATENATE("20",RIGHT('FY Q&amp;V 2003-04 to Now'!I$7,2)),'Minor Commodities - Q&amp;V'!$O$8:$O$250,2))*1000000</f>
        <v>9693188</v>
      </c>
      <c r="K65" s="942">
        <f>(SUMIFS('Minor Commodities - Q&amp;V'!$L$8:$L$250,'Minor Commodities - Q&amp;V'!$N$8:$N$250,LEFT('FY Q&amp;V 2003-04 to Now'!K$7,4),'Minor Commodities - Q&amp;V'!$O$8:$O$250,3)+
SUMIFS('Minor Commodities - Q&amp;V'!$L$8:$L$250,'Minor Commodities - Q&amp;V'!$N$8:$N$250,LEFT('FY Q&amp;V 2003-04 to Now'!K$7,4),'Minor Commodities - Q&amp;V'!$O$8:$O$250,4)+
SUMIFS('Minor Commodities - Q&amp;V'!$L$8:$L$250,'Minor Commodities - Q&amp;V'!$N$8:$N$250,CONCATENATE("20",RIGHT('FY Q&amp;V 2003-04 to Now'!K$7,2)),'Minor Commodities - Q&amp;V'!$O$8:$O$250,1)+
SUMIFS('Minor Commodities - Q&amp;V'!$L$8:$L$250,'Minor Commodities - Q&amp;V'!$N$8:$N$250,CONCATENATE("20",RIGHT('FY Q&amp;V 2003-04 to Now'!K$7,2)),'Minor Commodities - Q&amp;V'!$O$8:$O$250,2))</f>
        <v>947.76</v>
      </c>
      <c r="L65" s="943">
        <f>(SUMIFS('Minor Commodities - Q&amp;V'!$M$8:$M$250,'Minor Commodities - Q&amp;V'!$N$8:$N$250,LEFT('FY Q&amp;V 2003-04 to Now'!K$7,4),'Minor Commodities - Q&amp;V'!$O$8:$O$250,3)+
SUMIFS('Minor Commodities - Q&amp;V'!$M$8:$M$250,'Minor Commodities - Q&amp;V'!$N$8:$N$250,LEFT('FY Q&amp;V 2003-04 to Now'!K$7,4),'Minor Commodities - Q&amp;V'!$O$8:$O$250,4)+
SUMIFS('Minor Commodities - Q&amp;V'!$M$8:$M$250,'Minor Commodities - Q&amp;V'!$N$8:$N$250,CONCATENATE("20",RIGHT('FY Q&amp;V 2003-04 to Now'!K$7,2)),'Minor Commodities - Q&amp;V'!$O$8:$O$250,1)+
SUMIFS('Minor Commodities - Q&amp;V'!$M$8:$M$250,'Minor Commodities - Q&amp;V'!$N$8:$N$250,CONCATENATE("20",RIGHT('FY Q&amp;V 2003-04 to Now'!K$7,2)),'Minor Commodities - Q&amp;V'!$O$8:$O$250,2))*1000000</f>
        <v>13213845</v>
      </c>
      <c r="M65" s="942">
        <f>(SUMIFS('Minor Commodities - Q&amp;V'!$L$8:$L$250,'Minor Commodities - Q&amp;V'!$N$8:$N$250,LEFT('FY Q&amp;V 2003-04 to Now'!M$7,4),'Minor Commodities - Q&amp;V'!$O$8:$O$250,3)+
SUMIFS('Minor Commodities - Q&amp;V'!$L$8:$L$250,'Minor Commodities - Q&amp;V'!$N$8:$N$250,LEFT('FY Q&amp;V 2003-04 to Now'!M$7,4),'Minor Commodities - Q&amp;V'!$O$8:$O$250,4)+
SUMIFS('Minor Commodities - Q&amp;V'!$L$8:$L$250,'Minor Commodities - Q&amp;V'!$N$8:$N$250,CONCATENATE("20",RIGHT('FY Q&amp;V 2003-04 to Now'!M$7,2)),'Minor Commodities - Q&amp;V'!$O$8:$O$250,1)+
SUMIFS('Minor Commodities - Q&amp;V'!$L$8:$L$250,'Minor Commodities - Q&amp;V'!$N$8:$N$250,CONCATENATE("20",RIGHT('FY Q&amp;V 2003-04 to Now'!M$7,2)),'Minor Commodities - Q&amp;V'!$O$8:$O$250,2))</f>
        <v>642.19000000000005</v>
      </c>
      <c r="N65" s="943">
        <f>(SUMIFS('Minor Commodities - Q&amp;V'!$M$8:$M$250,'Minor Commodities - Q&amp;V'!$N$8:$N$250,LEFT('FY Q&amp;V 2003-04 to Now'!M$7,4),'Minor Commodities - Q&amp;V'!$O$8:$O$250,3)+
SUMIFS('Minor Commodities - Q&amp;V'!$M$8:$M$250,'Minor Commodities - Q&amp;V'!$N$8:$N$250,LEFT('FY Q&amp;V 2003-04 to Now'!M$7,4),'Minor Commodities - Q&amp;V'!$O$8:$O$250,4)+
SUMIFS('Minor Commodities - Q&amp;V'!$M$8:$M$250,'Minor Commodities - Q&amp;V'!$N$8:$N$250,CONCATENATE("20",RIGHT('FY Q&amp;V 2003-04 to Now'!M$7,2)),'Minor Commodities - Q&amp;V'!$O$8:$O$250,1)+
SUMIFS('Minor Commodities - Q&amp;V'!$M$8:$M$250,'Minor Commodities - Q&amp;V'!$N$8:$N$250,CONCATENATE("20",RIGHT('FY Q&amp;V 2003-04 to Now'!M$7,2)),'Minor Commodities - Q&amp;V'!$O$8:$O$250,2))*1000000</f>
        <v>5452602</v>
      </c>
      <c r="O65" s="942">
        <f>(SUMIFS('Minor Commodities - Q&amp;V'!$L$8:$L$250,'Minor Commodities - Q&amp;V'!$N$8:$N$250,LEFT('FY Q&amp;V 2003-04 to Now'!O$7,4),'Minor Commodities - Q&amp;V'!$O$8:$O$250,3)+
SUMIFS('Minor Commodities - Q&amp;V'!$L$8:$L$250,'Minor Commodities - Q&amp;V'!$N$8:$N$250,LEFT('FY Q&amp;V 2003-04 to Now'!O$7,4),'Minor Commodities - Q&amp;V'!$O$8:$O$250,4)+
SUMIFS('Minor Commodities - Q&amp;V'!$L$8:$L$250,'Minor Commodities - Q&amp;V'!$N$8:$N$250,CONCATENATE("20",RIGHT('FY Q&amp;V 2003-04 to Now'!O$7,2)),'Minor Commodities - Q&amp;V'!$O$8:$O$250,1)+
SUMIFS('Minor Commodities - Q&amp;V'!$L$8:$L$250,'Minor Commodities - Q&amp;V'!$N$8:$N$250,CONCATENATE("20",RIGHT('FY Q&amp;V 2003-04 to Now'!O$7,2)),'Minor Commodities - Q&amp;V'!$O$8:$O$250,2))</f>
        <v>1089.3499999999999</v>
      </c>
      <c r="P65" s="943">
        <f>(SUMIFS('Minor Commodities - Q&amp;V'!$M$8:$M$250,'Minor Commodities - Q&amp;V'!$N$8:$N$250,LEFT('FY Q&amp;V 2003-04 to Now'!O$7,4),'Minor Commodities - Q&amp;V'!$O$8:$O$250,3)+
SUMIFS('Minor Commodities - Q&amp;V'!$M$8:$M$250,'Minor Commodities - Q&amp;V'!$N$8:$N$250,LEFT('FY Q&amp;V 2003-04 to Now'!O$7,4),'Minor Commodities - Q&amp;V'!$O$8:$O$250,4)+
SUMIFS('Minor Commodities - Q&amp;V'!$M$8:$M$250,'Minor Commodities - Q&amp;V'!$N$8:$N$250,CONCATENATE("20",RIGHT('FY Q&amp;V 2003-04 to Now'!O$7,2)),'Minor Commodities - Q&amp;V'!$O$8:$O$250,1)+
SUMIFS('Minor Commodities - Q&amp;V'!$M$8:$M$250,'Minor Commodities - Q&amp;V'!$N$8:$N$250,CONCATENATE("20",RIGHT('FY Q&amp;V 2003-04 to Now'!O$7,2)),'Minor Commodities - Q&amp;V'!$O$8:$O$250,2))*1000000</f>
        <v>11101918.999999998</v>
      </c>
      <c r="Q65" s="942">
        <f>(SUMIFS('Minor Commodities - Q&amp;V'!$L$8:$L$250,'Minor Commodities - Q&amp;V'!$N$8:$N$250,LEFT('FY Q&amp;V 2003-04 to Now'!Q$7,4),'Minor Commodities - Q&amp;V'!$O$8:$O$250,3)+
SUMIFS('Minor Commodities - Q&amp;V'!$L$8:$L$250,'Minor Commodities - Q&amp;V'!$N$8:$N$250,LEFT('FY Q&amp;V 2003-04 to Now'!Q$7,4),'Minor Commodities - Q&amp;V'!$O$8:$O$250,4)+
SUMIFS('Minor Commodities - Q&amp;V'!$L$8:$L$250,'Minor Commodities - Q&amp;V'!$N$8:$N$250,CONCATENATE("20",RIGHT('FY Q&amp;V 2003-04 to Now'!Q$7,2)),'Minor Commodities - Q&amp;V'!$O$8:$O$250,1)+
SUMIFS('Minor Commodities - Q&amp;V'!$L$8:$L$250,'Minor Commodities - Q&amp;V'!$N$8:$N$250,CONCATENATE("20",RIGHT('FY Q&amp;V 2003-04 to Now'!Q$7,2)),'Minor Commodities - Q&amp;V'!$O$8:$O$250,2))</f>
        <v>440.23</v>
      </c>
      <c r="R65" s="943">
        <f>(SUMIFS('Minor Commodities - Q&amp;V'!$M$8:$M$250,'Minor Commodities - Q&amp;V'!$N$8:$N$250,LEFT('FY Q&amp;V 2003-04 to Now'!Q$7,4),'Minor Commodities - Q&amp;V'!$O$8:$O$250,3)+
SUMIFS('Minor Commodities - Q&amp;V'!$M$8:$M$250,'Minor Commodities - Q&amp;V'!$N$8:$N$250,LEFT('FY Q&amp;V 2003-04 to Now'!Q$7,4),'Minor Commodities - Q&amp;V'!$O$8:$O$250,4)+
SUMIFS('Minor Commodities - Q&amp;V'!$M$8:$M$250,'Minor Commodities - Q&amp;V'!$N$8:$N$250,CONCATENATE("20",RIGHT('FY Q&amp;V 2003-04 to Now'!Q$7,2)),'Minor Commodities - Q&amp;V'!$O$8:$O$250,1)+
SUMIFS('Minor Commodities - Q&amp;V'!$M$8:$M$250,'Minor Commodities - Q&amp;V'!$N$8:$N$250,CONCATENATE("20",RIGHT('FY Q&amp;V 2003-04 to Now'!Q$7,2)),'Minor Commodities - Q&amp;V'!$O$8:$O$250,2))*1000000</f>
        <v>7036097</v>
      </c>
      <c r="S65" s="942">
        <f>(SUMIFS('Minor Commodities - Q&amp;V'!$L$8:$L$250,'Minor Commodities - Q&amp;V'!$N$8:$N$250,LEFT('FY Q&amp;V 2003-04 to Now'!S$7,4),'Minor Commodities - Q&amp;V'!$O$8:$O$250,3)+
SUMIFS('Minor Commodities - Q&amp;V'!$L$8:$L$250,'Minor Commodities - Q&amp;V'!$N$8:$N$250,LEFT('FY Q&amp;V 2003-04 to Now'!S$7,4),'Minor Commodities - Q&amp;V'!$O$8:$O$250,4)+
SUMIFS('Minor Commodities - Q&amp;V'!$L$8:$L$250,'Minor Commodities - Q&amp;V'!$N$8:$N$250,CONCATENATE("20",RIGHT('FY Q&amp;V 2003-04 to Now'!S$7,2)),'Minor Commodities - Q&amp;V'!$O$8:$O$250,1)+
SUMIFS('Minor Commodities - Q&amp;V'!$L$8:$L$250,'Minor Commodities - Q&amp;V'!$N$8:$N$250,CONCATENATE("20",RIGHT('FY Q&amp;V 2003-04 to Now'!S$7,2)),'Minor Commodities - Q&amp;V'!$O$8:$O$250,2))</f>
        <v>626.08273703999998</v>
      </c>
      <c r="T65" s="943">
        <f>(SUMIFS('Minor Commodities - Q&amp;V'!$M$8:$M$250,'Minor Commodities - Q&amp;V'!$N$8:$N$250,LEFT('FY Q&amp;V 2003-04 to Now'!S$7,4),'Minor Commodities - Q&amp;V'!$O$8:$O$250,3)+
SUMIFS('Minor Commodities - Q&amp;V'!$M$8:$M$250,'Minor Commodities - Q&amp;V'!$N$8:$N$250,LEFT('FY Q&amp;V 2003-04 to Now'!S$7,4),'Minor Commodities - Q&amp;V'!$O$8:$O$250,4)+
SUMIFS('Minor Commodities - Q&amp;V'!$M$8:$M$250,'Minor Commodities - Q&amp;V'!$N$8:$N$250,CONCATENATE("20",RIGHT('FY Q&amp;V 2003-04 to Now'!S$7,2)),'Minor Commodities - Q&amp;V'!$O$8:$O$250,1)+
SUMIFS('Minor Commodities - Q&amp;V'!$M$8:$M$250,'Minor Commodities - Q&amp;V'!$N$8:$N$250,CONCATENATE("20",RIGHT('FY Q&amp;V 2003-04 to Now'!S$7,2)),'Minor Commodities - Q&amp;V'!$O$8:$O$250,2))*1000000</f>
        <v>14909443.16</v>
      </c>
      <c r="U65" s="942">
        <f>(SUMIFS('Minor Commodities - Q&amp;V'!$L$8:$L$250,'Minor Commodities - Q&amp;V'!$N$8:$N$250,LEFT('FY Q&amp;V 2003-04 to Now'!U$7,4),'Minor Commodities - Q&amp;V'!$O$8:$O$250,3)+
SUMIFS('Minor Commodities - Q&amp;V'!$L$8:$L$250,'Minor Commodities - Q&amp;V'!$N$8:$N$250,LEFT('FY Q&amp;V 2003-04 to Now'!U$7,4),'Minor Commodities - Q&amp;V'!$O$8:$O$250,4)+
SUMIFS('Minor Commodities - Q&amp;V'!$L$8:$L$250,'Minor Commodities - Q&amp;V'!$N$8:$N$250,CONCATENATE("20",RIGHT('FY Q&amp;V 2003-04 to Now'!U$7,2)),'Minor Commodities - Q&amp;V'!$O$8:$O$250,1)+
SUMIFS('Minor Commodities - Q&amp;V'!$L$8:$L$250,'Minor Commodities - Q&amp;V'!$N$8:$N$250,CONCATENATE("20",RIGHT('FY Q&amp;V 2003-04 to Now'!U$7,2)),'Minor Commodities - Q&amp;V'!$O$8:$O$250,2))</f>
        <v>657.73810275000005</v>
      </c>
      <c r="V65" s="943">
        <f>(SUMIFS('Minor Commodities - Q&amp;V'!$M$8:$M$250,'Minor Commodities - Q&amp;V'!$N$8:$N$250,LEFT('FY Q&amp;V 2003-04 to Now'!U$7,4),'Minor Commodities - Q&amp;V'!$O$8:$O$250,3)+
SUMIFS('Minor Commodities - Q&amp;V'!$M$8:$M$250,'Minor Commodities - Q&amp;V'!$N$8:$N$250,LEFT('FY Q&amp;V 2003-04 to Now'!U$7,4),'Minor Commodities - Q&amp;V'!$O$8:$O$250,4)+
SUMIFS('Minor Commodities - Q&amp;V'!$M$8:$M$250,'Minor Commodities - Q&amp;V'!$N$8:$N$250,CONCATENATE("20",RIGHT('FY Q&amp;V 2003-04 to Now'!U$7,2)),'Minor Commodities - Q&amp;V'!$O$8:$O$250,1)+
SUMIFS('Minor Commodities - Q&amp;V'!$M$8:$M$250,'Minor Commodities - Q&amp;V'!$N$8:$N$250,CONCATENATE("20",RIGHT('FY Q&amp;V 2003-04 to Now'!U$7,2)),'Minor Commodities - Q&amp;V'!$O$8:$O$250,2))*1000000</f>
        <v>15045619.1</v>
      </c>
      <c r="W65" s="942">
        <f>(SUMIFS('Minor Commodities - Q&amp;V'!$L$8:$L$250,'Minor Commodities - Q&amp;V'!$N$8:$N$250,LEFT('FY Q&amp;V 2003-04 to Now'!W$7,4),'Minor Commodities - Q&amp;V'!$O$8:$O$250,3)+
SUMIFS('Minor Commodities - Q&amp;V'!$L$8:$L$250,'Minor Commodities - Q&amp;V'!$N$8:$N$250,LEFT('FY Q&amp;V 2003-04 to Now'!W$7,4),'Minor Commodities - Q&amp;V'!$O$8:$O$250,4)+
SUMIFS('Minor Commodities - Q&amp;V'!$L$8:$L$250,'Minor Commodities - Q&amp;V'!$N$8:$N$250,CONCATENATE("20",RIGHT('FY Q&amp;V 2003-04 to Now'!W$7,2)),'Minor Commodities - Q&amp;V'!$O$8:$O$250,1)+
SUMIFS('Minor Commodities - Q&amp;V'!$L$8:$L$250,'Minor Commodities - Q&amp;V'!$N$8:$N$250,CONCATENATE("20",RIGHT('FY Q&amp;V 2003-04 to Now'!W$7,2)),'Minor Commodities - Q&amp;V'!$O$8:$O$250,2))</f>
        <v>1015.0321232683425</v>
      </c>
      <c r="X65" s="943">
        <f>(SUMIFS('Minor Commodities - Q&amp;V'!$M$8:$M$250,'Minor Commodities - Q&amp;V'!$N$8:$N$250,LEFT('FY Q&amp;V 2003-04 to Now'!W$7,4),'Minor Commodities - Q&amp;V'!$O$8:$O$250,3)+
SUMIFS('Minor Commodities - Q&amp;V'!$M$8:$M$250,'Minor Commodities - Q&amp;V'!$N$8:$N$250,LEFT('FY Q&amp;V 2003-04 to Now'!W$7,4),'Minor Commodities - Q&amp;V'!$O$8:$O$250,4)+
SUMIFS('Minor Commodities - Q&amp;V'!$M$8:$M$250,'Minor Commodities - Q&amp;V'!$N$8:$N$250,CONCATENATE("20",RIGHT('FY Q&amp;V 2003-04 to Now'!W$7,2)),'Minor Commodities - Q&amp;V'!$O$8:$O$250,1)+
SUMIFS('Minor Commodities - Q&amp;V'!$M$8:$M$250,'Minor Commodities - Q&amp;V'!$N$8:$N$250,CONCATENATE("20",RIGHT('FY Q&amp;V 2003-04 to Now'!W$7,2)),'Minor Commodities - Q&amp;V'!$O$8:$O$250,2))*1000000</f>
        <v>18855882</v>
      </c>
      <c r="Y65" s="942">
        <f>(SUMIFS('Minor Commodities - Q&amp;V'!$L$8:$L$250,'Minor Commodities - Q&amp;V'!$N$8:$N$250,LEFT('FY Q&amp;V 2003-04 to Now'!Y$7,4),'Minor Commodities - Q&amp;V'!$O$8:$O$250,3)+
SUMIFS('Minor Commodities - Q&amp;V'!$L$8:$L$250,'Minor Commodities - Q&amp;V'!$N$8:$N$250,LEFT('FY Q&amp;V 2003-04 to Now'!Y$7,4),'Minor Commodities - Q&amp;V'!$O$8:$O$250,4)+
SUMIFS('Minor Commodities - Q&amp;V'!$L$8:$L$250,'Minor Commodities - Q&amp;V'!$N$8:$N$250,CONCATENATE("20",RIGHT('FY Q&amp;V 2003-04 to Now'!Y$7,2)),'Minor Commodities - Q&amp;V'!$O$8:$O$250,1)+
SUMIFS('Minor Commodities - Q&amp;V'!$L$8:$L$250,'Minor Commodities - Q&amp;V'!$N$8:$N$250,CONCATENATE("20",RIGHT('FY Q&amp;V 2003-04 to Now'!Y$7,2)),'Minor Commodities - Q&amp;V'!$O$8:$O$250,2))</f>
        <v>463.59288925117966</v>
      </c>
      <c r="Z65" s="943">
        <f>(SUMIFS('Minor Commodities - Q&amp;V'!$M$8:$M$250,'Minor Commodities - Q&amp;V'!$N$8:$N$250,LEFT('FY Q&amp;V 2003-04 to Now'!Y$7,4),'Minor Commodities - Q&amp;V'!$O$8:$O$250,3)+
SUMIFS('Minor Commodities - Q&amp;V'!$M$8:$M$250,'Minor Commodities - Q&amp;V'!$N$8:$N$250,LEFT('FY Q&amp;V 2003-04 to Now'!Y$7,4),'Minor Commodities - Q&amp;V'!$O$8:$O$250,4)+
SUMIFS('Minor Commodities - Q&amp;V'!$M$8:$M$250,'Minor Commodities - Q&amp;V'!$N$8:$N$250,CONCATENATE("20",RIGHT('FY Q&amp;V 2003-04 to Now'!Y$7,2)),'Minor Commodities - Q&amp;V'!$O$8:$O$250,1)+
SUMIFS('Minor Commodities - Q&amp;V'!$M$8:$M$250,'Minor Commodities - Q&amp;V'!$N$8:$N$250,CONCATENATE("20",RIGHT('FY Q&amp;V 2003-04 to Now'!Y$7,2)),'Minor Commodities - Q&amp;V'!$O$8:$O$250,2))*1000000</f>
        <v>13380729.999999998</v>
      </c>
      <c r="AA65" s="942">
        <f>(SUMIFS('Minor Commodities - Q&amp;V'!$L$8:$L$250,'Minor Commodities - Q&amp;V'!$N$8:$N$250,LEFT('FY Q&amp;V 2003-04 to Now'!AA$7,4),'Minor Commodities - Q&amp;V'!$O$8:$O$250,3)+
SUMIFS('Minor Commodities - Q&amp;V'!$L$8:$L$250,'Minor Commodities - Q&amp;V'!$N$8:$N$250,LEFT('FY Q&amp;V 2003-04 to Now'!AA$7,4),'Minor Commodities - Q&amp;V'!$O$8:$O$250,4)+
SUMIFS('Minor Commodities - Q&amp;V'!$L$8:$L$250,'Minor Commodities - Q&amp;V'!$N$8:$N$250,CONCATENATE("20",RIGHT('FY Q&amp;V 2003-04 to Now'!AA$7,2)),'Minor Commodities - Q&amp;V'!$O$8:$O$250,1)+
SUMIFS('Minor Commodities - Q&amp;V'!$L$8:$L$250,'Minor Commodities - Q&amp;V'!$N$8:$N$250,CONCATENATE("20",RIGHT('FY Q&amp;V 2003-04 to Now'!AA$7,2)),'Minor Commodities - Q&amp;V'!$O$8:$O$250,2))</f>
        <v>686.91825400152732</v>
      </c>
      <c r="AB65" s="943">
        <f>(SUMIFS('Minor Commodities - Q&amp;V'!$M$8:$M$250,'Minor Commodities - Q&amp;V'!$N$8:$N$250,LEFT('FY Q&amp;V 2003-04 to Now'!AA$7,4),'Minor Commodities - Q&amp;V'!$O$8:$O$250,3)+
SUMIFS('Minor Commodities - Q&amp;V'!$M$8:$M$250,'Minor Commodities - Q&amp;V'!$N$8:$N$250,LEFT('FY Q&amp;V 2003-04 to Now'!AA$7,4),'Minor Commodities - Q&amp;V'!$O$8:$O$250,4)+
SUMIFS('Minor Commodities - Q&amp;V'!$M$8:$M$250,'Minor Commodities - Q&amp;V'!$N$8:$N$250,CONCATENATE("20",RIGHT('FY Q&amp;V 2003-04 to Now'!AA$7,2)),'Minor Commodities - Q&amp;V'!$O$8:$O$250,1)+
SUMIFS('Minor Commodities - Q&amp;V'!$M$8:$M$250,'Minor Commodities - Q&amp;V'!$N$8:$N$250,CONCATENATE("20",RIGHT('FY Q&amp;V 2003-04 to Now'!AA$7,2)),'Minor Commodities - Q&amp;V'!$O$8:$O$250,2))*1000000</f>
        <v>16656441.000000002</v>
      </c>
      <c r="AC65" s="942">
        <f>(SUMIFS('Minor Commodities - Q&amp;V'!$L$8:$L$250,'Minor Commodities - Q&amp;V'!$N$8:$N$250,LEFT('FY Q&amp;V 2003-04 to Now'!AC$7,4),'Minor Commodities - Q&amp;V'!$O$8:$O$250,3)+
SUMIFS('Minor Commodities - Q&amp;V'!$L$8:$L$250,'Minor Commodities - Q&amp;V'!$N$8:$N$250,LEFT('FY Q&amp;V 2003-04 to Now'!AC$7,4),'Minor Commodities - Q&amp;V'!$O$8:$O$250,4)+
SUMIFS('Minor Commodities - Q&amp;V'!$L$8:$L$250,'Minor Commodities - Q&amp;V'!$N$8:$N$250,CONCATENATE("20",RIGHT('FY Q&amp;V 2003-04 to Now'!AC$7,2)),'Minor Commodities - Q&amp;V'!$O$8:$O$250,1)+
SUMIFS('Minor Commodities - Q&amp;V'!$L$8:$L$250,'Minor Commodities - Q&amp;V'!$N$8:$N$250,CONCATENATE("20",RIGHT('FY Q&amp;V 2003-04 to Now'!AC$7,2)),'Minor Commodities - Q&amp;V'!$O$8:$O$250,2))</f>
        <v>783.08130149576846</v>
      </c>
      <c r="AD65" s="943">
        <f>(SUMIFS('Minor Commodities - Q&amp;V'!$M$8:$M$250,'Minor Commodities - Q&amp;V'!$N$8:$N$250,LEFT('FY Q&amp;V 2003-04 to Now'!AC$7,4),'Minor Commodities - Q&amp;V'!$O$8:$O$250,3)+
SUMIFS('Minor Commodities - Q&amp;V'!$M$8:$M$250,'Minor Commodities - Q&amp;V'!$N$8:$N$250,LEFT('FY Q&amp;V 2003-04 to Now'!AC$7,4),'Minor Commodities - Q&amp;V'!$O$8:$O$250,4)+
SUMIFS('Minor Commodities - Q&amp;V'!$M$8:$M$250,'Minor Commodities - Q&amp;V'!$N$8:$N$250,CONCATENATE("20",RIGHT('FY Q&amp;V 2003-04 to Now'!AC$7,2)),'Minor Commodities - Q&amp;V'!$O$8:$O$250,1)+
SUMIFS('Minor Commodities - Q&amp;V'!$M$8:$M$250,'Minor Commodities - Q&amp;V'!$N$8:$N$250,CONCATENATE("20",RIGHT('FY Q&amp;V 2003-04 to Now'!AC$7,2)),'Minor Commodities - Q&amp;V'!$O$8:$O$250,2))*1000000</f>
        <v>21808381</v>
      </c>
      <c r="AE65" s="960">
        <f>(SUMIFS('Minor Commodities - Q&amp;V'!$L$8:$L$250,'Minor Commodities - Q&amp;V'!$N$8:$N$250,LEFT('FY Q&amp;V 2003-04 to Now'!AE$7,4),'Minor Commodities - Q&amp;V'!$O$8:$O$250,3)+
SUMIFS('Minor Commodities - Q&amp;V'!$L$8:$L$250,'Minor Commodities - Q&amp;V'!$N$8:$N$250,LEFT('FY Q&amp;V 2003-04 to Now'!AE$7,4),'Minor Commodities - Q&amp;V'!$O$8:$O$250,4)+
SUMIFS('Minor Commodities - Q&amp;V'!$L$8:$L$250,'Minor Commodities - Q&amp;V'!$N$8:$N$250,CONCATENATE("20",RIGHT('FY Q&amp;V 2003-04 to Now'!AE$7,2)),'Minor Commodities - Q&amp;V'!$O$8:$O$250,1)+
SUMIFS('Minor Commodities - Q&amp;V'!$L$8:$L$250,'Minor Commodities - Q&amp;V'!$N$8:$N$250,CONCATENATE("20",RIGHT('FY Q&amp;V 2003-04 to Now'!AE$7,2)),'Minor Commodities - Q&amp;V'!$O$8:$O$250,2))</f>
        <v>645.47412653534752</v>
      </c>
      <c r="AF65" s="943">
        <f>(SUMIFS('Minor Commodities - Q&amp;V'!$M$8:$M$250,'Minor Commodities - Q&amp;V'!$N$8:$N$250,LEFT('FY Q&amp;V 2003-04 to Now'!AE$7,4),'Minor Commodities - Q&amp;V'!$O$8:$O$250,3)+
SUMIFS('Minor Commodities - Q&amp;V'!$M$8:$M$250,'Minor Commodities - Q&amp;V'!$N$8:$N$250,LEFT('FY Q&amp;V 2003-04 to Now'!AE$7,4),'Minor Commodities - Q&amp;V'!$O$8:$O$250,4)+
SUMIFS('Minor Commodities - Q&amp;V'!$M$8:$M$250,'Minor Commodities - Q&amp;V'!$N$8:$N$250,CONCATENATE("20",RIGHT('FY Q&amp;V 2003-04 to Now'!AE$7,2)),'Minor Commodities - Q&amp;V'!$O$8:$O$250,1)+
SUMIFS('Minor Commodities - Q&amp;V'!$M$8:$M$250,'Minor Commodities - Q&amp;V'!$N$8:$N$250,CONCATENATE("20",RIGHT('FY Q&amp;V 2003-04 to Now'!AE$7,2)),'Minor Commodities - Q&amp;V'!$O$8:$O$250,2))*1000000</f>
        <v>26219908</v>
      </c>
      <c r="AG65" s="960">
        <f>(SUMIFS('Minor Commodities - Q&amp;V'!$L$8:$L$250,'Minor Commodities - Q&amp;V'!$N$8:$N$250,LEFT('FY Q&amp;V 2003-04 to Now'!AG$7,4),'Minor Commodities - Q&amp;V'!$O$8:$O$250,3)+
SUMIFS('Minor Commodities - Q&amp;V'!$L$8:$L$250,'Minor Commodities - Q&amp;V'!$N$8:$N$250,LEFT('FY Q&amp;V 2003-04 to Now'!AG$7,4),'Minor Commodities - Q&amp;V'!$O$8:$O$250,4)+
SUMIFS('Minor Commodities - Q&amp;V'!$L$8:$L$250,'Minor Commodities - Q&amp;V'!$N$8:$N$250,CONCATENATE("20",RIGHT('FY Q&amp;V 2003-04 to Now'!AG$7,2)),'Minor Commodities - Q&amp;V'!$O$8:$O$250,1)+
SUMIFS('Minor Commodities - Q&amp;V'!$L$8:$L$250,'Minor Commodities - Q&amp;V'!$N$8:$N$250,CONCATENATE("20",RIGHT('FY Q&amp;V 2003-04 to Now'!AG$7,2)),'Minor Commodities - Q&amp;V'!$O$8:$O$250,2))</f>
        <v>512.37251443981006</v>
      </c>
      <c r="AH65" s="943">
        <f>(SUMIFS('Minor Commodities - Q&amp;V'!$M$8:$M$250,'Minor Commodities - Q&amp;V'!$N$8:$N$250,LEFT('FY Q&amp;V 2003-04 to Now'!AG$7,4),'Minor Commodities - Q&amp;V'!$O$8:$O$250,3)+
SUMIFS('Minor Commodities - Q&amp;V'!$M$8:$M$250,'Minor Commodities - Q&amp;V'!$N$8:$N$250,LEFT('FY Q&amp;V 2003-04 to Now'!AG$7,4),'Minor Commodities - Q&amp;V'!$O$8:$O$250,4)+
SUMIFS('Minor Commodities - Q&amp;V'!$M$8:$M$250,'Minor Commodities - Q&amp;V'!$N$8:$N$250,CONCATENATE("20",RIGHT('FY Q&amp;V 2003-04 to Now'!AG$7,2)),'Minor Commodities - Q&amp;V'!$O$8:$O$250,1)+
SUMIFS('Minor Commodities - Q&amp;V'!$M$8:$M$250,'Minor Commodities - Q&amp;V'!$N$8:$N$250,CONCATENATE("20",RIGHT('FY Q&amp;V 2003-04 to Now'!AG$7,2)),'Minor Commodities - Q&amp;V'!$O$8:$O$250,2))*1000000</f>
        <v>28075812.999999996</v>
      </c>
      <c r="AI65" s="957">
        <f>SUMIF($C$9:AH$9,1,$C65:AH65)</f>
        <v>11800.728048781975</v>
      </c>
      <c r="AJ65" s="958">
        <f>SUMIF($C$9:AH$9,0,$C65:AH65)</f>
        <v>228548599.25999999</v>
      </c>
      <c r="AK65" s="949"/>
    </row>
    <row r="66" spans="1:41">
      <c r="A66" s="889" t="s">
        <v>301</v>
      </c>
      <c r="B66" s="638"/>
      <c r="C66" s="942"/>
      <c r="D66" s="943">
        <f>SUM(D63:D65)</f>
        <v>3258657727</v>
      </c>
      <c r="E66" s="942"/>
      <c r="F66" s="943">
        <f>SUM(F63:F65)</f>
        <v>3713880997</v>
      </c>
      <c r="G66" s="942"/>
      <c r="H66" s="943">
        <f>SUM(H63:H65)</f>
        <v>4006102502</v>
      </c>
      <c r="I66" s="942"/>
      <c r="J66" s="943">
        <f>SUM(J63:J65)</f>
        <v>8346565186.000001</v>
      </c>
      <c r="K66" s="942"/>
      <c r="L66" s="943">
        <f>SUM(L63:L65)</f>
        <v>5599873981</v>
      </c>
      <c r="M66" s="942"/>
      <c r="N66" s="943">
        <f>SUM(N63:N65)</f>
        <v>3221432740</v>
      </c>
      <c r="O66" s="942"/>
      <c r="P66" s="943">
        <f>SUM(P63:P65)</f>
        <v>4181199393.9999995</v>
      </c>
      <c r="Q66" s="942"/>
      <c r="R66" s="943">
        <f>SUM(R63:R65)</f>
        <v>4839689879</v>
      </c>
      <c r="S66" s="942"/>
      <c r="T66" s="943">
        <f>SUM(T63:T65)</f>
        <v>3880501435.3899999</v>
      </c>
      <c r="U66" s="942"/>
      <c r="V66" s="943">
        <f>SUM(V63:V65)</f>
        <v>3685905186.4099998</v>
      </c>
      <c r="W66" s="942"/>
      <c r="X66" s="943">
        <f>SUM(X63:X65)</f>
        <v>3612996790.0000005</v>
      </c>
      <c r="Y66" s="942"/>
      <c r="Z66" s="943">
        <f>SUM(Z63:Z65)</f>
        <v>3393553243</v>
      </c>
      <c r="AA66" s="942"/>
      <c r="AB66" s="943">
        <f>SUM(AB63:AB65)</f>
        <v>2394237718</v>
      </c>
      <c r="AC66" s="943"/>
      <c r="AD66" s="943">
        <f>SUM(AD63:AD65)</f>
        <v>2355948558</v>
      </c>
      <c r="AE66" s="960"/>
      <c r="AF66" s="943">
        <f>SUM(AF63:AF65)</f>
        <v>3172297110.0000005</v>
      </c>
      <c r="AG66" s="960"/>
      <c r="AH66" s="943">
        <f>SUM(AH63:AH65)</f>
        <v>3060362942.0000005</v>
      </c>
      <c r="AI66" s="957"/>
      <c r="AJ66" s="958">
        <f>SUMIF($C$9:AH$9,0,$C66:AH66)</f>
        <v>62723205388.800003</v>
      </c>
      <c r="AK66" s="949"/>
    </row>
    <row r="67" spans="1:41">
      <c r="A67" s="599" t="s">
        <v>304</v>
      </c>
      <c r="B67" s="638"/>
      <c r="C67" s="942"/>
      <c r="D67" s="943"/>
      <c r="E67" s="942"/>
      <c r="F67" s="943"/>
      <c r="G67" s="942"/>
      <c r="H67" s="943"/>
      <c r="I67" s="942"/>
      <c r="J67" s="943"/>
      <c r="K67" s="942"/>
      <c r="L67" s="943"/>
      <c r="M67" s="942"/>
      <c r="N67" s="943"/>
      <c r="O67" s="942"/>
      <c r="P67" s="943"/>
      <c r="Q67" s="942"/>
      <c r="R67" s="943"/>
      <c r="S67" s="942"/>
      <c r="T67" s="943"/>
      <c r="U67" s="942"/>
      <c r="V67" s="943"/>
      <c r="W67" s="942"/>
      <c r="X67" s="943"/>
      <c r="Y67" s="942"/>
      <c r="Z67" s="943"/>
      <c r="AA67" s="942"/>
      <c r="AB67" s="943"/>
      <c r="AC67" s="943"/>
      <c r="AD67" s="943"/>
      <c r="AE67" s="960"/>
      <c r="AF67" s="943"/>
      <c r="AG67" s="960"/>
      <c r="AH67" s="943"/>
      <c r="AI67" s="957"/>
      <c r="AJ67" s="958"/>
      <c r="AK67" s="949"/>
    </row>
    <row r="68" spans="1:41">
      <c r="A68" s="884" t="s">
        <v>305</v>
      </c>
      <c r="B68" s="880"/>
      <c r="C68" s="896"/>
      <c r="D68" s="878"/>
      <c r="E68" s="896"/>
      <c r="F68" s="878"/>
      <c r="G68" s="896"/>
      <c r="H68" s="878"/>
      <c r="I68" s="896"/>
      <c r="J68" s="878"/>
      <c r="K68" s="896"/>
      <c r="L68" s="878"/>
      <c r="M68" s="896"/>
      <c r="N68" s="878"/>
      <c r="O68" s="896"/>
      <c r="P68" s="878"/>
      <c r="Q68" s="896"/>
      <c r="R68" s="878"/>
      <c r="S68" s="896"/>
      <c r="T68" s="878"/>
      <c r="U68" s="896"/>
      <c r="V68" s="878"/>
      <c r="W68" s="896"/>
      <c r="X68" s="878"/>
      <c r="Y68" s="896"/>
      <c r="Z68" s="878"/>
      <c r="AA68" s="896"/>
      <c r="AB68" s="878"/>
      <c r="AC68" s="878"/>
      <c r="AD68" s="878"/>
      <c r="AE68" s="1309"/>
      <c r="AF68" s="878"/>
      <c r="AG68" s="1309"/>
      <c r="AH68" s="878"/>
      <c r="AI68" s="953"/>
      <c r="AJ68" s="891"/>
    </row>
    <row r="69" spans="1:41">
      <c r="A69" s="887" t="s">
        <v>97</v>
      </c>
      <c r="B69" s="848" t="s">
        <v>306</v>
      </c>
      <c r="C69" s="890">
        <f>(SUMIFS('Petroleum - Q&amp;V1'!$D$9:$D$250,'Petroleum - Q&amp;V1'!$H$9:$H$250,LEFT('FY Q&amp;V 2003-04 to Now'!C$7,4),'Petroleum - Q&amp;V1'!$I$9:$I$250,3)+
SUMIFS('Petroleum - Q&amp;V1'!$D$9:$D$250,'Petroleum - Q&amp;V1'!$H$9:$H$250,LEFT('FY Q&amp;V 2003-04 to Now'!C$7,4),'Petroleum - Q&amp;V1'!$I$9:$I$250,4)+
SUMIFS('Petroleum - Q&amp;V1'!$D$9:$D$250,'Petroleum - Q&amp;V1'!$H$9:$H$250,CONCATENATE("20",RIGHT('FY Q&amp;V 2003-04 to Now'!C$7,2)),'Petroleum - Q&amp;V1'!$I$9:$I$250,1)+
SUMIFS('Petroleum - Q&amp;V1'!$D$9:$D$250,'Petroleum - Q&amp;V1'!$H$9:$H$250,CONCATENATE("20",RIGHT('FY Q&amp;V 2003-04 to Now'!C$7,2)),'Petroleum - Q&amp;V1'!$I$9:$I$250,2))*1000000</f>
        <v>6181484</v>
      </c>
      <c r="D69" s="891">
        <f>(SUMIFS('Petroleum - Q&amp;V1'!$E$9:$E$250,'Petroleum - Q&amp;V1'!$H$9:$H$250,LEFT('FY Q&amp;V 2003-04 to Now'!C$7,4),'Petroleum - Q&amp;V1'!$I$9:$I$250,3)+
SUMIFS('Petroleum - Q&amp;V1'!$E$9:$E$250,'Petroleum - Q&amp;V1'!$H$9:$H$250,LEFT('FY Q&amp;V 2003-04 to Now'!C$7,4),'Petroleum - Q&amp;V1'!$I$9:$I$250,4)+
SUMIFS('Petroleum - Q&amp;V1'!$E$9:$E$250,'Petroleum - Q&amp;V1'!$H$9:$H$250,CONCATENATE("20",RIGHT('FY Q&amp;V 2003-04 to Now'!C$7,2)),'Petroleum - Q&amp;V1'!$I$9:$I$250,1)+
SUMIFS('Petroleum - Q&amp;V1'!$E$9:$E$250,'Petroleum - Q&amp;V1'!$H$9:$H$250,CONCATENATE("20",RIGHT('FY Q&amp;V 2003-04 to Now'!C$7,2)),'Petroleum - Q&amp;V1'!$I$9:$I$250,2))*1000000</f>
        <v>1747506589</v>
      </c>
      <c r="E69" s="890">
        <f>(SUMIFS('Petroleum - Q&amp;V1'!$D$9:$D$250,'Petroleum - Q&amp;V1'!$H$9:$H$250,LEFT('FY Q&amp;V 2003-04 to Now'!E$7,4),'Petroleum - Q&amp;V1'!$I$9:$I$250,3)+
SUMIFS('Petroleum - Q&amp;V1'!$D$9:$D$250,'Petroleum - Q&amp;V1'!$H$9:$H$250,LEFT('FY Q&amp;V 2003-04 to Now'!E$7,4),'Petroleum - Q&amp;V1'!$I$9:$I$250,4)+
SUMIFS('Petroleum - Q&amp;V1'!$D$9:$D$250,'Petroleum - Q&amp;V1'!$H$9:$H$250,CONCATENATE("20",RIGHT('FY Q&amp;V 2003-04 to Now'!E$7,2)),'Petroleum - Q&amp;V1'!$I$9:$I$250,1)+
SUMIFS('Petroleum - Q&amp;V1'!$D$9:$D$250,'Petroleum - Q&amp;V1'!$H$9:$H$250,CONCATENATE("20",RIGHT('FY Q&amp;V 2003-04 to Now'!E$7,2)),'Petroleum - Q&amp;V1'!$I$9:$I$250,2))*1000000</f>
        <v>5173746</v>
      </c>
      <c r="F69" s="891">
        <f>(SUMIFS('Petroleum - Q&amp;V1'!$E$9:$E$250,'Petroleum - Q&amp;V1'!$H$9:$H$250,LEFT('FY Q&amp;V 2003-04 to Now'!E$7,4),'Petroleum - Q&amp;V1'!$I$9:$I$250,3)+
SUMIFS('Petroleum - Q&amp;V1'!$E$9:$E$250,'Petroleum - Q&amp;V1'!$H$9:$H$250,LEFT('FY Q&amp;V 2003-04 to Now'!E$7,4),'Petroleum - Q&amp;V1'!$I$9:$I$250,4)+
SUMIFS('Petroleum - Q&amp;V1'!$E$9:$E$250,'Petroleum - Q&amp;V1'!$H$9:$H$250,CONCATENATE("20",RIGHT('FY Q&amp;V 2003-04 to Now'!E$7,2)),'Petroleum - Q&amp;V1'!$I$9:$I$250,1)+
SUMIFS('Petroleum - Q&amp;V1'!$E$9:$E$250,'Petroleum - Q&amp;V1'!$H$9:$H$250,CONCATENATE("20",RIGHT('FY Q&amp;V 2003-04 to Now'!E$7,2)),'Petroleum - Q&amp;V1'!$I$9:$I$250,2))*1000000</f>
        <v>2203123267</v>
      </c>
      <c r="G69" s="890">
        <f>(SUMIFS('Petroleum - Q&amp;V1'!$D$9:$D$250,'Petroleum - Q&amp;V1'!$H$9:$H$250,LEFT('FY Q&amp;V 2003-04 to Now'!G$7,4),'Petroleum - Q&amp;V1'!$I$9:$I$250,3)+
SUMIFS('Petroleum - Q&amp;V1'!$D$9:$D$250,'Petroleum - Q&amp;V1'!$H$9:$H$250,LEFT('FY Q&amp;V 2003-04 to Now'!G$7,4),'Petroleum - Q&amp;V1'!$I$9:$I$250,4)+
SUMIFS('Petroleum - Q&amp;V1'!$D$9:$D$250,'Petroleum - Q&amp;V1'!$H$9:$H$250,CONCATENATE("20",RIGHT('FY Q&amp;V 2003-04 to Now'!G$7,2)),'Petroleum - Q&amp;V1'!$I$9:$I$250,1)+
SUMIFS('Petroleum - Q&amp;V1'!$D$9:$D$250,'Petroleum - Q&amp;V1'!$H$9:$H$250,CONCATENATE("20",RIGHT('FY Q&amp;V 2003-04 to Now'!G$7,2)),'Petroleum - Q&amp;V1'!$I$9:$I$250,2))*1000000</f>
        <v>5626187</v>
      </c>
      <c r="H69" s="891">
        <f>(SUMIFS('Petroleum - Q&amp;V1'!$E$9:$E$250,'Petroleum - Q&amp;V1'!$H$9:$H$250,LEFT('FY Q&amp;V 2003-04 to Now'!G$7,4),'Petroleum - Q&amp;V1'!$I$9:$I$250,3)+
SUMIFS('Petroleum - Q&amp;V1'!$E$9:$E$250,'Petroleum - Q&amp;V1'!$H$9:$H$250,LEFT('FY Q&amp;V 2003-04 to Now'!G$7,4),'Petroleum - Q&amp;V1'!$I$9:$I$250,4)+
SUMIFS('Petroleum - Q&amp;V1'!$E$9:$E$250,'Petroleum - Q&amp;V1'!$H$9:$H$250,CONCATENATE("20",RIGHT('FY Q&amp;V 2003-04 to Now'!G$7,2)),'Petroleum - Q&amp;V1'!$I$9:$I$250,1)+
SUMIFS('Petroleum - Q&amp;V1'!$E$9:$E$250,'Petroleum - Q&amp;V1'!$H$9:$H$250,CONCATENATE("20",RIGHT('FY Q&amp;V 2003-04 to Now'!G$7,2)),'Petroleum - Q&amp;V1'!$I$9:$I$250,2))*1000000</f>
        <v>2791626559</v>
      </c>
      <c r="I69" s="890">
        <f>(SUMIFS('Petroleum - Q&amp;V1'!$D$9:$D$250,'Petroleum - Q&amp;V1'!$H$9:$H$250,LEFT('FY Q&amp;V 2003-04 to Now'!I$7,4),'Petroleum - Q&amp;V1'!$I$9:$I$250,3)+
SUMIFS('Petroleum - Q&amp;V1'!$D$9:$D$250,'Petroleum - Q&amp;V1'!$H$9:$H$250,LEFT('FY Q&amp;V 2003-04 to Now'!I$7,4),'Petroleum - Q&amp;V1'!$I$9:$I$250,4)+
SUMIFS('Petroleum - Q&amp;V1'!$D$9:$D$250,'Petroleum - Q&amp;V1'!$H$9:$H$250,CONCATENATE("20",RIGHT('FY Q&amp;V 2003-04 to Now'!I$7,2)),'Petroleum - Q&amp;V1'!$I$9:$I$250,1)+
SUMIFS('Petroleum - Q&amp;V1'!$D$9:$D$250,'Petroleum - Q&amp;V1'!$H$9:$H$250,CONCATENATE("20",RIGHT('FY Q&amp;V 2003-04 to Now'!I$7,2)),'Petroleum - Q&amp;V1'!$I$9:$I$250,2))*1000000</f>
        <v>5860072.0000000009</v>
      </c>
      <c r="J69" s="891">
        <f>(SUMIFS('Petroleum - Q&amp;V1'!$E$9:$E$250,'Petroleum - Q&amp;V1'!$H$9:$H$250,LEFT('FY Q&amp;V 2003-04 to Now'!I$7,4),'Petroleum - Q&amp;V1'!$I$9:$I$250,3)+
SUMIFS('Petroleum - Q&amp;V1'!$E$9:$E$250,'Petroleum - Q&amp;V1'!$H$9:$H$250,LEFT('FY Q&amp;V 2003-04 to Now'!I$7,4),'Petroleum - Q&amp;V1'!$I$9:$I$250,4)+
SUMIFS('Petroleum - Q&amp;V1'!$E$9:$E$250,'Petroleum - Q&amp;V1'!$H$9:$H$250,CONCATENATE("20",RIGHT('FY Q&amp;V 2003-04 to Now'!I$7,2)),'Petroleum - Q&amp;V1'!$I$9:$I$250,1)+
SUMIFS('Petroleum - Q&amp;V1'!$E$9:$E$250,'Petroleum - Q&amp;V1'!$H$9:$H$250,CONCATENATE("20",RIGHT('FY Q&amp;V 2003-04 to Now'!I$7,2)),'Petroleum - Q&amp;V1'!$I$9:$I$250,2))*1000000</f>
        <v>2972408099</v>
      </c>
      <c r="K69" s="890">
        <f>(SUMIFS('Petroleum - Q&amp;V1'!$D$9:$D$250,'Petroleum - Q&amp;V1'!$H$9:$H$250,LEFT('FY Q&amp;V 2003-04 to Now'!K$7,4),'Petroleum - Q&amp;V1'!$I$9:$I$250,3)+
SUMIFS('Petroleum - Q&amp;V1'!$D$9:$D$250,'Petroleum - Q&amp;V1'!$H$9:$H$250,LEFT('FY Q&amp;V 2003-04 to Now'!K$7,4),'Petroleum - Q&amp;V1'!$I$9:$I$250,4)+
SUMIFS('Petroleum - Q&amp;V1'!$D$9:$D$250,'Petroleum - Q&amp;V1'!$H$9:$H$250,CONCATENATE("20",RIGHT('FY Q&amp;V 2003-04 to Now'!K$7,2)),'Petroleum - Q&amp;V1'!$I$9:$I$250,1)+
SUMIFS('Petroleum - Q&amp;V1'!$D$9:$D$250,'Petroleum - Q&amp;V1'!$H$9:$H$250,CONCATENATE("20",RIGHT('FY Q&amp;V 2003-04 to Now'!K$7,2)),'Petroleum - Q&amp;V1'!$I$9:$I$250,2))*1000000</f>
        <v>5763756</v>
      </c>
      <c r="L69" s="891">
        <f>(SUMIFS('Petroleum - Q&amp;V1'!$E$9:$E$250,'Petroleum - Q&amp;V1'!$H$9:$H$250,LEFT('FY Q&amp;V 2003-04 to Now'!K$7,4),'Petroleum - Q&amp;V1'!$I$9:$I$250,3)+
SUMIFS('Petroleum - Q&amp;V1'!$E$9:$E$250,'Petroleum - Q&amp;V1'!$H$9:$H$250,LEFT('FY Q&amp;V 2003-04 to Now'!K$7,4),'Petroleum - Q&amp;V1'!$I$9:$I$250,4)+
SUMIFS('Petroleum - Q&amp;V1'!$E$9:$E$250,'Petroleum - Q&amp;V1'!$H$9:$H$250,CONCATENATE("20",RIGHT('FY Q&amp;V 2003-04 to Now'!K$7,2)),'Petroleum - Q&amp;V1'!$I$9:$I$250,1)+
SUMIFS('Petroleum - Q&amp;V1'!$E$9:$E$250,'Petroleum - Q&amp;V1'!$H$9:$H$250,CONCATENATE("20",RIGHT('FY Q&amp;V 2003-04 to Now'!K$7,2)),'Petroleum - Q&amp;V1'!$I$9:$I$250,2))*1000000</f>
        <v>3694669870</v>
      </c>
      <c r="M69" s="890">
        <f>(SUMIFS('Petroleum - Q&amp;V1'!$D$9:$D$250,'Petroleum - Q&amp;V1'!$H$9:$H$250,LEFT('FY Q&amp;V 2003-04 to Now'!M$7,4),'Petroleum - Q&amp;V1'!$I$9:$I$250,3)+
SUMIFS('Petroleum - Q&amp;V1'!$D$9:$D$250,'Petroleum - Q&amp;V1'!$H$9:$H$250,LEFT('FY Q&amp;V 2003-04 to Now'!M$7,4),'Petroleum - Q&amp;V1'!$I$9:$I$250,4)+
SUMIFS('Petroleum - Q&amp;V1'!$D$9:$D$250,'Petroleum - Q&amp;V1'!$H$9:$H$250,CONCATENATE("20",RIGHT('FY Q&amp;V 2003-04 to Now'!M$7,2)),'Petroleum - Q&amp;V1'!$I$9:$I$250,1)+
SUMIFS('Petroleum - Q&amp;V1'!$D$9:$D$250,'Petroleum - Q&amp;V1'!$H$9:$H$250,CONCATENATE("20",RIGHT('FY Q&amp;V 2003-04 to Now'!M$7,2)),'Petroleum - Q&amp;V1'!$I$9:$I$250,2))*1000000</f>
        <v>6657101.0000000009</v>
      </c>
      <c r="N69" s="891">
        <f>(SUMIFS('Petroleum - Q&amp;V1'!$E$9:$E$250,'Petroleum - Q&amp;V1'!$H$9:$H$250,LEFT('FY Q&amp;V 2003-04 to Now'!M$7,4),'Petroleum - Q&amp;V1'!$I$9:$I$250,3)+
SUMIFS('Petroleum - Q&amp;V1'!$E$9:$E$250,'Petroleum - Q&amp;V1'!$H$9:$H$250,LEFT('FY Q&amp;V 2003-04 to Now'!M$7,4),'Petroleum - Q&amp;V1'!$I$9:$I$250,4)+
SUMIFS('Petroleum - Q&amp;V1'!$E$9:$E$250,'Petroleum - Q&amp;V1'!$H$9:$H$250,CONCATENATE("20",RIGHT('FY Q&amp;V 2003-04 to Now'!M$7,2)),'Petroleum - Q&amp;V1'!$I$9:$I$250,1)+
SUMIFS('Petroleum - Q&amp;V1'!$E$9:$E$250,'Petroleum - Q&amp;V1'!$H$9:$H$250,CONCATENATE("20",RIGHT('FY Q&amp;V 2003-04 to Now'!M$7,2)),'Petroleum - Q&amp;V1'!$I$9:$I$250,2))*1000000</f>
        <v>3108787292</v>
      </c>
      <c r="O69" s="890">
        <f>(SUMIFS('Petroleum - Q&amp;V1'!$D$9:$D$250,'Petroleum - Q&amp;V1'!$H$9:$H$250,LEFT('FY Q&amp;V 2003-04 to Now'!O$7,4),'Petroleum - Q&amp;V1'!$I$9:$I$250,3)+
SUMIFS('Petroleum - Q&amp;V1'!$D$9:$D$250,'Petroleum - Q&amp;V1'!$H$9:$H$250,LEFT('FY Q&amp;V 2003-04 to Now'!O$7,4),'Petroleum - Q&amp;V1'!$I$9:$I$250,4)+
SUMIFS('Petroleum - Q&amp;V1'!$D$9:$D$250,'Petroleum - Q&amp;V1'!$H$9:$H$250,CONCATENATE("20",RIGHT('FY Q&amp;V 2003-04 to Now'!O$7,2)),'Petroleum - Q&amp;V1'!$I$9:$I$250,1)+
SUMIFS('Petroleum - Q&amp;V1'!$D$9:$D$250,'Petroleum - Q&amp;V1'!$H$9:$H$250,CONCATENATE("20",RIGHT('FY Q&amp;V 2003-04 to Now'!O$7,2)),'Petroleum - Q&amp;V1'!$I$9:$I$250,2))*1000000</f>
        <v>7418012</v>
      </c>
      <c r="P69" s="891">
        <f>(SUMIFS('Petroleum - Q&amp;V1'!$E$9:$E$250,'Petroleum - Q&amp;V1'!$H$9:$H$250,LEFT('FY Q&amp;V 2003-04 to Now'!O$7,4),'Petroleum - Q&amp;V1'!$I$9:$I$250,3)+
SUMIFS('Petroleum - Q&amp;V1'!$E$9:$E$250,'Petroleum - Q&amp;V1'!$H$9:$H$250,LEFT('FY Q&amp;V 2003-04 to Now'!O$7,4),'Petroleum - Q&amp;V1'!$I$9:$I$250,4)+
SUMIFS('Petroleum - Q&amp;V1'!$E$9:$E$250,'Petroleum - Q&amp;V1'!$H$9:$H$250,CONCATENATE("20",RIGHT('FY Q&amp;V 2003-04 to Now'!O$7,2)),'Petroleum - Q&amp;V1'!$I$9:$I$250,1)+
SUMIFS('Petroleum - Q&amp;V1'!$E$9:$E$250,'Petroleum - Q&amp;V1'!$H$9:$H$250,CONCATENATE("20",RIGHT('FY Q&amp;V 2003-04 to Now'!O$7,2)),'Petroleum - Q&amp;V1'!$I$9:$I$250,2))*1000000</f>
        <v>3501186255</v>
      </c>
      <c r="Q69" s="890">
        <f>(SUMIFS('Petroleum - Q&amp;V1'!$D$9:$D$250,'Petroleum - Q&amp;V1'!$H$9:$H$250,LEFT('FY Q&amp;V 2003-04 to Now'!Q$7,4),'Petroleum - Q&amp;V1'!$I$9:$I$250,3)+
SUMIFS('Petroleum - Q&amp;V1'!$D$9:$D$250,'Petroleum - Q&amp;V1'!$H$9:$H$250,LEFT('FY Q&amp;V 2003-04 to Now'!Q$7,4),'Petroleum - Q&amp;V1'!$I$9:$I$250,4)+
SUMIFS('Petroleum - Q&amp;V1'!$D$9:$D$250,'Petroleum - Q&amp;V1'!$H$9:$H$250,CONCATENATE("20",RIGHT('FY Q&amp;V 2003-04 to Now'!Q$7,2)),'Petroleum - Q&amp;V1'!$I$9:$I$250,1)+
SUMIFS('Petroleum - Q&amp;V1'!$D$9:$D$250,'Petroleum - Q&amp;V1'!$H$9:$H$250,CONCATENATE("20",RIGHT('FY Q&amp;V 2003-04 to Now'!Q$7,2)),'Petroleum - Q&amp;V1'!$I$9:$I$250,2))*1000000</f>
        <v>6881791</v>
      </c>
      <c r="R69" s="891">
        <f>(SUMIFS('Petroleum - Q&amp;V1'!$E$9:$E$250,'Petroleum - Q&amp;V1'!$H$9:$H$250,LEFT('FY Q&amp;V 2003-04 to Now'!Q$7,4),'Petroleum - Q&amp;V1'!$I$9:$I$250,3)+
SUMIFS('Petroleum - Q&amp;V1'!$E$9:$E$250,'Petroleum - Q&amp;V1'!$H$9:$H$250,LEFT('FY Q&amp;V 2003-04 to Now'!Q$7,4),'Petroleum - Q&amp;V1'!$I$9:$I$250,4)+
SUMIFS('Petroleum - Q&amp;V1'!$E$9:$E$250,'Petroleum - Q&amp;V1'!$H$9:$H$250,CONCATENATE("20",RIGHT('FY Q&amp;V 2003-04 to Now'!Q$7,2)),'Petroleum - Q&amp;V1'!$I$9:$I$250,1)+
SUMIFS('Petroleum - Q&amp;V1'!$E$9:$E$250,'Petroleum - Q&amp;V1'!$H$9:$H$250,CONCATENATE("20",RIGHT('FY Q&amp;V 2003-04 to Now'!Q$7,2)),'Petroleum - Q&amp;V1'!$I$9:$I$250,2))*1000000</f>
        <v>3988524336</v>
      </c>
      <c r="S69" s="890">
        <f>(SUMIFS('Petroleum - Q&amp;V1'!$D$9:$D$250,'Petroleum - Q&amp;V1'!$H$9:$H$250,LEFT('FY Q&amp;V 2003-04 to Now'!S$7,4),'Petroleum - Q&amp;V1'!$I$9:$I$250,3)+
SUMIFS('Petroleum - Q&amp;V1'!$D$9:$D$250,'Petroleum - Q&amp;V1'!$H$9:$H$250,LEFT('FY Q&amp;V 2003-04 to Now'!S$7,4),'Petroleum - Q&amp;V1'!$I$9:$I$250,4)+
SUMIFS('Petroleum - Q&amp;V1'!$D$9:$D$250,'Petroleum - Q&amp;V1'!$H$9:$H$250,CONCATENATE("20",RIGHT('FY Q&amp;V 2003-04 to Now'!S$7,2)),'Petroleum - Q&amp;V1'!$I$9:$I$250,1)+
SUMIFS('Petroleum - Q&amp;V1'!$D$9:$D$250,'Petroleum - Q&amp;V1'!$H$9:$H$250,CONCATENATE("20",RIGHT('FY Q&amp;V 2003-04 to Now'!S$7,2)),'Petroleum - Q&amp;V1'!$I$9:$I$250,2))*1000000</f>
        <v>5888608</v>
      </c>
      <c r="T69" s="891">
        <f>(SUMIFS('Petroleum - Q&amp;V1'!$E$9:$E$250,'Petroleum - Q&amp;V1'!$H$9:$H$250,LEFT('FY Q&amp;V 2003-04 to Now'!S$7,4),'Petroleum - Q&amp;V1'!$I$9:$I$250,3)+
SUMIFS('Petroleum - Q&amp;V1'!$E$9:$E$250,'Petroleum - Q&amp;V1'!$H$9:$H$250,LEFT('FY Q&amp;V 2003-04 to Now'!S$7,4),'Petroleum - Q&amp;V1'!$I$9:$I$250,4)+
SUMIFS('Petroleum - Q&amp;V1'!$E$9:$E$250,'Petroleum - Q&amp;V1'!$H$9:$H$250,CONCATENATE("20",RIGHT('FY Q&amp;V 2003-04 to Now'!S$7,2)),'Petroleum - Q&amp;V1'!$I$9:$I$250,1)+
SUMIFS('Petroleum - Q&amp;V1'!$E$9:$E$250,'Petroleum - Q&amp;V1'!$H$9:$H$250,CONCATENATE("20",RIGHT('FY Q&amp;V 2003-04 to Now'!S$7,2)),'Petroleum - Q&amp;V1'!$I$9:$I$250,2))*1000000</f>
        <v>3842111571.0000005</v>
      </c>
      <c r="U69" s="890">
        <f>(SUMIFS('Petroleum - Q&amp;V1'!$D$9:$D$250,'Petroleum - Q&amp;V1'!$H$9:$H$250,LEFT('FY Q&amp;V 2003-04 to Now'!U$7,4),'Petroleum - Q&amp;V1'!$I$9:$I$250,3)+
SUMIFS('Petroleum - Q&amp;V1'!$D$9:$D$250,'Petroleum - Q&amp;V1'!$H$9:$H$250,LEFT('FY Q&amp;V 2003-04 to Now'!U$7,4),'Petroleum - Q&amp;V1'!$I$9:$I$250,4)+
SUMIFS('Petroleum - Q&amp;V1'!$D$9:$D$250,'Petroleum - Q&amp;V1'!$H$9:$H$250,CONCATENATE("20",RIGHT('FY Q&amp;V 2003-04 to Now'!U$7,2)),'Petroleum - Q&amp;V1'!$I$9:$I$250,1)+
SUMIFS('Petroleum - Q&amp;V1'!$D$9:$D$250,'Petroleum - Q&amp;V1'!$H$9:$H$250,CONCATENATE("20",RIGHT('FY Q&amp;V 2003-04 to Now'!U$7,2)),'Petroleum - Q&amp;V1'!$I$9:$I$250,2))*1000000</f>
        <v>6116968</v>
      </c>
      <c r="V69" s="891">
        <f>(SUMIFS('Petroleum - Q&amp;V1'!$E$9:$E$250,'Petroleum - Q&amp;V1'!$H$9:$H$250,LEFT('FY Q&amp;V 2003-04 to Now'!U$7,4),'Petroleum - Q&amp;V1'!$I$9:$I$250,3)+
SUMIFS('Petroleum - Q&amp;V1'!$E$9:$E$250,'Petroleum - Q&amp;V1'!$H$9:$H$250,LEFT('FY Q&amp;V 2003-04 to Now'!U$7,4),'Petroleum - Q&amp;V1'!$I$9:$I$250,4)+
SUMIFS('Petroleum - Q&amp;V1'!$E$9:$E$250,'Petroleum - Q&amp;V1'!$H$9:$H$250,CONCATENATE("20",RIGHT('FY Q&amp;V 2003-04 to Now'!U$7,2)),'Petroleum - Q&amp;V1'!$I$9:$I$250,1)+
SUMIFS('Petroleum - Q&amp;V1'!$E$9:$E$250,'Petroleum - Q&amp;V1'!$H$9:$H$250,CONCATENATE("20",RIGHT('FY Q&amp;V 2003-04 to Now'!U$7,2)),'Petroleum - Q&amp;V1'!$I$9:$I$250,2))*1000000</f>
        <v>3922032524</v>
      </c>
      <c r="W69" s="890">
        <f>(SUMIFS('Petroleum - Q&amp;V1'!$D$9:$D$250,'Petroleum - Q&amp;V1'!$H$9:$H$250,LEFT('FY Q&amp;V 2003-04 to Now'!W$7,4),'Petroleum - Q&amp;V1'!$I$9:$I$250,3)+
SUMIFS('Petroleum - Q&amp;V1'!$D$9:$D$250,'Petroleum - Q&amp;V1'!$H$9:$H$250,LEFT('FY Q&amp;V 2003-04 to Now'!W$7,4),'Petroleum - Q&amp;V1'!$I$9:$I$250,4)+
SUMIFS('Petroleum - Q&amp;V1'!$D$9:$D$250,'Petroleum - Q&amp;V1'!$H$9:$H$250,CONCATENATE("20",RIGHT('FY Q&amp;V 2003-04 to Now'!W$7,2)),'Petroleum - Q&amp;V1'!$I$9:$I$250,1)+
SUMIFS('Petroleum - Q&amp;V1'!$D$9:$D$250,'Petroleum - Q&amp;V1'!$H$9:$H$250,CONCATENATE("20",RIGHT('FY Q&amp;V 2003-04 to Now'!W$7,2)),'Petroleum - Q&amp;V1'!$I$9:$I$250,2))*1000000</f>
        <v>4399263.2069999995</v>
      </c>
      <c r="X69" s="891">
        <f>(SUMIFS('Petroleum - Q&amp;V1'!$E$9:$E$250,'Petroleum - Q&amp;V1'!$H$9:$H$250,LEFT('FY Q&amp;V 2003-04 to Now'!W$7,4),'Petroleum - Q&amp;V1'!$I$9:$I$250,3)+
SUMIFS('Petroleum - Q&amp;V1'!$E$9:$E$250,'Petroleum - Q&amp;V1'!$H$9:$H$250,LEFT('FY Q&amp;V 2003-04 to Now'!W$7,4),'Petroleum - Q&amp;V1'!$I$9:$I$250,4)+
SUMIFS('Petroleum - Q&amp;V1'!$E$9:$E$250,'Petroleum - Q&amp;V1'!$H$9:$H$250,CONCATENATE("20",RIGHT('FY Q&amp;V 2003-04 to Now'!W$7,2)),'Petroleum - Q&amp;V1'!$I$9:$I$250,1)+
SUMIFS('Petroleum - Q&amp;V1'!$E$9:$E$250,'Petroleum - Q&amp;V1'!$H$9:$H$250,CONCATENATE("20",RIGHT('FY Q&amp;V 2003-04 to Now'!W$7,2)),'Petroleum - Q&amp;V1'!$I$9:$I$250,2))*1000000</f>
        <v>3199879402.0108123</v>
      </c>
      <c r="Y69" s="890">
        <f>(SUMIFS('Petroleum - Q&amp;V1'!$D$9:$D$250,'Petroleum - Q&amp;V1'!$H$9:$H$250,LEFT('FY Q&amp;V 2003-04 to Now'!Y$7,4),'Petroleum - Q&amp;V1'!$I$9:$I$250,3)+
SUMIFS('Petroleum - Q&amp;V1'!$D$9:$D$250,'Petroleum - Q&amp;V1'!$H$9:$H$250,LEFT('FY Q&amp;V 2003-04 to Now'!Y$7,4),'Petroleum - Q&amp;V1'!$I$9:$I$250,4)+
SUMIFS('Petroleum - Q&amp;V1'!$D$9:$D$250,'Petroleum - Q&amp;V1'!$H$9:$H$250,CONCATENATE("20",RIGHT('FY Q&amp;V 2003-04 to Now'!Y$7,2)),'Petroleum - Q&amp;V1'!$I$9:$I$250,1)+
SUMIFS('Petroleum - Q&amp;V1'!$D$9:$D$250,'Petroleum - Q&amp;V1'!$H$9:$H$250,CONCATENATE("20",RIGHT('FY Q&amp;V 2003-04 to Now'!Y$7,2)),'Petroleum - Q&amp;V1'!$I$9:$I$250,2))*1000000</f>
        <v>6753213.4489999991</v>
      </c>
      <c r="Z69" s="891">
        <f>(SUMIFS('Petroleum - Q&amp;V1'!$E$9:$E$250,'Petroleum - Q&amp;V1'!$H$9:$H$250,LEFT('FY Q&amp;V 2003-04 to Now'!Y$7,4),'Petroleum - Q&amp;V1'!$I$9:$I$250,3)+
SUMIFS('Petroleum - Q&amp;V1'!$E$9:$E$250,'Petroleum - Q&amp;V1'!$H$9:$H$250,LEFT('FY Q&amp;V 2003-04 to Now'!Y$7,4),'Petroleum - Q&amp;V1'!$I$9:$I$250,4)+
SUMIFS('Petroleum - Q&amp;V1'!$E$9:$E$250,'Petroleum - Q&amp;V1'!$H$9:$H$250,CONCATENATE("20",RIGHT('FY Q&amp;V 2003-04 to Now'!Y$7,2)),'Petroleum - Q&amp;V1'!$I$9:$I$250,1)+
SUMIFS('Petroleum - Q&amp;V1'!$E$9:$E$250,'Petroleum - Q&amp;V1'!$H$9:$H$250,CONCATENATE("20",RIGHT('FY Q&amp;V 2003-04 to Now'!Y$7,2)),'Petroleum - Q&amp;V1'!$I$9:$I$250,2))*1000000</f>
        <v>3528826230.5219269</v>
      </c>
      <c r="AA69" s="890">
        <f>(SUMIFS('Petroleum - Q&amp;V1'!$D$9:$D$250,'Petroleum - Q&amp;V1'!$H$9:$H$250,LEFT('FY Q&amp;V 2003-04 to Now'!AA$7,4),'Petroleum - Q&amp;V1'!$I$9:$I$250,3)+
SUMIFS('Petroleum - Q&amp;V1'!$D$9:$D$250,'Petroleum - Q&amp;V1'!$H$9:$H$250,LEFT('FY Q&amp;V 2003-04 to Now'!AA$7,4),'Petroleum - Q&amp;V1'!$I$9:$I$250,4)+
SUMIFS('Petroleum - Q&amp;V1'!$D$9:$D$250,'Petroleum - Q&amp;V1'!$H$9:$H$250,CONCATENATE("20",RIGHT('FY Q&amp;V 2003-04 to Now'!AA$7,2)),'Petroleum - Q&amp;V1'!$I$9:$I$250,1)+
SUMIFS('Petroleum - Q&amp;V1'!$D$9:$D$250,'Petroleum - Q&amp;V1'!$H$9:$H$250,CONCATENATE("20",RIGHT('FY Q&amp;V 2003-04 to Now'!AA$7,2)),'Petroleum - Q&amp;V1'!$I$9:$I$250,2))*1000000</f>
        <v>6775141.6115060011</v>
      </c>
      <c r="AB69" s="891">
        <f>(SUMIFS('Petroleum - Q&amp;V1'!$E$9:$E$250,'Petroleum - Q&amp;V1'!$H$9:$H$250,LEFT('FY Q&amp;V 2003-04 to Now'!AA$7,4),'Petroleum - Q&amp;V1'!$I$9:$I$250,3)+
SUMIFS('Petroleum - Q&amp;V1'!$E$9:$E$250,'Petroleum - Q&amp;V1'!$H$9:$H$250,LEFT('FY Q&amp;V 2003-04 to Now'!AA$7,4),'Petroleum - Q&amp;V1'!$I$9:$I$250,4)+
SUMIFS('Petroleum - Q&amp;V1'!$E$9:$E$250,'Petroleum - Q&amp;V1'!$H$9:$H$250,CONCATENATE("20",RIGHT('FY Q&amp;V 2003-04 to Now'!AA$7,2)),'Petroleum - Q&amp;V1'!$I$9:$I$250,1)+
SUMIFS('Petroleum - Q&amp;V1'!$E$9:$E$250,'Petroleum - Q&amp;V1'!$H$9:$H$250,CONCATENATE("20",RIGHT('FY Q&amp;V 2003-04 to Now'!AA$7,2)),'Petroleum - Q&amp;V1'!$I$9:$I$250,2))*1000000</f>
        <v>2213709834.2771978</v>
      </c>
      <c r="AC69" s="890">
        <f>(SUMIFS('Petroleum - Q&amp;V1'!$D$9:$D$250,'Petroleum - Q&amp;V1'!$H$9:$H$250,LEFT('FY Q&amp;V 2003-04 to Now'!AC$7,4),'Petroleum - Q&amp;V1'!$I$9:$I$250,3)+
SUMIFS('Petroleum - Q&amp;V1'!$D$9:$D$250,'Petroleum - Q&amp;V1'!$H$9:$H$250,LEFT('FY Q&amp;V 2003-04 to Now'!AC$7,4),'Petroleum - Q&amp;V1'!$I$9:$I$250,4)+
SUMIFS('Petroleum - Q&amp;V1'!$D$9:$D$250,'Petroleum - Q&amp;V1'!$H$9:$H$250,CONCATENATE("20",RIGHT('FY Q&amp;V 2003-04 to Now'!AC$7,2)),'Petroleum - Q&amp;V1'!$I$9:$I$250,1)+
SUMIFS('Petroleum - Q&amp;V1'!$D$9:$D$250,'Petroleum - Q&amp;V1'!$H$9:$H$250,CONCATENATE("20",RIGHT('FY Q&amp;V 2003-04 to Now'!AC$7,2)),'Petroleum - Q&amp;V1'!$I$9:$I$250,2))*1000000</f>
        <v>6037603.2539301543</v>
      </c>
      <c r="AD69" s="890">
        <f>(SUMIFS('Petroleum - Q&amp;V1'!$E$9:$E$250,'Petroleum - Q&amp;V1'!$H$9:$H$250,LEFT('FY Q&amp;V 2003-04 to Now'!AC$7,4),'Petroleum - Q&amp;V1'!$I$9:$I$250,3)+
SUMIFS('Petroleum - Q&amp;V1'!$E$9:$E$250,'Petroleum - Q&amp;V1'!$H$9:$H$250,LEFT('FY Q&amp;V 2003-04 to Now'!AC$7,4),'Petroleum - Q&amp;V1'!$I$9:$I$250,4)+
SUMIFS('Petroleum - Q&amp;V1'!$E$9:$E$250,'Petroleum - Q&amp;V1'!$H$9:$H$250,CONCATENATE("20",RIGHT('FY Q&amp;V 2003-04 to Now'!AC$7,2)),'Petroleum - Q&amp;V1'!$I$9:$I$250,1)+
SUMIFS('Petroleum - Q&amp;V1'!$E$9:$E$250,'Petroleum - Q&amp;V1'!$H$9:$H$250,CONCATENATE("20",RIGHT('FY Q&amp;V 2003-04 to Now'!AC$7,2)),'Petroleum - Q&amp;V1'!$I$9:$I$250,2))*1000000</f>
        <v>2228572828.0311179</v>
      </c>
      <c r="AE69" s="891">
        <f>(SUMIFS('Petroleum - Q&amp;V1'!$D$9:$D$250,'Petroleum - Q&amp;V1'!$H$9:$H$250,LEFT('FY Q&amp;V 2003-04 to Now'!AE$7,4),'Petroleum - Q&amp;V1'!$I$9:$I$250,3)+
SUMIFS('Petroleum - Q&amp;V1'!$D$9:$D$250,'Petroleum - Q&amp;V1'!$H$9:$H$250,LEFT('FY Q&amp;V 2003-04 to Now'!AE$7,4),'Petroleum - Q&amp;V1'!$I$9:$I$250,4)+
SUMIFS('Petroleum - Q&amp;V1'!$D$9:$D$250,'Petroleum - Q&amp;V1'!$H$9:$H$250,CONCATENATE("20",RIGHT('FY Q&amp;V 2003-04 to Now'!AE$7,2)),'Petroleum - Q&amp;V1'!$I$9:$I$250,1)+
SUMIFS('Petroleum - Q&amp;V1'!$D$9:$D$250,'Petroleum - Q&amp;V1'!$H$9:$H$250,CONCATENATE("20",RIGHT('FY Q&amp;V 2003-04 to Now'!AE$7,2)),'Petroleum - Q&amp;V1'!$I$9:$I$250,2))*1000000</f>
        <v>7114021.2983805025</v>
      </c>
      <c r="AF69" s="891">
        <f>(SUMIFS('Petroleum - Q&amp;V1'!$E$9:$E$250,'Petroleum - Q&amp;V1'!$H$9:$H$250,LEFT('FY Q&amp;V 2003-04 to Now'!AE$7,4),'Petroleum - Q&amp;V1'!$I$9:$I$250,3)+
SUMIFS('Petroleum - Q&amp;V1'!$E$9:$E$250,'Petroleum - Q&amp;V1'!$H$9:$H$250,LEFT('FY Q&amp;V 2003-04 to Now'!AE$7,4),'Petroleum - Q&amp;V1'!$I$9:$I$250,4)+
SUMIFS('Petroleum - Q&amp;V1'!$E$9:$E$250,'Petroleum - Q&amp;V1'!$H$9:$H$250,CONCATENATE("20",RIGHT('FY Q&amp;V 2003-04 to Now'!AE$7,2)),'Petroleum - Q&amp;V1'!$I$9:$I$250,1)+
SUMIFS('Petroleum - Q&amp;V1'!$E$9:$E$250,'Petroleum - Q&amp;V1'!$H$9:$H$250,CONCATENATE("20",RIGHT('FY Q&amp;V 2003-04 to Now'!AE$7,2)),'Petroleum - Q&amp;V1'!$I$9:$I$250,2))*1000000</f>
        <v>3728005749.8147302</v>
      </c>
      <c r="AG69" s="891">
        <f>(SUMIFS('Petroleum - Q&amp;V1'!$D$9:$D$250,'Petroleum - Q&amp;V1'!$H$9:$H$250,LEFT('FY Q&amp;V 2003-04 to Now'!AG$7,4),'Petroleum - Q&amp;V1'!$I$9:$I$250,3)+
SUMIFS('Petroleum - Q&amp;V1'!$D$9:$D$250,'Petroleum - Q&amp;V1'!$H$9:$H$250,LEFT('FY Q&amp;V 2003-04 to Now'!AG$7,4),'Petroleum - Q&amp;V1'!$I$9:$I$250,4)+
SUMIFS('Petroleum - Q&amp;V1'!$D$9:$D$250,'Petroleum - Q&amp;V1'!$H$9:$H$250,CONCATENATE("20",RIGHT('FY Q&amp;V 2003-04 to Now'!AG$7,2)),'Petroleum - Q&amp;V1'!$I$9:$I$250,1)+
SUMIFS('Petroleum - Q&amp;V1'!$D$9:$D$250,'Petroleum - Q&amp;V1'!$H$9:$H$250,CONCATENATE("20",RIGHT('FY Q&amp;V 2003-04 to Now'!AG$7,2)),'Petroleum - Q&amp;V1'!$I$9:$I$250,2))*1000000</f>
        <v>11729551.201107953</v>
      </c>
      <c r="AH69" s="891">
        <f>(SUMIFS('Petroleum - Q&amp;V1'!$E$9:$E$250,'Petroleum - Q&amp;V1'!$H$9:$H$250,LEFT('FY Q&amp;V 2003-04 to Now'!AG$7,4),'Petroleum - Q&amp;V1'!$I$9:$I$250,3)+
SUMIFS('Petroleum - Q&amp;V1'!$E$9:$E$250,'Petroleum - Q&amp;V1'!$H$9:$H$250,LEFT('FY Q&amp;V 2003-04 to Now'!AG$7,4),'Petroleum - Q&amp;V1'!$I$9:$I$250,4)+
SUMIFS('Petroleum - Q&amp;V1'!$E$9:$E$250,'Petroleum - Q&amp;V1'!$H$9:$H$250,CONCATENATE("20",RIGHT('FY Q&amp;V 2003-04 to Now'!AG$7,2)),'Petroleum - Q&amp;V1'!$I$9:$I$250,1)+
SUMIFS('Petroleum - Q&amp;V1'!$E$9:$E$250,'Petroleum - Q&amp;V1'!$H$9:$H$250,CONCATENATE("20",RIGHT('FY Q&amp;V 2003-04 to Now'!AG$7,2)),'Petroleum - Q&amp;V1'!$I$9:$I$250,2))*1000000</f>
        <v>6677777036.2724056</v>
      </c>
      <c r="AI69" s="953">
        <f>SUMIF($C$9:AH$9,1,$C69:AH69)</f>
        <v>104376519.02092461</v>
      </c>
      <c r="AJ69" s="891">
        <f>SUMIF($C$9:AH$9,0,$C69:AH69)</f>
        <v>53348747442.928192</v>
      </c>
      <c r="AO69" s="1738"/>
    </row>
    <row r="70" spans="1:41">
      <c r="A70" s="887" t="s">
        <v>96</v>
      </c>
      <c r="B70" s="848" t="s">
        <v>306</v>
      </c>
      <c r="C70" s="890">
        <f>(SUMIFS('Petroleum - Q&amp;V1'!$B$9:$B$250,'Petroleum - Q&amp;V1'!$H$9:$H$250,LEFT('FY Q&amp;V 2003-04 to Now'!C$7,4),'Petroleum - Q&amp;V1'!$I$9:$I$250,3)+
SUMIFS('Petroleum - Q&amp;V1'!$B$9:$B$250,'Petroleum - Q&amp;V1'!$H$9:$H$250,LEFT('FY Q&amp;V 2003-04 to Now'!C$7,4),'Petroleum - Q&amp;V1'!$I$9:$I$250,4)+
SUMIFS('Petroleum - Q&amp;V1'!$B$9:$B$250,'Petroleum - Q&amp;V1'!$H$9:$H$250,CONCATENATE("20",RIGHT('FY Q&amp;V 2003-04 to Now'!C$7,2)),'Petroleum - Q&amp;V1'!$I$9:$I$250,1)+
SUMIFS('Petroleum - Q&amp;V1'!$B$9:$B$250,'Petroleum - Q&amp;V1'!$H$9:$H$250,CONCATENATE("20",RIGHT('FY Q&amp;V 2003-04 to Now'!C$7,2)),'Petroleum - Q&amp;V1'!$I$9:$I$250,2))*1000000</f>
        <v>13223116</v>
      </c>
      <c r="D70" s="891">
        <f>(SUMIFS('Petroleum - Q&amp;V1'!$C$9:$C$250,'Petroleum - Q&amp;V1'!$H$9:$H$250,LEFT('FY Q&amp;V 2003-04 to Now'!C$7,4),'Petroleum - Q&amp;V1'!$I$9:$I$250,3)+
SUMIFS('Petroleum - Q&amp;V1'!$C$9:$C$250,'Petroleum - Q&amp;V1'!$H$9:$H$250,LEFT('FY Q&amp;V 2003-04 to Now'!C$7,4),'Petroleum - Q&amp;V1'!$I$9:$I$250,4)+
SUMIFS('Petroleum - Q&amp;V1'!$C$9:$C$250,'Petroleum - Q&amp;V1'!$H$9:$H$250,CONCATENATE("20",RIGHT('FY Q&amp;V 2003-04 to Now'!C$7,2)),'Petroleum - Q&amp;V1'!$I$9:$I$250,1)+
SUMIFS('Petroleum - Q&amp;V1'!$C$9:$C$250,'Petroleum - Q&amp;V1'!$H$9:$H$250,CONCATENATE("20",RIGHT('FY Q&amp;V 2003-04 to Now'!C$7,2)),'Petroleum - Q&amp;V1'!$I$9:$I$250,2))*1000000</f>
        <v>3773641187.9999995</v>
      </c>
      <c r="E70" s="890">
        <f>(SUMIFS('Petroleum - Q&amp;V1'!$B$9:$B$250,'Petroleum - Q&amp;V1'!$H$9:$H$250,LEFT('FY Q&amp;V 2003-04 to Now'!E$7,4),'Petroleum - Q&amp;V1'!$I$9:$I$250,3)+
SUMIFS('Petroleum - Q&amp;V1'!$B$9:$B$250,'Petroleum - Q&amp;V1'!$H$9:$H$250,LEFT('FY Q&amp;V 2003-04 to Now'!E$7,4),'Petroleum - Q&amp;V1'!$I$9:$I$250,4)+
SUMIFS('Petroleum - Q&amp;V1'!$B$9:$B$250,'Petroleum - Q&amp;V1'!$H$9:$H$250,CONCATENATE("20",RIGHT('FY Q&amp;V 2003-04 to Now'!E$7,2)),'Petroleum - Q&amp;V1'!$I$9:$I$250,1)+
SUMIFS('Petroleum - Q&amp;V1'!$B$9:$B$250,'Petroleum - Q&amp;V1'!$H$9:$H$250,CONCATENATE("20",RIGHT('FY Q&amp;V 2003-04 to Now'!E$7,2)),'Petroleum - Q&amp;V1'!$I$9:$I$250,2))*1000000</f>
        <v>12773028</v>
      </c>
      <c r="F70" s="891">
        <f>(SUMIFS('Petroleum - Q&amp;V1'!$C$9:$C$250,'Petroleum - Q&amp;V1'!$H$9:$H$250,LEFT('FY Q&amp;V 2003-04 to Now'!E$7,4),'Petroleum - Q&amp;V1'!$I$9:$I$250,3)+
SUMIFS('Petroleum - Q&amp;V1'!$C$9:$C$250,'Petroleum - Q&amp;V1'!$H$9:$H$250,LEFT('FY Q&amp;V 2003-04 to Now'!E$7,4),'Petroleum - Q&amp;V1'!$I$9:$I$250,4)+
SUMIFS('Petroleum - Q&amp;V1'!$C$9:$C$250,'Petroleum - Q&amp;V1'!$H$9:$H$250,CONCATENATE("20",RIGHT('FY Q&amp;V 2003-04 to Now'!E$7,2)),'Petroleum - Q&amp;V1'!$I$9:$I$250,1)+
SUMIFS('Petroleum - Q&amp;V1'!$C$9:$C$250,'Petroleum - Q&amp;V1'!$H$9:$H$250,CONCATENATE("20",RIGHT('FY Q&amp;V 2003-04 to Now'!E$7,2)),'Petroleum - Q&amp;V1'!$I$9:$I$250,2))*1000000</f>
        <v>5176845195</v>
      </c>
      <c r="G70" s="890">
        <f>(SUMIFS('Petroleum - Q&amp;V1'!$B$9:$B$250,'Petroleum - Q&amp;V1'!$H$9:$H$250,LEFT('FY Q&amp;V 2003-04 to Now'!G$7,4),'Petroleum - Q&amp;V1'!$I$9:$I$250,3)+
SUMIFS('Petroleum - Q&amp;V1'!$B$9:$B$250,'Petroleum - Q&amp;V1'!$H$9:$H$250,LEFT('FY Q&amp;V 2003-04 to Now'!G$7,4),'Petroleum - Q&amp;V1'!$I$9:$I$250,4)+
SUMIFS('Petroleum - Q&amp;V1'!$B$9:$B$250,'Petroleum - Q&amp;V1'!$H$9:$H$250,CONCATENATE("20",RIGHT('FY Q&amp;V 2003-04 to Now'!G$7,2)),'Petroleum - Q&amp;V1'!$I$9:$I$250,1)+
SUMIFS('Petroleum - Q&amp;V1'!$B$9:$B$250,'Petroleum - Q&amp;V1'!$H$9:$H$250,CONCATENATE("20",RIGHT('FY Q&amp;V 2003-04 to Now'!G$7,2)),'Petroleum - Q&amp;V1'!$I$9:$I$250,2))*1000000</f>
        <v>11142978</v>
      </c>
      <c r="H70" s="891">
        <f>(SUMIFS('Petroleum - Q&amp;V1'!$C$9:$C$250,'Petroleum - Q&amp;V1'!$H$9:$H$250,LEFT('FY Q&amp;V 2003-04 to Now'!G$7,4),'Petroleum - Q&amp;V1'!$I$9:$I$250,3)+
SUMIFS('Petroleum - Q&amp;V1'!$C$9:$C$250,'Petroleum - Q&amp;V1'!$H$9:$H$250,LEFT('FY Q&amp;V 2003-04 to Now'!G$7,4),'Petroleum - Q&amp;V1'!$I$9:$I$250,4)+
SUMIFS('Petroleum - Q&amp;V1'!$C$9:$C$250,'Petroleum - Q&amp;V1'!$H$9:$H$250,CONCATENATE("20",RIGHT('FY Q&amp;V 2003-04 to Now'!G$7,2)),'Petroleum - Q&amp;V1'!$I$9:$I$250,1)+
SUMIFS('Petroleum - Q&amp;V1'!$C$9:$C$250,'Petroleum - Q&amp;V1'!$H$9:$H$250,CONCATENATE("20",RIGHT('FY Q&amp;V 2003-04 to Now'!G$7,2)),'Petroleum - Q&amp;V1'!$I$9:$I$250,2))*1000000</f>
        <v>5901291387</v>
      </c>
      <c r="I70" s="890">
        <f>(SUMIFS('Petroleum - Q&amp;V1'!$B$9:$B$250,'Petroleum - Q&amp;V1'!$H$9:$H$250,LEFT('FY Q&amp;V 2003-04 to Now'!I$7,4),'Petroleum - Q&amp;V1'!$I$9:$I$250,3)+
SUMIFS('Petroleum - Q&amp;V1'!$B$9:$B$250,'Petroleum - Q&amp;V1'!$H$9:$H$250,LEFT('FY Q&amp;V 2003-04 to Now'!I$7,4),'Petroleum - Q&amp;V1'!$I$9:$I$250,4)+
SUMIFS('Petroleum - Q&amp;V1'!$B$9:$B$250,'Petroleum - Q&amp;V1'!$H$9:$H$250,CONCATENATE("20",RIGHT('FY Q&amp;V 2003-04 to Now'!I$7,2)),'Petroleum - Q&amp;V1'!$I$9:$I$250,1)+
SUMIFS('Petroleum - Q&amp;V1'!$B$9:$B$250,'Petroleum - Q&amp;V1'!$H$9:$H$250,CONCATENATE("20",RIGHT('FY Q&amp;V 2003-04 to Now'!I$7,2)),'Petroleum - Q&amp;V1'!$I$9:$I$250,2))*1000000</f>
        <v>14255543.999999998</v>
      </c>
      <c r="J70" s="891">
        <f>(SUMIFS('Petroleum - Q&amp;V1'!$C$9:$C$250,'Petroleum - Q&amp;V1'!$H$9:$H$250,LEFT('FY Q&amp;V 2003-04 to Now'!I$7,4),'Petroleum - Q&amp;V1'!$I$9:$I$250,3)+
SUMIFS('Petroleum - Q&amp;V1'!$C$9:$C$250,'Petroleum - Q&amp;V1'!$H$9:$H$250,LEFT('FY Q&amp;V 2003-04 to Now'!I$7,4),'Petroleum - Q&amp;V1'!$I$9:$I$250,4)+
SUMIFS('Petroleum - Q&amp;V1'!$C$9:$C$250,'Petroleum - Q&amp;V1'!$H$9:$H$250,CONCATENATE("20",RIGHT('FY Q&amp;V 2003-04 to Now'!I$7,2)),'Petroleum - Q&amp;V1'!$I$9:$I$250,1)+
SUMIFS('Petroleum - Q&amp;V1'!$C$9:$C$250,'Petroleum - Q&amp;V1'!$H$9:$H$250,CONCATENATE("20",RIGHT('FY Q&amp;V 2003-04 to Now'!I$7,2)),'Petroleum - Q&amp;V1'!$I$9:$I$250,2))*1000000</f>
        <v>7529594341.999999</v>
      </c>
      <c r="K70" s="890">
        <f>(SUMIFS('Petroleum - Q&amp;V1'!$B$9:$B$250,'Petroleum - Q&amp;V1'!$H$9:$H$250,LEFT('FY Q&amp;V 2003-04 to Now'!K$7,4),'Petroleum - Q&amp;V1'!$I$9:$I$250,3)+
SUMIFS('Petroleum - Q&amp;V1'!$B$9:$B$250,'Petroleum - Q&amp;V1'!$H$9:$H$250,LEFT('FY Q&amp;V 2003-04 to Now'!K$7,4),'Petroleum - Q&amp;V1'!$I$9:$I$250,4)+
SUMIFS('Petroleum - Q&amp;V1'!$B$9:$B$250,'Petroleum - Q&amp;V1'!$H$9:$H$250,CONCATENATE("20",RIGHT('FY Q&amp;V 2003-04 to Now'!K$7,2)),'Petroleum - Q&amp;V1'!$I$9:$I$250,1)+
SUMIFS('Petroleum - Q&amp;V1'!$B$9:$B$250,'Petroleum - Q&amp;V1'!$H$9:$H$250,CONCATENATE("20",RIGHT('FY Q&amp;V 2003-04 to Now'!K$7,2)),'Petroleum - Q&amp;V1'!$I$9:$I$250,2))*1000000</f>
        <v>12647526</v>
      </c>
      <c r="L70" s="891">
        <f>(SUMIFS('Petroleum - Q&amp;V1'!$C$9:$C$250,'Petroleum - Q&amp;V1'!$H$9:$H$250,LEFT('FY Q&amp;V 2003-04 to Now'!K$7,4),'Petroleum - Q&amp;V1'!$I$9:$I$250,3)+
SUMIFS('Petroleum - Q&amp;V1'!$C$9:$C$250,'Petroleum - Q&amp;V1'!$H$9:$H$250,LEFT('FY Q&amp;V 2003-04 to Now'!K$7,4),'Petroleum - Q&amp;V1'!$I$9:$I$250,4)+
SUMIFS('Petroleum - Q&amp;V1'!$C$9:$C$250,'Petroleum - Q&amp;V1'!$H$9:$H$250,CONCATENATE("20",RIGHT('FY Q&amp;V 2003-04 to Now'!K$7,2)),'Petroleum - Q&amp;V1'!$I$9:$I$250,1)+
SUMIFS('Petroleum - Q&amp;V1'!$C$9:$C$250,'Petroleum - Q&amp;V1'!$H$9:$H$250,CONCATENATE("20",RIGHT('FY Q&amp;V 2003-04 to Now'!K$7,2)),'Petroleum - Q&amp;V1'!$I$9:$I$250,2))*1000000</f>
        <v>8666217288</v>
      </c>
      <c r="M70" s="890">
        <f>(SUMIFS('Petroleum - Q&amp;V1'!$B$9:$B$250,'Petroleum - Q&amp;V1'!$H$9:$H$250,LEFT('FY Q&amp;V 2003-04 to Now'!M$7,4),'Petroleum - Q&amp;V1'!$I$9:$I$250,3)+
SUMIFS('Petroleum - Q&amp;V1'!$B$9:$B$250,'Petroleum - Q&amp;V1'!$H$9:$H$250,LEFT('FY Q&amp;V 2003-04 to Now'!M$7,4),'Petroleum - Q&amp;V1'!$I$9:$I$250,4)+
SUMIFS('Petroleum - Q&amp;V1'!$B$9:$B$250,'Petroleum - Q&amp;V1'!$H$9:$H$250,CONCATENATE("20",RIGHT('FY Q&amp;V 2003-04 to Now'!M$7,2)),'Petroleum - Q&amp;V1'!$I$9:$I$250,1)+
SUMIFS('Petroleum - Q&amp;V1'!$B$9:$B$250,'Petroleum - Q&amp;V1'!$H$9:$H$250,CONCATENATE("20",RIGHT('FY Q&amp;V 2003-04 to Now'!M$7,2)),'Petroleum - Q&amp;V1'!$I$9:$I$250,2))*1000000</f>
        <v>13036933.000000002</v>
      </c>
      <c r="N70" s="891">
        <f>(SUMIFS('Petroleum - Q&amp;V1'!$C$9:$C$250,'Petroleum - Q&amp;V1'!$H$9:$H$250,LEFT('FY Q&amp;V 2003-04 to Now'!M$7,4),'Petroleum - Q&amp;V1'!$I$9:$I$250,3)+
SUMIFS('Petroleum - Q&amp;V1'!$C$9:$C$250,'Petroleum - Q&amp;V1'!$H$9:$H$250,LEFT('FY Q&amp;V 2003-04 to Now'!M$7,4),'Petroleum - Q&amp;V1'!$I$9:$I$250,4)+
SUMIFS('Petroleum - Q&amp;V1'!$C$9:$C$250,'Petroleum - Q&amp;V1'!$H$9:$H$250,CONCATENATE("20",RIGHT('FY Q&amp;V 2003-04 to Now'!M$7,2)),'Petroleum - Q&amp;V1'!$I$9:$I$250,1)+
SUMIFS('Petroleum - Q&amp;V1'!$C$9:$C$250,'Petroleum - Q&amp;V1'!$H$9:$H$250,CONCATENATE("20",RIGHT('FY Q&amp;V 2003-04 to Now'!M$7,2)),'Petroleum - Q&amp;V1'!$I$9:$I$250,2))*1000000</f>
        <v>7710496697.000001</v>
      </c>
      <c r="O70" s="890">
        <f>(SUMIFS('Petroleum - Q&amp;V1'!$B$9:$B$250,'Petroleum - Q&amp;V1'!$H$9:$H$250,LEFT('FY Q&amp;V 2003-04 to Now'!O$7,4),'Petroleum - Q&amp;V1'!$I$9:$I$250,3)+
SUMIFS('Petroleum - Q&amp;V1'!$B$9:$B$250,'Petroleum - Q&amp;V1'!$H$9:$H$250,LEFT('FY Q&amp;V 2003-04 to Now'!O$7,4),'Petroleum - Q&amp;V1'!$I$9:$I$250,4)+
SUMIFS('Petroleum - Q&amp;V1'!$B$9:$B$250,'Petroleum - Q&amp;V1'!$H$9:$H$250,CONCATENATE("20",RIGHT('FY Q&amp;V 2003-04 to Now'!O$7,2)),'Petroleum - Q&amp;V1'!$I$9:$I$250,1)+
SUMIFS('Petroleum - Q&amp;V1'!$B$9:$B$250,'Petroleum - Q&amp;V1'!$H$9:$H$250,CONCATENATE("20",RIGHT('FY Q&amp;V 2003-04 to Now'!O$7,2)),'Petroleum - Q&amp;V1'!$I$9:$I$250,2))*1000000</f>
        <v>11842075</v>
      </c>
      <c r="P70" s="891">
        <f>(SUMIFS('Petroleum - Q&amp;V1'!$C$9:$C$250,'Petroleum - Q&amp;V1'!$H$9:$H$250,LEFT('FY Q&amp;V 2003-04 to Now'!O$7,4),'Petroleum - Q&amp;V1'!$I$9:$I$250,3)+
SUMIFS('Petroleum - Q&amp;V1'!$C$9:$C$250,'Petroleum - Q&amp;V1'!$H$9:$H$250,LEFT('FY Q&amp;V 2003-04 to Now'!O$7,4),'Petroleum - Q&amp;V1'!$I$9:$I$250,4)+
SUMIFS('Petroleum - Q&amp;V1'!$C$9:$C$250,'Petroleum - Q&amp;V1'!$H$9:$H$250,CONCATENATE("20",RIGHT('FY Q&amp;V 2003-04 to Now'!O$7,2)),'Petroleum - Q&amp;V1'!$I$9:$I$250,1)+
SUMIFS('Petroleum - Q&amp;V1'!$C$9:$C$250,'Petroleum - Q&amp;V1'!$H$9:$H$250,CONCATENATE("20",RIGHT('FY Q&amp;V 2003-04 to Now'!O$7,2)),'Petroleum - Q&amp;V1'!$I$9:$I$250,2))*1000000</f>
        <v>6385071844</v>
      </c>
      <c r="Q70" s="890">
        <f>(SUMIFS('Petroleum - Q&amp;V1'!$B$9:$B$250,'Petroleum - Q&amp;V1'!$H$9:$H$250,LEFT('FY Q&amp;V 2003-04 to Now'!Q$7,4),'Petroleum - Q&amp;V1'!$I$9:$I$250,3)+
SUMIFS('Petroleum - Q&amp;V1'!$B$9:$B$250,'Petroleum - Q&amp;V1'!$H$9:$H$250,LEFT('FY Q&amp;V 2003-04 to Now'!Q$7,4),'Petroleum - Q&amp;V1'!$I$9:$I$250,4)+
SUMIFS('Petroleum - Q&amp;V1'!$B$9:$B$250,'Petroleum - Q&amp;V1'!$H$9:$H$250,CONCATENATE("20",RIGHT('FY Q&amp;V 2003-04 to Now'!Q$7,2)),'Petroleum - Q&amp;V1'!$I$9:$I$250,1)+
SUMIFS('Petroleum - Q&amp;V1'!$B$9:$B$250,'Petroleum - Q&amp;V1'!$H$9:$H$250,CONCATENATE("20",RIGHT('FY Q&amp;V 2003-04 to Now'!Q$7,2)),'Petroleum - Q&amp;V1'!$I$9:$I$250,2))*1000000</f>
        <v>13924847</v>
      </c>
      <c r="R70" s="891">
        <f>(SUMIFS('Petroleum - Q&amp;V1'!$C$9:$C$250,'Petroleum - Q&amp;V1'!$H$9:$H$250,LEFT('FY Q&amp;V 2003-04 to Now'!Q$7,4),'Petroleum - Q&amp;V1'!$I$9:$I$250,3)+
SUMIFS('Petroleum - Q&amp;V1'!$C$9:$C$250,'Petroleum - Q&amp;V1'!$H$9:$H$250,LEFT('FY Q&amp;V 2003-04 to Now'!Q$7,4),'Petroleum - Q&amp;V1'!$I$9:$I$250,4)+
SUMIFS('Petroleum - Q&amp;V1'!$C$9:$C$250,'Petroleum - Q&amp;V1'!$H$9:$H$250,CONCATENATE("20",RIGHT('FY Q&amp;V 2003-04 to Now'!Q$7,2)),'Petroleum - Q&amp;V1'!$I$9:$I$250,1)+
SUMIFS('Petroleum - Q&amp;V1'!$C$9:$C$250,'Petroleum - Q&amp;V1'!$H$9:$H$250,CONCATENATE("20",RIGHT('FY Q&amp;V 2003-04 to Now'!Q$7,2)),'Petroleum - Q&amp;V1'!$I$9:$I$250,2))*1000000</f>
        <v>8528862520.999999</v>
      </c>
      <c r="S70" s="890">
        <f>(SUMIFS('Petroleum - Q&amp;V1'!$B$9:$B$250,'Petroleum - Q&amp;V1'!$H$9:$H$250,LEFT('FY Q&amp;V 2003-04 to Now'!S$7,4),'Petroleum - Q&amp;V1'!$I$9:$I$250,3)+
SUMIFS('Petroleum - Q&amp;V1'!$B$9:$B$250,'Petroleum - Q&amp;V1'!$H$9:$H$250,LEFT('FY Q&amp;V 2003-04 to Now'!S$7,4),'Petroleum - Q&amp;V1'!$I$9:$I$250,4)+
SUMIFS('Petroleum - Q&amp;V1'!$B$9:$B$250,'Petroleum - Q&amp;V1'!$H$9:$H$250,CONCATENATE("20",RIGHT('FY Q&amp;V 2003-04 to Now'!S$7,2)),'Petroleum - Q&amp;V1'!$I$9:$I$250,1)+
SUMIFS('Petroleum - Q&amp;V1'!$B$9:$B$250,'Petroleum - Q&amp;V1'!$H$9:$H$250,CONCATENATE("20",RIGHT('FY Q&amp;V 2003-04 to Now'!S$7,2)),'Petroleum - Q&amp;V1'!$I$9:$I$250,2))*1000000</f>
        <v>11121616</v>
      </c>
      <c r="T70" s="891">
        <f>(SUMIFS('Petroleum - Q&amp;V1'!$C$9:$C$250,'Petroleum - Q&amp;V1'!$H$9:$H$250,LEFT('FY Q&amp;V 2003-04 to Now'!S$7,4),'Petroleum - Q&amp;V1'!$I$9:$I$250,3)+
SUMIFS('Petroleum - Q&amp;V1'!$C$9:$C$250,'Petroleum - Q&amp;V1'!$H$9:$H$250,LEFT('FY Q&amp;V 2003-04 to Now'!S$7,4),'Petroleum - Q&amp;V1'!$I$9:$I$250,4)+
SUMIFS('Petroleum - Q&amp;V1'!$C$9:$C$250,'Petroleum - Q&amp;V1'!$H$9:$H$250,CONCATENATE("20",RIGHT('FY Q&amp;V 2003-04 to Now'!S$7,2)),'Petroleum - Q&amp;V1'!$I$9:$I$250,1)+
SUMIFS('Petroleum - Q&amp;V1'!$C$9:$C$250,'Petroleum - Q&amp;V1'!$H$9:$H$250,CONCATENATE("20",RIGHT('FY Q&amp;V 2003-04 to Now'!S$7,2)),'Petroleum - Q&amp;V1'!$I$9:$I$250,2))*1000000</f>
        <v>7676633458.999999</v>
      </c>
      <c r="U70" s="890">
        <f>(SUMIFS('Petroleum - Q&amp;V1'!$B$9:$B$250,'Petroleum - Q&amp;V1'!$H$9:$H$250,LEFT('FY Q&amp;V 2003-04 to Now'!U$7,4),'Petroleum - Q&amp;V1'!$I$9:$I$250,3)+
SUMIFS('Petroleum - Q&amp;V1'!$B$9:$B$250,'Petroleum - Q&amp;V1'!$H$9:$H$250,LEFT('FY Q&amp;V 2003-04 to Now'!U$7,4),'Petroleum - Q&amp;V1'!$I$9:$I$250,4)+
SUMIFS('Petroleum - Q&amp;V1'!$B$9:$B$250,'Petroleum - Q&amp;V1'!$H$9:$H$250,CONCATENATE("20",RIGHT('FY Q&amp;V 2003-04 to Now'!U$7,2)),'Petroleum - Q&amp;V1'!$I$9:$I$250,1)+
SUMIFS('Petroleum - Q&amp;V1'!$B$9:$B$250,'Petroleum - Q&amp;V1'!$H$9:$H$250,CONCATENATE("20",RIGHT('FY Q&amp;V 2003-04 to Now'!U$7,2)),'Petroleum - Q&amp;V1'!$I$9:$I$250,2))*1000000</f>
        <v>8609425</v>
      </c>
      <c r="V70" s="891">
        <f>(SUMIFS('Petroleum - Q&amp;V1'!$C$9:$C$250,'Petroleum - Q&amp;V1'!$H$9:$H$250,LEFT('FY Q&amp;V 2003-04 to Now'!U$7,4),'Petroleum - Q&amp;V1'!$I$9:$I$250,3)+
SUMIFS('Petroleum - Q&amp;V1'!$C$9:$C$250,'Petroleum - Q&amp;V1'!$H$9:$H$250,LEFT('FY Q&amp;V 2003-04 to Now'!U$7,4),'Petroleum - Q&amp;V1'!$I$9:$I$250,4)+
SUMIFS('Petroleum - Q&amp;V1'!$C$9:$C$250,'Petroleum - Q&amp;V1'!$H$9:$H$250,CONCATENATE("20",RIGHT('FY Q&amp;V 2003-04 to Now'!U$7,2)),'Petroleum - Q&amp;V1'!$I$9:$I$250,1)+
SUMIFS('Petroleum - Q&amp;V1'!$C$9:$C$250,'Petroleum - Q&amp;V1'!$H$9:$H$250,CONCATENATE("20",RIGHT('FY Q&amp;V 2003-04 to Now'!U$7,2)),'Petroleum - Q&amp;V1'!$I$9:$I$250,2))*1000000</f>
        <v>5972058199.999999</v>
      </c>
      <c r="W70" s="890">
        <f>(SUMIFS('Petroleum - Q&amp;V1'!$B$9:$B$250,'Petroleum - Q&amp;V1'!$H$9:$H$250,LEFT('FY Q&amp;V 2003-04 to Now'!W$7,4),'Petroleum - Q&amp;V1'!$I$9:$I$250,3)+
SUMIFS('Petroleum - Q&amp;V1'!$B$9:$B$250,'Petroleum - Q&amp;V1'!$H$9:$H$250,LEFT('FY Q&amp;V 2003-04 to Now'!W$7,4),'Petroleum - Q&amp;V1'!$I$9:$I$250,4)+
SUMIFS('Petroleum - Q&amp;V1'!$B$9:$B$250,'Petroleum - Q&amp;V1'!$H$9:$H$250,CONCATENATE("20",RIGHT('FY Q&amp;V 2003-04 to Now'!W$7,2)),'Petroleum - Q&amp;V1'!$I$9:$I$250,1)+
SUMIFS('Petroleum - Q&amp;V1'!$B$9:$B$250,'Petroleum - Q&amp;V1'!$H$9:$H$250,CONCATENATE("20",RIGHT('FY Q&amp;V 2003-04 to Now'!W$7,2)),'Petroleum - Q&amp;V1'!$I$9:$I$250,2))*1000000</f>
        <v>6867302.1770000011</v>
      </c>
      <c r="X70" s="891">
        <f>(SUMIFS('Petroleum - Q&amp;V1'!$C$9:$C$250,'Petroleum - Q&amp;V1'!$H$9:$H$250,LEFT('FY Q&amp;V 2003-04 to Now'!W$7,4),'Petroleum - Q&amp;V1'!$I$9:$I$250,3)+
SUMIFS('Petroleum - Q&amp;V1'!$C$9:$C$250,'Petroleum - Q&amp;V1'!$H$9:$H$250,LEFT('FY Q&amp;V 2003-04 to Now'!W$7,4),'Petroleum - Q&amp;V1'!$I$9:$I$250,4)+
SUMIFS('Petroleum - Q&amp;V1'!$C$9:$C$250,'Petroleum - Q&amp;V1'!$H$9:$H$250,CONCATENATE("20",RIGHT('FY Q&amp;V 2003-04 to Now'!W$7,2)),'Petroleum - Q&amp;V1'!$I$9:$I$250,1)+
SUMIFS('Petroleum - Q&amp;V1'!$C$9:$C$250,'Petroleum - Q&amp;V1'!$H$9:$H$250,CONCATENATE("20",RIGHT('FY Q&amp;V 2003-04 to Now'!W$7,2)),'Petroleum - Q&amp;V1'!$I$9:$I$250,2))*1000000</f>
        <v>5385519963.8664455</v>
      </c>
      <c r="Y70" s="890">
        <f>(SUMIFS('Petroleum - Q&amp;V1'!$B$9:$B$250,'Petroleum - Q&amp;V1'!$H$9:$H$250,LEFT('FY Q&amp;V 2003-04 to Now'!Y$7,4),'Petroleum - Q&amp;V1'!$I$9:$I$250,3)+
SUMIFS('Petroleum - Q&amp;V1'!$B$9:$B$250,'Petroleum - Q&amp;V1'!$H$9:$H$250,LEFT('FY Q&amp;V 2003-04 to Now'!Y$7,4),'Petroleum - Q&amp;V1'!$I$9:$I$250,4)+
SUMIFS('Petroleum - Q&amp;V1'!$B$9:$B$250,'Petroleum - Q&amp;V1'!$H$9:$H$250,CONCATENATE("20",RIGHT('FY Q&amp;V 2003-04 to Now'!Y$7,2)),'Petroleum - Q&amp;V1'!$I$9:$I$250,1)+
SUMIFS('Petroleum - Q&amp;V1'!$B$9:$B$250,'Petroleum - Q&amp;V1'!$H$9:$H$250,CONCATENATE("20",RIGHT('FY Q&amp;V 2003-04 to Now'!Y$7,2)),'Petroleum - Q&amp;V1'!$I$9:$I$250,2))*1000000</f>
        <v>7952477.9160000002</v>
      </c>
      <c r="Z70" s="891">
        <f>(SUMIFS('Petroleum - Q&amp;V1'!$C$9:$C$250,'Petroleum - Q&amp;V1'!$H$9:$H$250,LEFT('FY Q&amp;V 2003-04 to Now'!Y$7,4),'Petroleum - Q&amp;V1'!$I$9:$I$250,3)+
SUMIFS('Petroleum - Q&amp;V1'!$C$9:$C$250,'Petroleum - Q&amp;V1'!$H$9:$H$250,LEFT('FY Q&amp;V 2003-04 to Now'!Y$7,4),'Petroleum - Q&amp;V1'!$I$9:$I$250,4)+
SUMIFS('Petroleum - Q&amp;V1'!$C$9:$C$250,'Petroleum - Q&amp;V1'!$H$9:$H$250,CONCATENATE("20",RIGHT('FY Q&amp;V 2003-04 to Now'!Y$7,2)),'Petroleum - Q&amp;V1'!$I$9:$I$250,1)+
SUMIFS('Petroleum - Q&amp;V1'!$C$9:$C$250,'Petroleum - Q&amp;V1'!$H$9:$H$250,CONCATENATE("20",RIGHT('FY Q&amp;V 2003-04 to Now'!Y$7,2)),'Petroleum - Q&amp;V1'!$I$9:$I$250,2))*1000000</f>
        <v>4567638160.7099228</v>
      </c>
      <c r="AA70" s="890">
        <f>(SUMIFS('Petroleum - Q&amp;V1'!$B$9:$B$250,'Petroleum - Q&amp;V1'!$H$9:$H$250,LEFT('FY Q&amp;V 2003-04 to Now'!AA$7,4),'Petroleum - Q&amp;V1'!$I$9:$I$250,3)+
SUMIFS('Petroleum - Q&amp;V1'!$B$9:$B$250,'Petroleum - Q&amp;V1'!$H$9:$H$250,LEFT('FY Q&amp;V 2003-04 to Now'!AA$7,4),'Petroleum - Q&amp;V1'!$I$9:$I$250,4)+
SUMIFS('Petroleum - Q&amp;V1'!$B$9:$B$250,'Petroleum - Q&amp;V1'!$H$9:$H$250,CONCATENATE("20",RIGHT('FY Q&amp;V 2003-04 to Now'!AA$7,2)),'Petroleum - Q&amp;V1'!$I$9:$I$250,1)+
SUMIFS('Petroleum - Q&amp;V1'!$B$9:$B$250,'Petroleum - Q&amp;V1'!$H$9:$H$250,CONCATENATE("20",RIGHT('FY Q&amp;V 2003-04 to Now'!AA$7,2)),'Petroleum - Q&amp;V1'!$I$9:$I$250,2))*1000000</f>
        <v>7685921.9885160001</v>
      </c>
      <c r="AB70" s="891">
        <f>(SUMIFS('Petroleum - Q&amp;V1'!$C$9:$C$250,'Petroleum - Q&amp;V1'!$H$9:$H$250,LEFT('FY Q&amp;V 2003-04 to Now'!AA$7,4),'Petroleum - Q&amp;V1'!$I$9:$I$250,3)+
SUMIFS('Petroleum - Q&amp;V1'!$C$9:$C$250,'Petroleum - Q&amp;V1'!$H$9:$H$250,LEFT('FY Q&amp;V 2003-04 to Now'!AA$7,4),'Petroleum - Q&amp;V1'!$I$9:$I$250,4)+
SUMIFS('Petroleum - Q&amp;V1'!$C$9:$C$250,'Petroleum - Q&amp;V1'!$H$9:$H$250,CONCATENATE("20",RIGHT('FY Q&amp;V 2003-04 to Now'!AA$7,2)),'Petroleum - Q&amp;V1'!$I$9:$I$250,1)+
SUMIFS('Petroleum - Q&amp;V1'!$C$9:$C$250,'Petroleum - Q&amp;V1'!$H$9:$H$250,CONCATENATE("20",RIGHT('FY Q&amp;V 2003-04 to Now'!AA$7,2)),'Petroleum - Q&amp;V1'!$I$9:$I$250,2))*1000000</f>
        <v>3089384045.7079372</v>
      </c>
      <c r="AC70" s="890">
        <f>(SUMIFS('Petroleum - Q&amp;V1'!$B$9:$B$250,'Petroleum - Q&amp;V1'!$H$9:$H$250,LEFT('FY Q&amp;V 2003-04 to Now'!AC$7,4),'Petroleum - Q&amp;V1'!$I$9:$I$250,3)+
SUMIFS('Petroleum - Q&amp;V1'!$B$9:$B$250,'Petroleum - Q&amp;V1'!$H$9:$H$250,LEFT('FY Q&amp;V 2003-04 to Now'!AC$7,4),'Petroleum - Q&amp;V1'!$I$9:$I$250,4)+
SUMIFS('Petroleum - Q&amp;V1'!$B$9:$B$250,'Petroleum - Q&amp;V1'!$H$9:$H$250,CONCATENATE("20",RIGHT('FY Q&amp;V 2003-04 to Now'!AC$7,2)),'Petroleum - Q&amp;V1'!$I$9:$I$250,1)+
SUMIFS('Petroleum - Q&amp;V1'!$B$9:$B$250,'Petroleum - Q&amp;V1'!$H$9:$H$250,CONCATENATE("20",RIGHT('FY Q&amp;V 2003-04 to Now'!AC$7,2)),'Petroleum - Q&amp;V1'!$I$9:$I$250,2))*1000000</f>
        <v>5404294.1809121389</v>
      </c>
      <c r="AD70" s="890">
        <f>(SUMIFS('Petroleum - Q&amp;V1'!$C$9:$C$250,'Petroleum - Q&amp;V1'!$H$9:$H$250,LEFT('FY Q&amp;V 2003-04 to Now'!AC$7,4),'Petroleum - Q&amp;V1'!$I$9:$I$250,3)+
SUMIFS('Petroleum - Q&amp;V1'!$C$9:$C$250,'Petroleum - Q&amp;V1'!$H$9:$H$250,LEFT('FY Q&amp;V 2003-04 to Now'!AC$7,4),'Petroleum - Q&amp;V1'!$I$9:$I$250,4)+
SUMIFS('Petroleum - Q&amp;V1'!$C$9:$C$250,'Petroleum - Q&amp;V1'!$H$9:$H$250,CONCATENATE("20",RIGHT('FY Q&amp;V 2003-04 to Now'!AC$7,2)),'Petroleum - Q&amp;V1'!$I$9:$I$250,1)+
SUMIFS('Petroleum - Q&amp;V1'!$C$9:$C$250,'Petroleum - Q&amp;V1'!$H$9:$H$250,CONCATENATE("20",RIGHT('FY Q&amp;V 2003-04 to Now'!AC$7,2)),'Petroleum - Q&amp;V1'!$I$9:$I$250,2))*1000000</f>
        <v>2111578897.9684944</v>
      </c>
      <c r="AE70" s="891">
        <f>(SUMIFS('Petroleum - Q&amp;V1'!$B$9:$B$250,'Petroleum - Q&amp;V1'!$H$9:$H$250,LEFT('FY Q&amp;V 2003-04 to Now'!AE$7,4),'Petroleum - Q&amp;V1'!$I$9:$I$250,3)+
SUMIFS('Petroleum - Q&amp;V1'!$B$9:$B$250,'Petroleum - Q&amp;V1'!$H$9:$H$250,LEFT('FY Q&amp;V 2003-04 to Now'!AE$7,4),'Petroleum - Q&amp;V1'!$I$9:$I$250,4)+
SUMIFS('Petroleum - Q&amp;V1'!$B$9:$B$250,'Petroleum - Q&amp;V1'!$H$9:$H$250,CONCATENATE("20",RIGHT('FY Q&amp;V 2003-04 to Now'!AE$7,2)),'Petroleum - Q&amp;V1'!$I$9:$I$250,1)+
SUMIFS('Petroleum - Q&amp;V1'!$B$9:$B$250,'Petroleum - Q&amp;V1'!$H$9:$H$250,CONCATENATE("20",RIGHT('FY Q&amp;V 2003-04 to Now'!AE$7,2)),'Petroleum - Q&amp;V1'!$I$9:$I$250,2))*1000000</f>
        <v>4877411.1944294954</v>
      </c>
      <c r="AF70" s="891">
        <f>(SUMIFS('Petroleum - Q&amp;V1'!$C$9:$C$250,'Petroleum - Q&amp;V1'!$H$9:$H$250,LEFT('FY Q&amp;V 2003-04 to Now'!AE$7,4),'Petroleum - Q&amp;V1'!$I$9:$I$250,3)+
SUMIFS('Petroleum - Q&amp;V1'!$C$9:$C$250,'Petroleum - Q&amp;V1'!$H$9:$H$250,LEFT('FY Q&amp;V 2003-04 to Now'!AE$7,4),'Petroleum - Q&amp;V1'!$I$9:$I$250,4)+
SUMIFS('Petroleum - Q&amp;V1'!$C$9:$C$250,'Petroleum - Q&amp;V1'!$H$9:$H$250,CONCATENATE("20",RIGHT('FY Q&amp;V 2003-04 to Now'!AE$7,2)),'Petroleum - Q&amp;V1'!$I$9:$I$250,1)+
SUMIFS('Petroleum - Q&amp;V1'!$C$9:$C$250,'Petroleum - Q&amp;V1'!$H$9:$H$250,CONCATENATE("20",RIGHT('FY Q&amp;V 2003-04 to Now'!AE$7,2)),'Petroleum - Q&amp;V1'!$I$9:$I$250,2))*1000000</f>
        <v>2467404464.3412819</v>
      </c>
      <c r="AG70" s="891">
        <f>(SUMIFS('Petroleum - Q&amp;V1'!$B$9:$B$250,'Petroleum - Q&amp;V1'!$H$9:$H$250,LEFT('FY Q&amp;V 2003-04 to Now'!AG$7,4),'Petroleum - Q&amp;V1'!$I$9:$I$250,3)+
SUMIFS('Petroleum - Q&amp;V1'!$B$9:$B$250,'Petroleum - Q&amp;V1'!$H$9:$H$250,LEFT('FY Q&amp;V 2003-04 to Now'!AG$7,4),'Petroleum - Q&amp;V1'!$I$9:$I$250,4)+
SUMIFS('Petroleum - Q&amp;V1'!$B$9:$B$250,'Petroleum - Q&amp;V1'!$H$9:$H$250,CONCATENATE("20",RIGHT('FY Q&amp;V 2003-04 to Now'!AG$7,2)),'Petroleum - Q&amp;V1'!$I$9:$I$250,1)+
SUMIFS('Petroleum - Q&amp;V1'!$B$9:$B$250,'Petroleum - Q&amp;V1'!$H$9:$H$250,CONCATENATE("20",RIGHT('FY Q&amp;V 2003-04 to Now'!AG$7,2)),'Petroleum - Q&amp;V1'!$I$9:$I$250,2))*1000000</f>
        <v>3245072.5012956639</v>
      </c>
      <c r="AH70" s="891">
        <f>(SUMIFS('Petroleum - Q&amp;V1'!$C$9:$C$250,'Petroleum - Q&amp;V1'!$H$9:$H$250,LEFT('FY Q&amp;V 2003-04 to Now'!AG$7,4),'Petroleum - Q&amp;V1'!$I$9:$I$250,3)+
SUMIFS('Petroleum - Q&amp;V1'!$C$9:$C$250,'Petroleum - Q&amp;V1'!$H$9:$H$250,LEFT('FY Q&amp;V 2003-04 to Now'!AG$7,4),'Petroleum - Q&amp;V1'!$I$9:$I$250,4)+
SUMIFS('Petroleum - Q&amp;V1'!$C$9:$C$250,'Petroleum - Q&amp;V1'!$H$9:$H$250,CONCATENATE("20",RIGHT('FY Q&amp;V 2003-04 to Now'!AG$7,2)),'Petroleum - Q&amp;V1'!$I$9:$I$250,1)+
SUMIFS('Petroleum - Q&amp;V1'!$C$9:$C$250,'Petroleum - Q&amp;V1'!$H$9:$H$250,CONCATENATE("20",RIGHT('FY Q&amp;V 2003-04 to Now'!AG$7,2)),'Petroleum - Q&amp;V1'!$I$9:$I$250,2))*1000000</f>
        <v>1976405533.3684547</v>
      </c>
      <c r="AI70" s="953">
        <f>SUMIF($C$9:AH$9,1,$C70:AH70)</f>
        <v>158609567.95815328</v>
      </c>
      <c r="AJ70" s="891">
        <f>SUMIF($C$9:AH$9,0,$C70:AH70)</f>
        <v>86918643186.962509</v>
      </c>
    </row>
    <row r="71" spans="1:41">
      <c r="A71" s="887" t="s">
        <v>345</v>
      </c>
      <c r="B71" s="848" t="s">
        <v>110</v>
      </c>
      <c r="C71" s="890">
        <f>(SUMIFS('Petroleum - Q&amp;V2'!$C$9:$C$250,'Petroleum - Q&amp;V2'!$L$9:$L$250,LEFT('FY Q&amp;V 2003-04 to Now'!C$7,4),'Petroleum - Q&amp;V2'!$M$9:$M$250,3)+
SUMIFS('Petroleum - Q&amp;V2'!$C$9:$C$250,'Petroleum - Q&amp;V2'!$L$9:$L$250,LEFT('FY Q&amp;V 2003-04 to Now'!C$7,4),'Petroleum - Q&amp;V2'!$M$9:$M$250,4)+
SUMIFS('Petroleum - Q&amp;V2'!$C$9:$C$250,'Petroleum - Q&amp;V2'!$L$9:$L$250,CONCATENATE("20",RIGHT('FY Q&amp;V 2003-04 to Now'!C$7,2)),'Petroleum - Q&amp;V2'!$M$9:$M$250,1)+
SUMIFS('Petroleum - Q&amp;V2'!$C$9:$C$250,'Petroleum - Q&amp;V2'!$L$9:$L$250,CONCATENATE("20",RIGHT('FY Q&amp;V 2003-04 to Now'!C$7,2)),'Petroleum - Q&amp;V2'!$M$9:$M$250,2))</f>
        <v>8220764.5200752914</v>
      </c>
      <c r="D71" s="891">
        <f>(SUMIFS('Petroleum - Q&amp;V2'!$E$9:$E$250,'Petroleum - Q&amp;V2'!$L$9:$L$250,LEFT('FY Q&amp;V 2003-04 to Now'!C$7,4),'Petroleum - Q&amp;V2'!$M$9:$M$250,3)+
SUMIFS('Petroleum - Q&amp;V2'!$E$9:$E$250,'Petroleum - Q&amp;V2'!$L$9:$L$250,LEFT('FY Q&amp;V 2003-04 to Now'!C$7,4),'Petroleum - Q&amp;V2'!$M$9:$M$250,4)+
SUMIFS('Petroleum - Q&amp;V2'!$E$9:$E$250,'Petroleum - Q&amp;V2'!$L$9:$L$250,CONCATENATE("20",RIGHT('FY Q&amp;V 2003-04 to Now'!C$7,2)),'Petroleum - Q&amp;V2'!$M$9:$M$250,1)+
SUMIFS('Petroleum - Q&amp;V2'!$E$9:$E$250,'Petroleum - Q&amp;V2'!$L$9:$L$250,CONCATENATE("20",RIGHT('FY Q&amp;V 2003-04 to Now'!C$7,2)),'Petroleum - Q&amp;V2'!$M$9:$M$250,2))*1000000</f>
        <v>2775881491.9999995</v>
      </c>
      <c r="E71" s="890">
        <f>(SUMIFS('Petroleum - Q&amp;V2'!$C$9:$C$250,'Petroleum - Q&amp;V2'!$L$9:$L$250,LEFT('FY Q&amp;V 2003-04 to Now'!E$7,4),'Petroleum - Q&amp;V2'!$M$9:$M$250,3)+
SUMIFS('Petroleum - Q&amp;V2'!$C$9:$C$250,'Petroleum - Q&amp;V2'!$L$9:$L$250,LEFT('FY Q&amp;V 2003-04 to Now'!E$7,4),'Petroleum - Q&amp;V2'!$M$9:$M$250,4)+
SUMIFS('Petroleum - Q&amp;V2'!$C$9:$C$250,'Petroleum - Q&amp;V2'!$L$9:$L$250,CONCATENATE("20",RIGHT('FY Q&amp;V 2003-04 to Now'!E$7,2)),'Petroleum - Q&amp;V2'!$M$9:$M$250,1)+
SUMIFS('Petroleum - Q&amp;V2'!$C$9:$C$250,'Petroleum - Q&amp;V2'!$L$9:$L$250,CONCATENATE("20",RIGHT('FY Q&amp;V 2003-04 to Now'!E$7,2)),'Petroleum - Q&amp;V2'!$M$9:$M$250,2))</f>
        <v>10929023.235157391</v>
      </c>
      <c r="F71" s="891">
        <f>(SUMIFS('Petroleum - Q&amp;V2'!$E$9:$E$250,'Petroleum - Q&amp;V2'!$L$9:$L$250,LEFT('FY Q&amp;V 2003-04 to Now'!E$7,4),'Petroleum - Q&amp;V2'!$M$9:$M$250,3)+
SUMIFS('Petroleum - Q&amp;V2'!$E$9:$E$250,'Petroleum - Q&amp;V2'!$L$9:$L$250,LEFT('FY Q&amp;V 2003-04 to Now'!E$7,4),'Petroleum - Q&amp;V2'!$M$9:$M$250,4)+
SUMIFS('Petroleum - Q&amp;V2'!$E$9:$E$250,'Petroleum - Q&amp;V2'!$L$9:$L$250,CONCATENATE("20",RIGHT('FY Q&amp;V 2003-04 to Now'!E$7,2)),'Petroleum - Q&amp;V2'!$M$9:$M$250,1)+
SUMIFS('Petroleum - Q&amp;V2'!$E$9:$E$250,'Petroleum - Q&amp;V2'!$L$9:$L$250,CONCATENATE("20",RIGHT('FY Q&amp;V 2003-04 to Now'!E$7,2)),'Petroleum - Q&amp;V2'!$M$9:$M$250,2))*1000000</f>
        <v>3794805393.6174865</v>
      </c>
      <c r="G71" s="890">
        <f>(SUMIFS('Petroleum - Q&amp;V2'!$C$9:$C$250,'Petroleum - Q&amp;V2'!$L$9:$L$250,LEFT('FY Q&amp;V 2003-04 to Now'!G$7,4),'Petroleum - Q&amp;V2'!$M$9:$M$250,3)+
SUMIFS('Petroleum - Q&amp;V2'!$C$9:$C$250,'Petroleum - Q&amp;V2'!$L$9:$L$250,LEFT('FY Q&amp;V 2003-04 to Now'!G$7,4),'Petroleum - Q&amp;V2'!$M$9:$M$250,4)+
SUMIFS('Petroleum - Q&amp;V2'!$C$9:$C$250,'Petroleum - Q&amp;V2'!$L$9:$L$250,CONCATENATE("20",RIGHT('FY Q&amp;V 2003-04 to Now'!G$7,2)),'Petroleum - Q&amp;V2'!$M$9:$M$250,1)+
SUMIFS('Petroleum - Q&amp;V2'!$C$9:$C$250,'Petroleum - Q&amp;V2'!$L$9:$L$250,CONCATENATE("20",RIGHT('FY Q&amp;V 2003-04 to Now'!G$7,2)),'Petroleum - Q&amp;V2'!$M$9:$M$250,2))</f>
        <v>11679836</v>
      </c>
      <c r="H71" s="891">
        <f>(SUMIFS('Petroleum - Q&amp;V2'!$E$9:$E$250,'Petroleum - Q&amp;V2'!$L$9:$L$250,LEFT('FY Q&amp;V 2003-04 to Now'!G$7,4),'Petroleum - Q&amp;V2'!$M$9:$M$250,3)+
SUMIFS('Petroleum - Q&amp;V2'!$E$9:$E$250,'Petroleum - Q&amp;V2'!$L$9:$L$250,LEFT('FY Q&amp;V 2003-04 to Now'!G$7,4),'Petroleum - Q&amp;V2'!$M$9:$M$250,4)+
SUMIFS('Petroleum - Q&amp;V2'!$E$9:$E$250,'Petroleum - Q&amp;V2'!$L$9:$L$250,CONCATENATE("20",RIGHT('FY Q&amp;V 2003-04 to Now'!G$7,2)),'Petroleum - Q&amp;V2'!$M$9:$M$250,1)+
SUMIFS('Petroleum - Q&amp;V2'!$E$9:$E$250,'Petroleum - Q&amp;V2'!$L$9:$L$250,CONCATENATE("20",RIGHT('FY Q&amp;V 2003-04 to Now'!G$7,2)),'Petroleum - Q&amp;V2'!$M$9:$M$250,2))*1000000</f>
        <v>4648959532.6157494</v>
      </c>
      <c r="I71" s="890">
        <f>(SUMIFS('Petroleum - Q&amp;V2'!$C$9:$C$250,'Petroleum - Q&amp;V2'!$L$9:$L$250,LEFT('FY Q&amp;V 2003-04 to Now'!I$7,4),'Petroleum - Q&amp;V2'!$M$9:$M$250,3)+
SUMIFS('Petroleum - Q&amp;V2'!$C$9:$C$250,'Petroleum - Q&amp;V2'!$L$9:$L$250,LEFT('FY Q&amp;V 2003-04 to Now'!I$7,4),'Petroleum - Q&amp;V2'!$M$9:$M$250,4)+
SUMIFS('Petroleum - Q&amp;V2'!$C$9:$C$250,'Petroleum - Q&amp;V2'!$L$9:$L$250,CONCATENATE("20",RIGHT('FY Q&amp;V 2003-04 to Now'!I$7,2)),'Petroleum - Q&amp;V2'!$M$9:$M$250,1)+
SUMIFS('Petroleum - Q&amp;V2'!$C$9:$C$250,'Petroleum - Q&amp;V2'!$L$9:$L$250,CONCATENATE("20",RIGHT('FY Q&amp;V 2003-04 to Now'!I$7,2)),'Petroleum - Q&amp;V2'!$M$9:$M$250,2))</f>
        <v>12211051</v>
      </c>
      <c r="J71" s="891">
        <f>(SUMIFS('Petroleum - Q&amp;V2'!$E$9:$E$250,'Petroleum - Q&amp;V2'!$L$9:$L$250,LEFT('FY Q&amp;V 2003-04 to Now'!I$7,4),'Petroleum - Q&amp;V2'!$M$9:$M$250,3)+
SUMIFS('Petroleum - Q&amp;V2'!$E$9:$E$250,'Petroleum - Q&amp;V2'!$L$9:$L$250,LEFT('FY Q&amp;V 2003-04 to Now'!I$7,4),'Petroleum - Q&amp;V2'!$M$9:$M$250,4)+
SUMIFS('Petroleum - Q&amp;V2'!$E$9:$E$250,'Petroleum - Q&amp;V2'!$L$9:$L$250,CONCATENATE("20",RIGHT('FY Q&amp;V 2003-04 to Now'!I$7,2)),'Petroleum - Q&amp;V2'!$M$9:$M$250,1)+
SUMIFS('Petroleum - Q&amp;V2'!$E$9:$E$250,'Petroleum - Q&amp;V2'!$L$9:$L$250,CONCATENATE("20",RIGHT('FY Q&amp;V 2003-04 to Now'!I$7,2)),'Petroleum - Q&amp;V2'!$M$9:$M$250,2))*1000000</f>
        <v>4434359354.079917</v>
      </c>
      <c r="K71" s="890">
        <f>(SUMIFS('Petroleum - Q&amp;V2'!$C$9:$C$250,'Petroleum - Q&amp;V2'!$L$9:$L$250,LEFT('FY Q&amp;V 2003-04 to Now'!K$7,4),'Petroleum - Q&amp;V2'!$M$9:$M$250,3)+
SUMIFS('Petroleum - Q&amp;V2'!$C$9:$C$250,'Petroleum - Q&amp;V2'!$L$9:$L$250,LEFT('FY Q&amp;V 2003-04 to Now'!K$7,4),'Petroleum - Q&amp;V2'!$M$9:$M$250,4)+
SUMIFS('Petroleum - Q&amp;V2'!$C$9:$C$250,'Petroleum - Q&amp;V2'!$L$9:$L$250,CONCATENATE("20",RIGHT('FY Q&amp;V 2003-04 to Now'!K$7,2)),'Petroleum - Q&amp;V2'!$M$9:$M$250,1)+
SUMIFS('Petroleum - Q&amp;V2'!$C$9:$C$250,'Petroleum - Q&amp;V2'!$L$9:$L$250,CONCATENATE("20",RIGHT('FY Q&amp;V 2003-04 to Now'!K$7,2)),'Petroleum - Q&amp;V2'!$M$9:$M$250,2))</f>
        <v>12148060</v>
      </c>
      <c r="L71" s="891">
        <f>(SUMIFS('Petroleum - Q&amp;V2'!$E$9:$E$250,'Petroleum - Q&amp;V2'!$L$9:$L$250,LEFT('FY Q&amp;V 2003-04 to Now'!K$7,4),'Petroleum - Q&amp;V2'!$M$9:$M$250,3)+
SUMIFS('Petroleum - Q&amp;V2'!$E$9:$E$250,'Petroleum - Q&amp;V2'!$L$9:$L$250,LEFT('FY Q&amp;V 2003-04 to Now'!K$7,4),'Petroleum - Q&amp;V2'!$M$9:$M$250,4)+
SUMIFS('Petroleum - Q&amp;V2'!$E$9:$E$250,'Petroleum - Q&amp;V2'!$L$9:$L$250,CONCATENATE("20",RIGHT('FY Q&amp;V 2003-04 to Now'!K$7,2)),'Petroleum - Q&amp;V2'!$M$9:$M$250,1)+
SUMIFS('Petroleum - Q&amp;V2'!$E$9:$E$250,'Petroleum - Q&amp;V2'!$L$9:$L$250,CONCATENATE("20",RIGHT('FY Q&amp;V 2003-04 to Now'!K$7,2)),'Petroleum - Q&amp;V2'!$M$9:$M$250,2))*1000000</f>
        <v>5219684764.7091255</v>
      </c>
      <c r="M71" s="890">
        <f>(SUMIFS('Petroleum - Q&amp;V2'!$C$9:$C$250,'Petroleum - Q&amp;V2'!$L$9:$L$250,LEFT('FY Q&amp;V 2003-04 to Now'!M$7,4),'Petroleum - Q&amp;V2'!$M$9:$M$250,3)+
SUMIFS('Petroleum - Q&amp;V2'!$C$9:$C$250,'Petroleum - Q&amp;V2'!$L$9:$L$250,LEFT('FY Q&amp;V 2003-04 to Now'!M$7,4),'Petroleum - Q&amp;V2'!$M$9:$M$250,4)+
SUMIFS('Petroleum - Q&amp;V2'!$C$9:$C$250,'Petroleum - Q&amp;V2'!$L$9:$L$250,CONCATENATE("20",RIGHT('FY Q&amp;V 2003-04 to Now'!M$7,2)),'Petroleum - Q&amp;V2'!$M$9:$M$250,1)+
SUMIFS('Petroleum - Q&amp;V2'!$C$9:$C$250,'Petroleum - Q&amp;V2'!$L$9:$L$250,CONCATENATE("20",RIGHT('FY Q&amp;V 2003-04 to Now'!M$7,2)),'Petroleum - Q&amp;V2'!$M$9:$M$250,2))</f>
        <v>13943724</v>
      </c>
      <c r="N71" s="891">
        <f>(SUMIFS('Petroleum - Q&amp;V2'!$E$9:$E$250,'Petroleum - Q&amp;V2'!$L$9:$L$250,LEFT('FY Q&amp;V 2003-04 to Now'!M$7,4),'Petroleum - Q&amp;V2'!$M$9:$M$250,3)+
SUMIFS('Petroleum - Q&amp;V2'!$E$9:$E$250,'Petroleum - Q&amp;V2'!$L$9:$L$250,LEFT('FY Q&amp;V 2003-04 to Now'!M$7,4),'Petroleum - Q&amp;V2'!$M$9:$M$250,4)+
SUMIFS('Petroleum - Q&amp;V2'!$E$9:$E$250,'Petroleum - Q&amp;V2'!$L$9:$L$250,CONCATENATE("20",RIGHT('FY Q&amp;V 2003-04 to Now'!M$7,2)),'Petroleum - Q&amp;V2'!$M$9:$M$250,1)+
SUMIFS('Petroleum - Q&amp;V2'!$E$9:$E$250,'Petroleum - Q&amp;V2'!$L$9:$L$250,CONCATENATE("20",RIGHT('FY Q&amp;V 2003-04 to Now'!M$7,2)),'Petroleum - Q&amp;V2'!$M$9:$M$250,2))*1000000</f>
        <v>8517503874.1467543</v>
      </c>
      <c r="O71" s="890">
        <f>(SUMIFS('Petroleum - Q&amp;V2'!$C$9:$C$250,'Petroleum - Q&amp;V2'!$L$9:$L$250,LEFT('FY Q&amp;V 2003-04 to Now'!O$7,4),'Petroleum - Q&amp;V2'!$M$9:$M$250,3)+
SUMIFS('Petroleum - Q&amp;V2'!$C$9:$C$250,'Petroleum - Q&amp;V2'!$L$9:$L$250,LEFT('FY Q&amp;V 2003-04 to Now'!O$7,4),'Petroleum - Q&amp;V2'!$M$9:$M$250,4)+
SUMIFS('Petroleum - Q&amp;V2'!$C$9:$C$250,'Petroleum - Q&amp;V2'!$L$9:$L$250,CONCATENATE("20",RIGHT('FY Q&amp;V 2003-04 to Now'!O$7,2)),'Petroleum - Q&amp;V2'!$M$9:$M$250,1)+
SUMIFS('Petroleum - Q&amp;V2'!$C$9:$C$250,'Petroleum - Q&amp;V2'!$L$9:$L$250,CONCATENATE("20",RIGHT('FY Q&amp;V 2003-04 to Now'!O$7,2)),'Petroleum - Q&amp;V2'!$M$9:$M$250,2))</f>
        <v>15717041</v>
      </c>
      <c r="P71" s="891">
        <f>(SUMIFS('Petroleum - Q&amp;V2'!$E$9:$E$250,'Petroleum - Q&amp;V2'!$L$9:$L$250,LEFT('FY Q&amp;V 2003-04 to Now'!O$7,4),'Petroleum - Q&amp;V2'!$M$9:$M$250,3)+
SUMIFS('Petroleum - Q&amp;V2'!$E$9:$E$250,'Petroleum - Q&amp;V2'!$L$9:$L$250,LEFT('FY Q&amp;V 2003-04 to Now'!O$7,4),'Petroleum - Q&amp;V2'!$M$9:$M$250,4)+
SUMIFS('Petroleum - Q&amp;V2'!$E$9:$E$250,'Petroleum - Q&amp;V2'!$L$9:$L$250,CONCATENATE("20",RIGHT('FY Q&amp;V 2003-04 to Now'!O$7,2)),'Petroleum - Q&amp;V2'!$M$9:$M$250,1)+
SUMIFS('Petroleum - Q&amp;V2'!$E$9:$E$250,'Petroleum - Q&amp;V2'!$L$9:$L$250,CONCATENATE("20",RIGHT('FY Q&amp;V 2003-04 to Now'!O$7,2)),'Petroleum - Q&amp;V2'!$M$9:$M$250,2))*1000000</f>
        <v>7494248320.3693314</v>
      </c>
      <c r="Q71" s="890">
        <f>(SUMIFS('Petroleum - Q&amp;V2'!$C$9:$C$250,'Petroleum - Q&amp;V2'!$L$9:$L$250,LEFT('FY Q&amp;V 2003-04 to Now'!Q$7,4),'Petroleum - Q&amp;V2'!$M$9:$M$250,3)+
SUMIFS('Petroleum - Q&amp;V2'!$C$9:$C$250,'Petroleum - Q&amp;V2'!$L$9:$L$250,LEFT('FY Q&amp;V 2003-04 to Now'!Q$7,4),'Petroleum - Q&amp;V2'!$M$9:$M$250,4)+
SUMIFS('Petroleum - Q&amp;V2'!$C$9:$C$250,'Petroleum - Q&amp;V2'!$L$9:$L$250,CONCATENATE("20",RIGHT('FY Q&amp;V 2003-04 to Now'!Q$7,2)),'Petroleum - Q&amp;V2'!$M$9:$M$250,1)+
SUMIFS('Petroleum - Q&amp;V2'!$C$9:$C$250,'Petroleum - Q&amp;V2'!$L$9:$L$250,CONCATENATE("20",RIGHT('FY Q&amp;V 2003-04 to Now'!Q$7,2)),'Petroleum - Q&amp;V2'!$M$9:$M$250,2))</f>
        <v>17290205.198225208</v>
      </c>
      <c r="R71" s="891">
        <f>(SUMIFS('Petroleum - Q&amp;V2'!$E$9:$E$250,'Petroleum - Q&amp;V2'!$L$9:$L$250,LEFT('FY Q&amp;V 2003-04 to Now'!Q$7,4),'Petroleum - Q&amp;V2'!$M$9:$M$250,3)+
SUMIFS('Petroleum - Q&amp;V2'!$E$9:$E$250,'Petroleum - Q&amp;V2'!$L$9:$L$250,LEFT('FY Q&amp;V 2003-04 to Now'!Q$7,4),'Petroleum - Q&amp;V2'!$M$9:$M$250,4)+
SUMIFS('Petroleum - Q&amp;V2'!$E$9:$E$250,'Petroleum - Q&amp;V2'!$L$9:$L$250,CONCATENATE("20",RIGHT('FY Q&amp;V 2003-04 to Now'!Q$7,2)),'Petroleum - Q&amp;V2'!$M$9:$M$250,1)+
SUMIFS('Petroleum - Q&amp;V2'!$E$9:$E$250,'Petroleum - Q&amp;V2'!$L$9:$L$250,CONCATENATE("20",RIGHT('FY Q&amp;V 2003-04 to Now'!Q$7,2)),'Petroleum - Q&amp;V2'!$M$9:$M$250,2))*1000000</f>
        <v>8328719117.9769068</v>
      </c>
      <c r="S71" s="890">
        <f>(SUMIFS('Petroleum - Q&amp;V2'!$C$9:$C$250,'Petroleum - Q&amp;V2'!$L$9:$L$250,LEFT('FY Q&amp;V 2003-04 to Now'!S$7,4),'Petroleum - Q&amp;V2'!$M$9:$M$250,3)+
SUMIFS('Petroleum - Q&amp;V2'!$C$9:$C$250,'Petroleum - Q&amp;V2'!$L$9:$L$250,LEFT('FY Q&amp;V 2003-04 to Now'!S$7,4),'Petroleum - Q&amp;V2'!$M$9:$M$250,4)+
SUMIFS('Petroleum - Q&amp;V2'!$C$9:$C$250,'Petroleum - Q&amp;V2'!$L$9:$L$250,CONCATENATE("20",RIGHT('FY Q&amp;V 2003-04 to Now'!S$7,2)),'Petroleum - Q&amp;V2'!$M$9:$M$250,1)+
SUMIFS('Petroleum - Q&amp;V2'!$C$9:$C$250,'Petroleum - Q&amp;V2'!$L$9:$L$250,CONCATENATE("20",RIGHT('FY Q&amp;V 2003-04 to Now'!S$7,2)),'Petroleum - Q&amp;V2'!$M$9:$M$250,2))</f>
        <v>15610569.721008768</v>
      </c>
      <c r="T71" s="891">
        <f>(SUMIFS('Petroleum - Q&amp;V2'!$E$9:$E$250,'Petroleum - Q&amp;V2'!$L$9:$L$250,LEFT('FY Q&amp;V 2003-04 to Now'!S$7,4),'Petroleum - Q&amp;V2'!$M$9:$M$250,3)+
SUMIFS('Petroleum - Q&amp;V2'!$E$9:$E$250,'Petroleum - Q&amp;V2'!$L$9:$L$250,LEFT('FY Q&amp;V 2003-04 to Now'!S$7,4),'Petroleum - Q&amp;V2'!$M$9:$M$250,4)+
SUMIFS('Petroleum - Q&amp;V2'!$E$9:$E$250,'Petroleum - Q&amp;V2'!$L$9:$L$250,CONCATENATE("20",RIGHT('FY Q&amp;V 2003-04 to Now'!S$7,2)),'Petroleum - Q&amp;V2'!$M$9:$M$250,1)+
SUMIFS('Petroleum - Q&amp;V2'!$E$9:$E$250,'Petroleum - Q&amp;V2'!$L$9:$L$250,CONCATENATE("20",RIGHT('FY Q&amp;V 2003-04 to Now'!S$7,2)),'Petroleum - Q&amp;V2'!$M$9:$M$250,2))*1000000</f>
        <v>9495543132.4315643</v>
      </c>
      <c r="U71" s="890">
        <f>(SUMIFS('Petroleum - Q&amp;V2'!$C$9:$C$250,'Petroleum - Q&amp;V2'!$L$9:$L$250,LEFT('FY Q&amp;V 2003-04 to Now'!U$7,4),'Petroleum - Q&amp;V2'!$M$9:$M$250,3)+
SUMIFS('Petroleum - Q&amp;V2'!$C$9:$C$250,'Petroleum - Q&amp;V2'!$L$9:$L$250,LEFT('FY Q&amp;V 2003-04 to Now'!U$7,4),'Petroleum - Q&amp;V2'!$M$9:$M$250,4)+
SUMIFS('Petroleum - Q&amp;V2'!$C$9:$C$250,'Petroleum - Q&amp;V2'!$L$9:$L$250,CONCATENATE("20",RIGHT('FY Q&amp;V 2003-04 to Now'!U$7,2)),'Petroleum - Q&amp;V2'!$M$9:$M$250,1)+
SUMIFS('Petroleum - Q&amp;V2'!$C$9:$C$250,'Petroleum - Q&amp;V2'!$L$9:$L$250,CONCATENATE("20",RIGHT('FY Q&amp;V 2003-04 to Now'!U$7,2)),'Petroleum - Q&amp;V2'!$M$9:$M$250,2))</f>
        <v>19804919</v>
      </c>
      <c r="V71" s="891">
        <f>(SUMIFS('Petroleum - Q&amp;V2'!$E$9:$E$250,'Petroleum - Q&amp;V2'!$L$9:$L$250,LEFT('FY Q&amp;V 2003-04 to Now'!U$7,4),'Petroleum - Q&amp;V2'!$M$9:$M$250,3)+
SUMIFS('Petroleum - Q&amp;V2'!$E$9:$E$250,'Petroleum - Q&amp;V2'!$L$9:$L$250,LEFT('FY Q&amp;V 2003-04 to Now'!U$7,4),'Petroleum - Q&amp;V2'!$M$9:$M$250,4)+
SUMIFS('Petroleum - Q&amp;V2'!$E$9:$E$250,'Petroleum - Q&amp;V2'!$L$9:$L$250,CONCATENATE("20",RIGHT('FY Q&amp;V 2003-04 to Now'!U$7,2)),'Petroleum - Q&amp;V2'!$M$9:$M$250,1)+
SUMIFS('Petroleum - Q&amp;V2'!$E$9:$E$250,'Petroleum - Q&amp;V2'!$L$9:$L$250,CONCATENATE("20",RIGHT('FY Q&amp;V 2003-04 to Now'!U$7,2)),'Petroleum - Q&amp;V2'!$M$9:$M$250,2))*1000000</f>
        <v>12147214397.2318</v>
      </c>
      <c r="W71" s="890">
        <f>(SUMIFS('Petroleum - Q&amp;V2'!$C$9:$C$250,'Petroleum - Q&amp;V2'!$L$9:$L$250,LEFT('FY Q&amp;V 2003-04 to Now'!W$7,4),'Petroleum - Q&amp;V2'!$M$9:$M$250,3)+
SUMIFS('Petroleum - Q&amp;V2'!$C$9:$C$250,'Petroleum - Q&amp;V2'!$L$9:$L$250,LEFT('FY Q&amp;V 2003-04 to Now'!W$7,4),'Petroleum - Q&amp;V2'!$M$9:$M$250,4)+
SUMIFS('Petroleum - Q&amp;V2'!$C$9:$C$250,'Petroleum - Q&amp;V2'!$L$9:$L$250,CONCATENATE("20",RIGHT('FY Q&amp;V 2003-04 to Now'!W$7,2)),'Petroleum - Q&amp;V2'!$M$9:$M$250,1)+
SUMIFS('Petroleum - Q&amp;V2'!$C$9:$C$250,'Petroleum - Q&amp;V2'!$L$9:$L$250,CONCATENATE("20",RIGHT('FY Q&amp;V 2003-04 to Now'!W$7,2)),'Petroleum - Q&amp;V2'!$M$9:$M$250,2))</f>
        <v>19826065</v>
      </c>
      <c r="X71" s="891">
        <f>(SUMIFS('Petroleum - Q&amp;V2'!$E$9:$E$250,'Petroleum - Q&amp;V2'!$L$9:$L$250,LEFT('FY Q&amp;V 2003-04 to Now'!W$7,4),'Petroleum - Q&amp;V2'!$M$9:$M$250,3)+
SUMIFS('Petroleum - Q&amp;V2'!$E$9:$E$250,'Petroleum - Q&amp;V2'!$L$9:$L$250,LEFT('FY Q&amp;V 2003-04 to Now'!W$7,4),'Petroleum - Q&amp;V2'!$M$9:$M$250,4)+
SUMIFS('Petroleum - Q&amp;V2'!$E$9:$E$250,'Petroleum - Q&amp;V2'!$L$9:$L$250,CONCATENATE("20",RIGHT('FY Q&amp;V 2003-04 to Now'!W$7,2)),'Petroleum - Q&amp;V2'!$M$9:$M$250,1)+
SUMIFS('Petroleum - Q&amp;V2'!$E$9:$E$250,'Petroleum - Q&amp;V2'!$L$9:$L$250,CONCATENATE("20",RIGHT('FY Q&amp;V 2003-04 to Now'!W$7,2)),'Petroleum - Q&amp;V2'!$M$9:$M$250,2))*1000000</f>
        <v>14651522773.511284</v>
      </c>
      <c r="Y71" s="890">
        <f>(SUMIFS('Petroleum - Q&amp;V2'!$C$9:$C$250,'Petroleum - Q&amp;V2'!$L$9:$L$250,LEFT('FY Q&amp;V 2003-04 to Now'!Y$7,4),'Petroleum - Q&amp;V2'!$M$9:$M$250,3)+
SUMIFS('Petroleum - Q&amp;V2'!$C$9:$C$250,'Petroleum - Q&amp;V2'!$L$9:$L$250,LEFT('FY Q&amp;V 2003-04 to Now'!Y$7,4),'Petroleum - Q&amp;V2'!$M$9:$M$250,4)+
SUMIFS('Petroleum - Q&amp;V2'!$C$9:$C$250,'Petroleum - Q&amp;V2'!$L$9:$L$250,CONCATENATE("20",RIGHT('FY Q&amp;V 2003-04 to Now'!Y$7,2)),'Petroleum - Q&amp;V2'!$M$9:$M$250,1)+
SUMIFS('Petroleum - Q&amp;V2'!$C$9:$C$250,'Petroleum - Q&amp;V2'!$L$9:$L$250,CONCATENATE("20",RIGHT('FY Q&amp;V 2003-04 to Now'!Y$7,2)),'Petroleum - Q&amp;V2'!$M$9:$M$250,2))</f>
        <v>20447845</v>
      </c>
      <c r="Z71" s="891">
        <f>(SUMIFS('Petroleum - Q&amp;V2'!$E$9:$E$250,'Petroleum - Q&amp;V2'!$L$9:$L$250,LEFT('FY Q&amp;V 2003-04 to Now'!Y$7,4),'Petroleum - Q&amp;V2'!$M$9:$M$250,3)+
SUMIFS('Petroleum - Q&amp;V2'!$E$9:$E$250,'Petroleum - Q&amp;V2'!$L$9:$L$250,LEFT('FY Q&amp;V 2003-04 to Now'!Y$7,4),'Petroleum - Q&amp;V2'!$M$9:$M$250,4)+
SUMIFS('Petroleum - Q&amp;V2'!$E$9:$E$250,'Petroleum - Q&amp;V2'!$L$9:$L$250,CONCATENATE("20",RIGHT('FY Q&amp;V 2003-04 to Now'!Y$7,2)),'Petroleum - Q&amp;V2'!$M$9:$M$250,1)+
SUMIFS('Petroleum - Q&amp;V2'!$E$9:$E$250,'Petroleum - Q&amp;V2'!$L$9:$L$250,CONCATENATE("20",RIGHT('FY Q&amp;V 2003-04 to Now'!Y$7,2)),'Petroleum - Q&amp;V2'!$M$9:$M$250,2))*1000000</f>
        <v>13817042486.841991</v>
      </c>
      <c r="AA71" s="890">
        <f>(SUMIFS('Petroleum - Q&amp;V2'!$C$9:$C$250,'Petroleum - Q&amp;V2'!$L$9:$L$250,LEFT('FY Q&amp;V 2003-04 to Now'!AA$7,4),'Petroleum - Q&amp;V2'!$M$9:$M$250,3)+
SUMIFS('Petroleum - Q&amp;V2'!$C$9:$C$250,'Petroleum - Q&amp;V2'!$L$9:$L$250,LEFT('FY Q&amp;V 2003-04 to Now'!AA$7,4),'Petroleum - Q&amp;V2'!$M$9:$M$250,4)+
SUMIFS('Petroleum - Q&amp;V2'!$C$9:$C$250,'Petroleum - Q&amp;V2'!$L$9:$L$250,CONCATENATE("20",RIGHT('FY Q&amp;V 2003-04 to Now'!AA$7,2)),'Petroleum - Q&amp;V2'!$M$9:$M$250,1)+
SUMIFS('Petroleum - Q&amp;V2'!$C$9:$C$250,'Petroleum - Q&amp;V2'!$L$9:$L$250,CONCATENATE("20",RIGHT('FY Q&amp;V 2003-04 to Now'!AA$7,2)),'Petroleum - Q&amp;V2'!$M$9:$M$250,2))</f>
        <v>20955641</v>
      </c>
      <c r="AB71" s="891">
        <f>(SUMIFS('Petroleum - Q&amp;V2'!$E$9:$E$250,'Petroleum - Q&amp;V2'!$L$9:$L$250,LEFT('FY Q&amp;V 2003-04 to Now'!AA$7,4),'Petroleum - Q&amp;V2'!$M$9:$M$250,3)+
SUMIFS('Petroleum - Q&amp;V2'!$E$9:$E$250,'Petroleum - Q&amp;V2'!$L$9:$L$250,LEFT('FY Q&amp;V 2003-04 to Now'!AA$7,4),'Petroleum - Q&amp;V2'!$M$9:$M$250,4)+
SUMIFS('Petroleum - Q&amp;V2'!$E$9:$E$250,'Petroleum - Q&amp;V2'!$L$9:$L$250,CONCATENATE("20",RIGHT('FY Q&amp;V 2003-04 to Now'!AA$7,2)),'Petroleum - Q&amp;V2'!$M$9:$M$250,1)+
SUMIFS('Petroleum - Q&amp;V2'!$E$9:$E$250,'Petroleum - Q&amp;V2'!$L$9:$L$250,CONCATENATE("20",RIGHT('FY Q&amp;V 2003-04 to Now'!AA$7,2)),'Petroleum - Q&amp;V2'!$M$9:$M$250,2))*1000000</f>
        <v>10764545352.932774</v>
      </c>
      <c r="AC71" s="890">
        <f>(SUMIFS('Petroleum - Q&amp;V2'!$C$9:$C$250,'Petroleum - Q&amp;V2'!$L$9:$L$250,LEFT('FY Q&amp;V 2003-04 to Now'!AC$7,4),'Petroleum - Q&amp;V2'!$M$9:$M$250,3)+
SUMIFS('Petroleum - Q&amp;V2'!$C$9:$C$250,'Petroleum - Q&amp;V2'!$L$9:$L$250,LEFT('FY Q&amp;V 2003-04 to Now'!AC$7,4),'Petroleum - Q&amp;V2'!$M$9:$M$250,4)+
SUMIFS('Petroleum - Q&amp;V2'!$C$9:$C$250,'Petroleum - Q&amp;V2'!$L$9:$L$250,CONCATENATE("20",RIGHT('FY Q&amp;V 2003-04 to Now'!AC$7,2)),'Petroleum - Q&amp;V2'!$M$9:$M$250,1)+
SUMIFS('Petroleum - Q&amp;V2'!$C$9:$C$250,'Petroleum - Q&amp;V2'!$L$9:$L$250,CONCATENATE("20",RIGHT('FY Q&amp;V 2003-04 to Now'!AC$7,2)),'Petroleum - Q&amp;V2'!$M$9:$M$250,2))</f>
        <v>28685476.682250001</v>
      </c>
      <c r="AD71" s="890">
        <f>(SUMIFS('Petroleum - Q&amp;V2'!$E$9:$E$250,'Petroleum - Q&amp;V2'!$L$9:$L$250,LEFT('FY Q&amp;V 2003-04 to Now'!AC$7,4),'Petroleum - Q&amp;V2'!$M$9:$M$250,3)+
SUMIFS('Petroleum - Q&amp;V2'!$E$9:$E$250,'Petroleum - Q&amp;V2'!$L$9:$L$250,LEFT('FY Q&amp;V 2003-04 to Now'!AC$7,4),'Petroleum - Q&amp;V2'!$M$9:$M$250,4)+
SUMIFS('Petroleum - Q&amp;V2'!$E$9:$E$250,'Petroleum - Q&amp;V2'!$L$9:$L$250,CONCATENATE("20",RIGHT('FY Q&amp;V 2003-04 to Now'!AC$7,2)),'Petroleum - Q&amp;V2'!$M$9:$M$250,1)+
SUMIFS('Petroleum - Q&amp;V2'!$E$9:$E$250,'Petroleum - Q&amp;V2'!$L$9:$L$250,CONCATENATE("20",RIGHT('FY Q&amp;V 2003-04 to Now'!AC$7,2)),'Petroleum - Q&amp;V2'!$M$9:$M$250,2))*1000000</f>
        <v>12728310038.069866</v>
      </c>
      <c r="AE71" s="1308">
        <f>(SUMIFS('Petroleum - Q&amp;V2'!$C$9:$C$250,'Petroleum - Q&amp;V2'!$L$9:$L$250,LEFT('FY Q&amp;V 2003-04 to Now'!AE$7,4),'Petroleum - Q&amp;V2'!$M$9:$M$250,3)+
SUMIFS('Petroleum - Q&amp;V2'!$C$9:$C$250,'Petroleum - Q&amp;V2'!$L$9:$L$250,LEFT('FY Q&amp;V 2003-04 to Now'!AE$7,4),'Petroleum - Q&amp;V2'!$M$9:$M$250,4)+
SUMIFS('Petroleum - Q&amp;V2'!$C$9:$C$250,'Petroleum - Q&amp;V2'!$L$9:$L$250,CONCATENATE("20",RIGHT('FY Q&amp;V 2003-04 to Now'!AE$7,2)),'Petroleum - Q&amp;V2'!$M$9:$M$250,1)+
SUMIFS('Petroleum - Q&amp;V2'!$C$9:$C$250,'Petroleum - Q&amp;V2'!$L$9:$L$250,CONCATENATE("20",RIGHT('FY Q&amp;V 2003-04 to Now'!AE$7,2)),'Petroleum - Q&amp;V2'!$M$9:$M$250,2))</f>
        <v>37893516.660594463</v>
      </c>
      <c r="AF71" s="891">
        <f>(SUMIFS('Petroleum - Q&amp;V2'!$E$9:$E$250,'Petroleum - Q&amp;V2'!$L$9:$L$250,LEFT('FY Q&amp;V 2003-04 to Now'!AE$7,4),'Petroleum - Q&amp;V2'!$M$9:$M$250,3)+
SUMIFS('Petroleum - Q&amp;V2'!$E$9:$E$250,'Petroleum - Q&amp;V2'!$L$9:$L$250,LEFT('FY Q&amp;V 2003-04 to Now'!AE$7,4),'Petroleum - Q&amp;V2'!$M$9:$M$250,4)+
SUMIFS('Petroleum - Q&amp;V2'!$E$9:$E$250,'Petroleum - Q&amp;V2'!$L$9:$L$250,CONCATENATE("20",RIGHT('FY Q&amp;V 2003-04 to Now'!AE$7,2)),'Petroleum - Q&amp;V2'!$M$9:$M$250,1)+
SUMIFS('Petroleum - Q&amp;V2'!$E$9:$E$250,'Petroleum - Q&amp;V2'!$L$9:$L$250,CONCATENATE("20",RIGHT('FY Q&amp;V 2003-04 to Now'!AE$7,2)),'Petroleum - Q&amp;V2'!$M$9:$M$250,2))*1000000</f>
        <v>18920841692.784386</v>
      </c>
      <c r="AG71" s="1308">
        <f>(SUMIFS('Petroleum - Q&amp;V2'!$C$9:$C$250,'Petroleum - Q&amp;V2'!$L$9:$L$250,LEFT('FY Q&amp;V 2003-04 to Now'!AG$7,4),'Petroleum - Q&amp;V2'!$M$9:$M$250,3)+
SUMIFS('Petroleum - Q&amp;V2'!$C$9:$C$250,'Petroleum - Q&amp;V2'!$L$9:$L$250,LEFT('FY Q&amp;V 2003-04 to Now'!AG$7,4),'Petroleum - Q&amp;V2'!$M$9:$M$250,4)+
SUMIFS('Petroleum - Q&amp;V2'!$C$9:$C$250,'Petroleum - Q&amp;V2'!$L$9:$L$250,CONCATENATE("20",RIGHT('FY Q&amp;V 2003-04 to Now'!AG$7,2)),'Petroleum - Q&amp;V2'!$M$9:$M$250,1)+
SUMIFS('Petroleum - Q&amp;V2'!$C$9:$C$250,'Petroleum - Q&amp;V2'!$L$9:$L$250,CONCATENATE("20",RIGHT('FY Q&amp;V 2003-04 to Now'!AG$7,2)),'Petroleum - Q&amp;V2'!$M$9:$M$250,2))</f>
        <v>43635291.099991925</v>
      </c>
      <c r="AH71" s="891">
        <f>(SUMIFS('Petroleum - Q&amp;V2'!$E$9:$E$250,'Petroleum - Q&amp;V2'!$L$9:$L$250,LEFT('FY Q&amp;V 2003-04 to Now'!AG$7,4),'Petroleum - Q&amp;V2'!$M$9:$M$250,3)+
SUMIFS('Petroleum - Q&amp;V2'!$E$9:$E$250,'Petroleum - Q&amp;V2'!$L$9:$L$250,LEFT('FY Q&amp;V 2003-04 to Now'!AG$7,4),'Petroleum - Q&amp;V2'!$M$9:$M$250,4)+
SUMIFS('Petroleum - Q&amp;V2'!$E$9:$E$250,'Petroleum - Q&amp;V2'!$L$9:$L$250,CONCATENATE("20",RIGHT('FY Q&amp;V 2003-04 to Now'!AG$7,2)),'Petroleum - Q&amp;V2'!$M$9:$M$250,1)+
SUMIFS('Petroleum - Q&amp;V2'!$E$9:$E$250,'Petroleum - Q&amp;V2'!$L$9:$L$250,CONCATENATE("20",RIGHT('FY Q&amp;V 2003-04 to Now'!AG$7,2)),'Petroleum - Q&amp;V2'!$M$9:$M$250,2))*1000000</f>
        <v>29005992287.212116</v>
      </c>
      <c r="AI71" s="953">
        <f>SUMIF($C$9:AH$9,1,$C71:AH71)</f>
        <v>308999029.11730307</v>
      </c>
      <c r="AJ71" s="891">
        <f>SUMIF($C$9:AH$9,0,$C71:AH71)</f>
        <v>166745174010.53107</v>
      </c>
    </row>
    <row r="72" spans="1:41">
      <c r="A72" s="887" t="s">
        <v>346</v>
      </c>
      <c r="B72" s="848" t="s">
        <v>110</v>
      </c>
      <c r="C72" s="890">
        <f>(SUMIFS('Petroleum - Q&amp;V2'!$F$9:$F$250,'Petroleum - Q&amp;V2'!$L$9:$L$250,LEFT('FY Q&amp;V 2003-04 to Now'!C$7,4),'Petroleum - Q&amp;V2'!$M$9:$M$250,3)+
SUMIFS('Petroleum - Q&amp;V2'!$F$9:$F$250,'Petroleum - Q&amp;V2'!$L$9:$L$250,LEFT('FY Q&amp;V 2003-04 to Now'!C$7,4),'Petroleum - Q&amp;V2'!$M$9:$M$250,4)+
SUMIFS('Petroleum - Q&amp;V2'!$F$9:$F$250,'Petroleum - Q&amp;V2'!$L$9:$L$250,CONCATENATE("20",RIGHT('FY Q&amp;V 2003-04 to Now'!C$7,2)),'Petroleum - Q&amp;V2'!$M$9:$M$250,1)+
SUMIFS('Petroleum - Q&amp;V2'!$F$9:$F$250,'Petroleum - Q&amp;V2'!$L$9:$L$250,CONCATENATE("20",RIGHT('FY Q&amp;V 2003-04 to Now'!C$7,2)),'Petroleum - Q&amp;V2'!$M$9:$M$250,2))</f>
        <v>695262</v>
      </c>
      <c r="D72" s="891">
        <f>(SUMIFS('Petroleum - Q&amp;V2'!$H$9:$H$250,'Petroleum - Q&amp;V2'!$L$9:$L$250,LEFT('FY Q&amp;V 2003-04 to Now'!C$7,4),'Petroleum - Q&amp;V2'!$M$9:$M$250,3)+
SUMIFS('Petroleum - Q&amp;V2'!$H$9:$H$250,'Petroleum - Q&amp;V2'!$L$9:$L$250,LEFT('FY Q&amp;V 2003-04 to Now'!C$7,4),'Petroleum - Q&amp;V2'!$M$9:$M$250,4)+
SUMIFS('Petroleum - Q&amp;V2'!$H$9:$H$250,'Petroleum - Q&amp;V2'!$L$9:$L$250,CONCATENATE("20",RIGHT('FY Q&amp;V 2003-04 to Now'!C$7,2)),'Petroleum - Q&amp;V2'!$M$9:$M$250,1)+
SUMIFS('Petroleum - Q&amp;V2'!$H$9:$H$250,'Petroleum - Q&amp;V2'!$L$9:$L$250,CONCATENATE("20",RIGHT('FY Q&amp;V 2003-04 to Now'!C$7,2)),'Petroleum - Q&amp;V2'!$M$9:$M$250,2))*1000000</f>
        <v>282150682</v>
      </c>
      <c r="E72" s="890">
        <f>(SUMIFS('Petroleum - Q&amp;V2'!$F$9:$F$250,'Petroleum - Q&amp;V2'!$L$9:$L$250,LEFT('FY Q&amp;V 2003-04 to Now'!E$7,4),'Petroleum - Q&amp;V2'!$M$9:$M$250,3)+
SUMIFS('Petroleum - Q&amp;V2'!$F$9:$F$250,'Petroleum - Q&amp;V2'!$L$9:$L$250,LEFT('FY Q&amp;V 2003-04 to Now'!E$7,4),'Petroleum - Q&amp;V2'!$M$9:$M$250,4)+
SUMIFS('Petroleum - Q&amp;V2'!$F$9:$F$250,'Petroleum - Q&amp;V2'!$L$9:$L$250,CONCATENATE("20",RIGHT('FY Q&amp;V 2003-04 to Now'!E$7,2)),'Petroleum - Q&amp;V2'!$M$9:$M$250,1)+
SUMIFS('Petroleum - Q&amp;V2'!$F$9:$F$250,'Petroleum - Q&amp;V2'!$L$9:$L$250,CONCATENATE("20",RIGHT('FY Q&amp;V 2003-04 to Now'!E$7,2)),'Petroleum - Q&amp;V2'!$M$9:$M$250,2))</f>
        <v>764186</v>
      </c>
      <c r="F72" s="891">
        <f>(SUMIFS('Petroleum - Q&amp;V2'!$H$9:$H$250,'Petroleum - Q&amp;V2'!$L$9:$L$250,LEFT('FY Q&amp;V 2003-04 to Now'!E$7,4),'Petroleum - Q&amp;V2'!$M$9:$M$250,3)+
SUMIFS('Petroleum - Q&amp;V2'!$H$9:$H$250,'Petroleum - Q&amp;V2'!$L$9:$L$250,LEFT('FY Q&amp;V 2003-04 to Now'!E$7,4),'Petroleum - Q&amp;V2'!$M$9:$M$250,4)+
SUMIFS('Petroleum - Q&amp;V2'!$H$9:$H$250,'Petroleum - Q&amp;V2'!$L$9:$L$250,CONCATENATE("20",RIGHT('FY Q&amp;V 2003-04 to Now'!E$7,2)),'Petroleum - Q&amp;V2'!$M$9:$M$250,1)+
SUMIFS('Petroleum - Q&amp;V2'!$H$9:$H$250,'Petroleum - Q&amp;V2'!$L$9:$L$250,CONCATENATE("20",RIGHT('FY Q&amp;V 2003-04 to Now'!E$7,2)),'Petroleum - Q&amp;V2'!$M$9:$M$250,2))*1000000</f>
        <v>403501753.31283003</v>
      </c>
      <c r="G72" s="890">
        <f>(SUMIFS('Petroleum - Q&amp;V2'!$F$9:$F$250,'Petroleum - Q&amp;V2'!$L$9:$L$250,LEFT('FY Q&amp;V 2003-04 to Now'!G$7,4),'Petroleum - Q&amp;V2'!$M$9:$M$250,3)+
SUMIFS('Petroleum - Q&amp;V2'!$F$9:$F$250,'Petroleum - Q&amp;V2'!$L$9:$L$250,LEFT('FY Q&amp;V 2003-04 to Now'!G$7,4),'Petroleum - Q&amp;V2'!$M$9:$M$250,4)+
SUMIFS('Petroleum - Q&amp;V2'!$F$9:$F$250,'Petroleum - Q&amp;V2'!$L$9:$L$250,CONCATENATE("20",RIGHT('FY Q&amp;V 2003-04 to Now'!G$7,2)),'Petroleum - Q&amp;V2'!$M$9:$M$250,1)+
SUMIFS('Petroleum - Q&amp;V2'!$F$9:$F$250,'Petroleum - Q&amp;V2'!$L$9:$L$250,CONCATENATE("20",RIGHT('FY Q&amp;V 2003-04 to Now'!G$7,2)),'Petroleum - Q&amp;V2'!$M$9:$M$250,2))</f>
        <v>871983</v>
      </c>
      <c r="H72" s="891">
        <f>(SUMIFS('Petroleum - Q&amp;V2'!$H$9:$H$250,'Petroleum - Q&amp;V2'!$L$9:$L$250,LEFT('FY Q&amp;V 2003-04 to Now'!G$7,4),'Petroleum - Q&amp;V2'!$M$9:$M$250,3)+
SUMIFS('Petroleum - Q&amp;V2'!$H$9:$H$250,'Petroleum - Q&amp;V2'!$L$9:$L$250,LEFT('FY Q&amp;V 2003-04 to Now'!G$7,4),'Petroleum - Q&amp;V2'!$M$9:$M$250,4)+
SUMIFS('Petroleum - Q&amp;V2'!$H$9:$H$250,'Petroleum - Q&amp;V2'!$L$9:$L$250,CONCATENATE("20",RIGHT('FY Q&amp;V 2003-04 to Now'!G$7,2)),'Petroleum - Q&amp;V2'!$M$9:$M$250,1)+
SUMIFS('Petroleum - Q&amp;V2'!$H$9:$H$250,'Petroleum - Q&amp;V2'!$L$9:$L$250,CONCATENATE("20",RIGHT('FY Q&amp;V 2003-04 to Now'!G$7,2)),'Petroleum - Q&amp;V2'!$M$9:$M$250,2))*1000000</f>
        <v>654423834.39349914</v>
      </c>
      <c r="I72" s="890">
        <f>(SUMIFS('Petroleum - Q&amp;V2'!$F$9:$F$250,'Petroleum - Q&amp;V2'!$L$9:$L$250,LEFT('FY Q&amp;V 2003-04 to Now'!I$7,4),'Petroleum - Q&amp;V2'!$M$9:$M$250,3)+
SUMIFS('Petroleum - Q&amp;V2'!$F$9:$F$250,'Petroleum - Q&amp;V2'!$L$9:$L$250,LEFT('FY Q&amp;V 2003-04 to Now'!I$7,4),'Petroleum - Q&amp;V2'!$M$9:$M$250,4)+
SUMIFS('Petroleum - Q&amp;V2'!$F$9:$F$250,'Petroleum - Q&amp;V2'!$L$9:$L$250,CONCATENATE("20",RIGHT('FY Q&amp;V 2003-04 to Now'!I$7,2)),'Petroleum - Q&amp;V2'!$M$9:$M$250,1)+
SUMIFS('Petroleum - Q&amp;V2'!$F$9:$F$250,'Petroleum - Q&amp;V2'!$L$9:$L$250,CONCATENATE("20",RIGHT('FY Q&amp;V 2003-04 to Now'!I$7,2)),'Petroleum - Q&amp;V2'!$M$9:$M$250,2))</f>
        <v>898606</v>
      </c>
      <c r="J72" s="891">
        <f>(SUMIFS('Petroleum - Q&amp;V2'!$H$9:$H$250,'Petroleum - Q&amp;V2'!$L$9:$L$250,LEFT('FY Q&amp;V 2003-04 to Now'!I$7,4),'Petroleum - Q&amp;V2'!$M$9:$M$250,3)+
SUMIFS('Petroleum - Q&amp;V2'!$H$9:$H$250,'Petroleum - Q&amp;V2'!$L$9:$L$250,LEFT('FY Q&amp;V 2003-04 to Now'!I$7,4),'Petroleum - Q&amp;V2'!$M$9:$M$250,4)+
SUMIFS('Petroleum - Q&amp;V2'!$H$9:$H$250,'Petroleum - Q&amp;V2'!$L$9:$L$250,CONCATENATE("20",RIGHT('FY Q&amp;V 2003-04 to Now'!I$7,2)),'Petroleum - Q&amp;V2'!$M$9:$M$250,1)+
SUMIFS('Petroleum - Q&amp;V2'!$H$9:$H$250,'Petroleum - Q&amp;V2'!$L$9:$L$250,CONCATENATE("20",RIGHT('FY Q&amp;V 2003-04 to Now'!I$7,2)),'Petroleum - Q&amp;V2'!$M$9:$M$250,2))*1000000</f>
        <v>605084727.42592239</v>
      </c>
      <c r="K72" s="890">
        <f>(SUMIFS('Petroleum - Q&amp;V2'!$F$9:$F$250,'Petroleum - Q&amp;V2'!$L$9:$L$250,LEFT('FY Q&amp;V 2003-04 to Now'!K$7,4),'Petroleum - Q&amp;V2'!$M$9:$M$250,3)+
SUMIFS('Petroleum - Q&amp;V2'!$F$9:$F$250,'Petroleum - Q&amp;V2'!$L$9:$L$250,LEFT('FY Q&amp;V 2003-04 to Now'!K$7,4),'Petroleum - Q&amp;V2'!$M$9:$M$250,4)+
SUMIFS('Petroleum - Q&amp;V2'!$F$9:$F$250,'Petroleum - Q&amp;V2'!$L$9:$L$250,CONCATENATE("20",RIGHT('FY Q&amp;V 2003-04 to Now'!K$7,2)),'Petroleum - Q&amp;V2'!$M$9:$M$250,1)+
SUMIFS('Petroleum - Q&amp;V2'!$F$9:$F$250,'Petroleum - Q&amp;V2'!$L$9:$L$250,CONCATENATE("20",RIGHT('FY Q&amp;V 2003-04 to Now'!K$7,2)),'Petroleum - Q&amp;V2'!$M$9:$M$250,2))</f>
        <v>818390</v>
      </c>
      <c r="L72" s="891">
        <f>(SUMIFS('Petroleum - Q&amp;V2'!$H$9:$H$250,'Petroleum - Q&amp;V2'!$L$9:$L$250,LEFT('FY Q&amp;V 2003-04 to Now'!K$7,4),'Petroleum - Q&amp;V2'!$M$9:$M$250,3)+
SUMIFS('Petroleum - Q&amp;V2'!$H$9:$H$250,'Petroleum - Q&amp;V2'!$L$9:$L$250,LEFT('FY Q&amp;V 2003-04 to Now'!K$7,4),'Petroleum - Q&amp;V2'!$M$9:$M$250,4)+
SUMIFS('Petroleum - Q&amp;V2'!$H$9:$H$250,'Petroleum - Q&amp;V2'!$L$9:$L$250,CONCATENATE("20",RIGHT('FY Q&amp;V 2003-04 to Now'!K$7,2)),'Petroleum - Q&amp;V2'!$M$9:$M$250,1)+
SUMIFS('Petroleum - Q&amp;V2'!$H$9:$H$250,'Petroleum - Q&amp;V2'!$L$9:$L$250,CONCATENATE("20",RIGHT('FY Q&amp;V 2003-04 to Now'!K$7,2)),'Petroleum - Q&amp;V2'!$M$9:$M$250,2))*1000000</f>
        <v>683352216.99510252</v>
      </c>
      <c r="M72" s="890">
        <f>(SUMIFS('Petroleum - Q&amp;V2'!$F$9:$F$250,'Petroleum - Q&amp;V2'!$L$9:$L$250,LEFT('FY Q&amp;V 2003-04 to Now'!M$7,4),'Petroleum - Q&amp;V2'!$M$9:$M$250,3)+
SUMIFS('Petroleum - Q&amp;V2'!$F$9:$F$250,'Petroleum - Q&amp;V2'!$L$9:$L$250,LEFT('FY Q&amp;V 2003-04 to Now'!M$7,4),'Petroleum - Q&amp;V2'!$M$9:$M$250,4)+
SUMIFS('Petroleum - Q&amp;V2'!$F$9:$F$250,'Petroleum - Q&amp;V2'!$L$9:$L$250,CONCATENATE("20",RIGHT('FY Q&amp;V 2003-04 to Now'!M$7,2)),'Petroleum - Q&amp;V2'!$M$9:$M$250,1)+
SUMIFS('Petroleum - Q&amp;V2'!$F$9:$F$250,'Petroleum - Q&amp;V2'!$L$9:$L$250,CONCATENATE("20",RIGHT('FY Q&amp;V 2003-04 to Now'!M$7,2)),'Petroleum - Q&amp;V2'!$M$9:$M$250,2))</f>
        <v>866534</v>
      </c>
      <c r="N72" s="891">
        <f>(SUMIFS('Petroleum - Q&amp;V2'!$H$9:$H$250,'Petroleum - Q&amp;V2'!$L$9:$L$250,LEFT('FY Q&amp;V 2003-04 to Now'!M$7,4),'Petroleum - Q&amp;V2'!$M$9:$M$250,3)+
SUMIFS('Petroleum - Q&amp;V2'!$H$9:$H$250,'Petroleum - Q&amp;V2'!$L$9:$L$250,LEFT('FY Q&amp;V 2003-04 to Now'!M$7,4),'Petroleum - Q&amp;V2'!$M$9:$M$250,4)+
SUMIFS('Petroleum - Q&amp;V2'!$H$9:$H$250,'Petroleum - Q&amp;V2'!$L$9:$L$250,CONCATENATE("20",RIGHT('FY Q&amp;V 2003-04 to Now'!M$7,2)),'Petroleum - Q&amp;V2'!$M$9:$M$250,1)+
SUMIFS('Petroleum - Q&amp;V2'!$H$9:$H$250,'Petroleum - Q&amp;V2'!$L$9:$L$250,CONCATENATE("20",RIGHT('FY Q&amp;V 2003-04 to Now'!M$7,2)),'Petroleum - Q&amp;V2'!$M$9:$M$250,2))*1000000</f>
        <v>750825345.81660795</v>
      </c>
      <c r="O72" s="890">
        <f>(SUMIFS('Petroleum - Q&amp;V2'!$F$9:$F$250,'Petroleum - Q&amp;V2'!$L$9:$L$250,LEFT('FY Q&amp;V 2003-04 to Now'!O$7,4),'Petroleum - Q&amp;V2'!$M$9:$M$250,3)+
SUMIFS('Petroleum - Q&amp;V2'!$F$9:$F$250,'Petroleum - Q&amp;V2'!$L$9:$L$250,LEFT('FY Q&amp;V 2003-04 to Now'!O$7,4),'Petroleum - Q&amp;V2'!$M$9:$M$250,4)+
SUMIFS('Petroleum - Q&amp;V2'!$F$9:$F$250,'Petroleum - Q&amp;V2'!$L$9:$L$250,CONCATENATE("20",RIGHT('FY Q&amp;V 2003-04 to Now'!O$7,2)),'Petroleum - Q&amp;V2'!$M$9:$M$250,1)+
SUMIFS('Petroleum - Q&amp;V2'!$F$9:$F$250,'Petroleum - Q&amp;V2'!$L$9:$L$250,CONCATENATE("20",RIGHT('FY Q&amp;V 2003-04 to Now'!O$7,2)),'Petroleum - Q&amp;V2'!$M$9:$M$250,2))</f>
        <v>987896</v>
      </c>
      <c r="P72" s="891">
        <f>(SUMIFS('Petroleum - Q&amp;V2'!$H$9:$H$250,'Petroleum - Q&amp;V2'!$L$9:$L$250,LEFT('FY Q&amp;V 2003-04 to Now'!O$7,4),'Petroleum - Q&amp;V2'!$M$9:$M$250,3)+
SUMIFS('Petroleum - Q&amp;V2'!$H$9:$H$250,'Petroleum - Q&amp;V2'!$L$9:$L$250,LEFT('FY Q&amp;V 2003-04 to Now'!O$7,4),'Petroleum - Q&amp;V2'!$M$9:$M$250,4)+
SUMIFS('Petroleum - Q&amp;V2'!$H$9:$H$250,'Petroleum - Q&amp;V2'!$L$9:$L$250,CONCATENATE("20",RIGHT('FY Q&amp;V 2003-04 to Now'!O$7,2)),'Petroleum - Q&amp;V2'!$M$9:$M$250,1)+
SUMIFS('Petroleum - Q&amp;V2'!$H$9:$H$250,'Petroleum - Q&amp;V2'!$L$9:$L$250,CONCATENATE("20",RIGHT('FY Q&amp;V 2003-04 to Now'!O$7,2)),'Petroleum - Q&amp;V2'!$M$9:$M$250,2))*1000000</f>
        <v>696901992.19554532</v>
      </c>
      <c r="Q72" s="890">
        <f>(SUMIFS('Petroleum - Q&amp;V2'!$F$9:$F$250,'Petroleum - Q&amp;V2'!$L$9:$L$250,LEFT('FY Q&amp;V 2003-04 to Now'!Q$7,4),'Petroleum - Q&amp;V2'!$M$9:$M$250,3)+
SUMIFS('Petroleum - Q&amp;V2'!$F$9:$F$250,'Petroleum - Q&amp;V2'!$L$9:$L$250,LEFT('FY Q&amp;V 2003-04 to Now'!Q$7,4),'Petroleum - Q&amp;V2'!$M$9:$M$250,4)+
SUMIFS('Petroleum - Q&amp;V2'!$F$9:$F$250,'Petroleum - Q&amp;V2'!$L$9:$L$250,CONCATENATE("20",RIGHT('FY Q&amp;V 2003-04 to Now'!Q$7,2)),'Petroleum - Q&amp;V2'!$M$9:$M$250,1)+
SUMIFS('Petroleum - Q&amp;V2'!$F$9:$F$250,'Petroleum - Q&amp;V2'!$L$9:$L$250,CONCATENATE("20",RIGHT('FY Q&amp;V 2003-04 to Now'!Q$7,2)),'Petroleum - Q&amp;V2'!$M$9:$M$250,2))</f>
        <v>923763</v>
      </c>
      <c r="R72" s="891">
        <f>(SUMIFS('Petroleum - Q&amp;V2'!$H$9:$H$250,'Petroleum - Q&amp;V2'!$L$9:$L$250,LEFT('FY Q&amp;V 2003-04 to Now'!Q$7,4),'Petroleum - Q&amp;V2'!$M$9:$M$250,3)+
SUMIFS('Petroleum - Q&amp;V2'!$H$9:$H$250,'Petroleum - Q&amp;V2'!$L$9:$L$250,LEFT('FY Q&amp;V 2003-04 to Now'!Q$7,4),'Petroleum - Q&amp;V2'!$M$9:$M$250,4)+
SUMIFS('Petroleum - Q&amp;V2'!$H$9:$H$250,'Petroleum - Q&amp;V2'!$L$9:$L$250,CONCATENATE("20",RIGHT('FY Q&amp;V 2003-04 to Now'!Q$7,2)),'Petroleum - Q&amp;V2'!$M$9:$M$250,1)+
SUMIFS('Petroleum - Q&amp;V2'!$H$9:$H$250,'Petroleum - Q&amp;V2'!$L$9:$L$250,CONCATENATE("20",RIGHT('FY Q&amp;V 2003-04 to Now'!Q$7,2)),'Petroleum - Q&amp;V2'!$M$9:$M$250,2))*1000000</f>
        <v>774197459.00998545</v>
      </c>
      <c r="S72" s="890">
        <f>(SUMIFS('Petroleum - Q&amp;V2'!$F$9:$F$250,'Petroleum - Q&amp;V2'!$L$9:$L$250,LEFT('FY Q&amp;V 2003-04 to Now'!S$7,4),'Petroleum - Q&amp;V2'!$M$9:$M$250,3)+
SUMIFS('Petroleum - Q&amp;V2'!$F$9:$F$250,'Petroleum - Q&amp;V2'!$L$9:$L$250,LEFT('FY Q&amp;V 2003-04 to Now'!S$7,4),'Petroleum - Q&amp;V2'!$M$9:$M$250,4)+
SUMIFS('Petroleum - Q&amp;V2'!$F$9:$F$250,'Petroleum - Q&amp;V2'!$L$9:$L$250,CONCATENATE("20",RIGHT('FY Q&amp;V 2003-04 to Now'!S$7,2)),'Petroleum - Q&amp;V2'!$M$9:$M$250,1)+
SUMIFS('Petroleum - Q&amp;V2'!$F$9:$F$250,'Petroleum - Q&amp;V2'!$L$9:$L$250,CONCATENATE("20",RIGHT('FY Q&amp;V 2003-04 to Now'!S$7,2)),'Petroleum - Q&amp;V2'!$M$9:$M$250,2))</f>
        <v>835271</v>
      </c>
      <c r="T72" s="891">
        <f>(SUMIFS('Petroleum - Q&amp;V2'!$H$9:$H$250,'Petroleum - Q&amp;V2'!$L$9:$L$250,LEFT('FY Q&amp;V 2003-04 to Now'!S$7,4),'Petroleum - Q&amp;V2'!$M$9:$M$250,3)+
SUMIFS('Petroleum - Q&amp;V2'!$H$9:$H$250,'Petroleum - Q&amp;V2'!$L$9:$L$250,LEFT('FY Q&amp;V 2003-04 to Now'!S$7,4),'Petroleum - Q&amp;V2'!$M$9:$M$250,4)+
SUMIFS('Petroleum - Q&amp;V2'!$H$9:$H$250,'Petroleum - Q&amp;V2'!$L$9:$L$250,CONCATENATE("20",RIGHT('FY Q&amp;V 2003-04 to Now'!S$7,2)),'Petroleum - Q&amp;V2'!$M$9:$M$250,1)+
SUMIFS('Petroleum - Q&amp;V2'!$H$9:$H$250,'Petroleum - Q&amp;V2'!$L$9:$L$250,CONCATENATE("20",RIGHT('FY Q&amp;V 2003-04 to Now'!S$7,2)),'Petroleum - Q&amp;V2'!$M$9:$M$250,2))*1000000</f>
        <v>734484653.28098297</v>
      </c>
      <c r="U72" s="890">
        <f>(SUMIFS('Petroleum - Q&amp;V2'!$F$9:$F$250,'Petroleum - Q&amp;V2'!$L$9:$L$250,LEFT('FY Q&amp;V 2003-04 to Now'!U$7,4),'Petroleum - Q&amp;V2'!$M$9:$M$250,3)+
SUMIFS('Petroleum - Q&amp;V2'!$F$9:$F$250,'Petroleum - Q&amp;V2'!$L$9:$L$250,LEFT('FY Q&amp;V 2003-04 to Now'!U$7,4),'Petroleum - Q&amp;V2'!$M$9:$M$250,4)+
SUMIFS('Petroleum - Q&amp;V2'!$F$9:$F$250,'Petroleum - Q&amp;V2'!$L$9:$L$250,CONCATENATE("20",RIGHT('FY Q&amp;V 2003-04 to Now'!U$7,2)),'Petroleum - Q&amp;V2'!$M$9:$M$250,1)+
SUMIFS('Petroleum - Q&amp;V2'!$F$9:$F$250,'Petroleum - Q&amp;V2'!$L$9:$L$250,CONCATENATE("20",RIGHT('FY Q&amp;V 2003-04 to Now'!U$7,2)),'Petroleum - Q&amp;V2'!$M$9:$M$250,2))</f>
        <v>752910</v>
      </c>
      <c r="V72" s="891">
        <f>(SUMIFS('Petroleum - Q&amp;V2'!$H$9:$H$250,'Petroleum - Q&amp;V2'!$L$9:$L$250,LEFT('FY Q&amp;V 2003-04 to Now'!U$7,4),'Petroleum - Q&amp;V2'!$M$9:$M$250,3)+
SUMIFS('Petroleum - Q&amp;V2'!$H$9:$H$250,'Petroleum - Q&amp;V2'!$L$9:$L$250,LEFT('FY Q&amp;V 2003-04 to Now'!U$7,4),'Petroleum - Q&amp;V2'!$M$9:$M$250,4)+
SUMIFS('Petroleum - Q&amp;V2'!$H$9:$H$250,'Petroleum - Q&amp;V2'!$L$9:$L$250,CONCATENATE("20",RIGHT('FY Q&amp;V 2003-04 to Now'!U$7,2)),'Petroleum - Q&amp;V2'!$M$9:$M$250,1)+
SUMIFS('Petroleum - Q&amp;V2'!$H$9:$H$250,'Petroleum - Q&amp;V2'!$L$9:$L$250,CONCATENATE("20",RIGHT('FY Q&amp;V 2003-04 to Now'!U$7,2)),'Petroleum - Q&amp;V2'!$M$9:$M$250,2))*1000000</f>
        <v>634052634.91956651</v>
      </c>
      <c r="W72" s="890">
        <f>(SUMIFS('Petroleum - Q&amp;V2'!$F$9:$F$250,'Petroleum - Q&amp;V2'!$L$9:$L$250,LEFT('FY Q&amp;V 2003-04 to Now'!W$7,4),'Petroleum - Q&amp;V2'!$M$9:$M$250,3)+
SUMIFS('Petroleum - Q&amp;V2'!$F$9:$F$250,'Petroleum - Q&amp;V2'!$L$9:$L$250,LEFT('FY Q&amp;V 2003-04 to Now'!W$7,4),'Petroleum - Q&amp;V2'!$M$9:$M$250,4)+
SUMIFS('Petroleum - Q&amp;V2'!$F$9:$F$250,'Petroleum - Q&amp;V2'!$L$9:$L$250,CONCATENATE("20",RIGHT('FY Q&amp;V 2003-04 to Now'!W$7,2)),'Petroleum - Q&amp;V2'!$M$9:$M$250,1)+
SUMIFS('Petroleum - Q&amp;V2'!$F$9:$F$250,'Petroleum - Q&amp;V2'!$L$9:$L$250,CONCATENATE("20",RIGHT('FY Q&amp;V 2003-04 to Now'!W$7,2)),'Petroleum - Q&amp;V2'!$M$9:$M$250,2))</f>
        <v>389533</v>
      </c>
      <c r="X72" s="891">
        <f>(SUMIFS('Petroleum - Q&amp;V2'!$H$9:$H$250,'Petroleum - Q&amp;V2'!$L$9:$L$250,LEFT('FY Q&amp;V 2003-04 to Now'!W$7,4),'Petroleum - Q&amp;V2'!$M$9:$M$250,3)+
SUMIFS('Petroleum - Q&amp;V2'!$H$9:$H$250,'Petroleum - Q&amp;V2'!$L$9:$L$250,LEFT('FY Q&amp;V 2003-04 to Now'!W$7,4),'Petroleum - Q&amp;V2'!$M$9:$M$250,4)+
SUMIFS('Petroleum - Q&amp;V2'!$H$9:$H$250,'Petroleum - Q&amp;V2'!$L$9:$L$250,CONCATENATE("20",RIGHT('FY Q&amp;V 2003-04 to Now'!W$7,2)),'Petroleum - Q&amp;V2'!$M$9:$M$250,1)+
SUMIFS('Petroleum - Q&amp;V2'!$H$9:$H$250,'Petroleum - Q&amp;V2'!$L$9:$L$250,CONCATENATE("20",RIGHT('FY Q&amp;V 2003-04 to Now'!W$7,2)),'Petroleum - Q&amp;V2'!$M$9:$M$250,2))*1000000</f>
        <v>353541333.75915879</v>
      </c>
      <c r="Y72" s="890">
        <f>(SUMIFS('Petroleum - Q&amp;V2'!$F$9:$F$250,'Petroleum - Q&amp;V2'!$L$9:$L$250,LEFT('FY Q&amp;V 2003-04 to Now'!Y$7,4),'Petroleum - Q&amp;V2'!$M$9:$M$250,3)+
SUMIFS('Petroleum - Q&amp;V2'!$F$9:$F$250,'Petroleum - Q&amp;V2'!$L$9:$L$250,LEFT('FY Q&amp;V 2003-04 to Now'!Y$7,4),'Petroleum - Q&amp;V2'!$M$9:$M$250,4)+
SUMIFS('Petroleum - Q&amp;V2'!$F$9:$F$250,'Petroleum - Q&amp;V2'!$L$9:$L$250,CONCATENATE("20",RIGHT('FY Q&amp;V 2003-04 to Now'!Y$7,2)),'Petroleum - Q&amp;V2'!$M$9:$M$250,1)+
SUMIFS('Petroleum - Q&amp;V2'!$F$9:$F$250,'Petroleum - Q&amp;V2'!$L$9:$L$250,CONCATENATE("20",RIGHT('FY Q&amp;V 2003-04 to Now'!Y$7,2)),'Petroleum - Q&amp;V2'!$M$9:$M$250,2))</f>
        <v>553055</v>
      </c>
      <c r="Z72" s="891">
        <f>(SUMIFS('Petroleum - Q&amp;V2'!$H$9:$H$250,'Petroleum - Q&amp;V2'!$L$9:$L$250,LEFT('FY Q&amp;V 2003-04 to Now'!Y$7,4),'Petroleum - Q&amp;V2'!$M$9:$M$250,3)+
SUMIFS('Petroleum - Q&amp;V2'!$H$9:$H$250,'Petroleum - Q&amp;V2'!$L$9:$L$250,LEFT('FY Q&amp;V 2003-04 to Now'!Y$7,4),'Petroleum - Q&amp;V2'!$M$9:$M$250,4)+
SUMIFS('Petroleum - Q&amp;V2'!$H$9:$H$250,'Petroleum - Q&amp;V2'!$L$9:$L$250,CONCATENATE("20",RIGHT('FY Q&amp;V 2003-04 to Now'!Y$7,2)),'Petroleum - Q&amp;V2'!$M$9:$M$250,1)+
SUMIFS('Petroleum - Q&amp;V2'!$H$9:$H$250,'Petroleum - Q&amp;V2'!$L$9:$L$250,CONCATENATE("20",RIGHT('FY Q&amp;V 2003-04 to Now'!Y$7,2)),'Petroleum - Q&amp;V2'!$M$9:$M$250,2))*1000000</f>
        <v>405565515.87200266</v>
      </c>
      <c r="AA72" s="890">
        <f>(SUMIFS('Petroleum - Q&amp;V2'!$F$9:$F$250,'Petroleum - Q&amp;V2'!$L$9:$L$250,LEFT('FY Q&amp;V 2003-04 to Now'!AA$7,4),'Petroleum - Q&amp;V2'!$M$9:$M$250,3)+
SUMIFS('Petroleum - Q&amp;V2'!$F$9:$F$250,'Petroleum - Q&amp;V2'!$L$9:$L$250,LEFT('FY Q&amp;V 2003-04 to Now'!AA$7,4),'Petroleum - Q&amp;V2'!$M$9:$M$250,4)+
SUMIFS('Petroleum - Q&amp;V2'!$F$9:$F$250,'Petroleum - Q&amp;V2'!$L$9:$L$250,CONCATENATE("20",RIGHT('FY Q&amp;V 2003-04 to Now'!AA$7,2)),'Petroleum - Q&amp;V2'!$M$9:$M$250,1)+
SUMIFS('Petroleum - Q&amp;V2'!$F$9:$F$250,'Petroleum - Q&amp;V2'!$L$9:$L$250,CONCATENATE("20",RIGHT('FY Q&amp;V 2003-04 to Now'!AA$7,2)),'Petroleum - Q&amp;V2'!$M$9:$M$250,2))</f>
        <v>531595</v>
      </c>
      <c r="AB72" s="891">
        <f>(SUMIFS('Petroleum - Q&amp;V2'!$H$9:$H$250,'Petroleum - Q&amp;V2'!$L$9:$L$250,LEFT('FY Q&amp;V 2003-04 to Now'!AA$7,4),'Petroleum - Q&amp;V2'!$M$9:$M$250,3)+
SUMIFS('Petroleum - Q&amp;V2'!$H$9:$H$250,'Petroleum - Q&amp;V2'!$L$9:$L$250,LEFT('FY Q&amp;V 2003-04 to Now'!AA$7,4),'Petroleum - Q&amp;V2'!$M$9:$M$250,4)+
SUMIFS('Petroleum - Q&amp;V2'!$H$9:$H$250,'Petroleum - Q&amp;V2'!$L$9:$L$250,CONCATENATE("20",RIGHT('FY Q&amp;V 2003-04 to Now'!AA$7,2)),'Petroleum - Q&amp;V2'!$M$9:$M$250,1)+
SUMIFS('Petroleum - Q&amp;V2'!$H$9:$H$250,'Petroleum - Q&amp;V2'!$L$9:$L$250,CONCATENATE("20",RIGHT('FY Q&amp;V 2003-04 to Now'!AA$7,2)),'Petroleum - Q&amp;V2'!$M$9:$M$250,2))*1000000</f>
        <v>249059072.52354485</v>
      </c>
      <c r="AC72" s="890">
        <f>(SUMIFS('Petroleum - Q&amp;V2'!$F$9:$F$250,'Petroleum - Q&amp;V2'!$L$9:$L$250,LEFT('FY Q&amp;V 2003-04 to Now'!AC$7,4),'Petroleum - Q&amp;V2'!$M$9:$M$250,3)+
SUMIFS('Petroleum - Q&amp;V2'!$F$9:$F$250,'Petroleum - Q&amp;V2'!$L$9:$L$250,LEFT('FY Q&amp;V 2003-04 to Now'!AC$7,4),'Petroleum - Q&amp;V2'!$M$9:$M$250,4)+
SUMIFS('Petroleum - Q&amp;V2'!$F$9:$F$250,'Petroleum - Q&amp;V2'!$L$9:$L$250,CONCATENATE("20",RIGHT('FY Q&amp;V 2003-04 to Now'!AC$7,2)),'Petroleum - Q&amp;V2'!$M$9:$M$250,1)+
SUMIFS('Petroleum - Q&amp;V2'!$F$9:$F$250,'Petroleum - Q&amp;V2'!$L$9:$L$250,CONCATENATE("20",RIGHT('FY Q&amp;V 2003-04 to Now'!AC$7,2)),'Petroleum - Q&amp;V2'!$M$9:$M$250,2))</f>
        <v>527391</v>
      </c>
      <c r="AD72" s="891">
        <f>(SUMIFS('Petroleum - Q&amp;V2'!$H$9:$H$250,'Petroleum - Q&amp;V2'!$L$9:$L$250,LEFT('FY Q&amp;V 2003-04 to Now'!AC$7,4),'Petroleum - Q&amp;V2'!$M$9:$M$250,3)+
SUMIFS('Petroleum - Q&amp;V2'!$H$9:$H$250,'Petroleum - Q&amp;V2'!$L$9:$L$250,LEFT('FY Q&amp;V 2003-04 to Now'!AC$7,4),'Petroleum - Q&amp;V2'!$M$9:$M$250,4)+
SUMIFS('Petroleum - Q&amp;V2'!$H$9:$H$250,'Petroleum - Q&amp;V2'!$L$9:$L$250,CONCATENATE("20",RIGHT('FY Q&amp;V 2003-04 to Now'!AC$7,2)),'Petroleum - Q&amp;V2'!$M$9:$M$250,1)+
SUMIFS('Petroleum - Q&amp;V2'!$H$9:$H$250,'Petroleum - Q&amp;V2'!$L$9:$L$250,CONCATENATE("20",RIGHT('FY Q&amp;V 2003-04 to Now'!AC$7,2)),'Petroleum - Q&amp;V2'!$M$9:$M$250,2))*1000000</f>
        <v>273097308.20693612</v>
      </c>
      <c r="AE72" s="1308">
        <f>(SUMIFS('Petroleum - Q&amp;V2'!$F$9:$F$250,'Petroleum - Q&amp;V2'!$L$9:$L$250,LEFT('FY Q&amp;V 2003-04 to Now'!AE$7,4),'Petroleum - Q&amp;V2'!$M$9:$M$250,3)+
SUMIFS('Petroleum - Q&amp;V2'!$F$9:$F$250,'Petroleum - Q&amp;V2'!$L$9:$L$250,LEFT('FY Q&amp;V 2003-04 to Now'!AE$7,4),'Petroleum - Q&amp;V2'!$M$9:$M$250,4)+
SUMIFS('Petroleum - Q&amp;V2'!$F$9:$F$250,'Petroleum - Q&amp;V2'!$L$9:$L$250,CONCATENATE("20",RIGHT('FY Q&amp;V 2003-04 to Now'!AE$7,2)),'Petroleum - Q&amp;V2'!$M$9:$M$250,1)+
SUMIFS('Petroleum - Q&amp;V2'!$F$9:$F$250,'Petroleum - Q&amp;V2'!$L$9:$L$250,CONCATENATE("20",RIGHT('FY Q&amp;V 2003-04 to Now'!AE$7,2)),'Petroleum - Q&amp;V2'!$M$9:$M$250,2))</f>
        <v>451242</v>
      </c>
      <c r="AF72" s="891">
        <f>(SUMIFS('Petroleum - Q&amp;V2'!$H$9:$H$250,'Petroleum - Q&amp;V2'!$L$9:$L$250,LEFT('FY Q&amp;V 2003-04 to Now'!AE$7,4),'Petroleum - Q&amp;V2'!$M$9:$M$250,3)+
SUMIFS('Petroleum - Q&amp;V2'!$H$9:$H$250,'Petroleum - Q&amp;V2'!$L$9:$L$250,LEFT('FY Q&amp;V 2003-04 to Now'!AE$7,4),'Petroleum - Q&amp;V2'!$M$9:$M$250,4)+
SUMIFS('Petroleum - Q&amp;V2'!$H$9:$H$250,'Petroleum - Q&amp;V2'!$L$9:$L$250,CONCATENATE("20",RIGHT('FY Q&amp;V 2003-04 to Now'!AE$7,2)),'Petroleum - Q&amp;V2'!$M$9:$M$250,1)+
SUMIFS('Petroleum - Q&amp;V2'!$H$9:$H$250,'Petroleum - Q&amp;V2'!$L$9:$L$250,CONCATENATE("20",RIGHT('FY Q&amp;V 2003-04 to Now'!AE$7,2)),'Petroleum - Q&amp;V2'!$M$9:$M$250,2))*1000000</f>
        <v>331271410.26354462</v>
      </c>
      <c r="AG72" s="1308">
        <f>(SUMIFS('Petroleum - Q&amp;V2'!$F$9:$F$250,'Petroleum - Q&amp;V2'!$L$9:$L$250,LEFT('FY Q&amp;V 2003-04 to Now'!AG$7,4),'Petroleum - Q&amp;V2'!$M$9:$M$250,3)+
SUMIFS('Petroleum - Q&amp;V2'!$F$9:$F$250,'Petroleum - Q&amp;V2'!$L$9:$L$250,LEFT('FY Q&amp;V 2003-04 to Now'!AG$7,4),'Petroleum - Q&amp;V2'!$M$9:$M$250,4)+
SUMIFS('Petroleum - Q&amp;V2'!$F$9:$F$250,'Petroleum - Q&amp;V2'!$L$9:$L$250,CONCATENATE("20",RIGHT('FY Q&amp;V 2003-04 to Now'!AG$7,2)),'Petroleum - Q&amp;V2'!$M$9:$M$250,1)+
SUMIFS('Petroleum - Q&amp;V2'!$F$9:$F$250,'Petroleum - Q&amp;V2'!$L$9:$L$250,CONCATENATE("20",RIGHT('FY Q&amp;V 2003-04 to Now'!AG$7,2)),'Petroleum - Q&amp;V2'!$M$9:$M$250,2))</f>
        <v>447229</v>
      </c>
      <c r="AH72" s="891">
        <f>(SUMIFS('Petroleum - Q&amp;V2'!$H$9:$H$250,'Petroleum - Q&amp;V2'!$L$9:$L$250,LEFT('FY Q&amp;V 2003-04 to Now'!AG$7,4),'Petroleum - Q&amp;V2'!$M$9:$M$250,3)+
SUMIFS('Petroleum - Q&amp;V2'!$H$9:$H$250,'Petroleum - Q&amp;V2'!$L$9:$L$250,LEFT('FY Q&amp;V 2003-04 to Now'!AG$7,4),'Petroleum - Q&amp;V2'!$M$9:$M$250,4)+
SUMIFS('Petroleum - Q&amp;V2'!$H$9:$H$250,'Petroleum - Q&amp;V2'!$L$9:$L$250,CONCATENATE("20",RIGHT('FY Q&amp;V 2003-04 to Now'!AG$7,2)),'Petroleum - Q&amp;V2'!$M$9:$M$250,1)+
SUMIFS('Petroleum - Q&amp;V2'!$H$9:$H$250,'Petroleum - Q&amp;V2'!$L$9:$L$250,CONCATENATE("20",RIGHT('FY Q&amp;V 2003-04 to Now'!AG$7,2)),'Petroleum - Q&amp;V2'!$M$9:$M$250,2))*1000000</f>
        <v>327635740.29293668</v>
      </c>
      <c r="AI72" s="953">
        <f>SUMIF($C$9:AH$9,1,$C72:AH72)</f>
        <v>11314846</v>
      </c>
      <c r="AJ72" s="891">
        <f>SUMIF($C$9:AH$9,0,$C72:AH72)</f>
        <v>8159145680.2681656</v>
      </c>
    </row>
    <row r="73" spans="1:41">
      <c r="A73" s="887" t="s">
        <v>151</v>
      </c>
      <c r="B73" s="882" t="s">
        <v>347</v>
      </c>
      <c r="C73" s="890">
        <f>(SUMIFS('Petroleum - Q&amp;V2'!$I$9:$I$250,'Petroleum - Q&amp;V2'!$L$9:$L$250,LEFT('FY Q&amp;V 2003-04 to Now'!C$7,4),'Petroleum - Q&amp;V2'!$M$9:$M$250,3)+
SUMIFS('Petroleum - Q&amp;V2'!$I$9:$I$250,'Petroleum - Q&amp;V2'!$L$9:$L$250,LEFT('FY Q&amp;V 2003-04 to Now'!C$7,4),'Petroleum - Q&amp;V2'!$M$9:$M$250,4)+
SUMIFS('Petroleum - Q&amp;V2'!$I$9:$I$250,'Petroleum - Q&amp;V2'!$L$9:$L$250,CONCATENATE("20",RIGHT('FY Q&amp;V 2003-04 to Now'!C$7,2)),'Petroleum - Q&amp;V2'!$M$9:$M$250,1)+
SUMIFS('Petroleum - Q&amp;V2'!$I$9:$I$250,'Petroleum - Q&amp;V2'!$L$9:$L$250,CONCATENATE("20",RIGHT('FY Q&amp;V 2003-04 to Now'!C$7,2)),'Petroleum - Q&amp;V2'!$M$9:$M$250,2))</f>
        <v>8060810</v>
      </c>
      <c r="D73" s="891">
        <f>(SUMIFS('Petroleum - Q&amp;V2'!$K$9:$K$250,'Petroleum - Q&amp;V2'!$L$9:$L$250,LEFT('FY Q&amp;V 2003-04 to Now'!C$7,4),'Petroleum - Q&amp;V2'!$M$9:$M$250,3)+
SUMIFS('Petroleum - Q&amp;V2'!$K$9:$K$250,'Petroleum - Q&amp;V2'!$L$9:$L$250,LEFT('FY Q&amp;V 2003-04 to Now'!C$7,4),'Petroleum - Q&amp;V2'!$M$9:$M$250,4)+
SUMIFS('Petroleum - Q&amp;V2'!$K$9:$K$250,'Petroleum - Q&amp;V2'!$L$9:$L$250,CONCATENATE("20",RIGHT('FY Q&amp;V 2003-04 to Now'!C$7,2)),'Petroleum - Q&amp;V2'!$M$9:$M$250,1)+
SUMIFS('Petroleum - Q&amp;V2'!$K$9:$K$250,'Petroleum - Q&amp;V2'!$L$9:$L$250,CONCATENATE("20",RIGHT('FY Q&amp;V 2003-04 to Now'!C$7,2)),'Petroleum - Q&amp;V2'!$M$9:$M$250,2))*1000000</f>
        <v>681043656.99999988</v>
      </c>
      <c r="E73" s="890">
        <f>(SUMIFS('Petroleum - Q&amp;V2'!$I$9:$I$250,'Petroleum - Q&amp;V2'!$L$9:$L$250,LEFT('FY Q&amp;V 2003-04 to Now'!E$7,4),'Petroleum - Q&amp;V2'!$M$9:$M$250,3)+
SUMIFS('Petroleum - Q&amp;V2'!$I$9:$I$250,'Petroleum - Q&amp;V2'!$L$9:$L$250,LEFT('FY Q&amp;V 2003-04 to Now'!E$7,4),'Petroleum - Q&amp;V2'!$M$9:$M$250,4)+
SUMIFS('Petroleum - Q&amp;V2'!$I$9:$I$250,'Petroleum - Q&amp;V2'!$L$9:$L$250,CONCATENATE("20",RIGHT('FY Q&amp;V 2003-04 to Now'!E$7,2)),'Petroleum - Q&amp;V2'!$M$9:$M$250,1)+
SUMIFS('Petroleum - Q&amp;V2'!$I$9:$I$250,'Petroleum - Q&amp;V2'!$L$9:$L$250,CONCATENATE("20",RIGHT('FY Q&amp;V 2003-04 to Now'!E$7,2)),'Petroleum - Q&amp;V2'!$M$9:$M$250,2))</f>
        <v>7642801</v>
      </c>
      <c r="F73" s="891">
        <f>(SUMIFS('Petroleum - Q&amp;V2'!$K$9:$K$250,'Petroleum - Q&amp;V2'!$L$9:$L$250,LEFT('FY Q&amp;V 2003-04 to Now'!E$7,4),'Petroleum - Q&amp;V2'!$M$9:$M$250,3)+
SUMIFS('Petroleum - Q&amp;V2'!$K$9:$K$250,'Petroleum - Q&amp;V2'!$L$9:$L$250,LEFT('FY Q&amp;V 2003-04 to Now'!E$7,4),'Petroleum - Q&amp;V2'!$M$9:$M$250,4)+
SUMIFS('Petroleum - Q&amp;V2'!$K$9:$K$250,'Petroleum - Q&amp;V2'!$L$9:$L$250,CONCATENATE("20",RIGHT('FY Q&amp;V 2003-04 to Now'!E$7,2)),'Petroleum - Q&amp;V2'!$M$9:$M$250,1)+
SUMIFS('Petroleum - Q&amp;V2'!$K$9:$K$250,'Petroleum - Q&amp;V2'!$L$9:$L$250,CONCATENATE("20",RIGHT('FY Q&amp;V 2003-04 to Now'!E$7,2)),'Petroleum - Q&amp;V2'!$M$9:$M$250,2))*1000000</f>
        <v>678722971</v>
      </c>
      <c r="G73" s="890">
        <f>(SUMIFS('Petroleum - Q&amp;V2'!$I$9:$I$250,'Petroleum - Q&amp;V2'!$L$9:$L$250,LEFT('FY Q&amp;V 2003-04 to Now'!G$7,4),'Petroleum - Q&amp;V2'!$M$9:$M$250,3)+
SUMIFS('Petroleum - Q&amp;V2'!$I$9:$I$250,'Petroleum - Q&amp;V2'!$L$9:$L$250,LEFT('FY Q&amp;V 2003-04 to Now'!G$7,4),'Petroleum - Q&amp;V2'!$M$9:$M$250,4)+
SUMIFS('Petroleum - Q&amp;V2'!$I$9:$I$250,'Petroleum - Q&amp;V2'!$L$9:$L$250,CONCATENATE("20",RIGHT('FY Q&amp;V 2003-04 to Now'!G$7,2)),'Petroleum - Q&amp;V2'!$M$9:$M$250,1)+
SUMIFS('Petroleum - Q&amp;V2'!$I$9:$I$250,'Petroleum - Q&amp;V2'!$L$9:$L$250,CONCATENATE("20",RIGHT('FY Q&amp;V 2003-04 to Now'!G$7,2)),'Petroleum - Q&amp;V2'!$M$9:$M$250,2))</f>
        <v>7713414</v>
      </c>
      <c r="H73" s="891">
        <f>(SUMIFS('Petroleum - Q&amp;V2'!$K$9:$K$250,'Petroleum - Q&amp;V2'!$L$9:$L$250,LEFT('FY Q&amp;V 2003-04 to Now'!G$7,4),'Petroleum - Q&amp;V2'!$M$9:$M$250,3)+
SUMIFS('Petroleum - Q&amp;V2'!$K$9:$K$250,'Petroleum - Q&amp;V2'!$L$9:$L$250,LEFT('FY Q&amp;V 2003-04 to Now'!G$7,4),'Petroleum - Q&amp;V2'!$M$9:$M$250,4)+
SUMIFS('Petroleum - Q&amp;V2'!$K$9:$K$250,'Petroleum - Q&amp;V2'!$L$9:$L$250,CONCATENATE("20",RIGHT('FY Q&amp;V 2003-04 to Now'!G$7,2)),'Petroleum - Q&amp;V2'!$M$9:$M$250,1)+
SUMIFS('Petroleum - Q&amp;V2'!$K$9:$K$250,'Petroleum - Q&amp;V2'!$L$9:$L$250,CONCATENATE("20",RIGHT('FY Q&amp;V 2003-04 to Now'!G$7,2)),'Petroleum - Q&amp;V2'!$M$9:$M$250,2))*1000000</f>
        <v>700982811</v>
      </c>
      <c r="I73" s="890">
        <f>(SUMIFS('Petroleum - Q&amp;V2'!$I$9:$I$250,'Petroleum - Q&amp;V2'!$L$9:$L$250,LEFT('FY Q&amp;V 2003-04 to Now'!I$7,4),'Petroleum - Q&amp;V2'!$M$9:$M$250,3)+
SUMIFS('Petroleum - Q&amp;V2'!$I$9:$I$250,'Petroleum - Q&amp;V2'!$L$9:$L$250,LEFT('FY Q&amp;V 2003-04 to Now'!I$7,4),'Petroleum - Q&amp;V2'!$M$9:$M$250,4)+
SUMIFS('Petroleum - Q&amp;V2'!$I$9:$I$250,'Petroleum - Q&amp;V2'!$L$9:$L$250,CONCATENATE("20",RIGHT('FY Q&amp;V 2003-04 to Now'!I$7,2)),'Petroleum - Q&amp;V2'!$M$9:$M$250,1)+
SUMIFS('Petroleum - Q&amp;V2'!$I$9:$I$250,'Petroleum - Q&amp;V2'!$L$9:$L$250,CONCATENATE("20",RIGHT('FY Q&amp;V 2003-04 to Now'!I$7,2)),'Petroleum - Q&amp;V2'!$M$9:$M$250,2))</f>
        <v>8714911</v>
      </c>
      <c r="J73" s="891">
        <f>(SUMIFS('Petroleum - Q&amp;V2'!$K$9:$K$250,'Petroleum - Q&amp;V2'!$L$9:$L$250,LEFT('FY Q&amp;V 2003-04 to Now'!I$7,4),'Petroleum - Q&amp;V2'!$M$9:$M$250,3)+
SUMIFS('Petroleum - Q&amp;V2'!$K$9:$K$250,'Petroleum - Q&amp;V2'!$L$9:$L$250,LEFT('FY Q&amp;V 2003-04 to Now'!I$7,4),'Petroleum - Q&amp;V2'!$M$9:$M$250,4)+
SUMIFS('Petroleum - Q&amp;V2'!$K$9:$K$250,'Petroleum - Q&amp;V2'!$L$9:$L$250,CONCATENATE("20",RIGHT('FY Q&amp;V 2003-04 to Now'!I$7,2)),'Petroleum - Q&amp;V2'!$M$9:$M$250,1)+
SUMIFS('Petroleum - Q&amp;V2'!$K$9:$K$250,'Petroleum - Q&amp;V2'!$L$9:$L$250,CONCATENATE("20",RIGHT('FY Q&amp;V 2003-04 to Now'!I$7,2)),'Petroleum - Q&amp;V2'!$M$9:$M$250,2))*1000000</f>
        <v>918022034</v>
      </c>
      <c r="K73" s="890">
        <f>(SUMIFS('Petroleum - Q&amp;V2'!$I$9:$I$250,'Petroleum - Q&amp;V2'!$L$9:$L$250,LEFT('FY Q&amp;V 2003-04 to Now'!K$7,4),'Petroleum - Q&amp;V2'!$M$9:$M$250,3)+
SUMIFS('Petroleum - Q&amp;V2'!$I$9:$I$250,'Petroleum - Q&amp;V2'!$L$9:$L$250,LEFT('FY Q&amp;V 2003-04 to Now'!K$7,4),'Petroleum - Q&amp;V2'!$M$9:$M$250,4)+
SUMIFS('Petroleum - Q&amp;V2'!$I$9:$I$250,'Petroleum - Q&amp;V2'!$L$9:$L$250,CONCATENATE("20",RIGHT('FY Q&amp;V 2003-04 to Now'!K$7,2)),'Petroleum - Q&amp;V2'!$M$9:$M$250,1)+
SUMIFS('Petroleum - Q&amp;V2'!$I$9:$I$250,'Petroleum - Q&amp;V2'!$L$9:$L$250,CONCATENATE("20",RIGHT('FY Q&amp;V 2003-04 to Now'!K$7,2)),'Petroleum - Q&amp;V2'!$M$9:$M$250,2))</f>
        <v>9159073</v>
      </c>
      <c r="L73" s="891">
        <f>(SUMIFS('Petroleum - Q&amp;V2'!$K$9:$K$250,'Petroleum - Q&amp;V2'!$L$9:$L$250,LEFT('FY Q&amp;V 2003-04 to Now'!K$7,4),'Petroleum - Q&amp;V2'!$M$9:$M$250,3)+
SUMIFS('Petroleum - Q&amp;V2'!$K$9:$K$250,'Petroleum - Q&amp;V2'!$L$9:$L$250,LEFT('FY Q&amp;V 2003-04 to Now'!K$7,4),'Petroleum - Q&amp;V2'!$M$9:$M$250,4)+
SUMIFS('Petroleum - Q&amp;V2'!$K$9:$K$250,'Petroleum - Q&amp;V2'!$L$9:$L$250,CONCATENATE("20",RIGHT('FY Q&amp;V 2003-04 to Now'!K$7,2)),'Petroleum - Q&amp;V2'!$M$9:$M$250,1)+
SUMIFS('Petroleum - Q&amp;V2'!$K$9:$K$250,'Petroleum - Q&amp;V2'!$L$9:$L$250,CONCATENATE("20",RIGHT('FY Q&amp;V 2003-04 to Now'!K$7,2)),'Petroleum - Q&amp;V2'!$M$9:$M$250,2))*1000000</f>
        <v>1054018227.9999999</v>
      </c>
      <c r="M73" s="890">
        <f>(SUMIFS('Petroleum - Q&amp;V2'!$I$9:$I$250,'Petroleum - Q&amp;V2'!$L$9:$L$250,LEFT('FY Q&amp;V 2003-04 to Now'!M$7,4),'Petroleum - Q&amp;V2'!$M$9:$M$250,3)+
SUMIFS('Petroleum - Q&amp;V2'!$I$9:$I$250,'Petroleum - Q&amp;V2'!$L$9:$L$250,LEFT('FY Q&amp;V 2003-04 to Now'!M$7,4),'Petroleum - Q&amp;V2'!$M$9:$M$250,4)+
SUMIFS('Petroleum - Q&amp;V2'!$I$9:$I$250,'Petroleum - Q&amp;V2'!$L$9:$L$250,CONCATENATE("20",RIGHT('FY Q&amp;V 2003-04 to Now'!M$7,2)),'Petroleum - Q&amp;V2'!$M$9:$M$250,1)+
SUMIFS('Petroleum - Q&amp;V2'!$I$9:$I$250,'Petroleum - Q&amp;V2'!$L$9:$L$250,CONCATENATE("20",RIGHT('FY Q&amp;V 2003-04 to Now'!M$7,2)),'Petroleum - Q&amp;V2'!$M$9:$M$250,2))</f>
        <v>8598035</v>
      </c>
      <c r="N73" s="891">
        <f>(SUMIFS('Petroleum - Q&amp;V2'!$K$9:$K$250,'Petroleum - Q&amp;V2'!$L$9:$L$250,LEFT('FY Q&amp;V 2003-04 to Now'!M$7,4),'Petroleum - Q&amp;V2'!$M$9:$M$250,3)+
SUMIFS('Petroleum - Q&amp;V2'!$K$9:$K$250,'Petroleum - Q&amp;V2'!$L$9:$L$250,LEFT('FY Q&amp;V 2003-04 to Now'!M$7,4),'Petroleum - Q&amp;V2'!$M$9:$M$250,4)+
SUMIFS('Petroleum - Q&amp;V2'!$K$9:$K$250,'Petroleum - Q&amp;V2'!$L$9:$L$250,CONCATENATE("20",RIGHT('FY Q&amp;V 2003-04 to Now'!M$7,2)),'Petroleum - Q&amp;V2'!$M$9:$M$250,1)+
SUMIFS('Petroleum - Q&amp;V2'!$K$9:$K$250,'Petroleum - Q&amp;V2'!$L$9:$L$250,CONCATENATE("20",RIGHT('FY Q&amp;V 2003-04 to Now'!M$7,2)),'Petroleum - Q&amp;V2'!$M$9:$M$250,2))*1000000</f>
        <v>1232208987.9999998</v>
      </c>
      <c r="O73" s="890">
        <f>(SUMIFS('Petroleum - Q&amp;V2'!$I$9:$I$250,'Petroleum - Q&amp;V2'!$L$9:$L$250,LEFT('FY Q&amp;V 2003-04 to Now'!O$7,4),'Petroleum - Q&amp;V2'!$M$9:$M$250,3)+
SUMIFS('Petroleum - Q&amp;V2'!$I$9:$I$250,'Petroleum - Q&amp;V2'!$L$9:$L$250,LEFT('FY Q&amp;V 2003-04 to Now'!O$7,4),'Petroleum - Q&amp;V2'!$M$9:$M$250,4)+
SUMIFS('Petroleum - Q&amp;V2'!$I$9:$I$250,'Petroleum - Q&amp;V2'!$L$9:$L$250,CONCATENATE("20",RIGHT('FY Q&amp;V 2003-04 to Now'!O$7,2)),'Petroleum - Q&amp;V2'!$M$9:$M$250,1)+
SUMIFS('Petroleum - Q&amp;V2'!$I$9:$I$250,'Petroleum - Q&amp;V2'!$L$9:$L$250,CONCATENATE("20",RIGHT('FY Q&amp;V 2003-04 to Now'!O$7,2)),'Petroleum - Q&amp;V2'!$M$9:$M$250,2))</f>
        <v>9357026</v>
      </c>
      <c r="P73" s="891">
        <f>(SUMIFS('Petroleum - Q&amp;V2'!$K$9:$K$250,'Petroleum - Q&amp;V2'!$L$9:$L$250,LEFT('FY Q&amp;V 2003-04 to Now'!O$7,4),'Petroleum - Q&amp;V2'!$M$9:$M$250,3)+
SUMIFS('Petroleum - Q&amp;V2'!$K$9:$K$250,'Petroleum - Q&amp;V2'!$L$9:$L$250,LEFT('FY Q&amp;V 2003-04 to Now'!O$7,4),'Petroleum - Q&amp;V2'!$M$9:$M$250,4)+
SUMIFS('Petroleum - Q&amp;V2'!$K$9:$K$250,'Petroleum - Q&amp;V2'!$L$9:$L$250,CONCATENATE("20",RIGHT('FY Q&amp;V 2003-04 to Now'!O$7,2)),'Petroleum - Q&amp;V2'!$M$9:$M$250,1)+
SUMIFS('Petroleum - Q&amp;V2'!$K$9:$K$250,'Petroleum - Q&amp;V2'!$L$9:$L$250,CONCATENATE("20",RIGHT('FY Q&amp;V 2003-04 to Now'!O$7,2)),'Petroleum - Q&amp;V2'!$M$9:$M$250,2))*1000000</f>
        <v>1320801777.0000002</v>
      </c>
      <c r="Q73" s="890">
        <f>(SUMIFS('Petroleum - Q&amp;V2'!$I$9:$I$250,'Petroleum - Q&amp;V2'!$L$9:$L$250,LEFT('FY Q&amp;V 2003-04 to Now'!Q$7,4),'Petroleum - Q&amp;V2'!$M$9:$M$250,3)+
SUMIFS('Petroleum - Q&amp;V2'!$I$9:$I$250,'Petroleum - Q&amp;V2'!$L$9:$L$250,LEFT('FY Q&amp;V 2003-04 to Now'!Q$7,4),'Petroleum - Q&amp;V2'!$M$9:$M$250,4)+
SUMIFS('Petroleum - Q&amp;V2'!$I$9:$I$250,'Petroleum - Q&amp;V2'!$L$9:$L$250,CONCATENATE("20",RIGHT('FY Q&amp;V 2003-04 to Now'!Q$7,2)),'Petroleum - Q&amp;V2'!$M$9:$M$250,1)+
SUMIFS('Petroleum - Q&amp;V2'!$I$9:$I$250,'Petroleum - Q&amp;V2'!$L$9:$L$250,CONCATENATE("20",RIGHT('FY Q&amp;V 2003-04 to Now'!Q$7,2)),'Petroleum - Q&amp;V2'!$M$9:$M$250,2))</f>
        <v>8981495</v>
      </c>
      <c r="R73" s="891">
        <f>(SUMIFS('Petroleum - Q&amp;V2'!$K$9:$K$250,'Petroleum - Q&amp;V2'!$L$9:$L$250,LEFT('FY Q&amp;V 2003-04 to Now'!Q$7,4),'Petroleum - Q&amp;V2'!$M$9:$M$250,3)+
SUMIFS('Petroleum - Q&amp;V2'!$K$9:$K$250,'Petroleum - Q&amp;V2'!$L$9:$L$250,LEFT('FY Q&amp;V 2003-04 to Now'!Q$7,4),'Petroleum - Q&amp;V2'!$M$9:$M$250,4)+
SUMIFS('Petroleum - Q&amp;V2'!$K$9:$K$250,'Petroleum - Q&amp;V2'!$L$9:$L$250,CONCATENATE("20",RIGHT('FY Q&amp;V 2003-04 to Now'!Q$7,2)),'Petroleum - Q&amp;V2'!$M$9:$M$250,1)+
SUMIFS('Petroleum - Q&amp;V2'!$K$9:$K$250,'Petroleum - Q&amp;V2'!$L$9:$L$250,CONCATENATE("20",RIGHT('FY Q&amp;V 2003-04 to Now'!Q$7,2)),'Petroleum - Q&amp;V2'!$M$9:$M$250,2))*1000000</f>
        <v>1364589067</v>
      </c>
      <c r="S73" s="890">
        <f>(SUMIFS('Petroleum - Q&amp;V2'!$I$9:$I$250,'Petroleum - Q&amp;V2'!$L$9:$L$250,LEFT('FY Q&amp;V 2003-04 to Now'!S$7,4),'Petroleum - Q&amp;V2'!$M$9:$M$250,3)+
SUMIFS('Petroleum - Q&amp;V2'!$I$9:$I$250,'Petroleum - Q&amp;V2'!$L$9:$L$250,LEFT('FY Q&amp;V 2003-04 to Now'!S$7,4),'Petroleum - Q&amp;V2'!$M$9:$M$250,4)+
SUMIFS('Petroleum - Q&amp;V2'!$I$9:$I$250,'Petroleum - Q&amp;V2'!$L$9:$L$250,CONCATENATE("20",RIGHT('FY Q&amp;V 2003-04 to Now'!S$7,2)),'Petroleum - Q&amp;V2'!$M$9:$M$250,1)+
SUMIFS('Petroleum - Q&amp;V2'!$I$9:$I$250,'Petroleum - Q&amp;V2'!$L$9:$L$250,CONCATENATE("20",RIGHT('FY Q&amp;V 2003-04 to Now'!S$7,2)),'Petroleum - Q&amp;V2'!$M$9:$M$250,2))</f>
        <v>9080655</v>
      </c>
      <c r="T73" s="891">
        <f>(SUMIFS('Petroleum - Q&amp;V2'!$K$9:$K$250,'Petroleum - Q&amp;V2'!$L$9:$L$250,LEFT('FY Q&amp;V 2003-04 to Now'!S$7,4),'Petroleum - Q&amp;V2'!$M$9:$M$250,3)+
SUMIFS('Petroleum - Q&amp;V2'!$K$9:$K$250,'Petroleum - Q&amp;V2'!$L$9:$L$250,LEFT('FY Q&amp;V 2003-04 to Now'!S$7,4),'Petroleum - Q&amp;V2'!$M$9:$M$250,4)+
SUMIFS('Petroleum - Q&amp;V2'!$K$9:$K$250,'Petroleum - Q&amp;V2'!$L$9:$L$250,CONCATENATE("20",RIGHT('FY Q&amp;V 2003-04 to Now'!S$7,2)),'Petroleum - Q&amp;V2'!$M$9:$M$250,1)+
SUMIFS('Petroleum - Q&amp;V2'!$K$9:$K$250,'Petroleum - Q&amp;V2'!$L$9:$L$250,CONCATENATE("20",RIGHT('FY Q&amp;V 2003-04 to Now'!S$7,2)),'Petroleum - Q&amp;V2'!$M$9:$M$250,2))*1000000</f>
        <v>1449810229</v>
      </c>
      <c r="U73" s="890">
        <f>(SUMIFS('Petroleum - Q&amp;V2'!$I$9:$I$250,'Petroleum - Q&amp;V2'!$L$9:$L$250,LEFT('FY Q&amp;V 2003-04 to Now'!U$7,4),'Petroleum - Q&amp;V2'!$M$9:$M$250,3)+
SUMIFS('Petroleum - Q&amp;V2'!$I$9:$I$250,'Petroleum - Q&amp;V2'!$L$9:$L$250,LEFT('FY Q&amp;V 2003-04 to Now'!U$7,4),'Petroleum - Q&amp;V2'!$M$9:$M$250,4)+
SUMIFS('Petroleum - Q&amp;V2'!$I$9:$I$250,'Petroleum - Q&amp;V2'!$L$9:$L$250,CONCATENATE("20",RIGHT('FY Q&amp;V 2003-04 to Now'!U$7,2)),'Petroleum - Q&amp;V2'!$M$9:$M$250,1)+
SUMIFS('Petroleum - Q&amp;V2'!$I$9:$I$250,'Petroleum - Q&amp;V2'!$L$9:$L$250,CONCATENATE("20",RIGHT('FY Q&amp;V 2003-04 to Now'!U$7,2)),'Petroleum - Q&amp;V2'!$M$9:$M$250,2))</f>
        <v>8713949</v>
      </c>
      <c r="V73" s="891">
        <f>(SUMIFS('Petroleum - Q&amp;V2'!$K$9:$K$250,'Petroleum - Q&amp;V2'!$L$9:$L$250,LEFT('FY Q&amp;V 2003-04 to Now'!U$7,4),'Petroleum - Q&amp;V2'!$M$9:$M$250,3)+
SUMIFS('Petroleum - Q&amp;V2'!$K$9:$K$250,'Petroleum - Q&amp;V2'!$L$9:$L$250,LEFT('FY Q&amp;V 2003-04 to Now'!U$7,4),'Petroleum - Q&amp;V2'!$M$9:$M$250,4)+
SUMIFS('Petroleum - Q&amp;V2'!$K$9:$K$250,'Petroleum - Q&amp;V2'!$L$9:$L$250,CONCATENATE("20",RIGHT('FY Q&amp;V 2003-04 to Now'!U$7,2)),'Petroleum - Q&amp;V2'!$M$9:$M$250,1)+
SUMIFS('Petroleum - Q&amp;V2'!$K$9:$K$250,'Petroleum - Q&amp;V2'!$L$9:$L$250,CONCATENATE("20",RIGHT('FY Q&amp;V 2003-04 to Now'!U$7,2)),'Petroleum - Q&amp;V2'!$M$9:$M$250,2))*1000000</f>
        <v>1434550772</v>
      </c>
      <c r="W73" s="890">
        <f>(SUMIFS('Petroleum - Q&amp;V2'!$I$9:$I$250,'Petroleum - Q&amp;V2'!$L$9:$L$250,LEFT('FY Q&amp;V 2003-04 to Now'!W$7,4),'Petroleum - Q&amp;V2'!$M$9:$M$250,3)+
SUMIFS('Petroleum - Q&amp;V2'!$I$9:$I$250,'Petroleum - Q&amp;V2'!$L$9:$L$250,LEFT('FY Q&amp;V 2003-04 to Now'!W$7,4),'Petroleum - Q&amp;V2'!$M$9:$M$250,4)+
SUMIFS('Petroleum - Q&amp;V2'!$I$9:$I$250,'Petroleum - Q&amp;V2'!$L$9:$L$250,CONCATENATE("20",RIGHT('FY Q&amp;V 2003-04 to Now'!W$7,2)),'Petroleum - Q&amp;V2'!$M$9:$M$250,1)+
SUMIFS('Petroleum - Q&amp;V2'!$I$9:$I$250,'Petroleum - Q&amp;V2'!$L$9:$L$250,CONCATENATE("20",RIGHT('FY Q&amp;V 2003-04 to Now'!W$7,2)),'Petroleum - Q&amp;V2'!$M$9:$M$250,2))</f>
        <v>8217579.29</v>
      </c>
      <c r="X73" s="891">
        <f>(SUMIFS('Petroleum - Q&amp;V2'!$K$9:$K$250,'Petroleum - Q&amp;V2'!$L$9:$L$250,LEFT('FY Q&amp;V 2003-04 to Now'!W$7,4),'Petroleum - Q&amp;V2'!$M$9:$M$250,3)+
SUMIFS('Petroleum - Q&amp;V2'!$K$9:$K$250,'Petroleum - Q&amp;V2'!$L$9:$L$250,LEFT('FY Q&amp;V 2003-04 to Now'!W$7,4),'Petroleum - Q&amp;V2'!$M$9:$M$250,4)+
SUMIFS('Petroleum - Q&amp;V2'!$K$9:$K$250,'Petroleum - Q&amp;V2'!$L$9:$L$250,CONCATENATE("20",RIGHT('FY Q&amp;V 2003-04 to Now'!W$7,2)),'Petroleum - Q&amp;V2'!$M$9:$M$250,1)+
SUMIFS('Petroleum - Q&amp;V2'!$K$9:$K$250,'Petroleum - Q&amp;V2'!$L$9:$L$250,CONCATENATE("20",RIGHT('FY Q&amp;V 2003-04 to Now'!W$7,2)),'Petroleum - Q&amp;V2'!$M$9:$M$250,2))*1000000</f>
        <v>1446935710.5200002</v>
      </c>
      <c r="Y73" s="890">
        <f>(SUMIFS('Petroleum - Q&amp;V2'!$I$9:$I$250,'Petroleum - Q&amp;V2'!$L$9:$L$250,LEFT('FY Q&amp;V 2003-04 to Now'!Y$7,4),'Petroleum - Q&amp;V2'!$M$9:$M$250,3)+
SUMIFS('Petroleum - Q&amp;V2'!$I$9:$I$250,'Petroleum - Q&amp;V2'!$L$9:$L$250,LEFT('FY Q&amp;V 2003-04 to Now'!Y$7,4),'Petroleum - Q&amp;V2'!$M$9:$M$250,4)+
SUMIFS('Petroleum - Q&amp;V2'!$I$9:$I$250,'Petroleum - Q&amp;V2'!$L$9:$L$250,CONCATENATE("20",RIGHT('FY Q&amp;V 2003-04 to Now'!Y$7,2)),'Petroleum - Q&amp;V2'!$M$9:$M$250,1)+
SUMIFS('Petroleum - Q&amp;V2'!$I$9:$I$250,'Petroleum - Q&amp;V2'!$L$9:$L$250,CONCATENATE("20",RIGHT('FY Q&amp;V 2003-04 to Now'!Y$7,2)),'Petroleum - Q&amp;V2'!$M$9:$M$250,2))</f>
        <v>9875338.7119999994</v>
      </c>
      <c r="Z73" s="891">
        <f>(SUMIFS('Petroleum - Q&amp;V2'!$K$9:$K$250,'Petroleum - Q&amp;V2'!$L$9:$L$250,LEFT('FY Q&amp;V 2003-04 to Now'!Y$7,4),'Petroleum - Q&amp;V2'!$M$9:$M$250,3)+
SUMIFS('Petroleum - Q&amp;V2'!$K$9:$K$250,'Petroleum - Q&amp;V2'!$L$9:$L$250,LEFT('FY Q&amp;V 2003-04 to Now'!Y$7,4),'Petroleum - Q&amp;V2'!$M$9:$M$250,4)+
SUMIFS('Petroleum - Q&amp;V2'!$K$9:$K$250,'Petroleum - Q&amp;V2'!$L$9:$L$250,CONCATENATE("20",RIGHT('FY Q&amp;V 2003-04 to Now'!Y$7,2)),'Petroleum - Q&amp;V2'!$M$9:$M$250,1)+
SUMIFS('Petroleum - Q&amp;V2'!$K$9:$K$250,'Petroleum - Q&amp;V2'!$L$9:$L$250,CONCATENATE("20",RIGHT('FY Q&amp;V 2003-04 to Now'!Y$7,2)),'Petroleum - Q&amp;V2'!$M$9:$M$250,2))*1000000</f>
        <v>1820197055.1041887</v>
      </c>
      <c r="AA73" s="890">
        <f>(SUMIFS('Petroleum - Q&amp;V2'!$I$9:$I$250,'Petroleum - Q&amp;V2'!$L$9:$L$250,LEFT('FY Q&amp;V 2003-04 to Now'!AA$7,4),'Petroleum - Q&amp;V2'!$M$9:$M$250,3)+
SUMIFS('Petroleum - Q&amp;V2'!$I$9:$I$250,'Petroleum - Q&amp;V2'!$L$9:$L$250,LEFT('FY Q&amp;V 2003-04 to Now'!AA$7,4),'Petroleum - Q&amp;V2'!$M$9:$M$250,4)+
SUMIFS('Petroleum - Q&amp;V2'!$I$9:$I$250,'Petroleum - Q&amp;V2'!$L$9:$L$250,CONCATENATE("20",RIGHT('FY Q&amp;V 2003-04 to Now'!AA$7,2)),'Petroleum - Q&amp;V2'!$M$9:$M$250,1)+
SUMIFS('Petroleum - Q&amp;V2'!$I$9:$I$250,'Petroleum - Q&amp;V2'!$L$9:$L$250,CONCATENATE("20",RIGHT('FY Q&amp;V 2003-04 to Now'!AA$7,2)),'Petroleum - Q&amp;V2'!$M$9:$M$250,2))</f>
        <v>10223641.3040339</v>
      </c>
      <c r="AB73" s="891">
        <f>(SUMIFS('Petroleum - Q&amp;V2'!$K$9:$K$250,'Petroleum - Q&amp;V2'!$L$9:$L$250,LEFT('FY Q&amp;V 2003-04 to Now'!AA$7,4),'Petroleum - Q&amp;V2'!$M$9:$M$250,3)+
SUMIFS('Petroleum - Q&amp;V2'!$K$9:$K$250,'Petroleum - Q&amp;V2'!$L$9:$L$250,LEFT('FY Q&amp;V 2003-04 to Now'!AA$7,4),'Petroleum - Q&amp;V2'!$M$9:$M$250,4)+
SUMIFS('Petroleum - Q&amp;V2'!$K$9:$K$250,'Petroleum - Q&amp;V2'!$L$9:$L$250,CONCATENATE("20",RIGHT('FY Q&amp;V 2003-04 to Now'!AA$7,2)),'Petroleum - Q&amp;V2'!$M$9:$M$250,1)+
SUMIFS('Petroleum - Q&amp;V2'!$K$9:$K$250,'Petroleum - Q&amp;V2'!$L$9:$L$250,CONCATENATE("20",RIGHT('FY Q&amp;V 2003-04 to Now'!AA$7,2)),'Petroleum - Q&amp;V2'!$M$9:$M$250,2))*1000000</f>
        <v>1913134893.772321</v>
      </c>
      <c r="AC73" s="890">
        <f>(SUMIFS('Petroleum - Q&amp;V2'!$I$9:$I$250,'Petroleum - Q&amp;V2'!$L$9:$L$250,LEFT('FY Q&amp;V 2003-04 to Now'!AC$7,4),'Petroleum - Q&amp;V2'!$M$9:$M$250,3)+
SUMIFS('Petroleum - Q&amp;V2'!$I$9:$I$250,'Petroleum - Q&amp;V2'!$L$9:$L$250,LEFT('FY Q&amp;V 2003-04 to Now'!AC$7,4),'Petroleum - Q&amp;V2'!$M$9:$M$250,4)+
SUMIFS('Petroleum - Q&amp;V2'!$I$9:$I$250,'Petroleum - Q&amp;V2'!$L$9:$L$250,CONCATENATE("20",RIGHT('FY Q&amp;V 2003-04 to Now'!AC$7,2)),'Petroleum - Q&amp;V2'!$M$9:$M$250,1)+
SUMIFS('Petroleum - Q&amp;V2'!$I$9:$I$250,'Petroleum - Q&amp;V2'!$L$9:$L$250,CONCATENATE("20",RIGHT('FY Q&amp;V 2003-04 to Now'!AC$7,2)),'Petroleum - Q&amp;V2'!$M$9:$M$250,2))</f>
        <v>9708933.994332375</v>
      </c>
      <c r="AD73" s="891">
        <f>(SUMIFS('Petroleum - Q&amp;V2'!$K$9:$K$250,'Petroleum - Q&amp;V2'!$L$9:$L$250,LEFT('FY Q&amp;V 2003-04 to Now'!AC$7,4),'Petroleum - Q&amp;V2'!$M$9:$M$250,3)+
SUMIFS('Petroleum - Q&amp;V2'!$K$9:$K$250,'Petroleum - Q&amp;V2'!$L$9:$L$250,LEFT('FY Q&amp;V 2003-04 to Now'!AC$7,4),'Petroleum - Q&amp;V2'!$M$9:$M$250,4)+
SUMIFS('Petroleum - Q&amp;V2'!$K$9:$K$250,'Petroleum - Q&amp;V2'!$L$9:$L$250,CONCATENATE("20",RIGHT('FY Q&amp;V 2003-04 to Now'!AC$7,2)),'Petroleum - Q&amp;V2'!$M$9:$M$250,1)+
SUMIFS('Petroleum - Q&amp;V2'!$K$9:$K$250,'Petroleum - Q&amp;V2'!$L$9:$L$250,CONCATENATE("20",RIGHT('FY Q&amp;V 2003-04 to Now'!AC$7,2)),'Petroleum - Q&amp;V2'!$M$9:$M$250,2))*1000000</f>
        <v>1830012904.0416119</v>
      </c>
      <c r="AE73" s="1308">
        <f>(SUMIFS('Petroleum - Q&amp;V2'!$I$9:$I$250,'Petroleum - Q&amp;V2'!$L$9:$L$250,LEFT('FY Q&amp;V 2003-04 to Now'!AE$7,4),'Petroleum - Q&amp;V2'!$M$9:$M$250,3)+
SUMIFS('Petroleum - Q&amp;V2'!$I$9:$I$250,'Petroleum - Q&amp;V2'!$L$9:$L$250,LEFT('FY Q&amp;V 2003-04 to Now'!AE$7,4),'Petroleum - Q&amp;V2'!$M$9:$M$250,4)+
SUMIFS('Petroleum - Q&amp;V2'!$I$9:$I$250,'Petroleum - Q&amp;V2'!$L$9:$L$250,CONCATENATE("20",RIGHT('FY Q&amp;V 2003-04 to Now'!AE$7,2)),'Petroleum - Q&amp;V2'!$M$9:$M$250,1)+
SUMIFS('Petroleum - Q&amp;V2'!$I$9:$I$250,'Petroleum - Q&amp;V2'!$L$9:$L$250,CONCATENATE("20",RIGHT('FY Q&amp;V 2003-04 to Now'!AE$7,2)),'Petroleum - Q&amp;V2'!$M$9:$M$250,2))</f>
        <v>10174919.539409887</v>
      </c>
      <c r="AF73" s="891">
        <f>(SUMIFS('Petroleum - Q&amp;V2'!$K$9:$K$250,'Petroleum - Q&amp;V2'!$L$9:$L$250,LEFT('FY Q&amp;V 2003-04 to Now'!AE$7,4),'Petroleum - Q&amp;V2'!$M$9:$M$250,3)+
SUMIFS('Petroleum - Q&amp;V2'!$K$9:$K$250,'Petroleum - Q&amp;V2'!$L$9:$L$250,LEFT('FY Q&amp;V 2003-04 to Now'!AE$7,4),'Petroleum - Q&amp;V2'!$M$9:$M$250,4)+
SUMIFS('Petroleum - Q&amp;V2'!$K$9:$K$250,'Petroleum - Q&amp;V2'!$L$9:$L$250,CONCATENATE("20",RIGHT('FY Q&amp;V 2003-04 to Now'!AE$7,2)),'Petroleum - Q&amp;V2'!$M$9:$M$250,1)+
SUMIFS('Petroleum - Q&amp;V2'!$K$9:$K$250,'Petroleum - Q&amp;V2'!$L$9:$L$250,CONCATENATE("20",RIGHT('FY Q&amp;V 2003-04 to Now'!AE$7,2)),'Petroleum - Q&amp;V2'!$M$9:$M$250,2))*1000000</f>
        <v>1657318663.8748634</v>
      </c>
      <c r="AG73" s="1308">
        <f>(SUMIFS('Petroleum - Q&amp;V2'!$I$9:$I$250,'Petroleum - Q&amp;V2'!$L$9:$L$250,LEFT('FY Q&amp;V 2003-04 to Now'!AG$7,4),'Petroleum - Q&amp;V2'!$M$9:$M$250,3)+
SUMIFS('Petroleum - Q&amp;V2'!$I$9:$I$250,'Petroleum - Q&amp;V2'!$L$9:$L$250,LEFT('FY Q&amp;V 2003-04 to Now'!AG$7,4),'Petroleum - Q&amp;V2'!$M$9:$M$250,4)+
SUMIFS('Petroleum - Q&amp;V2'!$I$9:$I$250,'Petroleum - Q&amp;V2'!$L$9:$L$250,CONCATENATE("20",RIGHT('FY Q&amp;V 2003-04 to Now'!AG$7,2)),'Petroleum - Q&amp;V2'!$M$9:$M$250,1)+
SUMIFS('Petroleum - Q&amp;V2'!$I$9:$I$250,'Petroleum - Q&amp;V2'!$L$9:$L$250,CONCATENATE("20",RIGHT('FY Q&amp;V 2003-04 to Now'!AG$7,2)),'Petroleum - Q&amp;V2'!$M$9:$M$250,2))</f>
        <v>10410026.327968743</v>
      </c>
      <c r="AH73" s="891">
        <f>(SUMIFS('Petroleum - Q&amp;V2'!$K$9:$K$250,'Petroleum - Q&amp;V2'!$L$9:$L$250,LEFT('FY Q&amp;V 2003-04 to Now'!AG$7,4),'Petroleum - Q&amp;V2'!$M$9:$M$250,3)+
SUMIFS('Petroleum - Q&amp;V2'!$K$9:$K$250,'Petroleum - Q&amp;V2'!$L$9:$L$250,LEFT('FY Q&amp;V 2003-04 to Now'!AG$7,4),'Petroleum - Q&amp;V2'!$M$9:$M$250,4)+
SUMIFS('Petroleum - Q&amp;V2'!$K$9:$K$250,'Petroleum - Q&amp;V2'!$L$9:$L$250,CONCATENATE("20",RIGHT('FY Q&amp;V 2003-04 to Now'!AG$7,2)),'Petroleum - Q&amp;V2'!$M$9:$M$250,1)+
SUMIFS('Petroleum - Q&amp;V2'!$K$9:$K$250,'Petroleum - Q&amp;V2'!$L$9:$L$250,CONCATENATE("20",RIGHT('FY Q&amp;V 2003-04 to Now'!AG$7,2)),'Petroleum - Q&amp;V2'!$M$9:$M$250,2))*1000000</f>
        <v>1613407573.2442594</v>
      </c>
      <c r="AI73" s="953">
        <f>SUMIF($C$9:AH$9,1,$C73:AH73)</f>
        <v>144632608.1677449</v>
      </c>
      <c r="AJ73" s="891">
        <f>SUMIF($C$9:AH$9,0,$C73:AH73)</f>
        <v>21115757334.557243</v>
      </c>
    </row>
    <row r="74" spans="1:41">
      <c r="A74" s="888" t="s">
        <v>307</v>
      </c>
      <c r="B74" s="880"/>
      <c r="C74" s="945"/>
      <c r="D74" s="891">
        <f>SUM(D69:D73)</f>
        <v>9260223608</v>
      </c>
      <c r="E74" s="945"/>
      <c r="F74" s="946">
        <f>SUM(F69:F73)</f>
        <v>12256998579.930317</v>
      </c>
      <c r="G74" s="945"/>
      <c r="H74" s="946">
        <f>SUM(H69:H73)</f>
        <v>14697284124.009249</v>
      </c>
      <c r="I74" s="945"/>
      <c r="J74" s="891">
        <f>SUM(J69:J73)</f>
        <v>16459468556.50584</v>
      </c>
      <c r="K74" s="945"/>
      <c r="L74" s="946">
        <f>SUM(L69:L73)</f>
        <v>19317942367.704227</v>
      </c>
      <c r="M74" s="945"/>
      <c r="N74" s="946">
        <f>SUM(N69:N73)</f>
        <v>21319822196.963364</v>
      </c>
      <c r="O74" s="945"/>
      <c r="P74" s="946">
        <f>SUM(P69:P73)</f>
        <v>19398210188.564877</v>
      </c>
      <c r="Q74" s="945"/>
      <c r="R74" s="946">
        <f>SUM(R69:R73)</f>
        <v>22984892500.986893</v>
      </c>
      <c r="S74" s="945"/>
      <c r="T74" s="891">
        <f>SUM(T69:T73)</f>
        <v>23198583044.712547</v>
      </c>
      <c r="U74" s="945"/>
      <c r="V74" s="946">
        <f>SUM(V69:V73)</f>
        <v>24109908528.151367</v>
      </c>
      <c r="W74" s="945"/>
      <c r="X74" s="946">
        <f>SUM(X69:X73)</f>
        <v>25037399183.667702</v>
      </c>
      <c r="Y74" s="945"/>
      <c r="Z74" s="946">
        <f>SUM(Z69:Z73)</f>
        <v>24139269449.05003</v>
      </c>
      <c r="AA74" s="945"/>
      <c r="AB74" s="946">
        <f>SUM(AB69:AB73)</f>
        <v>18229833199.213772</v>
      </c>
      <c r="AC74" s="946"/>
      <c r="AD74" s="946">
        <f>SUM(AD69:AD73)</f>
        <v>19171571976.318027</v>
      </c>
      <c r="AE74" s="1482"/>
      <c r="AF74" s="946">
        <f>SUM(AF69:AF73)</f>
        <v>27104841981.078808</v>
      </c>
      <c r="AG74" s="1482"/>
      <c r="AH74" s="946">
        <f>SUM(AH69:AH73)</f>
        <v>39601218170.390175</v>
      </c>
      <c r="AI74" s="953"/>
      <c r="AJ74" s="891">
        <f>SUMIF($C$9:AH$9,0,$C74:AH74)</f>
        <v>336287467655.24719</v>
      </c>
    </row>
    <row r="75" spans="1:41">
      <c r="A75" s="883"/>
      <c r="B75" s="848"/>
      <c r="C75" s="896"/>
      <c r="D75" s="878"/>
      <c r="E75" s="896"/>
      <c r="F75" s="878"/>
      <c r="G75" s="896"/>
      <c r="H75" s="878"/>
      <c r="I75" s="896"/>
      <c r="J75" s="878"/>
      <c r="K75" s="896"/>
      <c r="L75" s="878"/>
      <c r="M75" s="896"/>
      <c r="N75" s="878"/>
      <c r="O75" s="896"/>
      <c r="P75" s="878"/>
      <c r="Q75" s="896"/>
      <c r="R75" s="878"/>
      <c r="S75" s="896"/>
      <c r="T75" s="878"/>
      <c r="U75" s="896"/>
      <c r="V75" s="878"/>
      <c r="W75" s="896"/>
      <c r="X75" s="878"/>
      <c r="Y75" s="896"/>
      <c r="Z75" s="878"/>
      <c r="AA75" s="896"/>
      <c r="AB75" s="878"/>
      <c r="AC75" s="878"/>
      <c r="AD75" s="878"/>
      <c r="AE75" s="1309"/>
      <c r="AF75" s="878"/>
      <c r="AG75" s="1309"/>
      <c r="AH75" s="878"/>
      <c r="AI75" s="953"/>
      <c r="AJ75" s="891"/>
    </row>
    <row r="76" spans="1:41">
      <c r="A76" s="885" t="s">
        <v>313</v>
      </c>
      <c r="B76" s="594" t="s">
        <v>110</v>
      </c>
      <c r="C76" s="895">
        <f>(SUMIFS('Minor Commodities - Q&amp;V'!$F$8:$F$250,'Minor Commodities - Q&amp;V'!$N$8:$N$250,LEFT('FY Q&amp;V 2003-04 to Now'!C$7,4),'Minor Commodities - Q&amp;V'!$O$8:$O$250,3)+
SUMIFS('Minor Commodities - Q&amp;V'!$F$8:$F$250,'Minor Commodities - Q&amp;V'!$N$8:$N$250,LEFT('FY Q&amp;V 2003-04 to Now'!C$7,4),'Minor Commodities - Q&amp;V'!$O$8:$O$250,4)+
SUMIFS('Minor Commodities - Q&amp;V'!$F$8:$F$250,'Minor Commodities - Q&amp;V'!$N$8:$N$250,CONCATENATE("20",RIGHT('FY Q&amp;V 2003-04 to Now'!C$7,2)),'Minor Commodities - Q&amp;V'!$O$8:$O$250,1)+
SUMIFS('Minor Commodities - Q&amp;V'!$F$8:$F$250,'Minor Commodities - Q&amp;V'!$N$8:$N$250,CONCATENATE("20",RIGHT('FY Q&amp;V 2003-04 to Now'!C$7,2)),'Minor Commodities - Q&amp;V'!$O$8:$O$250,2))*1000000</f>
        <v>9956080.9799999986</v>
      </c>
      <c r="D76" s="892">
        <f>(SUMIFS('Minor Commodities - Q&amp;V'!$G$8:$G$250,'Minor Commodities - Q&amp;V'!$N$8:$N$250,LEFT('FY Q&amp;V 2003-04 to Now'!C$7,4),'Minor Commodities - Q&amp;V'!$O$8:$O$250,3)+
SUMIFS('Minor Commodities - Q&amp;V'!$G$8:$G$250,'Minor Commodities - Q&amp;V'!$N$8:$N$250,LEFT('FY Q&amp;V 2003-04 to Now'!C$7,4),'Minor Commodities - Q&amp;V'!$O$8:$O$250,4)+
SUMIFS('Minor Commodities - Q&amp;V'!$G$8:$G$250,'Minor Commodities - Q&amp;V'!$N$8:$N$250,CONCATENATE("20",RIGHT('FY Q&amp;V 2003-04 to Now'!C$7,2)),'Minor Commodities - Q&amp;V'!$O$8:$O$250,1)+
SUMIFS('Minor Commodities - Q&amp;V'!$G$8:$G$250,'Minor Commodities - Q&amp;V'!$N$8:$N$250,CONCATENATE("20",RIGHT('FY Q&amp;V 2003-04 to Now'!C$7,2)),'Minor Commodities - Q&amp;V'!$O$8:$O$250,2))*1000000</f>
        <v>180920778.64000002</v>
      </c>
      <c r="E76" s="895">
        <f>(SUMIFS('Minor Commodities - Q&amp;V'!$F$8:$F$250,'Minor Commodities - Q&amp;V'!$N$8:$N$250,LEFT('FY Q&amp;V 2003-04 to Now'!E$7,4),'Minor Commodities - Q&amp;V'!$O$8:$O$250,3)+
SUMIFS('Minor Commodities - Q&amp;V'!$F$8:$F$250,'Minor Commodities - Q&amp;V'!$N$8:$N$250,LEFT('FY Q&amp;V 2003-04 to Now'!E$7,4),'Minor Commodities - Q&amp;V'!$O$8:$O$250,4)+
SUMIFS('Minor Commodities - Q&amp;V'!$F$8:$F$250,'Minor Commodities - Q&amp;V'!$N$8:$N$250,CONCATENATE("20",RIGHT('FY Q&amp;V 2003-04 to Now'!E$7,2)),'Minor Commodities - Q&amp;V'!$O$8:$O$250,1)+
SUMIFS('Minor Commodities - Q&amp;V'!$F$8:$F$250,'Minor Commodities - Q&amp;V'!$N$8:$N$250,CONCATENATE("20",RIGHT('FY Q&amp;V 2003-04 to Now'!E$7,2)),'Minor Commodities - Q&amp;V'!$O$8:$O$250,2))*1000000</f>
        <v>11506549.146000002</v>
      </c>
      <c r="F76" s="892">
        <f>(SUMIFS('Minor Commodities - Q&amp;V'!$G$8:$G$250,'Minor Commodities - Q&amp;V'!$N$8:$N$250,LEFT('FY Q&amp;V 2003-04 to Now'!E$7,4),'Minor Commodities - Q&amp;V'!$O$8:$O$250,3)+
SUMIFS('Minor Commodities - Q&amp;V'!$G$8:$G$250,'Minor Commodities - Q&amp;V'!$N$8:$N$250,LEFT('FY Q&amp;V 2003-04 to Now'!E$7,4),'Minor Commodities - Q&amp;V'!$O$8:$O$250,4)+
SUMIFS('Minor Commodities - Q&amp;V'!$G$8:$G$250,'Minor Commodities - Q&amp;V'!$N$8:$N$250,CONCATENATE("20",RIGHT('FY Q&amp;V 2003-04 to Now'!E$7,2)),'Minor Commodities - Q&amp;V'!$O$8:$O$250,1)+
SUMIFS('Minor Commodities - Q&amp;V'!$G$8:$G$250,'Minor Commodities - Q&amp;V'!$N$8:$N$250,CONCATENATE("20",RIGHT('FY Q&amp;V 2003-04 to Now'!E$7,2)),'Minor Commodities - Q&amp;V'!$O$8:$O$250,2))*1000000</f>
        <v>203797623.59999999</v>
      </c>
      <c r="G76" s="895">
        <f>(SUMIFS('Minor Commodities - Q&amp;V'!$F$8:$F$250,'Minor Commodities - Q&amp;V'!$N$8:$N$250,LEFT('FY Q&amp;V 2003-04 to Now'!G$7,4),'Minor Commodities - Q&amp;V'!$O$8:$O$250,3)+
SUMIFS('Minor Commodities - Q&amp;V'!$F$8:$F$250,'Minor Commodities - Q&amp;V'!$N$8:$N$250,LEFT('FY Q&amp;V 2003-04 to Now'!G$7,4),'Minor Commodities - Q&amp;V'!$O$8:$O$250,4)+
SUMIFS('Minor Commodities - Q&amp;V'!$F$8:$F$250,'Minor Commodities - Q&amp;V'!$N$8:$N$250,CONCATENATE("20",RIGHT('FY Q&amp;V 2003-04 to Now'!G$7,2)),'Minor Commodities - Q&amp;V'!$O$8:$O$250,1)+
SUMIFS('Minor Commodities - Q&amp;V'!$F$8:$F$250,'Minor Commodities - Q&amp;V'!$N$8:$N$250,CONCATENATE("20",RIGHT('FY Q&amp;V 2003-04 to Now'!G$7,2)),'Minor Commodities - Q&amp;V'!$O$8:$O$250,2))*1000000</f>
        <v>10834196.379999999</v>
      </c>
      <c r="H76" s="892">
        <f>(SUMIFS('Minor Commodities - Q&amp;V'!$G$8:$G$250,'Minor Commodities - Q&amp;V'!$N$8:$N$250,LEFT('FY Q&amp;V 2003-04 to Now'!G$7,4),'Minor Commodities - Q&amp;V'!$O$8:$O$250,3)+
SUMIFS('Minor Commodities - Q&amp;V'!$G$8:$G$250,'Minor Commodities - Q&amp;V'!$N$8:$N$250,LEFT('FY Q&amp;V 2003-04 to Now'!G$7,4),'Minor Commodities - Q&amp;V'!$O$8:$O$250,4)+
SUMIFS('Minor Commodities - Q&amp;V'!$G$8:$G$250,'Minor Commodities - Q&amp;V'!$N$8:$N$250,CONCATENATE("20",RIGHT('FY Q&amp;V 2003-04 to Now'!G$7,2)),'Minor Commodities - Q&amp;V'!$O$8:$O$250,1)+
SUMIFS('Minor Commodities - Q&amp;V'!$G$8:$G$250,'Minor Commodities - Q&amp;V'!$N$8:$N$250,CONCATENATE("20",RIGHT('FY Q&amp;V 2003-04 to Now'!G$7,2)),'Minor Commodities - Q&amp;V'!$O$8:$O$250,2))*1000000</f>
        <v>229850353.84</v>
      </c>
      <c r="I76" s="895">
        <f>(SUMIFS('Minor Commodities - Q&amp;V'!$F$8:$F$250,'Minor Commodities - Q&amp;V'!$N$8:$N$250,LEFT('FY Q&amp;V 2003-04 to Now'!I$7,4),'Minor Commodities - Q&amp;V'!$O$8:$O$250,3)+
SUMIFS('Minor Commodities - Q&amp;V'!$F$8:$F$250,'Minor Commodities - Q&amp;V'!$N$8:$N$250,LEFT('FY Q&amp;V 2003-04 to Now'!I$7,4),'Minor Commodities - Q&amp;V'!$O$8:$O$250,4)+
SUMIFS('Minor Commodities - Q&amp;V'!$F$8:$F$250,'Minor Commodities - Q&amp;V'!$N$8:$N$250,CONCATENATE("20",RIGHT('FY Q&amp;V 2003-04 to Now'!I$7,2)),'Minor Commodities - Q&amp;V'!$O$8:$O$250,1)+
SUMIFS('Minor Commodities - Q&amp;V'!$F$8:$F$250,'Minor Commodities - Q&amp;V'!$N$8:$N$250,CONCATENATE("20",RIGHT('FY Q&amp;V 2003-04 to Now'!I$7,2)),'Minor Commodities - Q&amp;V'!$O$8:$O$250,2))*1000000</f>
        <v>10423588.002999999</v>
      </c>
      <c r="J76" s="892">
        <f>(SUMIFS('Minor Commodities - Q&amp;V'!$G$8:$G$250,'Minor Commodities - Q&amp;V'!$N$8:$N$250,LEFT('FY Q&amp;V 2003-04 to Now'!I$7,4),'Minor Commodities - Q&amp;V'!$O$8:$O$250,3)+
SUMIFS('Minor Commodities - Q&amp;V'!$G$8:$G$250,'Minor Commodities - Q&amp;V'!$N$8:$N$250,LEFT('FY Q&amp;V 2003-04 to Now'!I$7,4),'Minor Commodities - Q&amp;V'!$O$8:$O$250,4)+
SUMIFS('Minor Commodities - Q&amp;V'!$G$8:$G$250,'Minor Commodities - Q&amp;V'!$N$8:$N$250,CONCATENATE("20",RIGHT('FY Q&amp;V 2003-04 to Now'!I$7,2)),'Minor Commodities - Q&amp;V'!$O$8:$O$250,1)+
SUMIFS('Minor Commodities - Q&amp;V'!$G$8:$G$250,'Minor Commodities - Q&amp;V'!$N$8:$N$250,CONCATENATE("20",RIGHT('FY Q&amp;V 2003-04 to Now'!I$7,2)),'Minor Commodities - Q&amp;V'!$O$8:$O$250,2))*1000000</f>
        <v>236151568.72999999</v>
      </c>
      <c r="K76" s="895">
        <f>(SUMIFS('Minor Commodities - Q&amp;V'!$F$8:$F$250,'Minor Commodities - Q&amp;V'!$N$8:$N$250,LEFT('FY Q&amp;V 2003-04 to Now'!K$7,4),'Minor Commodities - Q&amp;V'!$O$8:$O$250,3)+
SUMIFS('Minor Commodities - Q&amp;V'!$F$8:$F$250,'Minor Commodities - Q&amp;V'!$N$8:$N$250,LEFT('FY Q&amp;V 2003-04 to Now'!K$7,4),'Minor Commodities - Q&amp;V'!$O$8:$O$250,4)+
SUMIFS('Minor Commodities - Q&amp;V'!$F$8:$F$250,'Minor Commodities - Q&amp;V'!$N$8:$N$250,CONCATENATE("20",RIGHT('FY Q&amp;V 2003-04 to Now'!K$7,2)),'Minor Commodities - Q&amp;V'!$O$8:$O$250,1)+
SUMIFS('Minor Commodities - Q&amp;V'!$F$8:$F$250,'Minor Commodities - Q&amp;V'!$N$8:$N$250,CONCATENATE("20",RIGHT('FY Q&amp;V 2003-04 to Now'!K$7,2)),'Minor Commodities - Q&amp;V'!$O$8:$O$250,2))*1000000</f>
        <v>10589164.411999999</v>
      </c>
      <c r="L76" s="892">
        <f>(SUMIFS('Minor Commodities - Q&amp;V'!$G$8:$G$250,'Minor Commodities - Q&amp;V'!$N$8:$N$250,LEFT('FY Q&amp;V 2003-04 to Now'!K$7,4),'Minor Commodities - Q&amp;V'!$O$8:$O$250,3)+
SUMIFS('Minor Commodities - Q&amp;V'!$G$8:$G$250,'Minor Commodities - Q&amp;V'!$N$8:$N$250,LEFT('FY Q&amp;V 2003-04 to Now'!K$7,4),'Minor Commodities - Q&amp;V'!$O$8:$O$250,4)+
SUMIFS('Minor Commodities - Q&amp;V'!$G$8:$G$250,'Minor Commodities - Q&amp;V'!$N$8:$N$250,CONCATENATE("20",RIGHT('FY Q&amp;V 2003-04 to Now'!K$7,2)),'Minor Commodities - Q&amp;V'!$O$8:$O$250,1)+
SUMIFS('Minor Commodities - Q&amp;V'!$G$8:$G$250,'Minor Commodities - Q&amp;V'!$N$8:$N$250,CONCATENATE("20",RIGHT('FY Q&amp;V 2003-04 to Now'!K$7,2)),'Minor Commodities - Q&amp;V'!$O$8:$O$250,2))*1000000</f>
        <v>232929068.66000003</v>
      </c>
      <c r="M76" s="895">
        <f>(SUMIFS('Minor Commodities - Q&amp;V'!$F$8:$F$250,'Minor Commodities - Q&amp;V'!$N$8:$N$250,LEFT('FY Q&amp;V 2003-04 to Now'!M$7,4),'Minor Commodities - Q&amp;V'!$O$8:$O$250,3)+
SUMIFS('Minor Commodities - Q&amp;V'!$F$8:$F$250,'Minor Commodities - Q&amp;V'!$N$8:$N$250,LEFT('FY Q&amp;V 2003-04 to Now'!M$7,4),'Minor Commodities - Q&amp;V'!$O$8:$O$250,4)+
SUMIFS('Minor Commodities - Q&amp;V'!$F$8:$F$250,'Minor Commodities - Q&amp;V'!$N$8:$N$250,CONCATENATE("20",RIGHT('FY Q&amp;V 2003-04 to Now'!M$7,2)),'Minor Commodities - Q&amp;V'!$O$8:$O$250,1)+
SUMIFS('Minor Commodities - Q&amp;V'!$F$8:$F$250,'Minor Commodities - Q&amp;V'!$N$8:$N$250,CONCATENATE("20",RIGHT('FY Q&amp;V 2003-04 to Now'!M$7,2)),'Minor Commodities - Q&amp;V'!$O$8:$O$250,2))*1000000</f>
        <v>10519491.383999998</v>
      </c>
      <c r="N76" s="892">
        <f>(SUMIFS('Minor Commodities - Q&amp;V'!$G$8:$G$250,'Minor Commodities - Q&amp;V'!$N$8:$N$250,LEFT('FY Q&amp;V 2003-04 to Now'!M$7,4),'Minor Commodities - Q&amp;V'!$O$8:$O$250,3)+
SUMIFS('Minor Commodities - Q&amp;V'!$G$8:$G$250,'Minor Commodities - Q&amp;V'!$N$8:$N$250,LEFT('FY Q&amp;V 2003-04 to Now'!M$7,4),'Minor Commodities - Q&amp;V'!$O$8:$O$250,4)+
SUMIFS('Minor Commodities - Q&amp;V'!$G$8:$G$250,'Minor Commodities - Q&amp;V'!$N$8:$N$250,CONCATENATE("20",RIGHT('FY Q&amp;V 2003-04 to Now'!M$7,2)),'Minor Commodities - Q&amp;V'!$O$8:$O$250,1)+
SUMIFS('Minor Commodities - Q&amp;V'!$G$8:$G$250,'Minor Commodities - Q&amp;V'!$N$8:$N$250,CONCATENATE("20",RIGHT('FY Q&amp;V 2003-04 to Now'!M$7,2)),'Minor Commodities - Q&amp;V'!$O$8:$O$250,2))*1000000</f>
        <v>386254379.48000002</v>
      </c>
      <c r="O76" s="895">
        <f>(SUMIFS('Minor Commodities - Q&amp;V'!$F$8:$F$250,'Minor Commodities - Q&amp;V'!$N$8:$N$250,LEFT('FY Q&amp;V 2003-04 to Now'!O$7,4),'Minor Commodities - Q&amp;V'!$O$8:$O$250,3)+
SUMIFS('Minor Commodities - Q&amp;V'!$F$8:$F$250,'Minor Commodities - Q&amp;V'!$N$8:$N$250,LEFT('FY Q&amp;V 2003-04 to Now'!O$7,4),'Minor Commodities - Q&amp;V'!$O$8:$O$250,4)+
SUMIFS('Minor Commodities - Q&amp;V'!$F$8:$F$250,'Minor Commodities - Q&amp;V'!$N$8:$N$250,CONCATENATE("20",RIGHT('FY Q&amp;V 2003-04 to Now'!O$7,2)),'Minor Commodities - Q&amp;V'!$O$8:$O$250,1)+
SUMIFS('Minor Commodities - Q&amp;V'!$F$8:$F$250,'Minor Commodities - Q&amp;V'!$N$8:$N$250,CONCATENATE("20",RIGHT('FY Q&amp;V 2003-04 to Now'!O$7,2)),'Minor Commodities - Q&amp;V'!$O$8:$O$250,2))*1000000</f>
        <v>10969478.647</v>
      </c>
      <c r="P76" s="892">
        <f>(SUMIFS('Minor Commodities - Q&amp;V'!$G$8:$G$250,'Minor Commodities - Q&amp;V'!$N$8:$N$250,LEFT('FY Q&amp;V 2003-04 to Now'!O$7,4),'Minor Commodities - Q&amp;V'!$O$8:$O$250,3)+
SUMIFS('Minor Commodities - Q&amp;V'!$G$8:$G$250,'Minor Commodities - Q&amp;V'!$N$8:$N$250,LEFT('FY Q&amp;V 2003-04 to Now'!O$7,4),'Minor Commodities - Q&amp;V'!$O$8:$O$250,4)+
SUMIFS('Minor Commodities - Q&amp;V'!$G$8:$G$250,'Minor Commodities - Q&amp;V'!$N$8:$N$250,CONCATENATE("20",RIGHT('FY Q&amp;V 2003-04 to Now'!O$7,2)),'Minor Commodities - Q&amp;V'!$O$8:$O$250,1)+
SUMIFS('Minor Commodities - Q&amp;V'!$G$8:$G$250,'Minor Commodities - Q&amp;V'!$N$8:$N$250,CONCATENATE("20",RIGHT('FY Q&amp;V 2003-04 to Now'!O$7,2)),'Minor Commodities - Q&amp;V'!$O$8:$O$250,2))*1000000</f>
        <v>417460428.33000004</v>
      </c>
      <c r="Q76" s="895">
        <f>(SUMIFS('Minor Commodities - Q&amp;V'!$F$8:$F$250,'Minor Commodities - Q&amp;V'!$N$8:$N$250,LEFT('FY Q&amp;V 2003-04 to Now'!Q$7,4),'Minor Commodities - Q&amp;V'!$O$8:$O$250,3)+
SUMIFS('Minor Commodities - Q&amp;V'!$F$8:$F$250,'Minor Commodities - Q&amp;V'!$N$8:$N$250,LEFT('FY Q&amp;V 2003-04 to Now'!Q$7,4),'Minor Commodities - Q&amp;V'!$O$8:$O$250,4)+
SUMIFS('Minor Commodities - Q&amp;V'!$F$8:$F$250,'Minor Commodities - Q&amp;V'!$N$8:$N$250,CONCATENATE("20",RIGHT('FY Q&amp;V 2003-04 to Now'!Q$7,2)),'Minor Commodities - Q&amp;V'!$O$8:$O$250,1)+
SUMIFS('Minor Commodities - Q&amp;V'!$F$8:$F$250,'Minor Commodities - Q&amp;V'!$N$8:$N$250,CONCATENATE("20",RIGHT('FY Q&amp;V 2003-04 to Now'!Q$7,2)),'Minor Commodities - Q&amp;V'!$O$8:$O$250,2))*1000000</f>
        <v>12246504.290000001</v>
      </c>
      <c r="R76" s="892">
        <f>(SUMIFS('Minor Commodities - Q&amp;V'!$G$8:$G$250,'Minor Commodities - Q&amp;V'!$N$8:$N$250,LEFT('FY Q&amp;V 2003-04 to Now'!Q$7,4),'Minor Commodities - Q&amp;V'!$O$8:$O$250,3)+
SUMIFS('Minor Commodities - Q&amp;V'!$G$8:$G$250,'Minor Commodities - Q&amp;V'!$N$8:$N$250,LEFT('FY Q&amp;V 2003-04 to Now'!Q$7,4),'Minor Commodities - Q&amp;V'!$O$8:$O$250,4)+
SUMIFS('Minor Commodities - Q&amp;V'!$G$8:$G$250,'Minor Commodities - Q&amp;V'!$N$8:$N$250,CONCATENATE("20",RIGHT('FY Q&amp;V 2003-04 to Now'!Q$7,2)),'Minor Commodities - Q&amp;V'!$O$8:$O$250,1)+
SUMIFS('Minor Commodities - Q&amp;V'!$G$8:$G$250,'Minor Commodities - Q&amp;V'!$N$8:$N$250,CONCATENATE("20",RIGHT('FY Q&amp;V 2003-04 to Now'!Q$7,2)),'Minor Commodities - Q&amp;V'!$O$8:$O$250,2))*1000000</f>
        <v>366935890.44999999</v>
      </c>
      <c r="S76" s="895">
        <f>(SUMIFS('Minor Commodities - Q&amp;V'!$F$8:$F$250,'Minor Commodities - Q&amp;V'!$N$8:$N$250,LEFT('FY Q&amp;V 2003-04 to Now'!S$7,4),'Minor Commodities - Q&amp;V'!$O$8:$O$250,3)+
SUMIFS('Minor Commodities - Q&amp;V'!$F$8:$F$250,'Minor Commodities - Q&amp;V'!$N$8:$N$250,LEFT('FY Q&amp;V 2003-04 to Now'!S$7,4),'Minor Commodities - Q&amp;V'!$O$8:$O$250,4)+
SUMIFS('Minor Commodities - Q&amp;V'!$F$8:$F$250,'Minor Commodities - Q&amp;V'!$N$8:$N$250,CONCATENATE("20",RIGHT('FY Q&amp;V 2003-04 to Now'!S$7,2)),'Minor Commodities - Q&amp;V'!$O$8:$O$250,1)+
SUMIFS('Minor Commodities - Q&amp;V'!$F$8:$F$250,'Minor Commodities - Q&amp;V'!$N$8:$N$250,CONCATENATE("20",RIGHT('FY Q&amp;V 2003-04 to Now'!S$7,2)),'Minor Commodities - Q&amp;V'!$O$8:$O$250,2))*1000000</f>
        <v>12807461.35</v>
      </c>
      <c r="T76" s="892">
        <f>(SUMIFS('Minor Commodities - Q&amp;V'!$G$8:$G$250,'Minor Commodities - Q&amp;V'!$N$8:$N$250,LEFT('FY Q&amp;V 2003-04 to Now'!S$7,4),'Minor Commodities - Q&amp;V'!$O$8:$O$250,3)+
SUMIFS('Minor Commodities - Q&amp;V'!$G$8:$G$250,'Minor Commodities - Q&amp;V'!$N$8:$N$250,LEFT('FY Q&amp;V 2003-04 to Now'!S$7,4),'Minor Commodities - Q&amp;V'!$O$8:$O$250,4)+
SUMIFS('Minor Commodities - Q&amp;V'!$G$8:$G$250,'Minor Commodities - Q&amp;V'!$N$8:$N$250,CONCATENATE("20",RIGHT('FY Q&amp;V 2003-04 to Now'!S$7,2)),'Minor Commodities - Q&amp;V'!$O$8:$O$250,1)+
SUMIFS('Minor Commodities - Q&amp;V'!$G$8:$G$250,'Minor Commodities - Q&amp;V'!$N$8:$N$250,CONCATENATE("20",RIGHT('FY Q&amp;V 2003-04 to Now'!S$7,2)),'Minor Commodities - Q&amp;V'!$O$8:$O$250,2))*1000000</f>
        <v>353776446.97000003</v>
      </c>
      <c r="U76" s="895">
        <f>(SUMIFS('Minor Commodities - Q&amp;V'!$F$8:$F$250,'Minor Commodities - Q&amp;V'!$N$8:$N$250,LEFT('FY Q&amp;V 2003-04 to Now'!U$7,4),'Minor Commodities - Q&amp;V'!$O$8:$O$250,3)+
SUMIFS('Minor Commodities - Q&amp;V'!$F$8:$F$250,'Minor Commodities - Q&amp;V'!$N$8:$N$250,LEFT('FY Q&amp;V 2003-04 to Now'!U$7,4),'Minor Commodities - Q&amp;V'!$O$8:$O$250,4)+
SUMIFS('Minor Commodities - Q&amp;V'!$F$8:$F$250,'Minor Commodities - Q&amp;V'!$N$8:$N$250,CONCATENATE("20",RIGHT('FY Q&amp;V 2003-04 to Now'!U$7,2)),'Minor Commodities - Q&amp;V'!$O$8:$O$250,1)+
SUMIFS('Minor Commodities - Q&amp;V'!$F$8:$F$250,'Minor Commodities - Q&amp;V'!$N$8:$N$250,CONCATENATE("20",RIGHT('FY Q&amp;V 2003-04 to Now'!U$7,2)),'Minor Commodities - Q&amp;V'!$O$8:$O$250,2))*1000000</f>
        <v>12389642.682</v>
      </c>
      <c r="V76" s="892">
        <f>(SUMIFS('Minor Commodities - Q&amp;V'!$G$8:$G$250,'Minor Commodities - Q&amp;V'!$N$8:$N$250,LEFT('FY Q&amp;V 2003-04 to Now'!U$7,4),'Minor Commodities - Q&amp;V'!$O$8:$O$250,3)+
SUMIFS('Minor Commodities - Q&amp;V'!$G$8:$G$250,'Minor Commodities - Q&amp;V'!$N$8:$N$250,LEFT('FY Q&amp;V 2003-04 to Now'!U$7,4),'Minor Commodities - Q&amp;V'!$O$8:$O$250,4)+
SUMIFS('Minor Commodities - Q&amp;V'!$G$8:$G$250,'Minor Commodities - Q&amp;V'!$N$8:$N$250,CONCATENATE("20",RIGHT('FY Q&amp;V 2003-04 to Now'!U$7,2)),'Minor Commodities - Q&amp;V'!$O$8:$O$250,1)+
SUMIFS('Minor Commodities - Q&amp;V'!$G$8:$G$250,'Minor Commodities - Q&amp;V'!$N$8:$N$250,CONCATENATE("20",RIGHT('FY Q&amp;V 2003-04 to Now'!U$7,2)),'Minor Commodities - Q&amp;V'!$O$8:$O$250,2))*1000000</f>
        <v>381652888.13</v>
      </c>
      <c r="W76" s="895">
        <f>(SUMIFS('Minor Commodities - Q&amp;V'!$F$8:$F$250,'Minor Commodities - Q&amp;V'!$N$8:$N$250,LEFT('FY Q&amp;V 2003-04 to Now'!W$7,4),'Minor Commodities - Q&amp;V'!$O$8:$O$250,3)+
SUMIFS('Minor Commodities - Q&amp;V'!$F$8:$F$250,'Minor Commodities - Q&amp;V'!$N$8:$N$250,LEFT('FY Q&amp;V 2003-04 to Now'!W$7,4),'Minor Commodities - Q&amp;V'!$O$8:$O$250,4)+
SUMIFS('Minor Commodities - Q&amp;V'!$F$8:$F$250,'Minor Commodities - Q&amp;V'!$N$8:$N$250,CONCATENATE("20",RIGHT('FY Q&amp;V 2003-04 to Now'!W$7,2)),'Minor Commodities - Q&amp;V'!$O$8:$O$250,1)+
SUMIFS('Minor Commodities - Q&amp;V'!$F$8:$F$250,'Minor Commodities - Q&amp;V'!$N$8:$N$250,CONCATENATE("20",RIGHT('FY Q&amp;V 2003-04 to Now'!W$7,2)),'Minor Commodities - Q&amp;V'!$O$8:$O$250,2))*1000000</f>
        <v>12992041.550000001</v>
      </c>
      <c r="X76" s="892">
        <f>(SUMIFS('Minor Commodities - Q&amp;V'!$G$8:$G$250,'Minor Commodities - Q&amp;V'!$N$8:$N$250,LEFT('FY Q&amp;V 2003-04 to Now'!W$7,4),'Minor Commodities - Q&amp;V'!$O$8:$O$250,3)+
SUMIFS('Minor Commodities - Q&amp;V'!$G$8:$G$250,'Minor Commodities - Q&amp;V'!$N$8:$N$250,LEFT('FY Q&amp;V 2003-04 to Now'!W$7,4),'Minor Commodities - Q&amp;V'!$O$8:$O$250,4)+
SUMIFS('Minor Commodities - Q&amp;V'!$G$8:$G$250,'Minor Commodities - Q&amp;V'!$N$8:$N$250,CONCATENATE("20",RIGHT('FY Q&amp;V 2003-04 to Now'!W$7,2)),'Minor Commodities - Q&amp;V'!$O$8:$O$250,1)+
SUMIFS('Minor Commodities - Q&amp;V'!$G$8:$G$250,'Minor Commodities - Q&amp;V'!$N$8:$N$250,CONCATENATE("20",RIGHT('FY Q&amp;V 2003-04 to Now'!W$7,2)),'Minor Commodities - Q&amp;V'!$O$8:$O$250,2))*1000000</f>
        <v>410097848.73000002</v>
      </c>
      <c r="Y76" s="895">
        <f>(SUMIFS('Minor Commodities - Q&amp;V'!$F$8:$F$250,'Minor Commodities - Q&amp;V'!$N$8:$N$250,LEFT('FY Q&amp;V 2003-04 to Now'!Y$7,4),'Minor Commodities - Q&amp;V'!$O$8:$O$250,3)+
SUMIFS('Minor Commodities - Q&amp;V'!$F$8:$F$250,'Minor Commodities - Q&amp;V'!$N$8:$N$250,LEFT('FY Q&amp;V 2003-04 to Now'!Y$7,4),'Minor Commodities - Q&amp;V'!$O$8:$O$250,4)+
SUMIFS('Minor Commodities - Q&amp;V'!$F$8:$F$250,'Minor Commodities - Q&amp;V'!$N$8:$N$250,CONCATENATE("20",RIGHT('FY Q&amp;V 2003-04 to Now'!Y$7,2)),'Minor Commodities - Q&amp;V'!$O$8:$O$250,1)+
SUMIFS('Minor Commodities - Q&amp;V'!$F$8:$F$250,'Minor Commodities - Q&amp;V'!$N$8:$N$250,CONCATENATE("20",RIGHT('FY Q&amp;V 2003-04 to Now'!Y$7,2)),'Minor Commodities - Q&amp;V'!$O$8:$O$250,2))*1000000</f>
        <v>11726606.300000001</v>
      </c>
      <c r="Z76" s="892">
        <f>(SUMIFS('Minor Commodities - Q&amp;V'!$G$8:$G$250,'Minor Commodities - Q&amp;V'!$N$8:$N$250,LEFT('FY Q&amp;V 2003-04 to Now'!Y$7,4),'Minor Commodities - Q&amp;V'!$O$8:$O$250,3)+
SUMIFS('Minor Commodities - Q&amp;V'!$G$8:$G$250,'Minor Commodities - Q&amp;V'!$N$8:$N$250,LEFT('FY Q&amp;V 2003-04 to Now'!Y$7,4),'Minor Commodities - Q&amp;V'!$O$8:$O$250,4)+
SUMIFS('Minor Commodities - Q&amp;V'!$G$8:$G$250,'Minor Commodities - Q&amp;V'!$N$8:$N$250,CONCATENATE("20",RIGHT('FY Q&amp;V 2003-04 to Now'!Y$7,2)),'Minor Commodities - Q&amp;V'!$O$8:$O$250,1)+
SUMIFS('Minor Commodities - Q&amp;V'!$G$8:$G$250,'Minor Commodities - Q&amp;V'!$N$8:$N$250,CONCATENATE("20",RIGHT('FY Q&amp;V 2003-04 to Now'!Y$7,2)),'Minor Commodities - Q&amp;V'!$O$8:$O$250,2))*1000000</f>
        <v>374622315</v>
      </c>
      <c r="AA76" s="895">
        <f>(SUMIFS('Minor Commodities - Q&amp;V'!$F$8:$F$250,'Minor Commodities - Q&amp;V'!$N$8:$N$250,LEFT('FY Q&amp;V 2003-04 to Now'!AA$7,4),'Minor Commodities - Q&amp;V'!$O$8:$O$250,3)+
SUMIFS('Minor Commodities - Q&amp;V'!$F$8:$F$250,'Minor Commodities - Q&amp;V'!$N$8:$N$250,LEFT('FY Q&amp;V 2003-04 to Now'!AA$7,4),'Minor Commodities - Q&amp;V'!$O$8:$O$250,4)+
SUMIFS('Minor Commodities - Q&amp;V'!$F$8:$F$250,'Minor Commodities - Q&amp;V'!$N$8:$N$250,CONCATENATE("20",RIGHT('FY Q&amp;V 2003-04 to Now'!AA$7,2)),'Minor Commodities - Q&amp;V'!$O$8:$O$250,1)+
SUMIFS('Minor Commodities - Q&amp;V'!$F$8:$F$250,'Minor Commodities - Q&amp;V'!$N$8:$N$250,CONCATENATE("20",RIGHT('FY Q&amp;V 2003-04 to Now'!AA$7,2)),'Minor Commodities - Q&amp;V'!$O$8:$O$250,2))*1000000</f>
        <v>10974721.49</v>
      </c>
      <c r="AB76" s="892">
        <f>(SUMIFS('Minor Commodities - Q&amp;V'!$G$8:$G$250,'Minor Commodities - Q&amp;V'!$N$8:$N$250,LEFT('FY Q&amp;V 2003-04 to Now'!AA$7,4),'Minor Commodities - Q&amp;V'!$O$8:$O$250,3)+
SUMIFS('Minor Commodities - Q&amp;V'!$G$8:$G$250,'Minor Commodities - Q&amp;V'!$N$8:$N$250,LEFT('FY Q&amp;V 2003-04 to Now'!AA$7,4),'Minor Commodities - Q&amp;V'!$O$8:$O$250,4)+
SUMIFS('Minor Commodities - Q&amp;V'!$G$8:$G$250,'Minor Commodities - Q&amp;V'!$N$8:$N$250,CONCATENATE("20",RIGHT('FY Q&amp;V 2003-04 to Now'!AA$7,2)),'Minor Commodities - Q&amp;V'!$O$8:$O$250,1)+
SUMIFS('Minor Commodities - Q&amp;V'!$G$8:$G$250,'Minor Commodities - Q&amp;V'!$N$8:$N$250,CONCATENATE("20",RIGHT('FY Q&amp;V 2003-04 to Now'!AA$7,2)),'Minor Commodities - Q&amp;V'!$O$8:$O$250,2))*1000000</f>
        <v>336253755</v>
      </c>
      <c r="AC76" s="1307">
        <f>(SUMIFS('Minor Commodities - Q&amp;V'!$F$8:$F$250,'Minor Commodities - Q&amp;V'!$N$8:$N$250,LEFT('FY Q&amp;V 2003-04 to Now'!AC$7,4),'Minor Commodities - Q&amp;V'!$O$8:$O$250,3)+
SUMIFS('Minor Commodities - Q&amp;V'!$F$8:$F$250,'Minor Commodities - Q&amp;V'!$N$8:$N$250,LEFT('FY Q&amp;V 2003-04 to Now'!AC$7,4),'Minor Commodities - Q&amp;V'!$O$8:$O$250,4)+
SUMIFS('Minor Commodities - Q&amp;V'!$F$8:$F$250,'Minor Commodities - Q&amp;V'!$N$8:$N$250,CONCATENATE("20",RIGHT('FY Q&amp;V 2003-04 to Now'!AC$7,2)),'Minor Commodities - Q&amp;V'!$O$8:$O$250,1)+
SUMIFS('Minor Commodities - Q&amp;V'!$F$8:$F$250,'Minor Commodities - Q&amp;V'!$N$8:$N$250,CONCATENATE("20",RIGHT('FY Q&amp;V 2003-04 to Now'!AC$7,2)),'Minor Commodities - Q&amp;V'!$O$8:$O$250,2))*1000000</f>
        <v>10874278.82</v>
      </c>
      <c r="AD76" s="892">
        <f>(SUMIFS('Minor Commodities - Q&amp;V'!$G$8:$G$250,'Minor Commodities - Q&amp;V'!$N$8:$N$250,LEFT('FY Q&amp;V 2003-04 to Now'!AC$7,4),'Minor Commodities - Q&amp;V'!$O$8:$O$250,3)+
SUMIFS('Minor Commodities - Q&amp;V'!$G$8:$G$250,'Minor Commodities - Q&amp;V'!$N$8:$N$250,LEFT('FY Q&amp;V 2003-04 to Now'!AC$7,4),'Minor Commodities - Q&amp;V'!$O$8:$O$250,4)+
SUMIFS('Minor Commodities - Q&amp;V'!$G$8:$G$250,'Minor Commodities - Q&amp;V'!$N$8:$N$250,CONCATENATE("20",RIGHT('FY Q&amp;V 2003-04 to Now'!AC$7,2)),'Minor Commodities - Q&amp;V'!$O$8:$O$250,1)+
SUMIFS('Minor Commodities - Q&amp;V'!$G$8:$G$250,'Minor Commodities - Q&amp;V'!$N$8:$N$250,CONCATENATE("20",RIGHT('FY Q&amp;V 2003-04 to Now'!AC$7,2)),'Minor Commodities - Q&amp;V'!$O$8:$O$250,2))*1000000</f>
        <v>292285826</v>
      </c>
      <c r="AE76" s="1307">
        <f>(SUMIFS('Minor Commodities - Q&amp;V'!$F$8:$F$250,'Minor Commodities - Q&amp;V'!$N$8:$N$250,LEFT('FY Q&amp;V 2003-04 to Now'!AE$7,4),'Minor Commodities - Q&amp;V'!$O$8:$O$250,3)+
SUMIFS('Minor Commodities - Q&amp;V'!$F$8:$F$250,'Minor Commodities - Q&amp;V'!$N$8:$N$250,LEFT('FY Q&amp;V 2003-04 to Now'!AE$7,4),'Minor Commodities - Q&amp;V'!$O$8:$O$250,4)+
SUMIFS('Minor Commodities - Q&amp;V'!$F$8:$F$250,'Minor Commodities - Q&amp;V'!$N$8:$N$250,CONCATENATE("20",RIGHT('FY Q&amp;V 2003-04 to Now'!AE$7,2)),'Minor Commodities - Q&amp;V'!$O$8:$O$250,1)+
SUMIFS('Minor Commodities - Q&amp;V'!$F$8:$F$250,'Minor Commodities - Q&amp;V'!$N$8:$N$250,CONCATENATE("20",RIGHT('FY Q&amp;V 2003-04 to Now'!AE$7,2)),'Minor Commodities - Q&amp;V'!$O$8:$O$250,2))*1000000</f>
        <v>12963777.649999999</v>
      </c>
      <c r="AF76" s="892">
        <f>(SUMIFS('Minor Commodities - Q&amp;V'!$G$8:$G$250,'Minor Commodities - Q&amp;V'!$N$8:$N$250,LEFT('FY Q&amp;V 2003-04 to Now'!AE$7,4),'Minor Commodities - Q&amp;V'!$O$8:$O$250,3)+
SUMIFS('Minor Commodities - Q&amp;V'!$G$8:$G$250,'Minor Commodities - Q&amp;V'!$N$8:$N$250,LEFT('FY Q&amp;V 2003-04 to Now'!AE$7,4),'Minor Commodities - Q&amp;V'!$O$8:$O$250,4)+
SUMIFS('Minor Commodities - Q&amp;V'!$G$8:$G$250,'Minor Commodities - Q&amp;V'!$N$8:$N$250,CONCATENATE("20",RIGHT('FY Q&amp;V 2003-04 to Now'!AE$7,2)),'Minor Commodities - Q&amp;V'!$O$8:$O$250,1)+
SUMIFS('Minor Commodities - Q&amp;V'!$G$8:$G$250,'Minor Commodities - Q&amp;V'!$N$8:$N$250,CONCATENATE("20",RIGHT('FY Q&amp;V 2003-04 to Now'!AE$7,2)),'Minor Commodities - Q&amp;V'!$O$8:$O$250,2))*1000000</f>
        <v>302930944.45100003</v>
      </c>
      <c r="AG76" s="1307">
        <f>(SUMIFS('Minor Commodities - Q&amp;V'!$F$8:$F$250,'Minor Commodities - Q&amp;V'!$N$8:$N$250,LEFT('FY Q&amp;V 2003-04 to Now'!AG$7,4),'Minor Commodities - Q&amp;V'!$O$8:$O$250,3)+
SUMIFS('Minor Commodities - Q&amp;V'!$F$8:$F$250,'Minor Commodities - Q&amp;V'!$N$8:$N$250,LEFT('FY Q&amp;V 2003-04 to Now'!AG$7,4),'Minor Commodities - Q&amp;V'!$O$8:$O$250,4)+
SUMIFS('Minor Commodities - Q&amp;V'!$F$8:$F$250,'Minor Commodities - Q&amp;V'!$N$8:$N$250,CONCATENATE("20",RIGHT('FY Q&amp;V 2003-04 to Now'!AG$7,2)),'Minor Commodities - Q&amp;V'!$O$8:$O$250,1)+
SUMIFS('Minor Commodities - Q&amp;V'!$F$8:$F$250,'Minor Commodities - Q&amp;V'!$N$8:$N$250,CONCATENATE("20",RIGHT('FY Q&amp;V 2003-04 to Now'!AG$7,2)),'Minor Commodities - Q&amp;V'!$O$8:$O$250,2))*1000000</f>
        <v>11729482.380000001</v>
      </c>
      <c r="AH76" s="892">
        <f>(SUMIFS('Minor Commodities - Q&amp;V'!$G$8:$G$250,'Minor Commodities - Q&amp;V'!$N$8:$N$250,LEFT('FY Q&amp;V 2003-04 to Now'!AG$7,4),'Minor Commodities - Q&amp;V'!$O$8:$O$250,3)+
SUMIFS('Minor Commodities - Q&amp;V'!$G$8:$G$250,'Minor Commodities - Q&amp;V'!$N$8:$N$250,LEFT('FY Q&amp;V 2003-04 to Now'!AG$7,4),'Minor Commodities - Q&amp;V'!$O$8:$O$250,4)+
SUMIFS('Minor Commodities - Q&amp;V'!$G$8:$G$250,'Minor Commodities - Q&amp;V'!$N$8:$N$250,CONCATENATE("20",RIGHT('FY Q&amp;V 2003-04 to Now'!AG$7,2)),'Minor Commodities - Q&amp;V'!$O$8:$O$250,1)+
SUMIFS('Minor Commodities - Q&amp;V'!$G$8:$G$250,'Minor Commodities - Q&amp;V'!$N$8:$N$250,CONCATENATE("20",RIGHT('FY Q&amp;V 2003-04 to Now'!AG$7,2)),'Minor Commodities - Q&amp;V'!$O$8:$O$250,2))*1000000</f>
        <v>303646875.04580003</v>
      </c>
      <c r="AI76" s="954">
        <f>SUMIF($C$9:AH$9,1,$C76:AH76)</f>
        <v>183503065.46399999</v>
      </c>
      <c r="AJ76" s="955">
        <f>SUMIF($C$9:AH$9,0,$C76:AH76)</f>
        <v>5009566991.0567999</v>
      </c>
    </row>
    <row r="77" spans="1:41">
      <c r="A77" s="591"/>
      <c r="B77" s="594"/>
      <c r="C77" s="895"/>
      <c r="D77" s="892"/>
      <c r="E77" s="895"/>
      <c r="F77" s="892"/>
      <c r="G77" s="895"/>
      <c r="H77" s="892"/>
      <c r="I77" s="895"/>
      <c r="J77" s="892"/>
      <c r="K77" s="895"/>
      <c r="L77" s="892"/>
      <c r="M77" s="895"/>
      <c r="N77" s="892"/>
      <c r="O77" s="895"/>
      <c r="P77" s="892"/>
      <c r="Q77" s="895"/>
      <c r="R77" s="892"/>
      <c r="S77" s="895"/>
      <c r="T77" s="892"/>
      <c r="U77" s="895"/>
      <c r="V77" s="892"/>
      <c r="W77" s="895"/>
      <c r="X77" s="892"/>
      <c r="Y77" s="895"/>
      <c r="Z77" s="892"/>
      <c r="AA77" s="895"/>
      <c r="AB77" s="892"/>
      <c r="AC77" s="1307"/>
      <c r="AD77" s="892"/>
      <c r="AE77" s="1307"/>
      <c r="AF77" s="892"/>
      <c r="AG77" s="1307"/>
      <c r="AH77" s="892"/>
      <c r="AI77" s="954"/>
      <c r="AJ77" s="955"/>
    </row>
    <row r="78" spans="1:41">
      <c r="A78" s="884" t="s">
        <v>314</v>
      </c>
      <c r="B78" s="880" t="s">
        <v>110</v>
      </c>
      <c r="C78" s="890">
        <v>644205</v>
      </c>
      <c r="D78" s="891">
        <v>6759618</v>
      </c>
      <c r="E78" s="890">
        <v>700239.7</v>
      </c>
      <c r="F78" s="891">
        <v>6155323</v>
      </c>
      <c r="G78" s="890">
        <v>778115</v>
      </c>
      <c r="H78" s="891">
        <v>7779625</v>
      </c>
      <c r="I78" s="890">
        <v>630536.47</v>
      </c>
      <c r="J78" s="891">
        <v>6016582</v>
      </c>
      <c r="K78" s="890">
        <v>675112.38</v>
      </c>
      <c r="L78" s="891">
        <v>11283531</v>
      </c>
      <c r="M78" s="890">
        <v>446024.99</v>
      </c>
      <c r="N78" s="891">
        <v>7615823</v>
      </c>
      <c r="O78" s="890">
        <v>442340.3</v>
      </c>
      <c r="P78" s="891">
        <v>12402030</v>
      </c>
      <c r="Q78" s="890">
        <v>430363.1</v>
      </c>
      <c r="R78" s="891">
        <v>13304556</v>
      </c>
      <c r="S78" s="890">
        <v>452638.3</v>
      </c>
      <c r="T78" s="890">
        <v>14742316</v>
      </c>
      <c r="U78" s="890">
        <v>498232.2</v>
      </c>
      <c r="V78" s="891">
        <v>16886756</v>
      </c>
      <c r="W78" s="890">
        <v>449586.68</v>
      </c>
      <c r="X78" s="891">
        <v>15847051</v>
      </c>
      <c r="Y78" s="890">
        <v>483809.31000000006</v>
      </c>
      <c r="Z78" s="891">
        <v>31981604</v>
      </c>
      <c r="AA78" s="890">
        <v>581965.53299999994</v>
      </c>
      <c r="AB78" s="891">
        <v>18072793</v>
      </c>
      <c r="AC78" s="1308">
        <v>728859</v>
      </c>
      <c r="AD78" s="891">
        <v>20364867</v>
      </c>
      <c r="AE78" s="1308">
        <v>974445</v>
      </c>
      <c r="AF78" s="891">
        <v>18775811</v>
      </c>
      <c r="AG78" s="1308">
        <v>992208.35599999991</v>
      </c>
      <c r="AH78" s="891">
        <v>21269502</v>
      </c>
      <c r="AI78" s="953">
        <f>SUMIF($C$9:AH$9,1,$C78:AH78)</f>
        <v>9908681.3190000001</v>
      </c>
      <c r="AJ78" s="891">
        <f>SUMIF($C$9:AH$9,0,$C78:AH78)</f>
        <v>229257788</v>
      </c>
    </row>
    <row r="79" spans="1:41">
      <c r="A79" s="881"/>
      <c r="B79" s="880"/>
      <c r="C79" s="896"/>
      <c r="D79" s="878"/>
      <c r="E79" s="896"/>
      <c r="F79" s="878"/>
      <c r="G79" s="896"/>
      <c r="H79" s="878"/>
      <c r="I79" s="896"/>
      <c r="J79" s="878"/>
      <c r="K79" s="896"/>
      <c r="L79" s="878"/>
      <c r="M79" s="896"/>
      <c r="N79" s="878"/>
      <c r="O79" s="896"/>
      <c r="P79" s="878"/>
      <c r="Q79" s="896"/>
      <c r="R79" s="878"/>
      <c r="S79" s="896"/>
      <c r="T79" s="878"/>
      <c r="U79" s="896"/>
      <c r="V79" s="878"/>
      <c r="W79" s="896"/>
      <c r="X79" s="878"/>
      <c r="Y79" s="896"/>
      <c r="Z79" s="878"/>
      <c r="AA79" s="896"/>
      <c r="AB79" s="878"/>
      <c r="AC79" s="1309"/>
      <c r="AD79" s="878"/>
      <c r="AE79" s="1309"/>
      <c r="AF79" s="878"/>
      <c r="AG79" s="1309"/>
      <c r="AH79" s="878"/>
      <c r="AI79" s="953"/>
      <c r="AJ79" s="891"/>
    </row>
    <row r="80" spans="1:41">
      <c r="A80" s="885" t="s">
        <v>317</v>
      </c>
      <c r="B80" s="594" t="s">
        <v>196</v>
      </c>
      <c r="C80" s="895">
        <f>(SUMIFS('Minor Commodities - Q&amp;V'!$B$8:$B$250,'Minor Commodities - Q&amp;V'!$N$8:$N$250,LEFT('FY Q&amp;V 2003-04 to Now'!C$7,4),'Minor Commodities - Q&amp;V'!$O$8:$O$250,3)+
SUMIFS('Minor Commodities - Q&amp;V'!$B$8:$B$250,'Minor Commodities - Q&amp;V'!$N$8:$N$250,LEFT('FY Q&amp;V 2003-04 to Now'!C$7,4),'Minor Commodities - Q&amp;V'!$O$8:$O$250,4)+
SUMIFS('Minor Commodities - Q&amp;V'!$B$8:$B$250,'Minor Commodities - Q&amp;V'!$N$8:$N$250,CONCATENATE("20",RIGHT('FY Q&amp;V 2003-04 to Now'!C$7,2)),'Minor Commodities - Q&amp;V'!$O$8:$O$250,1)+
SUMIFS('Minor Commodities - Q&amp;V'!$B$8:$B$250,'Minor Commodities - Q&amp;V'!$N$8:$N$250,CONCATENATE("20",RIGHT('FY Q&amp;V 2003-04 to Now'!C$7,2)),'Minor Commodities - Q&amp;V'!$O$8:$O$250,2))*1000</f>
        <v>98060</v>
      </c>
      <c r="D80" s="892">
        <f>(SUMIFS('Minor Commodities - Q&amp;V'!$C$8:$C$250,'Minor Commodities - Q&amp;V'!$N$8:$N$250,LEFT('FY Q&amp;V 2003-04 to Now'!C$7,4),'Minor Commodities - Q&amp;V'!$O$8:$O$250,3)+
SUMIFS('Minor Commodities - Q&amp;V'!$C$8:$C$250,'Minor Commodities - Q&amp;V'!$N$8:$N$250,LEFT('FY Q&amp;V 2003-04 to Now'!C$7,4),'Minor Commodities - Q&amp;V'!$O$8:$O$250,4)+
SUMIFS('Minor Commodities - Q&amp;V'!$C$8:$C$250,'Minor Commodities - Q&amp;V'!$N$8:$N$250,CONCATENATE("20",RIGHT('FY Q&amp;V 2003-04 to Now'!C$7,2)),'Minor Commodities - Q&amp;V'!$O$8:$O$250,1)+
SUMIFS('Minor Commodities - Q&amp;V'!$C$8:$C$250,'Minor Commodities - Q&amp;V'!$N$8:$N$250,CONCATENATE("20",RIGHT('FY Q&amp;V 2003-04 to Now'!C$7,2)),'Minor Commodities - Q&amp;V'!$O$8:$O$250,2))*1000000</f>
        <v>13101927.68</v>
      </c>
      <c r="E80" s="895">
        <f>(SUMIFS('Minor Commodities - Q&amp;V'!$B$8:$B$250,'Minor Commodities - Q&amp;V'!$N$8:$N$250,LEFT('FY Q&amp;V 2003-04 to Now'!E$7,4),'Minor Commodities - Q&amp;V'!$O$8:$O$250,3)+
SUMIFS('Minor Commodities - Q&amp;V'!$B$8:$B$250,'Minor Commodities - Q&amp;V'!$N$8:$N$250,LEFT('FY Q&amp;V 2003-04 to Now'!E$7,4),'Minor Commodities - Q&amp;V'!$O$8:$O$250,4)+
SUMIFS('Minor Commodities - Q&amp;V'!$B$8:$B$250,'Minor Commodities - Q&amp;V'!$N$8:$N$250,CONCATENATE("20",RIGHT('FY Q&amp;V 2003-04 to Now'!E$7,2)),'Minor Commodities - Q&amp;V'!$O$8:$O$250,1)+
SUMIFS('Minor Commodities - Q&amp;V'!$B$8:$B$250,'Minor Commodities - Q&amp;V'!$N$8:$N$250,CONCATENATE("20",RIGHT('FY Q&amp;V 2003-04 to Now'!E$7,2)),'Minor Commodities - Q&amp;V'!$O$8:$O$250,2))*1000</f>
        <v>142400</v>
      </c>
      <c r="F80" s="892">
        <f>(SUMIFS('Minor Commodities - Q&amp;V'!$C$8:$C$250,'Minor Commodities - Q&amp;V'!$N$8:$N$250,LEFT('FY Q&amp;V 2003-04 to Now'!E$7,4),'Minor Commodities - Q&amp;V'!$O$8:$O$250,3)+
SUMIFS('Minor Commodities - Q&amp;V'!$C$8:$C$250,'Minor Commodities - Q&amp;V'!$N$8:$N$250,LEFT('FY Q&amp;V 2003-04 to Now'!E$7,4),'Minor Commodities - Q&amp;V'!$O$8:$O$250,4)+
SUMIFS('Minor Commodities - Q&amp;V'!$C$8:$C$250,'Minor Commodities - Q&amp;V'!$N$8:$N$250,CONCATENATE("20",RIGHT('FY Q&amp;V 2003-04 to Now'!E$7,2)),'Minor Commodities - Q&amp;V'!$O$8:$O$250,1)+
SUMIFS('Minor Commodities - Q&amp;V'!$C$8:$C$250,'Minor Commodities - Q&amp;V'!$N$8:$N$250,CONCATENATE("20",RIGHT('FY Q&amp;V 2003-04 to Now'!E$7,2)),'Minor Commodities - Q&amp;V'!$O$8:$O$250,2))*1000000</f>
        <v>40037387.249999993</v>
      </c>
      <c r="G80" s="895">
        <f>(SUMIFS('Minor Commodities - Q&amp;V'!$B$8:$B$250,'Minor Commodities - Q&amp;V'!$N$8:$N$250,LEFT('FY Q&amp;V 2003-04 to Now'!G$7,4),'Minor Commodities - Q&amp;V'!$O$8:$O$250,3)+
SUMIFS('Minor Commodities - Q&amp;V'!$B$8:$B$250,'Minor Commodities - Q&amp;V'!$N$8:$N$250,LEFT('FY Q&amp;V 2003-04 to Now'!G$7,4),'Minor Commodities - Q&amp;V'!$O$8:$O$250,4)+
SUMIFS('Minor Commodities - Q&amp;V'!$B$8:$B$250,'Minor Commodities - Q&amp;V'!$N$8:$N$250,CONCATENATE("20",RIGHT('FY Q&amp;V 2003-04 to Now'!G$7,2)),'Minor Commodities - Q&amp;V'!$O$8:$O$250,1)+
SUMIFS('Minor Commodities - Q&amp;V'!$B$8:$B$250,'Minor Commodities - Q&amp;V'!$N$8:$N$250,CONCATENATE("20",RIGHT('FY Q&amp;V 2003-04 to Now'!G$7,2)),'Minor Commodities - Q&amp;V'!$O$8:$O$250,2))*1000</f>
        <v>94500</v>
      </c>
      <c r="H80" s="892">
        <f>(SUMIFS('Minor Commodities - Q&amp;V'!$C$8:$C$250,'Minor Commodities - Q&amp;V'!$N$8:$N$250,LEFT('FY Q&amp;V 2003-04 to Now'!G$7,4),'Minor Commodities - Q&amp;V'!$O$8:$O$250,3)+
SUMIFS('Minor Commodities - Q&amp;V'!$C$8:$C$250,'Minor Commodities - Q&amp;V'!$N$8:$N$250,LEFT('FY Q&amp;V 2003-04 to Now'!G$7,4),'Minor Commodities - Q&amp;V'!$O$8:$O$250,4)+
SUMIFS('Minor Commodities - Q&amp;V'!$C$8:$C$250,'Minor Commodities - Q&amp;V'!$N$8:$N$250,CONCATENATE("20",RIGHT('FY Q&amp;V 2003-04 to Now'!G$7,2)),'Minor Commodities - Q&amp;V'!$O$8:$O$250,1)+
SUMIFS('Minor Commodities - Q&amp;V'!$C$8:$C$250,'Minor Commodities - Q&amp;V'!$N$8:$N$250,CONCATENATE("20",RIGHT('FY Q&amp;V 2003-04 to Now'!G$7,2)),'Minor Commodities - Q&amp;V'!$O$8:$O$250,2))*1000000</f>
        <v>39552284.460000001</v>
      </c>
      <c r="I80" s="895">
        <f>(SUMIFS('Minor Commodities - Q&amp;V'!$B$8:$B$250,'Minor Commodities - Q&amp;V'!$N$8:$N$250,LEFT('FY Q&amp;V 2003-04 to Now'!I$7,4),'Minor Commodities - Q&amp;V'!$O$8:$O$250,3)+
SUMIFS('Minor Commodities - Q&amp;V'!$B$8:$B$250,'Minor Commodities - Q&amp;V'!$N$8:$N$250,LEFT('FY Q&amp;V 2003-04 to Now'!I$7,4),'Minor Commodities - Q&amp;V'!$O$8:$O$250,4)+
SUMIFS('Minor Commodities - Q&amp;V'!$B$8:$B$250,'Minor Commodities - Q&amp;V'!$N$8:$N$250,CONCATENATE("20",RIGHT('FY Q&amp;V 2003-04 to Now'!I$7,2)),'Minor Commodities - Q&amp;V'!$O$8:$O$250,1)+
SUMIFS('Minor Commodities - Q&amp;V'!$B$8:$B$250,'Minor Commodities - Q&amp;V'!$N$8:$N$250,CONCATENATE("20",RIGHT('FY Q&amp;V 2003-04 to Now'!I$7,2)),'Minor Commodities - Q&amp;V'!$O$8:$O$250,2))*1000</f>
        <v>120260</v>
      </c>
      <c r="J80" s="892">
        <f>(SUMIFS('Minor Commodities - Q&amp;V'!$C$8:$C$250,'Minor Commodities - Q&amp;V'!$N$8:$N$250,LEFT('FY Q&amp;V 2003-04 to Now'!I$7,4),'Minor Commodities - Q&amp;V'!$O$8:$O$250,3)+
SUMIFS('Minor Commodities - Q&amp;V'!$C$8:$C$250,'Minor Commodities - Q&amp;V'!$N$8:$N$250,LEFT('FY Q&amp;V 2003-04 to Now'!I$7,4),'Minor Commodities - Q&amp;V'!$O$8:$O$250,4)+
SUMIFS('Minor Commodities - Q&amp;V'!$C$8:$C$250,'Minor Commodities - Q&amp;V'!$N$8:$N$250,CONCATENATE("20",RIGHT('FY Q&amp;V 2003-04 to Now'!I$7,2)),'Minor Commodities - Q&amp;V'!$O$8:$O$250,1)+
SUMIFS('Minor Commodities - Q&amp;V'!$C$8:$C$250,'Minor Commodities - Q&amp;V'!$N$8:$N$250,CONCATENATE("20",RIGHT('FY Q&amp;V 2003-04 to Now'!I$7,2)),'Minor Commodities - Q&amp;V'!$O$8:$O$250,2))*1000000</f>
        <v>61768653.099999994</v>
      </c>
      <c r="K80" s="895">
        <f>(SUMIFS('Minor Commodities - Q&amp;V'!$B$8:$B$250,'Minor Commodities - Q&amp;V'!$N$8:$N$250,LEFT('FY Q&amp;V 2003-04 to Now'!K$7,4),'Minor Commodities - Q&amp;V'!$O$8:$O$250,3)+
SUMIFS('Minor Commodities - Q&amp;V'!$B$8:$B$250,'Minor Commodities - Q&amp;V'!$N$8:$N$250,LEFT('FY Q&amp;V 2003-04 to Now'!K$7,4),'Minor Commodities - Q&amp;V'!$O$8:$O$250,4)+
SUMIFS('Minor Commodities - Q&amp;V'!$B$8:$B$250,'Minor Commodities - Q&amp;V'!$N$8:$N$250,CONCATENATE("20",RIGHT('FY Q&amp;V 2003-04 to Now'!K$7,2)),'Minor Commodities - Q&amp;V'!$O$8:$O$250,1)+
SUMIFS('Minor Commodities - Q&amp;V'!$B$8:$B$250,'Minor Commodities - Q&amp;V'!$N$8:$N$250,CONCATENATE("20",RIGHT('FY Q&amp;V 2003-04 to Now'!K$7,2)),'Minor Commodities - Q&amp;V'!$O$8:$O$250,2))*1000</f>
        <v>95370</v>
      </c>
      <c r="L80" s="892">
        <f>(SUMIFS('Minor Commodities - Q&amp;V'!$C$8:$C$250,'Minor Commodities - Q&amp;V'!$N$8:$N$250,LEFT('FY Q&amp;V 2003-04 to Now'!K$7,4),'Minor Commodities - Q&amp;V'!$O$8:$O$250,3)+
SUMIFS('Minor Commodities - Q&amp;V'!$C$8:$C$250,'Minor Commodities - Q&amp;V'!$N$8:$N$250,LEFT('FY Q&amp;V 2003-04 to Now'!K$7,4),'Minor Commodities - Q&amp;V'!$O$8:$O$250,4)+
SUMIFS('Minor Commodities - Q&amp;V'!$C$8:$C$250,'Minor Commodities - Q&amp;V'!$N$8:$N$250,CONCATENATE("20",RIGHT('FY Q&amp;V 2003-04 to Now'!K$7,2)),'Minor Commodities - Q&amp;V'!$O$8:$O$250,1)+
SUMIFS('Minor Commodities - Q&amp;V'!$C$8:$C$250,'Minor Commodities - Q&amp;V'!$N$8:$N$250,CONCATENATE("20",RIGHT('FY Q&amp;V 2003-04 to Now'!K$7,2)),'Minor Commodities - Q&amp;V'!$O$8:$O$250,2))*1000000</f>
        <v>56224613.550000004</v>
      </c>
      <c r="M80" s="895">
        <f>(SUMIFS('Minor Commodities - Q&amp;V'!$B$8:$B$250,'Minor Commodities - Q&amp;V'!$N$8:$N$250,LEFT('FY Q&amp;V 2003-04 to Now'!M$7,4),'Minor Commodities - Q&amp;V'!$O$8:$O$250,3)+
SUMIFS('Minor Commodities - Q&amp;V'!$B$8:$B$250,'Minor Commodities - Q&amp;V'!$N$8:$N$250,LEFT('FY Q&amp;V 2003-04 to Now'!M$7,4),'Minor Commodities - Q&amp;V'!$O$8:$O$250,4)+
SUMIFS('Minor Commodities - Q&amp;V'!$B$8:$B$250,'Minor Commodities - Q&amp;V'!$N$8:$N$250,CONCATENATE("20",RIGHT('FY Q&amp;V 2003-04 to Now'!M$7,2)),'Minor Commodities - Q&amp;V'!$O$8:$O$250,1)+
SUMIFS('Minor Commodities - Q&amp;V'!$B$8:$B$250,'Minor Commodities - Q&amp;V'!$N$8:$N$250,CONCATENATE("20",RIGHT('FY Q&amp;V 2003-04 to Now'!M$7,2)),'Minor Commodities - Q&amp;V'!$O$8:$O$250,2))*1000</f>
        <v>137070</v>
      </c>
      <c r="N80" s="892">
        <f>(SUMIFS('Minor Commodities - Q&amp;V'!$C$8:$C$250,'Minor Commodities - Q&amp;V'!$N$8:$N$250,LEFT('FY Q&amp;V 2003-04 to Now'!M$7,4),'Minor Commodities - Q&amp;V'!$O$8:$O$250,3)+
SUMIFS('Minor Commodities - Q&amp;V'!$C$8:$C$250,'Minor Commodities - Q&amp;V'!$N$8:$N$250,LEFT('FY Q&amp;V 2003-04 to Now'!M$7,4),'Minor Commodities - Q&amp;V'!$O$8:$O$250,4)+
SUMIFS('Minor Commodities - Q&amp;V'!$C$8:$C$250,'Minor Commodities - Q&amp;V'!$N$8:$N$250,CONCATENATE("20",RIGHT('FY Q&amp;V 2003-04 to Now'!M$7,2)),'Minor Commodities - Q&amp;V'!$O$8:$O$250,1)+
SUMIFS('Minor Commodities - Q&amp;V'!$C$8:$C$250,'Minor Commodities - Q&amp;V'!$N$8:$N$250,CONCATENATE("20",RIGHT('FY Q&amp;V 2003-04 to Now'!M$7,2)),'Minor Commodities - Q&amp;V'!$O$8:$O$250,2))*1000000</f>
        <v>77399267.289999992</v>
      </c>
      <c r="O80" s="895">
        <f>(SUMIFS('Minor Commodities - Q&amp;V'!$B$8:$B$250,'Minor Commodities - Q&amp;V'!$N$8:$N$250,LEFT('FY Q&amp;V 2003-04 to Now'!O$7,4),'Minor Commodities - Q&amp;V'!$O$8:$O$250,3)+
SUMIFS('Minor Commodities - Q&amp;V'!$B$8:$B$250,'Minor Commodities - Q&amp;V'!$N$8:$N$250,LEFT('FY Q&amp;V 2003-04 to Now'!O$7,4),'Minor Commodities - Q&amp;V'!$O$8:$O$250,4)+
SUMIFS('Minor Commodities - Q&amp;V'!$B$8:$B$250,'Minor Commodities - Q&amp;V'!$N$8:$N$250,CONCATENATE("20",RIGHT('FY Q&amp;V 2003-04 to Now'!O$7,2)),'Minor Commodities - Q&amp;V'!$O$8:$O$250,1)+
SUMIFS('Minor Commodities - Q&amp;V'!$B$8:$B$250,'Minor Commodities - Q&amp;V'!$N$8:$N$250,CONCATENATE("20",RIGHT('FY Q&amp;V 2003-04 to Now'!O$7,2)),'Minor Commodities - Q&amp;V'!$O$8:$O$250,2))*1000</f>
        <v>100030</v>
      </c>
      <c r="P80" s="892">
        <f>(SUMIFS('Minor Commodities - Q&amp;V'!$C$8:$C$250,'Minor Commodities - Q&amp;V'!$N$8:$N$250,LEFT('FY Q&amp;V 2003-04 to Now'!O$7,4),'Minor Commodities - Q&amp;V'!$O$8:$O$250,3)+
SUMIFS('Minor Commodities - Q&amp;V'!$C$8:$C$250,'Minor Commodities - Q&amp;V'!$N$8:$N$250,LEFT('FY Q&amp;V 2003-04 to Now'!O$7,4),'Minor Commodities - Q&amp;V'!$O$8:$O$250,4)+
SUMIFS('Minor Commodities - Q&amp;V'!$C$8:$C$250,'Minor Commodities - Q&amp;V'!$N$8:$N$250,CONCATENATE("20",RIGHT('FY Q&amp;V 2003-04 to Now'!O$7,2)),'Minor Commodities - Q&amp;V'!$O$8:$O$250,1)+
SUMIFS('Minor Commodities - Q&amp;V'!$C$8:$C$250,'Minor Commodities - Q&amp;V'!$N$8:$N$250,CONCATENATE("20",RIGHT('FY Q&amp;V 2003-04 to Now'!O$7,2)),'Minor Commodities - Q&amp;V'!$O$8:$O$250,2))*1000000</f>
        <v>63845067.659999996</v>
      </c>
      <c r="Q80" s="895">
        <f>(SUMIFS('Minor Commodities - Q&amp;V'!$B$8:$B$250,'Minor Commodities - Q&amp;V'!$N$8:$N$250,LEFT('FY Q&amp;V 2003-04 to Now'!Q$7,4),'Minor Commodities - Q&amp;V'!$O$8:$O$250,3)+
SUMIFS('Minor Commodities - Q&amp;V'!$B$8:$B$250,'Minor Commodities - Q&amp;V'!$N$8:$N$250,LEFT('FY Q&amp;V 2003-04 to Now'!Q$7,4),'Minor Commodities - Q&amp;V'!$O$8:$O$250,4)+
SUMIFS('Minor Commodities - Q&amp;V'!$B$8:$B$250,'Minor Commodities - Q&amp;V'!$N$8:$N$250,CONCATENATE("20",RIGHT('FY Q&amp;V 2003-04 to Now'!Q$7,2)),'Minor Commodities - Q&amp;V'!$O$8:$O$250,1)+
SUMIFS('Minor Commodities - Q&amp;V'!$B$8:$B$250,'Minor Commodities - Q&amp;V'!$N$8:$N$250,CONCATENATE("20",RIGHT('FY Q&amp;V 2003-04 to Now'!Q$7,2)),'Minor Commodities - Q&amp;V'!$O$8:$O$250,2))*1000</f>
        <v>83550</v>
      </c>
      <c r="R80" s="892">
        <f>(SUMIFS('Minor Commodities - Q&amp;V'!$C$8:$C$250,'Minor Commodities - Q&amp;V'!$N$8:$N$250,LEFT('FY Q&amp;V 2003-04 to Now'!Q$7,4),'Minor Commodities - Q&amp;V'!$O$8:$O$250,3)+
SUMIFS('Minor Commodities - Q&amp;V'!$C$8:$C$250,'Minor Commodities - Q&amp;V'!$N$8:$N$250,LEFT('FY Q&amp;V 2003-04 to Now'!Q$7,4),'Minor Commodities - Q&amp;V'!$O$8:$O$250,4)+
SUMIFS('Minor Commodities - Q&amp;V'!$C$8:$C$250,'Minor Commodities - Q&amp;V'!$N$8:$N$250,CONCATENATE("20",RIGHT('FY Q&amp;V 2003-04 to Now'!Q$7,2)),'Minor Commodities - Q&amp;V'!$O$8:$O$250,1)+
SUMIFS('Minor Commodities - Q&amp;V'!$C$8:$C$250,'Minor Commodities - Q&amp;V'!$N$8:$N$250,CONCATENATE("20",RIGHT('FY Q&amp;V 2003-04 to Now'!Q$7,2)),'Minor Commodities - Q&amp;V'!$O$8:$O$250,2))*1000000</f>
        <v>76065087.370000005</v>
      </c>
      <c r="S80" s="895">
        <f>(SUMIFS('Minor Commodities - Q&amp;V'!$B$8:$B$250,'Minor Commodities - Q&amp;V'!$N$8:$N$250,LEFT('FY Q&amp;V 2003-04 to Now'!S$7,4),'Minor Commodities - Q&amp;V'!$O$8:$O$250,3)+
SUMIFS('Minor Commodities - Q&amp;V'!$B$8:$B$250,'Minor Commodities - Q&amp;V'!$N$8:$N$250,LEFT('FY Q&amp;V 2003-04 to Now'!S$7,4),'Minor Commodities - Q&amp;V'!$O$8:$O$250,4)+
SUMIFS('Minor Commodities - Q&amp;V'!$B$8:$B$250,'Minor Commodities - Q&amp;V'!$N$8:$N$250,CONCATENATE("20",RIGHT('FY Q&amp;V 2003-04 to Now'!S$7,2)),'Minor Commodities - Q&amp;V'!$O$8:$O$250,1)+
SUMIFS('Minor Commodities - Q&amp;V'!$B$8:$B$250,'Minor Commodities - Q&amp;V'!$N$8:$N$250,CONCATENATE("20",RIGHT('FY Q&amp;V 2003-04 to Now'!S$7,2)),'Minor Commodities - Q&amp;V'!$O$8:$O$250,2))*1000</f>
        <v>120080</v>
      </c>
      <c r="T80" s="892">
        <f>(SUMIFS('Minor Commodities - Q&amp;V'!$C$8:$C$250,'Minor Commodities - Q&amp;V'!$N$8:$N$250,LEFT('FY Q&amp;V 2003-04 to Now'!S$7,4),'Minor Commodities - Q&amp;V'!$O$8:$O$250,3)+
SUMIFS('Minor Commodities - Q&amp;V'!$C$8:$C$250,'Minor Commodities - Q&amp;V'!$N$8:$N$250,LEFT('FY Q&amp;V 2003-04 to Now'!S$7,4),'Minor Commodities - Q&amp;V'!$O$8:$O$250,4)+
SUMIFS('Minor Commodities - Q&amp;V'!$C$8:$C$250,'Minor Commodities - Q&amp;V'!$N$8:$N$250,CONCATENATE("20",RIGHT('FY Q&amp;V 2003-04 to Now'!S$7,2)),'Minor Commodities - Q&amp;V'!$O$8:$O$250,1)+
SUMIFS('Minor Commodities - Q&amp;V'!$C$8:$C$250,'Minor Commodities - Q&amp;V'!$N$8:$N$250,CONCATENATE("20",RIGHT('FY Q&amp;V 2003-04 to Now'!S$7,2)),'Minor Commodities - Q&amp;V'!$O$8:$O$250,2))*1000000</f>
        <v>115704895.88999999</v>
      </c>
      <c r="U80" s="895">
        <f>(SUMIFS('Minor Commodities - Q&amp;V'!$B$8:$B$250,'Minor Commodities - Q&amp;V'!$N$8:$N$250,LEFT('FY Q&amp;V 2003-04 to Now'!U$7,4),'Minor Commodities - Q&amp;V'!$O$8:$O$250,3)+
SUMIFS('Minor Commodities - Q&amp;V'!$B$8:$B$250,'Minor Commodities - Q&amp;V'!$N$8:$N$250,LEFT('FY Q&amp;V 2003-04 to Now'!U$7,4),'Minor Commodities - Q&amp;V'!$O$8:$O$250,4)+
SUMIFS('Minor Commodities - Q&amp;V'!$B$8:$B$250,'Minor Commodities - Q&amp;V'!$N$8:$N$250,CONCATENATE("20",RIGHT('FY Q&amp;V 2003-04 to Now'!U$7,2)),'Minor Commodities - Q&amp;V'!$O$8:$O$250,1)+
SUMIFS('Minor Commodities - Q&amp;V'!$B$8:$B$250,'Minor Commodities - Q&amp;V'!$N$8:$N$250,CONCATENATE("20",RIGHT('FY Q&amp;V 2003-04 to Now'!U$7,2)),'Minor Commodities - Q&amp;V'!$O$8:$O$250,2))*1000</f>
        <v>123740</v>
      </c>
      <c r="V80" s="892">
        <f>(SUMIFS('Minor Commodities - Q&amp;V'!$C$8:$C$250,'Minor Commodities - Q&amp;V'!$N$8:$N$250,LEFT('FY Q&amp;V 2003-04 to Now'!U$7,4),'Minor Commodities - Q&amp;V'!$O$8:$O$250,3)+
SUMIFS('Minor Commodities - Q&amp;V'!$C$8:$C$250,'Minor Commodities - Q&amp;V'!$N$8:$N$250,LEFT('FY Q&amp;V 2003-04 to Now'!U$7,4),'Minor Commodities - Q&amp;V'!$O$8:$O$250,4)+
SUMIFS('Minor Commodities - Q&amp;V'!$C$8:$C$250,'Minor Commodities - Q&amp;V'!$N$8:$N$250,CONCATENATE("20",RIGHT('FY Q&amp;V 2003-04 to Now'!U$7,2)),'Minor Commodities - Q&amp;V'!$O$8:$O$250,1)+
SUMIFS('Minor Commodities - Q&amp;V'!$C$8:$C$250,'Minor Commodities - Q&amp;V'!$N$8:$N$250,CONCATENATE("20",RIGHT('FY Q&amp;V 2003-04 to Now'!U$7,2)),'Minor Commodities - Q&amp;V'!$O$8:$O$250,2))*1000000</f>
        <v>100560679.36000001</v>
      </c>
      <c r="W80" s="895">
        <f>(SUMIFS('Minor Commodities - Q&amp;V'!$B$8:$B$250,'Minor Commodities - Q&amp;V'!$N$8:$N$250,LEFT('FY Q&amp;V 2003-04 to Now'!W$7,4),'Minor Commodities - Q&amp;V'!$O$8:$O$250,3)+
SUMIFS('Minor Commodities - Q&amp;V'!$B$8:$B$250,'Minor Commodities - Q&amp;V'!$N$8:$N$250,LEFT('FY Q&amp;V 2003-04 to Now'!W$7,4),'Minor Commodities - Q&amp;V'!$O$8:$O$250,4)+
SUMIFS('Minor Commodities - Q&amp;V'!$B$8:$B$250,'Minor Commodities - Q&amp;V'!$N$8:$N$250,CONCATENATE("20",RIGHT('FY Q&amp;V 2003-04 to Now'!W$7,2)),'Minor Commodities - Q&amp;V'!$O$8:$O$250,1)+
SUMIFS('Minor Commodities - Q&amp;V'!$B$8:$B$250,'Minor Commodities - Q&amp;V'!$N$8:$N$250,CONCATENATE("20",RIGHT('FY Q&amp;V 2003-04 to Now'!W$7,2)),'Minor Commodities - Q&amp;V'!$O$8:$O$250,2))*1000</f>
        <v>137179.37646769744</v>
      </c>
      <c r="X80" s="892">
        <f>(SUMIFS('Minor Commodities - Q&amp;V'!$C$8:$C$250,'Minor Commodities - Q&amp;V'!$N$8:$N$250,LEFT('FY Q&amp;V 2003-04 to Now'!W$7,4),'Minor Commodities - Q&amp;V'!$O$8:$O$250,3)+
SUMIFS('Minor Commodities - Q&amp;V'!$C$8:$C$250,'Minor Commodities - Q&amp;V'!$N$8:$N$250,LEFT('FY Q&amp;V 2003-04 to Now'!W$7,4),'Minor Commodities - Q&amp;V'!$O$8:$O$250,4)+
SUMIFS('Minor Commodities - Q&amp;V'!$C$8:$C$250,'Minor Commodities - Q&amp;V'!$N$8:$N$250,CONCATENATE("20",RIGHT('FY Q&amp;V 2003-04 to Now'!W$7,2)),'Minor Commodities - Q&amp;V'!$O$8:$O$250,1)+
SUMIFS('Minor Commodities - Q&amp;V'!$C$8:$C$250,'Minor Commodities - Q&amp;V'!$N$8:$N$250,CONCATENATE("20",RIGHT('FY Q&amp;V 2003-04 to Now'!W$7,2)),'Minor Commodities - Q&amp;V'!$O$8:$O$250,2))*1000000</f>
        <v>93414212.049999997</v>
      </c>
      <c r="Y80" s="895">
        <f>(SUMIFS('Minor Commodities - Q&amp;V'!$B$8:$B$250,'Minor Commodities - Q&amp;V'!$N$8:$N$250,LEFT('FY Q&amp;V 2003-04 to Now'!Y$7,4),'Minor Commodities - Q&amp;V'!$O$8:$O$250,3)+
SUMIFS('Minor Commodities - Q&amp;V'!$B$8:$B$250,'Minor Commodities - Q&amp;V'!$N$8:$N$250,LEFT('FY Q&amp;V 2003-04 to Now'!Y$7,4),'Minor Commodities - Q&amp;V'!$O$8:$O$250,4)+
SUMIFS('Minor Commodities - Q&amp;V'!$B$8:$B$250,'Minor Commodities - Q&amp;V'!$N$8:$N$250,CONCATENATE("20",RIGHT('FY Q&amp;V 2003-04 to Now'!Y$7,2)),'Minor Commodities - Q&amp;V'!$O$8:$O$250,1)+
SUMIFS('Minor Commodities - Q&amp;V'!$B$8:$B$250,'Minor Commodities - Q&amp;V'!$N$8:$N$250,CONCATENATE("20",RIGHT('FY Q&amp;V 2003-04 to Now'!Y$7,2)),'Minor Commodities - Q&amp;V'!$O$8:$O$250,2))*1000</f>
        <v>150578.00393148517</v>
      </c>
      <c r="Z80" s="892">
        <f>(SUMIFS('Minor Commodities - Q&amp;V'!$C$8:$C$250,'Minor Commodities - Q&amp;V'!$N$8:$N$250,LEFT('FY Q&amp;V 2003-04 to Now'!Y$7,4),'Minor Commodities - Q&amp;V'!$O$8:$O$250,3)+
SUMIFS('Minor Commodities - Q&amp;V'!$C$8:$C$250,'Minor Commodities - Q&amp;V'!$N$8:$N$250,LEFT('FY Q&amp;V 2003-04 to Now'!Y$7,4),'Minor Commodities - Q&amp;V'!$O$8:$O$250,4)+
SUMIFS('Minor Commodities - Q&amp;V'!$C$8:$C$250,'Minor Commodities - Q&amp;V'!$N$8:$N$250,CONCATENATE("20",RIGHT('FY Q&amp;V 2003-04 to Now'!Y$7,2)),'Minor Commodities - Q&amp;V'!$O$8:$O$250,1)+
SUMIFS('Minor Commodities - Q&amp;V'!$C$8:$C$250,'Minor Commodities - Q&amp;V'!$N$8:$N$250,CONCATENATE("20",RIGHT('FY Q&amp;V 2003-04 to Now'!Y$7,2)),'Minor Commodities - Q&amp;V'!$O$8:$O$250,2))*1000000</f>
        <v>95972009</v>
      </c>
      <c r="AA80" s="895">
        <f>(SUMIFS('Minor Commodities - Q&amp;V'!$B$8:$B$250,'Minor Commodities - Q&amp;V'!$N$8:$N$250,LEFT('FY Q&amp;V 2003-04 to Now'!AA$7,4),'Minor Commodities - Q&amp;V'!$O$8:$O$250,3)+
SUMIFS('Minor Commodities - Q&amp;V'!$B$8:$B$250,'Minor Commodities - Q&amp;V'!$N$8:$N$250,LEFT('FY Q&amp;V 2003-04 to Now'!AA$7,4),'Minor Commodities - Q&amp;V'!$O$8:$O$250,4)+
SUMIFS('Minor Commodities - Q&amp;V'!$B$8:$B$250,'Minor Commodities - Q&amp;V'!$N$8:$N$250,CONCATENATE("20",RIGHT('FY Q&amp;V 2003-04 to Now'!AA$7,2)),'Minor Commodities - Q&amp;V'!$O$8:$O$250,1)+
SUMIFS('Minor Commodities - Q&amp;V'!$B$8:$B$250,'Minor Commodities - Q&amp;V'!$N$8:$N$250,CONCATENATE("20",RIGHT('FY Q&amp;V 2003-04 to Now'!AA$7,2)),'Minor Commodities - Q&amp;V'!$O$8:$O$250,2))*1000</f>
        <v>155292.08045236964</v>
      </c>
      <c r="AB80" s="892">
        <f>(SUMIFS('Minor Commodities - Q&amp;V'!$C$8:$C$250,'Minor Commodities - Q&amp;V'!$N$8:$N$250,LEFT('FY Q&amp;V 2003-04 to Now'!AA$7,4),'Minor Commodities - Q&amp;V'!$O$8:$O$250,3)+
SUMIFS('Minor Commodities - Q&amp;V'!$C$8:$C$250,'Minor Commodities - Q&amp;V'!$N$8:$N$250,LEFT('FY Q&amp;V 2003-04 to Now'!AA$7,4),'Minor Commodities - Q&amp;V'!$O$8:$O$250,4)+
SUMIFS('Minor Commodities - Q&amp;V'!$C$8:$C$250,'Minor Commodities - Q&amp;V'!$N$8:$N$250,CONCATENATE("20",RIGHT('FY Q&amp;V 2003-04 to Now'!AA$7,2)),'Minor Commodities - Q&amp;V'!$O$8:$O$250,1)+
SUMIFS('Minor Commodities - Q&amp;V'!$C$8:$C$250,'Minor Commodities - Q&amp;V'!$N$8:$N$250,CONCATENATE("20",RIGHT('FY Q&amp;V 2003-04 to Now'!AA$7,2)),'Minor Commodities - Q&amp;V'!$O$8:$O$250,2))*1000000</f>
        <v>104786546</v>
      </c>
      <c r="AC80" s="1307">
        <f>(SUMIFS('Minor Commodities - Q&amp;V'!$B$8:$B$250,'Minor Commodities - Q&amp;V'!$N$8:$N$250,LEFT('FY Q&amp;V 2003-04 to Now'!AC$7,4),'Minor Commodities - Q&amp;V'!$O$8:$O$250,3)+
SUMIFS('Minor Commodities - Q&amp;V'!$B$8:$B$250,'Minor Commodities - Q&amp;V'!$N$8:$N$250,LEFT('FY Q&amp;V 2003-04 to Now'!AC$7,4),'Minor Commodities - Q&amp;V'!$O$8:$O$250,4)+
SUMIFS('Minor Commodities - Q&amp;V'!$B$8:$B$250,'Minor Commodities - Q&amp;V'!$N$8:$N$250,CONCATENATE("20",RIGHT('FY Q&amp;V 2003-04 to Now'!AC$7,2)),'Minor Commodities - Q&amp;V'!$O$8:$O$250,1)+
SUMIFS('Minor Commodities - Q&amp;V'!$B$8:$B$250,'Minor Commodities - Q&amp;V'!$N$8:$N$250,CONCATENATE("20",RIGHT('FY Q&amp;V 2003-04 to Now'!AC$7,2)),'Minor Commodities - Q&amp;V'!$O$8:$O$250,2))*1000</f>
        <v>142867.69398902665</v>
      </c>
      <c r="AD80" s="892">
        <f>(SUMIFS('Minor Commodities - Q&amp;V'!$C$8:$C$250,'Minor Commodities - Q&amp;V'!$N$8:$N$250,LEFT('FY Q&amp;V 2003-04 to Now'!AC$7,4),'Minor Commodities - Q&amp;V'!$O$8:$O$250,3)+
SUMIFS('Minor Commodities - Q&amp;V'!$C$8:$C$250,'Minor Commodities - Q&amp;V'!$N$8:$N$250,LEFT('FY Q&amp;V 2003-04 to Now'!AC$7,4),'Minor Commodities - Q&amp;V'!$O$8:$O$250,4)+
SUMIFS('Minor Commodities - Q&amp;V'!$C$8:$C$250,'Minor Commodities - Q&amp;V'!$N$8:$N$250,CONCATENATE("20",RIGHT('FY Q&amp;V 2003-04 to Now'!AC$7,2)),'Minor Commodities - Q&amp;V'!$O$8:$O$250,1)+
SUMIFS('Minor Commodities - Q&amp;V'!$C$8:$C$250,'Minor Commodities - Q&amp;V'!$N$8:$N$250,CONCATENATE("20",RIGHT('FY Q&amp;V 2003-04 to Now'!AC$7,2)),'Minor Commodities - Q&amp;V'!$O$8:$O$250,2))*1000000</f>
        <v>98465480.000000015</v>
      </c>
      <c r="AE80" s="1307">
        <f>(SUMIFS('Minor Commodities - Q&amp;V'!$B$8:$B$250,'Minor Commodities - Q&amp;V'!$N$8:$N$250,LEFT('FY Q&amp;V 2003-04 to Now'!AE$7,4),'Minor Commodities - Q&amp;V'!$O$8:$O$250,3)+
SUMIFS('Minor Commodities - Q&amp;V'!$B$8:$B$250,'Minor Commodities - Q&amp;V'!$N$8:$N$250,LEFT('FY Q&amp;V 2003-04 to Now'!AE$7,4),'Minor Commodities - Q&amp;V'!$O$8:$O$250,4)+
SUMIFS('Minor Commodities - Q&amp;V'!$B$8:$B$250,'Minor Commodities - Q&amp;V'!$N$8:$N$250,CONCATENATE("20",RIGHT('FY Q&amp;V 2003-04 to Now'!AE$7,2)),'Minor Commodities - Q&amp;V'!$O$8:$O$250,1)+
SUMIFS('Minor Commodities - Q&amp;V'!$B$8:$B$250,'Minor Commodities - Q&amp;V'!$N$8:$N$250,CONCATENATE("20",RIGHT('FY Q&amp;V 2003-04 to Now'!AE$7,2)),'Minor Commodities - Q&amp;V'!$O$8:$O$250,2))*1000</f>
        <v>163098.44498256338</v>
      </c>
      <c r="AF80" s="943">
        <f>(SUMIFS('Minor Commodities - Q&amp;V'!$C$8:$C$250,'Minor Commodities - Q&amp;V'!$N$8:$N$250,LEFT('FY Q&amp;V 2003-04 to Now'!AE$7,4),'Minor Commodities - Q&amp;V'!$O$8:$O$250,3)+
SUMIFS('Minor Commodities - Q&amp;V'!$C$8:$C$250,'Minor Commodities - Q&amp;V'!$N$8:$N$250,LEFT('FY Q&amp;V 2003-04 to Now'!AE$7,4),'Minor Commodities - Q&amp;V'!$O$8:$O$250,4)+
SUMIFS('Minor Commodities - Q&amp;V'!$C$8:$C$250,'Minor Commodities - Q&amp;V'!$N$8:$N$250,CONCATENATE("20",RIGHT('FY Q&amp;V 2003-04 to Now'!AE$7,2)),'Minor Commodities - Q&amp;V'!$O$8:$O$250,1)+
SUMIFS('Minor Commodities - Q&amp;V'!$C$8:$C$250,'Minor Commodities - Q&amp;V'!$N$8:$N$250,CONCATENATE("20",RIGHT('FY Q&amp;V 2003-04 to Now'!AE$7,2)),'Minor Commodities - Q&amp;V'!$O$8:$O$250,2))*1000000</f>
        <v>105327204.00000001</v>
      </c>
      <c r="AG80" s="1307">
        <f>(SUMIFS('Minor Commodities - Q&amp;V'!$B$8:$B$250,'Minor Commodities - Q&amp;V'!$N$8:$N$250,LEFT('FY Q&amp;V 2003-04 to Now'!AG$7,4),'Minor Commodities - Q&amp;V'!$O$8:$O$250,3)+
SUMIFS('Minor Commodities - Q&amp;V'!$B$8:$B$250,'Minor Commodities - Q&amp;V'!$N$8:$N$250,LEFT('FY Q&amp;V 2003-04 to Now'!AG$7,4),'Minor Commodities - Q&amp;V'!$O$8:$O$250,4)+
SUMIFS('Minor Commodities - Q&amp;V'!$B$8:$B$250,'Minor Commodities - Q&amp;V'!$N$8:$N$250,CONCATENATE("20",RIGHT('FY Q&amp;V 2003-04 to Now'!AG$7,2)),'Minor Commodities - Q&amp;V'!$O$8:$O$250,1)+
SUMIFS('Minor Commodities - Q&amp;V'!$B$8:$B$250,'Minor Commodities - Q&amp;V'!$N$8:$N$250,CONCATENATE("20",RIGHT('FY Q&amp;V 2003-04 to Now'!AG$7,2)),'Minor Commodities - Q&amp;V'!$O$8:$O$250,2))*1000</f>
        <v>129900.96211707678</v>
      </c>
      <c r="AH80" s="892">
        <f>(SUMIFS('Minor Commodities - Q&amp;V'!$C$8:$C$250,'Minor Commodities - Q&amp;V'!$N$8:$N$250,LEFT('FY Q&amp;V 2003-04 to Now'!AG$7,4),'Minor Commodities - Q&amp;V'!$O$8:$O$250,3)+
SUMIFS('Minor Commodities - Q&amp;V'!$C$8:$C$250,'Minor Commodities - Q&amp;V'!$N$8:$N$250,LEFT('FY Q&amp;V 2003-04 to Now'!AG$7,4),'Minor Commodities - Q&amp;V'!$O$8:$O$250,4)+
SUMIFS('Minor Commodities - Q&amp;V'!$C$8:$C$250,'Minor Commodities - Q&amp;V'!$N$8:$N$250,CONCATENATE("20",RIGHT('FY Q&amp;V 2003-04 to Now'!AG$7,2)),'Minor Commodities - Q&amp;V'!$O$8:$O$250,1)+
SUMIFS('Minor Commodities - Q&amp;V'!$C$8:$C$250,'Minor Commodities - Q&amp;V'!$N$8:$N$250,CONCATENATE("20",RIGHT('FY Q&amp;V 2003-04 to Now'!AG$7,2)),'Minor Commodities - Q&amp;V'!$O$8:$O$250,2))*1000000</f>
        <v>84842426.999999985</v>
      </c>
      <c r="AI80" s="954">
        <f>SUMIF($C$9:AH$9,1,$C80:AH80)</f>
        <v>1993976.5619402188</v>
      </c>
      <c r="AJ80" s="955">
        <f>SUMIF($C$9:AH$9,0,$C80:AH80)</f>
        <v>1227067741.6600001</v>
      </c>
    </row>
    <row r="81" spans="1:36">
      <c r="A81" s="591"/>
      <c r="B81" s="594"/>
      <c r="C81" s="895"/>
      <c r="D81" s="892"/>
      <c r="E81" s="895"/>
      <c r="F81" s="892"/>
      <c r="G81" s="895"/>
      <c r="H81" s="892"/>
      <c r="I81" s="895"/>
      <c r="J81" s="892"/>
      <c r="K81" s="895"/>
      <c r="L81" s="892"/>
      <c r="M81" s="895"/>
      <c r="N81" s="892"/>
      <c r="O81" s="895"/>
      <c r="P81" s="892"/>
      <c r="Q81" s="895"/>
      <c r="R81" s="892"/>
      <c r="S81" s="895"/>
      <c r="T81" s="892"/>
      <c r="U81" s="895"/>
      <c r="V81" s="892"/>
      <c r="W81" s="895"/>
      <c r="X81" s="892"/>
      <c r="Y81" s="895"/>
      <c r="Z81" s="892"/>
      <c r="AA81" s="895"/>
      <c r="AB81" s="892"/>
      <c r="AC81" s="892"/>
      <c r="AD81" s="892"/>
      <c r="AE81" s="1307"/>
      <c r="AF81" s="892"/>
      <c r="AG81" s="1307"/>
      <c r="AH81" s="892"/>
      <c r="AI81" s="954"/>
      <c r="AJ81" s="955"/>
    </row>
    <row r="82" spans="1:36">
      <c r="A82" s="884" t="s">
        <v>321</v>
      </c>
      <c r="B82" s="880"/>
      <c r="C82" s="896"/>
      <c r="D82" s="878"/>
      <c r="E82" s="896"/>
      <c r="F82" s="878"/>
      <c r="G82" s="896"/>
      <c r="H82" s="878"/>
      <c r="I82" s="896"/>
      <c r="J82" s="878"/>
      <c r="K82" s="896"/>
      <c r="L82" s="878"/>
      <c r="M82" s="896"/>
      <c r="N82" s="878"/>
      <c r="O82" s="896"/>
      <c r="P82" s="878"/>
      <c r="Q82" s="896"/>
      <c r="R82" s="878"/>
      <c r="S82" s="896"/>
      <c r="T82" s="878"/>
      <c r="U82" s="896"/>
      <c r="V82" s="878"/>
      <c r="W82" s="896"/>
      <c r="X82" s="878"/>
      <c r="Y82" s="896"/>
      <c r="Z82" s="878"/>
      <c r="AA82" s="896"/>
      <c r="AB82" s="878"/>
      <c r="AC82" s="878"/>
      <c r="AD82" s="878"/>
      <c r="AE82" s="1309"/>
      <c r="AF82" s="878"/>
      <c r="AG82" s="1309"/>
      <c r="AH82" s="1304"/>
      <c r="AI82" s="878"/>
      <c r="AJ82" s="891"/>
    </row>
    <row r="83" spans="1:36">
      <c r="A83" s="887" t="s">
        <v>354</v>
      </c>
      <c r="B83" s="848" t="s">
        <v>110</v>
      </c>
      <c r="C83" s="890">
        <f>(SUMIFS('Lithium - Q&amp;V'!$B$8:$B$252,'Lithium - Q&amp;V'!$D$8:$D$252,LEFT('FY Q&amp;V 2003-04 to Now'!C$7,4),'Lithium - Q&amp;V'!$E$8:$E$252,3)+
SUMIFS('Lithium - Q&amp;V'!$B$8:$B$252,'Lithium - Q&amp;V'!$D$8:$D$252,LEFT('FY Q&amp;V 2003-04 to Now'!C$7,4),'Lithium - Q&amp;V'!$E$8:$E$252,4)+
SUMIFS('Lithium - Q&amp;V'!$B$8:$B$252,'Lithium - Q&amp;V'!$D$8:$D$252,CONCATENATE("20",RIGHT('FY Q&amp;V 2003-04 to Now'!C$7,2)),'Lithium - Q&amp;V'!$E$8:$E$252,1)+
SUMIFS('Lithium - Q&amp;V'!$B$8:$B$252,'Lithium - Q&amp;V'!$D$8:$D$252,CONCATENATE("20",RIGHT('FY Q&amp;V 2003-04 to Now'!C$7,2)),'Lithium - Q&amp;V'!$E$8:$E$252,2))*1000</f>
        <v>106372.99999999999</v>
      </c>
      <c r="D83" s="891">
        <f>(SUMIFS('Lithium - Q&amp;V'!$C$8:$C$252,'Lithium - Q&amp;V'!$D$8:$D$252,LEFT('FY Q&amp;V 2003-04 to Now'!C$7,4),'Lithium - Q&amp;V'!$E$8:$E$252,3)+
SUMIFS('Lithium - Q&amp;V'!$C$8:$C$252,'Lithium - Q&amp;V'!$D$8:$D$252,LEFT('FY Q&amp;V 2003-04 to Now'!C$7,4),'Lithium - Q&amp;V'!$E$8:$E$252,4)+
SUMIFS('Lithium - Q&amp;V'!$C$8:$C$252,'Lithium - Q&amp;V'!$D$8:$D$252,CONCATENATE("20",RIGHT('FY Q&amp;V 2003-04 to Now'!C$7,2)),'Lithium - Q&amp;V'!$E$8:$E$252,1)+
SUMIFS('Lithium - Q&amp;V'!$C$8:$C$252,'Lithium - Q&amp;V'!$D$8:$D$252,CONCATENATE("20",RIGHT('FY Q&amp;V 2003-04 to Now'!C$7,2)),'Lithium - Q&amp;V'!$E$8:$E$252,2))*1000000</f>
        <v>21381603</v>
      </c>
      <c r="E83" s="890">
        <f>(SUMIFS('Lithium - Q&amp;V'!$B$8:$B$252,'Lithium - Q&amp;V'!$D$8:$D$252,LEFT('FY Q&amp;V 2003-04 to Now'!E$7,4),'Lithium - Q&amp;V'!$E$8:$E$252,3)+
SUMIFS('Lithium - Q&amp;V'!$B$8:$B$252,'Lithium - Q&amp;V'!$D$8:$D$252,LEFT('FY Q&amp;V 2003-04 to Now'!E$7,4),'Lithium - Q&amp;V'!$E$8:$E$252,4)+
SUMIFS('Lithium - Q&amp;V'!$B$8:$B$252,'Lithium - Q&amp;V'!$D$8:$D$252,CONCATENATE("20",RIGHT('FY Q&amp;V 2003-04 to Now'!E$7,2)),'Lithium - Q&amp;V'!$E$8:$E$252,1)+
SUMIFS('Lithium - Q&amp;V'!$B$8:$B$252,'Lithium - Q&amp;V'!$D$8:$D$252,CONCATENATE("20",RIGHT('FY Q&amp;V 2003-04 to Now'!E$7,2)),'Lithium - Q&amp;V'!$E$8:$E$252,2))*1000</f>
        <v>108804</v>
      </c>
      <c r="F83" s="891">
        <f>(SUMIFS('Lithium - Q&amp;V'!$C$8:$C$252,'Lithium - Q&amp;V'!$D$8:$D$252,LEFT('FY Q&amp;V 2003-04 to Now'!E$7,4),'Lithium - Q&amp;V'!$E$8:$E$252,3)+
SUMIFS('Lithium - Q&amp;V'!$C$8:$C$252,'Lithium - Q&amp;V'!$D$8:$D$252,LEFT('FY Q&amp;V 2003-04 to Now'!E$7,4),'Lithium - Q&amp;V'!$E$8:$E$252,4)+
SUMIFS('Lithium - Q&amp;V'!$C$8:$C$252,'Lithium - Q&amp;V'!$D$8:$D$252,CONCATENATE("20",RIGHT('FY Q&amp;V 2003-04 to Now'!E$7,2)),'Lithium - Q&amp;V'!$E$8:$E$252,1)+
SUMIFS('Lithium - Q&amp;V'!$C$8:$C$252,'Lithium - Q&amp;V'!$D$8:$D$252,CONCATENATE("20",RIGHT('FY Q&amp;V 2003-04 to Now'!E$7,2)),'Lithium - Q&amp;V'!$E$8:$E$252,2))*1000000</f>
        <v>23466171</v>
      </c>
      <c r="G83" s="890">
        <f>(SUMIFS('Lithium - Q&amp;V'!$B$8:$B$252,'Lithium - Q&amp;V'!$D$8:$D$252,LEFT('FY Q&amp;V 2003-04 to Now'!G$7,4),'Lithium - Q&amp;V'!$E$8:$E$252,3)+
SUMIFS('Lithium - Q&amp;V'!$B$8:$B$252,'Lithium - Q&amp;V'!$D$8:$D$252,LEFT('FY Q&amp;V 2003-04 to Now'!G$7,4),'Lithium - Q&amp;V'!$E$8:$E$252,4)+
SUMIFS('Lithium - Q&amp;V'!$B$8:$B$252,'Lithium - Q&amp;V'!$D$8:$D$252,CONCATENATE("20",RIGHT('FY Q&amp;V 2003-04 to Now'!G$7,2)),'Lithium - Q&amp;V'!$E$8:$E$252,1)+
SUMIFS('Lithium - Q&amp;V'!$B$8:$B$252,'Lithium - Q&amp;V'!$D$8:$D$252,CONCATENATE("20",RIGHT('FY Q&amp;V 2003-04 to Now'!G$7,2)),'Lithium - Q&amp;V'!$E$8:$E$252,2))*1000</f>
        <v>193228.99999999997</v>
      </c>
      <c r="H83" s="891">
        <f>(SUMIFS('Lithium - Q&amp;V'!$C$8:$C$252,'Lithium - Q&amp;V'!$D$8:$D$252,LEFT('FY Q&amp;V 2003-04 to Now'!G$7,4),'Lithium - Q&amp;V'!$E$8:$E$252,3)+
SUMIFS('Lithium - Q&amp;V'!$C$8:$C$252,'Lithium - Q&amp;V'!$D$8:$D$252,LEFT('FY Q&amp;V 2003-04 to Now'!G$7,4),'Lithium - Q&amp;V'!$E$8:$E$252,4)+
SUMIFS('Lithium - Q&amp;V'!$C$8:$C$252,'Lithium - Q&amp;V'!$D$8:$D$252,CONCATENATE("20",RIGHT('FY Q&amp;V 2003-04 to Now'!G$7,2)),'Lithium - Q&amp;V'!$E$8:$E$252,1)+
SUMIFS('Lithium - Q&amp;V'!$C$8:$C$252,'Lithium - Q&amp;V'!$D$8:$D$252,CONCATENATE("20",RIGHT('FY Q&amp;V 2003-04 to Now'!G$7,2)),'Lithium - Q&amp;V'!$E$8:$E$252,2))*1000000</f>
        <v>36636462</v>
      </c>
      <c r="I83" s="890">
        <f>(SUMIFS('Lithium - Q&amp;V'!$B$8:$B$252,'Lithium - Q&amp;V'!$D$8:$D$252,LEFT('FY Q&amp;V 2003-04 to Now'!I$7,4),'Lithium - Q&amp;V'!$E$8:$E$252,3)+
SUMIFS('Lithium - Q&amp;V'!$B$8:$B$252,'Lithium - Q&amp;V'!$D$8:$D$252,LEFT('FY Q&amp;V 2003-04 to Now'!I$7,4),'Lithium - Q&amp;V'!$E$8:$E$252,4)+
SUMIFS('Lithium - Q&amp;V'!$B$8:$B$252,'Lithium - Q&amp;V'!$D$8:$D$252,CONCATENATE("20",RIGHT('FY Q&amp;V 2003-04 to Now'!I$7,2)),'Lithium - Q&amp;V'!$E$8:$E$252,1)+
SUMIFS('Lithium - Q&amp;V'!$B$8:$B$252,'Lithium - Q&amp;V'!$D$8:$D$252,CONCATENATE("20",RIGHT('FY Q&amp;V 2003-04 to Now'!I$7,2)),'Lithium - Q&amp;V'!$E$8:$E$252,2))*1000</f>
        <v>290432</v>
      </c>
      <c r="J83" s="891">
        <f>(SUMIFS('Lithium - Q&amp;V'!$C$8:$C$252,'Lithium - Q&amp;V'!$D$8:$D$252,LEFT('FY Q&amp;V 2003-04 to Now'!I$7,4),'Lithium - Q&amp;V'!$E$8:$E$252,3)+
SUMIFS('Lithium - Q&amp;V'!$C$8:$C$252,'Lithium - Q&amp;V'!$D$8:$D$252,LEFT('FY Q&amp;V 2003-04 to Now'!I$7,4),'Lithium - Q&amp;V'!$E$8:$E$252,4)+
SUMIFS('Lithium - Q&amp;V'!$C$8:$C$252,'Lithium - Q&amp;V'!$D$8:$D$252,CONCATENATE("20",RIGHT('FY Q&amp;V 2003-04 to Now'!I$7,2)),'Lithium - Q&amp;V'!$E$8:$E$252,1)+
SUMIFS('Lithium - Q&amp;V'!$C$8:$C$252,'Lithium - Q&amp;V'!$D$8:$D$252,CONCATENATE("20",RIGHT('FY Q&amp;V 2003-04 to Now'!I$7,2)),'Lithium - Q&amp;V'!$E$8:$E$252,2))*1000000</f>
        <v>72200944</v>
      </c>
      <c r="K83" s="890">
        <f>(SUMIFS('Lithium - Q&amp;V'!$B$8:$B$252,'Lithium - Q&amp;V'!$D$8:$D$252,LEFT('FY Q&amp;V 2003-04 to Now'!K$7,4),'Lithium - Q&amp;V'!$E$8:$E$252,3)+
SUMIFS('Lithium - Q&amp;V'!$B$8:$B$252,'Lithium - Q&amp;V'!$D$8:$D$252,LEFT('FY Q&amp;V 2003-04 to Now'!K$7,4),'Lithium - Q&amp;V'!$E$8:$E$252,4)+
SUMIFS('Lithium - Q&amp;V'!$B$8:$B$252,'Lithium - Q&amp;V'!$D$8:$D$252,CONCATENATE("20",RIGHT('FY Q&amp;V 2003-04 to Now'!K$7,2)),'Lithium - Q&amp;V'!$E$8:$E$252,1)+
SUMIFS('Lithium - Q&amp;V'!$B$8:$B$252,'Lithium - Q&amp;V'!$D$8:$D$252,CONCATENATE("20",RIGHT('FY Q&amp;V 2003-04 to Now'!K$7,2)),'Lithium - Q&amp;V'!$E$8:$E$252,2))*1000</f>
        <v>246015</v>
      </c>
      <c r="L83" s="891">
        <f>(SUMIFS('Lithium - Q&amp;V'!$C$8:$C$252,'Lithium - Q&amp;V'!$D$8:$D$252,LEFT('FY Q&amp;V 2003-04 to Now'!K$7,4),'Lithium - Q&amp;V'!$E$8:$E$252,3)+
SUMIFS('Lithium - Q&amp;V'!$C$8:$C$252,'Lithium - Q&amp;V'!$D$8:$D$252,LEFT('FY Q&amp;V 2003-04 to Now'!K$7,4),'Lithium - Q&amp;V'!$E$8:$E$252,4)+
SUMIFS('Lithium - Q&amp;V'!$C$8:$C$252,'Lithium - Q&amp;V'!$D$8:$D$252,CONCATENATE("20",RIGHT('FY Q&amp;V 2003-04 to Now'!K$7,2)),'Lithium - Q&amp;V'!$E$8:$E$252,1)+
SUMIFS('Lithium - Q&amp;V'!$C$8:$C$252,'Lithium - Q&amp;V'!$D$8:$D$252,CONCATENATE("20",RIGHT('FY Q&amp;V 2003-04 to Now'!K$7,2)),'Lithium - Q&amp;V'!$E$8:$E$252,2))*1000000</f>
        <v>69975835</v>
      </c>
      <c r="M83" s="890">
        <f>(SUMIFS('Lithium - Q&amp;V'!$B$8:$B$252,'Lithium - Q&amp;V'!$D$8:$D$252,LEFT('FY Q&amp;V 2003-04 to Now'!M$7,4),'Lithium - Q&amp;V'!$E$8:$E$252,3)+
SUMIFS('Lithium - Q&amp;V'!$B$8:$B$252,'Lithium - Q&amp;V'!$D$8:$D$252,LEFT('FY Q&amp;V 2003-04 to Now'!M$7,4),'Lithium - Q&amp;V'!$E$8:$E$252,4)+
SUMIFS('Lithium - Q&amp;V'!$B$8:$B$252,'Lithium - Q&amp;V'!$D$8:$D$252,CONCATENATE("20",RIGHT('FY Q&amp;V 2003-04 to Now'!M$7,2)),'Lithium - Q&amp;V'!$E$8:$E$252,1)+
SUMIFS('Lithium - Q&amp;V'!$B$8:$B$252,'Lithium - Q&amp;V'!$D$8:$D$252,CONCATENATE("20",RIGHT('FY Q&amp;V 2003-04 to Now'!M$7,2)),'Lithium - Q&amp;V'!$E$8:$E$252,2))*1000</f>
        <v>223756.15</v>
      </c>
      <c r="N83" s="891">
        <f>(SUMIFS('Lithium - Q&amp;V'!$C$8:$C$252,'Lithium - Q&amp;V'!$D$8:$D$252,LEFT('FY Q&amp;V 2003-04 to Now'!M$7,4),'Lithium - Q&amp;V'!$E$8:$E$252,3)+
SUMIFS('Lithium - Q&amp;V'!$C$8:$C$252,'Lithium - Q&amp;V'!$D$8:$D$252,LEFT('FY Q&amp;V 2003-04 to Now'!M$7,4),'Lithium - Q&amp;V'!$E$8:$E$252,4)+
SUMIFS('Lithium - Q&amp;V'!$C$8:$C$252,'Lithium - Q&amp;V'!$D$8:$D$252,CONCATENATE("20",RIGHT('FY Q&amp;V 2003-04 to Now'!M$7,2)),'Lithium - Q&amp;V'!$E$8:$E$252,1)+
SUMIFS('Lithium - Q&amp;V'!$C$8:$C$252,'Lithium - Q&amp;V'!$D$8:$D$252,CONCATENATE("20",RIGHT('FY Q&amp;V 2003-04 to Now'!M$7,2)),'Lithium - Q&amp;V'!$E$8:$E$252,2))*1000000</f>
        <v>80063204.329999998</v>
      </c>
      <c r="O83" s="890">
        <f>(SUMIFS('Lithium - Q&amp;V'!$B$8:$B$252,'Lithium - Q&amp;V'!$D$8:$D$252,LEFT('FY Q&amp;V 2003-04 to Now'!O$7,4),'Lithium - Q&amp;V'!$E$8:$E$252,3)+
SUMIFS('Lithium - Q&amp;V'!$B$8:$B$252,'Lithium - Q&amp;V'!$D$8:$D$252,LEFT('FY Q&amp;V 2003-04 to Now'!O$7,4),'Lithium - Q&amp;V'!$E$8:$E$252,4)+
SUMIFS('Lithium - Q&amp;V'!$B$8:$B$252,'Lithium - Q&amp;V'!$D$8:$D$252,CONCATENATE("20",RIGHT('FY Q&amp;V 2003-04 to Now'!O$7,2)),'Lithium - Q&amp;V'!$E$8:$E$252,1)+
SUMIFS('Lithium - Q&amp;V'!$B$8:$B$252,'Lithium - Q&amp;V'!$D$8:$D$252,CONCATENATE("20",RIGHT('FY Q&amp;V 2003-04 to Now'!O$7,2)),'Lithium - Q&amp;V'!$E$8:$E$252,2))*1000</f>
        <v>247422.00000000003</v>
      </c>
      <c r="P83" s="891">
        <f>(SUMIFS('Lithium - Q&amp;V'!$C$8:$C$252,'Lithium - Q&amp;V'!$D$8:$D$252,LEFT('FY Q&amp;V 2003-04 to Now'!O$7,4),'Lithium - Q&amp;V'!$E$8:$E$252,3)+
SUMIFS('Lithium - Q&amp;V'!$C$8:$C$252,'Lithium - Q&amp;V'!$D$8:$D$252,LEFT('FY Q&amp;V 2003-04 to Now'!O$7,4),'Lithium - Q&amp;V'!$E$8:$E$252,4)+
SUMIFS('Lithium - Q&amp;V'!$C$8:$C$252,'Lithium - Q&amp;V'!$D$8:$D$252,CONCATENATE("20",RIGHT('FY Q&amp;V 2003-04 to Now'!O$7,2)),'Lithium - Q&amp;V'!$E$8:$E$252,1)+
SUMIFS('Lithium - Q&amp;V'!$C$8:$C$252,'Lithium - Q&amp;V'!$D$8:$D$252,CONCATENATE("20",RIGHT('FY Q&amp;V 2003-04 to Now'!O$7,2)),'Lithium - Q&amp;V'!$E$8:$E$252,2))*1000000</f>
        <v>73436811</v>
      </c>
      <c r="Q83" s="890">
        <f>(SUMIFS('Lithium - Q&amp;V'!$B$8:$B$252,'Lithium - Q&amp;V'!$D$8:$D$252,LEFT('FY Q&amp;V 2003-04 to Now'!Q$7,4),'Lithium - Q&amp;V'!$E$8:$E$252,3)+
SUMIFS('Lithium - Q&amp;V'!$B$8:$B$252,'Lithium - Q&amp;V'!$D$8:$D$252,LEFT('FY Q&amp;V 2003-04 to Now'!Q$7,4),'Lithium - Q&amp;V'!$E$8:$E$252,4)+
SUMIFS('Lithium - Q&amp;V'!$B$8:$B$252,'Lithium - Q&amp;V'!$D$8:$D$252,CONCATENATE("20",RIGHT('FY Q&amp;V 2003-04 to Now'!Q$7,2)),'Lithium - Q&amp;V'!$E$8:$E$252,1)+
SUMIFS('Lithium - Q&amp;V'!$B$8:$B$252,'Lithium - Q&amp;V'!$D$8:$D$252,CONCATENATE("20",RIGHT('FY Q&amp;V 2003-04 to Now'!Q$7,2)),'Lithium - Q&amp;V'!$E$8:$E$252,2))*1000</f>
        <v>352417.69999999995</v>
      </c>
      <c r="R83" s="891">
        <f>(SUMIFS('Lithium - Q&amp;V'!$C$8:$C$252,'Lithium - Q&amp;V'!$D$8:$D$252,LEFT('FY Q&amp;V 2003-04 to Now'!Q$7,4),'Lithium - Q&amp;V'!$E$8:$E$252,3)+
SUMIFS('Lithium - Q&amp;V'!$C$8:$C$252,'Lithium - Q&amp;V'!$D$8:$D$252,LEFT('FY Q&amp;V 2003-04 to Now'!Q$7,4),'Lithium - Q&amp;V'!$E$8:$E$252,4)+
SUMIFS('Lithium - Q&amp;V'!$C$8:$C$252,'Lithium - Q&amp;V'!$D$8:$D$252,CONCATENATE("20",RIGHT('FY Q&amp;V 2003-04 to Now'!Q$7,2)),'Lithium - Q&amp;V'!$E$8:$E$252,1)+
SUMIFS('Lithium - Q&amp;V'!$C$8:$C$252,'Lithium - Q&amp;V'!$D$8:$D$252,CONCATENATE("20",RIGHT('FY Q&amp;V 2003-04 to Now'!Q$7,2)),'Lithium - Q&amp;V'!$E$8:$E$252,2))*1000000</f>
        <v>103317679.97</v>
      </c>
      <c r="S83" s="890">
        <f>(SUMIFS('Lithium - Q&amp;V'!$B$8:$B$252,'Lithium - Q&amp;V'!$D$8:$D$252,LEFT('FY Q&amp;V 2003-04 to Now'!S$7,4),'Lithium - Q&amp;V'!$E$8:$E$252,3)+
SUMIFS('Lithium - Q&amp;V'!$B$8:$B$252,'Lithium - Q&amp;V'!$D$8:$D$252,LEFT('FY Q&amp;V 2003-04 to Now'!S$7,4),'Lithium - Q&amp;V'!$E$8:$E$252,4)+
SUMIFS('Lithium - Q&amp;V'!$B$8:$B$252,'Lithium - Q&amp;V'!$D$8:$D$252,CONCATENATE("20",RIGHT('FY Q&amp;V 2003-04 to Now'!S$7,2)),'Lithium - Q&amp;V'!$E$8:$E$252,1)+
SUMIFS('Lithium - Q&amp;V'!$B$8:$B$252,'Lithium - Q&amp;V'!$D$8:$D$252,CONCATENATE("20",RIGHT('FY Q&amp;V 2003-04 to Now'!S$7,2)),'Lithium - Q&amp;V'!$E$8:$E$252,2))*1000</f>
        <v>461120.81</v>
      </c>
      <c r="T83" s="891">
        <f>(SUMIFS('Lithium - Q&amp;V'!$C$8:$C$252,'Lithium - Q&amp;V'!$D$8:$D$252,LEFT('FY Q&amp;V 2003-04 to Now'!S$7,4),'Lithium - Q&amp;V'!$E$8:$E$252,3)+
SUMIFS('Lithium - Q&amp;V'!$C$8:$C$252,'Lithium - Q&amp;V'!$D$8:$D$252,LEFT('FY Q&amp;V 2003-04 to Now'!S$7,4),'Lithium - Q&amp;V'!$E$8:$E$252,4)+
SUMIFS('Lithium - Q&amp;V'!$C$8:$C$252,'Lithium - Q&amp;V'!$D$8:$D$252,CONCATENATE("20",RIGHT('FY Q&amp;V 2003-04 to Now'!S$7,2)),'Lithium - Q&amp;V'!$E$8:$E$252,1)+
SUMIFS('Lithium - Q&amp;V'!$C$8:$C$252,'Lithium - Q&amp;V'!$D$8:$D$252,CONCATENATE("20",RIGHT('FY Q&amp;V 2003-04 to Now'!S$7,2)),'Lithium - Q&amp;V'!$E$8:$E$252,2))*1000000</f>
        <v>138413821.05999997</v>
      </c>
      <c r="U83" s="890">
        <f>(SUMIFS('Lithium - Q&amp;V'!$B$8:$B$252,'Lithium - Q&amp;V'!$D$8:$D$252,LEFT('FY Q&amp;V 2003-04 to Now'!U$7,4),'Lithium - Q&amp;V'!$E$8:$E$252,3)+
SUMIFS('Lithium - Q&amp;V'!$B$8:$B$252,'Lithium - Q&amp;V'!$D$8:$D$252,LEFT('FY Q&amp;V 2003-04 to Now'!U$7,4),'Lithium - Q&amp;V'!$E$8:$E$252,4)+
SUMIFS('Lithium - Q&amp;V'!$B$8:$B$252,'Lithium - Q&amp;V'!$D$8:$D$252,CONCATENATE("20",RIGHT('FY Q&amp;V 2003-04 to Now'!U$7,2)),'Lithium - Q&amp;V'!$E$8:$E$252,1)+
SUMIFS('Lithium - Q&amp;V'!$B$8:$B$252,'Lithium - Q&amp;V'!$D$8:$D$252,CONCATENATE("20",RIGHT('FY Q&amp;V 2003-04 to Now'!U$7,2)),'Lithium - Q&amp;V'!$E$8:$E$252,2))*1000</f>
        <v>485878.88999999996</v>
      </c>
      <c r="V83" s="891">
        <f>(SUMIFS('Lithium - Q&amp;V'!$C$8:$C$252,'Lithium - Q&amp;V'!$D$8:$D$252,LEFT('FY Q&amp;V 2003-04 to Now'!U$7,4),'Lithium - Q&amp;V'!$E$8:$E$252,3)+
SUMIFS('Lithium - Q&amp;V'!$C$8:$C$252,'Lithium - Q&amp;V'!$D$8:$D$252,LEFT('FY Q&amp;V 2003-04 to Now'!U$7,4),'Lithium - Q&amp;V'!$E$8:$E$252,4)+
SUMIFS('Lithium - Q&amp;V'!$C$8:$C$252,'Lithium - Q&amp;V'!$D$8:$D$252,CONCATENATE("20",RIGHT('FY Q&amp;V 2003-04 to Now'!U$7,2)),'Lithium - Q&amp;V'!$E$8:$E$252,1)+
SUMIFS('Lithium - Q&amp;V'!$C$8:$C$252,'Lithium - Q&amp;V'!$D$8:$D$252,CONCATENATE("20",RIGHT('FY Q&amp;V 2003-04 to Now'!U$7,2)),'Lithium - Q&amp;V'!$E$8:$E$252,2))*1000000</f>
        <v>178786684.34999999</v>
      </c>
      <c r="W83" s="890">
        <f>(SUMIFS('Lithium - Q&amp;V'!$B$8:$B$252,'Lithium - Q&amp;V'!$D$8:$D$252,LEFT('FY Q&amp;V 2003-04 to Now'!W$7,4),'Lithium - Q&amp;V'!$E$8:$E$252,3)+
SUMIFS('Lithium - Q&amp;V'!$B$8:$B$252,'Lithium - Q&amp;V'!$D$8:$D$252,LEFT('FY Q&amp;V 2003-04 to Now'!W$7,4),'Lithium - Q&amp;V'!$E$8:$E$252,4)+
SUMIFS('Lithium - Q&amp;V'!$B$8:$B$252,'Lithium - Q&amp;V'!$D$8:$D$252,CONCATENATE("20",RIGHT('FY Q&amp;V 2003-04 to Now'!W$7,2)),'Lithium - Q&amp;V'!$E$8:$E$252,1)+
SUMIFS('Lithium - Q&amp;V'!$B$8:$B$252,'Lithium - Q&amp;V'!$D$8:$D$252,CONCATENATE("20",RIGHT('FY Q&amp;V 2003-04 to Now'!W$7,2)),'Lithium - Q&amp;V'!$E$8:$E$252,2))*1000</f>
        <v>342065</v>
      </c>
      <c r="X83" s="891">
        <f>(SUMIFS('Lithium - Q&amp;V'!$C$8:$C$252,'Lithium - Q&amp;V'!$D$8:$D$252,LEFT('FY Q&amp;V 2003-04 to Now'!W$7,4),'Lithium - Q&amp;V'!$E$8:$E$252,3)+
SUMIFS('Lithium - Q&amp;V'!$C$8:$C$252,'Lithium - Q&amp;V'!$D$8:$D$252,LEFT('FY Q&amp;V 2003-04 to Now'!W$7,4),'Lithium - Q&amp;V'!$E$8:$E$252,4)+
SUMIFS('Lithium - Q&amp;V'!$C$8:$C$252,'Lithium - Q&amp;V'!$D$8:$D$252,CONCATENATE("20",RIGHT('FY Q&amp;V 2003-04 to Now'!W$7,2)),'Lithium - Q&amp;V'!$E$8:$E$252,1)+
SUMIFS('Lithium - Q&amp;V'!$C$8:$C$252,'Lithium - Q&amp;V'!$D$8:$D$252,CONCATENATE("20",RIGHT('FY Q&amp;V 2003-04 to Now'!W$7,2)),'Lithium - Q&amp;V'!$E$8:$E$252,2))*1000000</f>
        <v>150564377.63999999</v>
      </c>
      <c r="Y83" s="890">
        <f>(SUMIFS('Lithium - Q&amp;V'!$B$8:$B$252,'Lithium - Q&amp;V'!$D$8:$D$252,LEFT('FY Q&amp;V 2003-04 to Now'!Y$7,4),'Lithium - Q&amp;V'!$E$8:$E$252,3)+
SUMIFS('Lithium - Q&amp;V'!$B$8:$B$252,'Lithium - Q&amp;V'!$D$8:$D$252,LEFT('FY Q&amp;V 2003-04 to Now'!Y$7,4),'Lithium - Q&amp;V'!$E$8:$E$252,4)+
SUMIFS('Lithium - Q&amp;V'!$B$8:$B$252,'Lithium - Q&amp;V'!$D$8:$D$252,CONCATENATE("20",RIGHT('FY Q&amp;V 2003-04 to Now'!Y$7,2)),'Lithium - Q&amp;V'!$E$8:$E$252,1)+
SUMIFS('Lithium - Q&amp;V'!$B$8:$B$252,'Lithium - Q&amp;V'!$D$8:$D$252,CONCATENATE("20",RIGHT('FY Q&amp;V 2003-04 to Now'!Y$7,2)),'Lithium - Q&amp;V'!$E$8:$E$252,2))*1000</f>
        <v>489073.99999999994</v>
      </c>
      <c r="Z83" s="891">
        <f>(SUMIFS('Lithium - Q&amp;V'!$C$8:$C$252,'Lithium - Q&amp;V'!$D$8:$D$252,LEFT('FY Q&amp;V 2003-04 to Now'!Y$7,4),'Lithium - Q&amp;V'!$E$8:$E$252,3)+
SUMIFS('Lithium - Q&amp;V'!$C$8:$C$252,'Lithium - Q&amp;V'!$D$8:$D$252,LEFT('FY Q&amp;V 2003-04 to Now'!Y$7,4),'Lithium - Q&amp;V'!$E$8:$E$252,4)+
SUMIFS('Lithium - Q&amp;V'!$C$8:$C$252,'Lithium - Q&amp;V'!$D$8:$D$252,CONCATENATE("20",RIGHT('FY Q&amp;V 2003-04 to Now'!Y$7,2)),'Lithium - Q&amp;V'!$E$8:$E$252,1)+
SUMIFS('Lithium - Q&amp;V'!$C$8:$C$252,'Lithium - Q&amp;V'!$D$8:$D$252,CONCATENATE("20",RIGHT('FY Q&amp;V 2003-04 to Now'!Y$7,2)),'Lithium - Q&amp;V'!$E$8:$E$252,2))*1000000</f>
        <v>245874387</v>
      </c>
      <c r="AA83" s="890">
        <f>(SUMIFS('Lithium - Q&amp;V'!$B$8:$B$252,'Lithium - Q&amp;V'!$D$8:$D$252,LEFT('FY Q&amp;V 2003-04 to Now'!AA$7,4),'Lithium - Q&amp;V'!$E$8:$E$252,3)+
SUMIFS('Lithium - Q&amp;V'!$B$8:$B$252,'Lithium - Q&amp;V'!$D$8:$D$252,LEFT('FY Q&amp;V 2003-04 to Now'!AA$7,4),'Lithium - Q&amp;V'!$E$8:$E$252,4)+
SUMIFS('Lithium - Q&amp;V'!$B$8:$B$252,'Lithium - Q&amp;V'!$D$8:$D$252,CONCATENATE("20",RIGHT('FY Q&amp;V 2003-04 to Now'!AA$7,2)),'Lithium - Q&amp;V'!$E$8:$E$252,1)+
SUMIFS('Lithium - Q&amp;V'!$B$8:$B$252,'Lithium - Q&amp;V'!$D$8:$D$252,CONCATENATE("20",RIGHT('FY Q&amp;V 2003-04 to Now'!AA$7,2)),'Lithium - Q&amp;V'!$E$8:$E$252,2))*1000</f>
        <v>465817</v>
      </c>
      <c r="AB83" s="891">
        <f>(SUMIFS('Lithium - Q&amp;V'!$C$8:$C$252,'Lithium - Q&amp;V'!$D$8:$D$252,LEFT('FY Q&amp;V 2003-04 to Now'!AA$7,4),'Lithium - Q&amp;V'!$E$8:$E$252,3)+
SUMIFS('Lithium - Q&amp;V'!$C$8:$C$252,'Lithium - Q&amp;V'!$D$8:$D$252,LEFT('FY Q&amp;V 2003-04 to Now'!AA$7,4),'Lithium - Q&amp;V'!$E$8:$E$252,4)+
SUMIFS('Lithium - Q&amp;V'!$C$8:$C$252,'Lithium - Q&amp;V'!$D$8:$D$252,CONCATENATE("20",RIGHT('FY Q&amp;V 2003-04 to Now'!AA$7,2)),'Lithium - Q&amp;V'!$E$8:$E$252,1)+
SUMIFS('Lithium - Q&amp;V'!$C$8:$C$252,'Lithium - Q&amp;V'!$D$8:$D$252,CONCATENATE("20",RIGHT('FY Q&amp;V 2003-04 to Now'!AA$7,2)),'Lithium - Q&amp;V'!$E$8:$E$252,2))*1000000</f>
        <v>260721540</v>
      </c>
      <c r="AC83" s="890">
        <f>(SUMIFS('Lithium - Q&amp;V'!$B$8:$B$252,'Lithium - Q&amp;V'!$D$8:$D$252,LEFT('FY Q&amp;V 2003-04 to Now'!AC$7,4),'Lithium - Q&amp;V'!$E$8:$E$252,3)+
SUMIFS('Lithium - Q&amp;V'!$B$8:$B$252,'Lithium - Q&amp;V'!$D$8:$D$252,LEFT('FY Q&amp;V 2003-04 to Now'!AC$7,4),'Lithium - Q&amp;V'!$E$8:$E$252,4)+
SUMIFS('Lithium - Q&amp;V'!$B$8:$B$252,'Lithium - Q&amp;V'!$D$8:$D$252,CONCATENATE("20",RIGHT('FY Q&amp;V 2003-04 to Now'!AC$7,2)),'Lithium - Q&amp;V'!$E$8:$E$252,1)+
SUMIFS('Lithium - Q&amp;V'!$B$8:$B$252,'Lithium - Q&amp;V'!$D$8:$D$252,CONCATENATE("20",RIGHT('FY Q&amp;V 2003-04 to Now'!AC$7,2)),'Lithium - Q&amp;V'!$E$8:$E$252,2))*1000</f>
        <v>914056.27500000002</v>
      </c>
      <c r="AD83" s="891">
        <f>(SUMIFS('Lithium - Q&amp;V'!$C$8:$C$252,'Lithium - Q&amp;V'!$D$8:$D$252,LEFT('FY Q&amp;V 2003-04 to Now'!AC$7,4),'Lithium - Q&amp;V'!$E$8:$E$252,3)+
SUMIFS('Lithium - Q&amp;V'!$C$8:$C$252,'Lithium - Q&amp;V'!$D$8:$D$252,LEFT('FY Q&amp;V 2003-04 to Now'!AC$7,4),'Lithium - Q&amp;V'!$E$8:$E$252,4)+
SUMIFS('Lithium - Q&amp;V'!$C$8:$C$252,'Lithium - Q&amp;V'!$D$8:$D$252,CONCATENATE("20",RIGHT('FY Q&amp;V 2003-04 to Now'!AC$7,2)),'Lithium - Q&amp;V'!$E$8:$E$252,1)+
SUMIFS('Lithium - Q&amp;V'!$C$8:$C$252,'Lithium - Q&amp;V'!$D$8:$D$252,CONCATENATE("20",RIGHT('FY Q&amp;V 2003-04 to Now'!AC$7,2)),'Lithium - Q&amp;V'!$E$8:$E$252,2))*1000000</f>
        <v>595472095</v>
      </c>
      <c r="AE83" s="1308">
        <f>(SUMIFS('Lithium - Q&amp;V'!$B$8:$B$252,'Lithium - Q&amp;V'!$D$8:$D$252,LEFT('FY Q&amp;V 2003-04 to Now'!AE$7,4),'Lithium - Q&amp;V'!$E$8:$E$252,3)+
SUMIFS('Lithium - Q&amp;V'!$B$8:$B$252,'Lithium - Q&amp;V'!$D$8:$D$252,LEFT('FY Q&amp;V 2003-04 to Now'!AE$7,4),'Lithium - Q&amp;V'!$E$8:$E$252,4)+
SUMIFS('Lithium - Q&amp;V'!$B$8:$B$252,'Lithium - Q&amp;V'!$D$8:$D$252,CONCATENATE("20",RIGHT('FY Q&amp;V 2003-04 to Now'!AE$7,2)),'Lithium - Q&amp;V'!$E$8:$E$252,1)+
SUMIFS('Lithium - Q&amp;V'!$B$8:$B$252,'Lithium - Q&amp;V'!$D$8:$D$252,CONCATENATE("20",RIGHT('FY Q&amp;V 2003-04 to Now'!AE$7,2)),'Lithium - Q&amp;V'!$E$8:$E$252,2))*1000</f>
        <v>2138233.5175000001</v>
      </c>
      <c r="AF83" s="891">
        <f>(SUMIFS('Lithium - Q&amp;V'!$C$8:$C$252,'Lithium - Q&amp;V'!$D$8:$D$252,LEFT('FY Q&amp;V 2003-04 to Now'!AE$7,4),'Lithium - Q&amp;V'!$E$8:$E$252,3)+
SUMIFS('Lithium - Q&amp;V'!$C$8:$C$252,'Lithium - Q&amp;V'!$D$8:$D$252,LEFT('FY Q&amp;V 2003-04 to Now'!AE$7,4),'Lithium - Q&amp;V'!$E$8:$E$252,4)+
SUMIFS('Lithium - Q&amp;V'!$C$8:$C$252,'Lithium - Q&amp;V'!$D$8:$D$252,CONCATENATE("20",RIGHT('FY Q&amp;V 2003-04 to Now'!AE$7,2)),'Lithium - Q&amp;V'!$E$8:$E$252,1)+
SUMIFS('Lithium - Q&amp;V'!$C$8:$C$252,'Lithium - Q&amp;V'!$D$8:$D$252,CONCATENATE("20",RIGHT('FY Q&amp;V 2003-04 to Now'!AE$7,2)),'Lithium - Q&amp;V'!$E$8:$E$252,2))*1000000</f>
        <v>1698706242</v>
      </c>
      <c r="AG83" s="1308">
        <f>(SUMIFS('Lithium - Q&amp;V'!$B$8:$B$252,'Lithium - Q&amp;V'!$D$8:$D$252,LEFT('FY Q&amp;V 2003-04 to Now'!AG$7,4),'Lithium - Q&amp;V'!$E$8:$E$252,3)+
SUMIFS('Lithium - Q&amp;V'!$B$8:$B$252,'Lithium - Q&amp;V'!$D$8:$D$252,LEFT('FY Q&amp;V 2003-04 to Now'!AG$7,4),'Lithium - Q&amp;V'!$E$8:$E$252,4)+
SUMIFS('Lithium - Q&amp;V'!$B$8:$B$252,'Lithium - Q&amp;V'!$D$8:$D$252,CONCATENATE("20",RIGHT('FY Q&amp;V 2003-04 to Now'!AG$7,2)),'Lithium - Q&amp;V'!$E$8:$E$252,1)+
SUMIFS('Lithium - Q&amp;V'!$B$8:$B$252,'Lithium - Q&amp;V'!$D$8:$D$252,CONCATENATE("20",RIGHT('FY Q&amp;V 2003-04 to Now'!AG$7,2)),'Lithium - Q&amp;V'!$E$8:$E$252,2))*1000</f>
        <v>1687987.9654999999</v>
      </c>
      <c r="AH83" s="1306">
        <f>(SUMIFS('Lithium - Q&amp;V'!$C$8:$C$252,'Lithium - Q&amp;V'!$D$8:$D$252,LEFT('FY Q&amp;V 2003-04 to Now'!AG$7,4),'Lithium - Q&amp;V'!$E$8:$E$252,3)+
SUMIFS('Lithium - Q&amp;V'!$C$8:$C$252,'Lithium - Q&amp;V'!$D$8:$D$252,LEFT('FY Q&amp;V 2003-04 to Now'!AG$7,4),'Lithium - Q&amp;V'!$E$8:$E$252,4)+
SUMIFS('Lithium - Q&amp;V'!$C$8:$C$252,'Lithium - Q&amp;V'!$D$8:$D$252,CONCATENATE("20",RIGHT('FY Q&amp;V 2003-04 to Now'!AG$7,2)),'Lithium - Q&amp;V'!$E$8:$E$252,1)+
SUMIFS('Lithium - Q&amp;V'!$C$8:$C$252,'Lithium - Q&amp;V'!$D$8:$D$252,CONCATENATE("20",RIGHT('FY Q&amp;V 2003-04 to Now'!AG$7,2)),'Lithium - Q&amp;V'!$E$8:$E$252,2))*1000000</f>
        <v>1653297028</v>
      </c>
      <c r="AI83" s="891">
        <f>SUMIF($C$9:AH$9,1,$C83:AH83)</f>
        <v>8752682.3080000002</v>
      </c>
      <c r="AJ83" s="891">
        <f>SUMIF($C$9:AH$9,0,$C83:AH83)</f>
        <v>5402314885.3500004</v>
      </c>
    </row>
    <row r="84" spans="1:36">
      <c r="A84" s="887" t="s">
        <v>355</v>
      </c>
      <c r="B84" s="848" t="s">
        <v>110</v>
      </c>
      <c r="C84" s="890">
        <v>4714.8500000000004</v>
      </c>
      <c r="D84" s="891">
        <v>142813138</v>
      </c>
      <c r="E84" s="890">
        <v>1063.78</v>
      </c>
      <c r="F84" s="891">
        <v>162828445</v>
      </c>
      <c r="G84" s="890">
        <v>871.41</v>
      </c>
      <c r="H84" s="891">
        <v>137838966</v>
      </c>
      <c r="I84" s="890">
        <v>551.98</v>
      </c>
      <c r="J84" s="891">
        <v>104477616</v>
      </c>
      <c r="K84" s="890">
        <v>578.25</v>
      </c>
      <c r="L84" s="890" t="s">
        <v>273</v>
      </c>
      <c r="M84" s="890">
        <v>453.25</v>
      </c>
      <c r="N84" s="890" t="s">
        <v>273</v>
      </c>
      <c r="O84" s="890" t="s">
        <v>273</v>
      </c>
      <c r="P84" s="891" t="s">
        <v>273</v>
      </c>
      <c r="Q84" s="890">
        <v>94.98</v>
      </c>
      <c r="R84" s="891" t="s">
        <v>273</v>
      </c>
      <c r="S84" s="890">
        <v>346.55</v>
      </c>
      <c r="T84" s="891">
        <v>49931724</v>
      </c>
      <c r="U84" s="890">
        <v>201.22</v>
      </c>
      <c r="V84" s="891">
        <v>17940739</v>
      </c>
      <c r="W84" s="890">
        <v>58</v>
      </c>
      <c r="X84" s="891">
        <v>4074774</v>
      </c>
      <c r="Y84" s="890">
        <v>70.37</v>
      </c>
      <c r="Z84" s="890" t="s">
        <v>273</v>
      </c>
      <c r="AA84" s="890">
        <v>182.9</v>
      </c>
      <c r="AB84" s="890" t="s">
        <v>273</v>
      </c>
      <c r="AC84" s="890"/>
      <c r="AD84" s="890" t="s">
        <v>273</v>
      </c>
      <c r="AE84" s="1308">
        <v>81.406000000000006</v>
      </c>
      <c r="AF84" s="890" t="s">
        <v>273</v>
      </c>
      <c r="AG84" s="1308">
        <v>191.46999999999997</v>
      </c>
      <c r="AH84" s="1305" t="s">
        <v>273</v>
      </c>
      <c r="AI84" s="890" t="s">
        <v>273</v>
      </c>
      <c r="AJ84" s="890" t="s">
        <v>273</v>
      </c>
    </row>
    <row r="85" spans="1:36">
      <c r="A85" s="887" t="s">
        <v>356</v>
      </c>
      <c r="B85" s="848" t="s">
        <v>110</v>
      </c>
      <c r="C85" s="890">
        <v>538.17999999999995</v>
      </c>
      <c r="D85" s="891">
        <v>4551176</v>
      </c>
      <c r="E85" s="890">
        <v>383.79</v>
      </c>
      <c r="F85" s="891">
        <v>4107192</v>
      </c>
      <c r="G85" s="890">
        <v>609.91999999999996</v>
      </c>
      <c r="H85" s="891">
        <v>5919842</v>
      </c>
      <c r="I85" s="890">
        <v>458.83</v>
      </c>
      <c r="J85" s="891">
        <v>6245046</v>
      </c>
      <c r="K85" s="890">
        <v>117.59</v>
      </c>
      <c r="L85" s="890" t="s">
        <v>273</v>
      </c>
      <c r="M85" s="890">
        <v>175.43</v>
      </c>
      <c r="N85" s="890" t="s">
        <v>273</v>
      </c>
      <c r="O85" s="890">
        <v>107.1</v>
      </c>
      <c r="P85" s="891">
        <v>1300631</v>
      </c>
      <c r="Q85" s="890">
        <v>21.53</v>
      </c>
      <c r="R85" s="891">
        <v>281633</v>
      </c>
      <c r="S85" s="890">
        <v>62.19</v>
      </c>
      <c r="T85" s="891">
        <v>1372580</v>
      </c>
      <c r="U85" s="890">
        <v>193.05</v>
      </c>
      <c r="V85" s="891">
        <v>2703339</v>
      </c>
      <c r="W85" s="890" t="s">
        <v>580</v>
      </c>
      <c r="X85" s="890" t="s">
        <v>273</v>
      </c>
      <c r="Y85" s="890">
        <v>14.19</v>
      </c>
      <c r="Z85" s="890" t="s">
        <v>273</v>
      </c>
      <c r="AA85" s="890">
        <v>21.73</v>
      </c>
      <c r="AB85" s="891" t="s">
        <v>273</v>
      </c>
      <c r="AC85" s="890"/>
      <c r="AD85" s="890" t="s">
        <v>273</v>
      </c>
      <c r="AE85" s="1308">
        <v>61.510000000000005</v>
      </c>
      <c r="AF85" s="890" t="s">
        <v>273</v>
      </c>
      <c r="AG85" s="1308">
        <v>82.693999999999988</v>
      </c>
      <c r="AH85" s="1305" t="s">
        <v>273</v>
      </c>
      <c r="AI85" s="890" t="s">
        <v>273</v>
      </c>
      <c r="AJ85" s="890" t="s">
        <v>273</v>
      </c>
    </row>
    <row r="86" spans="1:36">
      <c r="A86" s="888" t="s">
        <v>323</v>
      </c>
      <c r="B86" s="880"/>
      <c r="C86" s="896"/>
      <c r="D86" s="891">
        <v>168745917</v>
      </c>
      <c r="E86" s="890"/>
      <c r="F86" s="891">
        <v>190401808</v>
      </c>
      <c r="G86" s="890"/>
      <c r="H86" s="891">
        <v>180395270</v>
      </c>
      <c r="I86" s="890"/>
      <c r="J86" s="891">
        <v>182923606</v>
      </c>
      <c r="K86" s="890"/>
      <c r="L86" s="891">
        <v>174630111</v>
      </c>
      <c r="M86" s="890"/>
      <c r="N86" s="891">
        <v>162596005</v>
      </c>
      <c r="O86" s="890"/>
      <c r="P86" s="891">
        <v>74737442</v>
      </c>
      <c r="Q86" s="890"/>
      <c r="R86" s="891">
        <v>131425734</v>
      </c>
      <c r="S86" s="890"/>
      <c r="T86" s="891">
        <v>189718125</v>
      </c>
      <c r="U86" s="890"/>
      <c r="V86" s="891">
        <v>199430762</v>
      </c>
      <c r="W86" s="890"/>
      <c r="X86" s="891">
        <v>154639152</v>
      </c>
      <c r="Y86" s="890"/>
      <c r="Z86" s="891">
        <v>251051748</v>
      </c>
      <c r="AA86" s="890"/>
      <c r="AB86" s="891">
        <v>269771196</v>
      </c>
      <c r="AC86" s="890"/>
      <c r="AD86" s="891">
        <v>605720928</v>
      </c>
      <c r="AE86" s="1308"/>
      <c r="AF86" s="891">
        <v>1717016340</v>
      </c>
      <c r="AG86" s="1308"/>
      <c r="AH86" s="1306">
        <v>1691841013</v>
      </c>
      <c r="AI86" s="891"/>
      <c r="AJ86" s="891">
        <f>SUMIF($C$9:AH$9,0,$C86:AH86)</f>
        <v>6345045157</v>
      </c>
    </row>
    <row r="87" spans="1:36">
      <c r="A87" s="596"/>
      <c r="B87" s="638"/>
      <c r="C87" s="895"/>
      <c r="D87" s="892"/>
      <c r="E87" s="895"/>
      <c r="F87" s="892"/>
      <c r="G87" s="895"/>
      <c r="H87" s="892"/>
      <c r="I87" s="895"/>
      <c r="J87" s="892"/>
      <c r="K87" s="895"/>
      <c r="L87" s="892"/>
      <c r="M87" s="895"/>
      <c r="N87" s="892"/>
      <c r="O87" s="895"/>
      <c r="P87" s="892"/>
      <c r="Q87" s="895"/>
      <c r="R87" s="892"/>
      <c r="S87" s="895"/>
      <c r="T87" s="892"/>
      <c r="U87" s="895"/>
      <c r="V87" s="892"/>
      <c r="W87" s="895"/>
      <c r="X87" s="892"/>
      <c r="Y87" s="895"/>
      <c r="Z87" s="892"/>
      <c r="AA87" s="895"/>
      <c r="AB87" s="892"/>
      <c r="AC87" s="892"/>
      <c r="AD87" s="892"/>
      <c r="AE87" s="1483"/>
      <c r="AF87" s="892"/>
      <c r="AG87" s="1483"/>
      <c r="AH87" s="892"/>
      <c r="AI87" s="954"/>
      <c r="AJ87" s="955"/>
    </row>
    <row r="88" spans="1:36">
      <c r="A88" s="885" t="s">
        <v>302</v>
      </c>
      <c r="B88" s="594" t="s">
        <v>110</v>
      </c>
      <c r="C88" s="895"/>
      <c r="D88" s="892">
        <v>94962593.399999991</v>
      </c>
      <c r="E88" s="895"/>
      <c r="F88" s="892">
        <v>148597696.28999999</v>
      </c>
      <c r="G88" s="895"/>
      <c r="H88" s="892">
        <v>138502553.34999999</v>
      </c>
      <c r="I88" s="895"/>
      <c r="J88" s="892">
        <v>201412298</v>
      </c>
      <c r="K88" s="895"/>
      <c r="L88" s="892">
        <v>461693384</v>
      </c>
      <c r="M88" s="895"/>
      <c r="N88" s="892">
        <v>59671943</v>
      </c>
      <c r="O88" s="895"/>
      <c r="P88" s="892">
        <v>44510961</v>
      </c>
      <c r="Q88" s="895"/>
      <c r="R88" s="892">
        <v>64129732</v>
      </c>
      <c r="S88" s="895"/>
      <c r="T88" s="892">
        <v>103198080</v>
      </c>
      <c r="U88" s="895"/>
      <c r="V88" s="892">
        <v>425002389</v>
      </c>
      <c r="W88" s="895"/>
      <c r="X88" s="892">
        <v>494402726</v>
      </c>
      <c r="Y88" s="895"/>
      <c r="Z88" s="892">
        <v>507533600</v>
      </c>
      <c r="AA88" s="895"/>
      <c r="AB88" s="892">
        <v>199236526</v>
      </c>
      <c r="AC88" s="892"/>
      <c r="AD88" s="892">
        <v>300923570</v>
      </c>
      <c r="AE88" s="1307"/>
      <c r="AF88" s="925">
        <v>365503055</v>
      </c>
      <c r="AG88" s="1737"/>
      <c r="AH88" s="925">
        <v>372074108</v>
      </c>
      <c r="AI88" s="954"/>
      <c r="AJ88" s="955">
        <f>SUMIF($C$9:AH$9,0,$C88:AH88)</f>
        <v>3981355215.04</v>
      </c>
    </row>
    <row r="89" spans="1:36">
      <c r="A89" s="885" t="s">
        <v>835</v>
      </c>
      <c r="B89" s="638"/>
      <c r="C89" s="895"/>
      <c r="D89" s="892"/>
      <c r="E89" s="895"/>
      <c r="F89" s="892"/>
      <c r="G89" s="895"/>
      <c r="H89" s="892"/>
      <c r="I89" s="895"/>
      <c r="J89" s="892"/>
      <c r="K89" s="895"/>
      <c r="L89" s="892"/>
      <c r="M89" s="895"/>
      <c r="N89" s="892"/>
      <c r="O89" s="895"/>
      <c r="P89" s="892"/>
      <c r="Q89" s="895"/>
      <c r="R89" s="892"/>
      <c r="S89" s="895"/>
      <c r="T89" s="892"/>
      <c r="U89" s="895"/>
      <c r="V89" s="892"/>
      <c r="W89" s="895"/>
      <c r="X89" s="892"/>
      <c r="Y89" s="895"/>
      <c r="Z89" s="892"/>
      <c r="AA89" s="895"/>
      <c r="AB89" s="892"/>
      <c r="AC89" s="892"/>
      <c r="AD89" s="892"/>
      <c r="AE89" s="1307"/>
      <c r="AF89" s="892"/>
      <c r="AG89" s="1307"/>
      <c r="AH89" s="892"/>
      <c r="AI89" s="954"/>
      <c r="AJ89" s="959"/>
    </row>
    <row r="90" spans="1:36">
      <c r="A90" s="847"/>
      <c r="B90" s="880"/>
      <c r="C90" s="896"/>
      <c r="D90" s="878"/>
      <c r="E90" s="896"/>
      <c r="F90" s="878"/>
      <c r="G90" s="896"/>
      <c r="H90" s="878"/>
      <c r="I90" s="896"/>
      <c r="J90" s="878"/>
      <c r="K90" s="896"/>
      <c r="L90" s="878"/>
      <c r="M90" s="896"/>
      <c r="N90" s="878"/>
      <c r="O90" s="896"/>
      <c r="P90" s="878"/>
      <c r="Q90" s="896"/>
      <c r="R90" s="878"/>
      <c r="S90" s="896"/>
      <c r="T90" s="878"/>
      <c r="U90" s="896"/>
      <c r="V90" s="878"/>
      <c r="W90" s="896"/>
      <c r="X90" s="878"/>
      <c r="Y90" s="896"/>
      <c r="Z90" s="878"/>
      <c r="AA90" s="896"/>
      <c r="AB90" s="878"/>
      <c r="AC90" s="878"/>
      <c r="AD90" s="878"/>
      <c r="AE90" s="1309"/>
      <c r="AF90" s="878"/>
      <c r="AG90" s="1309"/>
      <c r="AH90" s="878"/>
      <c r="AI90" s="953"/>
      <c r="AJ90" s="878"/>
    </row>
    <row r="91" spans="1:36">
      <c r="A91" s="884" t="s">
        <v>330</v>
      </c>
      <c r="B91" s="880"/>
      <c r="C91" s="896"/>
      <c r="D91" s="878">
        <f>D88+D86+D80+D78+D76+D74+D66++D58+D56+D54+D44+D42+D40+D38+D36+D34+D26+D22+D20+D12</f>
        <v>26487353901.121513</v>
      </c>
      <c r="E91" s="896"/>
      <c r="F91" s="878">
        <f>F88+F86+F80+F78+F76+F74+F66++F58+F56+F54+F44+F42+F40+F38+F36+F34+F26+F22+F20+F12</f>
        <v>33307443811.99062</v>
      </c>
      <c r="G91" s="896"/>
      <c r="H91" s="878">
        <f>H88+H86+H80+H78+H76+H74+H66++H58+H56+H54+H44+H42+H40+H38+H36+H34+H26+H22+H20+H12</f>
        <v>43157345256.754379</v>
      </c>
      <c r="I91" s="896"/>
      <c r="J91" s="878">
        <f>J88+J86+J80+J78+J76+J74+J66+J58+J56+J54+J44+J42+J40+J38+J36+J34+J26+J20+J12</f>
        <v>53893623853.75985</v>
      </c>
      <c r="K91" s="896"/>
      <c r="L91" s="878">
        <f>L88+L86+L80+L78+L76+L74+L66+L58+L56+L54+L44+L42+L40+L38+L36+L34+L26+L20+L12</f>
        <v>59976987755.315254</v>
      </c>
      <c r="M91" s="896"/>
      <c r="N91" s="878">
        <f>N88+N86+N80+N78+N76+N74+N66+N58+N56+N54+N44+N42+N40+N38+N36+N34+N26+N20+N12+N60</f>
        <v>71085231948.503983</v>
      </c>
      <c r="O91" s="896"/>
      <c r="P91" s="878">
        <f>P88+P86+P80+P78+P76+P74+P66+P58+P56+P54+P44+P42+P40+P38+P36+P34+P26+P20+P12+P60</f>
        <v>73116460565.422668</v>
      </c>
      <c r="Q91" s="896"/>
      <c r="R91" s="878">
        <f>R88+R86+R80+R78+R76+R74+R66+R58+R56+R54+R44+R42+R40+R38+R36+R34+R26+R20+R12+R60</f>
        <v>101359828103.35379</v>
      </c>
      <c r="S91" s="896"/>
      <c r="T91" s="878">
        <f>T88+T86+T80+T78+T76+T74+T66+T58+T56+T54+T44+T42+T40+T38+T36+T34+T26+T20+T12+T60</f>
        <v>105594886357.25594</v>
      </c>
      <c r="U91" s="896"/>
      <c r="V91" s="878">
        <f>V88+V86+V80+V78+V76+V74+V66+V58+V56+V54+V44+V42+V40+V38+V36+V34+V26+V20+V12</f>
        <v>101488122471.89572</v>
      </c>
      <c r="W91" s="896"/>
      <c r="X91" s="878">
        <f>X88+X86+X80+X78+X76+X74+X66+X58+X56+X54+X44+X42+X40+X38+X36+X34+X26+X20+X12</f>
        <v>121281118367.46315</v>
      </c>
      <c r="Y91" s="896"/>
      <c r="Z91" s="878">
        <f t="shared" ref="Z91:AD91" si="24">Z88+Z86+Z80+Z78+Z76+Z74+Z66+Z58+Z56+Z54+Z44+Z42+Z40+Z38+Z36+Z34+Z26+Z24+Z22+Z20+Z14</f>
        <v>100272139776.89069</v>
      </c>
      <c r="AA91" s="878"/>
      <c r="AB91" s="878">
        <f>AB88+AB86+AB80+AB78+AB76+AB74+AB66+AB58+AB56+AB54+AB44+AB42+AB40+AB38+AB36+AB34+AB26+AB24+AB22+AB20+AB14+AB60</f>
        <v>88289828779.527359</v>
      </c>
      <c r="AC91" s="878"/>
      <c r="AD91" s="878">
        <f t="shared" si="24"/>
        <v>105863770175.24342</v>
      </c>
      <c r="AE91" s="878"/>
      <c r="AF91" s="878">
        <f>AF88+AF86+AF80+AF78+AF76+AF74+AF66+AF58+AF56+AF54+AF44+AF42+AF40+AF38+AF34+AF26+AF24+AF22+AF20+AF14+AF36+AF60</f>
        <v>116175174907.6687</v>
      </c>
      <c r="AG91" s="878"/>
      <c r="AH91" s="878">
        <f>AH88+AH86+AH80+AH78+AH76+AH74+AH66+AH58+AH56+AH54+AH44+AH42+AH40+AH38+AH26+AH24+AH22+AH20+AH14+AH34+AH36+AH60</f>
        <v>149379018082.20111</v>
      </c>
      <c r="AI91" s="953"/>
      <c r="AJ91" s="878">
        <f>AJ88+AJ86+AJ80+AJ78+AJ76+AJ74+AJ66+AJ58+AJ56+AJ54+AJ44+AJ42+AJ40+AJ38+AJ34+AJ26+AJ24+AJ22+AJ20+AJ12</f>
        <v>1342178791129.3679</v>
      </c>
    </row>
    <row r="92" spans="1:36">
      <c r="A92" s="846"/>
      <c r="B92" s="880"/>
      <c r="C92" s="896"/>
      <c r="D92" s="878"/>
      <c r="E92" s="896"/>
      <c r="F92" s="878"/>
      <c r="G92" s="896"/>
      <c r="H92" s="878"/>
      <c r="I92" s="896"/>
      <c r="J92" s="878"/>
      <c r="K92" s="896"/>
      <c r="L92" s="878"/>
      <c r="M92" s="896"/>
      <c r="N92" s="878"/>
      <c r="O92" s="896"/>
      <c r="P92" s="878"/>
      <c r="Q92" s="896"/>
      <c r="R92" s="878"/>
      <c r="S92" s="896"/>
      <c r="T92" s="878"/>
      <c r="U92" s="896"/>
      <c r="V92" s="878"/>
      <c r="W92" s="896"/>
      <c r="X92" s="878"/>
      <c r="Y92" s="896"/>
      <c r="Z92" s="878"/>
      <c r="AA92" s="896"/>
      <c r="AB92" s="878"/>
      <c r="AC92" s="878"/>
      <c r="AD92" s="878"/>
      <c r="AE92" s="1309"/>
      <c r="AF92" s="878"/>
      <c r="AG92" s="1309"/>
      <c r="AH92" s="878"/>
      <c r="AI92" s="953"/>
      <c r="AJ92" s="879"/>
    </row>
    <row r="93" spans="1:36">
      <c r="A93" s="470"/>
      <c r="B93" s="621"/>
      <c r="C93" s="811"/>
      <c r="E93" s="811"/>
      <c r="G93" s="811"/>
      <c r="I93" s="811"/>
      <c r="K93" s="811"/>
      <c r="M93" s="811"/>
      <c r="O93" s="811"/>
      <c r="Q93" s="811"/>
      <c r="S93" s="811"/>
      <c r="U93" s="811"/>
      <c r="W93" s="811"/>
      <c r="Y93" s="811"/>
      <c r="AA93" s="811"/>
      <c r="AE93" s="1484"/>
      <c r="AH93" s="1214"/>
    </row>
    <row r="94" spans="1:36">
      <c r="A94" s="874"/>
      <c r="B94" s="874"/>
      <c r="C94" s="811"/>
      <c r="E94" s="811"/>
      <c r="G94" s="811"/>
      <c r="I94" s="811"/>
      <c r="K94" s="811"/>
      <c r="M94" s="811"/>
      <c r="O94" s="811"/>
      <c r="Q94" s="811"/>
      <c r="S94" s="811"/>
      <c r="U94" s="811"/>
      <c r="W94" s="811"/>
      <c r="Y94" s="811"/>
      <c r="AA94" s="811"/>
      <c r="AE94" s="1484"/>
      <c r="AF94" s="1214"/>
    </row>
    <row r="95" spans="1:36">
      <c r="C95" s="811"/>
      <c r="E95" s="811"/>
      <c r="G95" s="811"/>
      <c r="I95" s="811"/>
      <c r="K95" s="811"/>
      <c r="M95" s="811"/>
      <c r="O95" s="811"/>
      <c r="Q95" s="811"/>
      <c r="S95" s="811"/>
      <c r="U95" s="811"/>
      <c r="W95" s="811"/>
      <c r="Y95" s="811"/>
      <c r="AA95" s="811"/>
      <c r="AE95" s="1484"/>
    </row>
    <row r="96" spans="1:36">
      <c r="C96" s="811"/>
      <c r="E96" s="811"/>
      <c r="G96" s="811"/>
      <c r="I96" s="811"/>
      <c r="K96" s="811"/>
      <c r="M96" s="811"/>
      <c r="O96" s="811"/>
      <c r="Q96" s="811"/>
      <c r="S96" s="811"/>
      <c r="U96" s="811"/>
      <c r="W96" s="811"/>
      <c r="Y96" s="811"/>
      <c r="AA96" s="811"/>
      <c r="AE96" s="1484"/>
    </row>
    <row r="97" spans="3:34">
      <c r="C97" s="811"/>
      <c r="E97" s="811"/>
      <c r="G97" s="811"/>
      <c r="I97" s="811"/>
      <c r="K97" s="811"/>
      <c r="M97" s="811"/>
      <c r="O97" s="811"/>
      <c r="Q97" s="811"/>
      <c r="S97" s="811"/>
      <c r="U97" s="811"/>
      <c r="W97" s="811"/>
      <c r="Y97" s="811"/>
      <c r="Z97" s="407"/>
      <c r="AA97" s="811"/>
      <c r="AD97" s="407"/>
      <c r="AE97" s="1484"/>
      <c r="AF97" s="407"/>
      <c r="AH97" s="1214"/>
    </row>
    <row r="98" spans="3:34">
      <c r="C98" s="811"/>
      <c r="E98" s="811"/>
      <c r="G98" s="811"/>
      <c r="I98" s="811"/>
      <c r="K98" s="811"/>
      <c r="M98" s="811"/>
      <c r="O98" s="811"/>
      <c r="Q98" s="811"/>
      <c r="S98" s="811"/>
      <c r="U98" s="811"/>
      <c r="W98" s="811"/>
      <c r="Y98" s="811"/>
      <c r="AA98" s="811"/>
      <c r="AE98" s="1484"/>
    </row>
    <row r="99" spans="3:34">
      <c r="C99" s="811"/>
      <c r="E99" s="811"/>
      <c r="G99" s="811"/>
      <c r="I99" s="811"/>
      <c r="K99" s="811"/>
      <c r="M99" s="811"/>
      <c r="O99" s="811"/>
      <c r="Q99" s="811"/>
      <c r="S99" s="811"/>
      <c r="U99" s="811"/>
      <c r="W99" s="811"/>
      <c r="Y99" s="811"/>
      <c r="AA99" s="811"/>
      <c r="AB99" s="1214"/>
      <c r="AE99" s="1484"/>
    </row>
    <row r="100" spans="3:34">
      <c r="C100" s="811"/>
      <c r="E100" s="811"/>
      <c r="G100" s="811"/>
      <c r="I100" s="811"/>
      <c r="K100" s="811"/>
      <c r="M100" s="811"/>
      <c r="O100" s="811"/>
      <c r="Q100" s="811"/>
      <c r="S100" s="811"/>
      <c r="U100" s="811"/>
      <c r="W100" s="811"/>
      <c r="Y100" s="811"/>
      <c r="AA100" s="811"/>
      <c r="AE100" s="1484"/>
    </row>
    <row r="101" spans="3:34">
      <c r="C101" s="811"/>
      <c r="E101" s="811"/>
      <c r="G101" s="811"/>
      <c r="I101" s="811"/>
      <c r="K101" s="811"/>
      <c r="M101" s="811"/>
      <c r="O101" s="811"/>
      <c r="Q101" s="811"/>
      <c r="S101" s="811"/>
      <c r="U101" s="811"/>
      <c r="W101" s="811"/>
      <c r="Y101" s="811"/>
      <c r="AA101" s="811"/>
      <c r="AE101" s="1484"/>
    </row>
    <row r="102" spans="3:34">
      <c r="C102" s="811"/>
      <c r="E102" s="811"/>
      <c r="G102" s="811"/>
      <c r="I102" s="811"/>
      <c r="K102" s="811"/>
      <c r="M102" s="811"/>
      <c r="O102" s="811"/>
      <c r="Q102" s="811"/>
      <c r="S102" s="811"/>
      <c r="U102" s="811"/>
      <c r="W102" s="811"/>
      <c r="Y102" s="811"/>
      <c r="AA102" s="811"/>
      <c r="AE102" s="1484"/>
    </row>
    <row r="103" spans="3:34">
      <c r="C103" s="811"/>
      <c r="E103" s="811"/>
      <c r="G103" s="811"/>
      <c r="I103" s="811"/>
      <c r="K103" s="811"/>
      <c r="M103" s="811"/>
      <c r="O103" s="811"/>
      <c r="Q103" s="811"/>
      <c r="S103" s="811"/>
      <c r="U103" s="811"/>
      <c r="W103" s="811"/>
      <c r="Y103" s="811"/>
      <c r="AA103" s="811"/>
      <c r="AE103" s="1484"/>
    </row>
    <row r="104" spans="3:34">
      <c r="C104" s="811"/>
      <c r="E104" s="811"/>
      <c r="G104" s="811"/>
      <c r="I104" s="811"/>
      <c r="K104" s="811"/>
      <c r="M104" s="811"/>
      <c r="O104" s="811"/>
      <c r="Q104" s="811"/>
      <c r="S104" s="811"/>
      <c r="U104" s="811"/>
      <c r="W104" s="811"/>
      <c r="Y104" s="811"/>
      <c r="AA104" s="811"/>
      <c r="AE104" s="1484"/>
    </row>
    <row r="105" spans="3:34">
      <c r="C105" s="811"/>
      <c r="E105" s="811"/>
      <c r="G105" s="811"/>
      <c r="I105" s="811"/>
      <c r="K105" s="811"/>
      <c r="M105" s="811"/>
      <c r="O105" s="811"/>
      <c r="Q105" s="811"/>
      <c r="S105" s="811"/>
      <c r="U105" s="811"/>
      <c r="W105" s="811"/>
      <c r="Y105" s="811"/>
      <c r="AA105" s="811"/>
      <c r="AE105" s="1484"/>
    </row>
    <row r="106" spans="3:34">
      <c r="C106" s="811"/>
      <c r="E106" s="811"/>
      <c r="G106" s="811"/>
      <c r="I106" s="811"/>
      <c r="K106" s="811"/>
      <c r="M106" s="811"/>
      <c r="O106" s="811"/>
      <c r="Q106" s="811"/>
      <c r="S106" s="811"/>
      <c r="U106" s="811"/>
      <c r="W106" s="811"/>
      <c r="Y106" s="811"/>
      <c r="AA106" s="811"/>
      <c r="AE106" s="1484"/>
    </row>
    <row r="107" spans="3:34">
      <c r="C107" s="811"/>
      <c r="E107" s="811"/>
      <c r="G107" s="811"/>
      <c r="I107" s="811"/>
      <c r="K107" s="811"/>
      <c r="M107" s="811"/>
      <c r="O107" s="811"/>
      <c r="Q107" s="811"/>
      <c r="S107" s="811"/>
      <c r="U107" s="811"/>
      <c r="W107" s="811"/>
      <c r="Y107" s="811"/>
      <c r="AA107" s="811"/>
      <c r="AE107" s="1484"/>
    </row>
    <row r="108" spans="3:34">
      <c r="C108" s="811"/>
      <c r="E108" s="811"/>
      <c r="G108" s="811"/>
      <c r="I108" s="811"/>
      <c r="K108" s="811"/>
      <c r="M108" s="811"/>
      <c r="O108" s="811"/>
      <c r="Q108" s="811"/>
      <c r="S108" s="811"/>
      <c r="U108" s="811"/>
      <c r="W108" s="811"/>
      <c r="Y108" s="811"/>
      <c r="AA108" s="811"/>
    </row>
    <row r="109" spans="3:34">
      <c r="C109" s="811"/>
      <c r="E109" s="811"/>
      <c r="G109" s="811"/>
      <c r="I109" s="811"/>
      <c r="K109" s="811"/>
      <c r="M109" s="811"/>
      <c r="O109" s="811"/>
      <c r="Q109" s="811"/>
      <c r="S109" s="811"/>
      <c r="U109" s="811"/>
      <c r="W109" s="811"/>
      <c r="Y109" s="811"/>
      <c r="AA109" s="811"/>
    </row>
    <row r="110" spans="3:34">
      <c r="C110" s="811"/>
      <c r="E110" s="811"/>
      <c r="G110" s="811"/>
      <c r="I110" s="811"/>
      <c r="K110" s="811"/>
      <c r="M110" s="811"/>
      <c r="O110" s="811"/>
      <c r="Q110" s="811"/>
      <c r="S110" s="811"/>
      <c r="U110" s="811"/>
      <c r="W110" s="811"/>
      <c r="Y110" s="811"/>
      <c r="AA110" s="811"/>
    </row>
  </sheetData>
  <mergeCells count="17">
    <mergeCell ref="AI7:AJ7"/>
    <mergeCell ref="AA7:AB7"/>
    <mergeCell ref="O7:P7"/>
    <mergeCell ref="Q7:R7"/>
    <mergeCell ref="S7:T7"/>
    <mergeCell ref="U7:V7"/>
    <mergeCell ref="W7:X7"/>
    <mergeCell ref="Y7:Z7"/>
    <mergeCell ref="AC7:AD7"/>
    <mergeCell ref="AE7:AF7"/>
    <mergeCell ref="AG7:AH7"/>
    <mergeCell ref="M7:N7"/>
    <mergeCell ref="C7:D7"/>
    <mergeCell ref="E7:F7"/>
    <mergeCell ref="G7:H7"/>
    <mergeCell ref="I7:J7"/>
    <mergeCell ref="K7:L7"/>
  </mergeCell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1:Z366"/>
  <sheetViews>
    <sheetView zoomScaleNormal="100" workbookViewId="0">
      <pane ySplit="7" topLeftCell="A8" activePane="bottomLeft" state="frozen"/>
      <selection activeCell="V13" sqref="V13"/>
      <selection pane="bottomLeft"/>
    </sheetView>
  </sheetViews>
  <sheetFormatPr defaultRowHeight="15"/>
  <cols>
    <col min="1" max="1" width="13.28515625" bestFit="1" customWidth="1"/>
    <col min="2" max="2" width="13.5703125" customWidth="1"/>
    <col min="3" max="3" width="17.42578125" bestFit="1" customWidth="1"/>
    <col min="4" max="4" width="13.28515625" style="1083" customWidth="1"/>
    <col min="5" max="7" width="17.42578125" style="1083" customWidth="1"/>
    <col min="8" max="9" width="13.85546875" style="98" hidden="1" customWidth="1"/>
    <col min="19" max="19" width="17.85546875" customWidth="1"/>
    <col min="20" max="20" width="15.140625" style="416" hidden="1" customWidth="1"/>
    <col min="21" max="22" width="17.85546875" customWidth="1"/>
  </cols>
  <sheetData>
    <row r="1" spans="1:22" s="8" customFormat="1">
      <c r="A1" s="350" t="s">
        <v>429</v>
      </c>
      <c r="D1" s="1083"/>
      <c r="E1" s="1083"/>
      <c r="F1" s="1083"/>
      <c r="G1" s="1083"/>
      <c r="H1" s="98"/>
      <c r="I1" s="98"/>
      <c r="T1" s="416"/>
    </row>
    <row r="2" spans="1:22" s="8" customFormat="1">
      <c r="A2" s="350" t="s">
        <v>446</v>
      </c>
      <c r="D2" s="1083"/>
      <c r="E2" s="1083"/>
      <c r="F2" s="1083"/>
      <c r="G2" s="1083"/>
      <c r="H2" s="98"/>
      <c r="I2" s="98"/>
      <c r="T2" s="416"/>
    </row>
    <row r="3" spans="1:22" s="8" customFormat="1" ht="29.25" customHeight="1">
      <c r="D3" s="1083"/>
      <c r="E3" s="1083"/>
      <c r="F3" s="1083"/>
      <c r="G3" s="1083"/>
      <c r="H3" s="98"/>
      <c r="I3" s="98"/>
      <c r="T3" s="416"/>
    </row>
    <row r="4" spans="1:22">
      <c r="A4" s="1465" t="s">
        <v>659</v>
      </c>
      <c r="B4" s="1465"/>
      <c r="C4" s="1465"/>
      <c r="D4" s="1465"/>
      <c r="E4" s="1465"/>
      <c r="F4" s="1465"/>
      <c r="G4" s="1465"/>
      <c r="H4" s="1465"/>
      <c r="I4" s="1465"/>
    </row>
    <row r="5" spans="1:22" ht="15.75" thickBot="1">
      <c r="A5" s="1470" t="s">
        <v>657</v>
      </c>
      <c r="B5" s="1470"/>
      <c r="C5" s="1470"/>
      <c r="D5" s="1470"/>
      <c r="E5" s="1470"/>
      <c r="F5" s="1470"/>
      <c r="G5" s="1470"/>
      <c r="H5" s="1470"/>
      <c r="I5" s="1470"/>
      <c r="S5" s="948"/>
      <c r="T5" s="948"/>
      <c r="U5" s="948"/>
      <c r="V5" s="948"/>
    </row>
    <row r="6" spans="1:22" s="1348" customFormat="1">
      <c r="A6" s="1736"/>
      <c r="B6" s="1961" t="s">
        <v>0</v>
      </c>
      <c r="C6" s="1962"/>
      <c r="D6" s="1961" t="s">
        <v>697</v>
      </c>
      <c r="E6" s="1962"/>
      <c r="F6" s="1961" t="s">
        <v>137</v>
      </c>
      <c r="G6" s="1962"/>
      <c r="H6" s="1466"/>
      <c r="I6" s="1466"/>
    </row>
    <row r="7" spans="1:22" ht="15.75" thickBot="1">
      <c r="A7" s="1735" t="s">
        <v>6</v>
      </c>
      <c r="B7" s="1467" t="s">
        <v>7</v>
      </c>
      <c r="C7" s="1468" t="s">
        <v>804</v>
      </c>
      <c r="D7" s="1467" t="s">
        <v>7</v>
      </c>
      <c r="E7" s="1468" t="s">
        <v>804</v>
      </c>
      <c r="F7" s="1467" t="s">
        <v>7</v>
      </c>
      <c r="G7" s="1468" t="s">
        <v>804</v>
      </c>
      <c r="H7" s="1469"/>
      <c r="I7" s="1469"/>
    </row>
    <row r="8" spans="1:22">
      <c r="A8" s="314">
        <v>35855</v>
      </c>
      <c r="B8" s="315">
        <v>2.1120000000000001</v>
      </c>
      <c r="C8" s="316">
        <v>582.47</v>
      </c>
      <c r="D8" s="315">
        <v>0</v>
      </c>
      <c r="E8" s="316">
        <v>0</v>
      </c>
      <c r="F8" s="315">
        <f>SUM(B8+D8)</f>
        <v>2.1120000000000001</v>
      </c>
      <c r="G8" s="316">
        <f t="shared" ref="G8:G71" si="0">SUM(C8+E8)</f>
        <v>582.47</v>
      </c>
      <c r="H8" s="302">
        <f t="shared" ref="H8:H71" si="1">YEAR(A8)</f>
        <v>1998</v>
      </c>
      <c r="I8" s="302" t="str">
        <f t="shared" ref="I8:I71" si="2">IF(MONTH(A8)=3,"1",IF(MONTH(A8)=6,"2",IF(MONTH(A8)=9,"3","4")))</f>
        <v>1</v>
      </c>
      <c r="S8" s="1956" t="s">
        <v>660</v>
      </c>
      <c r="T8" s="1956"/>
      <c r="U8" s="1956"/>
      <c r="V8" s="1956"/>
    </row>
    <row r="9" spans="1:22">
      <c r="A9" s="314">
        <v>35947</v>
      </c>
      <c r="B9" s="317">
        <v>2.1309999999999998</v>
      </c>
      <c r="C9" s="318">
        <v>588.75</v>
      </c>
      <c r="D9" s="317">
        <v>0</v>
      </c>
      <c r="E9" s="318">
        <v>0</v>
      </c>
      <c r="F9" s="317">
        <f t="shared" ref="F9:F72" si="3">SUM(B9+D9)</f>
        <v>2.1309999999999998</v>
      </c>
      <c r="G9" s="318">
        <f t="shared" si="0"/>
        <v>588.75</v>
      </c>
      <c r="H9" s="302">
        <f t="shared" si="1"/>
        <v>1998</v>
      </c>
      <c r="I9" s="302" t="str">
        <f t="shared" si="2"/>
        <v>2</v>
      </c>
      <c r="S9" s="1957" t="s">
        <v>655</v>
      </c>
      <c r="T9" s="1957"/>
      <c r="U9" s="1957"/>
      <c r="V9" s="1957"/>
    </row>
    <row r="10" spans="1:22">
      <c r="A10" s="314">
        <v>36039</v>
      </c>
      <c r="B10" s="315">
        <v>2.0110000000000001</v>
      </c>
      <c r="C10" s="316">
        <v>562.38</v>
      </c>
      <c r="D10" s="315">
        <v>0</v>
      </c>
      <c r="E10" s="316">
        <v>0</v>
      </c>
      <c r="F10" s="315">
        <f t="shared" si="3"/>
        <v>2.0110000000000001</v>
      </c>
      <c r="G10" s="316">
        <f t="shared" si="0"/>
        <v>562.38</v>
      </c>
      <c r="H10" s="302">
        <f t="shared" si="1"/>
        <v>1998</v>
      </c>
      <c r="I10" s="302" t="str">
        <f t="shared" si="2"/>
        <v>3</v>
      </c>
      <c r="S10" s="1842" t="s">
        <v>6</v>
      </c>
      <c r="T10" s="1843"/>
      <c r="U10" s="1843" t="s">
        <v>7</v>
      </c>
      <c r="V10" s="1844" t="s">
        <v>804</v>
      </c>
    </row>
    <row r="11" spans="1:22">
      <c r="A11" s="314">
        <v>36130</v>
      </c>
      <c r="B11" s="317">
        <v>2.4940000000000002</v>
      </c>
      <c r="C11" s="318">
        <v>696.1</v>
      </c>
      <c r="D11" s="317">
        <v>0</v>
      </c>
      <c r="E11" s="318">
        <v>0</v>
      </c>
      <c r="F11" s="317">
        <f t="shared" si="3"/>
        <v>2.4940000000000002</v>
      </c>
      <c r="G11" s="318">
        <f t="shared" si="0"/>
        <v>696.1</v>
      </c>
      <c r="H11" s="302">
        <f t="shared" si="1"/>
        <v>1998</v>
      </c>
      <c r="I11" s="302" t="str">
        <f t="shared" si="2"/>
        <v>4</v>
      </c>
      <c r="S11" s="1845">
        <f>LARGE(A$8:A$742,10)</f>
        <v>42979</v>
      </c>
      <c r="T11" s="1846"/>
      <c r="U11" s="1847">
        <f>SUMIF($A$8:$A$742,$S11,F$8:F$742)</f>
        <v>3.6511741</v>
      </c>
      <c r="V11" s="1848">
        <f>SUMIF($A$8:$A$742,$S11,G$8:G$742)</f>
        <v>1349.965363</v>
      </c>
    </row>
    <row r="12" spans="1:22">
      <c r="A12" s="314">
        <v>36220</v>
      </c>
      <c r="B12" s="315">
        <v>2.0990000000000002</v>
      </c>
      <c r="C12" s="316">
        <v>544.82000000000005</v>
      </c>
      <c r="D12" s="315">
        <v>0</v>
      </c>
      <c r="E12" s="316">
        <v>0</v>
      </c>
      <c r="F12" s="315">
        <f t="shared" si="3"/>
        <v>2.0990000000000002</v>
      </c>
      <c r="G12" s="316">
        <f t="shared" si="0"/>
        <v>544.82000000000005</v>
      </c>
      <c r="H12" s="302">
        <f t="shared" si="1"/>
        <v>1999</v>
      </c>
      <c r="I12" s="302" t="str">
        <f t="shared" si="2"/>
        <v>1</v>
      </c>
      <c r="S12" s="1849">
        <f>LARGE(A$8:A$742,9)</f>
        <v>43070</v>
      </c>
      <c r="T12" s="319"/>
      <c r="U12" s="1362">
        <f t="shared" ref="U12:U20" si="4">SUMIF($A$8:$A$742,$S12,F$8:F$742)</f>
        <v>3.8227887299999996</v>
      </c>
      <c r="V12" s="1359">
        <f t="shared" ref="V12:V19" si="5">SUMIF($A$8:$A$742,$S12,G$8:G$742)</f>
        <v>1735.1655370000001</v>
      </c>
    </row>
    <row r="13" spans="1:22">
      <c r="A13" s="314">
        <v>36312</v>
      </c>
      <c r="B13" s="317">
        <v>2.2599999999999998</v>
      </c>
      <c r="C13" s="318">
        <v>563.73</v>
      </c>
      <c r="D13" s="317">
        <v>0</v>
      </c>
      <c r="E13" s="318">
        <v>0</v>
      </c>
      <c r="F13" s="317">
        <f t="shared" si="3"/>
        <v>2.2599999999999998</v>
      </c>
      <c r="G13" s="318">
        <f t="shared" si="0"/>
        <v>563.73</v>
      </c>
      <c r="H13" s="302">
        <f t="shared" si="1"/>
        <v>1999</v>
      </c>
      <c r="I13" s="302" t="str">
        <f t="shared" si="2"/>
        <v>2</v>
      </c>
      <c r="S13" s="1849">
        <f>LARGE(A$8:A$742,8)</f>
        <v>43160</v>
      </c>
      <c r="T13" s="320"/>
      <c r="U13" s="1363">
        <f t="shared" si="4"/>
        <v>3.5716880500000001</v>
      </c>
      <c r="V13" s="1360">
        <f t="shared" si="5"/>
        <v>1605.5047509999999</v>
      </c>
    </row>
    <row r="14" spans="1:22">
      <c r="A14" s="314">
        <v>36404</v>
      </c>
      <c r="B14" s="315">
        <v>2.2810000000000001</v>
      </c>
      <c r="C14" s="316">
        <v>585.11</v>
      </c>
      <c r="D14" s="315">
        <v>0</v>
      </c>
      <c r="E14" s="316">
        <v>0</v>
      </c>
      <c r="F14" s="315">
        <f t="shared" si="3"/>
        <v>2.2810000000000001</v>
      </c>
      <c r="G14" s="316">
        <f t="shared" si="0"/>
        <v>585.11</v>
      </c>
      <c r="H14" s="302">
        <f t="shared" si="1"/>
        <v>1999</v>
      </c>
      <c r="I14" s="302" t="str">
        <f t="shared" si="2"/>
        <v>3</v>
      </c>
      <c r="S14" s="1849">
        <f>LARGE(A$8:A$742,7)</f>
        <v>43252</v>
      </c>
      <c r="T14" s="319"/>
      <c r="U14" s="1362">
        <f t="shared" si="4"/>
        <v>3.7411387600000001</v>
      </c>
      <c r="V14" s="1359">
        <f t="shared" si="5"/>
        <v>1952.8876250000001</v>
      </c>
    </row>
    <row r="15" spans="1:22">
      <c r="A15" s="314">
        <v>36495</v>
      </c>
      <c r="B15" s="317">
        <v>2.2909999999999999</v>
      </c>
      <c r="C15" s="318">
        <v>617.71</v>
      </c>
      <c r="D15" s="317">
        <v>0</v>
      </c>
      <c r="E15" s="318">
        <v>0</v>
      </c>
      <c r="F15" s="317">
        <f t="shared" si="3"/>
        <v>2.2909999999999999</v>
      </c>
      <c r="G15" s="318">
        <f t="shared" si="0"/>
        <v>617.71</v>
      </c>
      <c r="H15" s="302">
        <f t="shared" si="1"/>
        <v>1999</v>
      </c>
      <c r="I15" s="302" t="str">
        <f t="shared" si="2"/>
        <v>4</v>
      </c>
      <c r="S15" s="1849">
        <f>LARGE(A$8:A$742,6)</f>
        <v>43344</v>
      </c>
      <c r="T15" s="320"/>
      <c r="U15" s="1363">
        <f t="shared" si="4"/>
        <v>3.61341701</v>
      </c>
      <c r="V15" s="1360">
        <f t="shared" si="5"/>
        <v>2068.177647</v>
      </c>
    </row>
    <row r="16" spans="1:22">
      <c r="A16" s="314">
        <v>36586</v>
      </c>
      <c r="B16" s="315">
        <v>2.3639999999999999</v>
      </c>
      <c r="C16" s="316">
        <v>703.47</v>
      </c>
      <c r="D16" s="315">
        <v>0</v>
      </c>
      <c r="E16" s="316">
        <v>0</v>
      </c>
      <c r="F16" s="315">
        <f t="shared" si="3"/>
        <v>2.3639999999999999</v>
      </c>
      <c r="G16" s="316">
        <f t="shared" si="0"/>
        <v>703.47</v>
      </c>
      <c r="H16" s="302">
        <f t="shared" si="1"/>
        <v>2000</v>
      </c>
      <c r="I16" s="302" t="str">
        <f t="shared" si="2"/>
        <v>1</v>
      </c>
      <c r="S16" s="1849">
        <f>LARGE(A$8:A$742,5)</f>
        <v>43435</v>
      </c>
      <c r="T16" s="319"/>
      <c r="U16" s="1362">
        <f t="shared" si="4"/>
        <v>4.0531499800000006</v>
      </c>
      <c r="V16" s="1359">
        <f t="shared" si="5"/>
        <v>2298.28485</v>
      </c>
    </row>
    <row r="17" spans="1:22">
      <c r="A17" s="314">
        <v>36678</v>
      </c>
      <c r="B17" s="317">
        <v>2.4180000000000001</v>
      </c>
      <c r="C17" s="318">
        <v>751.6</v>
      </c>
      <c r="D17" s="317">
        <v>0</v>
      </c>
      <c r="E17" s="318">
        <v>0</v>
      </c>
      <c r="F17" s="317">
        <f t="shared" si="3"/>
        <v>2.4180000000000001</v>
      </c>
      <c r="G17" s="318">
        <f t="shared" si="0"/>
        <v>751.6</v>
      </c>
      <c r="H17" s="302">
        <f t="shared" si="1"/>
        <v>2000</v>
      </c>
      <c r="I17" s="302" t="str">
        <f t="shared" si="2"/>
        <v>2</v>
      </c>
      <c r="S17" s="1849">
        <f>LARGE(A$8:A$742,4)</f>
        <v>43525</v>
      </c>
      <c r="T17" s="320"/>
      <c r="U17" s="1363">
        <f t="shared" si="4"/>
        <v>3.7422468100000001</v>
      </c>
      <c r="V17" s="1360">
        <f t="shared" si="5"/>
        <v>1923.249951</v>
      </c>
    </row>
    <row r="18" spans="1:22">
      <c r="A18" s="314">
        <v>36770</v>
      </c>
      <c r="B18" s="315">
        <v>2.5499999999999998</v>
      </c>
      <c r="C18" s="316">
        <v>791.53</v>
      </c>
      <c r="D18" s="315">
        <v>0</v>
      </c>
      <c r="E18" s="316">
        <v>0</v>
      </c>
      <c r="F18" s="315">
        <f t="shared" si="3"/>
        <v>2.5499999999999998</v>
      </c>
      <c r="G18" s="316">
        <f t="shared" si="0"/>
        <v>791.53</v>
      </c>
      <c r="H18" s="302">
        <f t="shared" si="1"/>
        <v>2000</v>
      </c>
      <c r="I18" s="302" t="str">
        <f t="shared" si="2"/>
        <v>3</v>
      </c>
      <c r="S18" s="1849">
        <f>LARGE(A$8:A$742,3)</f>
        <v>43617</v>
      </c>
      <c r="T18" s="319"/>
      <c r="U18" s="1362">
        <f t="shared" si="4"/>
        <v>4.0186727900000001</v>
      </c>
      <c r="V18" s="1359">
        <f t="shared" si="5"/>
        <v>1989.702497</v>
      </c>
    </row>
    <row r="19" spans="1:22">
      <c r="A19" s="314">
        <v>36861</v>
      </c>
      <c r="B19" s="317">
        <v>2.67</v>
      </c>
      <c r="C19" s="318">
        <v>940.88</v>
      </c>
      <c r="D19" s="317">
        <v>0</v>
      </c>
      <c r="E19" s="318">
        <v>0</v>
      </c>
      <c r="F19" s="317">
        <f t="shared" si="3"/>
        <v>2.67</v>
      </c>
      <c r="G19" s="318">
        <f t="shared" si="0"/>
        <v>940.88</v>
      </c>
      <c r="H19" s="302">
        <f t="shared" si="1"/>
        <v>2000</v>
      </c>
      <c r="I19" s="302" t="str">
        <f t="shared" si="2"/>
        <v>4</v>
      </c>
      <c r="S19" s="1849">
        <f>LARGE(A$8:A$742,2)</f>
        <v>43709</v>
      </c>
      <c r="T19" s="320"/>
      <c r="U19" s="1363">
        <f t="shared" si="4"/>
        <v>3.9426910290000001</v>
      </c>
      <c r="V19" s="1360">
        <f t="shared" si="5"/>
        <v>1757.022465</v>
      </c>
    </row>
    <row r="20" spans="1:22">
      <c r="A20" s="314">
        <v>36951</v>
      </c>
      <c r="B20" s="315">
        <v>2.5990000000000002</v>
      </c>
      <c r="C20" s="316">
        <v>880.32</v>
      </c>
      <c r="D20" s="315">
        <v>0</v>
      </c>
      <c r="E20" s="316">
        <v>0</v>
      </c>
      <c r="F20" s="315">
        <f t="shared" si="3"/>
        <v>2.5990000000000002</v>
      </c>
      <c r="G20" s="316">
        <f t="shared" si="0"/>
        <v>880.32</v>
      </c>
      <c r="H20" s="302">
        <f t="shared" si="1"/>
        <v>2001</v>
      </c>
      <c r="I20" s="302" t="str">
        <f t="shared" si="2"/>
        <v>1</v>
      </c>
      <c r="S20" s="1850">
        <f>LARGE(A$8:A$742,1)</f>
        <v>43800</v>
      </c>
      <c r="T20" s="321"/>
      <c r="U20" s="1364">
        <f t="shared" si="4"/>
        <v>4.1769800539999995</v>
      </c>
      <c r="V20" s="1361">
        <f>SUMIF($A$8:$A$742,$S20,G$8:G$742)</f>
        <v>1689.010039</v>
      </c>
    </row>
    <row r="21" spans="1:22">
      <c r="A21" s="314">
        <v>37043</v>
      </c>
      <c r="B21" s="317">
        <v>2.67</v>
      </c>
      <c r="C21" s="318">
        <v>987.94</v>
      </c>
      <c r="D21" s="317">
        <v>0</v>
      </c>
      <c r="E21" s="318">
        <v>0</v>
      </c>
      <c r="F21" s="317">
        <f t="shared" si="3"/>
        <v>2.67</v>
      </c>
      <c r="G21" s="318">
        <f t="shared" si="0"/>
        <v>987.94</v>
      </c>
      <c r="H21" s="302">
        <f t="shared" si="1"/>
        <v>2001</v>
      </c>
      <c r="I21" s="302" t="str">
        <f t="shared" si="2"/>
        <v>2</v>
      </c>
      <c r="S21" s="3"/>
      <c r="T21" s="3"/>
    </row>
    <row r="22" spans="1:22">
      <c r="A22" s="314">
        <v>37135</v>
      </c>
      <c r="B22" s="315">
        <v>2.8039999999999998</v>
      </c>
      <c r="C22" s="316">
        <v>981.27</v>
      </c>
      <c r="D22" s="315">
        <v>0</v>
      </c>
      <c r="E22" s="316">
        <v>0</v>
      </c>
      <c r="F22" s="315">
        <f t="shared" si="3"/>
        <v>2.8039999999999998</v>
      </c>
      <c r="G22" s="316">
        <f t="shared" si="0"/>
        <v>981.27</v>
      </c>
      <c r="H22" s="302">
        <f t="shared" si="1"/>
        <v>2001</v>
      </c>
      <c r="I22" s="302" t="str">
        <f t="shared" si="2"/>
        <v>3</v>
      </c>
      <c r="S22" s="3"/>
      <c r="T22" s="3"/>
    </row>
    <row r="23" spans="1:22">
      <c r="A23" s="314">
        <v>37226</v>
      </c>
      <c r="B23" s="317">
        <v>2.6850000000000001</v>
      </c>
      <c r="C23" s="318">
        <v>917.02</v>
      </c>
      <c r="D23" s="317">
        <v>0</v>
      </c>
      <c r="E23" s="318">
        <v>0</v>
      </c>
      <c r="F23" s="317">
        <f t="shared" si="3"/>
        <v>2.6850000000000001</v>
      </c>
      <c r="G23" s="318">
        <f t="shared" si="0"/>
        <v>917.02</v>
      </c>
      <c r="H23" s="302">
        <f t="shared" si="1"/>
        <v>2001</v>
      </c>
      <c r="I23" s="302" t="str">
        <f t="shared" si="2"/>
        <v>4</v>
      </c>
      <c r="S23" s="3"/>
      <c r="T23" s="3"/>
    </row>
    <row r="24" spans="1:22">
      <c r="A24" s="314">
        <v>37316</v>
      </c>
      <c r="B24" s="315">
        <v>2.621</v>
      </c>
      <c r="C24" s="316">
        <v>837.87</v>
      </c>
      <c r="D24" s="315">
        <v>0</v>
      </c>
      <c r="E24" s="316">
        <v>0</v>
      </c>
      <c r="F24" s="315">
        <f t="shared" si="3"/>
        <v>2.621</v>
      </c>
      <c r="G24" s="316">
        <f t="shared" si="0"/>
        <v>837.87</v>
      </c>
      <c r="H24" s="302">
        <f t="shared" si="1"/>
        <v>2002</v>
      </c>
      <c r="I24" s="302" t="str">
        <f t="shared" si="2"/>
        <v>1</v>
      </c>
      <c r="S24" s="3"/>
      <c r="T24" s="3"/>
    </row>
    <row r="25" spans="1:22">
      <c r="A25" s="314">
        <v>37408</v>
      </c>
      <c r="B25" s="317">
        <v>2.7469999999999999</v>
      </c>
      <c r="C25" s="318">
        <v>848.22</v>
      </c>
      <c r="D25" s="317">
        <v>0</v>
      </c>
      <c r="E25" s="318">
        <v>0</v>
      </c>
      <c r="F25" s="317">
        <f t="shared" si="3"/>
        <v>2.7469999999999999</v>
      </c>
      <c r="G25" s="318">
        <f t="shared" si="0"/>
        <v>848.22</v>
      </c>
      <c r="H25" s="302">
        <f t="shared" si="1"/>
        <v>2002</v>
      </c>
      <c r="I25" s="302" t="str">
        <f t="shared" si="2"/>
        <v>2</v>
      </c>
      <c r="S25" s="3"/>
      <c r="T25" s="3"/>
    </row>
    <row r="26" spans="1:22">
      <c r="A26" s="314">
        <v>37500</v>
      </c>
      <c r="B26" s="315">
        <v>2.93</v>
      </c>
      <c r="C26" s="316">
        <v>867.88</v>
      </c>
      <c r="D26" s="315">
        <v>0</v>
      </c>
      <c r="E26" s="316">
        <v>0</v>
      </c>
      <c r="F26" s="315">
        <f t="shared" si="3"/>
        <v>2.93</v>
      </c>
      <c r="G26" s="316">
        <f t="shared" si="0"/>
        <v>867.88</v>
      </c>
      <c r="H26" s="302">
        <f t="shared" si="1"/>
        <v>2002</v>
      </c>
      <c r="I26" s="302" t="str">
        <f t="shared" si="2"/>
        <v>3</v>
      </c>
      <c r="S26" s="3"/>
      <c r="T26" s="3"/>
    </row>
    <row r="27" spans="1:22">
      <c r="A27" s="314">
        <v>37591</v>
      </c>
      <c r="B27" s="317">
        <v>2.702</v>
      </c>
      <c r="C27" s="318">
        <v>785.28</v>
      </c>
      <c r="D27" s="317">
        <v>0</v>
      </c>
      <c r="E27" s="318">
        <v>0</v>
      </c>
      <c r="F27" s="317">
        <f t="shared" si="3"/>
        <v>2.702</v>
      </c>
      <c r="G27" s="318">
        <f t="shared" si="0"/>
        <v>785.28</v>
      </c>
      <c r="H27" s="302">
        <f t="shared" si="1"/>
        <v>2002</v>
      </c>
      <c r="I27" s="302" t="str">
        <f t="shared" si="2"/>
        <v>4</v>
      </c>
      <c r="S27" s="3"/>
      <c r="T27" s="3"/>
    </row>
    <row r="28" spans="1:22">
      <c r="A28" s="314">
        <v>37681</v>
      </c>
      <c r="B28" s="315">
        <v>2.8679999999999999</v>
      </c>
      <c r="C28" s="316">
        <v>825.43</v>
      </c>
      <c r="D28" s="315">
        <v>0</v>
      </c>
      <c r="E28" s="316">
        <v>0</v>
      </c>
      <c r="F28" s="315">
        <f t="shared" si="3"/>
        <v>2.8679999999999999</v>
      </c>
      <c r="G28" s="316">
        <f t="shared" si="0"/>
        <v>825.43</v>
      </c>
      <c r="H28" s="302">
        <f t="shared" si="1"/>
        <v>2003</v>
      </c>
      <c r="I28" s="302" t="str">
        <f t="shared" si="2"/>
        <v>1</v>
      </c>
    </row>
    <row r="29" spans="1:22">
      <c r="A29" s="314">
        <v>37773</v>
      </c>
      <c r="B29" s="317">
        <v>2.6309999999999998</v>
      </c>
      <c r="C29" s="318">
        <v>726.07</v>
      </c>
      <c r="D29" s="317">
        <v>0</v>
      </c>
      <c r="E29" s="318">
        <v>0</v>
      </c>
      <c r="F29" s="317">
        <f t="shared" si="3"/>
        <v>2.6309999999999998</v>
      </c>
      <c r="G29" s="318">
        <f t="shared" si="0"/>
        <v>726.07</v>
      </c>
      <c r="H29" s="302">
        <f t="shared" si="1"/>
        <v>2003</v>
      </c>
      <c r="I29" s="302" t="str">
        <f t="shared" si="2"/>
        <v>2</v>
      </c>
    </row>
    <row r="30" spans="1:22">
      <c r="A30" s="314">
        <v>37865</v>
      </c>
      <c r="B30" s="315">
        <v>2.7226050000000002</v>
      </c>
      <c r="C30" s="316">
        <v>755.41628309999999</v>
      </c>
      <c r="D30" s="315">
        <v>0</v>
      </c>
      <c r="E30" s="316">
        <v>0</v>
      </c>
      <c r="F30" s="315">
        <f t="shared" si="3"/>
        <v>2.7226050000000002</v>
      </c>
      <c r="G30" s="316">
        <f t="shared" si="0"/>
        <v>755.41628309999999</v>
      </c>
      <c r="H30" s="302">
        <f t="shared" si="1"/>
        <v>2003</v>
      </c>
      <c r="I30" s="302" t="str">
        <f t="shared" si="2"/>
        <v>3</v>
      </c>
    </row>
    <row r="31" spans="1:22">
      <c r="A31" s="314">
        <v>37956</v>
      </c>
      <c r="B31" s="317">
        <v>3.006259</v>
      </c>
      <c r="C31" s="318">
        <v>833.56663588000004</v>
      </c>
      <c r="D31" s="317">
        <v>0</v>
      </c>
      <c r="E31" s="318">
        <v>0</v>
      </c>
      <c r="F31" s="317">
        <f t="shared" si="3"/>
        <v>3.006259</v>
      </c>
      <c r="G31" s="318">
        <f t="shared" si="0"/>
        <v>833.56663588000004</v>
      </c>
      <c r="H31" s="302">
        <f t="shared" si="1"/>
        <v>2003</v>
      </c>
      <c r="I31" s="302" t="str">
        <f t="shared" si="2"/>
        <v>4</v>
      </c>
      <c r="S31" s="24"/>
      <c r="T31" s="410"/>
      <c r="U31" s="24"/>
      <c r="V31" s="24"/>
    </row>
    <row r="32" spans="1:22" ht="15.75" thickBot="1">
      <c r="A32" s="314">
        <v>38047</v>
      </c>
      <c r="B32" s="315">
        <v>2.6839559999999998</v>
      </c>
      <c r="C32" s="316">
        <v>717.85749199999998</v>
      </c>
      <c r="D32" s="315">
        <v>0</v>
      </c>
      <c r="E32" s="316">
        <v>0</v>
      </c>
      <c r="F32" s="315">
        <f t="shared" si="3"/>
        <v>2.6839559999999998</v>
      </c>
      <c r="G32" s="316">
        <f t="shared" si="0"/>
        <v>717.85749199999998</v>
      </c>
      <c r="H32" s="302">
        <f t="shared" si="1"/>
        <v>2004</v>
      </c>
      <c r="I32" s="302" t="str">
        <f t="shared" si="2"/>
        <v>1</v>
      </c>
      <c r="S32" s="24"/>
      <c r="T32" s="410"/>
      <c r="U32" s="24"/>
      <c r="V32" s="24"/>
    </row>
    <row r="33" spans="1:23" ht="15.75" thickBot="1">
      <c r="A33" s="314">
        <v>38139</v>
      </c>
      <c r="B33" s="317">
        <v>2.753015</v>
      </c>
      <c r="C33" s="318">
        <v>778.26961376999998</v>
      </c>
      <c r="D33" s="317">
        <v>0</v>
      </c>
      <c r="E33" s="318">
        <v>0</v>
      </c>
      <c r="F33" s="317">
        <f t="shared" si="3"/>
        <v>2.753015</v>
      </c>
      <c r="G33" s="318">
        <f t="shared" si="0"/>
        <v>778.26961376999998</v>
      </c>
      <c r="H33" s="302">
        <f t="shared" si="1"/>
        <v>2004</v>
      </c>
      <c r="I33" s="302" t="str">
        <f t="shared" si="2"/>
        <v>2</v>
      </c>
      <c r="S33" s="998" t="s">
        <v>447</v>
      </c>
      <c r="T33" s="997"/>
      <c r="U33" s="1933" t="s">
        <v>429</v>
      </c>
      <c r="V33" s="1934"/>
    </row>
    <row r="34" spans="1:23" ht="15.75" thickBot="1">
      <c r="A34" s="314">
        <v>38231</v>
      </c>
      <c r="B34" s="315">
        <v>2.7297769999999999</v>
      </c>
      <c r="C34" s="316">
        <v>855.71650026999998</v>
      </c>
      <c r="D34" s="315">
        <v>0</v>
      </c>
      <c r="E34" s="316">
        <v>0</v>
      </c>
      <c r="F34" s="315">
        <f t="shared" si="3"/>
        <v>2.7297769999999999</v>
      </c>
      <c r="G34" s="316">
        <f t="shared" si="0"/>
        <v>855.71650026999998</v>
      </c>
      <c r="H34" s="302">
        <f t="shared" si="1"/>
        <v>2004</v>
      </c>
      <c r="I34" s="302" t="str">
        <f t="shared" si="2"/>
        <v>3</v>
      </c>
      <c r="S34" s="1958" t="str">
        <f>CONCATENATE(A4," Quantity and Value by ",U33)</f>
        <v>Alumina and bauxite Quantity and Value by Calendar Year</v>
      </c>
      <c r="T34" s="1959"/>
      <c r="U34" s="1959"/>
      <c r="V34" s="1960"/>
    </row>
    <row r="35" spans="1:23" ht="15.75" thickBot="1">
      <c r="A35" s="314">
        <v>38322</v>
      </c>
      <c r="B35" s="317">
        <v>2.8216380000000001</v>
      </c>
      <c r="C35" s="318">
        <v>827.10882674000004</v>
      </c>
      <c r="D35" s="317">
        <v>0</v>
      </c>
      <c r="E35" s="318">
        <v>0</v>
      </c>
      <c r="F35" s="317">
        <f t="shared" si="3"/>
        <v>2.8216380000000001</v>
      </c>
      <c r="G35" s="318">
        <f t="shared" si="0"/>
        <v>827.10882674000004</v>
      </c>
      <c r="H35" s="302">
        <f t="shared" si="1"/>
        <v>2004</v>
      </c>
      <c r="I35" s="302" t="str">
        <f t="shared" si="2"/>
        <v>4</v>
      </c>
      <c r="S35" s="311" t="str">
        <f>U33</f>
        <v>Calendar Year</v>
      </c>
      <c r="T35" s="748"/>
      <c r="U35" s="312" t="str">
        <f>B7</f>
        <v>Quantity (Mt)</v>
      </c>
      <c r="V35" s="313" t="str">
        <f>C7</f>
        <v>Value ($ Million)</v>
      </c>
      <c r="W35" s="360"/>
    </row>
    <row r="36" spans="1:23">
      <c r="A36" s="314">
        <v>38412</v>
      </c>
      <c r="B36" s="315">
        <v>2.7125240000000002</v>
      </c>
      <c r="C36" s="316">
        <v>825.33394757999997</v>
      </c>
      <c r="D36" s="315">
        <v>0</v>
      </c>
      <c r="E36" s="316">
        <v>0</v>
      </c>
      <c r="F36" s="315">
        <f t="shared" si="3"/>
        <v>2.7125240000000002</v>
      </c>
      <c r="G36" s="316">
        <f t="shared" si="0"/>
        <v>825.33394757999997</v>
      </c>
      <c r="H36" s="302">
        <f t="shared" si="1"/>
        <v>2005</v>
      </c>
      <c r="I36" s="302" t="str">
        <f t="shared" si="2"/>
        <v>1</v>
      </c>
      <c r="S36" s="931">
        <f>IF($U$33="Calendar Year",YEAR(MIN($A$8:$A$250)),CONCATENATE(YEAR(MIN($A$8:$A$200)),"-",((YEAR(MIN($A$8:$A$200))+1))))</f>
        <v>1998</v>
      </c>
      <c r="T36" s="749" t="s">
        <v>501</v>
      </c>
      <c r="U36" s="495">
        <f>IF($U$33="Calendar Year",SUMIF($H$8:$H$200,$S36,$F$8:$F$200),SUMIFS($F$8:$F$200,$H$8:$H$200,LEFT($S36,4),$I$8:$I$200,3)+SUMIFS($F$8:$F$200,$H$8:$H$200,LEFT($S36,4),$I$8:$I$200,4)+SUMIFS($F$9:$F$201,$H$8:$H$200,LEFT($S36,4)+1,$I$8:$I$200,1)+SUMIFS($F$8:$F$200,$H$8:$H$200,LEFT($S36,4)+1,$I$8:$I$200,2))</f>
        <v>8.7480000000000011</v>
      </c>
      <c r="V36" s="508">
        <f t="shared" ref="V36:V54" si="6">IF(S36="","",IF($U$33="Calendar Year",SUMIF($H$8:$H$200,$S36,$G$8:$G$200),SUMIFS($G$8:$G$200,$H$8:$H$200,LEFT($S36,4),$I$8:$I$200,3)+SUMIFS($G$8:$G$200,$H$8:$H$200,LEFT($S36,4),$I$8:$I$200,4)+SUMIFS($G$8:$G$200,$H$8:$H$200,LEFT($S36,4)+1,$I$8:$I$200,1)+SUMIFS($G$8:$G$200,$H$8:$H$200,LEFT($S36,4)+1,$I$8:$I$200,2)))</f>
        <v>2429.6999999999998</v>
      </c>
      <c r="W36" s="360"/>
    </row>
    <row r="37" spans="1:23">
      <c r="A37" s="314">
        <v>38504</v>
      </c>
      <c r="B37" s="317">
        <v>2.8762400000000001</v>
      </c>
      <c r="C37" s="318">
        <v>922.53081992</v>
      </c>
      <c r="D37" s="317">
        <v>0</v>
      </c>
      <c r="E37" s="318">
        <v>0</v>
      </c>
      <c r="F37" s="317">
        <f t="shared" si="3"/>
        <v>2.8762400000000001</v>
      </c>
      <c r="G37" s="318">
        <f t="shared" si="0"/>
        <v>922.53081992</v>
      </c>
      <c r="H37" s="302">
        <f t="shared" si="1"/>
        <v>2005</v>
      </c>
      <c r="I37" s="302" t="str">
        <f t="shared" si="2"/>
        <v>2</v>
      </c>
      <c r="S37" s="932">
        <f>IFERROR(IF(MAX('Data - Monthly Commodity Prices'!$A$9:$A$1300)=VALUE(RIGHT(S36,4)),"",IF($U$33="Calendar Year",S36+1,CONCATENATE(LEFT(S36,4)+1,"-",RIGHT(S36,4)+1))),"")</f>
        <v>1999</v>
      </c>
      <c r="T37" s="750" t="s">
        <v>502</v>
      </c>
      <c r="U37" s="1365">
        <f>IF(S37="","",IF($U$33="Calendar Year",SUMIF($H$8:$H$200,$S37,$F$8:$F$200),SUMIFS($F$8:$F$200,$H$8:$H$200,LEFT($S37,4),$I$8:$I$200,3)+SUMIFS($F$8:$F$200,$H$8:$H$200,LEFT($S37,4),$I$8:$I$200,4)+SUMIFS($F$8:$F$200,$H$8:$H$200,LEFT($S37,4)+1,$I$8:$I$200,1)+SUMIFS($F$8:$F$200,$H$8:$H$200,LEFT($S37,4)+1,$I$8:$I$200,2)))</f>
        <v>8.9310000000000009</v>
      </c>
      <c r="V37" s="359">
        <f t="shared" si="6"/>
        <v>2311.3700000000003</v>
      </c>
      <c r="W37" s="360"/>
    </row>
    <row r="38" spans="1:23">
      <c r="A38" s="314">
        <v>38596</v>
      </c>
      <c r="B38" s="315">
        <v>2.720275</v>
      </c>
      <c r="C38" s="316">
        <v>846.1177964200001</v>
      </c>
      <c r="D38" s="315">
        <v>0</v>
      </c>
      <c r="E38" s="316">
        <v>0</v>
      </c>
      <c r="F38" s="315">
        <f t="shared" si="3"/>
        <v>2.720275</v>
      </c>
      <c r="G38" s="316">
        <f t="shared" si="0"/>
        <v>846.1177964200001</v>
      </c>
      <c r="H38" s="302">
        <f t="shared" si="1"/>
        <v>2005</v>
      </c>
      <c r="I38" s="302" t="str">
        <f t="shared" si="2"/>
        <v>3</v>
      </c>
      <c r="S38" s="932">
        <f>IFERROR(IF(MAX('Data - Monthly Commodity Prices'!$A$9:$A$1300)=VALUE(RIGHT(S37,4)),"",IF($U$33="Calendar Year",S37+1,CONCATENATE(LEFT(S37,4)+1,"-",RIGHT(S37,4)+1))),"")</f>
        <v>2000</v>
      </c>
      <c r="T38" s="750" t="s">
        <v>503</v>
      </c>
      <c r="U38" s="497">
        <f t="shared" ref="U38:U57" si="7">IF(S38="","",IF($U$33="Calendar Year",SUMIF($H$8:$H$200,$S38,$F$8:$F$200),SUMIFS($F$8:$F$200,$H$8:$H$200,LEFT($S38,4),$I$8:$I$200,3)+SUMIFS($F$8:$F$200,$H$8:$H$200,LEFT($S38,4),$I$8:$I$200,4)+SUMIFS($F$8:$F$200,$H$8:$H$200,LEFT($S38,4)+1,$I$8:$I$200,1)+SUMIFS($F$8:$F$200,$H$8:$H$200,LEFT($S38,4)+1,$I$8:$I$200,2)))</f>
        <v>10.001999999999999</v>
      </c>
      <c r="V38" s="352">
        <f t="shared" si="6"/>
        <v>3187.4800000000005</v>
      </c>
      <c r="W38" s="360"/>
    </row>
    <row r="39" spans="1:23">
      <c r="A39" s="314">
        <v>38687</v>
      </c>
      <c r="B39" s="317">
        <v>3.0431439999999998</v>
      </c>
      <c r="C39" s="318">
        <v>1000.87492408</v>
      </c>
      <c r="D39" s="317">
        <v>0</v>
      </c>
      <c r="E39" s="318">
        <v>0</v>
      </c>
      <c r="F39" s="317">
        <f t="shared" si="3"/>
        <v>3.0431439999999998</v>
      </c>
      <c r="G39" s="318">
        <f t="shared" si="0"/>
        <v>1000.87492408</v>
      </c>
      <c r="H39" s="302">
        <f t="shared" si="1"/>
        <v>2005</v>
      </c>
      <c r="I39" s="302" t="str">
        <f t="shared" si="2"/>
        <v>4</v>
      </c>
      <c r="S39" s="932">
        <f>IFERROR(IF(MAX('Data - Monthly Commodity Prices'!$A$9:$A$1300)=VALUE(RIGHT(S38,4)),"",IF($U$33="Calendar Year",S38+1,CONCATENATE(LEFT(S38,4)+1,"-",RIGHT(S38,4)+1))),"")</f>
        <v>2001</v>
      </c>
      <c r="T39" s="750" t="s">
        <v>504</v>
      </c>
      <c r="U39" s="1365">
        <f t="shared" si="7"/>
        <v>10.758000000000001</v>
      </c>
      <c r="V39" s="359">
        <f t="shared" si="6"/>
        <v>3766.55</v>
      </c>
      <c r="W39" s="360"/>
    </row>
    <row r="40" spans="1:23">
      <c r="A40" s="314">
        <v>38777</v>
      </c>
      <c r="B40" s="315">
        <v>2.8225227500000001</v>
      </c>
      <c r="C40" s="316">
        <v>1078.1791628400001</v>
      </c>
      <c r="D40" s="315">
        <v>0</v>
      </c>
      <c r="E40" s="316">
        <v>0</v>
      </c>
      <c r="F40" s="315">
        <f t="shared" si="3"/>
        <v>2.8225227500000001</v>
      </c>
      <c r="G40" s="316">
        <f t="shared" si="0"/>
        <v>1078.1791628400001</v>
      </c>
      <c r="H40" s="302">
        <f t="shared" si="1"/>
        <v>2006</v>
      </c>
      <c r="I40" s="302" t="str">
        <f t="shared" si="2"/>
        <v>1</v>
      </c>
      <c r="S40" s="932">
        <f>IFERROR(IF(MAX('Data - Monthly Commodity Prices'!$A$9:$A$1300)=VALUE(RIGHT(S39,4)),"",IF($U$33="Calendar Year",S39+1,CONCATENATE(LEFT(S39,4)+1,"-",RIGHT(S39,4)+1))),"")</f>
        <v>2002</v>
      </c>
      <c r="T40" s="750" t="s">
        <v>505</v>
      </c>
      <c r="U40" s="497">
        <f t="shared" si="7"/>
        <v>11</v>
      </c>
      <c r="V40" s="352">
        <f t="shared" si="6"/>
        <v>3339.25</v>
      </c>
      <c r="W40" s="360"/>
    </row>
    <row r="41" spans="1:23">
      <c r="A41" s="314">
        <v>38869</v>
      </c>
      <c r="B41" s="317">
        <v>2.8672520000000001</v>
      </c>
      <c r="C41" s="318">
        <v>1227.7717472100001</v>
      </c>
      <c r="D41" s="317">
        <v>0</v>
      </c>
      <c r="E41" s="318">
        <v>0</v>
      </c>
      <c r="F41" s="317">
        <f t="shared" si="3"/>
        <v>2.8672520000000001</v>
      </c>
      <c r="G41" s="318">
        <f t="shared" si="0"/>
        <v>1227.7717472100001</v>
      </c>
      <c r="H41" s="302">
        <f t="shared" si="1"/>
        <v>2006</v>
      </c>
      <c r="I41" s="302" t="str">
        <f t="shared" si="2"/>
        <v>2</v>
      </c>
      <c r="S41" s="932">
        <f>IFERROR(IF(MAX('Data - Monthly Commodity Prices'!$A$9:$A$1300)=VALUE(RIGHT(S40,4)),"",IF($U$33="Calendar Year",S40+1,CONCATENATE(LEFT(S40,4)+1,"-",RIGHT(S40,4)+1))),"")</f>
        <v>2003</v>
      </c>
      <c r="T41" s="750" t="s">
        <v>506</v>
      </c>
      <c r="U41" s="1365">
        <f t="shared" si="7"/>
        <v>11.227864</v>
      </c>
      <c r="V41" s="1358">
        <f t="shared" si="6"/>
        <v>3140.4829189799998</v>
      </c>
      <c r="W41" s="360"/>
    </row>
    <row r="42" spans="1:23">
      <c r="A42" s="314">
        <v>38961</v>
      </c>
      <c r="B42" s="315">
        <v>2.9137900000000001</v>
      </c>
      <c r="C42" s="316">
        <v>1244.1112385399999</v>
      </c>
      <c r="D42" s="315">
        <v>0</v>
      </c>
      <c r="E42" s="316">
        <v>0</v>
      </c>
      <c r="F42" s="315">
        <f t="shared" si="3"/>
        <v>2.9137900000000001</v>
      </c>
      <c r="G42" s="316">
        <f t="shared" si="0"/>
        <v>1244.1112385399999</v>
      </c>
      <c r="H42" s="302">
        <f t="shared" si="1"/>
        <v>2006</v>
      </c>
      <c r="I42" s="302" t="str">
        <f t="shared" si="2"/>
        <v>3</v>
      </c>
      <c r="S42" s="1199">
        <f>IFERROR(IF(MAX('Data - Monthly Commodity Prices'!$A$9:$A$1300)=VALUE(RIGHT(S41,4)),"",IF($U$33="Calendar Year",S41+1,CONCATENATE(LEFT(S41,4)+1,"-",RIGHT(S41,4)+1))),"")</f>
        <v>2004</v>
      </c>
      <c r="T42" s="750" t="s">
        <v>507</v>
      </c>
      <c r="U42" s="497">
        <f t="shared" si="7"/>
        <v>10.988386</v>
      </c>
      <c r="V42" s="511">
        <f t="shared" si="6"/>
        <v>3178.95243278</v>
      </c>
      <c r="W42" s="360"/>
    </row>
    <row r="43" spans="1:23">
      <c r="A43" s="314">
        <v>39052</v>
      </c>
      <c r="B43" s="317">
        <v>3.2181829999999998</v>
      </c>
      <c r="C43" s="318">
        <v>1371.65936283</v>
      </c>
      <c r="D43" s="317">
        <v>0</v>
      </c>
      <c r="E43" s="318">
        <v>0</v>
      </c>
      <c r="F43" s="317">
        <f t="shared" si="3"/>
        <v>3.2181829999999998</v>
      </c>
      <c r="G43" s="318">
        <f t="shared" si="0"/>
        <v>1371.65936283</v>
      </c>
      <c r="H43" s="302">
        <f t="shared" si="1"/>
        <v>2006</v>
      </c>
      <c r="I43" s="302" t="str">
        <f t="shared" si="2"/>
        <v>4</v>
      </c>
      <c r="S43" s="1199">
        <f>IFERROR(IF(MAX('Data - Monthly Commodity Prices'!$A$9:$A$1300)=VALUE(RIGHT(S42,4)),"",IF($U$33="Calendar Year",S42+1,CONCATENATE(LEFT(S42,4)+1,"-",RIGHT(S42,4)+1))),"")</f>
        <v>2005</v>
      </c>
      <c r="T43" s="750" t="s">
        <v>508</v>
      </c>
      <c r="U43" s="1365">
        <f t="shared" si="7"/>
        <v>11.352183</v>
      </c>
      <c r="V43" s="1358">
        <f t="shared" si="6"/>
        <v>3594.8574879999996</v>
      </c>
      <c r="W43" s="360"/>
    </row>
    <row r="44" spans="1:23">
      <c r="A44" s="314">
        <v>39142</v>
      </c>
      <c r="B44" s="315">
        <v>2.8526566380000005</v>
      </c>
      <c r="C44" s="316">
        <v>1260.64760548</v>
      </c>
      <c r="D44" s="315">
        <v>0</v>
      </c>
      <c r="E44" s="316">
        <v>0</v>
      </c>
      <c r="F44" s="315">
        <f t="shared" si="3"/>
        <v>2.8526566380000005</v>
      </c>
      <c r="G44" s="316">
        <f t="shared" si="0"/>
        <v>1260.64760548</v>
      </c>
      <c r="H44" s="302">
        <f t="shared" si="1"/>
        <v>2007</v>
      </c>
      <c r="I44" s="302" t="str">
        <f t="shared" si="2"/>
        <v>1</v>
      </c>
      <c r="S44" s="1199">
        <f>IFERROR(IF(MAX('Data - Monthly Commodity Prices'!$A$9:$A$1300)=VALUE(RIGHT(S43,4)),"",IF($U$33="Calendar Year",S43+1,CONCATENATE(LEFT(S43,4)+1,"-",RIGHT(S43,4)+1))),"")</f>
        <v>2006</v>
      </c>
      <c r="T44" s="750" t="s">
        <v>509</v>
      </c>
      <c r="U44" s="497">
        <f t="shared" si="7"/>
        <v>11.82174775</v>
      </c>
      <c r="V44" s="511">
        <f t="shared" si="6"/>
        <v>4921.7215114199998</v>
      </c>
      <c r="W44" s="360"/>
    </row>
    <row r="45" spans="1:23">
      <c r="A45" s="314">
        <v>39234</v>
      </c>
      <c r="B45" s="317">
        <v>3.006617425</v>
      </c>
      <c r="C45" s="318">
        <v>1274.8707756099998</v>
      </c>
      <c r="D45" s="317">
        <v>0</v>
      </c>
      <c r="E45" s="318">
        <v>0</v>
      </c>
      <c r="F45" s="317">
        <f t="shared" si="3"/>
        <v>3.006617425</v>
      </c>
      <c r="G45" s="318">
        <f t="shared" si="0"/>
        <v>1274.8707756099998</v>
      </c>
      <c r="H45" s="302">
        <f t="shared" si="1"/>
        <v>2007</v>
      </c>
      <c r="I45" s="302" t="str">
        <f t="shared" si="2"/>
        <v>2</v>
      </c>
      <c r="S45" s="1199">
        <f>IFERROR(IF(MAX('Data - Monthly Commodity Prices'!$A$9:$A$1300)=VALUE(RIGHT(S44,4)),"",IF($U$33="Calendar Year",S44+1,CONCATENATE(LEFT(S44,4)+1,"-",RIGHT(S44,4)+1))),"")</f>
        <v>2007</v>
      </c>
      <c r="T45" s="750" t="s">
        <v>510</v>
      </c>
      <c r="U45" s="1365">
        <f t="shared" si="7"/>
        <v>12.193625759000001</v>
      </c>
      <c r="V45" s="1358">
        <f t="shared" si="6"/>
        <v>5048.3498728499999</v>
      </c>
      <c r="W45" s="360"/>
    </row>
    <row r="46" spans="1:23">
      <c r="A46" s="314">
        <v>39326</v>
      </c>
      <c r="B46" s="315">
        <v>3.137426526</v>
      </c>
      <c r="C46" s="316">
        <v>1300.1445779999999</v>
      </c>
      <c r="D46" s="315">
        <v>0</v>
      </c>
      <c r="E46" s="316">
        <v>0</v>
      </c>
      <c r="F46" s="315">
        <f t="shared" si="3"/>
        <v>3.137426526</v>
      </c>
      <c r="G46" s="316">
        <f t="shared" si="0"/>
        <v>1300.1445779999999</v>
      </c>
      <c r="H46" s="302">
        <f t="shared" si="1"/>
        <v>2007</v>
      </c>
      <c r="I46" s="302" t="str">
        <f t="shared" si="2"/>
        <v>3</v>
      </c>
      <c r="S46" s="1199">
        <f>IFERROR(IF(MAX('Data - Monthly Commodity Prices'!$A$9:$A$1300)=VALUE(RIGHT(S45,4)),"",IF($U$33="Calendar Year",S45+1,CONCATENATE(LEFT(S45,4)+1,"-",RIGHT(S45,4)+1))),"")</f>
        <v>2008</v>
      </c>
      <c r="T46" s="750" t="s">
        <v>511</v>
      </c>
      <c r="U46" s="497">
        <f t="shared" si="7"/>
        <v>12.245763095999999</v>
      </c>
      <c r="V46" s="511">
        <f t="shared" si="6"/>
        <v>4759.5109524</v>
      </c>
      <c r="W46" s="360"/>
    </row>
    <row r="47" spans="1:23">
      <c r="A47" s="314">
        <v>39417</v>
      </c>
      <c r="B47" s="317">
        <v>3.1969251700000001</v>
      </c>
      <c r="C47" s="318">
        <v>1212.6869137599999</v>
      </c>
      <c r="D47" s="317">
        <v>0</v>
      </c>
      <c r="E47" s="318">
        <v>0</v>
      </c>
      <c r="F47" s="317">
        <f t="shared" si="3"/>
        <v>3.1969251700000001</v>
      </c>
      <c r="G47" s="318">
        <f t="shared" si="0"/>
        <v>1212.6869137599999</v>
      </c>
      <c r="H47" s="302">
        <f t="shared" si="1"/>
        <v>2007</v>
      </c>
      <c r="I47" s="302" t="str">
        <f t="shared" si="2"/>
        <v>4</v>
      </c>
      <c r="S47" s="1199">
        <f>IFERROR(IF(MAX('Data - Monthly Commodity Prices'!$A$9:$A$1300)=VALUE(RIGHT(S46,4)),"",IF($U$33="Calendar Year",S46+1,CONCATENATE(LEFT(S46,4)+1,"-",RIGHT(S46,4)+1))),"")</f>
        <v>2009</v>
      </c>
      <c r="T47" s="750" t="s">
        <v>512</v>
      </c>
      <c r="U47" s="1365">
        <f t="shared" si="7"/>
        <v>12.42197</v>
      </c>
      <c r="V47" s="1358">
        <f t="shared" si="6"/>
        <v>3800.77350918</v>
      </c>
      <c r="W47" s="360"/>
    </row>
    <row r="48" spans="1:23">
      <c r="A48" s="314">
        <v>39508</v>
      </c>
      <c r="B48" s="315">
        <v>3.0313540959999998</v>
      </c>
      <c r="C48" s="316">
        <v>1133.7727281</v>
      </c>
      <c r="D48" s="315">
        <v>0</v>
      </c>
      <c r="E48" s="316">
        <v>0</v>
      </c>
      <c r="F48" s="315">
        <f t="shared" si="3"/>
        <v>3.0313540959999998</v>
      </c>
      <c r="G48" s="316">
        <f t="shared" si="0"/>
        <v>1133.7727281</v>
      </c>
      <c r="H48" s="302">
        <f t="shared" si="1"/>
        <v>2008</v>
      </c>
      <c r="I48" s="302" t="str">
        <f t="shared" si="2"/>
        <v>1</v>
      </c>
      <c r="S48" s="1199">
        <f>IFERROR(IF(MAX('Data - Monthly Commodity Prices'!$A$9:$A$1300)=VALUE(RIGHT(S47,4)),"",IF($U$33="Calendar Year",S47+1,CONCATENATE(LEFT(S47,4)+1,"-",RIGHT(S47,4)+1))),"")</f>
        <v>2010</v>
      </c>
      <c r="T48" s="750" t="s">
        <v>513</v>
      </c>
      <c r="U48" s="497">
        <f t="shared" si="7"/>
        <v>12.563285</v>
      </c>
      <c r="V48" s="511">
        <f t="shared" si="6"/>
        <v>3959.4147508300002</v>
      </c>
      <c r="W48" s="360"/>
    </row>
    <row r="49" spans="1:26">
      <c r="A49" s="314">
        <v>39600</v>
      </c>
      <c r="B49" s="317">
        <v>2.9555720000000001</v>
      </c>
      <c r="C49" s="318">
        <v>1191.81323365</v>
      </c>
      <c r="D49" s="317">
        <v>0</v>
      </c>
      <c r="E49" s="318">
        <v>0</v>
      </c>
      <c r="F49" s="317">
        <f t="shared" si="3"/>
        <v>2.9555720000000001</v>
      </c>
      <c r="G49" s="318">
        <f t="shared" si="0"/>
        <v>1191.81323365</v>
      </c>
      <c r="H49" s="302">
        <f t="shared" si="1"/>
        <v>2008</v>
      </c>
      <c r="I49" s="302" t="str">
        <f t="shared" si="2"/>
        <v>2</v>
      </c>
      <c r="S49" s="1199">
        <f>IFERROR(IF(MAX('Data - Monthly Commodity Prices'!$A$9:$A$1300)=VALUE(RIGHT(S48,4)),"",IF($U$33="Calendar Year",S48+1,CONCATENATE(LEFT(S48,4)+1,"-",RIGHT(S48,4)+1))),"")</f>
        <v>2011</v>
      </c>
      <c r="T49" s="750" t="s">
        <v>514</v>
      </c>
      <c r="U49" s="1365">
        <f t="shared" si="7"/>
        <v>12.291484000000001</v>
      </c>
      <c r="V49" s="1358">
        <f t="shared" si="6"/>
        <v>4189.4656789399996</v>
      </c>
      <c r="W49" s="360"/>
    </row>
    <row r="50" spans="1:26">
      <c r="A50" s="314">
        <v>39692</v>
      </c>
      <c r="B50" s="315">
        <v>3.143386</v>
      </c>
      <c r="C50" s="316">
        <v>1236.8389339299999</v>
      </c>
      <c r="D50" s="315">
        <v>0</v>
      </c>
      <c r="E50" s="316">
        <v>0</v>
      </c>
      <c r="F50" s="315">
        <f t="shared" si="3"/>
        <v>3.143386</v>
      </c>
      <c r="G50" s="316">
        <f t="shared" si="0"/>
        <v>1236.8389339299999</v>
      </c>
      <c r="H50" s="302">
        <f t="shared" si="1"/>
        <v>2008</v>
      </c>
      <c r="I50" s="302" t="str">
        <f t="shared" si="2"/>
        <v>3</v>
      </c>
      <c r="S50" s="1199">
        <f>IFERROR(IF(MAX('Data - Monthly Commodity Prices'!$A$9:$A$1300)=VALUE(RIGHT(S49,4)),"",IF($U$33="Calendar Year",S49+1,CONCATENATE(LEFT(S49,4)+1,"-",RIGHT(S49,4)+1))),"")</f>
        <v>2012</v>
      </c>
      <c r="T50" s="750" t="s">
        <v>515</v>
      </c>
      <c r="U50" s="497">
        <f t="shared" si="7"/>
        <v>12.81154939</v>
      </c>
      <c r="V50" s="511">
        <f t="shared" si="6"/>
        <v>3831.1474728899998</v>
      </c>
      <c r="W50" s="360"/>
    </row>
    <row r="51" spans="1:26">
      <c r="A51" s="314">
        <v>39783</v>
      </c>
      <c r="B51" s="317">
        <v>3.1154510000000002</v>
      </c>
      <c r="C51" s="318">
        <v>1197.08605672</v>
      </c>
      <c r="D51" s="317">
        <v>0</v>
      </c>
      <c r="E51" s="318">
        <v>0</v>
      </c>
      <c r="F51" s="317">
        <f t="shared" si="3"/>
        <v>3.1154510000000002</v>
      </c>
      <c r="G51" s="318">
        <f t="shared" si="0"/>
        <v>1197.08605672</v>
      </c>
      <c r="H51" s="302">
        <f t="shared" si="1"/>
        <v>2008</v>
      </c>
      <c r="I51" s="302" t="str">
        <f t="shared" si="2"/>
        <v>4</v>
      </c>
      <c r="S51" s="1199">
        <f>IFERROR(IF(MAX('Data - Monthly Commodity Prices'!$A$9:$A$1300)=VALUE(RIGHT(S50,4)),"",IF($U$33="Calendar Year",S50+1,CONCATENATE(LEFT(S50,4)+1,"-",RIGHT(S50,4)+1))),"")</f>
        <v>2013</v>
      </c>
      <c r="T51" s="750" t="s">
        <v>516</v>
      </c>
      <c r="U51" s="1365">
        <f t="shared" si="7"/>
        <v>13.625703529999999</v>
      </c>
      <c r="V51" s="1358">
        <f t="shared" si="6"/>
        <v>4147.0508934999998</v>
      </c>
      <c r="W51" s="360"/>
    </row>
    <row r="52" spans="1:26">
      <c r="A52" s="314">
        <v>39873</v>
      </c>
      <c r="B52" s="315">
        <v>2.9973230000000002</v>
      </c>
      <c r="C52" s="316">
        <v>1003.55684931</v>
      </c>
      <c r="D52" s="315">
        <v>0</v>
      </c>
      <c r="E52" s="316">
        <v>0</v>
      </c>
      <c r="F52" s="315">
        <f t="shared" si="3"/>
        <v>2.9973230000000002</v>
      </c>
      <c r="G52" s="316">
        <f t="shared" si="0"/>
        <v>1003.55684931</v>
      </c>
      <c r="H52" s="302">
        <f t="shared" si="1"/>
        <v>2009</v>
      </c>
      <c r="I52" s="302" t="str">
        <f t="shared" si="2"/>
        <v>1</v>
      </c>
      <c r="S52" s="1199">
        <f>IFERROR(IF(MAX('Data - Monthly Commodity Prices'!$A$9:$A$1300)=VALUE(RIGHT(S51,4)),"",IF($U$33="Calendar Year",S51+1,CONCATENATE(LEFT(S51,4)+1,"-",RIGHT(S51,4)+1))),"")</f>
        <v>2014</v>
      </c>
      <c r="T52" s="750" t="s">
        <v>517</v>
      </c>
      <c r="U52" s="497">
        <f t="shared" si="7"/>
        <v>13.876846260000001</v>
      </c>
      <c r="V52" s="511">
        <f t="shared" si="6"/>
        <v>4561.7391589999997</v>
      </c>
      <c r="W52" s="360"/>
    </row>
    <row r="53" spans="1:26">
      <c r="A53" s="314">
        <v>39965</v>
      </c>
      <c r="B53" s="317">
        <v>3.015393</v>
      </c>
      <c r="C53" s="318">
        <v>915.16211041999998</v>
      </c>
      <c r="D53" s="317">
        <v>0</v>
      </c>
      <c r="E53" s="318">
        <v>0</v>
      </c>
      <c r="F53" s="317">
        <f t="shared" si="3"/>
        <v>3.015393</v>
      </c>
      <c r="G53" s="318">
        <f t="shared" si="0"/>
        <v>915.16211041999998</v>
      </c>
      <c r="H53" s="302">
        <f t="shared" si="1"/>
        <v>2009</v>
      </c>
      <c r="I53" s="302" t="str">
        <f t="shared" si="2"/>
        <v>2</v>
      </c>
      <c r="S53" s="1199">
        <f>IFERROR(IF(MAX('Data - Monthly Commodity Prices'!$A$9:$A$1300)=VALUE(RIGHT(S52,4)),"",IF($U$33="Calendar Year",S52+1,CONCATENATE(LEFT(S52,4)+1,"-",RIGHT(S52,4)+1))),"")</f>
        <v>2015</v>
      </c>
      <c r="T53" s="750" t="s">
        <v>518</v>
      </c>
      <c r="U53" s="1365">
        <f t="shared" si="7"/>
        <v>13.778493586</v>
      </c>
      <c r="V53" s="1358">
        <f t="shared" si="6"/>
        <v>5290.3826119999994</v>
      </c>
      <c r="W53" s="360"/>
    </row>
    <row r="54" spans="1:26">
      <c r="A54" s="314">
        <v>40057</v>
      </c>
      <c r="B54" s="315">
        <v>3.1684800000000002</v>
      </c>
      <c r="C54" s="316">
        <v>930.12488985000005</v>
      </c>
      <c r="D54" s="315">
        <v>0</v>
      </c>
      <c r="E54" s="316">
        <v>0</v>
      </c>
      <c r="F54" s="315">
        <f t="shared" si="3"/>
        <v>3.1684800000000002</v>
      </c>
      <c r="G54" s="316">
        <f t="shared" si="0"/>
        <v>930.12488985000005</v>
      </c>
      <c r="H54" s="302">
        <f t="shared" si="1"/>
        <v>2009</v>
      </c>
      <c r="I54" s="302" t="str">
        <f t="shared" si="2"/>
        <v>3</v>
      </c>
      <c r="N54" s="488"/>
      <c r="S54" s="1199">
        <f>IFERROR(IF(MAX('Data - Monthly Commodity Prices'!$A$9:$A$1300)=VALUE(RIGHT(S53,4)),"",IF($U$33="Calendar Year",S53+1,CONCATENATE(LEFT(S53,4)+1,"-",RIGHT(S53,4)+1))),"")</f>
        <v>2016</v>
      </c>
      <c r="T54" s="750" t="s">
        <v>519</v>
      </c>
      <c r="U54" s="497">
        <f t="shared" si="7"/>
        <v>13.922088889999999</v>
      </c>
      <c r="V54" s="511">
        <f t="shared" si="6"/>
        <v>4590.6042450000004</v>
      </c>
      <c r="W54" s="360"/>
    </row>
    <row r="55" spans="1:26">
      <c r="A55" s="314">
        <v>40148</v>
      </c>
      <c r="B55" s="317">
        <v>3.240774</v>
      </c>
      <c r="C55" s="318">
        <v>951.92965960000004</v>
      </c>
      <c r="D55" s="317">
        <v>0</v>
      </c>
      <c r="E55" s="318">
        <v>0</v>
      </c>
      <c r="F55" s="317">
        <f t="shared" si="3"/>
        <v>3.240774</v>
      </c>
      <c r="G55" s="318">
        <f t="shared" si="0"/>
        <v>951.92965960000004</v>
      </c>
      <c r="H55" s="302">
        <f t="shared" si="1"/>
        <v>2009</v>
      </c>
      <c r="I55" s="302" t="str">
        <f t="shared" si="2"/>
        <v>4</v>
      </c>
      <c r="S55" s="1199">
        <f>IFERROR(IF(MAX('Data - Monthly Commodity Prices'!$A$9:$A$1300)=VALUE(RIGHT(S54,4)),"",IF($U$33="Calendar Year",S54+1,CONCATENATE(LEFT(S54,4)+1,"-",RIGHT(S54,4)+1))),"")</f>
        <v>2017</v>
      </c>
      <c r="T55" s="750" t="s">
        <v>520</v>
      </c>
      <c r="U55" s="1365">
        <f t="shared" si="7"/>
        <v>14.67100645</v>
      </c>
      <c r="V55" s="1358">
        <f>IF(S55="","",IF($U$33="Calendar Year",SUMIF($H$8:$H$200,$S55,$G$8:$G$200),SUMIFS($G$8:$G$200,$H$8:$H$200,LEFT($S55,4),$I$8:$I$200,3)+SUMIFS($G$8:$G$200,$H$8:$H$200,LEFT($S55,4),$I$8:$I$200,4)+SUMIFS($G$8:$G$200,$H$8:$H$200,LEFT($S55,4)+1,$I$8:$I$200,1)+SUMIFS($G$8:$G$200,$H$8:$H$200,LEFT($S55,4)+1,$I$8:$I$200,2)))</f>
        <v>5878.7310669999997</v>
      </c>
      <c r="W55" s="360"/>
    </row>
    <row r="56" spans="1:26">
      <c r="A56" s="314">
        <v>40238</v>
      </c>
      <c r="B56" s="315">
        <v>3.0067400000000002</v>
      </c>
      <c r="C56" s="316">
        <v>951.88239245</v>
      </c>
      <c r="D56" s="315">
        <v>0</v>
      </c>
      <c r="E56" s="316">
        <v>0</v>
      </c>
      <c r="F56" s="315">
        <f t="shared" si="3"/>
        <v>3.0067400000000002</v>
      </c>
      <c r="G56" s="316">
        <f t="shared" si="0"/>
        <v>951.88239245</v>
      </c>
      <c r="H56" s="302">
        <f t="shared" si="1"/>
        <v>2010</v>
      </c>
      <c r="I56" s="302" t="str">
        <f t="shared" si="2"/>
        <v>1</v>
      </c>
      <c r="O56" s="537"/>
      <c r="S56" s="1199">
        <f>IFERROR(IF(MAX('Data - Monthly Commodity Prices'!$A$9:$A$1300)=VALUE(RIGHT(S55,4)),"",IF($U$33="Calendar Year",S55+1,CONCATENATE(LEFT(S55,4)+1,"-",RIGHT(S55,4)+1))),"")</f>
        <v>2018</v>
      </c>
      <c r="T56" s="750" t="s">
        <v>521</v>
      </c>
      <c r="U56" s="497">
        <f t="shared" si="7"/>
        <v>14.9793938</v>
      </c>
      <c r="V56" s="511">
        <f t="shared" ref="V56:V60" si="8">IF(S56="","",IF($U$33="Calendar Year",SUMIF($H$8:$H$200,$S56,$G$8:$G$200),SUMIFS($G$8:$G$200,$H$8:$H$200,LEFT($S56,4),$I$8:$I$200,3)+SUMIFS($G$8:$G$200,$H$8:$H$200,LEFT($S56,4),$I$8:$I$200,4)+SUMIFS($G$8:$G$200,$H$8:$H$200,LEFT($S56,4)+1,$I$8:$I$200,1)+SUMIFS($G$8:$G$200,$H$8:$H$200,LEFT($S56,4)+1,$I$8:$I$200,2)))</f>
        <v>7924.8548730000002</v>
      </c>
      <c r="W56" s="360"/>
    </row>
    <row r="57" spans="1:26">
      <c r="A57" s="314">
        <v>40330</v>
      </c>
      <c r="B57" s="317">
        <v>3.2271839999999998</v>
      </c>
      <c r="C57" s="318">
        <v>1037.25485976</v>
      </c>
      <c r="D57" s="317">
        <v>0</v>
      </c>
      <c r="E57" s="318">
        <v>0</v>
      </c>
      <c r="F57" s="317">
        <f t="shared" si="3"/>
        <v>3.2271839999999998</v>
      </c>
      <c r="G57" s="318">
        <f t="shared" si="0"/>
        <v>1037.25485976</v>
      </c>
      <c r="H57" s="302">
        <f t="shared" si="1"/>
        <v>2010</v>
      </c>
      <c r="I57" s="302" t="str">
        <f t="shared" si="2"/>
        <v>2</v>
      </c>
      <c r="S57" s="1199">
        <f>IFERROR(IF(MAX('Data - Monthly Commodity Prices'!$A$9:$A$1300)=VALUE(RIGHT(S56,4)),"",IF($U$33="Calendar Year",S56+1,CONCATENATE(LEFT(S56,4)+1,"-",RIGHT(S56,4)+1))),"")</f>
        <v>2019</v>
      </c>
      <c r="T57" s="750" t="s">
        <v>522</v>
      </c>
      <c r="U57" s="1365">
        <f t="shared" si="7"/>
        <v>15.880590682999999</v>
      </c>
      <c r="V57" s="1358">
        <f t="shared" si="8"/>
        <v>7358.9849519999998</v>
      </c>
      <c r="W57" s="360"/>
    </row>
    <row r="58" spans="1:26">
      <c r="A58" s="314">
        <v>40422</v>
      </c>
      <c r="B58" s="315">
        <v>3.1595629999999999</v>
      </c>
      <c r="C58" s="316">
        <v>971.95403041000009</v>
      </c>
      <c r="D58" s="315">
        <v>0</v>
      </c>
      <c r="E58" s="316">
        <v>0</v>
      </c>
      <c r="F58" s="315">
        <f t="shared" si="3"/>
        <v>3.1595629999999999</v>
      </c>
      <c r="G58" s="316">
        <f t="shared" si="0"/>
        <v>971.95403041000009</v>
      </c>
      <c r="H58" s="302">
        <f t="shared" si="1"/>
        <v>2010</v>
      </c>
      <c r="I58" s="302" t="str">
        <f t="shared" si="2"/>
        <v>3</v>
      </c>
      <c r="S58" s="1199" t="str">
        <f>IFERROR(IF(MAX('Data - Monthly Commodity Prices'!$A$9:$A$1300)=VALUE(RIGHT(S57,4)),"",IF($U$33="Calendar Year",S57+1,CONCATENATE(LEFT(S57,4)+1,"-",RIGHT(S57,4)+1))),"")</f>
        <v/>
      </c>
      <c r="T58" s="750" t="s">
        <v>523</v>
      </c>
      <c r="U58" s="351" t="str">
        <f t="shared" ref="U58:U60" si="9">IF(S58="","",IF($U$33="Calendar Year",SUMIF($H$8:$H$200,$S58,$F$8:$F$200),SUMIFS($F$8:$F$200,$H$8:$H$200,LEFT($S58,4),$I$8:$I$200,3)+SUMIFS($F$8:$F$200,$H$8:$H$200,LEFT($S58,4),$I$8:$I$200,4)+SUMIFS($F$8:$F$200,$H$8:$H$200,LEFT($S58,4)+1,$I$8:$I$200,1)+SUMIFS($F$8:$F$200,$H$8:$H$200,LEFT($S58,4)+1,$I$8:$I$200,2)))</f>
        <v/>
      </c>
      <c r="V58" s="352" t="str">
        <f t="shared" si="8"/>
        <v/>
      </c>
      <c r="W58" s="360"/>
      <c r="Z58" s="339"/>
    </row>
    <row r="59" spans="1:26">
      <c r="A59" s="314">
        <v>40513</v>
      </c>
      <c r="B59" s="317">
        <v>3.1697980000000001</v>
      </c>
      <c r="C59" s="318">
        <v>998.32346820999999</v>
      </c>
      <c r="D59" s="317">
        <v>0</v>
      </c>
      <c r="E59" s="318">
        <v>0</v>
      </c>
      <c r="F59" s="317">
        <f t="shared" si="3"/>
        <v>3.1697980000000001</v>
      </c>
      <c r="G59" s="318">
        <f t="shared" si="0"/>
        <v>998.32346820999999</v>
      </c>
      <c r="H59" s="302">
        <f t="shared" si="1"/>
        <v>2010</v>
      </c>
      <c r="I59" s="302" t="str">
        <f t="shared" si="2"/>
        <v>4</v>
      </c>
      <c r="S59" s="1199" t="str">
        <f>IFERROR(IF(MAX('Data - Monthly Commodity Prices'!$A$9:$A$1300)=VALUE(RIGHT(S58,4)),"",IF($U$33="Calendar Year",S58+1,CONCATENATE(LEFT(S58,4)+1,"-",RIGHT(S58,4)+1))),"")</f>
        <v/>
      </c>
      <c r="T59" s="750" t="s">
        <v>524</v>
      </c>
      <c r="U59" s="358" t="str">
        <f t="shared" si="9"/>
        <v/>
      </c>
      <c r="V59" s="359" t="str">
        <f t="shared" si="8"/>
        <v/>
      </c>
      <c r="W59" s="360"/>
    </row>
    <row r="60" spans="1:26" ht="15.75" thickBot="1">
      <c r="A60" s="314">
        <v>40603</v>
      </c>
      <c r="B60" s="315">
        <v>2.903823</v>
      </c>
      <c r="C60" s="316">
        <v>984.45788801999993</v>
      </c>
      <c r="D60" s="315">
        <v>0</v>
      </c>
      <c r="E60" s="316">
        <v>0</v>
      </c>
      <c r="F60" s="315">
        <f t="shared" si="3"/>
        <v>2.903823</v>
      </c>
      <c r="G60" s="316">
        <f t="shared" si="0"/>
        <v>984.45788801999993</v>
      </c>
      <c r="H60" s="302">
        <f t="shared" si="1"/>
        <v>2011</v>
      </c>
      <c r="I60" s="302" t="str">
        <f t="shared" si="2"/>
        <v>1</v>
      </c>
      <c r="S60" s="933" t="str">
        <f>IFERROR(IF(MAX('Data - Monthly Commodity Prices'!$A$9:$A$1300)=VALUE(RIGHT(S59,4)),"",IF($U$33="Calendar Year",S59+1,CONCATENATE(LEFT(S59,4)+1,"-",RIGHT(S59,4)+1))),"")</f>
        <v/>
      </c>
      <c r="T60" s="751" t="s">
        <v>525</v>
      </c>
      <c r="U60" s="353" t="str">
        <f t="shared" si="9"/>
        <v/>
      </c>
      <c r="V60" s="354" t="str">
        <f t="shared" si="8"/>
        <v/>
      </c>
    </row>
    <row r="61" spans="1:26">
      <c r="A61" s="314">
        <v>40695</v>
      </c>
      <c r="B61" s="317">
        <v>3.0474450000000002</v>
      </c>
      <c r="C61" s="318">
        <v>1035.6409885099999</v>
      </c>
      <c r="D61" s="317">
        <v>0</v>
      </c>
      <c r="E61" s="318">
        <v>0</v>
      </c>
      <c r="F61" s="317">
        <f t="shared" si="3"/>
        <v>3.0474450000000002</v>
      </c>
      <c r="G61" s="318">
        <f t="shared" si="0"/>
        <v>1035.6409885099999</v>
      </c>
      <c r="H61" s="302">
        <f t="shared" si="1"/>
        <v>2011</v>
      </c>
      <c r="I61" s="302" t="str">
        <f t="shared" si="2"/>
        <v>2</v>
      </c>
    </row>
    <row r="62" spans="1:26">
      <c r="A62" s="314">
        <v>40787</v>
      </c>
      <c r="B62" s="315">
        <v>3.1583139999999998</v>
      </c>
      <c r="C62" s="316">
        <v>1077.37941153</v>
      </c>
      <c r="D62" s="315">
        <v>0</v>
      </c>
      <c r="E62" s="316">
        <v>0</v>
      </c>
      <c r="F62" s="315">
        <f t="shared" si="3"/>
        <v>3.1583139999999998</v>
      </c>
      <c r="G62" s="316">
        <f t="shared" si="0"/>
        <v>1077.37941153</v>
      </c>
      <c r="H62" s="302">
        <f t="shared" si="1"/>
        <v>2011</v>
      </c>
      <c r="I62" s="302" t="str">
        <f t="shared" si="2"/>
        <v>3</v>
      </c>
      <c r="N62" s="798"/>
    </row>
    <row r="63" spans="1:26">
      <c r="A63" s="314">
        <v>40878</v>
      </c>
      <c r="B63" s="317">
        <v>3.181902</v>
      </c>
      <c r="C63" s="318">
        <v>1091.98739088</v>
      </c>
      <c r="D63" s="317">
        <v>0</v>
      </c>
      <c r="E63" s="318">
        <v>0</v>
      </c>
      <c r="F63" s="317">
        <f t="shared" si="3"/>
        <v>3.181902</v>
      </c>
      <c r="G63" s="318">
        <f t="shared" si="0"/>
        <v>1091.98739088</v>
      </c>
      <c r="H63" s="302">
        <f t="shared" si="1"/>
        <v>2011</v>
      </c>
      <c r="I63" s="302" t="str">
        <f t="shared" si="2"/>
        <v>4</v>
      </c>
    </row>
    <row r="64" spans="1:26">
      <c r="A64" s="314">
        <v>40969</v>
      </c>
      <c r="B64" s="315">
        <v>3.13856044</v>
      </c>
      <c r="C64" s="316">
        <v>954.67792485999985</v>
      </c>
      <c r="D64" s="315">
        <v>0</v>
      </c>
      <c r="E64" s="316">
        <v>0</v>
      </c>
      <c r="F64" s="315">
        <f t="shared" si="3"/>
        <v>3.13856044</v>
      </c>
      <c r="G64" s="316">
        <f t="shared" si="0"/>
        <v>954.67792485999985</v>
      </c>
      <c r="H64" s="302">
        <f t="shared" si="1"/>
        <v>2012</v>
      </c>
      <c r="I64" s="302" t="str">
        <f t="shared" si="2"/>
        <v>1</v>
      </c>
    </row>
    <row r="65" spans="1:12">
      <c r="A65" s="314">
        <v>41061</v>
      </c>
      <c r="B65" s="317">
        <v>2.9460838900000001</v>
      </c>
      <c r="C65" s="318">
        <v>886.17465431000005</v>
      </c>
      <c r="D65" s="317">
        <v>0</v>
      </c>
      <c r="E65" s="318">
        <v>0</v>
      </c>
      <c r="F65" s="317">
        <f t="shared" si="3"/>
        <v>2.9460838900000001</v>
      </c>
      <c r="G65" s="318">
        <f t="shared" si="0"/>
        <v>886.17465431000005</v>
      </c>
      <c r="H65" s="302">
        <f t="shared" si="1"/>
        <v>2012</v>
      </c>
      <c r="I65" s="302" t="str">
        <f t="shared" si="2"/>
        <v>2</v>
      </c>
    </row>
    <row r="66" spans="1:12">
      <c r="A66" s="314">
        <v>41153</v>
      </c>
      <c r="B66" s="315">
        <v>3.3496731800000004</v>
      </c>
      <c r="C66" s="316">
        <v>999.30645370000002</v>
      </c>
      <c r="D66" s="315">
        <v>0</v>
      </c>
      <c r="E66" s="316">
        <v>0</v>
      </c>
      <c r="F66" s="315">
        <f t="shared" si="3"/>
        <v>3.3496731800000004</v>
      </c>
      <c r="G66" s="316">
        <f t="shared" si="0"/>
        <v>999.30645370000002</v>
      </c>
      <c r="H66" s="302">
        <f t="shared" si="1"/>
        <v>2012</v>
      </c>
      <c r="I66" s="302" t="str">
        <f t="shared" si="2"/>
        <v>3</v>
      </c>
    </row>
    <row r="67" spans="1:12">
      <c r="A67" s="314">
        <v>41244</v>
      </c>
      <c r="B67" s="317">
        <v>3.3772318800000001</v>
      </c>
      <c r="C67" s="318">
        <v>990.98844001999998</v>
      </c>
      <c r="D67" s="317">
        <v>0</v>
      </c>
      <c r="E67" s="318">
        <v>0</v>
      </c>
      <c r="F67" s="317">
        <f t="shared" si="3"/>
        <v>3.3772318800000001</v>
      </c>
      <c r="G67" s="318">
        <f t="shared" si="0"/>
        <v>990.98844001999998</v>
      </c>
      <c r="H67" s="302">
        <f t="shared" si="1"/>
        <v>2012</v>
      </c>
      <c r="I67" s="302" t="str">
        <f t="shared" si="2"/>
        <v>4</v>
      </c>
    </row>
    <row r="68" spans="1:12">
      <c r="A68" s="314">
        <v>41334</v>
      </c>
      <c r="B68" s="315">
        <v>3.3653829900000001</v>
      </c>
      <c r="C68" s="316">
        <v>1004.88291427</v>
      </c>
      <c r="D68" s="315">
        <v>0</v>
      </c>
      <c r="E68" s="316">
        <v>0</v>
      </c>
      <c r="F68" s="315">
        <f t="shared" si="3"/>
        <v>3.3653829900000001</v>
      </c>
      <c r="G68" s="316">
        <f t="shared" si="0"/>
        <v>1004.88291427</v>
      </c>
      <c r="H68" s="302">
        <f t="shared" si="1"/>
        <v>2013</v>
      </c>
      <c r="I68" s="302" t="str">
        <f t="shared" si="2"/>
        <v>1</v>
      </c>
    </row>
    <row r="69" spans="1:12">
      <c r="A69" s="314">
        <v>41426</v>
      </c>
      <c r="B69" s="317">
        <v>3.4384641199999999</v>
      </c>
      <c r="C69" s="318">
        <v>1032.63240922</v>
      </c>
      <c r="D69" s="317">
        <v>0</v>
      </c>
      <c r="E69" s="318">
        <v>0</v>
      </c>
      <c r="F69" s="317">
        <f t="shared" si="3"/>
        <v>3.4384641199999999</v>
      </c>
      <c r="G69" s="318">
        <f t="shared" si="0"/>
        <v>1032.63240922</v>
      </c>
      <c r="H69" s="302">
        <f t="shared" si="1"/>
        <v>2013</v>
      </c>
      <c r="I69" s="302" t="str">
        <f t="shared" si="2"/>
        <v>2</v>
      </c>
    </row>
    <row r="70" spans="1:12">
      <c r="A70" s="314">
        <v>41518</v>
      </c>
      <c r="B70" s="315">
        <v>3.3039522099999998</v>
      </c>
      <c r="C70" s="316">
        <v>1029.30308724</v>
      </c>
      <c r="D70" s="315">
        <v>0</v>
      </c>
      <c r="E70" s="316">
        <v>0</v>
      </c>
      <c r="F70" s="315">
        <f t="shared" si="3"/>
        <v>3.3039522099999998</v>
      </c>
      <c r="G70" s="316">
        <f t="shared" si="0"/>
        <v>1029.30308724</v>
      </c>
      <c r="H70" s="302">
        <f t="shared" si="1"/>
        <v>2013</v>
      </c>
      <c r="I70" s="302" t="str">
        <f t="shared" si="2"/>
        <v>3</v>
      </c>
    </row>
    <row r="71" spans="1:12">
      <c r="A71" s="314">
        <v>41609</v>
      </c>
      <c r="B71" s="317">
        <v>3.5179042099999998</v>
      </c>
      <c r="C71" s="318">
        <v>1080.2324827699999</v>
      </c>
      <c r="D71" s="317">
        <v>0</v>
      </c>
      <c r="E71" s="318">
        <v>0</v>
      </c>
      <c r="F71" s="317">
        <f t="shared" si="3"/>
        <v>3.5179042099999998</v>
      </c>
      <c r="G71" s="318">
        <f t="shared" si="0"/>
        <v>1080.2324827699999</v>
      </c>
      <c r="H71" s="302">
        <f t="shared" si="1"/>
        <v>2013</v>
      </c>
      <c r="I71" s="302" t="str">
        <f t="shared" si="2"/>
        <v>4</v>
      </c>
    </row>
    <row r="72" spans="1:12">
      <c r="A72" s="314">
        <v>41699</v>
      </c>
      <c r="B72" s="315">
        <v>3.4847233900000001</v>
      </c>
      <c r="C72" s="316">
        <v>1117.855249</v>
      </c>
      <c r="D72" s="315">
        <v>0</v>
      </c>
      <c r="E72" s="316">
        <v>0</v>
      </c>
      <c r="F72" s="315">
        <f t="shared" si="3"/>
        <v>3.4847233900000001</v>
      </c>
      <c r="G72" s="316">
        <f t="shared" ref="G72:G87" si="10">SUM(C72+E72)</f>
        <v>1117.855249</v>
      </c>
      <c r="H72" s="302">
        <f t="shared" ref="H72:H135" si="11">YEAR(A72)</f>
        <v>2014</v>
      </c>
      <c r="I72" s="302" t="str">
        <f t="shared" ref="I72:I135" si="12">IF(MONTH(A72)=3,"1",IF(MONTH(A72)=6,"2",IF(MONTH(A72)=9,"3","4")))</f>
        <v>1</v>
      </c>
    </row>
    <row r="73" spans="1:12">
      <c r="A73" s="314">
        <v>41791</v>
      </c>
      <c r="B73" s="317">
        <v>3.41137187</v>
      </c>
      <c r="C73" s="318">
        <v>1067.9578799999999</v>
      </c>
      <c r="D73" s="317">
        <v>0</v>
      </c>
      <c r="E73" s="318">
        <v>0</v>
      </c>
      <c r="F73" s="317">
        <f t="shared" ref="F73:F87" si="13">SUM(B73+D73)</f>
        <v>3.41137187</v>
      </c>
      <c r="G73" s="318">
        <f t="shared" si="10"/>
        <v>1067.9578799999999</v>
      </c>
      <c r="H73" s="302">
        <f t="shared" si="11"/>
        <v>2014</v>
      </c>
      <c r="I73" s="302" t="str">
        <f t="shared" si="12"/>
        <v>2</v>
      </c>
    </row>
    <row r="74" spans="1:12">
      <c r="A74" s="314">
        <v>41883</v>
      </c>
      <c r="B74" s="315">
        <v>3.379305</v>
      </c>
      <c r="C74" s="316">
        <v>1081.011272</v>
      </c>
      <c r="D74" s="315">
        <v>0</v>
      </c>
      <c r="E74" s="316">
        <v>0</v>
      </c>
      <c r="F74" s="315">
        <f t="shared" si="13"/>
        <v>3.379305</v>
      </c>
      <c r="G74" s="316">
        <f t="shared" si="10"/>
        <v>1081.011272</v>
      </c>
      <c r="H74" s="302">
        <f t="shared" si="11"/>
        <v>2014</v>
      </c>
      <c r="I74" s="302" t="str">
        <f t="shared" si="12"/>
        <v>3</v>
      </c>
    </row>
    <row r="75" spans="1:12">
      <c r="A75" s="314">
        <v>41974</v>
      </c>
      <c r="B75" s="317">
        <v>3.6014460000000001</v>
      </c>
      <c r="C75" s="318">
        <v>1294.9147579999999</v>
      </c>
      <c r="D75" s="317">
        <v>0</v>
      </c>
      <c r="E75" s="318">
        <v>0</v>
      </c>
      <c r="F75" s="317">
        <f t="shared" si="13"/>
        <v>3.6014460000000001</v>
      </c>
      <c r="G75" s="318">
        <f t="shared" si="10"/>
        <v>1294.9147579999999</v>
      </c>
      <c r="H75" s="302">
        <f t="shared" si="11"/>
        <v>2014</v>
      </c>
      <c r="I75" s="302" t="str">
        <f t="shared" si="12"/>
        <v>4</v>
      </c>
    </row>
    <row r="76" spans="1:12">
      <c r="A76" s="314">
        <v>42064</v>
      </c>
      <c r="B76" s="315">
        <v>3.2643786460000004</v>
      </c>
      <c r="C76" s="316">
        <v>1275.4519760000001</v>
      </c>
      <c r="D76" s="315">
        <v>0</v>
      </c>
      <c r="E76" s="316">
        <v>0</v>
      </c>
      <c r="F76" s="315">
        <f t="shared" si="13"/>
        <v>3.2643786460000004</v>
      </c>
      <c r="G76" s="316">
        <f t="shared" si="10"/>
        <v>1275.4519760000001</v>
      </c>
      <c r="H76" s="302">
        <f t="shared" si="11"/>
        <v>2015</v>
      </c>
      <c r="I76" s="302" t="str">
        <f t="shared" si="12"/>
        <v>1</v>
      </c>
    </row>
    <row r="77" spans="1:12">
      <c r="A77" s="314">
        <v>42156</v>
      </c>
      <c r="B77" s="317">
        <v>3.5262826299999999</v>
      </c>
      <c r="C77" s="318">
        <v>1371.343212</v>
      </c>
      <c r="D77" s="317">
        <v>0</v>
      </c>
      <c r="E77" s="318">
        <v>0</v>
      </c>
      <c r="F77" s="317">
        <f t="shared" si="13"/>
        <v>3.5262826299999999</v>
      </c>
      <c r="G77" s="318">
        <f t="shared" si="10"/>
        <v>1371.343212</v>
      </c>
      <c r="H77" s="302">
        <f t="shared" si="11"/>
        <v>2015</v>
      </c>
      <c r="I77" s="302" t="str">
        <f t="shared" si="12"/>
        <v>2</v>
      </c>
    </row>
    <row r="78" spans="1:12">
      <c r="A78" s="314">
        <v>42248</v>
      </c>
      <c r="B78" s="315">
        <v>3.4379360000000001</v>
      </c>
      <c r="C78" s="316">
        <v>1375.346898</v>
      </c>
      <c r="D78" s="315">
        <v>0</v>
      </c>
      <c r="E78" s="316">
        <v>0</v>
      </c>
      <c r="F78" s="315">
        <f t="shared" si="13"/>
        <v>3.4379360000000001</v>
      </c>
      <c r="G78" s="316">
        <f t="shared" si="10"/>
        <v>1375.346898</v>
      </c>
      <c r="H78" s="302">
        <f t="shared" si="11"/>
        <v>2015</v>
      </c>
      <c r="I78" s="302" t="str">
        <f t="shared" si="12"/>
        <v>3</v>
      </c>
    </row>
    <row r="79" spans="1:12">
      <c r="A79" s="1190">
        <v>42339</v>
      </c>
      <c r="B79" s="1191">
        <v>3.5498963100000003</v>
      </c>
      <c r="C79" s="1192">
        <v>1268.240526</v>
      </c>
      <c r="D79" s="1191">
        <v>0</v>
      </c>
      <c r="E79" s="1192">
        <v>0</v>
      </c>
      <c r="F79" s="1191">
        <f t="shared" si="13"/>
        <v>3.5498963100000003</v>
      </c>
      <c r="G79" s="1192">
        <f t="shared" si="10"/>
        <v>1268.240526</v>
      </c>
      <c r="H79" s="302">
        <f t="shared" si="11"/>
        <v>2015</v>
      </c>
      <c r="I79" s="302" t="str">
        <f t="shared" si="12"/>
        <v>4</v>
      </c>
      <c r="K79" s="255"/>
      <c r="L79" s="255"/>
    </row>
    <row r="80" spans="1:12">
      <c r="A80" s="1190">
        <v>42430</v>
      </c>
      <c r="B80" s="285">
        <v>3.4384387799999998</v>
      </c>
      <c r="C80" s="292">
        <v>1095.57123</v>
      </c>
      <c r="D80" s="285">
        <v>0</v>
      </c>
      <c r="E80" s="292">
        <v>0</v>
      </c>
      <c r="F80" s="285">
        <f t="shared" si="13"/>
        <v>3.4384387799999998</v>
      </c>
      <c r="G80" s="292">
        <f t="shared" si="10"/>
        <v>1095.57123</v>
      </c>
      <c r="H80" s="302">
        <f t="shared" si="11"/>
        <v>2016</v>
      </c>
      <c r="I80" s="302" t="str">
        <f t="shared" si="12"/>
        <v>1</v>
      </c>
    </row>
    <row r="81" spans="1:9">
      <c r="A81" s="1190">
        <v>42522</v>
      </c>
      <c r="B81" s="1191">
        <v>3.4672684300000003</v>
      </c>
      <c r="C81" s="1192">
        <v>1198.121216</v>
      </c>
      <c r="D81" s="1191">
        <v>4.7703000000000002E-2</v>
      </c>
      <c r="E81" s="1192">
        <v>1.9525999999999999</v>
      </c>
      <c r="F81" s="1191">
        <f t="shared" si="13"/>
        <v>3.5149714300000001</v>
      </c>
      <c r="G81" s="1192">
        <f t="shared" si="10"/>
        <v>1200.0738160000001</v>
      </c>
      <c r="H81" s="302">
        <f t="shared" si="11"/>
        <v>2016</v>
      </c>
      <c r="I81" s="302" t="str">
        <f t="shared" si="12"/>
        <v>2</v>
      </c>
    </row>
    <row r="82" spans="1:9">
      <c r="A82" s="1190">
        <v>42614</v>
      </c>
      <c r="B82" s="285">
        <v>3.4676228300000003</v>
      </c>
      <c r="C82" s="292">
        <v>1120.4518909999999</v>
      </c>
      <c r="D82" s="285">
        <v>0</v>
      </c>
      <c r="E82" s="292">
        <v>0</v>
      </c>
      <c r="F82" s="285">
        <f t="shared" si="13"/>
        <v>3.4676228300000003</v>
      </c>
      <c r="G82" s="292">
        <f t="shared" si="10"/>
        <v>1120.4518909999999</v>
      </c>
      <c r="H82" s="302">
        <f t="shared" si="11"/>
        <v>2016</v>
      </c>
      <c r="I82" s="302" t="str">
        <f t="shared" si="12"/>
        <v>3</v>
      </c>
    </row>
    <row r="83" spans="1:9">
      <c r="A83" s="1190">
        <v>42705</v>
      </c>
      <c r="B83" s="1191">
        <v>3.4564438499999999</v>
      </c>
      <c r="C83" s="1192">
        <v>1172.5128729999999</v>
      </c>
      <c r="D83" s="1191">
        <v>4.4611999999999999E-2</v>
      </c>
      <c r="E83" s="1192">
        <v>1.994435</v>
      </c>
      <c r="F83" s="1191">
        <f t="shared" si="13"/>
        <v>3.5010558499999997</v>
      </c>
      <c r="G83" s="1192">
        <f t="shared" si="10"/>
        <v>1174.507308</v>
      </c>
      <c r="H83" s="302">
        <f t="shared" si="11"/>
        <v>2016</v>
      </c>
      <c r="I83" s="302" t="str">
        <f t="shared" si="12"/>
        <v>4</v>
      </c>
    </row>
    <row r="84" spans="1:9">
      <c r="A84" s="1190">
        <v>42795</v>
      </c>
      <c r="B84" s="285">
        <v>3.4658780600000001</v>
      </c>
      <c r="C84" s="292">
        <v>1423.05466</v>
      </c>
      <c r="D84" s="285">
        <v>8.9477000000000001E-2</v>
      </c>
      <c r="E84" s="292">
        <v>4.1782180000000002</v>
      </c>
      <c r="F84" s="285">
        <f t="shared" si="13"/>
        <v>3.5553550600000001</v>
      </c>
      <c r="G84" s="292">
        <f t="shared" si="10"/>
        <v>1427.232878</v>
      </c>
      <c r="H84" s="302">
        <f t="shared" si="11"/>
        <v>2017</v>
      </c>
      <c r="I84" s="302" t="str">
        <f t="shared" si="12"/>
        <v>1</v>
      </c>
    </row>
    <row r="85" spans="1:9">
      <c r="A85" s="1190">
        <v>42887</v>
      </c>
      <c r="B85" s="1191">
        <v>3.4654370299999999</v>
      </c>
      <c r="C85" s="1192">
        <v>1357.9764729999999</v>
      </c>
      <c r="D85" s="1191">
        <v>0.17625152999999999</v>
      </c>
      <c r="E85" s="1192">
        <v>8.3908159999999992</v>
      </c>
      <c r="F85" s="1191">
        <f t="shared" si="13"/>
        <v>3.64168856</v>
      </c>
      <c r="G85" s="1192">
        <f t="shared" si="10"/>
        <v>1366.367289</v>
      </c>
      <c r="H85" s="302">
        <f t="shared" si="11"/>
        <v>2017</v>
      </c>
      <c r="I85" s="302" t="str">
        <f t="shared" si="12"/>
        <v>2</v>
      </c>
    </row>
    <row r="86" spans="1:9">
      <c r="A86" s="1190">
        <v>42979</v>
      </c>
      <c r="B86" s="285">
        <v>3.4844169599999999</v>
      </c>
      <c r="C86" s="292">
        <v>1342.271626</v>
      </c>
      <c r="D86" s="285">
        <v>0.16675714000000003</v>
      </c>
      <c r="E86" s="292">
        <v>7.6937369999999996</v>
      </c>
      <c r="F86" s="285">
        <f t="shared" si="13"/>
        <v>3.6511741</v>
      </c>
      <c r="G86" s="292">
        <f t="shared" si="10"/>
        <v>1349.965363</v>
      </c>
      <c r="H86" s="302">
        <f t="shared" si="11"/>
        <v>2017</v>
      </c>
      <c r="I86" s="302" t="str">
        <f t="shared" si="12"/>
        <v>3</v>
      </c>
    </row>
    <row r="87" spans="1:9">
      <c r="A87" s="1522">
        <v>43070</v>
      </c>
      <c r="B87" s="1511">
        <v>3.4312720099999998</v>
      </c>
      <c r="C87" s="1510">
        <v>1716.594476</v>
      </c>
      <c r="D87" s="1514">
        <v>0.39151671999999998</v>
      </c>
      <c r="E87" s="1515">
        <v>18.571061</v>
      </c>
      <c r="F87" s="1191">
        <f t="shared" si="13"/>
        <v>3.8227887299999996</v>
      </c>
      <c r="G87" s="1192">
        <f t="shared" si="10"/>
        <v>1735.1655370000001</v>
      </c>
      <c r="H87" s="302">
        <f t="shared" si="11"/>
        <v>2017</v>
      </c>
      <c r="I87" s="302" t="str">
        <f t="shared" si="12"/>
        <v>4</v>
      </c>
    </row>
    <row r="88" spans="1:9">
      <c r="A88" s="1522">
        <v>43160</v>
      </c>
      <c r="B88" s="1512">
        <v>3.3520076800000003</v>
      </c>
      <c r="C88" s="1523">
        <v>1597.209987</v>
      </c>
      <c r="D88" s="1519">
        <v>0.21968036999999999</v>
      </c>
      <c r="E88" s="1524">
        <v>8.2947640000000007</v>
      </c>
      <c r="F88" s="285">
        <f>SUM(B88+D88)</f>
        <v>3.5716880500000001</v>
      </c>
      <c r="G88" s="292">
        <f t="shared" ref="G88:G89" si="14">SUM(C88+E88)</f>
        <v>1605.5047509999999</v>
      </c>
      <c r="H88" s="302">
        <f t="shared" si="11"/>
        <v>2018</v>
      </c>
      <c r="I88" s="302" t="str">
        <f t="shared" si="12"/>
        <v>1</v>
      </c>
    </row>
    <row r="89" spans="1:9">
      <c r="A89" s="1522">
        <v>43252</v>
      </c>
      <c r="B89" s="1511">
        <v>3.4017702999999999</v>
      </c>
      <c r="C89" s="1510">
        <v>1940.742236</v>
      </c>
      <c r="D89" s="1514">
        <v>0.33936846000000004</v>
      </c>
      <c r="E89" s="1517">
        <v>12.145389</v>
      </c>
      <c r="F89" s="1516">
        <f>SUM(B89+D89)</f>
        <v>3.7411387600000001</v>
      </c>
      <c r="G89" s="1192">
        <f t="shared" si="14"/>
        <v>1952.8876250000001</v>
      </c>
      <c r="H89" s="302">
        <f t="shared" si="11"/>
        <v>2018</v>
      </c>
      <c r="I89" s="302" t="str">
        <f t="shared" si="12"/>
        <v>2</v>
      </c>
    </row>
    <row r="90" spans="1:9">
      <c r="A90" s="1522">
        <v>43344</v>
      </c>
      <c r="B90" s="1512">
        <v>3.2432132500000002</v>
      </c>
      <c r="C90" s="1523">
        <v>2054.2811350000002</v>
      </c>
      <c r="D90" s="1519">
        <v>0.37020375999999999</v>
      </c>
      <c r="E90" s="1513">
        <v>13.896512</v>
      </c>
      <c r="F90" s="758">
        <f t="shared" ref="F90:F91" si="15">SUM(B90+D90)</f>
        <v>3.61341701</v>
      </c>
      <c r="G90" s="292">
        <f t="shared" ref="G90:G91" si="16">SUM(C90+E90)</f>
        <v>2068.177647</v>
      </c>
      <c r="H90" s="302">
        <f t="shared" si="11"/>
        <v>2018</v>
      </c>
      <c r="I90" s="302" t="str">
        <f t="shared" si="12"/>
        <v>3</v>
      </c>
    </row>
    <row r="91" spans="1:9">
      <c r="A91" s="1522">
        <v>43435</v>
      </c>
      <c r="B91" s="1511">
        <v>3.5014398900000003</v>
      </c>
      <c r="C91" s="1510">
        <v>2276.7042529999999</v>
      </c>
      <c r="D91" s="1514">
        <v>0.55171008999999993</v>
      </c>
      <c r="E91" s="1515">
        <v>21.580597000000001</v>
      </c>
      <c r="F91" s="1191">
        <f t="shared" si="15"/>
        <v>4.0531499800000006</v>
      </c>
      <c r="G91" s="1192">
        <f t="shared" si="16"/>
        <v>2298.28485</v>
      </c>
      <c r="H91" s="302">
        <f t="shared" si="11"/>
        <v>2018</v>
      </c>
      <c r="I91" s="302" t="str">
        <f t="shared" si="12"/>
        <v>4</v>
      </c>
    </row>
    <row r="92" spans="1:9">
      <c r="A92" s="1522">
        <v>43525</v>
      </c>
      <c r="B92" s="1512">
        <v>3.3998080000000002</v>
      </c>
      <c r="C92" s="1523">
        <v>1910.3264810000001</v>
      </c>
      <c r="D92" s="1519">
        <v>0.34243880999999998</v>
      </c>
      <c r="E92" s="1513">
        <v>12.92347</v>
      </c>
      <c r="F92" s="758">
        <f t="shared" ref="F92:F93" si="17">SUM(B92+D92)</f>
        <v>3.7422468100000001</v>
      </c>
      <c r="G92" s="292">
        <f t="shared" ref="G92" si="18">SUM(C92+E92)</f>
        <v>1923.249951</v>
      </c>
      <c r="H92" s="302">
        <f t="shared" si="11"/>
        <v>2019</v>
      </c>
      <c r="I92" s="302" t="str">
        <f t="shared" si="12"/>
        <v>1</v>
      </c>
    </row>
    <row r="93" spans="1:9">
      <c r="A93" s="1190">
        <v>43617</v>
      </c>
      <c r="B93" s="1511">
        <v>3.4989370000000002</v>
      </c>
      <c r="C93" s="1510">
        <v>1970.5264050000001</v>
      </c>
      <c r="D93" s="1514">
        <v>0.51973579000000003</v>
      </c>
      <c r="E93" s="1515">
        <v>19.176092000000001</v>
      </c>
      <c r="F93" s="1191">
        <f t="shared" si="17"/>
        <v>4.0186727900000001</v>
      </c>
      <c r="G93" s="1192">
        <f>SUM(C93+E93)</f>
        <v>1989.702497</v>
      </c>
      <c r="H93" s="302">
        <f t="shared" si="11"/>
        <v>2019</v>
      </c>
      <c r="I93" s="302" t="str">
        <f t="shared" si="12"/>
        <v>2</v>
      </c>
    </row>
    <row r="94" spans="1:9">
      <c r="A94" s="1190">
        <v>43709</v>
      </c>
      <c r="B94" s="1512">
        <v>3.4909021390000001</v>
      </c>
      <c r="C94" s="1523">
        <v>1739.528824</v>
      </c>
      <c r="D94" s="1519">
        <v>0.45178889</v>
      </c>
      <c r="E94" s="1513">
        <v>17.493641</v>
      </c>
      <c r="F94" s="758">
        <f t="shared" ref="F94" si="19">SUM(B94+D94)</f>
        <v>3.9426910290000001</v>
      </c>
      <c r="G94" s="292">
        <f t="shared" ref="G94:G95" si="20">SUM(C94+E94)</f>
        <v>1757.022465</v>
      </c>
      <c r="H94" s="302">
        <f t="shared" si="11"/>
        <v>2019</v>
      </c>
      <c r="I94" s="302" t="str">
        <f t="shared" si="12"/>
        <v>3</v>
      </c>
    </row>
    <row r="95" spans="1:9" ht="15.75" thickBot="1">
      <c r="A95" s="1637">
        <v>43800</v>
      </c>
      <c r="B95" s="1509">
        <v>3.6247775139999998</v>
      </c>
      <c r="C95" s="1521">
        <v>1668.6972430000001</v>
      </c>
      <c r="D95" s="1518">
        <v>0.55220254000000002</v>
      </c>
      <c r="E95" s="1520">
        <v>20.312795999999999</v>
      </c>
      <c r="F95" s="26">
        <f>SUM(B95+D95)</f>
        <v>4.1769800539999995</v>
      </c>
      <c r="G95" s="72">
        <f t="shared" si="20"/>
        <v>1689.010039</v>
      </c>
      <c r="H95" s="302">
        <f t="shared" si="11"/>
        <v>2019</v>
      </c>
      <c r="I95" s="302" t="str">
        <f t="shared" si="12"/>
        <v>4</v>
      </c>
    </row>
    <row r="96" spans="1:9">
      <c r="C96" s="71"/>
      <c r="D96" s="302"/>
      <c r="E96" s="302"/>
      <c r="F96" s="302"/>
      <c r="G96" s="302"/>
      <c r="H96" s="302">
        <f t="shared" si="11"/>
        <v>1900</v>
      </c>
      <c r="I96" s="302" t="str">
        <f t="shared" si="12"/>
        <v>4</v>
      </c>
    </row>
    <row r="97" spans="3:9">
      <c r="C97" s="71"/>
      <c r="D97" s="302"/>
      <c r="E97" s="302"/>
      <c r="F97" s="302"/>
      <c r="G97" s="302"/>
      <c r="H97" s="302">
        <f t="shared" si="11"/>
        <v>1900</v>
      </c>
      <c r="I97" s="302" t="str">
        <f t="shared" si="12"/>
        <v>4</v>
      </c>
    </row>
    <row r="98" spans="3:9">
      <c r="C98" s="71"/>
      <c r="D98" s="302"/>
      <c r="E98" s="302"/>
      <c r="F98" s="302"/>
      <c r="G98" s="302"/>
      <c r="H98" s="302">
        <f t="shared" si="11"/>
        <v>1900</v>
      </c>
      <c r="I98" s="302" t="str">
        <f t="shared" si="12"/>
        <v>4</v>
      </c>
    </row>
    <row r="99" spans="3:9">
      <c r="C99" s="71"/>
      <c r="D99" s="302"/>
      <c r="E99" s="302"/>
      <c r="F99" s="302"/>
      <c r="G99" s="302"/>
      <c r="H99" s="302">
        <f t="shared" si="11"/>
        <v>1900</v>
      </c>
      <c r="I99" s="302" t="str">
        <f t="shared" si="12"/>
        <v>4</v>
      </c>
    </row>
    <row r="100" spans="3:9">
      <c r="C100" s="71"/>
      <c r="D100" s="302"/>
      <c r="E100" s="302"/>
      <c r="F100" s="302"/>
      <c r="G100" s="302"/>
      <c r="H100" s="302">
        <f t="shared" si="11"/>
        <v>1900</v>
      </c>
      <c r="I100" s="302" t="str">
        <f t="shared" si="12"/>
        <v>4</v>
      </c>
    </row>
    <row r="101" spans="3:9">
      <c r="C101" s="71"/>
      <c r="D101" s="302"/>
      <c r="E101" s="302"/>
      <c r="F101" s="302"/>
      <c r="G101" s="302"/>
      <c r="H101" s="302">
        <f t="shared" si="11"/>
        <v>1900</v>
      </c>
      <c r="I101" s="302" t="str">
        <f t="shared" si="12"/>
        <v>4</v>
      </c>
    </row>
    <row r="102" spans="3:9">
      <c r="C102" s="71"/>
      <c r="D102" s="302"/>
      <c r="E102" s="302"/>
      <c r="F102" s="302"/>
      <c r="G102" s="302"/>
      <c r="H102" s="302">
        <f t="shared" si="11"/>
        <v>1900</v>
      </c>
      <c r="I102" s="302" t="str">
        <f t="shared" si="12"/>
        <v>4</v>
      </c>
    </row>
    <row r="103" spans="3:9">
      <c r="C103" s="71"/>
      <c r="D103" s="302"/>
      <c r="E103" s="302"/>
      <c r="F103" s="302"/>
      <c r="G103" s="302"/>
      <c r="H103" s="302">
        <f t="shared" si="11"/>
        <v>1900</v>
      </c>
      <c r="I103" s="302" t="str">
        <f t="shared" si="12"/>
        <v>4</v>
      </c>
    </row>
    <row r="104" spans="3:9">
      <c r="C104" s="71"/>
      <c r="D104" s="302"/>
      <c r="E104" s="302"/>
      <c r="F104" s="302"/>
      <c r="G104" s="302"/>
      <c r="H104" s="302">
        <f t="shared" si="11"/>
        <v>1900</v>
      </c>
      <c r="I104" s="302" t="str">
        <f t="shared" si="12"/>
        <v>4</v>
      </c>
    </row>
    <row r="105" spans="3:9">
      <c r="C105" s="71"/>
      <c r="D105" s="302"/>
      <c r="E105" s="302"/>
      <c r="F105" s="302"/>
      <c r="G105" s="302"/>
      <c r="H105" s="302">
        <f t="shared" si="11"/>
        <v>1900</v>
      </c>
      <c r="I105" s="302" t="str">
        <f t="shared" si="12"/>
        <v>4</v>
      </c>
    </row>
    <row r="106" spans="3:9">
      <c r="C106" s="71"/>
      <c r="D106" s="302"/>
      <c r="E106" s="302"/>
      <c r="F106" s="302"/>
      <c r="G106" s="302"/>
      <c r="H106" s="302">
        <f t="shared" si="11"/>
        <v>1900</v>
      </c>
      <c r="I106" s="302" t="str">
        <f t="shared" si="12"/>
        <v>4</v>
      </c>
    </row>
    <row r="107" spans="3:9">
      <c r="C107" s="71"/>
      <c r="D107" s="302"/>
      <c r="E107" s="302"/>
      <c r="F107" s="302"/>
      <c r="G107" s="302"/>
      <c r="H107" s="302">
        <f t="shared" si="11"/>
        <v>1900</v>
      </c>
      <c r="I107" s="302" t="str">
        <f t="shared" si="12"/>
        <v>4</v>
      </c>
    </row>
    <row r="108" spans="3:9">
      <c r="C108" s="71"/>
      <c r="D108" s="302"/>
      <c r="E108" s="302"/>
      <c r="F108" s="302"/>
      <c r="G108" s="302"/>
      <c r="H108" s="302">
        <f t="shared" si="11"/>
        <v>1900</v>
      </c>
      <c r="I108" s="302" t="str">
        <f t="shared" si="12"/>
        <v>4</v>
      </c>
    </row>
    <row r="109" spans="3:9">
      <c r="C109" s="71"/>
      <c r="D109" s="302"/>
      <c r="E109" s="302"/>
      <c r="F109" s="302"/>
      <c r="G109" s="302"/>
      <c r="H109" s="302">
        <f t="shared" si="11"/>
        <v>1900</v>
      </c>
      <c r="I109" s="302" t="str">
        <f t="shared" si="12"/>
        <v>4</v>
      </c>
    </row>
    <row r="110" spans="3:9">
      <c r="C110" s="71"/>
      <c r="D110" s="302"/>
      <c r="E110" s="302"/>
      <c r="F110" s="302"/>
      <c r="G110" s="302"/>
      <c r="H110" s="302">
        <f t="shared" si="11"/>
        <v>1900</v>
      </c>
      <c r="I110" s="302" t="str">
        <f t="shared" si="12"/>
        <v>4</v>
      </c>
    </row>
    <row r="111" spans="3:9">
      <c r="C111" s="71"/>
      <c r="D111" s="302"/>
      <c r="E111" s="302"/>
      <c r="F111" s="302"/>
      <c r="G111" s="302"/>
      <c r="H111" s="302">
        <f t="shared" si="11"/>
        <v>1900</v>
      </c>
      <c r="I111" s="302" t="str">
        <f t="shared" si="12"/>
        <v>4</v>
      </c>
    </row>
    <row r="112" spans="3:9">
      <c r="C112" s="71"/>
      <c r="D112" s="302"/>
      <c r="E112" s="302"/>
      <c r="F112" s="302"/>
      <c r="G112" s="302"/>
      <c r="H112" s="302">
        <f t="shared" si="11"/>
        <v>1900</v>
      </c>
      <c r="I112" s="302" t="str">
        <f t="shared" si="12"/>
        <v>4</v>
      </c>
    </row>
    <row r="113" spans="3:9">
      <c r="C113" s="71"/>
      <c r="D113" s="302"/>
      <c r="E113" s="302"/>
      <c r="F113" s="302"/>
      <c r="G113" s="302"/>
      <c r="H113" s="302">
        <f t="shared" si="11"/>
        <v>1900</v>
      </c>
      <c r="I113" s="302" t="str">
        <f t="shared" si="12"/>
        <v>4</v>
      </c>
    </row>
    <row r="114" spans="3:9">
      <c r="C114" s="71"/>
      <c r="D114" s="302"/>
      <c r="E114" s="302"/>
      <c r="F114" s="302"/>
      <c r="G114" s="302"/>
      <c r="H114" s="302">
        <f t="shared" si="11"/>
        <v>1900</v>
      </c>
      <c r="I114" s="302" t="str">
        <f t="shared" si="12"/>
        <v>4</v>
      </c>
    </row>
    <row r="115" spans="3:9">
      <c r="C115" s="71"/>
      <c r="D115" s="302"/>
      <c r="E115" s="302"/>
      <c r="F115" s="302"/>
      <c r="G115" s="302"/>
      <c r="H115" s="302">
        <f t="shared" si="11"/>
        <v>1900</v>
      </c>
      <c r="I115" s="302" t="str">
        <f t="shared" si="12"/>
        <v>4</v>
      </c>
    </row>
    <row r="116" spans="3:9">
      <c r="C116" s="71"/>
      <c r="D116" s="302"/>
      <c r="E116" s="302"/>
      <c r="F116" s="302"/>
      <c r="G116" s="302"/>
      <c r="H116" s="302">
        <f t="shared" si="11"/>
        <v>1900</v>
      </c>
      <c r="I116" s="302" t="str">
        <f t="shared" si="12"/>
        <v>4</v>
      </c>
    </row>
    <row r="117" spans="3:9">
      <c r="C117" s="71"/>
      <c r="D117" s="302"/>
      <c r="E117" s="302"/>
      <c r="F117" s="302"/>
      <c r="G117" s="302"/>
      <c r="H117" s="302">
        <f t="shared" si="11"/>
        <v>1900</v>
      </c>
      <c r="I117" s="302" t="str">
        <f t="shared" si="12"/>
        <v>4</v>
      </c>
    </row>
    <row r="118" spans="3:9">
      <c r="C118" s="71"/>
      <c r="D118" s="302"/>
      <c r="E118" s="302"/>
      <c r="F118" s="302"/>
      <c r="G118" s="302"/>
      <c r="H118" s="302">
        <f t="shared" si="11"/>
        <v>1900</v>
      </c>
      <c r="I118" s="302" t="str">
        <f t="shared" si="12"/>
        <v>4</v>
      </c>
    </row>
    <row r="119" spans="3:9">
      <c r="C119" s="71"/>
      <c r="D119" s="302"/>
      <c r="E119" s="302"/>
      <c r="F119" s="302"/>
      <c r="G119" s="302"/>
      <c r="H119" s="302">
        <f t="shared" si="11"/>
        <v>1900</v>
      </c>
      <c r="I119" s="302" t="str">
        <f t="shared" si="12"/>
        <v>4</v>
      </c>
    </row>
    <row r="120" spans="3:9">
      <c r="C120" s="71"/>
      <c r="D120" s="302"/>
      <c r="E120" s="302"/>
      <c r="F120" s="302"/>
      <c r="G120" s="302"/>
      <c r="H120" s="302">
        <f t="shared" si="11"/>
        <v>1900</v>
      </c>
      <c r="I120" s="302" t="str">
        <f t="shared" si="12"/>
        <v>4</v>
      </c>
    </row>
    <row r="121" spans="3:9">
      <c r="C121" s="71"/>
      <c r="D121" s="302"/>
      <c r="E121" s="302"/>
      <c r="F121" s="302"/>
      <c r="G121" s="302"/>
      <c r="H121" s="302">
        <f t="shared" si="11"/>
        <v>1900</v>
      </c>
      <c r="I121" s="302" t="str">
        <f t="shared" si="12"/>
        <v>4</v>
      </c>
    </row>
    <row r="122" spans="3:9">
      <c r="C122" s="71"/>
      <c r="D122" s="302"/>
      <c r="E122" s="302"/>
      <c r="F122" s="302"/>
      <c r="G122" s="302"/>
      <c r="H122" s="302">
        <f t="shared" si="11"/>
        <v>1900</v>
      </c>
      <c r="I122" s="302" t="str">
        <f t="shared" si="12"/>
        <v>4</v>
      </c>
    </row>
    <row r="123" spans="3:9">
      <c r="C123" s="71"/>
      <c r="D123" s="302"/>
      <c r="E123" s="302"/>
      <c r="F123" s="302"/>
      <c r="G123" s="302"/>
      <c r="H123" s="302">
        <f t="shared" si="11"/>
        <v>1900</v>
      </c>
      <c r="I123" s="302" t="str">
        <f t="shared" si="12"/>
        <v>4</v>
      </c>
    </row>
    <row r="124" spans="3:9">
      <c r="C124" s="71"/>
      <c r="D124" s="302"/>
      <c r="E124" s="302"/>
      <c r="F124" s="302"/>
      <c r="G124" s="302"/>
      <c r="H124" s="302">
        <f t="shared" si="11"/>
        <v>1900</v>
      </c>
      <c r="I124" s="302" t="str">
        <f t="shared" si="12"/>
        <v>4</v>
      </c>
    </row>
    <row r="125" spans="3:9">
      <c r="C125" s="71"/>
      <c r="D125" s="302"/>
      <c r="E125" s="302"/>
      <c r="F125" s="302"/>
      <c r="G125" s="302"/>
      <c r="H125" s="302">
        <f t="shared" si="11"/>
        <v>1900</v>
      </c>
      <c r="I125" s="302" t="str">
        <f t="shared" si="12"/>
        <v>4</v>
      </c>
    </row>
    <row r="126" spans="3:9">
      <c r="C126" s="71"/>
      <c r="D126" s="302"/>
      <c r="E126" s="302"/>
      <c r="F126" s="302"/>
      <c r="G126" s="302"/>
      <c r="H126" s="302">
        <f t="shared" si="11"/>
        <v>1900</v>
      </c>
      <c r="I126" s="302" t="str">
        <f t="shared" si="12"/>
        <v>4</v>
      </c>
    </row>
    <row r="127" spans="3:9">
      <c r="C127" s="71"/>
      <c r="D127" s="302"/>
      <c r="E127" s="302"/>
      <c r="F127" s="302"/>
      <c r="G127" s="302"/>
      <c r="H127" s="302">
        <f t="shared" si="11"/>
        <v>1900</v>
      </c>
      <c r="I127" s="302" t="str">
        <f t="shared" si="12"/>
        <v>4</v>
      </c>
    </row>
    <row r="128" spans="3:9">
      <c r="C128" s="71"/>
      <c r="D128" s="302"/>
      <c r="E128" s="302"/>
      <c r="F128" s="302"/>
      <c r="G128" s="302"/>
      <c r="H128" s="302">
        <f t="shared" si="11"/>
        <v>1900</v>
      </c>
      <c r="I128" s="302" t="str">
        <f t="shared" si="12"/>
        <v>4</v>
      </c>
    </row>
    <row r="129" spans="3:9">
      <c r="C129" s="71"/>
      <c r="D129" s="302"/>
      <c r="E129" s="302"/>
      <c r="F129" s="302"/>
      <c r="G129" s="302"/>
      <c r="H129" s="302">
        <f t="shared" si="11"/>
        <v>1900</v>
      </c>
      <c r="I129" s="302" t="str">
        <f t="shared" si="12"/>
        <v>4</v>
      </c>
    </row>
    <row r="130" spans="3:9">
      <c r="C130" s="71"/>
      <c r="D130" s="302"/>
      <c r="E130" s="302"/>
      <c r="F130" s="302"/>
      <c r="G130" s="302"/>
      <c r="H130" s="302">
        <f t="shared" si="11"/>
        <v>1900</v>
      </c>
      <c r="I130" s="302" t="str">
        <f t="shared" si="12"/>
        <v>4</v>
      </c>
    </row>
    <row r="131" spans="3:9">
      <c r="C131" s="71"/>
      <c r="D131" s="302"/>
      <c r="E131" s="302"/>
      <c r="F131" s="302"/>
      <c r="G131" s="302"/>
      <c r="H131" s="302">
        <f t="shared" si="11"/>
        <v>1900</v>
      </c>
      <c r="I131" s="302" t="str">
        <f t="shared" si="12"/>
        <v>4</v>
      </c>
    </row>
    <row r="132" spans="3:9">
      <c r="C132" s="71"/>
      <c r="D132" s="302"/>
      <c r="E132" s="302"/>
      <c r="F132" s="302"/>
      <c r="G132" s="302"/>
      <c r="H132" s="302">
        <f t="shared" si="11"/>
        <v>1900</v>
      </c>
      <c r="I132" s="302" t="str">
        <f t="shared" si="12"/>
        <v>4</v>
      </c>
    </row>
    <row r="133" spans="3:9">
      <c r="C133" s="71"/>
      <c r="D133" s="302"/>
      <c r="E133" s="302"/>
      <c r="F133" s="302"/>
      <c r="G133" s="302"/>
      <c r="H133" s="302">
        <f t="shared" si="11"/>
        <v>1900</v>
      </c>
      <c r="I133" s="302" t="str">
        <f t="shared" si="12"/>
        <v>4</v>
      </c>
    </row>
    <row r="134" spans="3:9">
      <c r="C134" s="71"/>
      <c r="D134" s="302"/>
      <c r="E134" s="302"/>
      <c r="F134" s="302"/>
      <c r="G134" s="302"/>
      <c r="H134" s="302">
        <f t="shared" si="11"/>
        <v>1900</v>
      </c>
      <c r="I134" s="302" t="str">
        <f t="shared" si="12"/>
        <v>4</v>
      </c>
    </row>
    <row r="135" spans="3:9">
      <c r="C135" s="71"/>
      <c r="D135" s="302"/>
      <c r="E135" s="302"/>
      <c r="F135" s="302"/>
      <c r="G135" s="302"/>
      <c r="H135" s="302">
        <f t="shared" si="11"/>
        <v>1900</v>
      </c>
      <c r="I135" s="302" t="str">
        <f t="shared" si="12"/>
        <v>4</v>
      </c>
    </row>
    <row r="136" spans="3:9">
      <c r="C136" s="71"/>
      <c r="D136" s="302"/>
      <c r="E136" s="302"/>
      <c r="F136" s="302"/>
      <c r="G136" s="302"/>
      <c r="H136" s="302">
        <f t="shared" ref="H136:H199" si="21">YEAR(A136)</f>
        <v>1900</v>
      </c>
      <c r="I136" s="302" t="str">
        <f t="shared" ref="I136:I199" si="22">IF(MONTH(A136)=3,"1",IF(MONTH(A136)=6,"2",IF(MONTH(A136)=9,"3","4")))</f>
        <v>4</v>
      </c>
    </row>
    <row r="137" spans="3:9">
      <c r="C137" s="71"/>
      <c r="D137" s="302"/>
      <c r="E137" s="302"/>
      <c r="F137" s="302"/>
      <c r="G137" s="302"/>
      <c r="H137" s="302">
        <f t="shared" si="21"/>
        <v>1900</v>
      </c>
      <c r="I137" s="302" t="str">
        <f t="shared" si="22"/>
        <v>4</v>
      </c>
    </row>
    <row r="138" spans="3:9">
      <c r="C138" s="71"/>
      <c r="D138" s="302"/>
      <c r="E138" s="302"/>
      <c r="F138" s="302"/>
      <c r="G138" s="302"/>
      <c r="H138" s="302">
        <f t="shared" si="21"/>
        <v>1900</v>
      </c>
      <c r="I138" s="302" t="str">
        <f t="shared" si="22"/>
        <v>4</v>
      </c>
    </row>
    <row r="139" spans="3:9">
      <c r="C139" s="71"/>
      <c r="D139" s="302"/>
      <c r="E139" s="302"/>
      <c r="F139" s="302"/>
      <c r="G139" s="302"/>
      <c r="H139" s="302">
        <f t="shared" si="21"/>
        <v>1900</v>
      </c>
      <c r="I139" s="302" t="str">
        <f t="shared" si="22"/>
        <v>4</v>
      </c>
    </row>
    <row r="140" spans="3:9">
      <c r="C140" s="71"/>
      <c r="D140" s="302"/>
      <c r="E140" s="302"/>
      <c r="F140" s="302"/>
      <c r="G140" s="302"/>
      <c r="H140" s="302">
        <f t="shared" si="21"/>
        <v>1900</v>
      </c>
      <c r="I140" s="302" t="str">
        <f t="shared" si="22"/>
        <v>4</v>
      </c>
    </row>
    <row r="141" spans="3:9">
      <c r="C141" s="71"/>
      <c r="D141" s="302"/>
      <c r="E141" s="302"/>
      <c r="F141" s="302"/>
      <c r="G141" s="302"/>
      <c r="H141" s="302">
        <f t="shared" si="21"/>
        <v>1900</v>
      </c>
      <c r="I141" s="302" t="str">
        <f t="shared" si="22"/>
        <v>4</v>
      </c>
    </row>
    <row r="142" spans="3:9">
      <c r="C142" s="71"/>
      <c r="D142" s="302"/>
      <c r="E142" s="302"/>
      <c r="F142" s="302"/>
      <c r="G142" s="302"/>
      <c r="H142" s="302">
        <f t="shared" si="21"/>
        <v>1900</v>
      </c>
      <c r="I142" s="302" t="str">
        <f t="shared" si="22"/>
        <v>4</v>
      </c>
    </row>
    <row r="143" spans="3:9">
      <c r="C143" s="71"/>
      <c r="D143" s="302"/>
      <c r="E143" s="302"/>
      <c r="F143" s="302"/>
      <c r="G143" s="302"/>
      <c r="H143" s="302">
        <f t="shared" si="21"/>
        <v>1900</v>
      </c>
      <c r="I143" s="302" t="str">
        <f t="shared" si="22"/>
        <v>4</v>
      </c>
    </row>
    <row r="144" spans="3:9">
      <c r="C144" s="71"/>
      <c r="D144" s="302"/>
      <c r="E144" s="302"/>
      <c r="F144" s="302"/>
      <c r="G144" s="302"/>
      <c r="H144" s="302">
        <f t="shared" si="21"/>
        <v>1900</v>
      </c>
      <c r="I144" s="302" t="str">
        <f t="shared" si="22"/>
        <v>4</v>
      </c>
    </row>
    <row r="145" spans="3:9">
      <c r="C145" s="71"/>
      <c r="D145" s="302"/>
      <c r="E145" s="302"/>
      <c r="F145" s="302"/>
      <c r="G145" s="302"/>
      <c r="H145" s="302">
        <f t="shared" si="21"/>
        <v>1900</v>
      </c>
      <c r="I145" s="302" t="str">
        <f t="shared" si="22"/>
        <v>4</v>
      </c>
    </row>
    <row r="146" spans="3:9">
      <c r="C146" s="71"/>
      <c r="D146" s="302"/>
      <c r="E146" s="302"/>
      <c r="F146" s="302"/>
      <c r="G146" s="302"/>
      <c r="H146" s="302">
        <f t="shared" si="21"/>
        <v>1900</v>
      </c>
      <c r="I146" s="302" t="str">
        <f t="shared" si="22"/>
        <v>4</v>
      </c>
    </row>
    <row r="147" spans="3:9">
      <c r="C147" s="71"/>
      <c r="D147" s="302"/>
      <c r="E147" s="302"/>
      <c r="F147" s="302"/>
      <c r="G147" s="302"/>
      <c r="H147" s="302">
        <f t="shared" si="21"/>
        <v>1900</v>
      </c>
      <c r="I147" s="302" t="str">
        <f t="shared" si="22"/>
        <v>4</v>
      </c>
    </row>
    <row r="148" spans="3:9">
      <c r="C148" s="71"/>
      <c r="D148" s="302"/>
      <c r="E148" s="302"/>
      <c r="F148" s="302"/>
      <c r="G148" s="302"/>
      <c r="H148" s="302">
        <f t="shared" si="21"/>
        <v>1900</v>
      </c>
      <c r="I148" s="302" t="str">
        <f t="shared" si="22"/>
        <v>4</v>
      </c>
    </row>
    <row r="149" spans="3:9">
      <c r="C149" s="71"/>
      <c r="D149" s="302"/>
      <c r="E149" s="302"/>
      <c r="F149" s="302"/>
      <c r="G149" s="302"/>
      <c r="H149" s="302">
        <f t="shared" si="21"/>
        <v>1900</v>
      </c>
      <c r="I149" s="302" t="str">
        <f t="shared" si="22"/>
        <v>4</v>
      </c>
    </row>
    <row r="150" spans="3:9">
      <c r="C150" s="71"/>
      <c r="D150" s="302"/>
      <c r="E150" s="302"/>
      <c r="F150" s="302"/>
      <c r="G150" s="302"/>
      <c r="H150" s="302">
        <f t="shared" si="21"/>
        <v>1900</v>
      </c>
      <c r="I150" s="302" t="str">
        <f t="shared" si="22"/>
        <v>4</v>
      </c>
    </row>
    <row r="151" spans="3:9">
      <c r="C151" s="71"/>
      <c r="D151" s="302"/>
      <c r="E151" s="302"/>
      <c r="F151" s="302"/>
      <c r="G151" s="302"/>
      <c r="H151" s="302">
        <f t="shared" si="21"/>
        <v>1900</v>
      </c>
      <c r="I151" s="302" t="str">
        <f t="shared" si="22"/>
        <v>4</v>
      </c>
    </row>
    <row r="152" spans="3:9">
      <c r="C152" s="71"/>
      <c r="D152" s="302"/>
      <c r="E152" s="302"/>
      <c r="F152" s="302"/>
      <c r="G152" s="302"/>
      <c r="H152" s="302">
        <f t="shared" si="21"/>
        <v>1900</v>
      </c>
      <c r="I152" s="302" t="str">
        <f t="shared" si="22"/>
        <v>4</v>
      </c>
    </row>
    <row r="153" spans="3:9">
      <c r="C153" s="71"/>
      <c r="D153" s="302"/>
      <c r="E153" s="302"/>
      <c r="F153" s="302"/>
      <c r="G153" s="302"/>
      <c r="H153" s="302">
        <f t="shared" si="21"/>
        <v>1900</v>
      </c>
      <c r="I153" s="302" t="str">
        <f t="shared" si="22"/>
        <v>4</v>
      </c>
    </row>
    <row r="154" spans="3:9">
      <c r="C154" s="71"/>
      <c r="D154" s="302"/>
      <c r="E154" s="302"/>
      <c r="F154" s="302"/>
      <c r="G154" s="302"/>
      <c r="H154" s="302">
        <f t="shared" si="21"/>
        <v>1900</v>
      </c>
      <c r="I154" s="302" t="str">
        <f t="shared" si="22"/>
        <v>4</v>
      </c>
    </row>
    <row r="155" spans="3:9">
      <c r="C155" s="71"/>
      <c r="D155" s="302"/>
      <c r="E155" s="302"/>
      <c r="F155" s="302"/>
      <c r="G155" s="302"/>
      <c r="H155" s="302">
        <f t="shared" si="21"/>
        <v>1900</v>
      </c>
      <c r="I155" s="302" t="str">
        <f t="shared" si="22"/>
        <v>4</v>
      </c>
    </row>
    <row r="156" spans="3:9">
      <c r="C156" s="71"/>
      <c r="D156" s="302"/>
      <c r="E156" s="302"/>
      <c r="F156" s="302"/>
      <c r="G156" s="302"/>
      <c r="H156" s="302">
        <f t="shared" si="21"/>
        <v>1900</v>
      </c>
      <c r="I156" s="302" t="str">
        <f t="shared" si="22"/>
        <v>4</v>
      </c>
    </row>
    <row r="157" spans="3:9">
      <c r="C157" s="71"/>
      <c r="D157" s="302"/>
      <c r="E157" s="302"/>
      <c r="F157" s="302"/>
      <c r="G157" s="302"/>
      <c r="H157" s="302">
        <f t="shared" si="21"/>
        <v>1900</v>
      </c>
      <c r="I157" s="302" t="str">
        <f t="shared" si="22"/>
        <v>4</v>
      </c>
    </row>
    <row r="158" spans="3:9">
      <c r="C158" s="71"/>
      <c r="D158" s="302"/>
      <c r="E158" s="302"/>
      <c r="F158" s="302"/>
      <c r="G158" s="302"/>
      <c r="H158" s="302">
        <f t="shared" si="21"/>
        <v>1900</v>
      </c>
      <c r="I158" s="302" t="str">
        <f t="shared" si="22"/>
        <v>4</v>
      </c>
    </row>
    <row r="159" spans="3:9">
      <c r="C159" s="71"/>
      <c r="D159" s="302"/>
      <c r="E159" s="302"/>
      <c r="F159" s="302"/>
      <c r="G159" s="302"/>
      <c r="H159" s="302">
        <f t="shared" si="21"/>
        <v>1900</v>
      </c>
      <c r="I159" s="302" t="str">
        <f t="shared" si="22"/>
        <v>4</v>
      </c>
    </row>
    <row r="160" spans="3:9">
      <c r="C160" s="71"/>
      <c r="D160" s="302"/>
      <c r="E160" s="302"/>
      <c r="F160" s="302"/>
      <c r="G160" s="302"/>
      <c r="H160" s="302">
        <f t="shared" si="21"/>
        <v>1900</v>
      </c>
      <c r="I160" s="302" t="str">
        <f t="shared" si="22"/>
        <v>4</v>
      </c>
    </row>
    <row r="161" spans="3:9">
      <c r="C161" s="71"/>
      <c r="D161" s="302"/>
      <c r="E161" s="302"/>
      <c r="F161" s="302"/>
      <c r="G161" s="302"/>
      <c r="H161" s="302">
        <f t="shared" si="21"/>
        <v>1900</v>
      </c>
      <c r="I161" s="302" t="str">
        <f t="shared" si="22"/>
        <v>4</v>
      </c>
    </row>
    <row r="162" spans="3:9">
      <c r="C162" s="71"/>
      <c r="D162" s="302"/>
      <c r="E162" s="302"/>
      <c r="F162" s="302"/>
      <c r="G162" s="302"/>
      <c r="H162" s="302">
        <f t="shared" si="21"/>
        <v>1900</v>
      </c>
      <c r="I162" s="302" t="str">
        <f t="shared" si="22"/>
        <v>4</v>
      </c>
    </row>
    <row r="163" spans="3:9">
      <c r="C163" s="71"/>
      <c r="D163" s="302"/>
      <c r="E163" s="302"/>
      <c r="F163" s="302"/>
      <c r="G163" s="302"/>
      <c r="H163" s="302">
        <f t="shared" si="21"/>
        <v>1900</v>
      </c>
      <c r="I163" s="302" t="str">
        <f t="shared" si="22"/>
        <v>4</v>
      </c>
    </row>
    <row r="164" spans="3:9">
      <c r="C164" s="71"/>
      <c r="D164" s="302"/>
      <c r="E164" s="302"/>
      <c r="F164" s="302"/>
      <c r="G164" s="302"/>
      <c r="H164" s="302">
        <f t="shared" si="21"/>
        <v>1900</v>
      </c>
      <c r="I164" s="302" t="str">
        <f t="shared" si="22"/>
        <v>4</v>
      </c>
    </row>
    <row r="165" spans="3:9">
      <c r="C165" s="71"/>
      <c r="D165" s="302"/>
      <c r="E165" s="302"/>
      <c r="F165" s="302"/>
      <c r="G165" s="302"/>
      <c r="H165" s="302">
        <f t="shared" si="21"/>
        <v>1900</v>
      </c>
      <c r="I165" s="302" t="str">
        <f t="shared" si="22"/>
        <v>4</v>
      </c>
    </row>
    <row r="166" spans="3:9">
      <c r="C166" s="71"/>
      <c r="D166" s="302"/>
      <c r="E166" s="302"/>
      <c r="F166" s="302"/>
      <c r="G166" s="302"/>
      <c r="H166" s="302">
        <f t="shared" si="21"/>
        <v>1900</v>
      </c>
      <c r="I166" s="302" t="str">
        <f t="shared" si="22"/>
        <v>4</v>
      </c>
    </row>
    <row r="167" spans="3:9">
      <c r="C167" s="71"/>
      <c r="D167" s="302"/>
      <c r="E167" s="302"/>
      <c r="F167" s="302"/>
      <c r="G167" s="302"/>
      <c r="H167" s="302">
        <f t="shared" si="21"/>
        <v>1900</v>
      </c>
      <c r="I167" s="302" t="str">
        <f t="shared" si="22"/>
        <v>4</v>
      </c>
    </row>
    <row r="168" spans="3:9">
      <c r="C168" s="71"/>
      <c r="D168" s="302"/>
      <c r="E168" s="302"/>
      <c r="F168" s="302"/>
      <c r="G168" s="302"/>
      <c r="H168" s="302">
        <f t="shared" si="21"/>
        <v>1900</v>
      </c>
      <c r="I168" s="302" t="str">
        <f t="shared" si="22"/>
        <v>4</v>
      </c>
    </row>
    <row r="169" spans="3:9">
      <c r="C169" s="71"/>
      <c r="D169" s="302"/>
      <c r="E169" s="302"/>
      <c r="F169" s="302"/>
      <c r="G169" s="302"/>
      <c r="H169" s="302">
        <f t="shared" si="21"/>
        <v>1900</v>
      </c>
      <c r="I169" s="302" t="str">
        <f t="shared" si="22"/>
        <v>4</v>
      </c>
    </row>
    <row r="170" spans="3:9">
      <c r="C170" s="71"/>
      <c r="D170" s="302"/>
      <c r="E170" s="302"/>
      <c r="F170" s="302"/>
      <c r="G170" s="302"/>
      <c r="H170" s="302">
        <f t="shared" si="21"/>
        <v>1900</v>
      </c>
      <c r="I170" s="302" t="str">
        <f t="shared" si="22"/>
        <v>4</v>
      </c>
    </row>
    <row r="171" spans="3:9">
      <c r="C171" s="71"/>
      <c r="D171" s="302"/>
      <c r="E171" s="302"/>
      <c r="F171" s="302"/>
      <c r="G171" s="302"/>
      <c r="H171" s="302">
        <f t="shared" si="21"/>
        <v>1900</v>
      </c>
      <c r="I171" s="302" t="str">
        <f t="shared" si="22"/>
        <v>4</v>
      </c>
    </row>
    <row r="172" spans="3:9">
      <c r="C172" s="71"/>
      <c r="D172" s="302"/>
      <c r="E172" s="302"/>
      <c r="F172" s="302"/>
      <c r="G172" s="302"/>
      <c r="H172" s="302">
        <f t="shared" si="21"/>
        <v>1900</v>
      </c>
      <c r="I172" s="302" t="str">
        <f t="shared" si="22"/>
        <v>4</v>
      </c>
    </row>
    <row r="173" spans="3:9">
      <c r="C173" s="71"/>
      <c r="D173" s="302"/>
      <c r="E173" s="302"/>
      <c r="F173" s="302"/>
      <c r="G173" s="302"/>
      <c r="H173" s="302">
        <f t="shared" si="21"/>
        <v>1900</v>
      </c>
      <c r="I173" s="302" t="str">
        <f t="shared" si="22"/>
        <v>4</v>
      </c>
    </row>
    <row r="174" spans="3:9">
      <c r="C174" s="71"/>
      <c r="D174" s="302"/>
      <c r="E174" s="302"/>
      <c r="F174" s="302"/>
      <c r="G174" s="302"/>
      <c r="H174" s="302">
        <f t="shared" si="21"/>
        <v>1900</v>
      </c>
      <c r="I174" s="302" t="str">
        <f t="shared" si="22"/>
        <v>4</v>
      </c>
    </row>
    <row r="175" spans="3:9">
      <c r="C175" s="71"/>
      <c r="D175" s="302"/>
      <c r="E175" s="302"/>
      <c r="F175" s="302"/>
      <c r="G175" s="302"/>
      <c r="H175" s="302">
        <f t="shared" si="21"/>
        <v>1900</v>
      </c>
      <c r="I175" s="302" t="str">
        <f t="shared" si="22"/>
        <v>4</v>
      </c>
    </row>
    <row r="176" spans="3:9">
      <c r="C176" s="71"/>
      <c r="D176" s="302"/>
      <c r="E176" s="302"/>
      <c r="F176" s="302"/>
      <c r="G176" s="302"/>
      <c r="H176" s="302">
        <f t="shared" si="21"/>
        <v>1900</v>
      </c>
      <c r="I176" s="302" t="str">
        <f t="shared" si="22"/>
        <v>4</v>
      </c>
    </row>
    <row r="177" spans="3:9">
      <c r="C177" s="71"/>
      <c r="D177" s="302"/>
      <c r="E177" s="302"/>
      <c r="F177" s="302"/>
      <c r="G177" s="302"/>
      <c r="H177" s="302">
        <f t="shared" si="21"/>
        <v>1900</v>
      </c>
      <c r="I177" s="302" t="str">
        <f t="shared" si="22"/>
        <v>4</v>
      </c>
    </row>
    <row r="178" spans="3:9">
      <c r="C178" s="71"/>
      <c r="D178" s="302"/>
      <c r="E178" s="302"/>
      <c r="F178" s="302"/>
      <c r="G178" s="302"/>
      <c r="H178" s="302">
        <f t="shared" si="21"/>
        <v>1900</v>
      </c>
      <c r="I178" s="302" t="str">
        <f t="shared" si="22"/>
        <v>4</v>
      </c>
    </row>
    <row r="179" spans="3:9">
      <c r="C179" s="71"/>
      <c r="D179" s="302"/>
      <c r="E179" s="302"/>
      <c r="F179" s="302"/>
      <c r="G179" s="302"/>
      <c r="H179" s="302">
        <f t="shared" si="21"/>
        <v>1900</v>
      </c>
      <c r="I179" s="302" t="str">
        <f t="shared" si="22"/>
        <v>4</v>
      </c>
    </row>
    <row r="180" spans="3:9">
      <c r="C180" s="71"/>
      <c r="D180" s="302"/>
      <c r="E180" s="302"/>
      <c r="F180" s="302"/>
      <c r="G180" s="302"/>
      <c r="H180" s="302">
        <f t="shared" si="21"/>
        <v>1900</v>
      </c>
      <c r="I180" s="302" t="str">
        <f t="shared" si="22"/>
        <v>4</v>
      </c>
    </row>
    <row r="181" spans="3:9">
      <c r="C181" s="71"/>
      <c r="D181" s="302"/>
      <c r="E181" s="302"/>
      <c r="F181" s="302"/>
      <c r="G181" s="302"/>
      <c r="H181" s="302">
        <f t="shared" si="21"/>
        <v>1900</v>
      </c>
      <c r="I181" s="302" t="str">
        <f t="shared" si="22"/>
        <v>4</v>
      </c>
    </row>
    <row r="182" spans="3:9">
      <c r="C182" s="71"/>
      <c r="D182" s="302"/>
      <c r="E182" s="302"/>
      <c r="F182" s="302"/>
      <c r="G182" s="302"/>
      <c r="H182" s="302">
        <f t="shared" si="21"/>
        <v>1900</v>
      </c>
      <c r="I182" s="302" t="str">
        <f t="shared" si="22"/>
        <v>4</v>
      </c>
    </row>
    <row r="183" spans="3:9">
      <c r="C183" s="71"/>
      <c r="D183" s="302"/>
      <c r="E183" s="302"/>
      <c r="F183" s="302"/>
      <c r="G183" s="302"/>
      <c r="H183" s="302">
        <f t="shared" si="21"/>
        <v>1900</v>
      </c>
      <c r="I183" s="302" t="str">
        <f t="shared" si="22"/>
        <v>4</v>
      </c>
    </row>
    <row r="184" spans="3:9">
      <c r="C184" s="71"/>
      <c r="D184" s="302"/>
      <c r="E184" s="302"/>
      <c r="F184" s="302"/>
      <c r="G184" s="302"/>
      <c r="H184" s="302">
        <f t="shared" si="21"/>
        <v>1900</v>
      </c>
      <c r="I184" s="302" t="str">
        <f t="shared" si="22"/>
        <v>4</v>
      </c>
    </row>
    <row r="185" spans="3:9">
      <c r="C185" s="71"/>
      <c r="D185" s="302"/>
      <c r="E185" s="302"/>
      <c r="F185" s="302"/>
      <c r="G185" s="302"/>
      <c r="H185" s="302">
        <f t="shared" si="21"/>
        <v>1900</v>
      </c>
      <c r="I185" s="302" t="str">
        <f t="shared" si="22"/>
        <v>4</v>
      </c>
    </row>
    <row r="186" spans="3:9">
      <c r="C186" s="71"/>
      <c r="D186" s="302"/>
      <c r="E186" s="302"/>
      <c r="F186" s="302"/>
      <c r="G186" s="302"/>
      <c r="H186" s="302">
        <f t="shared" si="21"/>
        <v>1900</v>
      </c>
      <c r="I186" s="302" t="str">
        <f t="shared" si="22"/>
        <v>4</v>
      </c>
    </row>
    <row r="187" spans="3:9">
      <c r="C187" s="71"/>
      <c r="D187" s="302"/>
      <c r="E187" s="302"/>
      <c r="F187" s="302"/>
      <c r="G187" s="302"/>
      <c r="H187" s="302">
        <f t="shared" si="21"/>
        <v>1900</v>
      </c>
      <c r="I187" s="302" t="str">
        <f t="shared" si="22"/>
        <v>4</v>
      </c>
    </row>
    <row r="188" spans="3:9">
      <c r="C188" s="71"/>
      <c r="D188" s="302"/>
      <c r="E188" s="302"/>
      <c r="F188" s="302"/>
      <c r="G188" s="302"/>
      <c r="H188" s="302">
        <f t="shared" si="21"/>
        <v>1900</v>
      </c>
      <c r="I188" s="302" t="str">
        <f t="shared" si="22"/>
        <v>4</v>
      </c>
    </row>
    <row r="189" spans="3:9">
      <c r="C189" s="71"/>
      <c r="D189" s="302"/>
      <c r="E189" s="302"/>
      <c r="F189" s="302"/>
      <c r="G189" s="302"/>
      <c r="H189" s="302">
        <f t="shared" si="21"/>
        <v>1900</v>
      </c>
      <c r="I189" s="302" t="str">
        <f t="shared" si="22"/>
        <v>4</v>
      </c>
    </row>
    <row r="190" spans="3:9">
      <c r="C190" s="71"/>
      <c r="D190" s="302"/>
      <c r="E190" s="302"/>
      <c r="F190" s="302"/>
      <c r="G190" s="302"/>
      <c r="H190" s="302">
        <f t="shared" si="21"/>
        <v>1900</v>
      </c>
      <c r="I190" s="302" t="str">
        <f t="shared" si="22"/>
        <v>4</v>
      </c>
    </row>
    <row r="191" spans="3:9">
      <c r="C191" s="71"/>
      <c r="D191" s="302"/>
      <c r="E191" s="302"/>
      <c r="F191" s="302"/>
      <c r="G191" s="302"/>
      <c r="H191" s="302">
        <f t="shared" si="21"/>
        <v>1900</v>
      </c>
      <c r="I191" s="302" t="str">
        <f t="shared" si="22"/>
        <v>4</v>
      </c>
    </row>
    <row r="192" spans="3:9">
      <c r="C192" s="71"/>
      <c r="D192" s="302"/>
      <c r="E192" s="302"/>
      <c r="F192" s="302"/>
      <c r="G192" s="302"/>
      <c r="H192" s="302">
        <f t="shared" si="21"/>
        <v>1900</v>
      </c>
      <c r="I192" s="302" t="str">
        <f t="shared" si="22"/>
        <v>4</v>
      </c>
    </row>
    <row r="193" spans="3:9">
      <c r="C193" s="71"/>
      <c r="D193" s="302"/>
      <c r="E193" s="302"/>
      <c r="F193" s="302"/>
      <c r="G193" s="302"/>
      <c r="H193" s="302">
        <f t="shared" si="21"/>
        <v>1900</v>
      </c>
      <c r="I193" s="302" t="str">
        <f t="shared" si="22"/>
        <v>4</v>
      </c>
    </row>
    <row r="194" spans="3:9">
      <c r="C194" s="71"/>
      <c r="D194" s="302"/>
      <c r="E194" s="302"/>
      <c r="F194" s="302"/>
      <c r="G194" s="302"/>
      <c r="H194" s="302">
        <f t="shared" si="21"/>
        <v>1900</v>
      </c>
      <c r="I194" s="302" t="str">
        <f t="shared" si="22"/>
        <v>4</v>
      </c>
    </row>
    <row r="195" spans="3:9">
      <c r="C195" s="71"/>
      <c r="D195" s="302"/>
      <c r="E195" s="302"/>
      <c r="F195" s="302"/>
      <c r="G195" s="302"/>
      <c r="H195" s="302">
        <f t="shared" si="21"/>
        <v>1900</v>
      </c>
      <c r="I195" s="302" t="str">
        <f t="shared" si="22"/>
        <v>4</v>
      </c>
    </row>
    <row r="196" spans="3:9">
      <c r="C196" s="71"/>
      <c r="D196" s="302"/>
      <c r="E196" s="302"/>
      <c r="F196" s="302"/>
      <c r="G196" s="302"/>
      <c r="H196" s="302">
        <f t="shared" si="21"/>
        <v>1900</v>
      </c>
      <c r="I196" s="302" t="str">
        <f t="shared" si="22"/>
        <v>4</v>
      </c>
    </row>
    <row r="197" spans="3:9">
      <c r="C197" s="71"/>
      <c r="D197" s="302"/>
      <c r="E197" s="302"/>
      <c r="F197" s="302"/>
      <c r="G197" s="302"/>
      <c r="H197" s="302">
        <f t="shared" si="21"/>
        <v>1900</v>
      </c>
      <c r="I197" s="302" t="str">
        <f t="shared" si="22"/>
        <v>4</v>
      </c>
    </row>
    <row r="198" spans="3:9">
      <c r="C198" s="71"/>
      <c r="D198" s="302"/>
      <c r="E198" s="302"/>
      <c r="F198" s="302"/>
      <c r="G198" s="302"/>
      <c r="H198" s="302">
        <f t="shared" si="21"/>
        <v>1900</v>
      </c>
      <c r="I198" s="302" t="str">
        <f t="shared" si="22"/>
        <v>4</v>
      </c>
    </row>
    <row r="199" spans="3:9">
      <c r="C199" s="71"/>
      <c r="D199" s="302"/>
      <c r="E199" s="302"/>
      <c r="F199" s="302"/>
      <c r="G199" s="302"/>
      <c r="H199" s="302">
        <f t="shared" si="21"/>
        <v>1900</v>
      </c>
      <c r="I199" s="302" t="str">
        <f t="shared" si="22"/>
        <v>4</v>
      </c>
    </row>
    <row r="200" spans="3:9">
      <c r="C200" s="71"/>
      <c r="D200" s="302"/>
      <c r="E200" s="302"/>
      <c r="F200" s="302"/>
      <c r="G200" s="302"/>
      <c r="H200" s="302">
        <f t="shared" ref="H200:H250" si="23">YEAR(A200)</f>
        <v>1900</v>
      </c>
      <c r="I200" s="302" t="str">
        <f t="shared" ref="I200:I250" si="24">IF(MONTH(A200)=3,"1",IF(MONTH(A200)=6,"2",IF(MONTH(A200)=9,"3","4")))</f>
        <v>4</v>
      </c>
    </row>
    <row r="201" spans="3:9">
      <c r="C201" s="71"/>
      <c r="D201" s="302"/>
      <c r="E201" s="302"/>
      <c r="F201" s="302"/>
      <c r="G201" s="302"/>
      <c r="H201" s="302">
        <f t="shared" si="23"/>
        <v>1900</v>
      </c>
      <c r="I201" s="302" t="str">
        <f t="shared" si="24"/>
        <v>4</v>
      </c>
    </row>
    <row r="202" spans="3:9">
      <c r="C202" s="71"/>
      <c r="D202" s="302"/>
      <c r="E202" s="302"/>
      <c r="F202" s="302"/>
      <c r="G202" s="302"/>
      <c r="H202" s="302">
        <f t="shared" si="23"/>
        <v>1900</v>
      </c>
      <c r="I202" s="302" t="str">
        <f t="shared" si="24"/>
        <v>4</v>
      </c>
    </row>
    <row r="203" spans="3:9">
      <c r="C203" s="71"/>
      <c r="D203" s="302"/>
      <c r="E203" s="302"/>
      <c r="F203" s="302"/>
      <c r="G203" s="302"/>
      <c r="H203" s="302">
        <f t="shared" si="23"/>
        <v>1900</v>
      </c>
      <c r="I203" s="302" t="str">
        <f t="shared" si="24"/>
        <v>4</v>
      </c>
    </row>
    <row r="204" spans="3:9">
      <c r="C204" s="71"/>
      <c r="D204" s="302"/>
      <c r="E204" s="302"/>
      <c r="F204" s="302"/>
      <c r="G204" s="302"/>
      <c r="H204" s="302">
        <f t="shared" si="23"/>
        <v>1900</v>
      </c>
      <c r="I204" s="302" t="str">
        <f t="shared" si="24"/>
        <v>4</v>
      </c>
    </row>
    <row r="205" spans="3:9">
      <c r="C205" s="71"/>
      <c r="D205" s="302"/>
      <c r="E205" s="302"/>
      <c r="F205" s="302"/>
      <c r="G205" s="302"/>
      <c r="H205" s="302">
        <f t="shared" si="23"/>
        <v>1900</v>
      </c>
      <c r="I205" s="302" t="str">
        <f t="shared" si="24"/>
        <v>4</v>
      </c>
    </row>
    <row r="206" spans="3:9">
      <c r="C206" s="71"/>
      <c r="D206" s="302"/>
      <c r="E206" s="302"/>
      <c r="F206" s="302"/>
      <c r="G206" s="302"/>
      <c r="H206" s="302">
        <f t="shared" si="23"/>
        <v>1900</v>
      </c>
      <c r="I206" s="302" t="str">
        <f t="shared" si="24"/>
        <v>4</v>
      </c>
    </row>
    <row r="207" spans="3:9">
      <c r="C207" s="71"/>
      <c r="D207" s="302"/>
      <c r="E207" s="302"/>
      <c r="F207" s="302"/>
      <c r="G207" s="302"/>
      <c r="H207" s="302">
        <f t="shared" si="23"/>
        <v>1900</v>
      </c>
      <c r="I207" s="302" t="str">
        <f t="shared" si="24"/>
        <v>4</v>
      </c>
    </row>
    <row r="208" spans="3:9">
      <c r="C208" s="71"/>
      <c r="D208" s="302"/>
      <c r="E208" s="302"/>
      <c r="F208" s="302"/>
      <c r="G208" s="302"/>
      <c r="H208" s="302">
        <f t="shared" si="23"/>
        <v>1900</v>
      </c>
      <c r="I208" s="302" t="str">
        <f t="shared" si="24"/>
        <v>4</v>
      </c>
    </row>
    <row r="209" spans="3:9">
      <c r="C209" s="71"/>
      <c r="D209" s="302"/>
      <c r="E209" s="302"/>
      <c r="F209" s="302"/>
      <c r="G209" s="302"/>
      <c r="H209" s="302">
        <f t="shared" si="23"/>
        <v>1900</v>
      </c>
      <c r="I209" s="302" t="str">
        <f t="shared" si="24"/>
        <v>4</v>
      </c>
    </row>
    <row r="210" spans="3:9">
      <c r="C210" s="71"/>
      <c r="D210" s="302"/>
      <c r="E210" s="302"/>
      <c r="F210" s="302"/>
      <c r="G210" s="302"/>
      <c r="H210" s="302">
        <f t="shared" si="23"/>
        <v>1900</v>
      </c>
      <c r="I210" s="302" t="str">
        <f t="shared" si="24"/>
        <v>4</v>
      </c>
    </row>
    <row r="211" spans="3:9">
      <c r="C211" s="71"/>
      <c r="D211" s="302"/>
      <c r="E211" s="302"/>
      <c r="F211" s="302"/>
      <c r="G211" s="302"/>
      <c r="H211" s="302">
        <f t="shared" si="23"/>
        <v>1900</v>
      </c>
      <c r="I211" s="302" t="str">
        <f t="shared" si="24"/>
        <v>4</v>
      </c>
    </row>
    <row r="212" spans="3:9">
      <c r="C212" s="71"/>
      <c r="D212" s="302"/>
      <c r="E212" s="302"/>
      <c r="F212" s="302"/>
      <c r="G212" s="302"/>
      <c r="H212" s="302">
        <f t="shared" si="23"/>
        <v>1900</v>
      </c>
      <c r="I212" s="302" t="str">
        <f t="shared" si="24"/>
        <v>4</v>
      </c>
    </row>
    <row r="213" spans="3:9">
      <c r="C213" s="71"/>
      <c r="D213" s="302"/>
      <c r="E213" s="302"/>
      <c r="F213" s="302"/>
      <c r="G213" s="302"/>
      <c r="H213" s="302">
        <f t="shared" si="23"/>
        <v>1900</v>
      </c>
      <c r="I213" s="302" t="str">
        <f t="shared" si="24"/>
        <v>4</v>
      </c>
    </row>
    <row r="214" spans="3:9">
      <c r="C214" s="71"/>
      <c r="D214" s="302"/>
      <c r="E214" s="302"/>
      <c r="F214" s="302"/>
      <c r="G214" s="302"/>
      <c r="H214" s="302">
        <f t="shared" si="23"/>
        <v>1900</v>
      </c>
      <c r="I214" s="302" t="str">
        <f t="shared" si="24"/>
        <v>4</v>
      </c>
    </row>
    <row r="215" spans="3:9">
      <c r="C215" s="71"/>
      <c r="D215" s="302"/>
      <c r="E215" s="302"/>
      <c r="F215" s="302"/>
      <c r="G215" s="302"/>
      <c r="H215" s="302">
        <f t="shared" si="23"/>
        <v>1900</v>
      </c>
      <c r="I215" s="302" t="str">
        <f t="shared" si="24"/>
        <v>4</v>
      </c>
    </row>
    <row r="216" spans="3:9">
      <c r="C216" s="71"/>
      <c r="D216" s="302"/>
      <c r="E216" s="302"/>
      <c r="F216" s="302"/>
      <c r="G216" s="302"/>
      <c r="H216" s="302">
        <f t="shared" si="23"/>
        <v>1900</v>
      </c>
      <c r="I216" s="302" t="str">
        <f t="shared" si="24"/>
        <v>4</v>
      </c>
    </row>
    <row r="217" spans="3:9">
      <c r="C217" s="71"/>
      <c r="D217" s="302"/>
      <c r="E217" s="302"/>
      <c r="F217" s="302"/>
      <c r="G217" s="302"/>
      <c r="H217" s="302">
        <f t="shared" si="23"/>
        <v>1900</v>
      </c>
      <c r="I217" s="302" t="str">
        <f t="shared" si="24"/>
        <v>4</v>
      </c>
    </row>
    <row r="218" spans="3:9">
      <c r="C218" s="71"/>
      <c r="D218" s="302"/>
      <c r="E218" s="302"/>
      <c r="F218" s="302"/>
      <c r="G218" s="302"/>
      <c r="H218" s="302">
        <f t="shared" si="23"/>
        <v>1900</v>
      </c>
      <c r="I218" s="302" t="str">
        <f t="shared" si="24"/>
        <v>4</v>
      </c>
    </row>
    <row r="219" spans="3:9">
      <c r="C219" s="71"/>
      <c r="D219" s="302"/>
      <c r="E219" s="302"/>
      <c r="F219" s="302"/>
      <c r="G219" s="302"/>
      <c r="H219" s="302">
        <f t="shared" si="23"/>
        <v>1900</v>
      </c>
      <c r="I219" s="302" t="str">
        <f t="shared" si="24"/>
        <v>4</v>
      </c>
    </row>
    <row r="220" spans="3:9">
      <c r="C220" s="71"/>
      <c r="D220" s="302"/>
      <c r="E220" s="302"/>
      <c r="F220" s="302"/>
      <c r="G220" s="302"/>
      <c r="H220" s="302">
        <f t="shared" si="23"/>
        <v>1900</v>
      </c>
      <c r="I220" s="302" t="str">
        <f t="shared" si="24"/>
        <v>4</v>
      </c>
    </row>
    <row r="221" spans="3:9">
      <c r="C221" s="71"/>
      <c r="D221" s="302"/>
      <c r="E221" s="302"/>
      <c r="F221" s="302"/>
      <c r="G221" s="302"/>
      <c r="H221" s="302">
        <f t="shared" si="23"/>
        <v>1900</v>
      </c>
      <c r="I221" s="302" t="str">
        <f t="shared" si="24"/>
        <v>4</v>
      </c>
    </row>
    <row r="222" spans="3:9">
      <c r="C222" s="71"/>
      <c r="D222" s="302"/>
      <c r="E222" s="302"/>
      <c r="F222" s="302"/>
      <c r="G222" s="302"/>
      <c r="H222" s="302">
        <f t="shared" si="23"/>
        <v>1900</v>
      </c>
      <c r="I222" s="302" t="str">
        <f t="shared" si="24"/>
        <v>4</v>
      </c>
    </row>
    <row r="223" spans="3:9">
      <c r="C223" s="71"/>
      <c r="D223" s="302"/>
      <c r="E223" s="302"/>
      <c r="F223" s="302"/>
      <c r="G223" s="302"/>
      <c r="H223" s="302">
        <f t="shared" si="23"/>
        <v>1900</v>
      </c>
      <c r="I223" s="302" t="str">
        <f t="shared" si="24"/>
        <v>4</v>
      </c>
    </row>
    <row r="224" spans="3:9">
      <c r="C224" s="71"/>
      <c r="D224" s="302"/>
      <c r="E224" s="302"/>
      <c r="F224" s="302"/>
      <c r="G224" s="302"/>
      <c r="H224" s="302">
        <f t="shared" si="23"/>
        <v>1900</v>
      </c>
      <c r="I224" s="302" t="str">
        <f t="shared" si="24"/>
        <v>4</v>
      </c>
    </row>
    <row r="225" spans="3:9">
      <c r="C225" s="71"/>
      <c r="D225" s="302"/>
      <c r="E225" s="302"/>
      <c r="F225" s="302"/>
      <c r="G225" s="302"/>
      <c r="H225" s="302">
        <f t="shared" si="23"/>
        <v>1900</v>
      </c>
      <c r="I225" s="302" t="str">
        <f t="shared" si="24"/>
        <v>4</v>
      </c>
    </row>
    <row r="226" spans="3:9">
      <c r="C226" s="71"/>
      <c r="D226" s="302"/>
      <c r="E226" s="302"/>
      <c r="F226" s="302"/>
      <c r="G226" s="302"/>
      <c r="H226" s="302">
        <f t="shared" si="23"/>
        <v>1900</v>
      </c>
      <c r="I226" s="302" t="str">
        <f t="shared" si="24"/>
        <v>4</v>
      </c>
    </row>
    <row r="227" spans="3:9">
      <c r="C227" s="71"/>
      <c r="D227" s="302"/>
      <c r="E227" s="302"/>
      <c r="F227" s="302"/>
      <c r="G227" s="302"/>
      <c r="H227" s="302">
        <f t="shared" si="23"/>
        <v>1900</v>
      </c>
      <c r="I227" s="302" t="str">
        <f t="shared" si="24"/>
        <v>4</v>
      </c>
    </row>
    <row r="228" spans="3:9">
      <c r="C228" s="71"/>
      <c r="D228" s="302"/>
      <c r="E228" s="302"/>
      <c r="F228" s="302"/>
      <c r="G228" s="302"/>
      <c r="H228" s="302">
        <f t="shared" si="23"/>
        <v>1900</v>
      </c>
      <c r="I228" s="302" t="str">
        <f t="shared" si="24"/>
        <v>4</v>
      </c>
    </row>
    <row r="229" spans="3:9">
      <c r="C229" s="71"/>
      <c r="D229" s="302"/>
      <c r="E229" s="302"/>
      <c r="F229" s="302"/>
      <c r="G229" s="302"/>
      <c r="H229" s="302">
        <f t="shared" si="23"/>
        <v>1900</v>
      </c>
      <c r="I229" s="302" t="str">
        <f t="shared" si="24"/>
        <v>4</v>
      </c>
    </row>
    <row r="230" spans="3:9">
      <c r="C230" s="71"/>
      <c r="D230" s="302"/>
      <c r="E230" s="302"/>
      <c r="F230" s="302"/>
      <c r="G230" s="302"/>
      <c r="H230" s="302">
        <f t="shared" si="23"/>
        <v>1900</v>
      </c>
      <c r="I230" s="302" t="str">
        <f t="shared" si="24"/>
        <v>4</v>
      </c>
    </row>
    <row r="231" spans="3:9">
      <c r="C231" s="71"/>
      <c r="D231" s="302"/>
      <c r="E231" s="302"/>
      <c r="F231" s="302"/>
      <c r="G231" s="302"/>
      <c r="H231" s="302">
        <f t="shared" si="23"/>
        <v>1900</v>
      </c>
      <c r="I231" s="302" t="str">
        <f t="shared" si="24"/>
        <v>4</v>
      </c>
    </row>
    <row r="232" spans="3:9">
      <c r="C232" s="71"/>
      <c r="D232" s="302"/>
      <c r="E232" s="302"/>
      <c r="F232" s="302"/>
      <c r="G232" s="302"/>
      <c r="H232" s="302">
        <f t="shared" si="23"/>
        <v>1900</v>
      </c>
      <c r="I232" s="302" t="str">
        <f t="shared" si="24"/>
        <v>4</v>
      </c>
    </row>
    <row r="233" spans="3:9">
      <c r="C233" s="71"/>
      <c r="D233" s="302"/>
      <c r="E233" s="302"/>
      <c r="F233" s="302"/>
      <c r="G233" s="302"/>
      <c r="H233" s="302">
        <f t="shared" si="23"/>
        <v>1900</v>
      </c>
      <c r="I233" s="302" t="str">
        <f t="shared" si="24"/>
        <v>4</v>
      </c>
    </row>
    <row r="234" spans="3:9">
      <c r="C234" s="71"/>
      <c r="D234" s="302"/>
      <c r="E234" s="302"/>
      <c r="F234" s="302"/>
      <c r="G234" s="302"/>
      <c r="H234" s="302">
        <f t="shared" si="23"/>
        <v>1900</v>
      </c>
      <c r="I234" s="302" t="str">
        <f t="shared" si="24"/>
        <v>4</v>
      </c>
    </row>
    <row r="235" spans="3:9">
      <c r="C235" s="71"/>
      <c r="D235" s="302"/>
      <c r="E235" s="302"/>
      <c r="F235" s="302"/>
      <c r="G235" s="302"/>
      <c r="H235" s="302">
        <f t="shared" si="23"/>
        <v>1900</v>
      </c>
      <c r="I235" s="302" t="str">
        <f t="shared" si="24"/>
        <v>4</v>
      </c>
    </row>
    <row r="236" spans="3:9">
      <c r="C236" s="71"/>
      <c r="D236" s="302"/>
      <c r="E236" s="302"/>
      <c r="F236" s="302"/>
      <c r="G236" s="302"/>
      <c r="H236" s="302">
        <f t="shared" si="23"/>
        <v>1900</v>
      </c>
      <c r="I236" s="302" t="str">
        <f t="shared" si="24"/>
        <v>4</v>
      </c>
    </row>
    <row r="237" spans="3:9">
      <c r="C237" s="71"/>
      <c r="D237" s="302"/>
      <c r="E237" s="302"/>
      <c r="F237" s="302"/>
      <c r="G237" s="302"/>
      <c r="H237" s="302">
        <f t="shared" si="23"/>
        <v>1900</v>
      </c>
      <c r="I237" s="302" t="str">
        <f t="shared" si="24"/>
        <v>4</v>
      </c>
    </row>
    <row r="238" spans="3:9">
      <c r="C238" s="71"/>
      <c r="D238" s="302"/>
      <c r="E238" s="302"/>
      <c r="F238" s="302"/>
      <c r="G238" s="302"/>
      <c r="H238" s="302">
        <f t="shared" si="23"/>
        <v>1900</v>
      </c>
      <c r="I238" s="302" t="str">
        <f t="shared" si="24"/>
        <v>4</v>
      </c>
    </row>
    <row r="239" spans="3:9">
      <c r="C239" s="71"/>
      <c r="D239" s="302"/>
      <c r="E239" s="302"/>
      <c r="F239" s="302"/>
      <c r="G239" s="302"/>
      <c r="H239" s="302">
        <f t="shared" si="23"/>
        <v>1900</v>
      </c>
      <c r="I239" s="302" t="str">
        <f t="shared" si="24"/>
        <v>4</v>
      </c>
    </row>
    <row r="240" spans="3:9">
      <c r="C240" s="71"/>
      <c r="D240" s="302"/>
      <c r="E240" s="302"/>
      <c r="F240" s="302"/>
      <c r="G240" s="302"/>
      <c r="H240" s="302">
        <f t="shared" si="23"/>
        <v>1900</v>
      </c>
      <c r="I240" s="302" t="str">
        <f t="shared" si="24"/>
        <v>4</v>
      </c>
    </row>
    <row r="241" spans="3:9">
      <c r="C241" s="71"/>
      <c r="D241" s="302"/>
      <c r="E241" s="302"/>
      <c r="F241" s="302"/>
      <c r="G241" s="302"/>
      <c r="H241" s="302">
        <f t="shared" si="23"/>
        <v>1900</v>
      </c>
      <c r="I241" s="302" t="str">
        <f t="shared" si="24"/>
        <v>4</v>
      </c>
    </row>
    <row r="242" spans="3:9">
      <c r="C242" s="71"/>
      <c r="D242" s="302"/>
      <c r="E242" s="302"/>
      <c r="F242" s="302"/>
      <c r="G242" s="302"/>
      <c r="H242" s="302">
        <f t="shared" si="23"/>
        <v>1900</v>
      </c>
      <c r="I242" s="302" t="str">
        <f t="shared" si="24"/>
        <v>4</v>
      </c>
    </row>
    <row r="243" spans="3:9">
      <c r="C243" s="71"/>
      <c r="D243" s="302"/>
      <c r="E243" s="302"/>
      <c r="F243" s="302"/>
      <c r="G243" s="302"/>
      <c r="H243" s="302">
        <f t="shared" si="23"/>
        <v>1900</v>
      </c>
      <c r="I243" s="302" t="str">
        <f t="shared" si="24"/>
        <v>4</v>
      </c>
    </row>
    <row r="244" spans="3:9">
      <c r="C244" s="71"/>
      <c r="D244" s="302"/>
      <c r="E244" s="302"/>
      <c r="F244" s="302"/>
      <c r="G244" s="302"/>
      <c r="H244" s="302">
        <f t="shared" si="23"/>
        <v>1900</v>
      </c>
      <c r="I244" s="302" t="str">
        <f t="shared" si="24"/>
        <v>4</v>
      </c>
    </row>
    <row r="245" spans="3:9">
      <c r="C245" s="71"/>
      <c r="D245" s="302"/>
      <c r="E245" s="302"/>
      <c r="F245" s="302"/>
      <c r="G245" s="302"/>
      <c r="H245" s="302">
        <f t="shared" si="23"/>
        <v>1900</v>
      </c>
      <c r="I245" s="302" t="str">
        <f t="shared" si="24"/>
        <v>4</v>
      </c>
    </row>
    <row r="246" spans="3:9">
      <c r="C246" s="71"/>
      <c r="D246" s="302"/>
      <c r="E246" s="302"/>
      <c r="F246" s="302"/>
      <c r="G246" s="302"/>
      <c r="H246" s="302">
        <f t="shared" si="23"/>
        <v>1900</v>
      </c>
      <c r="I246" s="302" t="str">
        <f t="shared" si="24"/>
        <v>4</v>
      </c>
    </row>
    <row r="247" spans="3:9">
      <c r="C247" s="71"/>
      <c r="D247" s="302"/>
      <c r="E247" s="302"/>
      <c r="F247" s="302"/>
      <c r="G247" s="302"/>
      <c r="H247" s="302">
        <f t="shared" si="23"/>
        <v>1900</v>
      </c>
      <c r="I247" s="302" t="str">
        <f t="shared" si="24"/>
        <v>4</v>
      </c>
    </row>
    <row r="248" spans="3:9">
      <c r="C248" s="71"/>
      <c r="D248" s="302"/>
      <c r="E248" s="302"/>
      <c r="F248" s="302"/>
      <c r="G248" s="302"/>
      <c r="H248" s="302">
        <f t="shared" si="23"/>
        <v>1900</v>
      </c>
      <c r="I248" s="302" t="str">
        <f t="shared" si="24"/>
        <v>4</v>
      </c>
    </row>
    <row r="249" spans="3:9">
      <c r="C249" s="71"/>
      <c r="D249" s="302"/>
      <c r="E249" s="302"/>
      <c r="F249" s="302"/>
      <c r="G249" s="302"/>
      <c r="H249" s="302">
        <f t="shared" si="23"/>
        <v>1900</v>
      </c>
      <c r="I249" s="302" t="str">
        <f t="shared" si="24"/>
        <v>4</v>
      </c>
    </row>
    <row r="250" spans="3:9">
      <c r="C250" s="71"/>
      <c r="D250" s="302"/>
      <c r="E250" s="302"/>
      <c r="F250" s="302"/>
      <c r="G250" s="302"/>
      <c r="H250" s="302">
        <f t="shared" si="23"/>
        <v>1900</v>
      </c>
      <c r="I250" s="302" t="str">
        <f t="shared" si="24"/>
        <v>4</v>
      </c>
    </row>
    <row r="251" spans="3:9">
      <c r="C251" s="71"/>
      <c r="D251" s="303"/>
      <c r="E251" s="303"/>
      <c r="F251" s="303"/>
      <c r="G251" s="303"/>
      <c r="H251" s="303"/>
      <c r="I251" s="303"/>
    </row>
    <row r="252" spans="3:9">
      <c r="C252" s="71"/>
      <c r="D252" s="303"/>
      <c r="E252" s="303"/>
      <c r="F252" s="303"/>
      <c r="G252" s="303"/>
      <c r="H252" s="303"/>
      <c r="I252" s="303"/>
    </row>
    <row r="253" spans="3:9">
      <c r="C253" s="71"/>
      <c r="D253" s="303"/>
      <c r="E253" s="303"/>
      <c r="F253" s="303"/>
      <c r="G253" s="303"/>
      <c r="H253" s="303"/>
      <c r="I253" s="303"/>
    </row>
    <row r="254" spans="3:9">
      <c r="C254" s="71"/>
      <c r="D254" s="303"/>
      <c r="E254" s="303"/>
      <c r="F254" s="303"/>
      <c r="G254" s="303"/>
      <c r="H254" s="303"/>
      <c r="I254" s="303"/>
    </row>
    <row r="255" spans="3:9">
      <c r="C255" s="71"/>
      <c r="D255" s="303"/>
      <c r="E255" s="303"/>
      <c r="F255" s="303"/>
      <c r="G255" s="303"/>
      <c r="H255" s="303"/>
      <c r="I255" s="303"/>
    </row>
    <row r="256" spans="3:9">
      <c r="C256" s="71"/>
      <c r="D256" s="303"/>
      <c r="E256" s="303"/>
      <c r="F256" s="303"/>
      <c r="G256" s="303"/>
      <c r="H256" s="303"/>
      <c r="I256" s="303"/>
    </row>
    <row r="257" spans="3:9">
      <c r="C257" s="71"/>
      <c r="D257" s="303"/>
      <c r="E257" s="303"/>
      <c r="F257" s="303"/>
      <c r="G257" s="303"/>
      <c r="H257" s="303"/>
      <c r="I257" s="303"/>
    </row>
    <row r="258" spans="3:9">
      <c r="C258" s="71"/>
      <c r="D258" s="303"/>
      <c r="E258" s="303"/>
      <c r="F258" s="303"/>
      <c r="G258" s="303"/>
      <c r="H258" s="303"/>
      <c r="I258" s="303"/>
    </row>
    <row r="259" spans="3:9">
      <c r="C259" s="71"/>
      <c r="D259" s="303"/>
      <c r="E259" s="303"/>
      <c r="F259" s="303"/>
      <c r="G259" s="303"/>
      <c r="H259" s="303"/>
      <c r="I259" s="303"/>
    </row>
    <row r="260" spans="3:9">
      <c r="C260" s="71"/>
      <c r="D260" s="303"/>
      <c r="E260" s="303"/>
      <c r="F260" s="303"/>
      <c r="G260" s="303"/>
      <c r="H260" s="303"/>
      <c r="I260" s="303"/>
    </row>
    <row r="261" spans="3:9">
      <c r="C261" s="71"/>
      <c r="D261" s="303"/>
      <c r="E261" s="303"/>
      <c r="F261" s="303"/>
      <c r="G261" s="303"/>
      <c r="H261" s="303"/>
      <c r="I261" s="303"/>
    </row>
    <row r="262" spans="3:9">
      <c r="C262" s="71"/>
      <c r="D262" s="303"/>
      <c r="E262" s="303"/>
      <c r="F262" s="303"/>
      <c r="G262" s="303"/>
      <c r="H262" s="303"/>
      <c r="I262" s="303"/>
    </row>
    <row r="263" spans="3:9">
      <c r="C263" s="71"/>
      <c r="D263" s="303"/>
      <c r="E263" s="303"/>
      <c r="F263" s="303"/>
      <c r="G263" s="303"/>
      <c r="H263" s="303"/>
      <c r="I263" s="303"/>
    </row>
    <row r="264" spans="3:9">
      <c r="C264" s="71"/>
      <c r="D264" s="303"/>
      <c r="E264" s="303"/>
      <c r="F264" s="303"/>
      <c r="G264" s="303"/>
      <c r="H264" s="303"/>
      <c r="I264" s="303"/>
    </row>
    <row r="265" spans="3:9">
      <c r="C265" s="71"/>
      <c r="D265" s="303"/>
      <c r="E265" s="303"/>
      <c r="F265" s="303"/>
      <c r="G265" s="303"/>
      <c r="H265" s="303"/>
      <c r="I265" s="303"/>
    </row>
    <row r="266" spans="3:9">
      <c r="C266" s="71"/>
      <c r="D266" s="303"/>
      <c r="E266" s="303"/>
      <c r="F266" s="303"/>
      <c r="G266" s="303"/>
      <c r="H266" s="303"/>
      <c r="I266" s="303"/>
    </row>
    <row r="267" spans="3:9">
      <c r="C267" s="71"/>
      <c r="D267" s="303"/>
      <c r="E267" s="303"/>
      <c r="F267" s="303"/>
      <c r="G267" s="303"/>
      <c r="H267" s="303"/>
      <c r="I267" s="303"/>
    </row>
    <row r="268" spans="3:9">
      <c r="C268" s="71"/>
      <c r="D268" s="303"/>
      <c r="E268" s="303"/>
      <c r="F268" s="303"/>
      <c r="G268" s="303"/>
      <c r="H268" s="303"/>
      <c r="I268" s="303"/>
    </row>
    <row r="269" spans="3:9">
      <c r="C269" s="71"/>
      <c r="D269" s="303"/>
      <c r="E269" s="303"/>
      <c r="F269" s="303"/>
      <c r="G269" s="303"/>
      <c r="H269" s="303"/>
      <c r="I269" s="303"/>
    </row>
    <row r="270" spans="3:9">
      <c r="C270" s="71"/>
      <c r="D270" s="303"/>
      <c r="E270" s="303"/>
      <c r="F270" s="303"/>
      <c r="G270" s="303"/>
      <c r="H270" s="303"/>
      <c r="I270" s="303"/>
    </row>
    <row r="271" spans="3:9">
      <c r="C271" s="71"/>
      <c r="D271" s="303"/>
      <c r="E271" s="303"/>
      <c r="F271" s="303"/>
      <c r="G271" s="303"/>
      <c r="H271" s="303"/>
      <c r="I271" s="303"/>
    </row>
    <row r="272" spans="3:9">
      <c r="C272" s="71"/>
      <c r="D272" s="303"/>
      <c r="E272" s="303"/>
      <c r="F272" s="303"/>
      <c r="G272" s="303"/>
      <c r="H272" s="303"/>
      <c r="I272" s="303"/>
    </row>
    <row r="273" spans="3:9">
      <c r="C273" s="71"/>
      <c r="D273" s="303"/>
      <c r="E273" s="303"/>
      <c r="F273" s="303"/>
      <c r="G273" s="303"/>
      <c r="H273" s="303"/>
      <c r="I273" s="303"/>
    </row>
    <row r="274" spans="3:9">
      <c r="C274" s="71"/>
      <c r="D274" s="303"/>
      <c r="E274" s="303"/>
      <c r="F274" s="303"/>
      <c r="G274" s="303"/>
      <c r="H274" s="303"/>
      <c r="I274" s="303"/>
    </row>
    <row r="275" spans="3:9">
      <c r="C275" s="71"/>
      <c r="D275" s="303"/>
      <c r="E275" s="303"/>
      <c r="F275" s="303"/>
      <c r="G275" s="303"/>
      <c r="H275" s="303"/>
      <c r="I275" s="303"/>
    </row>
    <row r="276" spans="3:9">
      <c r="C276" s="71"/>
      <c r="D276" s="303"/>
      <c r="E276" s="303"/>
      <c r="F276" s="303"/>
      <c r="G276" s="303"/>
      <c r="H276" s="303"/>
      <c r="I276" s="303"/>
    </row>
    <row r="277" spans="3:9">
      <c r="C277" s="71"/>
      <c r="D277" s="303"/>
      <c r="E277" s="303"/>
      <c r="F277" s="303"/>
      <c r="G277" s="303"/>
      <c r="H277" s="303"/>
      <c r="I277" s="303"/>
    </row>
    <row r="278" spans="3:9">
      <c r="C278" s="71"/>
      <c r="D278" s="303"/>
      <c r="E278" s="303"/>
      <c r="F278" s="303"/>
      <c r="G278" s="303"/>
      <c r="H278" s="303"/>
      <c r="I278" s="303"/>
    </row>
    <row r="279" spans="3:9">
      <c r="C279" s="71"/>
      <c r="D279" s="303"/>
      <c r="E279" s="303"/>
      <c r="F279" s="303"/>
      <c r="G279" s="303"/>
      <c r="H279" s="303"/>
      <c r="I279" s="303"/>
    </row>
    <row r="280" spans="3:9">
      <c r="C280" s="71"/>
      <c r="D280" s="303"/>
      <c r="E280" s="303"/>
      <c r="F280" s="303"/>
      <c r="G280" s="303"/>
      <c r="H280" s="303"/>
      <c r="I280" s="303"/>
    </row>
    <row r="281" spans="3:9">
      <c r="C281" s="71"/>
      <c r="D281" s="303"/>
      <c r="E281" s="303"/>
      <c r="F281" s="303"/>
      <c r="G281" s="303"/>
      <c r="H281" s="303"/>
      <c r="I281" s="303"/>
    </row>
    <row r="282" spans="3:9">
      <c r="C282" s="71"/>
      <c r="D282" s="303"/>
      <c r="E282" s="303"/>
      <c r="F282" s="303"/>
      <c r="G282" s="303"/>
      <c r="H282" s="303"/>
      <c r="I282" s="303"/>
    </row>
    <row r="283" spans="3:9">
      <c r="C283" s="71"/>
      <c r="D283" s="303"/>
      <c r="E283" s="303"/>
      <c r="F283" s="303"/>
      <c r="G283" s="303"/>
      <c r="H283" s="303"/>
      <c r="I283" s="303"/>
    </row>
    <row r="284" spans="3:9">
      <c r="C284" s="71"/>
      <c r="D284" s="303"/>
      <c r="E284" s="303"/>
      <c r="F284" s="303"/>
      <c r="G284" s="303"/>
      <c r="H284" s="303"/>
      <c r="I284" s="303"/>
    </row>
    <row r="285" spans="3:9">
      <c r="C285" s="71"/>
      <c r="D285" s="303"/>
      <c r="E285" s="303"/>
      <c r="F285" s="303"/>
      <c r="G285" s="303"/>
      <c r="H285" s="303"/>
      <c r="I285" s="303"/>
    </row>
    <row r="286" spans="3:9">
      <c r="C286" s="71"/>
      <c r="D286" s="303"/>
      <c r="E286" s="303"/>
      <c r="F286" s="303"/>
      <c r="G286" s="303"/>
      <c r="H286" s="303"/>
      <c r="I286" s="303"/>
    </row>
    <row r="287" spans="3:9">
      <c r="C287" s="71"/>
      <c r="D287" s="303"/>
      <c r="E287" s="303"/>
      <c r="F287" s="303"/>
      <c r="G287" s="303"/>
      <c r="H287" s="303"/>
      <c r="I287" s="303"/>
    </row>
    <row r="288" spans="3:9">
      <c r="C288" s="71"/>
      <c r="D288" s="303"/>
      <c r="E288" s="303"/>
      <c r="F288" s="303"/>
      <c r="G288" s="303"/>
      <c r="H288" s="303"/>
      <c r="I288" s="303"/>
    </row>
    <row r="289" spans="3:9">
      <c r="C289" s="71"/>
      <c r="D289" s="303"/>
      <c r="E289" s="303"/>
      <c r="F289" s="303"/>
      <c r="G289" s="303"/>
      <c r="H289" s="303"/>
      <c r="I289" s="303"/>
    </row>
    <row r="290" spans="3:9">
      <c r="C290" s="71"/>
      <c r="D290" s="303"/>
      <c r="E290" s="303"/>
      <c r="F290" s="303"/>
      <c r="G290" s="303"/>
      <c r="H290" s="303"/>
      <c r="I290" s="303"/>
    </row>
    <row r="291" spans="3:9">
      <c r="C291" s="71"/>
      <c r="D291" s="303"/>
      <c r="E291" s="303"/>
      <c r="F291" s="303"/>
      <c r="G291" s="303"/>
      <c r="H291" s="303"/>
      <c r="I291" s="303"/>
    </row>
    <row r="292" spans="3:9">
      <c r="C292" s="71"/>
      <c r="D292" s="303"/>
      <c r="E292" s="303"/>
      <c r="F292" s="303"/>
      <c r="G292" s="303"/>
      <c r="H292" s="303"/>
      <c r="I292" s="303"/>
    </row>
    <row r="293" spans="3:9">
      <c r="C293" s="71"/>
      <c r="D293" s="303"/>
      <c r="E293" s="303"/>
      <c r="F293" s="303"/>
      <c r="G293" s="303"/>
      <c r="H293" s="303"/>
      <c r="I293" s="303"/>
    </row>
    <row r="294" spans="3:9">
      <c r="C294" s="71"/>
      <c r="D294" s="303"/>
      <c r="E294" s="303"/>
      <c r="F294" s="303"/>
      <c r="G294" s="303"/>
      <c r="H294" s="303"/>
      <c r="I294" s="303"/>
    </row>
    <row r="295" spans="3:9">
      <c r="C295" s="71"/>
      <c r="D295" s="303"/>
      <c r="E295" s="303"/>
      <c r="F295" s="303"/>
      <c r="G295" s="303"/>
      <c r="H295" s="303"/>
      <c r="I295" s="303"/>
    </row>
    <row r="296" spans="3:9">
      <c r="C296" s="71"/>
      <c r="D296" s="303"/>
      <c r="E296" s="303"/>
      <c r="F296" s="303"/>
      <c r="G296" s="303"/>
      <c r="H296" s="303"/>
      <c r="I296" s="303"/>
    </row>
    <row r="297" spans="3:9">
      <c r="C297" s="71"/>
      <c r="D297" s="303"/>
      <c r="E297" s="303"/>
      <c r="F297" s="303"/>
      <c r="G297" s="303"/>
      <c r="H297" s="303"/>
      <c r="I297" s="303"/>
    </row>
    <row r="298" spans="3:9">
      <c r="C298" s="71"/>
      <c r="D298" s="303"/>
      <c r="E298" s="303"/>
      <c r="F298" s="303"/>
      <c r="G298" s="303"/>
      <c r="H298" s="303"/>
      <c r="I298" s="303"/>
    </row>
    <row r="299" spans="3:9">
      <c r="C299" s="71"/>
      <c r="D299" s="303"/>
      <c r="E299" s="303"/>
      <c r="F299" s="303"/>
      <c r="G299" s="303"/>
      <c r="H299" s="303"/>
      <c r="I299" s="303"/>
    </row>
    <row r="300" spans="3:9">
      <c r="C300" s="71"/>
      <c r="D300" s="303"/>
      <c r="E300" s="303"/>
      <c r="F300" s="303"/>
      <c r="G300" s="303"/>
      <c r="H300" s="303"/>
      <c r="I300" s="303"/>
    </row>
    <row r="301" spans="3:9">
      <c r="C301" s="71"/>
      <c r="D301" s="303"/>
      <c r="E301" s="303"/>
      <c r="F301" s="303"/>
      <c r="G301" s="303"/>
      <c r="H301" s="303"/>
      <c r="I301" s="303"/>
    </row>
    <row r="302" spans="3:9">
      <c r="C302" s="71"/>
      <c r="D302" s="303"/>
      <c r="E302" s="303"/>
      <c r="F302" s="303"/>
      <c r="G302" s="303"/>
      <c r="H302" s="303"/>
      <c r="I302" s="303"/>
    </row>
    <row r="303" spans="3:9">
      <c r="C303" s="71"/>
      <c r="D303" s="303"/>
      <c r="E303" s="303"/>
      <c r="F303" s="303"/>
      <c r="G303" s="303"/>
      <c r="H303" s="303"/>
      <c r="I303" s="303"/>
    </row>
    <row r="304" spans="3:9">
      <c r="C304" s="71"/>
      <c r="D304" s="303"/>
      <c r="E304" s="303"/>
      <c r="F304" s="303"/>
      <c r="G304" s="303"/>
      <c r="H304" s="303"/>
      <c r="I304" s="303"/>
    </row>
    <row r="305" spans="3:9">
      <c r="C305" s="71"/>
      <c r="D305" s="303"/>
      <c r="E305" s="303"/>
      <c r="F305" s="303"/>
      <c r="G305" s="303"/>
      <c r="H305" s="303"/>
      <c r="I305" s="303"/>
    </row>
    <row r="306" spans="3:9">
      <c r="C306" s="71"/>
      <c r="D306" s="303"/>
      <c r="E306" s="303"/>
      <c r="F306" s="303"/>
      <c r="G306" s="303"/>
      <c r="H306" s="303"/>
      <c r="I306" s="303"/>
    </row>
    <row r="307" spans="3:9">
      <c r="C307" s="71"/>
      <c r="D307" s="303"/>
      <c r="E307" s="303"/>
      <c r="F307" s="303"/>
      <c r="G307" s="303"/>
      <c r="H307" s="303"/>
      <c r="I307" s="303"/>
    </row>
    <row r="308" spans="3:9">
      <c r="C308" s="71"/>
      <c r="D308" s="303"/>
      <c r="E308" s="303"/>
      <c r="F308" s="303"/>
      <c r="G308" s="303"/>
      <c r="H308" s="303"/>
      <c r="I308" s="303"/>
    </row>
    <row r="309" spans="3:9">
      <c r="C309" s="71"/>
      <c r="D309" s="303"/>
      <c r="E309" s="303"/>
      <c r="F309" s="303"/>
      <c r="G309" s="303"/>
      <c r="H309" s="303"/>
      <c r="I309" s="303"/>
    </row>
    <row r="310" spans="3:9">
      <c r="C310" s="71"/>
      <c r="D310" s="303"/>
      <c r="E310" s="303"/>
      <c r="F310" s="303"/>
      <c r="G310" s="303"/>
      <c r="H310" s="303"/>
      <c r="I310" s="303"/>
    </row>
    <row r="311" spans="3:9">
      <c r="C311" s="71"/>
      <c r="D311" s="303"/>
      <c r="E311" s="303"/>
      <c r="F311" s="303"/>
      <c r="G311" s="303"/>
      <c r="H311" s="303"/>
      <c r="I311" s="303"/>
    </row>
    <row r="312" spans="3:9">
      <c r="C312" s="71"/>
      <c r="D312" s="303"/>
      <c r="E312" s="303"/>
      <c r="F312" s="303"/>
      <c r="G312" s="303"/>
      <c r="H312" s="303"/>
      <c r="I312" s="303"/>
    </row>
    <row r="313" spans="3:9">
      <c r="C313" s="71"/>
      <c r="D313" s="303"/>
      <c r="E313" s="303"/>
      <c r="F313" s="303"/>
      <c r="G313" s="303"/>
      <c r="H313" s="303"/>
      <c r="I313" s="303"/>
    </row>
    <row r="314" spans="3:9">
      <c r="C314" s="71"/>
      <c r="D314" s="303"/>
      <c r="E314" s="303"/>
      <c r="F314" s="303"/>
      <c r="G314" s="303"/>
      <c r="H314" s="303"/>
      <c r="I314" s="303"/>
    </row>
    <row r="315" spans="3:9">
      <c r="C315" s="71"/>
      <c r="D315" s="303"/>
      <c r="E315" s="303"/>
      <c r="F315" s="303"/>
      <c r="G315" s="303"/>
      <c r="H315" s="303"/>
      <c r="I315" s="303"/>
    </row>
    <row r="316" spans="3:9">
      <c r="C316" s="71"/>
      <c r="D316" s="303"/>
      <c r="E316" s="303"/>
      <c r="F316" s="303"/>
      <c r="G316" s="303"/>
      <c r="H316" s="303"/>
      <c r="I316" s="303"/>
    </row>
    <row r="317" spans="3:9">
      <c r="C317" s="71"/>
      <c r="D317" s="303"/>
      <c r="E317" s="303"/>
      <c r="F317" s="303"/>
      <c r="G317" s="303"/>
      <c r="H317" s="303"/>
      <c r="I317" s="303"/>
    </row>
    <row r="318" spans="3:9">
      <c r="C318" s="71"/>
      <c r="D318" s="303"/>
      <c r="E318" s="303"/>
      <c r="F318" s="303"/>
      <c r="G318" s="303"/>
      <c r="H318" s="303"/>
      <c r="I318" s="303"/>
    </row>
    <row r="319" spans="3:9">
      <c r="C319" s="71"/>
      <c r="D319" s="303"/>
      <c r="E319" s="303"/>
      <c r="F319" s="303"/>
      <c r="G319" s="303"/>
      <c r="H319" s="303"/>
      <c r="I319" s="303"/>
    </row>
    <row r="320" spans="3:9">
      <c r="C320" s="71"/>
      <c r="D320" s="303"/>
      <c r="E320" s="303"/>
      <c r="F320" s="303"/>
      <c r="G320" s="303"/>
      <c r="H320" s="303"/>
      <c r="I320" s="303"/>
    </row>
    <row r="321" spans="3:9">
      <c r="C321" s="71"/>
      <c r="D321" s="303"/>
      <c r="E321" s="303"/>
      <c r="F321" s="303"/>
      <c r="G321" s="303"/>
      <c r="H321" s="303"/>
      <c r="I321" s="303"/>
    </row>
    <row r="322" spans="3:9">
      <c r="C322" s="71"/>
      <c r="D322" s="303"/>
      <c r="E322" s="303"/>
      <c r="F322" s="303"/>
      <c r="G322" s="303"/>
      <c r="H322" s="303"/>
      <c r="I322" s="303"/>
    </row>
    <row r="323" spans="3:9">
      <c r="C323" s="71"/>
      <c r="D323" s="303"/>
      <c r="E323" s="303"/>
      <c r="F323" s="303"/>
      <c r="G323" s="303"/>
      <c r="H323" s="303"/>
      <c r="I323" s="303"/>
    </row>
    <row r="324" spans="3:9">
      <c r="C324" s="71"/>
      <c r="D324" s="303"/>
      <c r="E324" s="303"/>
      <c r="F324" s="303"/>
      <c r="G324" s="303"/>
      <c r="H324" s="303"/>
      <c r="I324" s="303"/>
    </row>
    <row r="325" spans="3:9">
      <c r="C325" s="71"/>
      <c r="D325" s="303"/>
      <c r="E325" s="303"/>
      <c r="F325" s="303"/>
      <c r="G325" s="303"/>
      <c r="H325" s="303"/>
      <c r="I325" s="303"/>
    </row>
    <row r="326" spans="3:9">
      <c r="C326" s="71"/>
      <c r="D326" s="303"/>
      <c r="E326" s="303"/>
      <c r="F326" s="303"/>
      <c r="G326" s="303"/>
      <c r="H326" s="303"/>
      <c r="I326" s="303"/>
    </row>
    <row r="327" spans="3:9">
      <c r="C327" s="71"/>
      <c r="D327" s="303"/>
      <c r="E327" s="303"/>
      <c r="F327" s="303"/>
      <c r="G327" s="303"/>
      <c r="H327" s="303"/>
      <c r="I327" s="303"/>
    </row>
    <row r="328" spans="3:9">
      <c r="C328" s="71"/>
      <c r="D328" s="303"/>
      <c r="E328" s="303"/>
      <c r="F328" s="303"/>
      <c r="G328" s="303"/>
      <c r="H328" s="303"/>
      <c r="I328" s="303"/>
    </row>
    <row r="329" spans="3:9">
      <c r="C329" s="71"/>
      <c r="D329" s="303"/>
      <c r="E329" s="303"/>
      <c r="F329" s="303"/>
      <c r="G329" s="303"/>
      <c r="H329" s="303"/>
      <c r="I329" s="303"/>
    </row>
    <row r="330" spans="3:9">
      <c r="C330" s="71"/>
      <c r="D330" s="303"/>
      <c r="E330" s="303"/>
      <c r="F330" s="303"/>
      <c r="G330" s="303"/>
      <c r="H330" s="303"/>
      <c r="I330" s="303"/>
    </row>
    <row r="331" spans="3:9">
      <c r="C331" s="71"/>
      <c r="D331" s="303"/>
      <c r="E331" s="303"/>
      <c r="F331" s="303"/>
      <c r="G331" s="303"/>
      <c r="H331" s="303"/>
      <c r="I331" s="303"/>
    </row>
    <row r="332" spans="3:9">
      <c r="C332" s="71"/>
      <c r="D332" s="303"/>
      <c r="E332" s="303"/>
      <c r="F332" s="303"/>
      <c r="G332" s="303"/>
      <c r="H332" s="303"/>
      <c r="I332" s="303"/>
    </row>
    <row r="333" spans="3:9">
      <c r="C333" s="71"/>
      <c r="D333" s="303"/>
      <c r="E333" s="303"/>
      <c r="F333" s="303"/>
      <c r="G333" s="303"/>
      <c r="H333" s="303"/>
      <c r="I333" s="303"/>
    </row>
    <row r="334" spans="3:9">
      <c r="C334" s="71"/>
      <c r="D334" s="303"/>
      <c r="E334" s="303"/>
      <c r="F334" s="303"/>
      <c r="G334" s="303"/>
      <c r="H334" s="303"/>
      <c r="I334" s="303"/>
    </row>
    <row r="335" spans="3:9">
      <c r="C335" s="71"/>
      <c r="D335" s="303"/>
      <c r="E335" s="303"/>
      <c r="F335" s="303"/>
      <c r="G335" s="303"/>
      <c r="H335" s="303"/>
      <c r="I335" s="303"/>
    </row>
    <row r="336" spans="3:9">
      <c r="C336" s="71"/>
      <c r="D336" s="303"/>
      <c r="E336" s="303"/>
      <c r="F336" s="303"/>
      <c r="G336" s="303"/>
      <c r="H336" s="303"/>
      <c r="I336" s="303"/>
    </row>
    <row r="337" spans="3:9">
      <c r="C337" s="71"/>
      <c r="D337" s="303"/>
      <c r="E337" s="303"/>
      <c r="F337" s="303"/>
      <c r="G337" s="303"/>
      <c r="H337" s="303"/>
      <c r="I337" s="303"/>
    </row>
    <row r="338" spans="3:9">
      <c r="C338" s="71"/>
      <c r="D338" s="303"/>
      <c r="E338" s="303"/>
      <c r="F338" s="303"/>
      <c r="G338" s="303"/>
      <c r="H338" s="303"/>
      <c r="I338" s="303"/>
    </row>
    <row r="339" spans="3:9">
      <c r="C339" s="71"/>
      <c r="D339" s="303"/>
      <c r="E339" s="303"/>
      <c r="F339" s="303"/>
      <c r="G339" s="303"/>
      <c r="H339" s="303"/>
      <c r="I339" s="303"/>
    </row>
    <row r="340" spans="3:9">
      <c r="C340" s="71"/>
      <c r="D340" s="303"/>
      <c r="E340" s="303"/>
      <c r="F340" s="303"/>
      <c r="G340" s="303"/>
      <c r="H340" s="303"/>
      <c r="I340" s="303"/>
    </row>
    <row r="341" spans="3:9">
      <c r="C341" s="71"/>
      <c r="D341" s="303"/>
      <c r="E341" s="303"/>
      <c r="F341" s="303"/>
      <c r="G341" s="303"/>
      <c r="H341" s="303"/>
      <c r="I341" s="303"/>
    </row>
    <row r="342" spans="3:9">
      <c r="C342" s="71"/>
      <c r="D342" s="303"/>
      <c r="E342" s="303"/>
      <c r="F342" s="303"/>
      <c r="G342" s="303"/>
      <c r="H342" s="303"/>
      <c r="I342" s="303"/>
    </row>
    <row r="343" spans="3:9">
      <c r="C343" s="71"/>
      <c r="D343" s="303"/>
      <c r="E343" s="303"/>
      <c r="F343" s="303"/>
      <c r="G343" s="303"/>
      <c r="H343" s="303"/>
      <c r="I343" s="303"/>
    </row>
    <row r="344" spans="3:9">
      <c r="C344" s="71"/>
      <c r="D344" s="303"/>
      <c r="E344" s="303"/>
      <c r="F344" s="303"/>
      <c r="G344" s="303"/>
      <c r="H344" s="303"/>
      <c r="I344" s="303"/>
    </row>
    <row r="345" spans="3:9">
      <c r="C345" s="71"/>
      <c r="D345" s="303"/>
      <c r="E345" s="303"/>
      <c r="F345" s="303"/>
      <c r="G345" s="303"/>
      <c r="H345" s="303"/>
      <c r="I345" s="303"/>
    </row>
    <row r="346" spans="3:9">
      <c r="C346" s="71"/>
      <c r="D346" s="303"/>
      <c r="E346" s="303"/>
      <c r="F346" s="303"/>
      <c r="G346" s="303"/>
      <c r="H346" s="303"/>
      <c r="I346" s="303"/>
    </row>
    <row r="347" spans="3:9">
      <c r="C347" s="71"/>
      <c r="D347" s="303"/>
      <c r="E347" s="303"/>
      <c r="F347" s="303"/>
      <c r="G347" s="303"/>
      <c r="H347" s="303"/>
      <c r="I347" s="303"/>
    </row>
    <row r="348" spans="3:9">
      <c r="C348" s="71"/>
      <c r="D348" s="303"/>
      <c r="E348" s="303"/>
      <c r="F348" s="303"/>
      <c r="G348" s="303"/>
      <c r="H348" s="303"/>
      <c r="I348" s="303"/>
    </row>
    <row r="349" spans="3:9">
      <c r="C349" s="71"/>
      <c r="D349" s="303"/>
      <c r="E349" s="303"/>
      <c r="F349" s="303"/>
      <c r="G349" s="303"/>
      <c r="H349" s="303"/>
      <c r="I349" s="303"/>
    </row>
    <row r="350" spans="3:9">
      <c r="C350" s="71"/>
      <c r="D350" s="303"/>
      <c r="E350" s="303"/>
      <c r="F350" s="303"/>
      <c r="G350" s="303"/>
      <c r="H350" s="303"/>
      <c r="I350" s="303"/>
    </row>
    <row r="351" spans="3:9">
      <c r="C351" s="71"/>
      <c r="D351" s="303"/>
      <c r="E351" s="303"/>
      <c r="F351" s="303"/>
      <c r="G351" s="303"/>
      <c r="H351" s="303"/>
      <c r="I351" s="303"/>
    </row>
    <row r="352" spans="3:9">
      <c r="C352" s="71"/>
      <c r="D352" s="303"/>
      <c r="E352" s="303"/>
      <c r="F352" s="303"/>
      <c r="G352" s="303"/>
      <c r="H352" s="303"/>
      <c r="I352" s="303"/>
    </row>
    <row r="353" spans="3:9">
      <c r="C353" s="71"/>
      <c r="D353" s="303"/>
      <c r="E353" s="303"/>
      <c r="F353" s="303"/>
      <c r="G353" s="303"/>
      <c r="H353" s="303"/>
      <c r="I353" s="303"/>
    </row>
    <row r="354" spans="3:9">
      <c r="C354" s="71"/>
      <c r="D354" s="303"/>
      <c r="E354" s="303"/>
      <c r="F354" s="303"/>
      <c r="G354" s="303"/>
      <c r="H354" s="303"/>
      <c r="I354" s="303"/>
    </row>
    <row r="355" spans="3:9">
      <c r="C355" s="71"/>
      <c r="D355" s="303"/>
      <c r="E355" s="303"/>
      <c r="F355" s="303"/>
      <c r="G355" s="303"/>
      <c r="H355" s="303"/>
      <c r="I355" s="303"/>
    </row>
    <row r="356" spans="3:9">
      <c r="C356" s="71"/>
      <c r="D356" s="303"/>
      <c r="E356" s="303"/>
      <c r="F356" s="303"/>
      <c r="G356" s="303"/>
      <c r="H356" s="303"/>
      <c r="I356" s="303"/>
    </row>
    <row r="357" spans="3:9">
      <c r="C357" s="71"/>
      <c r="D357" s="303"/>
      <c r="E357" s="303"/>
      <c r="F357" s="303"/>
      <c r="G357" s="303"/>
      <c r="H357" s="303"/>
      <c r="I357" s="303"/>
    </row>
    <row r="358" spans="3:9">
      <c r="C358" s="71"/>
      <c r="D358" s="303"/>
      <c r="E358" s="303"/>
      <c r="F358" s="303"/>
      <c r="G358" s="303"/>
      <c r="H358" s="303"/>
      <c r="I358" s="303"/>
    </row>
    <row r="359" spans="3:9">
      <c r="C359" s="71"/>
      <c r="D359" s="303"/>
      <c r="E359" s="303"/>
      <c r="F359" s="303"/>
      <c r="G359" s="303"/>
      <c r="H359" s="303"/>
      <c r="I359" s="303"/>
    </row>
    <row r="360" spans="3:9">
      <c r="C360" s="71"/>
      <c r="D360" s="303"/>
      <c r="E360" s="303"/>
      <c r="F360" s="303"/>
      <c r="G360" s="303"/>
      <c r="H360" s="303"/>
      <c r="I360" s="303"/>
    </row>
    <row r="361" spans="3:9">
      <c r="C361" s="71"/>
      <c r="D361" s="303"/>
      <c r="E361" s="303"/>
      <c r="F361" s="303"/>
      <c r="G361" s="303"/>
      <c r="H361" s="303"/>
      <c r="I361" s="303"/>
    </row>
    <row r="362" spans="3:9">
      <c r="C362" s="71"/>
      <c r="D362" s="303"/>
      <c r="E362" s="303"/>
      <c r="F362" s="303"/>
      <c r="G362" s="303"/>
      <c r="H362" s="303"/>
      <c r="I362" s="303"/>
    </row>
    <row r="363" spans="3:9">
      <c r="C363" s="71"/>
      <c r="D363" s="303"/>
      <c r="E363" s="303"/>
      <c r="F363" s="303"/>
      <c r="G363" s="303"/>
      <c r="H363" s="303"/>
      <c r="I363" s="303"/>
    </row>
    <row r="364" spans="3:9">
      <c r="C364" s="71"/>
      <c r="D364" s="303"/>
      <c r="E364" s="303"/>
      <c r="F364" s="303"/>
      <c r="G364" s="303"/>
      <c r="H364" s="303"/>
      <c r="I364" s="303"/>
    </row>
    <row r="365" spans="3:9">
      <c r="C365" s="71"/>
      <c r="D365" s="303"/>
      <c r="E365" s="303"/>
      <c r="F365" s="303"/>
      <c r="G365" s="303"/>
      <c r="H365" s="303"/>
      <c r="I365" s="303"/>
    </row>
    <row r="366" spans="3:9">
      <c r="C366" s="71"/>
      <c r="D366" s="303"/>
      <c r="E366" s="303"/>
      <c r="F366" s="303"/>
      <c r="G366" s="303"/>
      <c r="H366" s="303"/>
      <c r="I366" s="303"/>
    </row>
  </sheetData>
  <mergeCells count="7">
    <mergeCell ref="S8:V8"/>
    <mergeCell ref="S9:V9"/>
    <mergeCell ref="S34:V34"/>
    <mergeCell ref="U33:V33"/>
    <mergeCell ref="B6:C6"/>
    <mergeCell ref="D6:E6"/>
    <mergeCell ref="F6:G6"/>
  </mergeCells>
  <dataValidations disablePrompts="1" count="1">
    <dataValidation type="list" allowBlank="1" showInputMessage="1" showErrorMessage="1" promptTitle="Select a Period:" prompt="Select Financial or Calendar years." sqref="U33:V33">
      <formula1>$A$1:$A$2</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Z67"/>
  <sheetViews>
    <sheetView workbookViewId="0"/>
  </sheetViews>
  <sheetFormatPr defaultRowHeight="15"/>
  <cols>
    <col min="2" max="2" width="15.85546875" bestFit="1" customWidth="1"/>
    <col min="4" max="5" width="9.140625" style="798" hidden="1" customWidth="1"/>
    <col min="6" max="7" width="19.7109375" customWidth="1"/>
    <col min="8" max="8" width="9.140625" hidden="1" customWidth="1"/>
  </cols>
  <sheetData>
    <row r="1" spans="1:26">
      <c r="Y1" s="807" t="s">
        <v>545</v>
      </c>
      <c r="Z1" s="806"/>
    </row>
    <row r="2" spans="1:26">
      <c r="Y2" s="807" t="s">
        <v>546</v>
      </c>
      <c r="Z2" s="806"/>
    </row>
    <row r="4" spans="1:26">
      <c r="J4" s="808" t="str">
        <f>IF('Data Sources'!J4=12,IF(F6="Historic Calendar Year","","Please Note: Most recent financial year is based on only the first half. Second half financial year average price data not yet available."),IF(F6="Historic Calendar Year","Please Note: Most recent calendar year is based on only the first half. Second half calendar year price data not yet available.",""))</f>
        <v/>
      </c>
    </row>
    <row r="5" spans="1:26" s="8" customFormat="1">
      <c r="A5" s="1937" t="s">
        <v>661</v>
      </c>
      <c r="B5" s="1937"/>
      <c r="C5" s="24"/>
      <c r="D5" s="410"/>
      <c r="E5" s="410"/>
      <c r="F5" s="1937" t="s">
        <v>662</v>
      </c>
      <c r="G5" s="1937"/>
    </row>
    <row r="6" spans="1:26" ht="15.75" thickBot="1">
      <c r="A6" s="1966" t="s">
        <v>54</v>
      </c>
      <c r="B6" s="1966"/>
      <c r="C6" s="24"/>
      <c r="D6" s="410"/>
      <c r="E6" s="410"/>
      <c r="F6" s="1937" t="str">
        <f>F45</f>
        <v>Historic Calendar Year</v>
      </c>
      <c r="G6" s="1937"/>
    </row>
    <row r="7" spans="1:26" ht="15.75" thickBot="1">
      <c r="A7" s="1834" t="s">
        <v>52</v>
      </c>
      <c r="B7" s="20" t="s">
        <v>53</v>
      </c>
      <c r="C7" s="24"/>
      <c r="D7" s="410"/>
      <c r="E7" s="410"/>
      <c r="F7" s="19" t="s">
        <v>49</v>
      </c>
      <c r="G7" s="20" t="s">
        <v>55</v>
      </c>
    </row>
    <row r="8" spans="1:26">
      <c r="A8" s="1835">
        <f>LARGE('Data - Monthly Commodity Prices'!C$159:C$902,60)</f>
        <v>42005</v>
      </c>
      <c r="B8" s="23">
        <f>SUMIF('Data - Monthly Commodity Prices'!C$159:C$902,A8,'Data - Monthly Commodity Prices'!D$159:D$902)</f>
        <v>383.82277233443335</v>
      </c>
      <c r="C8" s="24"/>
      <c r="D8" s="410">
        <v>1986</v>
      </c>
      <c r="E8" s="410">
        <v>1987</v>
      </c>
      <c r="F8" s="1838">
        <f>IF($F$6="Historic Calendar Year",1986,CONCATENATE(D8,"-",RIGHT(E8,2)))</f>
        <v>1986</v>
      </c>
      <c r="G8" s="32">
        <f t="array" ref="G8">IF($F$6="Historic Calendar Year",IFERROR(AVERAGE(IF($F8=YEAR('Data - Monthly Commodity Prices'!C$100:C$1000),'Data - Monthly Commodity Prices'!D$100:D$1000)),"NA"),IFERROR(IF(H8=0,"NA",H8),"NA"))</f>
        <v>186.74747201938524</v>
      </c>
      <c r="H8">
        <f>(SUMIFS('Data - Monthly Commodity Prices'!$D$9:$D$2500,'Data - Monthly Commodity Prices'!$A$9:$A$2500,'Alumina - Prices'!D8,'Data - Monthly Commodity Prices'!$B$9:$B$2500,3)+
SUMIFS('Data - Monthly Commodity Prices'!$D$9:$D$2500,'Data - Monthly Commodity Prices'!$A$9:$A$2500,'Alumina - Prices'!D8,'Data - Monthly Commodity Prices'!$B$9:$B$2500,4)+
SUMIFS('Data - Monthly Commodity Prices'!$D$9:$D$2500,'Data - Monthly Commodity Prices'!$A$9:$A$2500,'Alumina - Prices'!E8,'Data - Monthly Commodity Prices'!$B$9:$B$2500,1)+
SUMIFS('Data - Monthly Commodity Prices'!$D$9:$D$2500,'Data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190.39912028055323</v>
      </c>
    </row>
    <row r="9" spans="1:26">
      <c r="A9" s="1836">
        <f>LARGE('Data - Monthly Commodity Prices'!C$159:C$902,59)</f>
        <v>42036</v>
      </c>
      <c r="B9" s="30">
        <f>SUMIF('Data - Monthly Commodity Prices'!C$159:C$902,A9,'Data - Monthly Commodity Prices'!D$159:D$902)</f>
        <v>393.46429046678821</v>
      </c>
      <c r="C9" s="24"/>
      <c r="D9" s="410">
        <f>D8+1</f>
        <v>1987</v>
      </c>
      <c r="E9" s="410">
        <f>E8+1</f>
        <v>1988</v>
      </c>
      <c r="F9" s="1839">
        <f t="shared" ref="F9:F42" si="0">IF($F$6="Historic Calendar Year",F8+1,CONCATENATE(D9,"-",RIGHT(E9,2)))</f>
        <v>1987</v>
      </c>
      <c r="G9" s="23">
        <f t="array" ref="G9">IF($F$6="Historic Calendar Year",IFERROR(AVERAGE(IF($F9=YEAR('Data - Monthly Commodity Prices'!C$100:C$1000),'Data - Monthly Commodity Prices'!D$100:D$1000)),"NA"),IFERROR(IF(H9=0,"NA",H9),"NA"))</f>
        <v>186.34339604659078</v>
      </c>
      <c r="H9">
        <f>(SUMIFS('Data - Monthly Commodity Prices'!$D$9:$D$2500,'Data - Monthly Commodity Prices'!$A$9:$A$2500,'Alumina - Prices'!D9,'Data - Monthly Commodity Prices'!$B$9:$B$2500,3)+
SUMIFS('Data - Monthly Commodity Prices'!$D$9:$D$2500,'Data - Monthly Commodity Prices'!$A$9:$A$2500,'Alumina - Prices'!D9,'Data - Monthly Commodity Prices'!$B$9:$B$2500,4)+
SUMIFS('Data - Monthly Commodity Prices'!$D$9:$D$2500,'Data - Monthly Commodity Prices'!$A$9:$A$2500,'Alumina - Prices'!E9,'Data - Monthly Commodity Prices'!$B$9:$B$2500,1)+
SUMIFS('Data - Monthly Commodity Prices'!$D$9:$D$2500,'Data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199.42451208219322</v>
      </c>
    </row>
    <row r="10" spans="1:26">
      <c r="A10" s="1835">
        <f>LARGE('Data - Monthly Commodity Prices'!C$159:C$902,58)</f>
        <v>42064</v>
      </c>
      <c r="B10" s="23">
        <f>SUMIF('Data - Monthly Commodity Prices'!C$159:C$902,A10,'Data - Monthly Commodity Prices'!D$159:D$902)</f>
        <v>390.05408420727417</v>
      </c>
      <c r="C10" s="24"/>
      <c r="D10" s="410">
        <f t="shared" ref="D10:D42" si="1">D9+1</f>
        <v>1988</v>
      </c>
      <c r="E10" s="410">
        <f t="shared" ref="E10:E42" si="2">E9+1</f>
        <v>1989</v>
      </c>
      <c r="F10" s="1840">
        <f t="shared" si="0"/>
        <v>1988</v>
      </c>
      <c r="G10" s="30">
        <f t="array" ref="G10">IF($F$6="Historic Calendar Year",IFERROR(AVERAGE(IF($F10=YEAR('Data - Monthly Commodity Prices'!C$100:C$1000),'Data - Monthly Commodity Prices'!D$100:D$1000)),"NA"),IFERROR(IF(H10=0,"NA",H10),"NA"))</f>
        <v>215.69999999999996</v>
      </c>
      <c r="H10">
        <f>(SUMIFS('Data - Monthly Commodity Prices'!$D$9:$D$2500,'Data - Monthly Commodity Prices'!$A$9:$A$2500,'Alumina - Prices'!D10,'Data - Monthly Commodity Prices'!$B$9:$B$2500,3)+
SUMIFS('Data - Monthly Commodity Prices'!$D$9:$D$2500,'Data - Monthly Commodity Prices'!$A$9:$A$2500,'Alumina - Prices'!D10,'Data - Monthly Commodity Prices'!$B$9:$B$2500,4)+
SUMIFS('Data - Monthly Commodity Prices'!$D$9:$D$2500,'Data - Monthly Commodity Prices'!$A$9:$A$2500,'Alumina - Prices'!E10,'Data - Monthly Commodity Prices'!$B$9:$B$2500,1)+
SUMIFS('Data - Monthly Commodity Prices'!$D$9:$D$2500,'Data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268.61833333333334</v>
      </c>
    </row>
    <row r="11" spans="1:26">
      <c r="A11" s="1836">
        <f>LARGE('Data - Monthly Commodity Prices'!C$159:C$902,57)</f>
        <v>42095</v>
      </c>
      <c r="B11" s="30">
        <f>SUMIF('Data - Monthly Commodity Prices'!C$159:C$902,A11,'Data - Monthly Commodity Prices'!D$159:D$902)</f>
        <v>392.96639490980482</v>
      </c>
      <c r="C11" s="24"/>
      <c r="D11" s="410">
        <f t="shared" si="1"/>
        <v>1989</v>
      </c>
      <c r="E11" s="410">
        <f t="shared" si="2"/>
        <v>1990</v>
      </c>
      <c r="F11" s="1839">
        <f t="shared" si="0"/>
        <v>1989</v>
      </c>
      <c r="G11" s="23">
        <f t="array" ref="G11">IF($F$6="Historic Calendar Year",IFERROR(AVERAGE(IF($F11=YEAR('Data - Monthly Commodity Prices'!C$100:C$1000),'Data - Monthly Commodity Prices'!D$100:D$1000)),"NA"),IFERROR(IF(H11=0,"NA",H11),"NA"))</f>
        <v>316.38083333333333</v>
      </c>
      <c r="H11">
        <f>(SUMIFS('Data - Monthly Commodity Prices'!$D$9:$D$2500,'Data - Monthly Commodity Prices'!$A$9:$A$2500,'Alumina - Prices'!D11,'Data - Monthly Commodity Prices'!$B$9:$B$2500,3)+
SUMIFS('Data - Monthly Commodity Prices'!$D$9:$D$2500,'Data - Monthly Commodity Prices'!$A$9:$A$2500,'Alumina - Prices'!D11,'Data - Monthly Commodity Prices'!$B$9:$B$2500,4)+
SUMIFS('Data - Monthly Commodity Prices'!$D$9:$D$2500,'Data - Monthly Commodity Prices'!$A$9:$A$2500,'Alumina - Prices'!E11,'Data - Monthly Commodity Prices'!$B$9:$B$2500,1)+
SUMIFS('Data - Monthly Commodity Prices'!$D$9:$D$2500,'Data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329.86166666666668</v>
      </c>
    </row>
    <row r="12" spans="1:26">
      <c r="A12" s="1835">
        <f>LARGE('Data - Monthly Commodity Prices'!C$159:C$902,56)</f>
        <v>42125</v>
      </c>
      <c r="B12" s="23">
        <f>SUMIF('Data - Monthly Commodity Prices'!C$159:C$902,A12,'Data - Monthly Commodity Prices'!D$159:D$902)</f>
        <v>389.31352295370897</v>
      </c>
      <c r="C12" s="24"/>
      <c r="D12" s="410">
        <f t="shared" si="1"/>
        <v>1990</v>
      </c>
      <c r="E12" s="410">
        <f t="shared" si="2"/>
        <v>1991</v>
      </c>
      <c r="F12" s="1840">
        <f t="shared" si="0"/>
        <v>1990</v>
      </c>
      <c r="G12" s="30">
        <f t="array" ref="G12">IF($F$6="Historic Calendar Year",IFERROR(AVERAGE(IF($F12=YEAR('Data - Monthly Commodity Prices'!C$100:C$1000),'Data - Monthly Commodity Prices'!D$100:D$1000)),"NA"),IFERROR(IF(H12=0,"NA",H12),"NA"))</f>
        <v>337.86416666666668</v>
      </c>
      <c r="H12">
        <f>(SUMIFS('Data - Monthly Commodity Prices'!$D$9:$D$2500,'Data - Monthly Commodity Prices'!$A$9:$A$2500,'Alumina - Prices'!D12,'Data - Monthly Commodity Prices'!$B$9:$B$2500,3)+
SUMIFS('Data - Monthly Commodity Prices'!$D$9:$D$2500,'Data - Monthly Commodity Prices'!$A$9:$A$2500,'Alumina - Prices'!D12,'Data - Monthly Commodity Prices'!$B$9:$B$2500,4)+
SUMIFS('Data - Monthly Commodity Prices'!$D$9:$D$2500,'Data - Monthly Commodity Prices'!$A$9:$A$2500,'Alumina - Prices'!E12,'Data - Monthly Commodity Prices'!$B$9:$B$2500,1)+
SUMIFS('Data - Monthly Commodity Prices'!$D$9:$D$2500,'Data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307.38749999999999</v>
      </c>
    </row>
    <row r="13" spans="1:26">
      <c r="A13" s="1836">
        <f>LARGE('Data - Monthly Commodity Prices'!C$159:C$902,55)</f>
        <v>42156</v>
      </c>
      <c r="B13" s="30">
        <f>SUMIF('Data - Monthly Commodity Prices'!C$159:C$902,A13,'Data - Monthly Commodity Prices'!D$159:D$902)</f>
        <v>393.72257846685386</v>
      </c>
      <c r="C13" s="24"/>
      <c r="D13" s="410">
        <f t="shared" si="1"/>
        <v>1991</v>
      </c>
      <c r="E13" s="410">
        <f t="shared" si="2"/>
        <v>1992</v>
      </c>
      <c r="F13" s="1839">
        <f t="shared" si="0"/>
        <v>1991</v>
      </c>
      <c r="G13" s="23">
        <f t="array" ref="G13">IF($F$6="Historic Calendar Year",IFERROR(AVERAGE(IF($F13=YEAR('Data - Monthly Commodity Prices'!C$100:C$1000),'Data - Monthly Commodity Prices'!D$100:D$1000)),"NA"),IFERROR(IF(H13=0,"NA",H13),"NA"))</f>
        <v>268.65083333333337</v>
      </c>
      <c r="H13">
        <f>(SUMIFS('Data - Monthly Commodity Prices'!$D$9:$D$2500,'Data - Monthly Commodity Prices'!$A$9:$A$2500,'Alumina - Prices'!D13,'Data - Monthly Commodity Prices'!$B$9:$B$2500,3)+
SUMIFS('Data - Monthly Commodity Prices'!$D$9:$D$2500,'Data - Monthly Commodity Prices'!$A$9:$A$2500,'Alumina - Prices'!D13,'Data - Monthly Commodity Prices'!$B$9:$B$2500,4)+
SUMIFS('Data - Monthly Commodity Prices'!$D$9:$D$2500,'Data - Monthly Commodity Prices'!$A$9:$A$2500,'Alumina - Prices'!E13,'Data - Monthly Commodity Prices'!$B$9:$B$2500,1)+
SUMIFS('Data - Monthly Commodity Prices'!$D$9:$D$2500,'Data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242.09</v>
      </c>
    </row>
    <row r="14" spans="1:26">
      <c r="A14" s="1835">
        <f>LARGE('Data - Monthly Commodity Prices'!C$159:C$902,54)</f>
        <v>42186</v>
      </c>
      <c r="B14" s="23">
        <f>SUMIF('Data - Monthly Commodity Prices'!C$159:C$902,A14,'Data - Monthly Commodity Prices'!D$159:D$902)</f>
        <v>402.10670604668087</v>
      </c>
      <c r="C14" s="24"/>
      <c r="D14" s="410">
        <f t="shared" si="1"/>
        <v>1992</v>
      </c>
      <c r="E14" s="410">
        <f t="shared" si="2"/>
        <v>1993</v>
      </c>
      <c r="F14" s="1840">
        <f t="shared" si="0"/>
        <v>1992</v>
      </c>
      <c r="G14" s="30">
        <f t="array" ref="G14">IF($F$6="Historic Calendar Year",IFERROR(AVERAGE(IF($F14=YEAR('Data - Monthly Commodity Prices'!C$100:C$1000),'Data - Monthly Commodity Prices'!D$100:D$1000)),"NA"),IFERROR(IF(H14=0,"NA",H14),"NA"))</f>
        <v>234.71833333333336</v>
      </c>
      <c r="H14">
        <f>(SUMIFS('Data - Monthly Commodity Prices'!$D$9:$D$2500,'Data - Monthly Commodity Prices'!$A$9:$A$2500,'Alumina - Prices'!D14,'Data - Monthly Commodity Prices'!$B$9:$B$2500,3)+
SUMIFS('Data - Monthly Commodity Prices'!$D$9:$D$2500,'Data - Monthly Commodity Prices'!$A$9:$A$2500,'Alumina - Prices'!D14,'Data - Monthly Commodity Prices'!$B$9:$B$2500,4)+
SUMIFS('Data - Monthly Commodity Prices'!$D$9:$D$2500,'Data - Monthly Commodity Prices'!$A$9:$A$2500,'Alumina - Prices'!E14,'Data - Monthly Commodity Prices'!$B$9:$B$2500,1)+
SUMIFS('Data - Monthly Commodity Prices'!$D$9:$D$2500,'Data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242.42166666666665</v>
      </c>
    </row>
    <row r="15" spans="1:26">
      <c r="A15" s="1836">
        <f>LARGE('Data - Monthly Commodity Prices'!C$159:C$902,53)</f>
        <v>42217</v>
      </c>
      <c r="B15" s="30">
        <f>SUMIF('Data - Monthly Commodity Prices'!C$159:C$902,A15,'Data - Monthly Commodity Prices'!D$159:D$902)</f>
        <v>390.28992974721029</v>
      </c>
      <c r="C15" s="24"/>
      <c r="D15" s="410">
        <f t="shared" si="1"/>
        <v>1993</v>
      </c>
      <c r="E15" s="410">
        <f t="shared" si="2"/>
        <v>1994</v>
      </c>
      <c r="F15" s="1839">
        <f t="shared" si="0"/>
        <v>1993</v>
      </c>
      <c r="G15" s="23">
        <f t="array" ref="G15">IF($F$6="Historic Calendar Year",IFERROR(AVERAGE(IF($F15=YEAR('Data - Monthly Commodity Prices'!C$100:C$1000),'Data - Monthly Commodity Prices'!D$100:D$1000)),"NA"),IFERROR(IF(H15=0,"NA",H15),"NA"))</f>
        <v>244.78333333333327</v>
      </c>
      <c r="H15">
        <f>(SUMIFS('Data - Monthly Commodity Prices'!$D$9:$D$2500,'Data - Monthly Commodity Prices'!$A$9:$A$2500,'Alumina - Prices'!D15,'Data - Monthly Commodity Prices'!$B$9:$B$2500,3)+
SUMIFS('Data - Monthly Commodity Prices'!$D$9:$D$2500,'Data - Monthly Commodity Prices'!$A$9:$A$2500,'Alumina - Prices'!D15,'Data - Monthly Commodity Prices'!$B$9:$B$2500,4)+
SUMIFS('Data - Monthly Commodity Prices'!$D$9:$D$2500,'Data - Monthly Commodity Prices'!$A$9:$A$2500,'Alumina - Prices'!E15,'Data - Monthly Commodity Prices'!$B$9:$B$2500,1)+
SUMIFS('Data - Monthly Commodity Prices'!$D$9:$D$2500,'Data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225.2558333333333</v>
      </c>
    </row>
    <row r="16" spans="1:26">
      <c r="A16" s="1835">
        <f>LARGE('Data - Monthly Commodity Prices'!C$159:C$902,52)</f>
        <v>42248</v>
      </c>
      <c r="B16" s="23">
        <f>SUMIF('Data - Monthly Commodity Prices'!C$159:C$902,A16,'Data - Monthly Commodity Prices'!D$159:D$902)</f>
        <v>393.26748122441552</v>
      </c>
      <c r="C16" s="24"/>
      <c r="D16" s="410">
        <f t="shared" si="1"/>
        <v>1994</v>
      </c>
      <c r="E16" s="410">
        <f t="shared" si="2"/>
        <v>1995</v>
      </c>
      <c r="F16" s="1840">
        <f t="shared" si="0"/>
        <v>1994</v>
      </c>
      <c r="G16" s="30">
        <f t="array" ref="G16">IF($F$6="Historic Calendar Year",IFERROR(AVERAGE(IF($F16=YEAR('Data - Monthly Commodity Prices'!C$100:C$1000),'Data - Monthly Commodity Prices'!D$100:D$1000)),"NA"),IFERROR(IF(H16=0,"NA",H16),"NA"))</f>
        <v>207.5008333333333</v>
      </c>
      <c r="H16">
        <f>(SUMIFS('Data - Monthly Commodity Prices'!$D$9:$D$2500,'Data - Monthly Commodity Prices'!$A$9:$A$2500,'Alumina - Prices'!D16,'Data - Monthly Commodity Prices'!$B$9:$B$2500,3)+
SUMIFS('Data - Monthly Commodity Prices'!$D$9:$D$2500,'Data - Monthly Commodity Prices'!$A$9:$A$2500,'Alumina - Prices'!D16,'Data - Monthly Commodity Prices'!$B$9:$B$2500,4)+
SUMIFS('Data - Monthly Commodity Prices'!$D$9:$D$2500,'Data - Monthly Commodity Prices'!$A$9:$A$2500,'Alumina - Prices'!E16,'Data - Monthly Commodity Prices'!$B$9:$B$2500,1)+
SUMIFS('Data - Monthly Commodity Prices'!$D$9:$D$2500,'Data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216.24</v>
      </c>
    </row>
    <row r="17" spans="1:20">
      <c r="A17" s="1836">
        <f>LARGE('Data - Monthly Commodity Prices'!C$159:C$902,51)</f>
        <v>42278</v>
      </c>
      <c r="B17" s="30">
        <f>SUMIF('Data - Monthly Commodity Prices'!C$159:C$902,A17,'Data - Monthly Commodity Prices'!D$159:D$902)</f>
        <v>369.35891677987888</v>
      </c>
      <c r="C17" s="24"/>
      <c r="D17" s="410">
        <f t="shared" si="1"/>
        <v>1995</v>
      </c>
      <c r="E17" s="410">
        <f t="shared" si="2"/>
        <v>1996</v>
      </c>
      <c r="F17" s="1839">
        <f t="shared" si="0"/>
        <v>1995</v>
      </c>
      <c r="G17" s="23">
        <f t="array" ref="G17">IF($F$6="Historic Calendar Year",IFERROR(AVERAGE(IF($F17=YEAR('Data - Monthly Commodity Prices'!C$100:C$1000),'Data - Monthly Commodity Prices'!D$100:D$1000)),"NA"),IFERROR(IF(H17=0,"NA",H17),"NA"))</f>
        <v>232.52083333333334</v>
      </c>
      <c r="H17">
        <f>(SUMIFS('Data - Monthly Commodity Prices'!$D$9:$D$2500,'Data - Monthly Commodity Prices'!$A$9:$A$2500,'Alumina - Prices'!D17,'Data - Monthly Commodity Prices'!$B$9:$B$2500,3)+
SUMIFS('Data - Monthly Commodity Prices'!$D$9:$D$2500,'Data - Monthly Commodity Prices'!$A$9:$A$2500,'Alumina - Prices'!D17,'Data - Monthly Commodity Prices'!$B$9:$B$2500,4)+
SUMIFS('Data - Monthly Commodity Prices'!$D$9:$D$2500,'Data - Monthly Commodity Prices'!$A$9:$A$2500,'Alumina - Prices'!E17,'Data - Monthly Commodity Prices'!$B$9:$B$2500,1)+
SUMIFS('Data - Monthly Commodity Prices'!$D$9:$D$2500,'Data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247.58833333333334</v>
      </c>
    </row>
    <row r="18" spans="1:20">
      <c r="A18" s="1835">
        <f>LARGE('Data - Monthly Commodity Prices'!C$159:C$902,50)</f>
        <v>42309</v>
      </c>
      <c r="B18" s="23">
        <f>SUMIF('Data - Monthly Commodity Prices'!C$159:C$902,A18,'Data - Monthly Commodity Prices'!D$159:D$902)</f>
        <v>361.71097391158003</v>
      </c>
      <c r="C18" s="24"/>
      <c r="D18" s="410">
        <f t="shared" si="1"/>
        <v>1996</v>
      </c>
      <c r="E18" s="410">
        <f t="shared" si="2"/>
        <v>1997</v>
      </c>
      <c r="F18" s="1840">
        <f t="shared" si="0"/>
        <v>1996</v>
      </c>
      <c r="G18" s="30">
        <f t="array" ref="G18">IF($F$6="Historic Calendar Year",IFERROR(AVERAGE(IF($F18=YEAR('Data - Monthly Commodity Prices'!C$100:C$1000),'Data - Monthly Commodity Prices'!D$100:D$1000)),"NA"),IFERROR(IF(H18=0,"NA",H18),"NA"))</f>
        <v>243.20750000000001</v>
      </c>
      <c r="H18">
        <f>(SUMIFS('Data - Monthly Commodity Prices'!$D$9:$D$2500,'Data - Monthly Commodity Prices'!$A$9:$A$2500,'Alumina - Prices'!D18,'Data - Monthly Commodity Prices'!$B$9:$B$2500,3)+
SUMIFS('Data - Monthly Commodity Prices'!$D$9:$D$2500,'Data - Monthly Commodity Prices'!$A$9:$A$2500,'Alumina - Prices'!D18,'Data - Monthly Commodity Prices'!$B$9:$B$2500,4)+
SUMIFS('Data - Monthly Commodity Prices'!$D$9:$D$2500,'Data - Monthly Commodity Prices'!$A$9:$A$2500,'Alumina - Prices'!E18,'Data - Monthly Commodity Prices'!$B$9:$B$2500,1)+
SUMIFS('Data - Monthly Commodity Prices'!$D$9:$D$2500,'Data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236.29166666666666</v>
      </c>
      <c r="S18" s="488"/>
    </row>
    <row r="19" spans="1:20">
      <c r="A19" s="1836">
        <f>LARGE('Data - Monthly Commodity Prices'!C$159:C$902,49)</f>
        <v>42339</v>
      </c>
      <c r="B19" s="30">
        <f>SUMIF('Data - Monthly Commodity Prices'!C$159:C$902,A19,'Data - Monthly Commodity Prices'!D$159:D$902)</f>
        <v>326.05707089999157</v>
      </c>
      <c r="C19" s="24"/>
      <c r="D19" s="410">
        <f t="shared" si="1"/>
        <v>1997</v>
      </c>
      <c r="E19" s="410">
        <f t="shared" si="2"/>
        <v>1998</v>
      </c>
      <c r="F19" s="1839">
        <f t="shared" si="0"/>
        <v>1997</v>
      </c>
      <c r="G19" s="23">
        <f t="array" ref="G19">IF($F$6="Historic Calendar Year",IFERROR(AVERAGE(IF($F19=YEAR('Data - Monthly Commodity Prices'!C$100:C$1000),'Data - Monthly Commodity Prices'!D$100:D$1000)),"NA"),IFERROR(IF(H19=0,"NA",H19),"NA"))</f>
        <v>251.0058333333333</v>
      </c>
      <c r="H19">
        <f>(SUMIFS('Data - Monthly Commodity Prices'!$D$9:$D$2500,'Data - Monthly Commodity Prices'!$A$9:$A$2500,'Alumina - Prices'!D19,'Data - Monthly Commodity Prices'!$B$9:$B$2500,3)+
SUMIFS('Data - Monthly Commodity Prices'!$D$9:$D$2500,'Data - Monthly Commodity Prices'!$A$9:$A$2500,'Alumina - Prices'!D19,'Data - Monthly Commodity Prices'!$B$9:$B$2500,4)+
SUMIFS('Data - Monthly Commodity Prices'!$D$9:$D$2500,'Data - Monthly Commodity Prices'!$A$9:$A$2500,'Alumina - Prices'!E19,'Data - Monthly Commodity Prices'!$B$9:$B$2500,1)+
SUMIFS('Data - Monthly Commodity Prices'!$D$9:$D$2500,'Data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275.25154233905607</v>
      </c>
    </row>
    <row r="20" spans="1:20">
      <c r="A20" s="1835">
        <f>LARGE('Data - Monthly Commodity Prices'!C$159:C$902,48)</f>
        <v>42370</v>
      </c>
      <c r="B20" s="23">
        <f>SUMIF('Data - Monthly Commodity Prices'!C$159:C$902,A20,'Data - Monthly Commodity Prices'!D$159:D$902)</f>
        <v>326.03896779657953</v>
      </c>
      <c r="C20" s="24"/>
      <c r="D20" s="410">
        <f t="shared" si="1"/>
        <v>1998</v>
      </c>
      <c r="E20" s="410">
        <f t="shared" si="2"/>
        <v>1999</v>
      </c>
      <c r="F20" s="1840">
        <f t="shared" si="0"/>
        <v>1998</v>
      </c>
      <c r="G20" s="30">
        <f t="array" ref="G20">IF($F$6="Historic Calendar Year",IFERROR(AVERAGE(IF($F20=YEAR('Data - Monthly Commodity Prices'!C$100:C$1000),'Data - Monthly Commodity Prices'!D$100:D$1000)),"NA"),IFERROR(IF(H20=0,"NA",H20),"NA"))</f>
        <v>286.06035333522306</v>
      </c>
      <c r="H20">
        <f>(SUMIFS('Data - Monthly Commodity Prices'!$D$9:$D$2500,'Data - Monthly Commodity Prices'!$A$9:$A$2500,'Alumina - Prices'!D20,'Data - Monthly Commodity Prices'!$B$9:$B$2500,3)+
SUMIFS('Data - Monthly Commodity Prices'!$D$9:$D$2500,'Data - Monthly Commodity Prices'!$A$9:$A$2500,'Alumina - Prices'!D20,'Data - Monthly Commodity Prices'!$B$9:$B$2500,4)+
SUMIFS('Data - Monthly Commodity Prices'!$D$9:$D$2500,'Data - Monthly Commodity Prices'!$A$9:$A$2500,'Alumina - Prices'!E20,'Data - Monthly Commodity Prices'!$B$9:$B$2500,1)+
SUMIFS('Data - Monthly Commodity Prices'!$D$9:$D$2500,'Data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265.33234548247867</v>
      </c>
    </row>
    <row r="21" spans="1:20">
      <c r="A21" s="1836">
        <f>LARGE('Data - Monthly Commodity Prices'!C$159:C$902,47)</f>
        <v>42401</v>
      </c>
      <c r="B21" s="30">
        <f>SUMIF('Data - Monthly Commodity Prices'!C$159:C$902,A21,'Data - Monthly Commodity Prices'!D$159:D$902)</f>
        <v>317.46868888151062</v>
      </c>
      <c r="C21" s="24"/>
      <c r="D21" s="410">
        <f t="shared" si="1"/>
        <v>1999</v>
      </c>
      <c r="E21" s="410">
        <f t="shared" si="2"/>
        <v>2000</v>
      </c>
      <c r="F21" s="1839">
        <f t="shared" si="0"/>
        <v>1999</v>
      </c>
      <c r="G21" s="23">
        <f t="array" ref="G21">IF($F$6="Historic Calendar Year",IFERROR(AVERAGE(IF($F21=YEAR('Data - Monthly Commodity Prices'!C$100:C$1000),'Data - Monthly Commodity Prices'!D$100:D$1000)),"NA"),IFERROR(IF(H21=0,"NA",H21),"NA"))</f>
        <v>259.78853448631168</v>
      </c>
      <c r="H21">
        <f>(SUMIFS('Data - Monthly Commodity Prices'!$D$9:$D$2500,'Data - Monthly Commodity Prices'!$A$9:$A$2500,'Alumina - Prices'!D21,'Data - Monthly Commodity Prices'!$B$9:$B$2500,3)+
SUMIFS('Data - Monthly Commodity Prices'!$D$9:$D$2500,'Data - Monthly Commodity Prices'!$A$9:$A$2500,'Alumina - Prices'!D21,'Data - Monthly Commodity Prices'!$B$9:$B$2500,4)+
SUMIFS('Data - Monthly Commodity Prices'!$D$9:$D$2500,'Data - Monthly Commodity Prices'!$A$9:$A$2500,'Alumina - Prices'!E21,'Data - Monthly Commodity Prices'!$B$9:$B$2500,1)+
SUMIFS('Data - Monthly Commodity Prices'!$D$9:$D$2500,'Data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300.04666666666668</v>
      </c>
    </row>
    <row r="22" spans="1:20">
      <c r="A22" s="1835">
        <f>LARGE('Data - Monthly Commodity Prices'!C$159:C$902,46)</f>
        <v>42430</v>
      </c>
      <c r="B22" s="23">
        <f>SUMIF('Data - Monthly Commodity Prices'!C$159:C$902,A22,'Data - Monthly Commodity Prices'!D$159:D$902)</f>
        <v>293.63685380994264</v>
      </c>
      <c r="C22" s="24"/>
      <c r="D22" s="410">
        <f t="shared" si="1"/>
        <v>2000</v>
      </c>
      <c r="E22" s="410">
        <f t="shared" si="2"/>
        <v>2001</v>
      </c>
      <c r="F22" s="1840">
        <f t="shared" si="0"/>
        <v>2000</v>
      </c>
      <c r="G22" s="30">
        <f t="array" ref="G22">IF($F$6="Historic Calendar Year",IFERROR(AVERAGE(IF($F22=YEAR('Data - Monthly Commodity Prices'!C$100:C$1000),'Data - Monthly Commodity Prices'!D$100:D$1000)),"NA"),IFERROR(IF(H22=0,"NA",H22),"NA"))</f>
        <v>342.39166666666665</v>
      </c>
      <c r="H22">
        <f>(SUMIFS('Data - Monthly Commodity Prices'!$D$9:$D$2500,'Data - Monthly Commodity Prices'!$A$9:$A$2500,'Alumina - Prices'!D22,'Data - Monthly Commodity Prices'!$B$9:$B$2500,3)+
SUMIFS('Data - Monthly Commodity Prices'!$D$9:$D$2500,'Data - Monthly Commodity Prices'!$A$9:$A$2500,'Alumina - Prices'!D22,'Data - Monthly Commodity Prices'!$B$9:$B$2500,4)+
SUMIFS('Data - Monthly Commodity Prices'!$D$9:$D$2500,'Data - Monthly Commodity Prices'!$A$9:$A$2500,'Alumina - Prices'!E22,'Data - Monthly Commodity Prices'!$B$9:$B$2500,1)+
SUMIFS('Data - Monthly Commodity Prices'!$D$9:$D$2500,'Data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357.12916666666661</v>
      </c>
      <c r="T22" s="537"/>
    </row>
    <row r="23" spans="1:20">
      <c r="A23" s="1836">
        <f>LARGE('Data - Monthly Commodity Prices'!C$159:C$902,45)</f>
        <v>42461</v>
      </c>
      <c r="B23" s="30">
        <f>SUMIF('Data - Monthly Commodity Prices'!C$159:C$902,A23,'Data - Monthly Commodity Prices'!D$159:D$902)</f>
        <v>307.7176929156509</v>
      </c>
      <c r="C23" s="24"/>
      <c r="D23" s="410">
        <f t="shared" si="1"/>
        <v>2001</v>
      </c>
      <c r="E23" s="410">
        <f t="shared" si="2"/>
        <v>2002</v>
      </c>
      <c r="F23" s="1839">
        <f t="shared" si="0"/>
        <v>2001</v>
      </c>
      <c r="G23" s="23">
        <f t="array" ref="G23">IF($F$6="Historic Calendar Year",IFERROR(AVERAGE(IF($F23=YEAR('Data - Monthly Commodity Prices'!C$100:C$1000),'Data - Monthly Commodity Prices'!D$100:D$1000)),"NA"),IFERROR(IF(H23=0,"NA",H23),"NA"))</f>
        <v>343.46750000000003</v>
      </c>
      <c r="H23">
        <f>(SUMIFS('Data - Monthly Commodity Prices'!$D$9:$D$2500,'Data - Monthly Commodity Prices'!$A$9:$A$2500,'Alumina - Prices'!D23,'Data - Monthly Commodity Prices'!$B$9:$B$2500,3)+
SUMIFS('Data - Monthly Commodity Prices'!$D$9:$D$2500,'Data - Monthly Commodity Prices'!$A$9:$A$2500,'Alumina - Prices'!D23,'Data - Monthly Commodity Prices'!$B$9:$B$2500,4)+
SUMIFS('Data - Monthly Commodity Prices'!$D$9:$D$2500,'Data - Monthly Commodity Prices'!$A$9:$A$2500,'Alumina - Prices'!E23,'Data - Monthly Commodity Prices'!$B$9:$B$2500,1)+
SUMIFS('Data - Monthly Commodity Prices'!$D$9:$D$2500,'Data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314.74083333333334</v>
      </c>
    </row>
    <row r="24" spans="1:20">
      <c r="A24" s="1835">
        <f>LARGE('Data - Monthly Commodity Prices'!C$159:C$902,44)</f>
        <v>42491</v>
      </c>
      <c r="B24" s="23">
        <f>SUMIF('Data - Monthly Commodity Prices'!C$159:C$902,A24,'Data - Monthly Commodity Prices'!D$159:D$902)</f>
        <v>330.85349665918795</v>
      </c>
      <c r="C24" s="24"/>
      <c r="D24" s="410">
        <f t="shared" si="1"/>
        <v>2002</v>
      </c>
      <c r="E24" s="410">
        <f t="shared" si="2"/>
        <v>2003</v>
      </c>
      <c r="F24" s="1840">
        <f t="shared" si="0"/>
        <v>2002</v>
      </c>
      <c r="G24" s="30">
        <f t="array" ref="G24">IF($F$6="Historic Calendar Year",IFERROR(AVERAGE(IF($F24=YEAR('Data - Monthly Commodity Prices'!C$100:C$1000),'Data - Monthly Commodity Prices'!D$100:D$1000)),"NA"),IFERROR(IF(H24=0,"NA",H24),"NA"))</f>
        <v>292.35166666666663</v>
      </c>
      <c r="H24">
        <f>(SUMIFS('Data - Monthly Commodity Prices'!$D$9:$D$2500,'Data - Monthly Commodity Prices'!$A$9:$A$2500,'Alumina - Prices'!D24,'Data - Monthly Commodity Prices'!$B$9:$B$2500,3)+
SUMIFS('Data - Monthly Commodity Prices'!$D$9:$D$2500,'Data - Monthly Commodity Prices'!$A$9:$A$2500,'Alumina - Prices'!D24,'Data - Monthly Commodity Prices'!$B$9:$B$2500,4)+
SUMIFS('Data - Monthly Commodity Prices'!$D$9:$D$2500,'Data - Monthly Commodity Prices'!$A$9:$A$2500,'Alumina - Prices'!E24,'Data - Monthly Commodity Prices'!$B$9:$B$2500,1)+
SUMIFS('Data - Monthly Commodity Prices'!$D$9:$D$2500,'Data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280.05083333333334</v>
      </c>
    </row>
    <row r="25" spans="1:20">
      <c r="A25" s="1836">
        <f>LARGE('Data - Monthly Commodity Prices'!C$159:C$902,43)</f>
        <v>42522</v>
      </c>
      <c r="B25" s="30">
        <f>SUMIF('Data - Monthly Commodity Prices'!C$159:C$902,A25,'Data - Monthly Commodity Prices'!D$159:D$902)</f>
        <v>334.82954687180103</v>
      </c>
      <c r="C25" s="24"/>
      <c r="D25" s="410">
        <f t="shared" si="1"/>
        <v>2003</v>
      </c>
      <c r="E25" s="410">
        <f t="shared" si="2"/>
        <v>2004</v>
      </c>
      <c r="F25" s="1839">
        <f t="shared" si="0"/>
        <v>2003</v>
      </c>
      <c r="G25" s="23">
        <f t="array" ref="G25">IF($F$6="Historic Calendar Year",IFERROR(AVERAGE(IF($F25=YEAR('Data - Monthly Commodity Prices'!C$100:C$1000),'Data - Monthly Commodity Prices'!D$100:D$1000)),"NA"),IFERROR(IF(H25=0,"NA",H25),"NA"))</f>
        <v>271.79333333333335</v>
      </c>
      <c r="H25">
        <f>(SUMIFS('Data - Monthly Commodity Prices'!$D$9:$D$2500,'Data - Monthly Commodity Prices'!$A$9:$A$2500,'Alumina - Prices'!D25,'Data - Monthly Commodity Prices'!$B$9:$B$2500,3)+
SUMIFS('Data - Monthly Commodity Prices'!$D$9:$D$2500,'Data - Monthly Commodity Prices'!$A$9:$A$2500,'Alumina - Prices'!D25,'Data - Monthly Commodity Prices'!$B$9:$B$2500,4)+
SUMIFS('Data - Monthly Commodity Prices'!$D$9:$D$2500,'Data - Monthly Commodity Prices'!$A$9:$A$2500,'Alumina - Prices'!E25,'Data - Monthly Commodity Prices'!$B$9:$B$2500,1)+
SUMIFS('Data - Monthly Commodity Prices'!$D$9:$D$2500,'Data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278.39132656708955</v>
      </c>
    </row>
    <row r="26" spans="1:20">
      <c r="A26" s="1835">
        <f>LARGE('Data - Monthly Commodity Prices'!C$159:C$902,42)</f>
        <v>42552</v>
      </c>
      <c r="B26" s="23">
        <f>SUMIF('Data - Monthly Commodity Prices'!C$159:C$902,A26,'Data - Monthly Commodity Prices'!D$159:D$902)</f>
        <v>318.33882244544691</v>
      </c>
      <c r="C26" s="24"/>
      <c r="D26" s="410">
        <f t="shared" si="1"/>
        <v>2004</v>
      </c>
      <c r="E26" s="410">
        <f t="shared" si="2"/>
        <v>2005</v>
      </c>
      <c r="F26" s="1840">
        <f t="shared" si="0"/>
        <v>2004</v>
      </c>
      <c r="G26" s="30">
        <f t="array" ref="G26">IF($F$6="Historic Calendar Year",IFERROR(AVERAGE(IF($F26=YEAR('Data - Monthly Commodity Prices'!C$100:C$1000),'Data - Monthly Commodity Prices'!D$100:D$1000)),"NA"),IFERROR(IF(H26=0,"NA",H26),"NA"))</f>
        <v>299.24602465354627</v>
      </c>
      <c r="H26">
        <f>(SUMIFS('Data - Monthly Commodity Prices'!$D$9:$D$2500,'Data - Monthly Commodity Prices'!$A$9:$A$2500,'Alumina - Prices'!D26,'Data - Monthly Commodity Prices'!$B$9:$B$2500,3)+
SUMIFS('Data - Monthly Commodity Prices'!$D$9:$D$2500,'Data - Monthly Commodity Prices'!$A$9:$A$2500,'Alumina - Prices'!D26,'Data - Monthly Commodity Prices'!$B$9:$B$2500,4)+
SUMIFS('Data - Monthly Commodity Prices'!$D$9:$D$2500,'Data - Monthly Commodity Prices'!$A$9:$A$2500,'Alumina - Prices'!E26,'Data - Monthly Commodity Prices'!$B$9:$B$2500,1)+
SUMIFS('Data - Monthly Commodity Prices'!$D$9:$D$2500,'Data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310.72246656655381</v>
      </c>
    </row>
    <row r="27" spans="1:20">
      <c r="A27" s="1836">
        <f>LARGE('Data - Monthly Commodity Prices'!C$159:C$902,41)</f>
        <v>42583</v>
      </c>
      <c r="B27" s="30">
        <f>SUMIF('Data - Monthly Commodity Prices'!C$159:C$902,A27,'Data - Monthly Commodity Prices'!D$159:D$902)</f>
        <v>310.82907512588451</v>
      </c>
      <c r="C27" s="24"/>
      <c r="D27" s="410">
        <f t="shared" si="1"/>
        <v>2005</v>
      </c>
      <c r="E27" s="410">
        <f t="shared" si="2"/>
        <v>2006</v>
      </c>
      <c r="F27" s="1839">
        <f t="shared" si="0"/>
        <v>2005</v>
      </c>
      <c r="G27" s="23">
        <f t="array" ref="G27">IF($F$6="Historic Calendar Year",IFERROR(AVERAGE(IF($F27=YEAR('Data - Monthly Commodity Prices'!C$100:C$1000),'Data - Monthly Commodity Prices'!D$100:D$1000)),"NA"),IFERROR(IF(H27=0,"NA",H27),"NA"))</f>
        <v>323.2258039568531</v>
      </c>
      <c r="H27">
        <f>(SUMIFS('Data - Monthly Commodity Prices'!$D$9:$D$2500,'Data - Monthly Commodity Prices'!$A$9:$A$2500,'Alumina - Prices'!D27,'Data - Monthly Commodity Prices'!$B$9:$B$2500,3)+
SUMIFS('Data - Monthly Commodity Prices'!$D$9:$D$2500,'Data - Monthly Commodity Prices'!$A$9:$A$2500,'Alumina - Prices'!D27,'Data - Monthly Commodity Prices'!$B$9:$B$2500,4)+
SUMIFS('Data - Monthly Commodity Prices'!$D$9:$D$2500,'Data - Monthly Commodity Prices'!$A$9:$A$2500,'Alumina - Prices'!E27,'Data - Monthly Commodity Prices'!$B$9:$B$2500,1)+
SUMIFS('Data - Monthly Commodity Prices'!$D$9:$D$2500,'Data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364.84053547675597</v>
      </c>
    </row>
    <row r="28" spans="1:20">
      <c r="A28" s="1835">
        <f>LARGE('Data - Monthly Commodity Prices'!C$159:C$902,40)</f>
        <v>42614</v>
      </c>
      <c r="B28" s="23">
        <f>SUMIF('Data - Monthly Commodity Prices'!C$159:C$902,A28,'Data - Monthly Commodity Prices'!D$159:D$902)</f>
        <v>306.11480138035</v>
      </c>
      <c r="C28" s="24"/>
      <c r="D28" s="410">
        <f t="shared" si="1"/>
        <v>2006</v>
      </c>
      <c r="E28" s="410">
        <f t="shared" si="2"/>
        <v>2007</v>
      </c>
      <c r="F28" s="1840">
        <f t="shared" si="0"/>
        <v>2006</v>
      </c>
      <c r="G28" s="30">
        <f t="array" ref="G28">IF($F$6="Historic Calendar Year",IFERROR(AVERAGE(IF($F28=YEAR('Data - Monthly Commodity Prices'!C$100:C$1000),'Data - Monthly Commodity Prices'!D$100:D$1000)),"NA"),IFERROR(IF(H28=0,"NA",H28),"NA"))</f>
        <v>401.22070958927651</v>
      </c>
      <c r="H28">
        <f>(SUMIFS('Data - Monthly Commodity Prices'!$D$9:$D$2500,'Data - Monthly Commodity Prices'!$A$9:$A$2500,'Alumina - Prices'!D28,'Data - Monthly Commodity Prices'!$B$9:$B$2500,3)+
SUMIFS('Data - Monthly Commodity Prices'!$D$9:$D$2500,'Data - Monthly Commodity Prices'!$A$9:$A$2500,'Alumina - Prices'!D28,'Data - Monthly Commodity Prices'!$B$9:$B$2500,4)+
SUMIFS('Data - Monthly Commodity Prices'!$D$9:$D$2500,'Data - Monthly Commodity Prices'!$A$9:$A$2500,'Alumina - Prices'!E28,'Data - Monthly Commodity Prices'!$B$9:$B$2500,1)+
SUMIFS('Data - Monthly Commodity Prices'!$D$9:$D$2500,'Data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404.26768488452268</v>
      </c>
    </row>
    <row r="29" spans="1:20">
      <c r="A29" s="1836">
        <f>LARGE('Data - Monthly Commodity Prices'!C$159:C$902,39)</f>
        <v>42644</v>
      </c>
      <c r="B29" s="30">
        <f>SUMIF('Data - Monthly Commodity Prices'!C$159:C$902,A29,'Data - Monthly Commodity Prices'!D$159:D$902)</f>
        <v>301.89505520427042</v>
      </c>
      <c r="C29" s="24"/>
      <c r="D29" s="410">
        <f t="shared" si="1"/>
        <v>2007</v>
      </c>
      <c r="E29" s="410">
        <f t="shared" si="2"/>
        <v>2008</v>
      </c>
      <c r="F29" s="1839">
        <f t="shared" si="0"/>
        <v>2007</v>
      </c>
      <c r="G29" s="23">
        <f t="array" ref="G29">IF($F$6="Historic Calendar Year",IFERROR(AVERAGE(IF($F29=YEAR('Data - Monthly Commodity Prices'!C$100:C$1000),'Data - Monthly Commodity Prices'!D$100:D$1000)),"NA"),IFERROR(IF(H29=0,"NA",H29),"NA"))</f>
        <v>387.61488477893232</v>
      </c>
      <c r="H29">
        <f>(SUMIFS('Data - Monthly Commodity Prices'!$D$9:$D$2500,'Data - Monthly Commodity Prices'!$A$9:$A$2500,'Alumina - Prices'!D29,'Data - Monthly Commodity Prices'!$B$9:$B$2500,3)+
SUMIFS('Data - Monthly Commodity Prices'!$D$9:$D$2500,'Data - Monthly Commodity Prices'!$A$9:$A$2500,'Alumina - Prices'!D29,'Data - Monthly Commodity Prices'!$B$9:$B$2500,4)+
SUMIFS('Data - Monthly Commodity Prices'!$D$9:$D$2500,'Data - Monthly Commodity Prices'!$A$9:$A$2500,'Alumina - Prices'!E29,'Data - Monthly Commodity Prices'!$B$9:$B$2500,1)+
SUMIFS('Data - Monthly Commodity Prices'!$D$9:$D$2500,'Data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367.91132611812577</v>
      </c>
    </row>
    <row r="30" spans="1:20">
      <c r="A30" s="1835">
        <f>LARGE('Data - Monthly Commodity Prices'!C$159:C$902,38)</f>
        <v>42675</v>
      </c>
      <c r="B30" s="23">
        <f>SUMIF('Data - Monthly Commodity Prices'!C$159:C$902,A30,'Data - Monthly Commodity Prices'!D$159:D$902)</f>
        <v>340.72033058599879</v>
      </c>
      <c r="C30" s="24"/>
      <c r="D30" s="410">
        <f t="shared" si="1"/>
        <v>2008</v>
      </c>
      <c r="E30" s="410">
        <f t="shared" si="2"/>
        <v>2009</v>
      </c>
      <c r="F30" s="1840">
        <f t="shared" si="0"/>
        <v>2008</v>
      </c>
      <c r="G30" s="30">
        <f t="array" ref="G30">IF($F$6="Historic Calendar Year",IFERROR(AVERAGE(IF($F30=YEAR('Data - Monthly Commodity Prices'!C$100:C$1000),'Data - Monthly Commodity Prices'!D$100:D$1000)),"NA"),IFERROR(IF(H30=0,"NA",H30),"NA"))</f>
        <v>399.64823109921559</v>
      </c>
      <c r="H30">
        <f>(SUMIFS('Data - Monthly Commodity Prices'!$D$9:$D$2500,'Data - Monthly Commodity Prices'!$A$9:$A$2500,'Alumina - Prices'!D30,'Data - Monthly Commodity Prices'!$B$9:$B$2500,3)+
SUMIFS('Data - Monthly Commodity Prices'!$D$9:$D$2500,'Data - Monthly Commodity Prices'!$A$9:$A$2500,'Alumina - Prices'!D30,'Data - Monthly Commodity Prices'!$B$9:$B$2500,4)+
SUMIFS('Data - Monthly Commodity Prices'!$D$9:$D$2500,'Data - Monthly Commodity Prices'!$A$9:$A$2500,'Alumina - Prices'!E30,'Data - Monthly Commodity Prices'!$B$9:$B$2500,1)+
SUMIFS('Data - Monthly Commodity Prices'!$D$9:$D$2500,'Data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368.6564883912045</v>
      </c>
    </row>
    <row r="31" spans="1:20">
      <c r="A31" s="1836">
        <f>LARGE('Data - Monthly Commodity Prices'!C$159:C$902,37)</f>
        <v>42705</v>
      </c>
      <c r="B31" s="30">
        <f>SUMIF('Data - Monthly Commodity Prices'!C$159:C$902,A31,'Data - Monthly Commodity Prices'!D$159:D$902)</f>
        <v>389.74708282516639</v>
      </c>
      <c r="C31" s="24"/>
      <c r="D31" s="410">
        <f t="shared" si="1"/>
        <v>2009</v>
      </c>
      <c r="E31" s="410">
        <f t="shared" si="2"/>
        <v>2010</v>
      </c>
      <c r="F31" s="1839">
        <f t="shared" si="0"/>
        <v>2009</v>
      </c>
      <c r="G31" s="23">
        <f t="array" ref="G31">IF($F$6="Historic Calendar Year",IFERROR(AVERAGE(IF($F31=YEAR('Data - Monthly Commodity Prices'!C$100:C$1000),'Data - Monthly Commodity Prices'!D$100:D$1000)),"NA"),IFERROR(IF(H31=0,"NA",H31),"NA"))</f>
        <v>287.59035009991879</v>
      </c>
      <c r="H31">
        <f>(SUMIFS('Data - Monthly Commodity Prices'!$D$9:$D$2500,'Data - Monthly Commodity Prices'!$A$9:$A$2500,'Alumina - Prices'!D31,'Data - Monthly Commodity Prices'!$B$9:$B$2500,3)+
SUMIFS('Data - Monthly Commodity Prices'!$D$9:$D$2500,'Data - Monthly Commodity Prices'!$A$9:$A$2500,'Alumina - Prices'!D31,'Data - Monthly Commodity Prices'!$B$9:$B$2500,4)+
SUMIFS('Data - Monthly Commodity Prices'!$D$9:$D$2500,'Data - Monthly Commodity Prices'!$A$9:$A$2500,'Alumina - Prices'!E31,'Data - Monthly Commodity Prices'!$B$9:$B$2500,1)+
SUMIFS('Data - Monthly Commodity Prices'!$D$9:$D$2500,'Data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301.05089307625826</v>
      </c>
    </row>
    <row r="32" spans="1:20">
      <c r="A32" s="1835">
        <f>LARGE('Data - Monthly Commodity Prices'!C$159:C$902,36)</f>
        <v>42736</v>
      </c>
      <c r="B32" s="23">
        <f>SUMIF('Data - Monthly Commodity Prices'!C$159:C$902,A32,'Data - Monthly Commodity Prices'!D$159:D$902)</f>
        <v>432.42348666291423</v>
      </c>
      <c r="C32" s="24"/>
      <c r="D32" s="410">
        <f t="shared" si="1"/>
        <v>2010</v>
      </c>
      <c r="E32" s="410">
        <f t="shared" si="2"/>
        <v>2011</v>
      </c>
      <c r="F32" s="1840">
        <f t="shared" si="0"/>
        <v>2010</v>
      </c>
      <c r="G32" s="30">
        <f t="array" ref="G32">IF($F$6="Historic Calendar Year",IFERROR(AVERAGE(IF($F32=YEAR('Data - Monthly Commodity Prices'!C$100:C$1000),'Data - Monthly Commodity Prices'!D$100:D$1000)),"NA"),IFERROR(IF(H32=0,"NA",H32),"NA"))</f>
        <v>317.5226345655114</v>
      </c>
      <c r="H32">
        <f>(SUMIFS('Data - Monthly Commodity Prices'!$D$9:$D$2500,'Data - Monthly Commodity Prices'!$A$9:$A$2500,'Alumina - Prices'!D32,'Data - Monthly Commodity Prices'!$B$9:$B$2500,3)+
SUMIFS('Data - Monthly Commodity Prices'!$D$9:$D$2500,'Data - Monthly Commodity Prices'!$A$9:$A$2500,'Alumina - Prices'!D32,'Data - Monthly Commodity Prices'!$B$9:$B$2500,4)+
SUMIFS('Data - Monthly Commodity Prices'!$D$9:$D$2500,'Data - Monthly Commodity Prices'!$A$9:$A$2500,'Alumina - Prices'!E32,'Data - Monthly Commodity Prices'!$B$9:$B$2500,1)+
SUMIFS('Data - Monthly Commodity Prices'!$D$9:$D$2500,'Data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326.01683719070633</v>
      </c>
    </row>
    <row r="33" spans="1:8">
      <c r="A33" s="1836">
        <f>LARGE('Data - Monthly Commodity Prices'!C$159:C$902,35)</f>
        <v>42767</v>
      </c>
      <c r="B33" s="30">
        <f>SUMIF('Data - Monthly Commodity Prices'!C$159:C$902,A33,'Data - Monthly Commodity Prices'!D$159:D$902)</f>
        <v>403.19054536166158</v>
      </c>
      <c r="C33" s="24"/>
      <c r="D33" s="410">
        <f t="shared" si="1"/>
        <v>2011</v>
      </c>
      <c r="E33" s="410">
        <f t="shared" si="2"/>
        <v>2012</v>
      </c>
      <c r="F33" s="1839">
        <f t="shared" si="0"/>
        <v>2011</v>
      </c>
      <c r="G33" s="23">
        <f t="array" ref="G33">IF($F$6="Historic Calendar Year",IFERROR(AVERAGE(IF($F33=YEAR('Data - Monthly Commodity Prices'!C$100:C$1000),'Data - Monthly Commodity Prices'!D$100:D$1000)),"NA"),IFERROR(IF(H33=0,"NA",H33),"NA"))</f>
        <v>337.48715453677306</v>
      </c>
      <c r="H33">
        <f>(SUMIFS('Data - Monthly Commodity Prices'!$D$9:$D$2500,'Data - Monthly Commodity Prices'!$A$9:$A$2500,'Alumina - Prices'!D33,'Data - Monthly Commodity Prices'!$B$9:$B$2500,3)+
SUMIFS('Data - Monthly Commodity Prices'!$D$9:$D$2500,'Data - Monthly Commodity Prices'!$A$9:$A$2500,'Alumina - Prices'!D33,'Data - Monthly Commodity Prices'!$B$9:$B$2500,4)+
SUMIFS('Data - Monthly Commodity Prices'!$D$9:$D$2500,'Data - Monthly Commodity Prices'!$A$9:$A$2500,'Alumina - Prices'!E33,'Data - Monthly Commodity Prices'!$B$9:$B$2500,1)+
SUMIFS('Data - Monthly Commodity Prices'!$D$9:$D$2500,'Data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314.07454261498447</v>
      </c>
    </row>
    <row r="34" spans="1:8">
      <c r="A34" s="1835">
        <f>LARGE('Data - Monthly Commodity Prices'!C$159:C$902,34)</f>
        <v>42795</v>
      </c>
      <c r="B34" s="23">
        <f>SUMIF('Data - Monthly Commodity Prices'!C$159:C$902,A34,'Data - Monthly Commodity Prices'!D$159:D$902)</f>
        <v>427.91088146993945</v>
      </c>
      <c r="C34" s="24"/>
      <c r="D34" s="410">
        <f t="shared" si="1"/>
        <v>2012</v>
      </c>
      <c r="E34" s="410">
        <f t="shared" si="2"/>
        <v>2013</v>
      </c>
      <c r="F34" s="1840">
        <f t="shared" si="0"/>
        <v>2012</v>
      </c>
      <c r="G34" s="30">
        <f t="array" ref="G34">IF($F$6="Historic Calendar Year",IFERROR(AVERAGE(IF($F34=YEAR('Data - Monthly Commodity Prices'!C$100:C$1000),'Data - Monthly Commodity Prices'!D$100:D$1000)),"NA"),IFERROR(IF(H34=0,"NA",H34),"NA"))</f>
        <v>285.45540794895652</v>
      </c>
      <c r="H34">
        <f>(SUMIFS('Data - Monthly Commodity Prices'!$D$9:$D$2500,'Data - Monthly Commodity Prices'!$A$9:$A$2500,'Alumina - Prices'!D34,'Data - Monthly Commodity Prices'!$B$9:$B$2500,3)+
SUMIFS('Data - Monthly Commodity Prices'!$D$9:$D$2500,'Data - Monthly Commodity Prices'!$A$9:$A$2500,'Alumina - Prices'!D34,'Data - Monthly Commodity Prices'!$B$9:$B$2500,4)+
SUMIFS('Data - Monthly Commodity Prices'!$D$9:$D$2500,'Data - Monthly Commodity Prices'!$A$9:$A$2500,'Alumina - Prices'!E34,'Data - Monthly Commodity Prices'!$B$9:$B$2500,1)+
SUMIFS('Data - Monthly Commodity Prices'!$D$9:$D$2500,'Data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284.92941229619743</v>
      </c>
    </row>
    <row r="35" spans="1:8">
      <c r="A35" s="1836">
        <f>LARGE('Data - Monthly Commodity Prices'!C$159:C$902,33)</f>
        <v>42826</v>
      </c>
      <c r="B35" s="30">
        <f>SUMIF('Data - Monthly Commodity Prices'!C$159:C$902,A35,'Data - Monthly Commodity Prices'!D$159:D$902)</f>
        <v>413.89639603114728</v>
      </c>
      <c r="C35" s="24"/>
      <c r="D35" s="410">
        <f t="shared" si="1"/>
        <v>2013</v>
      </c>
      <c r="E35" s="410">
        <f t="shared" si="2"/>
        <v>2014</v>
      </c>
      <c r="F35" s="1839">
        <f t="shared" si="0"/>
        <v>2013</v>
      </c>
      <c r="G35" s="23">
        <f t="array" ref="G35">IF($F$6="Historic Calendar Year",IFERROR(AVERAGE(IF($F35=YEAR('Data - Monthly Commodity Prices'!C$100:C$1000),'Data - Monthly Commodity Prices'!D$100:D$1000)),"NA"),IFERROR(IF(H35=0,"NA",H35),"NA"))</f>
        <v>300.93113225204837</v>
      </c>
      <c r="H35">
        <f>(SUMIFS('Data - Monthly Commodity Prices'!$D$9:$D$2500,'Data - Monthly Commodity Prices'!$A$9:$A$2500,'Alumina - Prices'!D35,'Data - Monthly Commodity Prices'!$B$9:$B$2500,3)+
SUMIFS('Data - Monthly Commodity Prices'!$D$9:$D$2500,'Data - Monthly Commodity Prices'!$A$9:$A$2500,'Alumina - Prices'!D35,'Data - Monthly Commodity Prices'!$B$9:$B$2500,4)+
SUMIFS('Data - Monthly Commodity Prices'!$D$9:$D$2500,'Data - Monthly Commodity Prices'!$A$9:$A$2500,'Alumina - Prices'!E35,'Data - Monthly Commodity Prices'!$B$9:$B$2500,1)+
SUMIFS('Data - Monthly Commodity Prices'!$D$9:$D$2500,'Data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310.49898273526401</v>
      </c>
    </row>
    <row r="36" spans="1:8">
      <c r="A36" s="1835">
        <f>LARGE('Data - Monthly Commodity Prices'!C$159:C$902,32)</f>
        <v>42856</v>
      </c>
      <c r="B36" s="23">
        <f>SUMIF('Data - Monthly Commodity Prices'!C$159:C$902,A36,'Data - Monthly Commodity Prices'!D$159:D$902)</f>
        <v>404.56430605252069</v>
      </c>
      <c r="C36" s="24"/>
      <c r="D36" s="410">
        <f t="shared" si="1"/>
        <v>2014</v>
      </c>
      <c r="E36" s="410">
        <f t="shared" si="2"/>
        <v>2015</v>
      </c>
      <c r="F36" s="1840">
        <f t="shared" si="0"/>
        <v>2014</v>
      </c>
      <c r="G36" s="30">
        <f t="array" ref="G36">IF($F$6="Historic Calendar Year",IFERROR(AVERAGE(IF($F36=YEAR('Data - Monthly Commodity Prices'!C$100:C$1000),'Data - Monthly Commodity Prices'!D$100:D$1000)),"NA"),IFERROR(IF(H36=0,"NA",H36),"NA"))</f>
        <v>328.09820567274653</v>
      </c>
      <c r="H36">
        <f>(SUMIFS('Data - Monthly Commodity Prices'!$D$9:$D$2500,'Data - Monthly Commodity Prices'!$A$9:$A$2500,'Alumina - Prices'!D36,'Data - Monthly Commodity Prices'!$B$9:$B$2500,3)+
SUMIFS('Data - Monthly Commodity Prices'!$D$9:$D$2500,'Data - Monthly Commodity Prices'!$A$9:$A$2500,'Alumina - Prices'!D36,'Data - Monthly Commodity Prices'!$B$9:$B$2500,4)+
SUMIFS('Data - Monthly Commodity Prices'!$D$9:$D$2500,'Data - Monthly Commodity Prices'!$A$9:$A$2500,'Alumina - Prices'!E36,'Data - Monthly Commodity Prices'!$B$9:$B$2500,1)+
SUMIFS('Data - Monthly Commodity Prices'!$D$9:$D$2500,'Data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366.15868018102066</v>
      </c>
    </row>
    <row r="37" spans="1:8">
      <c r="A37" s="1836">
        <f>LARGE('Data - Monthly Commodity Prices'!C$159:C$902,31)</f>
        <v>42887</v>
      </c>
      <c r="B37" s="30">
        <f>SUMIF('Data - Monthly Commodity Prices'!C$159:C$902,A37,'Data - Monthly Commodity Prices'!D$159:D$902)</f>
        <v>364.85176877963738</v>
      </c>
      <c r="C37" s="24"/>
      <c r="D37" s="410">
        <f t="shared" si="1"/>
        <v>2015</v>
      </c>
      <c r="E37" s="410">
        <f t="shared" si="2"/>
        <v>2016</v>
      </c>
      <c r="F37" s="1839">
        <f t="shared" si="0"/>
        <v>2015</v>
      </c>
      <c r="G37" s="23">
        <f t="array" ref="G37">IF($F$6="Historic Calendar Year",IFERROR(AVERAGE(IF($F37=YEAR('Data - Monthly Commodity Prices'!C$100:C$1000),'Data - Monthly Commodity Prices'!D$100:D$1000)),"NA"),IFERROR(IF(H37=0,"NA",H37),"NA"))</f>
        <v>382.17789349571837</v>
      </c>
      <c r="H37">
        <f>(SUMIFS('Data - Monthly Commodity Prices'!$D$9:$D$2500,'Data - Monthly Commodity Prices'!$A$9:$A$2500,'Alumina - Prices'!D37,'Data - Monthly Commodity Prices'!$B$9:$B$2500,3)+
SUMIFS('Data - Monthly Commodity Prices'!$D$9:$D$2500,'Data - Monthly Commodity Prices'!$A$9:$A$2500,'Alumina - Prices'!D37,'Data - Monthly Commodity Prices'!$B$9:$B$2500,4)+
SUMIFS('Data - Monthly Commodity Prices'!$D$9:$D$2500,'Data - Monthly Commodity Prices'!$A$9:$A$2500,'Alumina - Prices'!E37,'Data - Monthly Commodity Prices'!$B$9:$B$2500,1)+
SUMIFS('Data - Monthly Commodity Prices'!$D$9:$D$2500,'Data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346.11136046203586</v>
      </c>
    </row>
    <row r="38" spans="1:8">
      <c r="A38" s="1835">
        <f>LARGE('Data - Monthly Commodity Prices'!C$159:C$902,30)</f>
        <v>42917</v>
      </c>
      <c r="B38" s="23">
        <f>SUMIF('Data - Monthly Commodity Prices'!C$159:C$902,A38,'Data - Monthly Commodity Prices'!D$159:D$902)</f>
        <v>381.89378007066256</v>
      </c>
      <c r="C38" s="24"/>
      <c r="D38" s="410">
        <f t="shared" si="1"/>
        <v>2016</v>
      </c>
      <c r="E38" s="410">
        <f t="shared" si="2"/>
        <v>2017</v>
      </c>
      <c r="F38" s="1840">
        <f t="shared" si="0"/>
        <v>2016</v>
      </c>
      <c r="G38" s="30">
        <f t="array" ref="G38">IF($F$6="Historic Calendar Year",IFERROR(AVERAGE(IF($F38=YEAR('Data - Monthly Commodity Prices'!C$100:C$1000),'Data - Monthly Commodity Prices'!D$100:D$1000)),"NA"),IFERROR(IF(H38=0,"NA",H38),"NA"))</f>
        <v>323.18253454181587</v>
      </c>
      <c r="H38">
        <f>(SUMIFS('Data - Monthly Commodity Prices'!$D$9:$D$2500,'Data - Monthly Commodity Prices'!$A$9:$A$2500,'Alumina - Prices'!D38,'Data - Monthly Commodity Prices'!$B$9:$B$2500,3)+
SUMIFS('Data - Monthly Commodity Prices'!$D$9:$D$2500,'Data - Monthly Commodity Prices'!$A$9:$A$2500,'Alumina - Prices'!D38,'Data - Monthly Commodity Prices'!$B$9:$B$2500,4)+
SUMIFS('Data - Monthly Commodity Prices'!$D$9:$D$2500,'Data - Monthly Commodity Prices'!$A$9:$A$2500,'Alumina - Prices'!E38,'Data - Monthly Commodity Prices'!$B$9:$B$2500,1)+
SUMIFS('Data - Monthly Commodity Prices'!$D$9:$D$2500,'Data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367.87354599374476</v>
      </c>
    </row>
    <row r="39" spans="1:8">
      <c r="A39" s="1836">
        <f>LARGE('Data - Monthly Commodity Prices'!C$159:C$902,29)</f>
        <v>42948</v>
      </c>
      <c r="B39" s="30">
        <f>SUMIF('Data - Monthly Commodity Prices'!C$159:C$902,A39,'Data - Monthly Commodity Prices'!D$159:D$902)</f>
        <v>368.55134951417369</v>
      </c>
      <c r="C39" s="24"/>
      <c r="D39" s="410">
        <f t="shared" si="1"/>
        <v>2017</v>
      </c>
      <c r="E39" s="410">
        <f t="shared" si="2"/>
        <v>2018</v>
      </c>
      <c r="F39" s="1839">
        <f t="shared" si="0"/>
        <v>2017</v>
      </c>
      <c r="G39" s="23">
        <f t="array" ref="G39">IF($F$6="Historic Calendar Year",IFERROR(AVERAGE(IF($F39=YEAR('Data - Monthly Commodity Prices'!C$100:C$1000),'Data - Monthly Commodity Prices'!D$100:D$1000)),"NA"),IFERROR(IF(H39=0,"NA",H39),"NA"))</f>
        <v>426.81094261918702</v>
      </c>
      <c r="H39">
        <f>(SUMIFS('Data - Monthly Commodity Prices'!$D$9:$D$2500,'Data - Monthly Commodity Prices'!$A$9:$A$2500,'Alumina - Prices'!D39,'Data - Monthly Commodity Prices'!$B$9:$B$2500,3)+
SUMIFS('Data - Monthly Commodity Prices'!$D$9:$D$2500,'Data - Monthly Commodity Prices'!$A$9:$A$2500,'Alumina - Prices'!D39,'Data - Monthly Commodity Prices'!$B$9:$B$2500,4)+
SUMIFS('Data - Monthly Commodity Prices'!$D$9:$D$2500,'Data - Monthly Commodity Prices'!$A$9:$A$2500,'Alumina - Prices'!E39,'Data - Monthly Commodity Prices'!$B$9:$B$2500,1)+
SUMIFS('Data - Monthly Commodity Prices'!$D$9:$D$2500,'Data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489.1594848707723</v>
      </c>
    </row>
    <row r="40" spans="1:8">
      <c r="A40" s="1835">
        <f>LARGE('Data - Monthly Commodity Prices'!C$159:C$902,28)</f>
        <v>42979</v>
      </c>
      <c r="B40" s="23">
        <f>SUMIF('Data - Monthly Commodity Prices'!C$159:C$902,A40,'Data - Monthly Commodity Prices'!D$159:D$902)</f>
        <v>389.32141600849513</v>
      </c>
      <c r="C40" s="24"/>
      <c r="D40" s="410">
        <f t="shared" si="1"/>
        <v>2018</v>
      </c>
      <c r="E40" s="410">
        <f t="shared" si="2"/>
        <v>2019</v>
      </c>
      <c r="F40" s="1840">
        <f t="shared" si="0"/>
        <v>2018</v>
      </c>
      <c r="G40" s="30">
        <f t="array" ref="G40">IF($F$6="Historic Calendar Year",IFERROR(AVERAGE(IF($F40=YEAR('Data - Monthly Commodity Prices'!C$100:C$1000),'Data - Monthly Commodity Prices'!D$100:D$1000)),"NA"),IFERROR(IF(H40=0,"NA",H40),"NA"))</f>
        <v>591.67384686367222</v>
      </c>
      <c r="H40">
        <f>(SUMIFS('Data - Monthly Commodity Prices'!$D$9:$D$2500,'Data - Monthly Commodity Prices'!$A$9:$A$2500,'Alumina - Prices'!D40,'Data - Monthly Commodity Prices'!$B$9:$B$2500,3)+
SUMIFS('Data - Monthly Commodity Prices'!$D$9:$D$2500,'Data - Monthly Commodity Prices'!$A$9:$A$2500,'Alumina - Prices'!D40,'Data - Monthly Commodity Prices'!$B$9:$B$2500,4)+
SUMIFS('Data - Monthly Commodity Prices'!$D$9:$D$2500,'Data - Monthly Commodity Prices'!$A$9:$A$2500,'Alumina - Prices'!E40,'Data - Monthly Commodity Prices'!$B$9:$B$2500,1)+
SUMIFS('Data - Monthly Commodity Prices'!$D$9:$D$2500,'Data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591.47358499040206</v>
      </c>
    </row>
    <row r="41" spans="1:8">
      <c r="A41" s="1836">
        <f>LARGE('Data - Monthly Commodity Prices'!C$159:C$902,27)</f>
        <v>43009</v>
      </c>
      <c r="B41" s="30">
        <f>SUMIF('Data - Monthly Commodity Prices'!C$159:C$902,A41,'Data - Monthly Commodity Prices'!D$159:D$902)</f>
        <v>441.99328511996094</v>
      </c>
      <c r="C41" s="24"/>
      <c r="D41" s="410">
        <f t="shared" si="1"/>
        <v>2019</v>
      </c>
      <c r="E41" s="410">
        <f t="shared" si="2"/>
        <v>2020</v>
      </c>
      <c r="F41" s="1839">
        <f t="shared" si="0"/>
        <v>2019</v>
      </c>
      <c r="G41" s="23">
        <f t="array" ref="G41">IF($F$6="Historic Calendar Year",IFERROR(AVERAGE(IF($F41=YEAR('Data - Monthly Commodity Prices'!C$100:C$1000),'Data - Monthly Commodity Prices'!D$100:D$1000)),"NA"),IFERROR(IF(H41=0,"NA",H41),"NA"))</f>
        <v>484.89271540354662</v>
      </c>
      <c r="H41">
        <f>(SUMIFS('Data - Monthly Commodity Prices'!$D$9:$D$2500,'Data - Monthly Commodity Prices'!$A$9:$A$2500,'Alumina - Prices'!D41,'Data - Monthly Commodity Prices'!$B$9:$B$2500,3)+
SUMIFS('Data - Monthly Commodity Prices'!$D$9:$D$2500,'Data - Monthly Commodity Prices'!$A$9:$A$2500,'Alumina - Prices'!D41,'Data - Monthly Commodity Prices'!$B$9:$B$2500,4)+
SUMIFS('Data - Monthly Commodity Prices'!$D$9:$D$2500,'Data - Monthly Commodity Prices'!$A$9:$A$2500,'Alumina - Prices'!E41,'Data - Monthly Commodity Prices'!$B$9:$B$2500,1)+
SUMIFS('Data - Monthly Commodity Prices'!$D$9:$D$2500,'Data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437.68263932415948</v>
      </c>
    </row>
    <row r="42" spans="1:8" ht="15.75" thickBot="1">
      <c r="A42" s="1835">
        <f>LARGE('Data - Monthly Commodity Prices'!C$159:C$902,26)</f>
        <v>43040</v>
      </c>
      <c r="B42" s="23">
        <f>SUMIF('Data - Monthly Commodity Prices'!C$159:C$902,A42,'Data - Monthly Commodity Prices'!D$159:D$902)</f>
        <v>549.05556823551399</v>
      </c>
      <c r="C42" s="24"/>
      <c r="D42" s="410">
        <f t="shared" si="1"/>
        <v>2020</v>
      </c>
      <c r="E42" s="410">
        <f t="shared" si="2"/>
        <v>2021</v>
      </c>
      <c r="F42" s="1841">
        <f t="shared" si="0"/>
        <v>2020</v>
      </c>
      <c r="G42" s="1603" t="str">
        <f>IF($F$6="Historic Calendar Year",IFERROR(AVERAGE(IF($F42=YEAR('Data - Monthly Commodity Prices'!C$100:C$1000),'Data - Monthly Commodity Prices'!D$100:D$1000)),"N/A"),IFERROR(IF(H42=0,"N/A",H42),"N/A"))</f>
        <v>N/A</v>
      </c>
      <c r="H42" t="e">
        <f>(SUMIFS('Data - Monthly Commodity Prices'!$D$9:$D$2500,'Data - Monthly Commodity Prices'!$A$9:$A$2500,'Alumina - Prices'!D42,'Data - Monthly Commodity Prices'!$B$9:$B$2500,3)+
SUMIFS('Data - Monthly Commodity Prices'!$D$9:$D$2500,'Data - Monthly Commodity Prices'!$A$9:$A$2500,'Alumina - Prices'!D42,'Data - Monthly Commodity Prices'!$B$9:$B$2500,4)+
SUMIFS('Data - Monthly Commodity Prices'!$D$9:$D$2500,'Data - Monthly Commodity Prices'!$A$9:$A$2500,'Alumina - Prices'!E42,'Data - Monthly Commodity Prices'!$B$9:$B$2500,1)+
SUMIFS('Data - Monthly Commodity Prices'!$D$9:$D$2500,'Data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row>
    <row r="43" spans="1:8" ht="15.75" thickBot="1">
      <c r="A43" s="1836">
        <f>LARGE('Data - Monthly Commodity Prices'!C$159:C$902,25)</f>
        <v>43070</v>
      </c>
      <c r="B43" s="30">
        <f>SUMIF('Data - Monthly Commodity Prices'!C$159:C$902,A43,'Data - Monthly Commodity Prices'!D$159:D$902)</f>
        <v>544.07852812361705</v>
      </c>
      <c r="C43" s="24"/>
      <c r="D43" s="410"/>
      <c r="E43" s="410"/>
      <c r="F43" s="24"/>
      <c r="G43" s="24"/>
    </row>
    <row r="44" spans="1:8" ht="15.75" thickBot="1">
      <c r="A44" s="1835">
        <f>LARGE('Data - Monthly Commodity Prices'!C$159:C$902,24)</f>
        <v>43101</v>
      </c>
      <c r="B44" s="23">
        <f>SUMIF('Data - Monthly Commodity Prices'!C$159:C$902,A44,'Data - Monthly Commodity Prices'!D$159:D$902)</f>
        <v>491.47742085733648</v>
      </c>
      <c r="C44" s="24"/>
      <c r="D44" s="410"/>
      <c r="E44" s="410"/>
      <c r="F44" s="1967" t="s">
        <v>617</v>
      </c>
      <c r="G44" s="1968"/>
    </row>
    <row r="45" spans="1:8" ht="15.75" thickBot="1">
      <c r="A45" s="1836">
        <f>LARGE('Data - Monthly Commodity Prices'!C$159:C$902,23)</f>
        <v>43132</v>
      </c>
      <c r="B45" s="30">
        <f>SUMIF('Data - Monthly Commodity Prices'!C$159:C$902,A45,'Data - Monthly Commodity Prices'!D$159:D$902)</f>
        <v>490.26308556986919</v>
      </c>
      <c r="C45" s="24"/>
      <c r="D45" s="410"/>
      <c r="E45" s="410"/>
      <c r="F45" s="1963" t="s">
        <v>545</v>
      </c>
      <c r="G45" s="1964"/>
    </row>
    <row r="46" spans="1:8">
      <c r="A46" s="1835">
        <f>LARGE('Data - Monthly Commodity Prices'!C$159:C$902,22)</f>
        <v>43160</v>
      </c>
      <c r="B46" s="23">
        <f>SUMIF('Data - Monthly Commodity Prices'!C$159:C$902,A46,'Data - Monthly Commodity Prices'!D$159:D$902)</f>
        <v>480.22047303581974</v>
      </c>
      <c r="C46" s="24"/>
      <c r="D46" s="410"/>
      <c r="E46" s="410"/>
      <c r="F46" s="1965" t="s">
        <v>618</v>
      </c>
      <c r="G46" s="1965"/>
    </row>
    <row r="47" spans="1:8">
      <c r="A47" s="1836">
        <f>LARGE('Data - Monthly Commodity Prices'!C$159:C$902,21)</f>
        <v>43191</v>
      </c>
      <c r="B47" s="30">
        <f>SUMIF('Data - Monthly Commodity Prices'!C$159:C$902,A47,'Data - Monthly Commodity Prices'!D$159:D$902)</f>
        <v>480.11947310474034</v>
      </c>
      <c r="C47" s="24"/>
      <c r="D47" s="410"/>
      <c r="E47" s="410"/>
      <c r="F47" s="24"/>
      <c r="G47" s="24"/>
    </row>
    <row r="48" spans="1:8">
      <c r="A48" s="1835">
        <f>LARGE('Data - Monthly Commodity Prices'!C$159:C$902,20)</f>
        <v>43221</v>
      </c>
      <c r="B48" s="23">
        <f>SUMIF('Data - Monthly Commodity Prices'!C$159:C$902,A48,'Data - Monthly Commodity Prices'!D$159:D$902)</f>
        <v>609.17389773981392</v>
      </c>
      <c r="C48" s="24"/>
      <c r="D48" s="410"/>
      <c r="E48" s="410"/>
      <c r="F48" s="24"/>
      <c r="G48" s="24"/>
    </row>
    <row r="49" spans="1:7">
      <c r="A49" s="1836">
        <f>LARGE('Data - Monthly Commodity Prices'!C$159:C$902,19)</f>
        <v>43252</v>
      </c>
      <c r="B49" s="30">
        <f>SUMIF('Data - Monthly Commodity Prices'!C$159:C$902,A49,'Data - Monthly Commodity Prices'!D$159:D$902)</f>
        <v>643.76554106926437</v>
      </c>
      <c r="C49" s="24"/>
      <c r="D49" s="410"/>
      <c r="E49" s="410"/>
      <c r="F49" s="24"/>
      <c r="G49" s="24"/>
    </row>
    <row r="50" spans="1:7">
      <c r="A50" s="1835">
        <f>LARGE('Data - Monthly Commodity Prices'!C$159:C$902,18)</f>
        <v>43282</v>
      </c>
      <c r="B50" s="23">
        <f>SUMIF('Data - Monthly Commodity Prices'!C$159:C$902,A50,'Data - Monthly Commodity Prices'!D$159:D$902)</f>
        <v>614.83939372491841</v>
      </c>
      <c r="C50" s="24"/>
      <c r="D50" s="410"/>
      <c r="E50" s="410"/>
      <c r="F50" s="24"/>
      <c r="G50" s="24"/>
    </row>
    <row r="51" spans="1:7">
      <c r="A51" s="1836">
        <f>LARGE('Data - Monthly Commodity Prices'!C$159:C$902,17)</f>
        <v>43313</v>
      </c>
      <c r="B51" s="30">
        <f>SUMIF('Data - Monthly Commodity Prices'!C$159:C$902,A51,'Data - Monthly Commodity Prices'!D$159:D$902)</f>
        <v>600.19848496290138</v>
      </c>
      <c r="C51" s="24"/>
      <c r="D51" s="410"/>
      <c r="E51" s="410"/>
      <c r="F51" s="24"/>
      <c r="G51" s="24"/>
    </row>
    <row r="52" spans="1:7">
      <c r="A52" s="1835">
        <f>LARGE('Data - Monthly Commodity Prices'!C$159:C$902,16)</f>
        <v>43344</v>
      </c>
      <c r="B52" s="23">
        <f>SUMIF('Data - Monthly Commodity Prices'!C$159:C$902,A52,'Data - Monthly Commodity Prices'!D$159:D$902)</f>
        <v>697.52920842459241</v>
      </c>
      <c r="C52" s="24"/>
      <c r="D52" s="410"/>
      <c r="E52" s="410"/>
      <c r="F52" s="24"/>
      <c r="G52" s="24"/>
    </row>
    <row r="53" spans="1:7">
      <c r="A53" s="1836">
        <f>LARGE('Data - Monthly Commodity Prices'!C$159:C$902,15)</f>
        <v>43374</v>
      </c>
      <c r="B53" s="30">
        <f>SUMIF('Data - Monthly Commodity Prices'!C$159:C$902,A53,'Data - Monthly Commodity Prices'!D$159:D$902)</f>
        <v>730.88614178825844</v>
      </c>
      <c r="C53" s="24"/>
      <c r="D53" s="410"/>
      <c r="E53" s="410"/>
      <c r="F53" s="24"/>
      <c r="G53" s="24"/>
    </row>
    <row r="54" spans="1:7">
      <c r="A54" s="1835">
        <f>LARGE('Data - Monthly Commodity Prices'!C$159:C$902,14)</f>
        <v>43405</v>
      </c>
      <c r="B54" s="23">
        <f>SUMIF('Data - Monthly Commodity Prices'!C$159:C$902,A54,'Data - Monthly Commodity Prices'!D$159:D$902)</f>
        <v>669.2541659937059</v>
      </c>
      <c r="C54" s="24"/>
      <c r="D54" s="410"/>
      <c r="E54" s="410"/>
      <c r="F54" s="24"/>
      <c r="G54" s="24"/>
    </row>
    <row r="55" spans="1:7">
      <c r="A55" s="1836">
        <f>LARGE('Data - Monthly Commodity Prices'!C$159:C$902,13)</f>
        <v>43435</v>
      </c>
      <c r="B55" s="30">
        <f>SUMIF('Data - Monthly Commodity Prices'!C$159:C$902,A55,'Data - Monthly Commodity Prices'!D$159:D$902)</f>
        <v>592.35887609284578</v>
      </c>
      <c r="C55" s="24"/>
      <c r="D55" s="410"/>
      <c r="E55" s="410"/>
      <c r="F55" s="24"/>
      <c r="G55" s="24"/>
    </row>
    <row r="56" spans="1:7">
      <c r="A56" s="1835">
        <f>LARGE('Data - Monthly Commodity Prices'!C$159:C$902,12)</f>
        <v>43466</v>
      </c>
      <c r="B56" s="23">
        <f>SUMIF('Data - Monthly Commodity Prices'!C$159:C$902,A56,'Data - Monthly Commodity Prices'!D$159:D$902)</f>
        <v>563.4450303600637</v>
      </c>
      <c r="C56" s="24"/>
      <c r="D56" s="410"/>
      <c r="E56" s="410"/>
      <c r="F56" s="24"/>
      <c r="G56" s="24"/>
    </row>
    <row r="57" spans="1:7">
      <c r="A57" s="1836">
        <f>LARGE('Data - Monthly Commodity Prices'!C$159:C$902,11)</f>
        <v>43497</v>
      </c>
      <c r="B57" s="30">
        <f>SUMIF('Data - Monthly Commodity Prices'!C$159:C$902,A57,'Data - Monthly Commodity Prices'!D$159:D$902)</f>
        <v>538.66072981151183</v>
      </c>
      <c r="C57" s="24"/>
      <c r="D57" s="410"/>
      <c r="E57" s="410"/>
      <c r="F57" s="24"/>
      <c r="G57" s="24"/>
    </row>
    <row r="58" spans="1:7">
      <c r="A58" s="1835">
        <f>LARGE('Data - Monthly Commodity Prices'!C$159:C$902,10)</f>
        <v>43525</v>
      </c>
      <c r="B58" s="23">
        <f>SUMIF('Data - Monthly Commodity Prices'!C$159:C$902,A58,'Data - Monthly Commodity Prices'!D$159:D$902)</f>
        <v>534.13870236016885</v>
      </c>
      <c r="C58" s="24"/>
      <c r="D58" s="410"/>
      <c r="E58" s="410"/>
      <c r="F58" s="24"/>
      <c r="G58" s="24"/>
    </row>
    <row r="59" spans="1:7">
      <c r="A59" s="1836">
        <f>LARGE('Data - Monthly Commodity Prices'!C$159:C$902,9)</f>
        <v>43556</v>
      </c>
      <c r="B59" s="30">
        <f>SUMIF('Data - Monthly Commodity Prices'!C$159:C$902,A59,'Data - Monthly Commodity Prices'!D$159:D$902)</f>
        <v>526.33458904718032</v>
      </c>
      <c r="C59" s="24"/>
      <c r="D59" s="410"/>
      <c r="E59" s="410"/>
      <c r="F59" s="24"/>
      <c r="G59" s="24"/>
    </row>
    <row r="60" spans="1:7">
      <c r="A60" s="1835">
        <f>LARGE('Data - Monthly Commodity Prices'!C$159:C$902,8)</f>
        <v>43586</v>
      </c>
      <c r="B60" s="23">
        <f>SUMIF('Data - Monthly Commodity Prices'!C$159:C$902,A60,'Data - Monthly Commodity Prices'!D$159:D$902)</f>
        <v>525.19027525071203</v>
      </c>
      <c r="C60" s="24"/>
      <c r="D60" s="410"/>
      <c r="E60" s="410"/>
      <c r="F60" s="24"/>
      <c r="G60" s="24"/>
    </row>
    <row r="61" spans="1:7">
      <c r="A61" s="1836">
        <f>LARGE('Data - Monthly Commodity Prices'!C$159:C$902,7)</f>
        <v>43617</v>
      </c>
      <c r="B61" s="30">
        <f>SUMIF('Data - Monthly Commodity Prices'!C$159:C$902,A61,'Data - Monthly Commodity Prices'!D$159:D$902)</f>
        <v>504.84742206796523</v>
      </c>
      <c r="C61" s="24"/>
      <c r="D61" s="410"/>
      <c r="E61" s="410"/>
      <c r="F61" s="24"/>
      <c r="G61" s="24"/>
    </row>
    <row r="62" spans="1:7">
      <c r="A62" s="1835">
        <f>LARGE('Data - Monthly Commodity Prices'!C$159:C$902,6)</f>
        <v>43647</v>
      </c>
      <c r="B62" s="23">
        <f>SUMIF('Data - Monthly Commodity Prices'!C$159:C$902,A62,'Data - Monthly Commodity Prices'!D$159:D$902)</f>
        <v>481.14046038368895</v>
      </c>
      <c r="C62" s="24"/>
      <c r="D62" s="410"/>
      <c r="E62" s="410"/>
      <c r="F62" s="24"/>
      <c r="G62" s="24"/>
    </row>
    <row r="63" spans="1:7">
      <c r="A63" s="1836">
        <f>LARGE('Data - Monthly Commodity Prices'!C$159:C$902,5)</f>
        <v>43678</v>
      </c>
      <c r="B63" s="30">
        <f>SUMIF('Data - Monthly Commodity Prices'!C$159:C$902,A63,'Data - Monthly Commodity Prices'!D$159:D$902)</f>
        <v>451.81703742651098</v>
      </c>
      <c r="C63" s="24"/>
      <c r="D63" s="410"/>
      <c r="E63" s="410"/>
      <c r="F63" s="24"/>
      <c r="G63" s="24"/>
    </row>
    <row r="64" spans="1:7">
      <c r="A64" s="1835">
        <f>LARGE('Data - Monthly Commodity Prices'!C$159:C$902,4)</f>
        <v>43709</v>
      </c>
      <c r="B64" s="23">
        <f>SUMIF('Data - Monthly Commodity Prices'!C$159:C$902,A64,'Data - Monthly Commodity Prices'!D$159:D$902)</f>
        <v>449.51272634315131</v>
      </c>
      <c r="C64" s="24"/>
      <c r="D64" s="410"/>
      <c r="E64" s="410"/>
      <c r="F64" s="24"/>
      <c r="G64" s="24"/>
    </row>
    <row r="65" spans="1:7">
      <c r="A65" s="1836">
        <f>LARGE('Data - Monthly Commodity Prices'!C$159:C$902,3)</f>
        <v>43739</v>
      </c>
      <c r="B65" s="30">
        <f>SUMIF('Data - Monthly Commodity Prices'!C$159:C$902,A65,'Data - Monthly Commodity Prices'!D$159:D$902)</f>
        <v>430.30145532716136</v>
      </c>
      <c r="C65" s="24"/>
      <c r="D65" s="410"/>
      <c r="E65" s="410"/>
      <c r="F65" s="24"/>
      <c r="G65" s="24"/>
    </row>
    <row r="66" spans="1:7">
      <c r="A66" s="1835">
        <f>LARGE('Data - Monthly Commodity Prices'!C$159:C$902,2)</f>
        <v>43770</v>
      </c>
      <c r="B66" s="23">
        <f>SUMIF('Data - Monthly Commodity Prices'!C$159:C$902,A66,'Data - Monthly Commodity Prices'!D$159:D$902)</f>
        <v>408.97919778067535</v>
      </c>
      <c r="C66" s="24"/>
      <c r="D66" s="410"/>
      <c r="E66" s="410"/>
      <c r="F66" s="24"/>
      <c r="G66" s="24"/>
    </row>
    <row r="67" spans="1:7" ht="15.75" thickBot="1">
      <c r="A67" s="1837">
        <f>LARGE('Data - Monthly Commodity Prices'!C$159:C$902,1)</f>
        <v>43800</v>
      </c>
      <c r="B67" s="29">
        <f>SUMIF('Data - Monthly Commodity Prices'!C$159:C$902,A67,'Data - Monthly Commodity Prices'!D$159:D$902)</f>
        <v>404.34495868376877</v>
      </c>
      <c r="C67" s="24"/>
      <c r="D67" s="410"/>
      <c r="E67" s="410"/>
      <c r="F67" s="24"/>
      <c r="G67" s="24"/>
    </row>
  </sheetData>
  <mergeCells count="7">
    <mergeCell ref="F45:G45"/>
    <mergeCell ref="F46:G46"/>
    <mergeCell ref="A6:B6"/>
    <mergeCell ref="F6:G6"/>
    <mergeCell ref="F5:G5"/>
    <mergeCell ref="A5:B5"/>
    <mergeCell ref="F44:G44"/>
  </mergeCells>
  <dataValidations disablePrompts="1" count="1">
    <dataValidation type="list" allowBlank="1" showInputMessage="1" showErrorMessage="1" promptTitle="Select a Period:" prompt="Select Financial or Calendar years." sqref="F45:G45">
      <formula1>$Y$1:$Y$2</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39997558519241921"/>
  </sheetPr>
  <dimension ref="A1:Z81"/>
  <sheetViews>
    <sheetView workbookViewId="0"/>
  </sheetViews>
  <sheetFormatPr defaultRowHeight="15"/>
  <cols>
    <col min="1" max="1" width="20.140625" bestFit="1" customWidth="1"/>
    <col min="2" max="2" width="5.28515625" bestFit="1" customWidth="1"/>
    <col min="3" max="4" width="15.140625" bestFit="1" customWidth="1"/>
    <col min="5" max="8" width="15.42578125" customWidth="1"/>
    <col min="9" max="9" width="18" bestFit="1" customWidth="1"/>
    <col min="10" max="10" width="15.42578125" customWidth="1"/>
    <col min="11" max="11" width="16.28515625" bestFit="1" customWidth="1"/>
    <col min="12" max="14" width="15.42578125" customWidth="1"/>
    <col min="23" max="23" width="17.85546875" customWidth="1"/>
  </cols>
  <sheetData>
    <row r="1" spans="1:26">
      <c r="V1" s="1041" t="s">
        <v>0</v>
      </c>
      <c r="W1" s="1041" t="str">
        <f>"Western Australian Alumina and Bauxite Exports "&amp;B6&amp;CHAR(10)&amp;"Total Value: $"&amp;TEXT(C21,"#,###")</f>
        <v>Western Australian Alumina and Bauxite Exports 2019
Total Value: $6,916,307,719</v>
      </c>
      <c r="X1" s="1041" t="s">
        <v>429</v>
      </c>
      <c r="Y1" s="1041">
        <f>IF($B$5="Calendar Year",MAX('Data - Monthly Commodity Prices'!$AK$9:$AK$3501),CONCATENATE(MAX('Data - Monthly Commodity Prices'!$AW$9:$AW$3495),"-",VALUE(RIGHT(MAX('Data - Monthly Commodity Prices'!$AW$9:$AW$3495),2))+1))</f>
        <v>2019</v>
      </c>
      <c r="Z1" s="1041">
        <f t="array" ref="Z1">MIN(IF('Data - Monthly Commodity Prices'!$AJ$9:$AJ$3501=V1,'Data - Monthly Commodity Prices'!$AK$9:$AK$3501))</f>
        <v>2007</v>
      </c>
    </row>
    <row r="2" spans="1:26">
      <c r="W2" s="1041" t="str">
        <f>IF($B$5=X1,IF(RIGHT(LEFT(B6,5),1)="-","Mismatch Error",""),IF(LEN(B6)=4,"Mismatch Error",""))</f>
        <v/>
      </c>
      <c r="X2" s="1041" t="s">
        <v>446</v>
      </c>
      <c r="Y2" s="1041">
        <f>IFERROR(IF($B$5=$X$1,IF($Z$1&lt;=(Y1-1),Y1-1,""),IF($Z$1=VALUE(LEFT(Y1,4)),"",CONCATENATE(VALUE(LEFT(Y1,4))-1,"-",RIGHT(LEFT(Y1,4),2)))),"")</f>
        <v>2018</v>
      </c>
      <c r="Z2" s="948"/>
    </row>
    <row r="3" spans="1:26">
      <c r="W3" s="1041"/>
      <c r="X3" s="1041"/>
      <c r="Y3" s="1041">
        <f t="shared" ref="Y3:Y25" si="0">IFERROR(IF($B$5=$X$1,IF($Z$1&lt;=(Y2-1),Y2-1,""),IF($Z$1=VALUE(LEFT(Y2,4)),"",CONCATENATE(VALUE(LEFT(Y2,4))-1,"-",RIGHT(LEFT(Y2,4),2)))),"")</f>
        <v>2017</v>
      </c>
    </row>
    <row r="4" spans="1:26" s="8" customFormat="1" ht="22.5" customHeight="1" thickBot="1">
      <c r="W4" s="1041"/>
      <c r="X4" s="1041"/>
      <c r="Y4" s="1041">
        <f t="shared" si="0"/>
        <v>2016</v>
      </c>
    </row>
    <row r="5" spans="1:26" s="948" customFormat="1" ht="15.75" thickBot="1">
      <c r="A5" s="16" t="s">
        <v>447</v>
      </c>
      <c r="B5" s="1969" t="s">
        <v>429</v>
      </c>
      <c r="C5" s="1933"/>
      <c r="D5" s="1934"/>
      <c r="E5" s="1040"/>
      <c r="W5" s="1041"/>
      <c r="X5" s="1041"/>
      <c r="Y5" s="1041">
        <f t="shared" si="0"/>
        <v>2015</v>
      </c>
    </row>
    <row r="6" spans="1:26" s="948" customFormat="1" ht="15.75" thickBot="1">
      <c r="A6" s="16" t="s">
        <v>447</v>
      </c>
      <c r="B6" s="1969">
        <v>2019</v>
      </c>
      <c r="C6" s="1933"/>
      <c r="D6" s="1934"/>
      <c r="E6" s="1040"/>
      <c r="W6" s="1041"/>
      <c r="X6" s="1041"/>
      <c r="Y6" s="1041">
        <f t="shared" si="0"/>
        <v>2014</v>
      </c>
    </row>
    <row r="7" spans="1:26" s="948" customFormat="1">
      <c r="W7" s="1041"/>
      <c r="X7" s="1041"/>
      <c r="Y7" s="1041">
        <f t="shared" si="0"/>
        <v>2013</v>
      </c>
    </row>
    <row r="8" spans="1:26" ht="15.75" thickBot="1">
      <c r="A8" s="1937" t="str">
        <f>IF($B$6="Click here to select an option","Select a year above for display.",CONCATENATE("Western Australian Alumina and Bauxite Exports ",B6))</f>
        <v>Western Australian Alumina and Bauxite Exports 2019</v>
      </c>
      <c r="B8" s="1937"/>
      <c r="C8" s="1937"/>
      <c r="D8" s="1937"/>
      <c r="W8" s="1041"/>
      <c r="X8" s="1041"/>
      <c r="Y8" s="1041">
        <f t="shared" si="0"/>
        <v>2012</v>
      </c>
    </row>
    <row r="9" spans="1:26" ht="15.75" thickBot="1">
      <c r="A9" s="998" t="s">
        <v>43</v>
      </c>
      <c r="B9" s="17" t="s">
        <v>44</v>
      </c>
      <c r="C9" s="17" t="s">
        <v>805</v>
      </c>
      <c r="D9" s="1729" t="s">
        <v>47</v>
      </c>
      <c r="W9" s="1041"/>
      <c r="X9" s="1041"/>
      <c r="Y9" s="1041">
        <f t="shared" si="0"/>
        <v>2011</v>
      </c>
    </row>
    <row r="10" spans="1:26">
      <c r="A10" s="1733" t="str">
        <f t="array" ref="A10">IF($W$2="Mismatch Error","Mismatch Error",IF($B$5=$X$1,INDEX('Data - Monthly Commodity Prices'!$AJ$9:$AO$3501,MATCH(1,(('Data - Monthly Commodity Prices'!$AJ$9:$AJ$3501)="Alumina")*(('Data - Monthly Commodity Prices'!$AK$9:$AK$3501)=$B$6)*(('Data - Monthly Commodity Prices'!$AM$9:$AM$3501)=B10),0),3),INDEX('Data - Monthly Commodity Prices'!$AQ$9:$AV$3495,MATCH(1,(('Data - Monthly Commodity Prices'!$AQ$9:$AQ$3495)="Alumina")*(('Data - Monthly Commodity Prices'!$AR$9:$AR$3495)=$B$6)*(('Data - Monthly Commodity Prices'!$AT$9:$AT$3495)=B10),0),3)))</f>
        <v>United Arab Emirates</v>
      </c>
      <c r="B10" s="10">
        <v>1</v>
      </c>
      <c r="C10" s="56">
        <f t="array" ref="C10">IF($W$2="Mismatch Error","",IF($B$5=$X$1,INDEX('Data - Monthly Commodity Prices'!$AJ$9:$AO$3501,MATCH(1,(('Data - Monthly Commodity Prices'!$AJ$9:$AJ$3501)="Alumina")*(('Data - Monthly Commodity Prices'!$AK$9:$AK$3501)=$B$6)*(('Data - Monthly Commodity Prices'!$AM$9:$AM$3501)=B10),0),5),INDEX('Data - Monthly Commodity Prices'!$AQ$9:$AV$3495,MATCH(1,(('Data - Monthly Commodity Prices'!$AQ$9:$AQ$3495)="Alumina")*(('Data - Monthly Commodity Prices'!$AR$9:$AR$3495)=$B$6)*(('Data - Monthly Commodity Prices'!$AT$9:$AT$3495)=B10),0),5)))</f>
        <v>1837757847.8699996</v>
      </c>
      <c r="D10" s="1730">
        <f>IF($W$2="Mismatch Error","",C10/$C$21)</f>
        <v>0.26571371929413967</v>
      </c>
      <c r="W10" s="1041"/>
      <c r="X10" s="1041"/>
      <c r="Y10" s="1041">
        <f t="shared" si="0"/>
        <v>2010</v>
      </c>
    </row>
    <row r="11" spans="1:26">
      <c r="A11" s="224" t="str">
        <f t="array" ref="A11">IF($W$2="Mismatch Error","",IF($B$5=$X$1,INDEX('Data - Monthly Commodity Prices'!$AJ$9:$AO$3501,MATCH(1,(('Data - Monthly Commodity Prices'!$AJ$9:$AJ$3501)="Alumina")*(('Data - Monthly Commodity Prices'!$AK$9:$AK$3501)=$B$6)*(('Data - Monthly Commodity Prices'!$AM$9:$AM$3501)=B11),0),3),INDEX('Data - Monthly Commodity Prices'!$AQ$9:$AV$3495,MATCH(1,(('Data - Monthly Commodity Prices'!$AQ$9:$AQ$3495)="Alumina")*(('Data - Monthly Commodity Prices'!$AR$9:$AR$3495)=$B$6)*(('Data - Monthly Commodity Prices'!$AT$9:$AT$3495)=B11),0),3)))</f>
        <v>Bahrain</v>
      </c>
      <c r="B11" s="13">
        <v>2</v>
      </c>
      <c r="C11" s="55">
        <f t="array" ref="C11">IF($W$2="Mismatch Error","",IF($B$5=$X$1,INDEX('Data - Monthly Commodity Prices'!$AJ$9:$AO$3501,MATCH(1,(('Data - Monthly Commodity Prices'!$AJ$9:$AJ$3501)="Alumina")*(('Data - Monthly Commodity Prices'!$AK$9:$AK$3501)=$B$6)*(('Data - Monthly Commodity Prices'!$AM$9:$AM$3501)=B11),0),5),INDEX('Data - Monthly Commodity Prices'!$AQ$9:$AV$3495,MATCH(1,(('Data - Monthly Commodity Prices'!$AQ$9:$AQ$3495)="Alumina")*(('Data - Monthly Commodity Prices'!$AR$9:$AR$3495)=$B$6)*(('Data - Monthly Commodity Prices'!$AT$9:$AT$3495)=B11),0),5)))</f>
        <v>922879918.53999984</v>
      </c>
      <c r="D11" s="1731">
        <f t="shared" ref="D11:D20" si="1">IF($W$2="Mismatch Error","",C11/$C$21)</f>
        <v>0.13343534671956556</v>
      </c>
      <c r="W11" s="1041"/>
      <c r="X11" s="1041"/>
      <c r="Y11" s="1041">
        <f t="shared" si="0"/>
        <v>2009</v>
      </c>
    </row>
    <row r="12" spans="1:26">
      <c r="A12" s="1733" t="str">
        <f t="array" ref="A12">IF($W$2="Mismatch Error","",IF($B$5=$X$1,INDEX('Data - Monthly Commodity Prices'!$AJ$9:$AO$3501,MATCH(1,(('Data - Monthly Commodity Prices'!$AJ$9:$AJ$3501)="Alumina")*(('Data - Monthly Commodity Prices'!$AK$9:$AK$3501)=$B$6)*(('Data - Monthly Commodity Prices'!$AM$9:$AM$3501)=B12),0),3),INDEX('Data - Monthly Commodity Prices'!$AQ$9:$AV$3495,MATCH(1,(('Data - Monthly Commodity Prices'!$AQ$9:$AQ$3495)="Alumina")*(('Data - Monthly Commodity Prices'!$AR$9:$AR$3495)=$B$6)*(('Data - Monthly Commodity Prices'!$AT$9:$AT$3495)=B12),0),3)))</f>
        <v>South Africa</v>
      </c>
      <c r="B12" s="10">
        <v>3</v>
      </c>
      <c r="C12" s="56">
        <f t="array" ref="C12">IF($W$2="Mismatch Error","",IF($B$5=$X$1,INDEX('Data - Monthly Commodity Prices'!$AJ$9:$AO$3501,MATCH(1,(('Data - Monthly Commodity Prices'!$AJ$9:$AJ$3501)="Alumina")*(('Data - Monthly Commodity Prices'!$AK$9:$AK$3501)=$B$6)*(('Data - Monthly Commodity Prices'!$AM$9:$AM$3501)=B12),0),5),INDEX('Data - Monthly Commodity Prices'!$AQ$9:$AV$3495,MATCH(1,(('Data - Monthly Commodity Prices'!$AQ$9:$AQ$3495)="Alumina")*(('Data - Monthly Commodity Prices'!$AR$9:$AR$3495)=$B$6)*(('Data - Monthly Commodity Prices'!$AT$9:$AT$3495)=B12),0),5)))</f>
        <v>644281242.38</v>
      </c>
      <c r="D12" s="1730">
        <f t="shared" si="1"/>
        <v>9.3153929601039007E-2</v>
      </c>
      <c r="W12" s="1041"/>
      <c r="X12" s="1041"/>
      <c r="Y12" s="1041">
        <f t="shared" si="0"/>
        <v>2008</v>
      </c>
    </row>
    <row r="13" spans="1:26">
      <c r="A13" s="224" t="str">
        <f t="array" ref="A13">IF($W$2="Mismatch Error","",IF($B$5=$X$1,INDEX('Data - Monthly Commodity Prices'!$AJ$9:$AO$3501,MATCH(1,(('Data - Monthly Commodity Prices'!$AJ$9:$AJ$3501)="Alumina")*(('Data - Monthly Commodity Prices'!$AK$9:$AK$3501)=$B$6)*(('Data - Monthly Commodity Prices'!$AM$9:$AM$3501)=B13),0),3),INDEX('Data - Monthly Commodity Prices'!$AQ$9:$AV$3495,MATCH(1,(('Data - Monthly Commodity Prices'!$AQ$9:$AQ$3495)="Alumina")*(('Data - Monthly Commodity Prices'!$AR$9:$AR$3495)=$B$6)*(('Data - Monthly Commodity Prices'!$AT$9:$AT$3495)=B13),0),3)))</f>
        <v>Mozambique</v>
      </c>
      <c r="B13" s="13">
        <v>4</v>
      </c>
      <c r="C13" s="55">
        <f t="array" ref="C13">IF($W$2="Mismatch Error","",IF($B$5=$X$1,INDEX('Data - Monthly Commodity Prices'!$AJ$9:$AO$3501,MATCH(1,(('Data - Monthly Commodity Prices'!$AJ$9:$AJ$3501)="Alumina")*(('Data - Monthly Commodity Prices'!$AK$9:$AK$3501)=$B$6)*(('Data - Monthly Commodity Prices'!$AM$9:$AM$3501)=B13),0),5),INDEX('Data - Monthly Commodity Prices'!$AQ$9:$AV$3495,MATCH(1,(('Data - Monthly Commodity Prices'!$AQ$9:$AQ$3495)="Alumina")*(('Data - Monthly Commodity Prices'!$AR$9:$AR$3495)=$B$6)*(('Data - Monthly Commodity Prices'!$AT$9:$AT$3495)=B13),0),5)))</f>
        <v>536926699.32999992</v>
      </c>
      <c r="D13" s="1731">
        <f t="shared" si="1"/>
        <v>7.763198531985957E-2</v>
      </c>
      <c r="Y13" s="1041">
        <f t="shared" si="0"/>
        <v>2007</v>
      </c>
    </row>
    <row r="14" spans="1:26">
      <c r="A14" s="1733" t="str">
        <f t="array" ref="A14">IF($W$2="Mismatch Error","",IF($B$5=$X$1,INDEX('Data - Monthly Commodity Prices'!$AJ$9:$AO$3501,MATCH(1,(('Data - Monthly Commodity Prices'!$AJ$9:$AJ$3501)="Alumina")*(('Data - Monthly Commodity Prices'!$AK$9:$AK$3501)=$B$6)*(('Data - Monthly Commodity Prices'!$AM$9:$AM$3501)=B14),0),3),INDEX('Data - Monthly Commodity Prices'!$AQ$9:$AV$3495,MATCH(1,(('Data - Monthly Commodity Prices'!$AQ$9:$AQ$3495)="Alumina")*(('Data - Monthly Commodity Prices'!$AR$9:$AR$3495)=$B$6)*(('Data - Monthly Commodity Prices'!$AT$9:$AT$3495)=B14),0),3)))</f>
        <v>China</v>
      </c>
      <c r="B14" s="10">
        <v>5</v>
      </c>
      <c r="C14" s="56">
        <f t="array" ref="C14">IF($W$2="Mismatch Error","",IF($B$5=$X$1,INDEX('Data - Monthly Commodity Prices'!$AJ$9:$AO$3501,MATCH(1,(('Data - Monthly Commodity Prices'!$AJ$9:$AJ$3501)="Alumina")*(('Data - Monthly Commodity Prices'!$AK$9:$AK$3501)=$B$6)*(('Data - Monthly Commodity Prices'!$AM$9:$AM$3501)=B14),0),5),INDEX('Data - Monthly Commodity Prices'!$AQ$9:$AV$3495,MATCH(1,(('Data - Monthly Commodity Prices'!$AQ$9:$AQ$3495)="Alumina")*(('Data - Monthly Commodity Prices'!$AR$9:$AR$3495)=$B$6)*(('Data - Monthly Commodity Prices'!$AT$9:$AT$3495)=B14),0),5)))</f>
        <v>370893636.01999998</v>
      </c>
      <c r="D14" s="1730">
        <f t="shared" si="1"/>
        <v>5.3625959265321273E-2</v>
      </c>
      <c r="Y14" s="1041" t="str">
        <f t="shared" si="0"/>
        <v/>
      </c>
    </row>
    <row r="15" spans="1:26">
      <c r="A15" s="224" t="str">
        <f t="array" ref="A15">IF($W$2="Mismatch Error","",IF($B$5=$X$1,INDEX('Data - Monthly Commodity Prices'!$AJ$9:$AO$3501,MATCH(1,(('Data - Monthly Commodity Prices'!$AJ$9:$AJ$3501)="Alumina")*(('Data - Monthly Commodity Prices'!$AK$9:$AK$3501)=$B$6)*(('Data - Monthly Commodity Prices'!$AM$9:$AM$3501)=B15),0),3),INDEX('Data - Monthly Commodity Prices'!$AQ$9:$AV$3495,MATCH(1,(('Data - Monthly Commodity Prices'!$AQ$9:$AQ$3495)="Alumina")*(('Data - Monthly Commodity Prices'!$AR$9:$AR$3495)=$B$6)*(('Data - Monthly Commodity Prices'!$AT$9:$AT$3495)=B15),0),3)))</f>
        <v>India</v>
      </c>
      <c r="B15" s="13">
        <v>6</v>
      </c>
      <c r="C15" s="55">
        <f t="array" ref="C15">IF($W$2="Mismatch Error","",IF($B$5=$X$1,INDEX('Data - Monthly Commodity Prices'!$AJ$9:$AO$3501,MATCH(1,(('Data - Monthly Commodity Prices'!$AJ$9:$AJ$3501)="Alumina")*(('Data - Monthly Commodity Prices'!$AK$9:$AK$3501)=$B$6)*(('Data - Monthly Commodity Prices'!$AM$9:$AM$3501)=B15),0),5),INDEX('Data - Monthly Commodity Prices'!$AQ$9:$AV$3495,MATCH(1,(('Data - Monthly Commodity Prices'!$AQ$9:$AQ$3495)="Alumina")*(('Data - Monthly Commodity Prices'!$AR$9:$AR$3495)=$B$6)*(('Data - Monthly Commodity Prices'!$AT$9:$AT$3495)=B15),0),5)))</f>
        <v>312617871.83999997</v>
      </c>
      <c r="D15" s="1731">
        <f t="shared" si="1"/>
        <v>4.5200110308711967E-2</v>
      </c>
      <c r="Y15" s="1041" t="str">
        <f t="shared" si="0"/>
        <v/>
      </c>
    </row>
    <row r="16" spans="1:26">
      <c r="A16" s="1733" t="str">
        <f t="array" ref="A16">IF($W$2="Mismatch Error","",IF($B$5=$X$1,INDEX('Data - Monthly Commodity Prices'!$AJ$9:$AO$3501,MATCH(1,(('Data - Monthly Commodity Prices'!$AJ$9:$AJ$3501)="Alumina")*(('Data - Monthly Commodity Prices'!$AK$9:$AK$3501)=$B$6)*(('Data - Monthly Commodity Prices'!$AM$9:$AM$3501)=B16),0),3),INDEX('Data - Monthly Commodity Prices'!$AQ$9:$AV$3495,MATCH(1,(('Data - Monthly Commodity Prices'!$AQ$9:$AQ$3495)="Alumina")*(('Data - Monthly Commodity Prices'!$AR$9:$AR$3495)=$B$6)*(('Data - Monthly Commodity Prices'!$AT$9:$AT$3495)=B16),0),3)))</f>
        <v>Iceland</v>
      </c>
      <c r="B16" s="10">
        <v>7</v>
      </c>
      <c r="C16" s="56">
        <f t="array" ref="C16">IF($W$2="Mismatch Error","",IF($B$5=$X$1,INDEX('Data - Monthly Commodity Prices'!$AJ$9:$AO$3501,MATCH(1,(('Data - Monthly Commodity Prices'!$AJ$9:$AJ$3501)="Alumina")*(('Data - Monthly Commodity Prices'!$AK$9:$AK$3501)=$B$6)*(('Data - Monthly Commodity Prices'!$AM$9:$AM$3501)=B16),0),5),INDEX('Data - Monthly Commodity Prices'!$AQ$9:$AV$3495,MATCH(1,(('Data - Monthly Commodity Prices'!$AQ$9:$AQ$3495)="Alumina")*(('Data - Monthly Commodity Prices'!$AR$9:$AR$3495)=$B$6)*(('Data - Monthly Commodity Prices'!$AT$9:$AT$3495)=B16),0),5)))</f>
        <v>302864629.45999998</v>
      </c>
      <c r="D16" s="1730">
        <f t="shared" si="1"/>
        <v>4.378992979392287E-2</v>
      </c>
      <c r="Y16" s="1041" t="str">
        <f t="shared" si="0"/>
        <v/>
      </c>
    </row>
    <row r="17" spans="1:25">
      <c r="A17" s="224" t="str">
        <f t="array" ref="A17">IF($W$2="Mismatch Error","",IF($B$5=$X$1,INDEX('Data - Monthly Commodity Prices'!$AJ$9:$AO$3501,MATCH(1,(('Data - Monthly Commodity Prices'!$AJ$9:$AJ$3501)="Alumina")*(('Data - Monthly Commodity Prices'!$AK$9:$AK$3501)=$B$6)*(('Data - Monthly Commodity Prices'!$AM$9:$AM$3501)=B17),0),3),INDEX('Data - Monthly Commodity Prices'!$AQ$9:$AV$3495,MATCH(1,(('Data - Monthly Commodity Prices'!$AQ$9:$AQ$3495)="Alumina")*(('Data - Monthly Commodity Prices'!$AR$9:$AR$3495)=$B$6)*(('Data - Monthly Commodity Prices'!$AT$9:$AT$3495)=B17),0),3)))</f>
        <v>United States</v>
      </c>
      <c r="B17" s="13">
        <v>8</v>
      </c>
      <c r="C17" s="55">
        <f t="array" ref="C17">IF($W$2="Mismatch Error","",IF($B$5=$X$1,INDEX('Data - Monthly Commodity Prices'!$AJ$9:$AO$3501,MATCH(1,(('Data - Monthly Commodity Prices'!$AJ$9:$AJ$3501)="Alumina")*(('Data - Monthly Commodity Prices'!$AK$9:$AK$3501)=$B$6)*(('Data - Monthly Commodity Prices'!$AM$9:$AM$3501)=B17),0),5),INDEX('Data - Monthly Commodity Prices'!$AQ$9:$AV$3495,MATCH(1,(('Data - Monthly Commodity Prices'!$AQ$9:$AQ$3495)="Alumina")*(('Data - Monthly Commodity Prices'!$AR$9:$AR$3495)=$B$6)*(('Data - Monthly Commodity Prices'!$AT$9:$AT$3495)=B17),0),5)))</f>
        <v>282442992.11000001</v>
      </c>
      <c r="D17" s="1731">
        <f t="shared" si="1"/>
        <v>4.083725067973281E-2</v>
      </c>
      <c r="Y17" s="1041" t="str">
        <f t="shared" si="0"/>
        <v/>
      </c>
    </row>
    <row r="18" spans="1:25">
      <c r="A18" s="1733" t="str">
        <f t="array" ref="A18">IF($W$2="Mismatch Error","",IF($B$5=$X$1,INDEX('Data - Monthly Commodity Prices'!$AJ$9:$AO$3501,MATCH(1,(('Data - Monthly Commodity Prices'!$AJ$9:$AJ$3501)="Alumina")*(('Data - Monthly Commodity Prices'!$AK$9:$AK$3501)=$B$6)*(('Data - Monthly Commodity Prices'!$AM$9:$AM$3501)=B18),0),3),INDEX('Data - Monthly Commodity Prices'!$AQ$9:$AV$3495,MATCH(1,(('Data - Monthly Commodity Prices'!$AQ$9:$AQ$3495)="Alumina")*(('Data - Monthly Commodity Prices'!$AR$9:$AR$3495)=$B$6)*(('Data - Monthly Commodity Prices'!$AT$9:$AT$3495)=B18),0),3)))</f>
        <v>Qatar</v>
      </c>
      <c r="B18" s="10">
        <v>9</v>
      </c>
      <c r="C18" s="56">
        <f t="array" ref="C18">IF($W$2="Mismatch Error","",IF($B$5=$X$1,INDEX('Data - Monthly Commodity Prices'!$AJ$9:$AO$3501,MATCH(1,(('Data - Monthly Commodity Prices'!$AJ$9:$AJ$3501)="Alumina")*(('Data - Monthly Commodity Prices'!$AK$9:$AK$3501)=$B$6)*(('Data - Monthly Commodity Prices'!$AM$9:$AM$3501)=B18),0),5),INDEX('Data - Monthly Commodity Prices'!$AQ$9:$AV$3495,MATCH(1,(('Data - Monthly Commodity Prices'!$AQ$9:$AQ$3495)="Alumina")*(('Data - Monthly Commodity Prices'!$AR$9:$AR$3495)=$B$6)*(('Data - Monthly Commodity Prices'!$AT$9:$AT$3495)=B18),0),5)))</f>
        <v>250637686.71000004</v>
      </c>
      <c r="D18" s="1730">
        <f t="shared" si="1"/>
        <v>3.6238654623720869E-2</v>
      </c>
      <c r="Y18" s="1041" t="str">
        <f t="shared" si="0"/>
        <v/>
      </c>
    </row>
    <row r="19" spans="1:25">
      <c r="A19" s="224" t="str">
        <f t="array" ref="A19">IF($W$2="Mismatch Error","",IF($B$5=$X$1,INDEX('Data - Monthly Commodity Prices'!$AJ$9:$AO$3501,MATCH(1,(('Data - Monthly Commodity Prices'!$AJ$9:$AJ$3501)="Alumina")*(('Data - Monthly Commodity Prices'!$AK$9:$AK$3501)=$B$6)*(('Data - Monthly Commodity Prices'!$AM$9:$AM$3501)=B19),0),3),INDEX('Data - Monthly Commodity Prices'!$AQ$9:$AV$3495,MATCH(1,(('Data - Monthly Commodity Prices'!$AQ$9:$AQ$3495)="Alumina")*(('Data - Monthly Commodity Prices'!$AR$9:$AR$3495)=$B$6)*(('Data - Monthly Commodity Prices'!$AT$9:$AT$3495)=B19),0),3)))</f>
        <v>Argentina</v>
      </c>
      <c r="B19" s="13">
        <v>10</v>
      </c>
      <c r="C19" s="55">
        <f t="array" ref="C19">IF($W$2="Mismatch Error","",IF($B$5=$X$1,INDEX('Data - Monthly Commodity Prices'!$AJ$9:$AO$3501,MATCH(1,(('Data - Monthly Commodity Prices'!$AJ$9:$AJ$3501)="Alumina")*(('Data - Monthly Commodity Prices'!$AK$9:$AK$3501)=$B$6)*(('Data - Monthly Commodity Prices'!$AM$9:$AM$3501)=B19),0),5),INDEX('Data - Monthly Commodity Prices'!$AQ$9:$AV$3495,MATCH(1,(('Data - Monthly Commodity Prices'!$AQ$9:$AQ$3495)="Alumina")*(('Data - Monthly Commodity Prices'!$AR$9:$AR$3495)=$B$6)*(('Data - Monthly Commodity Prices'!$AT$9:$AT$3495)=B19),0),5)))</f>
        <v>248750030.32000005</v>
      </c>
      <c r="D19" s="1731">
        <f t="shared" si="1"/>
        <v>3.5965726282961727E-2</v>
      </c>
      <c r="Y19" s="1041" t="str">
        <f t="shared" si="0"/>
        <v/>
      </c>
    </row>
    <row r="20" spans="1:25" ht="15.75" thickBot="1">
      <c r="A20" s="1734" t="str">
        <f>IF($W$2="Mismatch Error","","Other")</f>
        <v>Other</v>
      </c>
      <c r="B20" s="14"/>
      <c r="C20" s="54">
        <f>IF($W$2="Mismatch Error","",IF($B$5=$X$1,SUMIFS('Data - Monthly Commodity Prices'!$AN$9:$AN$3501,'Data - Monthly Commodity Prices'!$AJ$9:$AJ$3501,"Alumina",'Data - Monthly Commodity Prices'!$AK$9:$AK$3501,$B$6,'Data - Monthly Commodity Prices'!$AL$9:$AL$3501,"TOTAL")-SUM($C$10:$C$19),SUMIFS('Data - Monthly Commodity Prices'!$AU$9:$AU$3495,'Data - Monthly Commodity Prices'!$AQ$9:$AQ$3495,"Alumina",'Data - Monthly Commodity Prices'!$AR$9:$AR$3495,$B$6,'Data - Monthly Commodity Prices'!$AS$9:$AS$3495,"TOTAL")-SUM($C$10:$C$19)))</f>
        <v>1206255164.6899986</v>
      </c>
      <c r="D20" s="1732">
        <f t="shared" si="1"/>
        <v>0.17440738811102471</v>
      </c>
      <c r="Y20" s="1041" t="str">
        <f t="shared" si="0"/>
        <v/>
      </c>
    </row>
    <row r="21" spans="1:25" ht="15.75" thickBot="1">
      <c r="A21" s="1709" t="str">
        <f>IF($W$2="Mismatch Error","","Grand Total")</f>
        <v>Grand Total</v>
      </c>
      <c r="B21" s="1698"/>
      <c r="C21" s="1699">
        <f>IF($W$2="Mismatch Error","",IF($B$5=$X$1,SUMIFS('Data - Monthly Commodity Prices'!$AN$9:$AN$3501,'Data - Monthly Commodity Prices'!$AJ$9:$AJ$3501,"Alumina",'Data - Monthly Commodity Prices'!$AK$9:$AK$3501,$B$6,'Data - Monthly Commodity Prices'!$AL$9:$AL$3501,"TOTAL"),SUMIFS('Data - Monthly Commodity Prices'!$AU$9:$AU$3495,'Data - Monthly Commodity Prices'!$AQ$9:$AQ$3495,"Alumina",'Data - Monthly Commodity Prices'!$AR$9:$AR$3495,$B$6,'Data - Monthly Commodity Prices'!$AS$9:$AS$3495,"TOTAL")))</f>
        <v>6916307719.2699976</v>
      </c>
      <c r="D21" s="1700"/>
      <c r="E21" s="537"/>
      <c r="Y21" s="1041" t="str">
        <f t="shared" si="0"/>
        <v/>
      </c>
    </row>
    <row r="22" spans="1:25" s="8" customFormat="1">
      <c r="Y22" s="1041" t="str">
        <f t="shared" si="0"/>
        <v/>
      </c>
    </row>
    <row r="23" spans="1:25" s="8" customFormat="1">
      <c r="A23" s="1970" t="str">
        <f>IF(A10="Mismatch Error","You have selected an incompatible year or year type. Change one or the other to display data.","")</f>
        <v/>
      </c>
      <c r="B23" s="1970"/>
      <c r="C23" s="1970"/>
      <c r="D23" s="1970"/>
      <c r="Y23" s="1041" t="str">
        <f t="shared" si="0"/>
        <v/>
      </c>
    </row>
    <row r="24" spans="1:25" s="8" customFormat="1">
      <c r="A24" s="1970"/>
      <c r="B24" s="1970"/>
      <c r="C24" s="1970"/>
      <c r="D24" s="1970"/>
      <c r="Y24" s="1041" t="str">
        <f t="shared" si="0"/>
        <v/>
      </c>
    </row>
    <row r="25" spans="1:25" s="8" customFormat="1" ht="15" customHeight="1">
      <c r="A25" s="1970"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70"/>
      <c r="C25" s="1970"/>
      <c r="D25" s="1970"/>
      <c r="Y25" s="1041" t="str">
        <f t="shared" si="0"/>
        <v/>
      </c>
    </row>
    <row r="26" spans="1:25" s="8" customFormat="1">
      <c r="A26" s="1970"/>
      <c r="B26" s="1970"/>
      <c r="C26" s="1970"/>
      <c r="D26" s="1970"/>
      <c r="K26" s="1369"/>
      <c r="Y26" s="1041"/>
    </row>
    <row r="27" spans="1:25" s="8" customFormat="1">
      <c r="A27" s="1970"/>
      <c r="B27" s="1970"/>
      <c r="C27" s="1970"/>
      <c r="D27" s="1970"/>
      <c r="K27" s="1369"/>
      <c r="Y27" s="1041"/>
    </row>
    <row r="28" spans="1:25" s="8" customFormat="1">
      <c r="A28" s="1970"/>
      <c r="B28" s="1970"/>
      <c r="C28" s="1970"/>
      <c r="D28" s="1970"/>
      <c r="I28" s="1368"/>
      <c r="J28" s="1368"/>
      <c r="K28" s="1369"/>
      <c r="Y28" s="1041"/>
    </row>
    <row r="29" spans="1:25" s="8" customFormat="1">
      <c r="I29" s="1368"/>
      <c r="J29" s="1368"/>
      <c r="K29" s="1369"/>
      <c r="Y29" s="1041"/>
    </row>
    <row r="30" spans="1:25" s="8" customFormat="1">
      <c r="Y30" s="1041"/>
    </row>
    <row r="31" spans="1:25" s="8" customFormat="1">
      <c r="A31"/>
      <c r="B31"/>
      <c r="C31"/>
      <c r="D31"/>
      <c r="Y31" s="1041"/>
    </row>
    <row r="32" spans="1:25">
      <c r="E32" s="12"/>
      <c r="F32" s="8"/>
      <c r="Y32" s="1041"/>
    </row>
    <row r="33" spans="5:25">
      <c r="E33" s="12"/>
      <c r="F33" s="8"/>
      <c r="Y33" s="1041"/>
    </row>
    <row r="34" spans="5:25">
      <c r="E34" s="12"/>
      <c r="F34" s="8"/>
      <c r="I34" s="323"/>
      <c r="J34" s="323"/>
      <c r="Y34" s="1041"/>
    </row>
    <row r="35" spans="5:25">
      <c r="E35" s="12"/>
      <c r="F35" s="8"/>
      <c r="I35" s="323"/>
      <c r="J35" s="323"/>
      <c r="Y35" s="1041"/>
    </row>
    <row r="36" spans="5:25">
      <c r="E36" s="12"/>
      <c r="F36" s="8"/>
      <c r="I36" s="323"/>
      <c r="J36" s="323"/>
      <c r="Y36" s="1041"/>
    </row>
    <row r="37" spans="5:25">
      <c r="E37" s="12"/>
      <c r="F37" s="8"/>
      <c r="I37" s="323"/>
      <c r="J37" s="323"/>
      <c r="Y37" s="1041"/>
    </row>
    <row r="38" spans="5:25">
      <c r="E38" s="12"/>
      <c r="F38" s="8"/>
      <c r="I38" s="323"/>
      <c r="J38" s="323"/>
      <c r="Y38" s="1041"/>
    </row>
    <row r="39" spans="5:25">
      <c r="E39" s="12"/>
      <c r="F39" s="8"/>
      <c r="I39" s="323"/>
      <c r="J39" s="323"/>
      <c r="Y39" s="1041"/>
    </row>
    <row r="40" spans="5:25">
      <c r="E40" s="12"/>
      <c r="F40" s="8"/>
      <c r="I40" s="323"/>
      <c r="J40" s="323"/>
      <c r="Y40" s="1041"/>
    </row>
    <row r="41" spans="5:25">
      <c r="E41" s="12"/>
      <c r="F41" s="8"/>
      <c r="I41" s="323"/>
      <c r="J41" s="323"/>
      <c r="Y41" s="1041"/>
    </row>
    <row r="42" spans="5:25">
      <c r="E42" s="12"/>
      <c r="F42" s="8"/>
      <c r="I42" s="323"/>
      <c r="J42" s="323"/>
      <c r="Y42" s="1041"/>
    </row>
    <row r="43" spans="5:25">
      <c r="E43" s="12"/>
      <c r="F43" s="8"/>
      <c r="I43" s="323"/>
      <c r="J43" s="323"/>
      <c r="Y43" s="1041"/>
    </row>
    <row r="44" spans="5:25">
      <c r="E44" s="12"/>
      <c r="F44" s="8"/>
      <c r="I44" s="323"/>
      <c r="J44" s="323"/>
      <c r="Y44" s="1041"/>
    </row>
    <row r="45" spans="5:25">
      <c r="E45" s="12"/>
      <c r="F45" s="8"/>
      <c r="I45" s="323"/>
      <c r="J45" s="323"/>
      <c r="Y45" s="1041"/>
    </row>
    <row r="46" spans="5:25">
      <c r="E46" s="12"/>
      <c r="F46" s="8"/>
      <c r="I46" s="323"/>
      <c r="J46" s="323"/>
      <c r="Y46" s="1041"/>
    </row>
    <row r="47" spans="5:25">
      <c r="E47" s="12"/>
      <c r="F47" s="8"/>
      <c r="Y47" s="1041"/>
    </row>
    <row r="48" spans="5:25">
      <c r="E48" s="12"/>
      <c r="F48" s="8"/>
      <c r="Y48" s="1041"/>
    </row>
    <row r="49" spans="1:25">
      <c r="E49" s="12"/>
      <c r="F49" s="8"/>
      <c r="Y49" s="1041"/>
    </row>
    <row r="50" spans="1:25" s="416" customFormat="1">
      <c r="A50"/>
      <c r="B50"/>
      <c r="C50"/>
      <c r="D50"/>
      <c r="E50" s="12"/>
      <c r="Y50" s="1041"/>
    </row>
    <row r="51" spans="1:25" s="416" customFormat="1">
      <c r="A51"/>
      <c r="B51"/>
      <c r="C51"/>
      <c r="D51"/>
      <c r="E51" s="12"/>
    </row>
    <row r="52" spans="1:25" s="416" customFormat="1">
      <c r="A52"/>
      <c r="B52"/>
      <c r="C52"/>
      <c r="D52"/>
      <c r="E52" s="12"/>
    </row>
    <row r="53" spans="1:25" s="416" customFormat="1">
      <c r="A53"/>
      <c r="B53"/>
      <c r="C53"/>
      <c r="D53"/>
      <c r="E53" s="12"/>
    </row>
    <row r="54" spans="1:25" s="416" customFormat="1">
      <c r="A54"/>
      <c r="B54"/>
      <c r="C54"/>
      <c r="D54"/>
      <c r="E54" s="12"/>
    </row>
    <row r="55" spans="1:25" s="416" customFormat="1">
      <c r="A55"/>
      <c r="B55"/>
      <c r="C55"/>
      <c r="D55"/>
      <c r="E55" s="12"/>
    </row>
    <row r="56" spans="1:25" s="416" customFormat="1">
      <c r="A56"/>
      <c r="B56"/>
      <c r="C56"/>
      <c r="D56"/>
      <c r="E56" s="12"/>
    </row>
    <row r="57" spans="1:25" s="416" customFormat="1">
      <c r="A57"/>
      <c r="B57"/>
      <c r="C57"/>
      <c r="D57"/>
      <c r="E57" s="12"/>
    </row>
    <row r="58" spans="1:25" s="416" customFormat="1">
      <c r="A58"/>
      <c r="B58"/>
      <c r="C58"/>
      <c r="D58"/>
      <c r="E58" s="12"/>
    </row>
    <row r="59" spans="1:25" s="416" customFormat="1">
      <c r="A59"/>
      <c r="B59"/>
      <c r="C59"/>
      <c r="D59"/>
      <c r="E59" s="12"/>
    </row>
    <row r="60" spans="1:25" s="416" customFormat="1">
      <c r="A60"/>
      <c r="B60"/>
      <c r="C60"/>
      <c r="D60"/>
      <c r="E60" s="12"/>
    </row>
    <row r="61" spans="1:25" s="416" customFormat="1">
      <c r="A61"/>
      <c r="B61"/>
      <c r="C61"/>
      <c r="D61"/>
      <c r="E61" s="12"/>
    </row>
    <row r="62" spans="1:25" s="416" customFormat="1">
      <c r="A62"/>
      <c r="B62"/>
      <c r="C62"/>
      <c r="D62"/>
      <c r="E62" s="12"/>
    </row>
    <row r="63" spans="1:25" s="416" customFormat="1">
      <c r="A63"/>
      <c r="B63"/>
      <c r="C63"/>
      <c r="D63"/>
      <c r="E63" s="12"/>
    </row>
    <row r="64" spans="1:25" s="416" customFormat="1">
      <c r="A64"/>
      <c r="B64"/>
      <c r="C64"/>
      <c r="D64"/>
      <c r="E64" s="12"/>
    </row>
    <row r="67" spans="1:5" s="416" customFormat="1">
      <c r="A67"/>
      <c r="B67"/>
      <c r="C67"/>
      <c r="D67"/>
      <c r="E67" s="12"/>
    </row>
    <row r="68" spans="1:5" s="416" customFormat="1">
      <c r="A68"/>
      <c r="B68"/>
      <c r="C68"/>
      <c r="D68"/>
      <c r="E68" s="12"/>
    </row>
    <row r="69" spans="1:5" s="416" customFormat="1">
      <c r="A69"/>
      <c r="B69"/>
      <c r="C69"/>
      <c r="D69"/>
      <c r="E69" s="12"/>
    </row>
    <row r="70" spans="1:5" s="416" customFormat="1">
      <c r="A70"/>
      <c r="B70"/>
      <c r="C70"/>
      <c r="D70"/>
      <c r="E70" s="12"/>
    </row>
    <row r="71" spans="1:5" s="416" customFormat="1">
      <c r="A71"/>
      <c r="B71"/>
      <c r="C71"/>
      <c r="D71"/>
      <c r="E71" s="12"/>
    </row>
    <row r="72" spans="1:5" s="416" customFormat="1">
      <c r="A72"/>
      <c r="B72"/>
      <c r="C72"/>
      <c r="D72"/>
      <c r="E72" s="12"/>
    </row>
    <row r="73" spans="1:5" s="416" customFormat="1">
      <c r="A73"/>
      <c r="B73"/>
      <c r="C73"/>
      <c r="D73"/>
      <c r="E73" s="12"/>
    </row>
    <row r="74" spans="1:5" s="416" customFormat="1">
      <c r="A74"/>
      <c r="B74"/>
      <c r="C74"/>
      <c r="D74"/>
      <c r="E74" s="12"/>
    </row>
    <row r="75" spans="1:5" s="416" customFormat="1">
      <c r="A75"/>
      <c r="B75"/>
      <c r="C75"/>
      <c r="D75"/>
      <c r="E75" s="12"/>
    </row>
    <row r="76" spans="1:5" s="416" customFormat="1">
      <c r="A76"/>
      <c r="B76"/>
      <c r="C76"/>
      <c r="D76"/>
      <c r="E76" s="12"/>
    </row>
    <row r="77" spans="1:5" s="416" customFormat="1">
      <c r="A77"/>
      <c r="B77"/>
      <c r="C77"/>
      <c r="D77"/>
      <c r="E77" s="12"/>
    </row>
    <row r="78" spans="1:5" s="416" customFormat="1">
      <c r="A78"/>
      <c r="B78"/>
      <c r="C78"/>
      <c r="D78"/>
      <c r="E78" s="12"/>
    </row>
    <row r="79" spans="1:5" s="416" customFormat="1">
      <c r="A79"/>
      <c r="B79"/>
      <c r="C79"/>
      <c r="D79"/>
      <c r="E79" s="12"/>
    </row>
    <row r="80" spans="1:5" s="416" customFormat="1">
      <c r="A80"/>
      <c r="B80"/>
      <c r="C80"/>
      <c r="D80"/>
      <c r="E80" s="12"/>
    </row>
    <row r="81" spans="1:5" s="416" customFormat="1">
      <c r="A81"/>
      <c r="B81"/>
      <c r="C81"/>
      <c r="D81"/>
      <c r="E81" s="12"/>
    </row>
  </sheetData>
  <sortState ref="A130:D139">
    <sortCondition descending="1" ref="C130:C139"/>
  </sortState>
  <mergeCells count="5">
    <mergeCell ref="B5:D5"/>
    <mergeCell ref="B6:D6"/>
    <mergeCell ref="A8:D8"/>
    <mergeCell ref="A23:D24"/>
    <mergeCell ref="A25:D28"/>
  </mergeCells>
  <conditionalFormatting sqref="A10">
    <cfRule type="containsText" dxfId="6" priority="1" operator="containsText" text="Mismatch Error">
      <formula>NOT(ISERROR(SEARCH("Mismatch Error",A10)))</formula>
    </cfRule>
  </conditionalFormatting>
  <dataValidations xWindow="437" yWindow="325" count="3">
    <dataValidation type="list" allowBlank="1" showInputMessage="1" showErrorMessage="1" promptTitle="Select a Display Factor:" prompt="Clicking here will bring up a message describing the selections you can make." sqref="E5:E6">
      <formula1>$Y$1:$Y$2</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39997558519241921"/>
  </sheetPr>
  <dimension ref="A2:U67"/>
  <sheetViews>
    <sheetView zoomScaleNormal="100" workbookViewId="0"/>
  </sheetViews>
  <sheetFormatPr defaultRowHeight="15"/>
  <cols>
    <col min="1" max="1" width="15.7109375" customWidth="1"/>
    <col min="2" max="2" width="21.85546875" bestFit="1" customWidth="1"/>
    <col min="3" max="3" width="20.140625" bestFit="1" customWidth="1"/>
    <col min="4" max="4" width="3" customWidth="1"/>
    <col min="5" max="5" width="2.28515625" customWidth="1"/>
    <col min="18" max="18" width="4.5703125" customWidth="1"/>
    <col min="19" max="19" width="19.140625" customWidth="1"/>
    <col min="20" max="20" width="22.140625" customWidth="1"/>
    <col min="21" max="21" width="19.140625" customWidth="1"/>
  </cols>
  <sheetData>
    <row r="2" spans="1:20">
      <c r="G2" s="1727"/>
    </row>
    <row r="5" spans="1:20" ht="15.75" thickBot="1">
      <c r="A5" s="1947" t="s">
        <v>479</v>
      </c>
      <c r="B5" s="1947"/>
      <c r="C5" s="1947"/>
    </row>
    <row r="6" spans="1:20" ht="15.75" thickBot="1">
      <c r="A6" s="1728" t="s">
        <v>49</v>
      </c>
      <c r="B6" s="17" t="s">
        <v>57</v>
      </c>
      <c r="C6" s="18" t="s">
        <v>58</v>
      </c>
    </row>
    <row r="7" spans="1:20">
      <c r="A7" s="41">
        <v>1960</v>
      </c>
      <c r="B7" s="35">
        <v>0</v>
      </c>
      <c r="C7" s="34">
        <v>2.9801000000000001E-2</v>
      </c>
    </row>
    <row r="8" spans="1:20">
      <c r="A8" s="41">
        <v>1961</v>
      </c>
      <c r="B8" s="491">
        <v>0</v>
      </c>
      <c r="C8" s="490">
        <v>2.9468000000000001E-2</v>
      </c>
    </row>
    <row r="9" spans="1:20">
      <c r="A9" s="41">
        <v>1962</v>
      </c>
      <c r="B9" s="35">
        <v>0</v>
      </c>
      <c r="C9" s="34">
        <v>0.01</v>
      </c>
    </row>
    <row r="10" spans="1:20">
      <c r="A10" s="41">
        <v>1963</v>
      </c>
      <c r="B10" s="491">
        <v>0</v>
      </c>
      <c r="C10" s="490">
        <v>7.1437E-2</v>
      </c>
      <c r="T10" s="1026" t="str">
        <f>"Australian and Western Australian Alumina Production "&amp;MAX(A7:A199)</f>
        <v>Australian and Western Australian Alumina Production 2019</v>
      </c>
    </row>
    <row r="11" spans="1:20">
      <c r="A11" s="41">
        <v>1964</v>
      </c>
      <c r="B11" s="35">
        <v>0.119613</v>
      </c>
      <c r="C11" s="34">
        <v>4.1045230000000002E-2</v>
      </c>
    </row>
    <row r="12" spans="1:20">
      <c r="A12" s="41">
        <v>1965</v>
      </c>
      <c r="B12" s="491">
        <v>0.1508504</v>
      </c>
      <c r="C12" s="490">
        <v>5.1594839999999996E-2</v>
      </c>
    </row>
    <row r="13" spans="1:20">
      <c r="A13" s="41">
        <v>1966</v>
      </c>
      <c r="B13" s="35">
        <v>0.24705370000000001</v>
      </c>
      <c r="C13" s="34">
        <v>5.9915239999999995E-2</v>
      </c>
    </row>
    <row r="14" spans="1:20">
      <c r="A14" s="41">
        <v>1967</v>
      </c>
      <c r="B14" s="491">
        <v>0.41172740000000002</v>
      </c>
      <c r="C14" s="490">
        <v>0.44268940000000001</v>
      </c>
    </row>
    <row r="15" spans="1:20">
      <c r="A15" s="41">
        <v>1968</v>
      </c>
      <c r="B15" s="35">
        <v>0.4885832</v>
      </c>
      <c r="C15" s="34">
        <v>0.82087299999999996</v>
      </c>
    </row>
    <row r="16" spans="1:20">
      <c r="A16" s="41">
        <v>1969</v>
      </c>
      <c r="B16" s="491">
        <v>0.77114260000000001</v>
      </c>
      <c r="C16" s="490">
        <v>1.1598729999999999</v>
      </c>
    </row>
    <row r="17" spans="1:21">
      <c r="A17" s="41">
        <v>1970</v>
      </c>
      <c r="B17" s="35">
        <v>0.9652309</v>
      </c>
      <c r="C17" s="34">
        <v>1.186992</v>
      </c>
    </row>
    <row r="18" spans="1:21">
      <c r="A18" s="41">
        <v>1971</v>
      </c>
      <c r="B18" s="491">
        <v>1.2753509999999999</v>
      </c>
      <c r="C18" s="490">
        <v>1.3944049999999999</v>
      </c>
    </row>
    <row r="19" spans="1:21">
      <c r="A19" s="41">
        <v>1972</v>
      </c>
      <c r="B19" s="35">
        <v>1.435859</v>
      </c>
      <c r="C19" s="34">
        <v>1.6322190000000001</v>
      </c>
    </row>
    <row r="20" spans="1:21">
      <c r="A20" s="41">
        <v>1973</v>
      </c>
      <c r="B20" s="491">
        <v>1.7291289999999999</v>
      </c>
      <c r="C20" s="490">
        <v>2.3597670000000002</v>
      </c>
    </row>
    <row r="21" spans="1:21">
      <c r="A21" s="41">
        <v>1974</v>
      </c>
      <c r="B21" s="35">
        <v>1.9812050000000001</v>
      </c>
      <c r="C21" s="34">
        <v>2.9182839999999999</v>
      </c>
    </row>
    <row r="22" spans="1:21">
      <c r="A22" s="41">
        <v>1975</v>
      </c>
      <c r="B22" s="491">
        <v>2.2302550000000001</v>
      </c>
      <c r="C22" s="490">
        <v>2.2837450000000001</v>
      </c>
    </row>
    <row r="23" spans="1:21">
      <c r="A23" s="41">
        <v>1976</v>
      </c>
      <c r="B23" s="35">
        <v>3.1200570000000001</v>
      </c>
      <c r="C23" s="34">
        <v>2.7349429999999999</v>
      </c>
    </row>
    <row r="24" spans="1:21">
      <c r="A24" s="41">
        <v>1977</v>
      </c>
      <c r="B24" s="491">
        <v>3.4569869999999998</v>
      </c>
      <c r="C24" s="490">
        <v>2.6140129999999999</v>
      </c>
    </row>
    <row r="25" spans="1:21">
      <c r="A25" s="41">
        <v>1978</v>
      </c>
      <c r="B25" s="35">
        <v>3.47038</v>
      </c>
      <c r="C25" s="34">
        <v>2.77962</v>
      </c>
    </row>
    <row r="26" spans="1:21">
      <c r="A26" s="41">
        <v>1979</v>
      </c>
      <c r="B26" s="491">
        <v>3.9454449999999999</v>
      </c>
      <c r="C26" s="490">
        <v>3.4691610000000002</v>
      </c>
    </row>
    <row r="27" spans="1:21">
      <c r="A27" s="41">
        <v>1980</v>
      </c>
      <c r="B27" s="35">
        <v>3.6639889999999999</v>
      </c>
      <c r="C27" s="34">
        <v>3.5825100000000001</v>
      </c>
    </row>
    <row r="28" spans="1:21">
      <c r="A28" s="41">
        <v>1981</v>
      </c>
      <c r="B28" s="491">
        <v>3.67848</v>
      </c>
      <c r="C28" s="490">
        <v>3.4005290000000001</v>
      </c>
    </row>
    <row r="29" spans="1:21">
      <c r="A29" s="41">
        <v>1982</v>
      </c>
      <c r="B29" s="35">
        <v>3.6763849999999998</v>
      </c>
      <c r="C29" s="34">
        <v>2.9541219999999999</v>
      </c>
      <c r="S29" s="1972" t="s">
        <v>663</v>
      </c>
      <c r="T29" s="1972"/>
      <c r="U29" s="1972"/>
    </row>
    <row r="30" spans="1:21" ht="15.75" thickBot="1">
      <c r="A30" s="41">
        <v>1983</v>
      </c>
      <c r="B30" s="491">
        <v>3.983098</v>
      </c>
      <c r="C30" s="490">
        <v>3.2474280000000002</v>
      </c>
      <c r="S30" s="1971" t="s">
        <v>50</v>
      </c>
      <c r="T30" s="1971"/>
      <c r="U30" s="1971"/>
    </row>
    <row r="31" spans="1:21" ht="15.75" thickBot="1">
      <c r="A31" s="41">
        <v>1984</v>
      </c>
      <c r="B31" s="35">
        <v>5.004988</v>
      </c>
      <c r="C31" s="34">
        <v>3.7757139999999998</v>
      </c>
      <c r="S31" s="1726" t="s">
        <v>49</v>
      </c>
      <c r="T31" s="1725" t="str">
        <f>B6</f>
        <v>Western Australia (Mt)</v>
      </c>
      <c r="U31" s="1721" t="str">
        <f>C6</f>
        <v>Rest of Australia (Mt)</v>
      </c>
    </row>
    <row r="32" spans="1:21">
      <c r="A32" s="41">
        <v>1985</v>
      </c>
      <c r="B32" s="491">
        <v>5.4196229999999996</v>
      </c>
      <c r="C32" s="490">
        <v>3.3718780000000002</v>
      </c>
      <c r="S32" s="1831">
        <f>LARGE(A$7:A$90,10)</f>
        <v>2010</v>
      </c>
      <c r="T32" s="489">
        <f t="shared" ref="T32:T41" si="0">SUMIF($A$7:$A$95,$S32,B$7:B$95)</f>
        <v>12.563285</v>
      </c>
      <c r="U32" s="1722">
        <f t="shared" ref="U32:U41" si="1">SUMIF($A$7:$A$95,$S32,C$7:C$95)</f>
        <v>7.426714999999998</v>
      </c>
    </row>
    <row r="33" spans="1:21">
      <c r="A33" s="41">
        <v>1986</v>
      </c>
      <c r="B33" s="35">
        <v>5.4427899999999996</v>
      </c>
      <c r="C33" s="34">
        <v>3.9804300000000001</v>
      </c>
      <c r="S33" s="1832">
        <f>LARGE(A$7:A$90,9)</f>
        <v>2011</v>
      </c>
      <c r="T33" s="521">
        <f t="shared" si="0"/>
        <v>12.291484000000001</v>
      </c>
      <c r="U33" s="511">
        <f t="shared" si="1"/>
        <v>7.1075160000000004</v>
      </c>
    </row>
    <row r="34" spans="1:21">
      <c r="A34" s="41">
        <v>1987</v>
      </c>
      <c r="B34" s="491">
        <v>5.928763</v>
      </c>
      <c r="C34" s="490">
        <v>4.1805269999999997</v>
      </c>
      <c r="S34" s="1832">
        <f>LARGE(A$7:A$90,8)</f>
        <v>2012</v>
      </c>
      <c r="T34" s="1441">
        <f t="shared" si="0"/>
        <v>12.81154939</v>
      </c>
      <c r="U34" s="1723">
        <f t="shared" si="1"/>
        <v>8.5454506099999996</v>
      </c>
    </row>
    <row r="35" spans="1:21">
      <c r="A35" s="41">
        <v>1988</v>
      </c>
      <c r="B35" s="35">
        <v>6.1764140000000003</v>
      </c>
      <c r="C35" s="34">
        <v>4.3341000000000003</v>
      </c>
      <c r="S35" s="1832">
        <f>LARGE(A$7:A$90,7)</f>
        <v>2013</v>
      </c>
      <c r="T35" s="521">
        <f t="shared" si="0"/>
        <v>13.625703529999999</v>
      </c>
      <c r="U35" s="511">
        <f t="shared" si="1"/>
        <v>7.9025564700000004</v>
      </c>
    </row>
    <row r="36" spans="1:21">
      <c r="A36" s="41">
        <v>1989</v>
      </c>
      <c r="B36" s="491">
        <v>6.3847959999999997</v>
      </c>
      <c r="C36" s="490">
        <v>4.42</v>
      </c>
      <c r="S36" s="1832">
        <f>LARGE(A$7:A$90,6)</f>
        <v>2014</v>
      </c>
      <c r="T36" s="1441">
        <f t="shared" si="0"/>
        <v>13.876846260000001</v>
      </c>
      <c r="U36" s="1723">
        <f t="shared" si="1"/>
        <v>6.5986737399999988</v>
      </c>
    </row>
    <row r="37" spans="1:21">
      <c r="A37" s="41">
        <v>1990</v>
      </c>
      <c r="B37" s="35">
        <v>6.7222920000000004</v>
      </c>
      <c r="C37" s="34">
        <v>4.5090000000000003</v>
      </c>
      <c r="S37" s="1832">
        <f>LARGE(A$7:A$90,5)</f>
        <v>2015</v>
      </c>
      <c r="T37" s="521">
        <f t="shared" si="0"/>
        <v>13.778493586</v>
      </c>
      <c r="U37" s="511">
        <f t="shared" si="1"/>
        <v>6.3186864140000019</v>
      </c>
    </row>
    <row r="38" spans="1:21">
      <c r="A38" s="41">
        <v>1991</v>
      </c>
      <c r="B38" s="491">
        <v>7.0091840000000003</v>
      </c>
      <c r="C38" s="490">
        <v>4.7039999999999997</v>
      </c>
      <c r="S38" s="1832">
        <f>LARGE(A$7:A$90,4)</f>
        <v>2016</v>
      </c>
      <c r="T38" s="1441">
        <f t="shared" si="0"/>
        <v>13.82977389</v>
      </c>
      <c r="U38" s="1723">
        <f t="shared" si="1"/>
        <v>6.85105611</v>
      </c>
    </row>
    <row r="39" spans="1:21">
      <c r="A39" s="41">
        <v>1992</v>
      </c>
      <c r="B39" s="35">
        <v>7.0927569999999998</v>
      </c>
      <c r="C39" s="34">
        <v>4.6892430000000003</v>
      </c>
      <c r="S39" s="1832">
        <f>LARGE(A$7:A$90,3)</f>
        <v>2017</v>
      </c>
      <c r="T39" s="521">
        <f t="shared" si="0"/>
        <v>13.84700406</v>
      </c>
      <c r="U39" s="511">
        <f t="shared" si="1"/>
        <v>6.638765939999999</v>
      </c>
    </row>
    <row r="40" spans="1:21">
      <c r="A40" s="41">
        <v>1993</v>
      </c>
      <c r="B40" s="491">
        <v>7.8012740000000003</v>
      </c>
      <c r="C40" s="490">
        <v>4.7737259999999999</v>
      </c>
      <c r="S40" s="1832">
        <f>LARGE(A$7:A$90,2)</f>
        <v>2018</v>
      </c>
      <c r="T40" s="1441">
        <f t="shared" si="0"/>
        <v>13.498431120000001</v>
      </c>
      <c r="U40" s="1723">
        <f t="shared" si="1"/>
        <v>6.563368879999997</v>
      </c>
    </row>
    <row r="41" spans="1:21" ht="15.75" thickBot="1">
      <c r="A41" s="41">
        <v>1994</v>
      </c>
      <c r="B41" s="35">
        <v>7.9333210000000003</v>
      </c>
      <c r="C41" s="34">
        <v>4.9586790000000001</v>
      </c>
      <c r="S41" s="1833">
        <f>LARGE(A$7:A$90,1)</f>
        <v>2019</v>
      </c>
      <c r="T41" s="1690">
        <f t="shared" si="0"/>
        <v>14.014424653000001</v>
      </c>
      <c r="U41" s="1724">
        <f t="shared" si="1"/>
        <v>6.1779553469999993</v>
      </c>
    </row>
    <row r="42" spans="1:21">
      <c r="A42" s="41">
        <v>1995</v>
      </c>
      <c r="B42" s="491">
        <v>8.06738</v>
      </c>
      <c r="C42" s="490">
        <v>5.0796200000000002</v>
      </c>
    </row>
    <row r="43" spans="1:21">
      <c r="A43" s="41">
        <v>1996</v>
      </c>
      <c r="B43" s="35">
        <v>8.2496600000000004</v>
      </c>
      <c r="C43" s="34">
        <v>5.0683400000000001</v>
      </c>
    </row>
    <row r="44" spans="1:21">
      <c r="A44" s="41">
        <v>1997</v>
      </c>
      <c r="B44" s="491">
        <v>8.4818949999999997</v>
      </c>
      <c r="C44" s="490">
        <v>4.9050000000000002</v>
      </c>
    </row>
    <row r="45" spans="1:21">
      <c r="A45" s="41">
        <v>1998</v>
      </c>
      <c r="B45" s="35">
        <f>SUMIF('Alumina - Q&amp;V'!$H$8:$H$200,'Alumina - WA vs Australia'!A45,'Alumina - Q&amp;V'!$B$8:$B$200)</f>
        <v>8.7480000000000011</v>
      </c>
      <c r="C45" s="34">
        <v>5.1029999999999998</v>
      </c>
    </row>
    <row r="46" spans="1:21">
      <c r="A46" s="41">
        <v>1999</v>
      </c>
      <c r="B46" s="491">
        <f>SUMIF('Alumina - Q&amp;V'!$H$8:$H$200,'Alumina - WA vs Australia'!A46,'Alumina - Q&amp;V'!$B$8:$B$200)</f>
        <v>8.9310000000000009</v>
      </c>
      <c r="C46" s="490">
        <v>5.6</v>
      </c>
    </row>
    <row r="47" spans="1:21">
      <c r="A47" s="41">
        <v>2000</v>
      </c>
      <c r="B47" s="35">
        <f>SUMIF('Alumina - Q&amp;V'!$H$8:$H$200,'Alumina - WA vs Australia'!A47,'Alumina - Q&amp;V'!$B$8:$B$200)</f>
        <v>10.001999999999999</v>
      </c>
      <c r="C47" s="34">
        <v>5.681</v>
      </c>
    </row>
    <row r="48" spans="1:21">
      <c r="A48" s="41">
        <v>2001</v>
      </c>
      <c r="B48" s="491">
        <f>SUMIF('Alumina - Q&amp;V'!$H$8:$H$200,'Alumina - WA vs Australia'!A48,'Alumina - Q&amp;V'!$B$8:$B$200)</f>
        <v>10.758000000000001</v>
      </c>
      <c r="C48" s="490">
        <v>5.35</v>
      </c>
    </row>
    <row r="49" spans="1:10">
      <c r="A49" s="41">
        <v>2002</v>
      </c>
      <c r="B49" s="35">
        <f>SUMIF('Alumina - Q&amp;V'!$H$8:$H$200,'Alumina - WA vs Australia'!A49,'Alumina - Q&amp;V'!$B$8:$B$200)</f>
        <v>11</v>
      </c>
      <c r="C49" s="34">
        <v>5.3819860000000013</v>
      </c>
    </row>
    <row r="50" spans="1:10">
      <c r="A50" s="41">
        <v>2003</v>
      </c>
      <c r="B50" s="491">
        <f>SUMIF('Alumina - Q&amp;V'!$H$8:$H$200,'Alumina - WA vs Australia'!A50,'Alumina - Q&amp;V'!$B$8:$B$200)</f>
        <v>11.227864</v>
      </c>
      <c r="C50" s="490">
        <v>4.9242849999999994</v>
      </c>
    </row>
    <row r="51" spans="1:10">
      <c r="A51" s="41">
        <v>2004</v>
      </c>
      <c r="B51" s="35">
        <f>SUMIF('Alumina - Q&amp;V'!$H$8:$H$200,'Alumina - WA vs Australia'!A51,'Alumina - Q&amp;V'!$B$8:$B$200)</f>
        <v>10.988386</v>
      </c>
      <c r="C51" s="34">
        <v>5.5366139999999984</v>
      </c>
    </row>
    <row r="52" spans="1:10">
      <c r="A52" s="41">
        <v>2005</v>
      </c>
      <c r="B52" s="491">
        <f>SUMIF('Alumina - Q&amp;V'!$H$8:$H$200,'Alumina - WA vs Australia'!A52,'Alumina - Q&amp;V'!$B$8:$B$200)</f>
        <v>11.352183</v>
      </c>
      <c r="C52" s="490">
        <v>6.3500370000000004</v>
      </c>
    </row>
    <row r="53" spans="1:10">
      <c r="A53" s="41">
        <v>2006</v>
      </c>
      <c r="B53" s="35">
        <f>SUMIF('Alumina - Q&amp;V'!$H$8:$H$200,'Alumina - WA vs Australia'!A53,'Alumina - Q&amp;V'!$B$8:$B$200)</f>
        <v>11.82174775</v>
      </c>
      <c r="C53" s="34">
        <v>6.708000000000002</v>
      </c>
    </row>
    <row r="54" spans="1:10">
      <c r="A54" s="41">
        <v>2007</v>
      </c>
      <c r="B54" s="491">
        <f>SUMIF('Alumina - Q&amp;V'!$H$8:$H$200,'Alumina - WA vs Australia'!A54,'Alumina - Q&amp;V'!$B$8:$B$200)</f>
        <v>12.193625759000001</v>
      </c>
      <c r="C54" s="490">
        <v>6.6770000000000014</v>
      </c>
    </row>
    <row r="55" spans="1:10">
      <c r="A55" s="41">
        <v>2008</v>
      </c>
      <c r="B55" s="35">
        <f>SUMIF('Alumina - Q&amp;V'!$H$8:$H$200,'Alumina - WA vs Australia'!A55,'Alumina - Q&amp;V'!$B$8:$B$200)</f>
        <v>12.245763095999999</v>
      </c>
      <c r="C55" s="34">
        <v>7.200489000000001</v>
      </c>
    </row>
    <row r="56" spans="1:10">
      <c r="A56" s="41">
        <v>2009</v>
      </c>
      <c r="B56" s="491">
        <f>SUMIF('Alumina - Q&amp;V'!$H$8:$H$200,'Alumina - WA vs Australia'!A56,'Alumina - Q&amp;V'!$B$8:$B$200)</f>
        <v>12.42197</v>
      </c>
      <c r="C56" s="490">
        <v>7.5180300000000013</v>
      </c>
      <c r="J56" s="407"/>
    </row>
    <row r="57" spans="1:10">
      <c r="A57" s="41">
        <v>2010</v>
      </c>
      <c r="B57" s="35">
        <f>SUMIF('Alumina - Q&amp;V'!$H$8:$H$200,'Alumina - WA vs Australia'!A57,'Alumina - Q&amp;V'!$B$8:$B$200)</f>
        <v>12.563285</v>
      </c>
      <c r="C57" s="502">
        <v>7.426714999999998</v>
      </c>
      <c r="H57" s="1535"/>
      <c r="J57" s="407"/>
    </row>
    <row r="58" spans="1:10">
      <c r="A58" s="41">
        <v>2011</v>
      </c>
      <c r="B58" s="491">
        <f>SUMIF('Alumina - Q&amp;V'!$H$8:$H$200,'Alumina - WA vs Australia'!A58,'Alumina - Q&amp;V'!$B$8:$B$200)</f>
        <v>12.291484000000001</v>
      </c>
      <c r="C58" s="490">
        <v>7.1075160000000004</v>
      </c>
      <c r="F58" s="1083"/>
      <c r="G58" s="1083"/>
      <c r="H58" s="1083"/>
      <c r="I58" s="1083"/>
      <c r="J58" s="407"/>
    </row>
    <row r="59" spans="1:10">
      <c r="A59" s="41">
        <v>2012</v>
      </c>
      <c r="B59" s="35">
        <f>SUMIF('Alumina - Q&amp;V'!$H$8:$H$200,'Alumina - WA vs Australia'!A59,'Alumina - Q&amp;V'!$B$8:$B$200)</f>
        <v>12.81154939</v>
      </c>
      <c r="C59" s="502">
        <f>(21357/1000)-B59</f>
        <v>8.5454506099999996</v>
      </c>
      <c r="F59" s="530"/>
      <c r="G59" s="1651"/>
      <c r="H59" s="1083"/>
      <c r="I59" s="1083"/>
      <c r="J59" s="407"/>
    </row>
    <row r="60" spans="1:10">
      <c r="A60" s="41">
        <v>2013</v>
      </c>
      <c r="B60" s="491">
        <f>SUMIF('Alumina - Q&amp;V'!$H$8:$H$200,'Alumina - WA vs Australia'!A60,'Alumina - Q&amp;V'!$B$8:$B$200)</f>
        <v>13.625703529999999</v>
      </c>
      <c r="C60" s="490">
        <f>(21528.26/1000)-B60</f>
        <v>7.9025564700000004</v>
      </c>
      <c r="F60" s="530"/>
      <c r="G60" s="1651"/>
      <c r="H60" s="1083"/>
      <c r="I60" s="1083"/>
      <c r="J60" s="407"/>
    </row>
    <row r="61" spans="1:10">
      <c r="A61" s="41">
        <v>2014</v>
      </c>
      <c r="B61" s="501">
        <f>SUMIF('Alumina - Q&amp;V'!$H$8:$H$200,'Alumina - WA vs Australia'!A61,'Alumina - Q&amp;V'!$B$8:$B$200)</f>
        <v>13.876846260000001</v>
      </c>
      <c r="C61" s="502">
        <f>20475.52/1000-B61</f>
        <v>6.5986737399999988</v>
      </c>
      <c r="F61" s="530"/>
      <c r="G61" s="1651"/>
      <c r="H61" s="1083"/>
      <c r="I61" s="1083"/>
      <c r="J61" s="407"/>
    </row>
    <row r="62" spans="1:10">
      <c r="A62" s="41">
        <v>2015</v>
      </c>
      <c r="B62" s="491">
        <f>SUMIF('Alumina - Q&amp;V'!$H$8:$H$200,'Alumina - WA vs Australia'!A62,'Alumina - Q&amp;V'!$B$8:$B$200)</f>
        <v>13.778493586</v>
      </c>
      <c r="C62" s="490">
        <f>(20097.18/1000)-B62</f>
        <v>6.3186864140000019</v>
      </c>
      <c r="F62" s="530"/>
      <c r="G62" s="1651"/>
      <c r="H62" s="1083"/>
      <c r="I62" s="1083"/>
      <c r="J62" s="407"/>
    </row>
    <row r="63" spans="1:10">
      <c r="A63" s="41">
        <v>2016</v>
      </c>
      <c r="B63" s="501">
        <f>SUMIF('Alumina - Q&amp;V'!$H$8:$H$200,'Alumina - WA vs Australia'!A63,'Alumina - Q&amp;V'!$B$8:$B$200)</f>
        <v>13.82977389</v>
      </c>
      <c r="C63" s="502">
        <f>(20680.83/1000)-B63</f>
        <v>6.85105611</v>
      </c>
      <c r="F63" s="530"/>
      <c r="G63" s="1651"/>
      <c r="H63" s="1083"/>
      <c r="I63" s="1083"/>
      <c r="J63" s="407"/>
    </row>
    <row r="64" spans="1:10">
      <c r="A64" s="1539">
        <v>2017</v>
      </c>
      <c r="B64" s="1540">
        <f>SUMIF('Alumina - Q&amp;V'!$H$8:$H$200,'Alumina - WA vs Australia'!A64,'Alumina - Q&amp;V'!$B$8:$B$200)</f>
        <v>13.84700406</v>
      </c>
      <c r="C64" s="1541">
        <f>(20485.77/1000)-B64</f>
        <v>6.638765939999999</v>
      </c>
      <c r="D64" s="309"/>
      <c r="F64" s="530"/>
      <c r="G64" s="1651"/>
      <c r="H64" s="1083"/>
      <c r="I64" s="1083"/>
      <c r="J64" s="407"/>
    </row>
    <row r="65" spans="1:10">
      <c r="A65" s="1539">
        <v>2018</v>
      </c>
      <c r="B65" s="1648">
        <f>SUMIF('Alumina - Q&amp;V'!$H$8:$H$200,'Alumina - WA vs Australia'!A65,'Alumina - Q&amp;V'!$B$8:$B$200)</f>
        <v>13.498431120000001</v>
      </c>
      <c r="C65" s="1649">
        <f>(20061.8/1000)-B65</f>
        <v>6.563368879999997</v>
      </c>
      <c r="F65" s="530"/>
      <c r="G65" s="1651"/>
      <c r="H65" s="1083"/>
      <c r="I65" s="1083"/>
      <c r="J65" s="407"/>
    </row>
    <row r="66" spans="1:10" ht="15.75" thickBot="1">
      <c r="A66" s="1539">
        <v>2019</v>
      </c>
      <c r="B66" s="1540">
        <f>SUMIF('Alumina - Q&amp;V'!$H$8:$H$200,'Alumina - WA vs Australia'!A66,'Alumina - Q&amp;V'!$B$8:$B$200)</f>
        <v>14.014424653000001</v>
      </c>
      <c r="C66" s="1541">
        <f>(20192.38/1000)-B66</f>
        <v>6.1779553469999993</v>
      </c>
      <c r="F66" s="530"/>
      <c r="G66" s="1651"/>
      <c r="H66" s="1083"/>
      <c r="I66" s="1083"/>
    </row>
    <row r="67" spans="1:10">
      <c r="A67" s="1639"/>
      <c r="B67" s="1639"/>
      <c r="C67" s="1639"/>
    </row>
  </sheetData>
  <mergeCells count="3">
    <mergeCell ref="A5:C5"/>
    <mergeCell ref="S30:U30"/>
    <mergeCell ref="S29:U2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6B4E8"/>
  </sheetPr>
  <dimension ref="A1:AH366"/>
  <sheetViews>
    <sheetView zoomScaleNormal="100" workbookViewId="0"/>
  </sheetViews>
  <sheetFormatPr defaultRowHeight="15"/>
  <cols>
    <col min="1" max="1" width="7.85546875" style="323" bestFit="1" customWidth="1"/>
    <col min="2" max="3" width="17.42578125" style="323" bestFit="1" customWidth="1"/>
    <col min="4" max="4" width="12.5703125" style="323" bestFit="1" customWidth="1"/>
    <col min="5" max="5" width="17.42578125" style="323" bestFit="1" customWidth="1"/>
    <col min="6" max="6" width="12.5703125" style="323" bestFit="1" customWidth="1"/>
    <col min="7" max="7" width="17.85546875" style="323" customWidth="1"/>
    <col min="8" max="8" width="6.85546875" style="98" hidden="1" customWidth="1"/>
    <col min="9" max="9" width="5.140625" style="98" hidden="1" customWidth="1"/>
    <col min="10" max="10" width="2.42578125" style="323" customWidth="1"/>
    <col min="11" max="11" width="13.42578125" style="323" bestFit="1" customWidth="1"/>
    <col min="12" max="12" width="12.5703125" style="323" bestFit="1" customWidth="1"/>
    <col min="13" max="13" width="17.42578125" style="323" bestFit="1" customWidth="1"/>
    <col min="14" max="14" width="12.5703125" style="323" bestFit="1" customWidth="1"/>
    <col min="15" max="15" width="17.42578125" style="323" bestFit="1" customWidth="1"/>
    <col min="16" max="16" width="12.5703125" style="323" bestFit="1" customWidth="1"/>
    <col min="17" max="17" width="17.42578125" style="323" bestFit="1" customWidth="1"/>
    <col min="18" max="19" width="9.140625" style="323"/>
    <col min="20" max="20" width="4.85546875" style="323" customWidth="1"/>
    <col min="21" max="21" width="15.140625" style="323" customWidth="1"/>
    <col min="22" max="22" width="11.85546875" style="323" customWidth="1"/>
    <col min="23" max="23" width="17.42578125" style="323" customWidth="1"/>
    <col min="24" max="24" width="11.85546875" style="323" customWidth="1"/>
    <col min="25" max="25" width="17.42578125" style="323" customWidth="1"/>
    <col min="26" max="26" width="11.85546875" style="323" customWidth="1"/>
    <col min="27" max="27" width="17.42578125" style="323" customWidth="1"/>
    <col min="28" max="16384" width="9.140625" style="323"/>
  </cols>
  <sheetData>
    <row r="1" spans="1:34">
      <c r="A1" s="350" t="s">
        <v>429</v>
      </c>
    </row>
    <row r="2" spans="1:34">
      <c r="A2" s="350" t="s">
        <v>446</v>
      </c>
    </row>
    <row r="3" spans="1:34">
      <c r="L3" s="488"/>
    </row>
    <row r="5" spans="1:34">
      <c r="A5" s="1981" t="s">
        <v>664</v>
      </c>
      <c r="B5" s="1981"/>
      <c r="C5" s="1981"/>
      <c r="D5" s="1981"/>
      <c r="E5" s="1981"/>
      <c r="F5" s="1981"/>
      <c r="G5" s="1981"/>
      <c r="H5" s="305"/>
      <c r="I5" s="305"/>
    </row>
    <row r="6" spans="1:34" ht="15.75" thickBot="1">
      <c r="A6" s="1982" t="s">
        <v>657</v>
      </c>
      <c r="B6" s="1982"/>
      <c r="C6" s="1982"/>
      <c r="D6" s="1982"/>
      <c r="E6" s="1982"/>
      <c r="F6" s="1982"/>
      <c r="G6" s="1982"/>
      <c r="H6" s="306"/>
      <c r="I6" s="306"/>
    </row>
    <row r="7" spans="1:34">
      <c r="A7" s="1719"/>
      <c r="B7" s="1973" t="s">
        <v>437</v>
      </c>
      <c r="C7" s="1974"/>
      <c r="D7" s="1975" t="s">
        <v>435</v>
      </c>
      <c r="E7" s="1976"/>
      <c r="F7" s="1973" t="s">
        <v>438</v>
      </c>
      <c r="G7" s="1974"/>
      <c r="H7" s="297"/>
      <c r="I7" s="297"/>
      <c r="K7" s="1979" t="s">
        <v>665</v>
      </c>
      <c r="L7" s="1979"/>
      <c r="M7" s="1979"/>
      <c r="N7" s="1979"/>
      <c r="O7" s="1979"/>
      <c r="P7" s="1979"/>
      <c r="Q7" s="1979"/>
    </row>
    <row r="8" spans="1:34" ht="15.75" thickBot="1">
      <c r="A8" s="1718" t="s">
        <v>6</v>
      </c>
      <c r="B8" s="338" t="s">
        <v>56</v>
      </c>
      <c r="C8" s="334" t="s">
        <v>804</v>
      </c>
      <c r="D8" s="338" t="s">
        <v>56</v>
      </c>
      <c r="E8" s="334" t="s">
        <v>804</v>
      </c>
      <c r="F8" s="338" t="s">
        <v>56</v>
      </c>
      <c r="G8" s="1463" t="s">
        <v>804</v>
      </c>
      <c r="H8" s="302"/>
      <c r="I8" s="302"/>
      <c r="K8" s="1980" t="s">
        <v>655</v>
      </c>
      <c r="L8" s="1980"/>
      <c r="M8" s="1980"/>
      <c r="N8" s="1980"/>
      <c r="O8" s="1980"/>
      <c r="P8" s="1980"/>
      <c r="Q8" s="1980"/>
    </row>
    <row r="9" spans="1:34">
      <c r="A9" s="331">
        <v>36586</v>
      </c>
      <c r="B9" s="492">
        <v>7.681</v>
      </c>
      <c r="C9" s="316">
        <v>18.056524</v>
      </c>
      <c r="D9" s="492">
        <v>13.048999999999999</v>
      </c>
      <c r="E9" s="316">
        <v>4.2357139999999998</v>
      </c>
      <c r="F9" s="492">
        <v>62.015999999999998</v>
      </c>
      <c r="G9" s="316">
        <v>67.439318999999998</v>
      </c>
      <c r="H9" s="302">
        <f>YEAR(A9)</f>
        <v>2000</v>
      </c>
      <c r="I9" s="302" t="str">
        <f>IF(MONTH(A9)=3,"1",IF(MONTH(A9)=6,"2",IF(MONTH(A9)=9,"3","4")))</f>
        <v>1</v>
      </c>
      <c r="K9" s="1719"/>
      <c r="L9" s="1973" t="s">
        <v>437</v>
      </c>
      <c r="M9" s="1974"/>
      <c r="N9" s="1975" t="s">
        <v>435</v>
      </c>
      <c r="O9" s="1976"/>
      <c r="P9" s="1973" t="s">
        <v>438</v>
      </c>
      <c r="Q9" s="1974"/>
      <c r="AC9" s="339"/>
      <c r="AD9" s="339"/>
      <c r="AE9" s="339"/>
      <c r="AF9" s="339"/>
      <c r="AG9" s="339"/>
      <c r="AH9" s="339"/>
    </row>
    <row r="10" spans="1:34" ht="15.75" thickBot="1">
      <c r="A10" s="331">
        <v>36678</v>
      </c>
      <c r="B10" s="493">
        <v>8.0039999999999996</v>
      </c>
      <c r="C10" s="332">
        <v>17.899384000000001</v>
      </c>
      <c r="D10" s="493">
        <v>22.609000000000002</v>
      </c>
      <c r="E10" s="332">
        <v>6.6396030000000001</v>
      </c>
      <c r="F10" s="493">
        <v>55.244999999999997</v>
      </c>
      <c r="G10" s="332">
        <v>60.587583000000002</v>
      </c>
      <c r="H10" s="302">
        <f t="shared" ref="H10:H73" si="0">YEAR(A10)</f>
        <v>2000</v>
      </c>
      <c r="I10" s="302" t="str">
        <f t="shared" ref="I10:I73" si="1">IF(MONTH(A10)=3,"1",IF(MONTH(A10)=6,"2",IF(MONTH(A10)=9,"3","4")))</f>
        <v>2</v>
      </c>
      <c r="K10" s="1718" t="s">
        <v>6</v>
      </c>
      <c r="L10" s="338" t="s">
        <v>56</v>
      </c>
      <c r="M10" s="334" t="s">
        <v>804</v>
      </c>
      <c r="N10" s="338" t="s">
        <v>56</v>
      </c>
      <c r="O10" s="334" t="s">
        <v>804</v>
      </c>
      <c r="P10" s="338" t="s">
        <v>56</v>
      </c>
      <c r="Q10" s="1463" t="s">
        <v>804</v>
      </c>
      <c r="AC10" s="339"/>
      <c r="AD10" s="339"/>
      <c r="AE10" s="339"/>
      <c r="AF10" s="339"/>
      <c r="AG10" s="339"/>
      <c r="AH10" s="339"/>
    </row>
    <row r="11" spans="1:34">
      <c r="A11" s="331">
        <v>36770</v>
      </c>
      <c r="B11" s="492">
        <v>9.2100000000000009</v>
      </c>
      <c r="C11" s="316">
        <v>22.628861000000001</v>
      </c>
      <c r="D11" s="492">
        <v>17.123000000000001</v>
      </c>
      <c r="E11" s="316">
        <v>5.8403790000000004</v>
      </c>
      <c r="F11" s="492">
        <v>59.823</v>
      </c>
      <c r="G11" s="316">
        <v>74.251819999999995</v>
      </c>
      <c r="H11" s="302">
        <f t="shared" si="0"/>
        <v>2000</v>
      </c>
      <c r="I11" s="302" t="str">
        <f t="shared" si="1"/>
        <v>3</v>
      </c>
      <c r="K11" s="1829">
        <f>LARGE(A$9:A$735,10)</f>
        <v>42979</v>
      </c>
      <c r="L11" s="1825">
        <f t="shared" ref="L11:L20" si="2">SUMIF($A$9:$A$735,$K11,B$9:B$735)</f>
        <v>37.138071000000004</v>
      </c>
      <c r="M11" s="1432">
        <f t="shared" ref="M11:M20" si="3">SUMIF($A$9:$A$735,$K11,C$9:C$735)</f>
        <v>293.21190100000001</v>
      </c>
      <c r="N11" s="494">
        <f t="shared" ref="N11:N20" si="4">SUMIF($A$9:$A$735,$K11,D$9:D$735)</f>
        <v>1.1292500000000001</v>
      </c>
      <c r="O11" s="1432">
        <f t="shared" ref="O11:O20" si="5">SUMIF($A$9:$A$735,$K11,E$9:E$735)</f>
        <v>3.5253899999999998</v>
      </c>
      <c r="P11" s="333">
        <f t="shared" ref="P11:P20" si="6">SUMIF($A$9:$A$735,$K11,F$9:F$735)</f>
        <v>16.669619999999998</v>
      </c>
      <c r="Q11" s="1432">
        <f t="shared" ref="Q11:Q19" si="7">SUMIF($A$9:$A$735,$K11,G$9:G$735)</f>
        <v>68.630502000000007</v>
      </c>
      <c r="AC11" s="339"/>
      <c r="AD11" s="339"/>
      <c r="AE11" s="339"/>
      <c r="AF11" s="339"/>
      <c r="AG11" s="339"/>
      <c r="AH11" s="339"/>
    </row>
    <row r="12" spans="1:34">
      <c r="A12" s="331">
        <v>36861</v>
      </c>
      <c r="B12" s="493">
        <v>9.1430000000000007</v>
      </c>
      <c r="C12" s="332">
        <v>24.024092</v>
      </c>
      <c r="D12" s="493">
        <v>20.3</v>
      </c>
      <c r="E12" s="332">
        <v>9.0457520000000002</v>
      </c>
      <c r="F12" s="493">
        <v>80.628</v>
      </c>
      <c r="G12" s="332">
        <v>87.835560999999998</v>
      </c>
      <c r="H12" s="302">
        <f t="shared" si="0"/>
        <v>2000</v>
      </c>
      <c r="I12" s="302" t="str">
        <f t="shared" si="1"/>
        <v>4</v>
      </c>
      <c r="K12" s="331">
        <f>LARGE(A$9:A$735,9)</f>
        <v>43070</v>
      </c>
      <c r="L12" s="1826">
        <f t="shared" si="2"/>
        <v>47.778112</v>
      </c>
      <c r="M12" s="1434">
        <f t="shared" si="3"/>
        <v>341.89442000000003</v>
      </c>
      <c r="N12" s="1433">
        <f t="shared" si="4"/>
        <v>3.5130400000000002</v>
      </c>
      <c r="O12" s="1434">
        <f t="shared" si="5"/>
        <v>11.261267999999999</v>
      </c>
      <c r="P12" s="1435">
        <f t="shared" si="6"/>
        <v>42.342468000000004</v>
      </c>
      <c r="Q12" s="1434">
        <f t="shared" si="7"/>
        <v>128.275802</v>
      </c>
      <c r="AC12" s="339"/>
      <c r="AD12" s="339"/>
      <c r="AE12" s="339"/>
      <c r="AF12" s="339"/>
      <c r="AG12" s="339"/>
      <c r="AH12" s="339"/>
    </row>
    <row r="13" spans="1:34">
      <c r="A13" s="331">
        <v>36951</v>
      </c>
      <c r="B13" s="492">
        <v>9.9540000000000006</v>
      </c>
      <c r="C13" s="316">
        <v>28.795444</v>
      </c>
      <c r="D13" s="492">
        <v>23.103000000000002</v>
      </c>
      <c r="E13" s="316">
        <v>11.693618000000001</v>
      </c>
      <c r="F13" s="492">
        <v>45.084000000000003</v>
      </c>
      <c r="G13" s="316">
        <v>57.100099</v>
      </c>
      <c r="H13" s="302">
        <f t="shared" si="0"/>
        <v>2001</v>
      </c>
      <c r="I13" s="302" t="str">
        <f t="shared" si="1"/>
        <v>1</v>
      </c>
      <c r="K13" s="331">
        <f>LARGE(A$9:A$735,8)</f>
        <v>43160</v>
      </c>
      <c r="L13" s="1827">
        <f t="shared" si="2"/>
        <v>38.299224000000002</v>
      </c>
      <c r="M13" s="1366">
        <f t="shared" si="3"/>
        <v>319.68186700000001</v>
      </c>
      <c r="N13" s="1436">
        <f t="shared" si="4"/>
        <v>1.4896500000000001</v>
      </c>
      <c r="O13" s="1366">
        <f t="shared" si="5"/>
        <v>4.653346</v>
      </c>
      <c r="P13" s="1437">
        <f t="shared" si="6"/>
        <v>13.238009999999999</v>
      </c>
      <c r="Q13" s="1366">
        <f t="shared" si="7"/>
        <v>53.165086000000002</v>
      </c>
      <c r="AC13" s="339"/>
      <c r="AD13" s="339"/>
      <c r="AE13" s="339"/>
      <c r="AF13" s="339"/>
      <c r="AG13" s="339"/>
      <c r="AH13" s="339"/>
    </row>
    <row r="14" spans="1:34">
      <c r="A14" s="331">
        <v>37043</v>
      </c>
      <c r="B14" s="493">
        <v>13.672000000000001</v>
      </c>
      <c r="C14" s="332">
        <v>34.115588000000002</v>
      </c>
      <c r="D14" s="493">
        <v>21.8</v>
      </c>
      <c r="E14" s="332">
        <v>10.72903</v>
      </c>
      <c r="F14" s="493">
        <v>50.554000000000002</v>
      </c>
      <c r="G14" s="332">
        <v>61.052177999999998</v>
      </c>
      <c r="H14" s="302">
        <f t="shared" si="0"/>
        <v>2001</v>
      </c>
      <c r="I14" s="302" t="str">
        <f t="shared" si="1"/>
        <v>2</v>
      </c>
      <c r="K14" s="331">
        <f>LARGE(A$9:A$735,7)</f>
        <v>43252</v>
      </c>
      <c r="L14" s="1826">
        <f t="shared" si="2"/>
        <v>50.858215999999999</v>
      </c>
      <c r="M14" s="1434">
        <f t="shared" si="3"/>
        <v>393.01018299999998</v>
      </c>
      <c r="N14" s="1433">
        <f t="shared" si="4"/>
        <v>1.2653399999999999</v>
      </c>
      <c r="O14" s="1434">
        <f t="shared" si="5"/>
        <v>3.359219</v>
      </c>
      <c r="P14" s="1435">
        <f t="shared" si="6"/>
        <v>21.123189</v>
      </c>
      <c r="Q14" s="1434">
        <f t="shared" si="7"/>
        <v>73.433008000000001</v>
      </c>
      <c r="AC14" s="339"/>
      <c r="AD14" s="339"/>
      <c r="AE14" s="339"/>
      <c r="AF14" s="339"/>
      <c r="AG14" s="339"/>
      <c r="AH14" s="339"/>
    </row>
    <row r="15" spans="1:34">
      <c r="A15" s="331">
        <v>37135</v>
      </c>
      <c r="B15" s="492">
        <v>10.818</v>
      </c>
      <c r="C15" s="316">
        <v>25.455144000000001</v>
      </c>
      <c r="D15" s="492">
        <v>16.63</v>
      </c>
      <c r="E15" s="316">
        <v>8.1511069999999997</v>
      </c>
      <c r="F15" s="492">
        <v>59.197000000000003</v>
      </c>
      <c r="G15" s="316">
        <v>40.097408999999999</v>
      </c>
      <c r="H15" s="302">
        <f t="shared" si="0"/>
        <v>2001</v>
      </c>
      <c r="I15" s="302" t="str">
        <f t="shared" si="1"/>
        <v>3</v>
      </c>
      <c r="K15" s="331">
        <f>LARGE(A$9:A$735,6)</f>
        <v>43344</v>
      </c>
      <c r="L15" s="1827">
        <f t="shared" si="2"/>
        <v>32.559367000000002</v>
      </c>
      <c r="M15" s="1366">
        <f t="shared" si="3"/>
        <v>256.02528999999998</v>
      </c>
      <c r="N15" s="1436">
        <f t="shared" si="4"/>
        <v>1.6848399999999999</v>
      </c>
      <c r="O15" s="1366">
        <f t="shared" si="5"/>
        <v>4.6596440000000001</v>
      </c>
      <c r="P15" s="1437">
        <f t="shared" si="6"/>
        <v>16.817429000000001</v>
      </c>
      <c r="Q15" s="1366">
        <f t="shared" si="7"/>
        <v>60.621699</v>
      </c>
      <c r="AC15" s="339"/>
      <c r="AD15" s="339"/>
      <c r="AE15" s="339"/>
      <c r="AF15" s="339"/>
      <c r="AG15" s="339"/>
      <c r="AH15" s="339"/>
    </row>
    <row r="16" spans="1:34">
      <c r="A16" s="331">
        <v>37226</v>
      </c>
      <c r="B16" s="493">
        <v>15.792999999999999</v>
      </c>
      <c r="C16" s="332">
        <v>32.344365000000003</v>
      </c>
      <c r="D16" s="493">
        <v>29.85</v>
      </c>
      <c r="E16" s="332">
        <v>14.329164</v>
      </c>
      <c r="F16" s="493">
        <v>56.002000000000002</v>
      </c>
      <c r="G16" s="332">
        <v>50.467827999999997</v>
      </c>
      <c r="H16" s="302">
        <f t="shared" si="0"/>
        <v>2001</v>
      </c>
      <c r="I16" s="302" t="str">
        <f t="shared" si="1"/>
        <v>4</v>
      </c>
      <c r="K16" s="331">
        <f>LARGE(A$9:A$735,5)</f>
        <v>43435</v>
      </c>
      <c r="L16" s="1826">
        <f t="shared" si="2"/>
        <v>46.868195999999998</v>
      </c>
      <c r="M16" s="1434">
        <f t="shared" si="3"/>
        <v>380.98519399999998</v>
      </c>
      <c r="N16" s="1433">
        <f t="shared" si="4"/>
        <v>1.65117</v>
      </c>
      <c r="O16" s="1434">
        <f t="shared" si="5"/>
        <v>4.4829829999999999</v>
      </c>
      <c r="P16" s="1435">
        <f t="shared" si="6"/>
        <v>17.645365000000002</v>
      </c>
      <c r="Q16" s="1434">
        <f t="shared" si="7"/>
        <v>69.712891999999997</v>
      </c>
      <c r="AC16" s="339"/>
      <c r="AD16" s="339"/>
      <c r="AE16" s="339"/>
      <c r="AF16" s="339"/>
      <c r="AG16" s="339"/>
      <c r="AH16" s="339"/>
    </row>
    <row r="17" spans="1:34">
      <c r="A17" s="331">
        <v>37316</v>
      </c>
      <c r="B17" s="492">
        <v>18.728000000000002</v>
      </c>
      <c r="C17" s="316">
        <v>39.500411</v>
      </c>
      <c r="D17" s="492">
        <v>11.782999999999999</v>
      </c>
      <c r="E17" s="316">
        <v>6.8930600000000002</v>
      </c>
      <c r="F17" s="492">
        <v>48.823999999999998</v>
      </c>
      <c r="G17" s="316">
        <v>37.999014000000003</v>
      </c>
      <c r="H17" s="302">
        <f t="shared" si="0"/>
        <v>2002</v>
      </c>
      <c r="I17" s="302" t="str">
        <f t="shared" si="1"/>
        <v>1</v>
      </c>
      <c r="K17" s="331">
        <f>LARGE(A$9:A$735,4)</f>
        <v>43525</v>
      </c>
      <c r="L17" s="1827">
        <f t="shared" si="2"/>
        <v>43.970934999999997</v>
      </c>
      <c r="M17" s="1366">
        <f t="shared" si="3"/>
        <v>365.21410900000001</v>
      </c>
      <c r="N17" s="1436">
        <f t="shared" si="4"/>
        <v>1.516</v>
      </c>
      <c r="O17" s="1366">
        <f t="shared" si="5"/>
        <v>4.2015500000000001</v>
      </c>
      <c r="P17" s="1437">
        <f t="shared" si="6"/>
        <v>17.548237</v>
      </c>
      <c r="Q17" s="1366">
        <f t="shared" si="7"/>
        <v>68.160379000000006</v>
      </c>
      <c r="AC17" s="339"/>
      <c r="AD17" s="339"/>
      <c r="AE17" s="339"/>
      <c r="AF17" s="339"/>
      <c r="AG17" s="339"/>
      <c r="AH17" s="339"/>
    </row>
    <row r="18" spans="1:34">
      <c r="A18" s="331">
        <v>37408</v>
      </c>
      <c r="B18" s="493">
        <v>12.295999999999999</v>
      </c>
      <c r="C18" s="332">
        <v>29.750125000000001</v>
      </c>
      <c r="D18" s="493">
        <v>16.812999999999999</v>
      </c>
      <c r="E18" s="332">
        <v>7.3497880000000002</v>
      </c>
      <c r="F18" s="493">
        <v>59.646000000000001</v>
      </c>
      <c r="G18" s="332">
        <v>45.251676000000003</v>
      </c>
      <c r="H18" s="302">
        <f t="shared" si="0"/>
        <v>2002</v>
      </c>
      <c r="I18" s="302" t="str">
        <f t="shared" si="1"/>
        <v>2</v>
      </c>
      <c r="K18" s="331">
        <f>LARGE(A$9:A$735,3)</f>
        <v>43617</v>
      </c>
      <c r="L18" s="1826">
        <f t="shared" si="2"/>
        <v>38.939019999999999</v>
      </c>
      <c r="M18" s="1434">
        <f t="shared" si="3"/>
        <v>317.37378799999999</v>
      </c>
      <c r="N18" s="1433">
        <f t="shared" si="4"/>
        <v>0</v>
      </c>
      <c r="O18" s="1434">
        <f t="shared" si="5"/>
        <v>0</v>
      </c>
      <c r="P18" s="1435">
        <f t="shared" si="6"/>
        <v>19.393622000000001</v>
      </c>
      <c r="Q18" s="1434">
        <f t="shared" si="7"/>
        <v>64.667732999999998</v>
      </c>
      <c r="AC18" s="339"/>
      <c r="AD18" s="339"/>
      <c r="AE18" s="339"/>
      <c r="AF18" s="339"/>
      <c r="AG18" s="339"/>
      <c r="AH18" s="339"/>
    </row>
    <row r="19" spans="1:34">
      <c r="A19" s="331">
        <v>37500</v>
      </c>
      <c r="B19" s="492">
        <v>17.913</v>
      </c>
      <c r="C19" s="316">
        <v>41.170180000000002</v>
      </c>
      <c r="D19" s="492">
        <v>16.065000000000001</v>
      </c>
      <c r="E19" s="316">
        <v>7.3971</v>
      </c>
      <c r="F19" s="492">
        <v>58.856999999999999</v>
      </c>
      <c r="G19" s="316">
        <v>45.744605999999997</v>
      </c>
      <c r="H19" s="302">
        <f t="shared" si="0"/>
        <v>2002</v>
      </c>
      <c r="I19" s="302" t="str">
        <f t="shared" si="1"/>
        <v>3</v>
      </c>
      <c r="K19" s="331">
        <f>LARGE(A$9:A$735,2)</f>
        <v>43709</v>
      </c>
      <c r="L19" s="1827">
        <f t="shared" si="2"/>
        <v>44.654243000000001</v>
      </c>
      <c r="M19" s="1366">
        <f t="shared" si="3"/>
        <v>355.04918199999997</v>
      </c>
      <c r="N19" s="1436">
        <f t="shared" si="4"/>
        <v>1.4008</v>
      </c>
      <c r="O19" s="1366">
        <f t="shared" si="5"/>
        <v>4.1491009999999999</v>
      </c>
      <c r="P19" s="1437">
        <f t="shared" si="6"/>
        <v>12.946899000000002</v>
      </c>
      <c r="Q19" s="1366">
        <f t="shared" si="7"/>
        <v>44.009948000000001</v>
      </c>
      <c r="AC19" s="339"/>
      <c r="AD19" s="339"/>
      <c r="AE19" s="339"/>
      <c r="AF19" s="339"/>
      <c r="AG19" s="339"/>
      <c r="AH19" s="339"/>
    </row>
    <row r="20" spans="1:34" ht="15.75" thickBot="1">
      <c r="A20" s="331">
        <v>37591</v>
      </c>
      <c r="B20" s="493">
        <v>15.35</v>
      </c>
      <c r="C20" s="332">
        <v>35.069124000000002</v>
      </c>
      <c r="D20" s="493">
        <v>25.736000000000001</v>
      </c>
      <c r="E20" s="332">
        <v>11.050075</v>
      </c>
      <c r="F20" s="493">
        <v>51.475999999999999</v>
      </c>
      <c r="G20" s="332">
        <v>44.068821</v>
      </c>
      <c r="H20" s="302">
        <f t="shared" si="0"/>
        <v>2002</v>
      </c>
      <c r="I20" s="302" t="str">
        <f t="shared" si="1"/>
        <v>4</v>
      </c>
      <c r="K20" s="1830">
        <f>LARGE(A$9:A$735,1)</f>
        <v>43800</v>
      </c>
      <c r="L20" s="1828">
        <f t="shared" si="2"/>
        <v>44.415087000000007</v>
      </c>
      <c r="M20" s="1439">
        <f t="shared" si="3"/>
        <v>351.15925099999998</v>
      </c>
      <c r="N20" s="1438">
        <f t="shared" si="4"/>
        <v>0</v>
      </c>
      <c r="O20" s="1439">
        <f t="shared" si="5"/>
        <v>0</v>
      </c>
      <c r="P20" s="1440">
        <f t="shared" si="6"/>
        <v>26.970247000000001</v>
      </c>
      <c r="Q20" s="1439">
        <f>SUMIF($A$9:$A$735,$K20,G$9:G$735)</f>
        <v>87.817222000000001</v>
      </c>
      <c r="AC20" s="339"/>
      <c r="AD20" s="339"/>
      <c r="AE20" s="339"/>
      <c r="AF20" s="339"/>
      <c r="AG20" s="339"/>
      <c r="AH20" s="339"/>
    </row>
    <row r="21" spans="1:34" ht="15.75" thickBot="1">
      <c r="A21" s="331">
        <v>37681</v>
      </c>
      <c r="B21" s="492">
        <v>11.138</v>
      </c>
      <c r="C21" s="316">
        <v>26.82959</v>
      </c>
      <c r="D21" s="492">
        <v>11.25</v>
      </c>
      <c r="E21" s="316">
        <v>6.67</v>
      </c>
      <c r="F21" s="492">
        <v>33.770000000000003</v>
      </c>
      <c r="G21" s="316">
        <v>35.200000000000003</v>
      </c>
      <c r="H21" s="302">
        <f t="shared" si="0"/>
        <v>2003</v>
      </c>
      <c r="I21" s="302" t="str">
        <f t="shared" si="1"/>
        <v>1</v>
      </c>
      <c r="U21" s="3"/>
      <c r="AC21" s="339"/>
      <c r="AD21" s="339"/>
      <c r="AE21" s="339"/>
      <c r="AF21" s="339"/>
      <c r="AG21" s="339"/>
      <c r="AH21" s="339"/>
    </row>
    <row r="22" spans="1:34" ht="15.75" thickBot="1">
      <c r="A22" s="331">
        <v>37773</v>
      </c>
      <c r="B22" s="493">
        <v>15.023999999999999</v>
      </c>
      <c r="C22" s="332">
        <v>35.565981999999998</v>
      </c>
      <c r="D22" s="493">
        <v>15.18</v>
      </c>
      <c r="E22" s="332">
        <v>8.35</v>
      </c>
      <c r="F22" s="493">
        <v>38.11</v>
      </c>
      <c r="G22" s="332">
        <v>35.26</v>
      </c>
      <c r="H22" s="302">
        <f t="shared" si="0"/>
        <v>2003</v>
      </c>
      <c r="I22" s="302" t="str">
        <f t="shared" si="1"/>
        <v>2</v>
      </c>
      <c r="K22" s="1720" t="s">
        <v>447</v>
      </c>
      <c r="L22" s="1977" t="s">
        <v>429</v>
      </c>
      <c r="M22" s="1977"/>
      <c r="N22" s="1977"/>
      <c r="O22" s="1977"/>
      <c r="P22" s="1977"/>
      <c r="Q22" s="1978"/>
      <c r="U22" s="3"/>
      <c r="AC22" s="339"/>
      <c r="AD22" s="339"/>
      <c r="AE22" s="339"/>
      <c r="AF22" s="339"/>
      <c r="AG22" s="339"/>
      <c r="AH22" s="339"/>
    </row>
    <row r="23" spans="1:34" ht="15.75" thickBot="1">
      <c r="A23" s="331">
        <v>37865</v>
      </c>
      <c r="B23" s="492">
        <v>20.244250000000001</v>
      </c>
      <c r="C23" s="316">
        <v>48.337485280000003</v>
      </c>
      <c r="D23" s="492">
        <v>17.481000000000002</v>
      </c>
      <c r="E23" s="316">
        <v>8.2900741</v>
      </c>
      <c r="F23" s="492">
        <v>37.886850000000003</v>
      </c>
      <c r="G23" s="316">
        <v>30.06951887</v>
      </c>
      <c r="H23" s="302">
        <f t="shared" si="0"/>
        <v>2003</v>
      </c>
      <c r="I23" s="302" t="str">
        <f t="shared" si="1"/>
        <v>3</v>
      </c>
      <c r="K23" s="1958" t="str">
        <f>CONCATENATE(A5," Quantity and Value by ",L22)</f>
        <v>Base metals Quantity and Value by Calendar Year</v>
      </c>
      <c r="L23" s="1959"/>
      <c r="M23" s="1959"/>
      <c r="N23" s="1959"/>
      <c r="O23" s="1959"/>
      <c r="P23" s="1959"/>
      <c r="Q23" s="1960"/>
      <c r="U23" s="3"/>
      <c r="AC23" s="339"/>
      <c r="AD23" s="339"/>
      <c r="AE23" s="339"/>
      <c r="AF23" s="339"/>
      <c r="AG23" s="339"/>
      <c r="AH23" s="339"/>
    </row>
    <row r="24" spans="1:34">
      <c r="A24" s="331">
        <v>37956</v>
      </c>
      <c r="B24" s="493">
        <v>13.76984</v>
      </c>
      <c r="C24" s="332">
        <v>38.777166459999997</v>
      </c>
      <c r="D24" s="493">
        <v>5.9119999999999999</v>
      </c>
      <c r="E24" s="332">
        <v>3.6816138199999999</v>
      </c>
      <c r="F24" s="493">
        <v>39.073090000000001</v>
      </c>
      <c r="G24" s="332">
        <v>33.125015990000001</v>
      </c>
      <c r="H24" s="302">
        <f t="shared" si="0"/>
        <v>2003</v>
      </c>
      <c r="I24" s="302" t="str">
        <f t="shared" si="1"/>
        <v>4</v>
      </c>
      <c r="K24" s="1719"/>
      <c r="L24" s="1973" t="str">
        <f>B7</f>
        <v>Copper</v>
      </c>
      <c r="M24" s="1974"/>
      <c r="N24" s="1973" t="str">
        <f>D7</f>
        <v>Lead</v>
      </c>
      <c r="O24" s="1974"/>
      <c r="P24" s="1973" t="str">
        <f>F7</f>
        <v>Zinc</v>
      </c>
      <c r="Q24" s="1974"/>
      <c r="U24" s="3"/>
      <c r="AC24" s="339"/>
      <c r="AD24" s="339"/>
      <c r="AE24" s="339"/>
      <c r="AF24" s="339"/>
      <c r="AG24" s="339"/>
      <c r="AH24" s="339"/>
    </row>
    <row r="25" spans="1:34" ht="15.75" thickBot="1">
      <c r="A25" s="331">
        <v>38047</v>
      </c>
      <c r="B25" s="492">
        <v>9.4638200000000001</v>
      </c>
      <c r="C25" s="316">
        <v>32.519124169999998</v>
      </c>
      <c r="D25" s="492">
        <v>0</v>
      </c>
      <c r="E25" s="316">
        <v>0</v>
      </c>
      <c r="F25" s="492">
        <v>24.983440000000002</v>
      </c>
      <c r="G25" s="316">
        <v>33.018951549999997</v>
      </c>
      <c r="H25" s="302">
        <f t="shared" si="0"/>
        <v>2004</v>
      </c>
      <c r="I25" s="302" t="str">
        <f t="shared" si="1"/>
        <v>1</v>
      </c>
      <c r="K25" s="1718" t="str">
        <f>L22</f>
        <v>Calendar Year</v>
      </c>
      <c r="L25" s="338" t="str">
        <f>B8</f>
        <v>Quantity (Kt)</v>
      </c>
      <c r="M25" s="334" t="str">
        <f>C8</f>
        <v>Value ($ Million)</v>
      </c>
      <c r="N25" s="338" t="str">
        <f>D8</f>
        <v>Quantity (Kt)</v>
      </c>
      <c r="O25" s="334" t="str">
        <f>E8</f>
        <v>Value ($ Million)</v>
      </c>
      <c r="P25" s="338" t="str">
        <f>F8</f>
        <v>Quantity (Kt)</v>
      </c>
      <c r="Q25" s="1463" t="str">
        <f>G8</f>
        <v>Value ($ Million)</v>
      </c>
      <c r="U25" s="3"/>
      <c r="AC25" s="339"/>
      <c r="AD25" s="339"/>
      <c r="AE25" s="339"/>
      <c r="AF25" s="339"/>
      <c r="AG25" s="339"/>
      <c r="AH25" s="339"/>
    </row>
    <row r="26" spans="1:34">
      <c r="A26" s="331">
        <v>38139</v>
      </c>
      <c r="B26" s="493">
        <v>11.466984</v>
      </c>
      <c r="C26" s="332">
        <v>47.288723140000002</v>
      </c>
      <c r="D26" s="493">
        <v>0</v>
      </c>
      <c r="E26" s="332">
        <v>0</v>
      </c>
      <c r="F26" s="493">
        <v>4.5332499999999998</v>
      </c>
      <c r="G26" s="332">
        <v>6.6091462600000002</v>
      </c>
      <c r="H26" s="302">
        <f t="shared" si="0"/>
        <v>2004</v>
      </c>
      <c r="I26" s="302" t="str">
        <f t="shared" si="1"/>
        <v>2</v>
      </c>
      <c r="K26" s="382">
        <f>IF($L$22="Calendar Year",YEAR(MIN($A$8:$A$200)),CONCATENATE(YEAR(MIN($A$8:$A$200)),"-",((YEAR(MIN($A$8:$A$200))+1))))</f>
        <v>2000</v>
      </c>
      <c r="L26" s="1429">
        <f>IF($L$22="Calendar Year",SUMIF($H$9:$H$201,$K26,$B$9:$B$201),SUMIFS($B$9:$B$201,$H$9:$H$201,LEFT($K26,4),$I$9:$I$201,3)+SUMIFS($B$9:$B$201,$H$9:$H$201,LEFT($K26,4),$I$9:$I$201,4)+SUMIFS($B$9:$B$201,$H$9:$H$201,LEFT($K26,4)+1,$I$9:$I$201,1)+SUMIFS($B$9:$B$201,$H$9:$H$201,LEFT($K26,4)+1,$I$9:$I$201,2))</f>
        <v>34.037999999999997</v>
      </c>
      <c r="M26" s="1418">
        <f>IF($L$22="Calendar Year",SUMIF($H$9:$H$201,$K26,$C$9:$C$201),SUMIFS($C$9:$C$201,$H$9:$H$201,LEFT($K26,4),$I$9:$I$201,3)+SUMIFS($C$9:$C$201,$H$9:$H$201,LEFT($K26,4),$I$9:$I$201,4)+SUMIFS($C$9:$C$201,$H$9:$H$201,LEFT($K26,4)+1,$I$9:$I$201,1)+SUMIFS($C$9:$C$201,$H$9:$H$201,LEFT($K26,4)+1,$I$9:$I$201,2))</f>
        <v>82.608861000000005</v>
      </c>
      <c r="N26" s="1429">
        <f>IF($L$22="Calendar Year",SUMIF($H$9:$H$201,$K26,$D$9:$D$201),SUMIFS($D$9:$D$201,$H$9:$H$201,LEFT($K26,4),$I$9:$I$201,3)+SUMIFS($D$9:$D$201,$H$9:$H$201,LEFT($K26,4),$I$9:$I$201,4)+SUMIFS($D$9:$D$201,$H$9:$H$201,LEFT($K26,4)+1,$I$9:$I$201,1)+SUMIFS($D$9:$D$201,$H$9:$H$201,LEFT($K26,4)+1,$I$9:$I$201,2))</f>
        <v>73.081000000000003</v>
      </c>
      <c r="O26" s="1418">
        <f>IF($L$22="Calendar Year",SUMIF($H$9:$H$201,$K26,$E$9:$E$201),SUMIFS($E$9:$E$201,$H$9:$H$201,LEFT($K26,4),$I$9:$I$201,3)+SUMIFS($E$9:$E$201,$H$9:$H$201,LEFT($K26,4),$I$9:$I$201,4)+SUMIFS($E$9:$E$201,$H$9:$H$201,LEFT($K26,4)+1,$I$9:$I$201,1)+SUMIFS($E$9:$E$201,$H$9:$H$201,LEFT($K26,4)+1,$I$9:$I$201,2))</f>
        <v>25.761448000000001</v>
      </c>
      <c r="P26" s="1429">
        <f>IF($L$22="Calendar Year",SUMIF($H$9:$H$201,$K26,$F$9:$F$201),SUMIFS($F$9:$F$201,$H$9:$H$201,LEFT($K26,4),$I$9:$I$201,3)+SUMIFS($F$9:$F$201,$H$9:$H$201,LEFT($K26,4),$I$9:$I$201,4)+SUMIFS($F$9:$F$201,$H$9:$H$201,LEFT($K26,4)+1,$I$9:$I$201,1)+SUMIFS($F$9:$F$201,$H$9:$H$201,LEFT($K26,4)+1,$I$9:$I$201,2))</f>
        <v>257.71199999999999</v>
      </c>
      <c r="Q26" s="1418">
        <f>IF($L$22="Calendar Year",SUMIF($H$9:$H$201,$K26,$G$9:$G$201),SUMIFS($G$9:$G$201,$H$9:$H$201,LEFT($K26,4),$I$9:$I$201,3)+SUMIFS($G$9:$G$201,$H$9:$H$201,LEFT($K26,4),$I$9:$I$201,4)+SUMIFS($G$9:$G$201,$H$9:$H$201,LEFT($K26,4)+1,$I$9:$I$201,1)+SUMIFS($G$9:$G$201,$H$9:$H$201,LEFT($K26,4)+1,$I$9:$I$201,2))</f>
        <v>290.114283</v>
      </c>
      <c r="U26" s="3"/>
      <c r="AC26" s="339"/>
      <c r="AD26" s="339"/>
      <c r="AE26" s="339"/>
      <c r="AF26" s="339"/>
      <c r="AG26" s="339"/>
      <c r="AH26" s="339"/>
    </row>
    <row r="27" spans="1:34">
      <c r="A27" s="331">
        <v>38231</v>
      </c>
      <c r="B27" s="492">
        <v>8.9878099999999996</v>
      </c>
      <c r="C27" s="316">
        <v>36.506440849999997</v>
      </c>
      <c r="D27" s="492">
        <v>1.1747399999999999</v>
      </c>
      <c r="E27" s="316">
        <v>1.5446158400000001</v>
      </c>
      <c r="F27" s="492">
        <v>12.29382</v>
      </c>
      <c r="G27" s="316">
        <v>17.24516753</v>
      </c>
      <c r="H27" s="302">
        <f t="shared" si="0"/>
        <v>2004</v>
      </c>
      <c r="I27" s="302" t="str">
        <f t="shared" si="1"/>
        <v>3</v>
      </c>
      <c r="K27" s="383">
        <f>IFERROR(IF(YEAR(MAX('Data - Monthly Commodity Prices'!$C$9:$C4984))=VALUE(RIGHT(K26,4)),"",IF($L$22="Calendar Year",K26+1,CONCATENATE(LEFT(K26,4)+1,"-",RIGHT(K26,4)+1))),"")</f>
        <v>2001</v>
      </c>
      <c r="L27" s="496">
        <f t="shared" ref="L27:L50" si="8">IF(K27="","",IF($L$22="Calendar Year",SUMIF($H$9:$H$201,$K27,$B$9:$B$201),SUMIFS($B$9:$B$201,$H$9:$H$201,LEFT($K27,4),$I$9:$I$201,3)+SUMIFS($B$9:$B$201,$H$9:$H$201,LEFT($K27,4),$I$9:$I$201,4)+SUMIFS($B$9:$B$201,$H$9:$H$201,LEFT($K27,4)+1,$I$9:$I$201,1)+SUMIFS($B$9:$B$201,$H$9:$H$201,LEFT($K27,4)+1,$I$9:$I$201,2)))</f>
        <v>50.237000000000002</v>
      </c>
      <c r="M27" s="1200">
        <f t="shared" ref="M27:M50" si="9">IF(K27="","",IF($L$22="Calendar Year",SUMIF($H$9:$H$201,$K27,$C$9:$C$201),SUMIFS($C$9:$C$201,$H$9:$H$201,LEFT($K27,4),$I$9:$I$201,3)+SUMIFS($C$9:$C$201,$H$9:$H$201,LEFT($K27,4),$I$9:$I$201,4)+SUMIFS($C$9:$C$201,$H$9:$H$201,LEFT($K27,4)+1,$I$9:$I$201,1)+SUMIFS($C$9:$C$201,$H$9:$H$201,LEFT($K27,4)+1,$I$9:$I$201,2)))</f>
        <v>120.71054100000001</v>
      </c>
      <c r="N27" s="496">
        <f t="shared" ref="N27:N50" si="10">IF(K27="","",IF($L$22="Calendar Year",SUMIF($H$9:$H$201,$K27,$D$9:$D$201),SUMIFS($D$9:$D$201,$H$9:$H$201,LEFT($K27,4),$I$9:$I$201,3)+SUMIFS($D$9:$D$201,$H$9:$H$201,LEFT($K27,4),$I$9:$I$201,4)+SUMIFS($D$9:$D$201,$H$9:$H$201,LEFT($K27,4)+1,$I$9:$I$201,1)+SUMIFS($D$9:$D$201,$H$9:$H$201,LEFT($K27,4)+1,$I$9:$I$201,2)))</f>
        <v>91.38300000000001</v>
      </c>
      <c r="O27" s="1200">
        <f t="shared" ref="O27:O50" si="11">IF(K27="","",IF($L$22="Calendar Year",SUMIF($H$9:$H$201,$K27,$E$9:$E$201),SUMIFS($E$9:$E$201,$H$9:$H$201,LEFT($K27,4),$I$9:$I$201,3)+SUMIFS($E$9:$E$201,$H$9:$H$201,LEFT($K27,4),$I$9:$I$201,4)+SUMIFS($E$9:$E$201,$H$9:$H$201,LEFT($K27,4)+1,$I$9:$I$201,1)+SUMIFS($E$9:$E$201,$H$9:$H$201,LEFT($K27,4)+1,$I$9:$I$201,2)))</f>
        <v>44.902919000000004</v>
      </c>
      <c r="P27" s="496">
        <f t="shared" ref="P27:P50" si="12">IF(K27="","",IF($L$22="Calendar Year",SUMIF($H$9:$H$201,$K27,$F$9:$F$201),SUMIFS($F$9:$F$201,$H$9:$H$201,LEFT($K27,4),$I$9:$I$201,3)+SUMIFS($F$9:$F$201,$H$9:$H$201,LEFT($K27,4),$I$9:$I$201,4)+SUMIFS($F$9:$F$201,$H$9:$H$201,LEFT($K27,4)+1,$I$9:$I$201,1)+SUMIFS($F$9:$F$201,$H$9:$H$201,LEFT($K27,4)+1,$I$9:$I$201,2)))</f>
        <v>210.83700000000002</v>
      </c>
      <c r="Q27" s="1200">
        <f t="shared" ref="Q27:Q50" si="13">IF(K27="","",IF($L$22="Calendar Year",SUMIF($H$9:$H$201,$K27,$G$9:$G$201),SUMIFS($G$9:$G$201,$H$9:$H$201,LEFT($K27,4),$I$9:$I$201,3)+SUMIFS($G$9:$G$201,$H$9:$H$201,LEFT($K27,4),$I$9:$I$201,4)+SUMIFS($G$9:$G$201,$H$9:$H$201,LEFT($K27,4)+1,$I$9:$I$201,1)+SUMIFS($G$9:$G$201,$H$9:$H$201,LEFT($K27,4)+1,$I$9:$I$201,2)))</f>
        <v>208.71751399999999</v>
      </c>
      <c r="U27" s="3"/>
      <c r="AC27" s="339"/>
      <c r="AD27" s="339"/>
      <c r="AE27" s="339"/>
      <c r="AF27" s="339"/>
      <c r="AG27" s="339"/>
      <c r="AH27" s="339"/>
    </row>
    <row r="28" spans="1:34">
      <c r="A28" s="331">
        <v>38322</v>
      </c>
      <c r="B28" s="493">
        <v>12.341480000000001</v>
      </c>
      <c r="C28" s="332">
        <v>51.820087790000002</v>
      </c>
      <c r="D28" s="493">
        <v>0</v>
      </c>
      <c r="E28" s="332">
        <v>0</v>
      </c>
      <c r="F28" s="493">
        <v>9.9733599999999996</v>
      </c>
      <c r="G28" s="332">
        <v>14.29507703</v>
      </c>
      <c r="H28" s="302">
        <f t="shared" si="0"/>
        <v>2004</v>
      </c>
      <c r="I28" s="302" t="str">
        <f t="shared" si="1"/>
        <v>4</v>
      </c>
      <c r="K28" s="383">
        <f>IFERROR(IF(YEAR(MAX('Data - Monthly Commodity Prices'!$C$9:$C4985))=VALUE(RIGHT(K27,4)),"",IF($L$22="Calendar Year",K27+1,CONCATENATE(LEFT(K27,4)+1,"-",RIGHT(K27,4)+1))),"")</f>
        <v>2002</v>
      </c>
      <c r="L28" s="1428">
        <f t="shared" si="8"/>
        <v>64.286999999999992</v>
      </c>
      <c r="M28" s="1416">
        <f t="shared" si="9"/>
        <v>145.48984000000002</v>
      </c>
      <c r="N28" s="1428">
        <f t="shared" si="10"/>
        <v>70.397000000000006</v>
      </c>
      <c r="O28" s="1416">
        <f t="shared" si="11"/>
        <v>32.690022999999997</v>
      </c>
      <c r="P28" s="1428">
        <f t="shared" si="12"/>
        <v>218.803</v>
      </c>
      <c r="Q28" s="1416">
        <f t="shared" si="13"/>
        <v>173.06411700000001</v>
      </c>
      <c r="AC28" s="339"/>
      <c r="AD28" s="339"/>
      <c r="AE28" s="339"/>
      <c r="AF28" s="339"/>
      <c r="AG28" s="339"/>
      <c r="AH28" s="339"/>
    </row>
    <row r="29" spans="1:34">
      <c r="A29" s="331">
        <v>38412</v>
      </c>
      <c r="B29" s="492">
        <v>10.86936</v>
      </c>
      <c r="C29" s="316">
        <v>46.321934990000003</v>
      </c>
      <c r="D29" s="492">
        <v>1.1496</v>
      </c>
      <c r="E29" s="316">
        <v>1.4617513799999999</v>
      </c>
      <c r="F29" s="492">
        <v>13.123620000000001</v>
      </c>
      <c r="G29" s="316">
        <v>19.535581140000001</v>
      </c>
      <c r="H29" s="302">
        <f t="shared" si="0"/>
        <v>2005</v>
      </c>
      <c r="I29" s="302" t="str">
        <f t="shared" si="1"/>
        <v>1</v>
      </c>
      <c r="K29" s="383">
        <f>IFERROR(IF(YEAR(MAX('Data - Monthly Commodity Prices'!$C$9:$C4986))=VALUE(RIGHT(K28,4)),"",IF($L$22="Calendar Year",K28+1,CONCATENATE(LEFT(K28,4)+1,"-",RIGHT(K28,4)+1))),"")</f>
        <v>2003</v>
      </c>
      <c r="L29" s="496">
        <f t="shared" si="8"/>
        <v>60.176090000000002</v>
      </c>
      <c r="M29" s="1200">
        <f t="shared" si="9"/>
        <v>149.51022373999999</v>
      </c>
      <c r="N29" s="496">
        <f t="shared" si="10"/>
        <v>49.823</v>
      </c>
      <c r="O29" s="1200">
        <f t="shared" si="11"/>
        <v>26.99168792</v>
      </c>
      <c r="P29" s="496">
        <f t="shared" si="12"/>
        <v>148.83994000000001</v>
      </c>
      <c r="Q29" s="1200">
        <f t="shared" si="13"/>
        <v>133.65453486000001</v>
      </c>
      <c r="AC29" s="339"/>
      <c r="AD29" s="339"/>
      <c r="AE29" s="339"/>
      <c r="AF29" s="339"/>
      <c r="AG29" s="339"/>
      <c r="AH29" s="339"/>
    </row>
    <row r="30" spans="1:34">
      <c r="A30" s="331">
        <v>38504</v>
      </c>
      <c r="B30" s="493">
        <v>28.512177000000001</v>
      </c>
      <c r="C30" s="332">
        <v>133.03050275999999</v>
      </c>
      <c r="D30" s="493">
        <v>0</v>
      </c>
      <c r="E30" s="332">
        <v>0</v>
      </c>
      <c r="F30" s="493">
        <v>13.01009</v>
      </c>
      <c r="G30" s="332">
        <v>21.44047909</v>
      </c>
      <c r="H30" s="302">
        <f t="shared" si="0"/>
        <v>2005</v>
      </c>
      <c r="I30" s="302" t="str">
        <f t="shared" si="1"/>
        <v>2</v>
      </c>
      <c r="K30" s="383">
        <f>IFERROR(IF(YEAR(MAX('Data - Monthly Commodity Prices'!$C$9:$C4987))=VALUE(RIGHT(K29,4)),"",IF($L$22="Calendar Year",K29+1,CONCATENATE(LEFT(K29,4)+1,"-",RIGHT(K29,4)+1))),"")</f>
        <v>2004</v>
      </c>
      <c r="L30" s="1428">
        <f t="shared" si="8"/>
        <v>42.260094000000002</v>
      </c>
      <c r="M30" s="1416">
        <f t="shared" si="9"/>
        <v>168.13437594999999</v>
      </c>
      <c r="N30" s="1428">
        <f t="shared" si="10"/>
        <v>1.1747399999999999</v>
      </c>
      <c r="O30" s="1416">
        <f t="shared" si="11"/>
        <v>1.5446158400000001</v>
      </c>
      <c r="P30" s="1428">
        <f t="shared" si="12"/>
        <v>51.78387</v>
      </c>
      <c r="Q30" s="1416">
        <f t="shared" si="13"/>
        <v>71.168342370000005</v>
      </c>
      <c r="AC30" s="339"/>
      <c r="AD30" s="339"/>
      <c r="AE30" s="339"/>
      <c r="AF30" s="339"/>
      <c r="AG30" s="339"/>
      <c r="AH30" s="339"/>
    </row>
    <row r="31" spans="1:34">
      <c r="A31" s="331">
        <v>38596</v>
      </c>
      <c r="B31" s="492">
        <v>23.733232000000001</v>
      </c>
      <c r="C31" s="316">
        <v>130.06300292</v>
      </c>
      <c r="D31" s="492">
        <v>8.9459370000000007</v>
      </c>
      <c r="E31" s="316">
        <v>10.864582990000001</v>
      </c>
      <c r="F31" s="492">
        <v>12.67141</v>
      </c>
      <c r="G31" s="316">
        <v>22.451677100000001</v>
      </c>
      <c r="H31" s="302">
        <f t="shared" si="0"/>
        <v>2005</v>
      </c>
      <c r="I31" s="302" t="str">
        <f t="shared" si="1"/>
        <v>3</v>
      </c>
      <c r="K31" s="383">
        <f>IFERROR(IF(YEAR(MAX('Data - Monthly Commodity Prices'!$C$9:$C4988))=VALUE(RIGHT(K30,4)),"",IF($L$22="Calendar Year",K30+1,CONCATENATE(LEFT(K30,4)+1,"-",RIGHT(K30,4)+1))),"")</f>
        <v>2005</v>
      </c>
      <c r="L31" s="496">
        <f t="shared" si="8"/>
        <v>85.220481000000007</v>
      </c>
      <c r="M31" s="1200">
        <f t="shared" si="9"/>
        <v>471.20839587999996</v>
      </c>
      <c r="N31" s="496">
        <f t="shared" si="10"/>
        <v>28.595314999999999</v>
      </c>
      <c r="O31" s="1200">
        <f t="shared" si="11"/>
        <v>39.773083839999998</v>
      </c>
      <c r="P31" s="496">
        <f t="shared" si="12"/>
        <v>59.104380000000006</v>
      </c>
      <c r="Q31" s="1200">
        <f t="shared" si="13"/>
        <v>126.89531962000001</v>
      </c>
      <c r="AC31" s="339"/>
      <c r="AD31" s="339"/>
      <c r="AE31" s="339"/>
      <c r="AF31" s="339"/>
      <c r="AG31" s="339"/>
      <c r="AH31" s="339"/>
    </row>
    <row r="32" spans="1:34">
      <c r="A32" s="331">
        <v>38687</v>
      </c>
      <c r="B32" s="493">
        <v>22.105712</v>
      </c>
      <c r="C32" s="332">
        <v>161.79295521</v>
      </c>
      <c r="D32" s="493">
        <v>18.499777999999999</v>
      </c>
      <c r="E32" s="332">
        <v>27.44674947</v>
      </c>
      <c r="F32" s="493">
        <v>20.29926</v>
      </c>
      <c r="G32" s="332">
        <v>63.467582290000003</v>
      </c>
      <c r="H32" s="302">
        <f t="shared" si="0"/>
        <v>2005</v>
      </c>
      <c r="I32" s="302" t="str">
        <f t="shared" si="1"/>
        <v>4</v>
      </c>
      <c r="K32" s="383">
        <f>IFERROR(IF(YEAR(MAX('Data - Monthly Commodity Prices'!$C$9:$C4989))=VALUE(RIGHT(K31,4)),"",IF($L$22="Calendar Year",K31+1,CONCATENATE(LEFT(K31,4)+1,"-",RIGHT(K31,4)+1))),"")</f>
        <v>2006</v>
      </c>
      <c r="L32" s="1428">
        <f t="shared" si="8"/>
        <v>99.242470999999995</v>
      </c>
      <c r="M32" s="1416">
        <f t="shared" si="9"/>
        <v>865.00019402999988</v>
      </c>
      <c r="N32" s="1428">
        <f t="shared" si="10"/>
        <v>70.95348899999999</v>
      </c>
      <c r="O32" s="1416">
        <f t="shared" si="11"/>
        <v>127.85454053000001</v>
      </c>
      <c r="P32" s="1428">
        <f t="shared" si="12"/>
        <v>109.06339100000001</v>
      </c>
      <c r="Q32" s="1416">
        <f t="shared" si="13"/>
        <v>491.08046987</v>
      </c>
      <c r="AC32" s="339"/>
      <c r="AD32" s="339"/>
      <c r="AE32" s="339"/>
      <c r="AF32" s="339"/>
      <c r="AG32" s="339"/>
      <c r="AH32" s="339"/>
    </row>
    <row r="33" spans="1:34">
      <c r="A33" s="331">
        <v>38777</v>
      </c>
      <c r="B33" s="492">
        <v>12.024084999999999</v>
      </c>
      <c r="C33" s="316">
        <v>90.567247140000006</v>
      </c>
      <c r="D33" s="492">
        <v>14.169449</v>
      </c>
      <c r="E33" s="316">
        <v>22.678185710000001</v>
      </c>
      <c r="F33" s="492">
        <v>27.308706000000001</v>
      </c>
      <c r="G33" s="316">
        <v>99.958763950000005</v>
      </c>
      <c r="H33" s="302">
        <f t="shared" si="0"/>
        <v>2006</v>
      </c>
      <c r="I33" s="302" t="str">
        <f t="shared" si="1"/>
        <v>1</v>
      </c>
      <c r="K33" s="383">
        <f>IFERROR(IF(YEAR(MAX('Data - Monthly Commodity Prices'!$C$9:$C4990))=VALUE(RIGHT(K32,4)),"",IF($L$22="Calendar Year",K32+1,CONCATENATE(LEFT(K32,4)+1,"-",RIGHT(K32,4)+1))),"")</f>
        <v>2007</v>
      </c>
      <c r="L33" s="496">
        <f t="shared" si="8"/>
        <v>105.40498599999999</v>
      </c>
      <c r="M33" s="1200">
        <f t="shared" si="9"/>
        <v>885.58278529999995</v>
      </c>
      <c r="N33" s="496">
        <f t="shared" si="10"/>
        <v>37.091524999999997</v>
      </c>
      <c r="O33" s="1200">
        <f t="shared" si="11"/>
        <v>96.781479340000004</v>
      </c>
      <c r="P33" s="496">
        <f t="shared" si="12"/>
        <v>173.33780000000002</v>
      </c>
      <c r="Q33" s="1200">
        <f t="shared" si="13"/>
        <v>482.88467758000002</v>
      </c>
      <c r="AC33" s="339"/>
      <c r="AD33" s="339"/>
      <c r="AE33" s="339"/>
      <c r="AF33" s="339"/>
      <c r="AG33" s="339"/>
      <c r="AH33" s="339"/>
    </row>
    <row r="34" spans="1:34">
      <c r="A34" s="331">
        <v>38869</v>
      </c>
      <c r="B34" s="493">
        <v>26.810188</v>
      </c>
      <c r="C34" s="332">
        <v>228.69050462000001</v>
      </c>
      <c r="D34" s="493">
        <v>15.650221999999999</v>
      </c>
      <c r="E34" s="332">
        <v>23.981002220000001</v>
      </c>
      <c r="F34" s="493">
        <v>19.727896999999999</v>
      </c>
      <c r="G34" s="332">
        <v>88.366812190000005</v>
      </c>
      <c r="H34" s="302">
        <f t="shared" si="0"/>
        <v>2006</v>
      </c>
      <c r="I34" s="302" t="str">
        <f t="shared" si="1"/>
        <v>2</v>
      </c>
      <c r="K34" s="383">
        <f>IFERROR(IF(YEAR(MAX('Data - Monthly Commodity Prices'!$C$9:$C4991))=VALUE(RIGHT(K33,4)),"",IF($L$22="Calendar Year",K33+1,CONCATENATE(LEFT(K33,4)+1,"-",RIGHT(K33,4)+1))),"")</f>
        <v>2008</v>
      </c>
      <c r="L34" s="1428">
        <f t="shared" si="8"/>
        <v>119.055948</v>
      </c>
      <c r="M34" s="1416">
        <f t="shared" si="9"/>
        <v>832.51515368000003</v>
      </c>
      <c r="N34" s="1428">
        <f t="shared" si="10"/>
        <v>18.538827999999999</v>
      </c>
      <c r="O34" s="1416">
        <f t="shared" si="11"/>
        <v>28.815419949999999</v>
      </c>
      <c r="P34" s="1428">
        <f t="shared" si="12"/>
        <v>189.81195299999999</v>
      </c>
      <c r="Q34" s="1416">
        <f t="shared" si="13"/>
        <v>293.49248021000005</v>
      </c>
      <c r="AC34" s="339"/>
      <c r="AD34" s="339"/>
      <c r="AE34" s="339"/>
      <c r="AF34" s="339"/>
      <c r="AG34" s="339"/>
      <c r="AH34" s="339"/>
    </row>
    <row r="35" spans="1:34">
      <c r="A35" s="331">
        <v>38961</v>
      </c>
      <c r="B35" s="492">
        <v>24.652287000000001</v>
      </c>
      <c r="C35" s="316">
        <v>230.93300636999999</v>
      </c>
      <c r="D35" s="492">
        <v>19.155919000000001</v>
      </c>
      <c r="E35" s="316">
        <v>33.62997712</v>
      </c>
      <c r="F35" s="492">
        <v>30.505755000000001</v>
      </c>
      <c r="G35" s="316">
        <v>155.48276697</v>
      </c>
      <c r="H35" s="302">
        <f t="shared" si="0"/>
        <v>2006</v>
      </c>
      <c r="I35" s="302" t="str">
        <f t="shared" si="1"/>
        <v>3</v>
      </c>
      <c r="K35" s="383">
        <f>IFERROR(IF(YEAR(MAX('Data - Monthly Commodity Prices'!$C$9:$C4992))=VALUE(RIGHT(K34,4)),"",IF($L$22="Calendar Year",K34+1,CONCATENATE(LEFT(K34,4)+1,"-",RIGHT(K34,4)+1))),"")</f>
        <v>2009</v>
      </c>
      <c r="L35" s="496">
        <f t="shared" si="8"/>
        <v>151.49643399999999</v>
      </c>
      <c r="M35" s="1200">
        <f t="shared" si="9"/>
        <v>933.12328494000008</v>
      </c>
      <c r="N35" s="496">
        <f t="shared" si="10"/>
        <v>22.755433000000004</v>
      </c>
      <c r="O35" s="1200">
        <f t="shared" si="11"/>
        <v>48.874789219999997</v>
      </c>
      <c r="P35" s="496">
        <f t="shared" si="12"/>
        <v>99.811695999999984</v>
      </c>
      <c r="Q35" s="1200">
        <f t="shared" si="13"/>
        <v>215.92451084000001</v>
      </c>
      <c r="AC35" s="339"/>
      <c r="AD35" s="339"/>
      <c r="AE35" s="339"/>
      <c r="AF35" s="339"/>
      <c r="AG35" s="339"/>
      <c r="AH35" s="339"/>
    </row>
    <row r="36" spans="1:34">
      <c r="A36" s="331">
        <v>39052</v>
      </c>
      <c r="B36" s="493">
        <v>35.755910999999998</v>
      </c>
      <c r="C36" s="332">
        <v>314.80943589999998</v>
      </c>
      <c r="D36" s="493">
        <v>21.977899000000001</v>
      </c>
      <c r="E36" s="332">
        <v>47.56537548</v>
      </c>
      <c r="F36" s="493">
        <v>31.521032999999999</v>
      </c>
      <c r="G36" s="332">
        <v>147.27212675999999</v>
      </c>
      <c r="H36" s="302">
        <f t="shared" si="0"/>
        <v>2006</v>
      </c>
      <c r="I36" s="302" t="str">
        <f t="shared" si="1"/>
        <v>4</v>
      </c>
      <c r="K36" s="383">
        <f>IFERROR(IF(YEAR(MAX('Data - Monthly Commodity Prices'!$C$9:$C4993))=VALUE(RIGHT(K35,4)),"",IF($L$22="Calendar Year",K35+1,CONCATENATE(LEFT(K35,4)+1,"-",RIGHT(K35,4)+1))),"")</f>
        <v>2010</v>
      </c>
      <c r="L36" s="1428">
        <f t="shared" si="8"/>
        <v>155.65068099999999</v>
      </c>
      <c r="M36" s="1416">
        <f t="shared" si="9"/>
        <v>1302.14808608</v>
      </c>
      <c r="N36" s="1428">
        <f t="shared" si="10"/>
        <v>52.922928999999996</v>
      </c>
      <c r="O36" s="1416">
        <f t="shared" si="11"/>
        <v>126.64476232</v>
      </c>
      <c r="P36" s="1428">
        <f t="shared" si="12"/>
        <v>81.515219999999999</v>
      </c>
      <c r="Q36" s="1416">
        <f t="shared" si="13"/>
        <v>191.88413472000002</v>
      </c>
      <c r="AC36" s="339"/>
      <c r="AD36" s="339"/>
      <c r="AE36" s="339"/>
      <c r="AF36" s="339"/>
      <c r="AG36" s="339"/>
      <c r="AH36" s="339"/>
    </row>
    <row r="37" spans="1:34">
      <c r="A37" s="331">
        <v>39142</v>
      </c>
      <c r="B37" s="492">
        <v>20.220680000000002</v>
      </c>
      <c r="C37" s="316">
        <v>168.79466108</v>
      </c>
      <c r="D37" s="492">
        <v>15.126576999999999</v>
      </c>
      <c r="E37" s="316">
        <v>36.63672519</v>
      </c>
      <c r="F37" s="492">
        <v>28.006328</v>
      </c>
      <c r="G37" s="316">
        <v>125.448381</v>
      </c>
      <c r="H37" s="302">
        <f t="shared" si="0"/>
        <v>2007</v>
      </c>
      <c r="I37" s="302" t="str">
        <f t="shared" si="1"/>
        <v>1</v>
      </c>
      <c r="K37" s="383">
        <f>IFERROR(IF(YEAR(MAX('Data - Monthly Commodity Prices'!$C$9:$C4994))=VALUE(RIGHT(K36,4)),"",IF($L$22="Calendar Year",K36+1,CONCATENATE(LEFT(K36,4)+1,"-",RIGHT(K36,4)+1))),"")</f>
        <v>2011</v>
      </c>
      <c r="L37" s="496">
        <f t="shared" si="8"/>
        <v>144.95804783199998</v>
      </c>
      <c r="M37" s="1200">
        <f t="shared" si="9"/>
        <v>1195.22360826</v>
      </c>
      <c r="N37" s="496">
        <f t="shared" si="10"/>
        <v>8.3429219999999997</v>
      </c>
      <c r="O37" s="1200">
        <f t="shared" si="11"/>
        <v>19.57646712</v>
      </c>
      <c r="P37" s="496">
        <f t="shared" si="12"/>
        <v>74.400736999999992</v>
      </c>
      <c r="Q37" s="1200">
        <f t="shared" si="13"/>
        <v>153.04113046000001</v>
      </c>
      <c r="AC37" s="339"/>
      <c r="AD37" s="339"/>
      <c r="AE37" s="339"/>
      <c r="AF37" s="339"/>
      <c r="AG37" s="339"/>
      <c r="AH37" s="339"/>
    </row>
    <row r="38" spans="1:34">
      <c r="A38" s="331">
        <v>39234</v>
      </c>
      <c r="B38" s="493">
        <v>28.048957999999999</v>
      </c>
      <c r="C38" s="332">
        <v>237.11961246999999</v>
      </c>
      <c r="D38" s="493">
        <v>3.3026089999999999</v>
      </c>
      <c r="E38" s="332">
        <v>9.9276881899999996</v>
      </c>
      <c r="F38" s="493">
        <v>32.931809000000001</v>
      </c>
      <c r="G38" s="332">
        <v>111.75150897</v>
      </c>
      <c r="H38" s="302">
        <f t="shared" si="0"/>
        <v>2007</v>
      </c>
      <c r="I38" s="302" t="str">
        <f t="shared" si="1"/>
        <v>2</v>
      </c>
      <c r="K38" s="383">
        <f>IFERROR(IF(YEAR(MAX('Data - Monthly Commodity Prices'!$C$9:$C4995))=VALUE(RIGHT(K37,4)),"",IF($L$22="Calendar Year",K37+1,CONCATENATE(LEFT(K37,4)+1,"-",RIGHT(K37,4)+1))),"")</f>
        <v>2012</v>
      </c>
      <c r="L38" s="1428">
        <f t="shared" si="8"/>
        <v>185.75001993699999</v>
      </c>
      <c r="M38" s="1416">
        <f t="shared" si="9"/>
        <v>1370.4501023600001</v>
      </c>
      <c r="N38" s="1428">
        <f t="shared" si="10"/>
        <v>8.135294</v>
      </c>
      <c r="O38" s="1416">
        <f t="shared" si="11"/>
        <v>16.53442321</v>
      </c>
      <c r="P38" s="1428">
        <f t="shared" si="12"/>
        <v>57.112677000000005</v>
      </c>
      <c r="Q38" s="1416">
        <f t="shared" si="13"/>
        <v>107.3024735</v>
      </c>
      <c r="AC38" s="339"/>
      <c r="AD38" s="339"/>
      <c r="AE38" s="339"/>
      <c r="AF38" s="339"/>
      <c r="AG38" s="339"/>
      <c r="AH38" s="339"/>
    </row>
    <row r="39" spans="1:34">
      <c r="A39" s="331">
        <v>39326</v>
      </c>
      <c r="B39" s="492">
        <v>33.598118999999997</v>
      </c>
      <c r="C39" s="316">
        <v>283.00854938999998</v>
      </c>
      <c r="D39" s="492">
        <v>4.5670000000000002</v>
      </c>
      <c r="E39" s="316">
        <v>15.013902440000001</v>
      </c>
      <c r="F39" s="492">
        <v>50.316916999999997</v>
      </c>
      <c r="G39" s="316">
        <v>108.15036569</v>
      </c>
      <c r="H39" s="302">
        <f t="shared" si="0"/>
        <v>2007</v>
      </c>
      <c r="I39" s="302" t="str">
        <f t="shared" si="1"/>
        <v>3</v>
      </c>
      <c r="K39" s="383">
        <f>IFERROR(IF(YEAR(MAX('Data - Monthly Commodity Prices'!$C$9:$C4996))=VALUE(RIGHT(K38,4)),"",IF($L$22="Calendar Year",K38+1,CONCATENATE(LEFT(K38,4)+1,"-",RIGHT(K38,4)+1))),"")</f>
        <v>2013</v>
      </c>
      <c r="L39" s="496">
        <f t="shared" si="8"/>
        <v>216.05661499999999</v>
      </c>
      <c r="M39" s="1200">
        <f t="shared" si="9"/>
        <v>1492.76443623</v>
      </c>
      <c r="N39" s="496">
        <f t="shared" si="10"/>
        <v>52.261510000000001</v>
      </c>
      <c r="O39" s="1200">
        <f t="shared" si="11"/>
        <v>116.05667827000002</v>
      </c>
      <c r="P39" s="496">
        <f t="shared" si="12"/>
        <v>47.985599999999998</v>
      </c>
      <c r="Q39" s="1200">
        <f t="shared" si="13"/>
        <v>96.281335519999999</v>
      </c>
      <c r="AC39" s="339"/>
      <c r="AD39" s="339"/>
      <c r="AE39" s="339"/>
      <c r="AF39" s="339"/>
      <c r="AG39" s="339"/>
      <c r="AH39" s="339"/>
    </row>
    <row r="40" spans="1:34">
      <c r="A40" s="331">
        <v>39417</v>
      </c>
      <c r="B40" s="493">
        <v>23.537229</v>
      </c>
      <c r="C40" s="332">
        <v>196.65996236000001</v>
      </c>
      <c r="D40" s="493">
        <v>14.095338999999999</v>
      </c>
      <c r="E40" s="332">
        <v>35.203163519999997</v>
      </c>
      <c r="F40" s="493">
        <v>62.082746</v>
      </c>
      <c r="G40" s="332">
        <v>137.53442192</v>
      </c>
      <c r="H40" s="302">
        <f t="shared" si="0"/>
        <v>2007</v>
      </c>
      <c r="I40" s="302" t="str">
        <f t="shared" si="1"/>
        <v>4</v>
      </c>
      <c r="K40" s="383">
        <f>IFERROR(IF(YEAR(MAX('Data - Monthly Commodity Prices'!$C$9:$C4997))=VALUE(RIGHT(K39,4)),"",IF($L$22="Calendar Year",K39+1,CONCATENATE(LEFT(K39,4)+1,"-",RIGHT(K39,4)+1))),"")</f>
        <v>2014</v>
      </c>
      <c r="L40" s="1428">
        <f t="shared" si="8"/>
        <v>197.08071799999999</v>
      </c>
      <c r="M40" s="1416">
        <f t="shared" si="9"/>
        <v>1401.6056509999999</v>
      </c>
      <c r="N40" s="1428">
        <f t="shared" si="10"/>
        <v>80.888499999999993</v>
      </c>
      <c r="O40" s="1416">
        <f t="shared" si="11"/>
        <v>184.66242500000001</v>
      </c>
      <c r="P40" s="1428">
        <f t="shared" si="12"/>
        <v>72.763530000000003</v>
      </c>
      <c r="Q40" s="1416">
        <f t="shared" si="13"/>
        <v>173.001879</v>
      </c>
      <c r="AC40" s="339"/>
      <c r="AD40" s="339"/>
      <c r="AE40" s="339"/>
      <c r="AF40" s="339"/>
      <c r="AG40" s="339"/>
      <c r="AH40" s="339"/>
    </row>
    <row r="41" spans="1:34">
      <c r="A41" s="331">
        <v>39508</v>
      </c>
      <c r="B41" s="492">
        <v>33.965018999999998</v>
      </c>
      <c r="C41" s="316">
        <v>281.65695162999998</v>
      </c>
      <c r="D41" s="492">
        <v>3.9412419999999999</v>
      </c>
      <c r="E41" s="316">
        <v>8.3185494999999996</v>
      </c>
      <c r="F41" s="492">
        <v>34.518994999999997</v>
      </c>
      <c r="G41" s="316">
        <v>64.190742040000003</v>
      </c>
      <c r="H41" s="302">
        <f t="shared" si="0"/>
        <v>2008</v>
      </c>
      <c r="I41" s="302" t="str">
        <f t="shared" si="1"/>
        <v>1</v>
      </c>
      <c r="K41" s="383">
        <f>IFERROR(IF(YEAR(MAX('Data - Monthly Commodity Prices'!$C$9:$C4998))=VALUE(RIGHT(K40,4)),"",IF($L$22="Calendar Year",K40+1,CONCATENATE(LEFT(K40,4)+1,"-",RIGHT(K40,4)+1))),"")</f>
        <v>2015</v>
      </c>
      <c r="L41" s="496">
        <f t="shared" si="8"/>
        <v>189.20602099999999</v>
      </c>
      <c r="M41" s="1200">
        <f t="shared" si="9"/>
        <v>1244.427187</v>
      </c>
      <c r="N41" s="496">
        <f t="shared" si="10"/>
        <v>20.259029999999999</v>
      </c>
      <c r="O41" s="1200">
        <f t="shared" si="11"/>
        <v>48.685219000000004</v>
      </c>
      <c r="P41" s="496">
        <f t="shared" si="12"/>
        <v>77.178319999999999</v>
      </c>
      <c r="Q41" s="1200">
        <f t="shared" si="13"/>
        <v>185.219379</v>
      </c>
      <c r="AC41" s="339"/>
      <c r="AD41" s="339"/>
      <c r="AE41" s="339"/>
      <c r="AF41" s="339"/>
      <c r="AG41" s="339"/>
      <c r="AH41" s="339"/>
    </row>
    <row r="42" spans="1:34">
      <c r="A42" s="331">
        <v>39600</v>
      </c>
      <c r="B42" s="493">
        <v>32.261223000000001</v>
      </c>
      <c r="C42" s="332">
        <v>269.80962576000002</v>
      </c>
      <c r="D42" s="493">
        <v>3.247484</v>
      </c>
      <c r="E42" s="332">
        <v>4.7775501199999999</v>
      </c>
      <c r="F42" s="493">
        <v>69.099602000000004</v>
      </c>
      <c r="G42" s="332">
        <v>106.05687184</v>
      </c>
      <c r="H42" s="302">
        <f t="shared" si="0"/>
        <v>2008</v>
      </c>
      <c r="I42" s="302" t="str">
        <f t="shared" si="1"/>
        <v>2</v>
      </c>
      <c r="K42" s="383">
        <f>IFERROR(IF(YEAR(MAX('Data - Monthly Commodity Prices'!$C$9:$C4999))=VALUE(RIGHT(K41,4)),"",IF($L$22="Calendar Year",K41+1,CONCATENATE(LEFT(K41,4)+1,"-",RIGHT(K41,4)+1))),"")</f>
        <v>2016</v>
      </c>
      <c r="L42" s="1428">
        <f t="shared" si="8"/>
        <v>181.53603300000003</v>
      </c>
      <c r="M42" s="1416">
        <f t="shared" si="9"/>
        <v>1188.452888</v>
      </c>
      <c r="N42" s="1415">
        <f t="shared" si="10"/>
        <v>4.76091</v>
      </c>
      <c r="O42" s="1416">
        <f t="shared" si="11"/>
        <v>12.78299</v>
      </c>
      <c r="P42" s="1428">
        <f t="shared" si="12"/>
        <v>94.963539999999995</v>
      </c>
      <c r="Q42" s="1416">
        <f t="shared" si="13"/>
        <v>204.523976</v>
      </c>
      <c r="AC42" s="339"/>
      <c r="AD42" s="339"/>
      <c r="AE42" s="339"/>
      <c r="AF42" s="339"/>
      <c r="AG42" s="339"/>
      <c r="AH42" s="339"/>
    </row>
    <row r="43" spans="1:34">
      <c r="A43" s="331">
        <v>39692</v>
      </c>
      <c r="B43" s="492">
        <v>32.756293999999997</v>
      </c>
      <c r="C43" s="316">
        <v>188.16778449</v>
      </c>
      <c r="D43" s="492">
        <v>6.5189919999999999</v>
      </c>
      <c r="E43" s="316">
        <v>6.9632501600000003</v>
      </c>
      <c r="F43" s="492">
        <v>50.435758999999997</v>
      </c>
      <c r="G43" s="316">
        <v>62.002122460000002</v>
      </c>
      <c r="H43" s="302">
        <f t="shared" si="0"/>
        <v>2008</v>
      </c>
      <c r="I43" s="302" t="str">
        <f t="shared" si="1"/>
        <v>3</v>
      </c>
      <c r="K43" s="383">
        <f>IFERROR(IF(YEAR(MAX('Data - Monthly Commodity Prices'!$C$9:$C5000))=VALUE(RIGHT(K42,4)),"",IF($L$22="Calendar Year",K42+1,CONCATENATE(LEFT(K42,4)+1,"-",RIGHT(K42,4)+1))),"")</f>
        <v>2017</v>
      </c>
      <c r="L43" s="496">
        <f t="shared" si="8"/>
        <v>165.70184799999998</v>
      </c>
      <c r="M43" s="1200">
        <f t="shared" si="9"/>
        <v>1255.6392169999999</v>
      </c>
      <c r="N43" s="496">
        <f t="shared" si="10"/>
        <v>5.9010800000000003</v>
      </c>
      <c r="O43" s="1200">
        <f t="shared" si="11"/>
        <v>18.548734</v>
      </c>
      <c r="P43" s="496">
        <f t="shared" si="12"/>
        <v>84.653807999999998</v>
      </c>
      <c r="Q43" s="1200">
        <f t="shared" si="13"/>
        <v>292.12296500000002</v>
      </c>
      <c r="AC43" s="339"/>
      <c r="AD43" s="339"/>
      <c r="AE43" s="339"/>
      <c r="AF43" s="339"/>
      <c r="AG43" s="339"/>
      <c r="AH43" s="339"/>
    </row>
    <row r="44" spans="1:34">
      <c r="A44" s="331">
        <v>39783</v>
      </c>
      <c r="B44" s="493">
        <v>20.073412000000001</v>
      </c>
      <c r="C44" s="332">
        <v>92.880791799999997</v>
      </c>
      <c r="D44" s="493">
        <v>4.8311099999999998</v>
      </c>
      <c r="E44" s="332">
        <v>8.7560701699999992</v>
      </c>
      <c r="F44" s="493">
        <v>35.757596999999997</v>
      </c>
      <c r="G44" s="332">
        <v>61.242743869999998</v>
      </c>
      <c r="H44" s="302">
        <f t="shared" si="0"/>
        <v>2008</v>
      </c>
      <c r="I44" s="302" t="str">
        <f t="shared" si="1"/>
        <v>4</v>
      </c>
      <c r="K44" s="383">
        <f>IFERROR(IF(YEAR(MAX('Data - Monthly Commodity Prices'!$C$9:$C5001))=VALUE(RIGHT(K43,4)),"",IF($L$22="Calendar Year",K43+1,CONCATENATE(LEFT(K43,4)+1,"-",RIGHT(K43,4)+1))),"")</f>
        <v>2018</v>
      </c>
      <c r="L44" s="1428">
        <f t="shared" si="8"/>
        <v>168.58500300000003</v>
      </c>
      <c r="M44" s="1416">
        <f t="shared" si="9"/>
        <v>1349.702534</v>
      </c>
      <c r="N44" s="1415">
        <f t="shared" si="10"/>
        <v>6.0910000000000011</v>
      </c>
      <c r="O44" s="1416">
        <f t="shared" si="11"/>
        <v>17.155192</v>
      </c>
      <c r="P44" s="1428">
        <f t="shared" si="12"/>
        <v>68.823993000000002</v>
      </c>
      <c r="Q44" s="1416">
        <f t="shared" si="13"/>
        <v>256.93268499999999</v>
      </c>
      <c r="AC44" s="339"/>
      <c r="AD44" s="339"/>
      <c r="AE44" s="339"/>
      <c r="AF44" s="339"/>
      <c r="AG44" s="339"/>
      <c r="AH44" s="339"/>
    </row>
    <row r="45" spans="1:34">
      <c r="A45" s="331">
        <v>39873</v>
      </c>
      <c r="B45" s="492">
        <v>40.978549000000001</v>
      </c>
      <c r="C45" s="316">
        <v>136.36955429</v>
      </c>
      <c r="D45" s="492">
        <v>7.1936819999999999</v>
      </c>
      <c r="E45" s="316">
        <v>12.657921869999999</v>
      </c>
      <c r="F45" s="492">
        <v>47.770938999999998</v>
      </c>
      <c r="G45" s="316">
        <v>92.671081389999998</v>
      </c>
      <c r="H45" s="302">
        <f t="shared" si="0"/>
        <v>2009</v>
      </c>
      <c r="I45" s="302" t="str">
        <f t="shared" si="1"/>
        <v>1</v>
      </c>
      <c r="K45" s="383">
        <f>IFERROR(IF(YEAR(MAX('Data - Monthly Commodity Prices'!$C$9:$C5002))=VALUE(RIGHT(K44,4)),"",IF($L$22="Calendar Year",K44+1,CONCATENATE(LEFT(K44,4)+1,"-",RIGHT(K44,4)+1))),"")</f>
        <v>2019</v>
      </c>
      <c r="L45" s="496">
        <f t="shared" si="8"/>
        <v>171.979285</v>
      </c>
      <c r="M45" s="1200">
        <f t="shared" si="9"/>
        <v>1388.7963300000001</v>
      </c>
      <c r="N45" s="385">
        <f t="shared" si="10"/>
        <v>2.9168000000000003</v>
      </c>
      <c r="O45" s="1200">
        <f t="shared" si="11"/>
        <v>8.3506509999999992</v>
      </c>
      <c r="P45" s="496">
        <f t="shared" si="12"/>
        <v>76.859004999999996</v>
      </c>
      <c r="Q45" s="1200">
        <f t="shared" si="13"/>
        <v>264.655282</v>
      </c>
      <c r="AC45" s="339"/>
      <c r="AD45" s="339"/>
      <c r="AE45" s="339"/>
      <c r="AF45" s="339"/>
      <c r="AG45" s="339"/>
      <c r="AH45" s="339"/>
    </row>
    <row r="46" spans="1:34">
      <c r="A46" s="331">
        <v>39965</v>
      </c>
      <c r="B46" s="493">
        <v>34.424179000000002</v>
      </c>
      <c r="C46" s="332">
        <v>239.30018798</v>
      </c>
      <c r="D46" s="493">
        <v>6.6593210000000003</v>
      </c>
      <c r="E46" s="332">
        <v>13.73808545</v>
      </c>
      <c r="F46" s="493">
        <v>8.6459510000000002</v>
      </c>
      <c r="G46" s="332">
        <v>16.687580570000002</v>
      </c>
      <c r="H46" s="302">
        <f t="shared" si="0"/>
        <v>2009</v>
      </c>
      <c r="I46" s="302" t="str">
        <f t="shared" si="1"/>
        <v>2</v>
      </c>
      <c r="K46" s="383" t="str">
        <f>IFERROR(IF(YEAR(MAX('Data - Monthly Commodity Prices'!$C$9:$C5003))=VALUE(RIGHT(K45,4)),"",IF($L$22="Calendar Year",K45+1,CONCATENATE(LEFT(K45,4)+1,"-",RIGHT(K45,4)+1))),"")</f>
        <v/>
      </c>
      <c r="L46" s="1415" t="str">
        <f t="shared" si="8"/>
        <v/>
      </c>
      <c r="M46" s="1431" t="str">
        <f t="shared" si="9"/>
        <v/>
      </c>
      <c r="N46" s="1415" t="str">
        <f t="shared" si="10"/>
        <v/>
      </c>
      <c r="O46" s="1431" t="str">
        <f t="shared" si="11"/>
        <v/>
      </c>
      <c r="P46" s="1415" t="str">
        <f t="shared" si="12"/>
        <v/>
      </c>
      <c r="Q46" s="1431" t="str">
        <f t="shared" si="13"/>
        <v/>
      </c>
      <c r="AC46" s="339"/>
      <c r="AD46" s="339"/>
      <c r="AE46" s="339"/>
      <c r="AF46" s="339"/>
      <c r="AG46" s="339"/>
      <c r="AH46" s="339"/>
    </row>
    <row r="47" spans="1:34">
      <c r="A47" s="331">
        <v>40057</v>
      </c>
      <c r="B47" s="492">
        <v>29.808917999999998</v>
      </c>
      <c r="C47" s="316">
        <v>227.63924206999999</v>
      </c>
      <c r="D47" s="492">
        <v>0.28944799999999998</v>
      </c>
      <c r="E47" s="316">
        <v>0.78659206000000004</v>
      </c>
      <c r="F47" s="492">
        <v>16.88036</v>
      </c>
      <c r="G47" s="316">
        <v>42.378443079999997</v>
      </c>
      <c r="H47" s="302">
        <f t="shared" si="0"/>
        <v>2009</v>
      </c>
      <c r="I47" s="302" t="str">
        <f t="shared" si="1"/>
        <v>3</v>
      </c>
      <c r="K47" s="383" t="str">
        <f>IFERROR(IF(YEAR(MAX('Data - Monthly Commodity Prices'!$C$9:$C5004))=VALUE(RIGHT(K46,4)),"",IF($L$22="Calendar Year",K46+1,CONCATENATE(LEFT(K46,4)+1,"-",RIGHT(K46,4)+1))),"")</f>
        <v/>
      </c>
      <c r="L47" s="385" t="str">
        <f t="shared" si="8"/>
        <v/>
      </c>
      <c r="M47" s="386" t="str">
        <f t="shared" si="9"/>
        <v/>
      </c>
      <c r="N47" s="385" t="str">
        <f t="shared" si="10"/>
        <v/>
      </c>
      <c r="O47" s="386" t="str">
        <f t="shared" si="11"/>
        <v/>
      </c>
      <c r="P47" s="385" t="str">
        <f t="shared" si="12"/>
        <v/>
      </c>
      <c r="Q47" s="386" t="str">
        <f t="shared" si="13"/>
        <v/>
      </c>
      <c r="AC47" s="339"/>
      <c r="AD47" s="339"/>
      <c r="AE47" s="339"/>
      <c r="AF47" s="339"/>
      <c r="AG47" s="339"/>
      <c r="AH47" s="339"/>
    </row>
    <row r="48" spans="1:34">
      <c r="A48" s="331">
        <v>40148</v>
      </c>
      <c r="B48" s="493">
        <v>46.284787999999999</v>
      </c>
      <c r="C48" s="332">
        <v>329.81430060000002</v>
      </c>
      <c r="D48" s="493">
        <v>8.6129820000000006</v>
      </c>
      <c r="E48" s="332">
        <v>21.692189840000001</v>
      </c>
      <c r="F48" s="493">
        <v>26.514446</v>
      </c>
      <c r="G48" s="332">
        <v>64.187405799999993</v>
      </c>
      <c r="H48" s="302">
        <f t="shared" si="0"/>
        <v>2009</v>
      </c>
      <c r="I48" s="302" t="str">
        <f t="shared" si="1"/>
        <v>4</v>
      </c>
      <c r="K48" s="383" t="str">
        <f>IFERROR(IF(YEAR(MAX('Data - Monthly Commodity Prices'!$C$9:$C5005))=VALUE(RIGHT(K47,4)),"",IF($L$22="Calendar Year",K47+1,CONCATENATE(LEFT(K47,4)+1,"-",RIGHT(K47,4)+1))),"")</f>
        <v/>
      </c>
      <c r="L48" s="1415" t="str">
        <f t="shared" si="8"/>
        <v/>
      </c>
      <c r="M48" s="1431" t="str">
        <f t="shared" si="9"/>
        <v/>
      </c>
      <c r="N48" s="1415" t="str">
        <f t="shared" si="10"/>
        <v/>
      </c>
      <c r="O48" s="1431" t="str">
        <f t="shared" si="11"/>
        <v/>
      </c>
      <c r="P48" s="1415" t="str">
        <f t="shared" si="12"/>
        <v/>
      </c>
      <c r="Q48" s="1431" t="str">
        <f t="shared" si="13"/>
        <v/>
      </c>
      <c r="AC48" s="339"/>
      <c r="AD48" s="339"/>
      <c r="AE48" s="339"/>
      <c r="AF48" s="339"/>
      <c r="AG48" s="339"/>
      <c r="AH48" s="339"/>
    </row>
    <row r="49" spans="1:34">
      <c r="A49" s="331">
        <v>40238</v>
      </c>
      <c r="B49" s="492">
        <v>39.983745999999996</v>
      </c>
      <c r="C49" s="316">
        <v>322.31750172</v>
      </c>
      <c r="D49" s="492">
        <v>7.012308</v>
      </c>
      <c r="E49" s="316">
        <v>17.37599844</v>
      </c>
      <c r="F49" s="492">
        <v>8.6564560000000004</v>
      </c>
      <c r="G49" s="316">
        <v>22.647604449999999</v>
      </c>
      <c r="H49" s="302">
        <f t="shared" si="0"/>
        <v>2010</v>
      </c>
      <c r="I49" s="302" t="str">
        <f t="shared" si="1"/>
        <v>1</v>
      </c>
      <c r="K49" s="383" t="str">
        <f>IFERROR(IF(YEAR(MAX('Data - Monthly Commodity Prices'!$C$9:$C5006))=VALUE(RIGHT(K48,4)),"",IF($L$22="Calendar Year",K48+1,CONCATENATE(LEFT(K48,4)+1,"-",RIGHT(K48,4)+1))),"")</f>
        <v/>
      </c>
      <c r="L49" s="385" t="str">
        <f t="shared" si="8"/>
        <v/>
      </c>
      <c r="M49" s="386" t="str">
        <f t="shared" si="9"/>
        <v/>
      </c>
      <c r="N49" s="385" t="str">
        <f t="shared" si="10"/>
        <v/>
      </c>
      <c r="O49" s="386" t="str">
        <f t="shared" si="11"/>
        <v/>
      </c>
      <c r="P49" s="385" t="str">
        <f t="shared" si="12"/>
        <v/>
      </c>
      <c r="Q49" s="386" t="str">
        <f t="shared" si="13"/>
        <v/>
      </c>
      <c r="AC49" s="339"/>
      <c r="AD49" s="339"/>
      <c r="AE49" s="339"/>
      <c r="AF49" s="339"/>
      <c r="AG49" s="339"/>
      <c r="AH49" s="339"/>
    </row>
    <row r="50" spans="1:34" ht="15.75" thickBot="1">
      <c r="A50" s="331">
        <v>40330</v>
      </c>
      <c r="B50" s="493">
        <v>35.885897</v>
      </c>
      <c r="C50" s="332">
        <v>292.70540636999999</v>
      </c>
      <c r="D50" s="493">
        <v>10.096719999999999</v>
      </c>
      <c r="E50" s="332">
        <v>21.700185579999999</v>
      </c>
      <c r="F50" s="493">
        <v>35.507662000000003</v>
      </c>
      <c r="G50" s="332">
        <v>80.905283100000005</v>
      </c>
      <c r="H50" s="302">
        <f t="shared" si="0"/>
        <v>2010</v>
      </c>
      <c r="I50" s="302" t="str">
        <f t="shared" si="1"/>
        <v>2</v>
      </c>
      <c r="K50" s="384" t="str">
        <f>IFERROR(IF(YEAR(MAX('Data - Monthly Commodity Prices'!$C$9:$C5007))=VALUE(RIGHT(K49,4)),"",IF($L$22="Calendar Year",K49+1,CONCATENATE(LEFT(K49,4)+1,"-",RIGHT(K49,4)+1))),"")</f>
        <v/>
      </c>
      <c r="L50" s="1419" t="str">
        <f t="shared" si="8"/>
        <v/>
      </c>
      <c r="M50" s="1430" t="str">
        <f t="shared" si="9"/>
        <v/>
      </c>
      <c r="N50" s="1419" t="str">
        <f t="shared" si="10"/>
        <v/>
      </c>
      <c r="O50" s="1430" t="str">
        <f t="shared" si="11"/>
        <v/>
      </c>
      <c r="P50" s="1419" t="str">
        <f t="shared" si="12"/>
        <v/>
      </c>
      <c r="Q50" s="1430" t="str">
        <f t="shared" si="13"/>
        <v/>
      </c>
      <c r="AC50" s="339"/>
      <c r="AD50" s="339"/>
      <c r="AE50" s="339"/>
      <c r="AF50" s="339"/>
      <c r="AG50" s="339"/>
      <c r="AH50" s="339"/>
    </row>
    <row r="51" spans="1:34">
      <c r="A51" s="331">
        <v>40422</v>
      </c>
      <c r="B51" s="492">
        <v>36.742528999999998</v>
      </c>
      <c r="C51" s="316">
        <v>292.37399484999997</v>
      </c>
      <c r="D51" s="492">
        <v>18.800816999999999</v>
      </c>
      <c r="E51" s="316">
        <v>45.276855220000002</v>
      </c>
      <c r="F51" s="492">
        <v>17.518726999999998</v>
      </c>
      <c r="G51" s="316">
        <v>42.093774359999998</v>
      </c>
      <c r="H51" s="302">
        <f t="shared" si="0"/>
        <v>2010</v>
      </c>
      <c r="I51" s="302" t="str">
        <f t="shared" si="1"/>
        <v>3</v>
      </c>
      <c r="AC51" s="339"/>
      <c r="AD51" s="339"/>
      <c r="AE51" s="339"/>
      <c r="AF51" s="339"/>
      <c r="AG51" s="339"/>
      <c r="AH51" s="339"/>
    </row>
    <row r="52" spans="1:34">
      <c r="A52" s="331">
        <v>40513</v>
      </c>
      <c r="B52" s="493">
        <v>43.038508999999998</v>
      </c>
      <c r="C52" s="332">
        <v>394.75118314000002</v>
      </c>
      <c r="D52" s="493">
        <v>17.013083999999999</v>
      </c>
      <c r="E52" s="332">
        <v>42.291723079999997</v>
      </c>
      <c r="F52" s="493">
        <v>19.832374999999999</v>
      </c>
      <c r="G52" s="332">
        <v>46.23747281</v>
      </c>
      <c r="H52" s="302">
        <f t="shared" si="0"/>
        <v>2010</v>
      </c>
      <c r="I52" s="302" t="str">
        <f t="shared" si="1"/>
        <v>4</v>
      </c>
      <c r="AC52" s="339"/>
      <c r="AD52" s="339"/>
      <c r="AE52" s="339"/>
      <c r="AF52" s="339"/>
      <c r="AG52" s="339"/>
      <c r="AH52" s="339"/>
    </row>
    <row r="53" spans="1:34">
      <c r="A53" s="331">
        <v>40603</v>
      </c>
      <c r="B53" s="492">
        <v>36.091535</v>
      </c>
      <c r="C53" s="316">
        <v>356.02338121000003</v>
      </c>
      <c r="D53" s="492">
        <v>2.5361099999999999</v>
      </c>
      <c r="E53" s="316">
        <v>6.5025722000000004</v>
      </c>
      <c r="F53" s="492">
        <v>15.705038999999999</v>
      </c>
      <c r="G53" s="316">
        <v>37.563437639999997</v>
      </c>
      <c r="H53" s="302">
        <f t="shared" si="0"/>
        <v>2011</v>
      </c>
      <c r="I53" s="302" t="str">
        <f t="shared" si="1"/>
        <v>1</v>
      </c>
      <c r="AC53" s="339"/>
      <c r="AD53" s="339"/>
      <c r="AE53" s="339"/>
      <c r="AF53" s="339"/>
      <c r="AG53" s="339"/>
      <c r="AH53" s="339"/>
    </row>
    <row r="54" spans="1:34">
      <c r="A54" s="331">
        <v>40695</v>
      </c>
      <c r="B54" s="493">
        <v>34.157747999999998</v>
      </c>
      <c r="C54" s="332">
        <v>289.20759103</v>
      </c>
      <c r="D54" s="493">
        <v>2.4136899999999999</v>
      </c>
      <c r="E54" s="332">
        <v>5.9973186299999997</v>
      </c>
      <c r="F54" s="493">
        <v>17.480404</v>
      </c>
      <c r="G54" s="332">
        <v>36.213579729999999</v>
      </c>
      <c r="H54" s="302">
        <f t="shared" si="0"/>
        <v>2011</v>
      </c>
      <c r="I54" s="302" t="str">
        <f t="shared" si="1"/>
        <v>2</v>
      </c>
      <c r="AC54" s="339"/>
      <c r="AD54" s="339"/>
      <c r="AE54" s="339"/>
      <c r="AF54" s="339"/>
      <c r="AG54" s="339"/>
      <c r="AH54" s="339"/>
    </row>
    <row r="55" spans="1:34">
      <c r="A55" s="331">
        <v>40787</v>
      </c>
      <c r="B55" s="492">
        <v>39.834222885000003</v>
      </c>
      <c r="C55" s="316">
        <v>306.99842307</v>
      </c>
      <c r="D55" s="492">
        <v>0</v>
      </c>
      <c r="E55" s="316">
        <v>0</v>
      </c>
      <c r="F55" s="492">
        <v>15.565058000000001</v>
      </c>
      <c r="G55" s="316">
        <v>30.27872494</v>
      </c>
      <c r="H55" s="302">
        <f t="shared" si="0"/>
        <v>2011</v>
      </c>
      <c r="I55" s="302" t="str">
        <f t="shared" si="1"/>
        <v>3</v>
      </c>
      <c r="AC55" s="339"/>
      <c r="AD55" s="339"/>
      <c r="AE55" s="339"/>
      <c r="AF55" s="339"/>
      <c r="AG55" s="339"/>
      <c r="AH55" s="339"/>
    </row>
    <row r="56" spans="1:34">
      <c r="A56" s="331">
        <v>40878</v>
      </c>
      <c r="B56" s="493">
        <v>34.874541946999997</v>
      </c>
      <c r="C56" s="332">
        <v>242.99421294999999</v>
      </c>
      <c r="D56" s="493">
        <v>3.393122</v>
      </c>
      <c r="E56" s="332">
        <v>7.0765762900000002</v>
      </c>
      <c r="F56" s="493">
        <v>25.650236</v>
      </c>
      <c r="G56" s="332">
        <v>48.985388149999999</v>
      </c>
      <c r="H56" s="302">
        <f t="shared" si="0"/>
        <v>2011</v>
      </c>
      <c r="I56" s="302" t="str">
        <f t="shared" si="1"/>
        <v>4</v>
      </c>
      <c r="AC56" s="339"/>
      <c r="AD56" s="339"/>
      <c r="AE56" s="339"/>
      <c r="AF56" s="339"/>
      <c r="AG56" s="339"/>
      <c r="AH56" s="339"/>
    </row>
    <row r="57" spans="1:34">
      <c r="A57" s="331">
        <v>40969</v>
      </c>
      <c r="B57" s="492">
        <v>41.897940028999997</v>
      </c>
      <c r="C57" s="316">
        <v>305.30757376000003</v>
      </c>
      <c r="D57" s="492">
        <v>1.789914</v>
      </c>
      <c r="E57" s="316">
        <v>3.49851972</v>
      </c>
      <c r="F57" s="492">
        <v>15.587477</v>
      </c>
      <c r="G57" s="316">
        <v>29.91564674</v>
      </c>
      <c r="H57" s="302">
        <f t="shared" si="0"/>
        <v>2012</v>
      </c>
      <c r="I57" s="302" t="str">
        <f t="shared" si="1"/>
        <v>1</v>
      </c>
      <c r="M57" s="798"/>
      <c r="N57" s="798"/>
      <c r="AC57" s="339"/>
      <c r="AD57" s="339"/>
      <c r="AE57" s="339"/>
      <c r="AF57" s="339"/>
      <c r="AG57" s="339"/>
      <c r="AH57" s="339"/>
    </row>
    <row r="58" spans="1:34">
      <c r="A58" s="331">
        <v>41061</v>
      </c>
      <c r="B58" s="493">
        <v>42.564607090999999</v>
      </c>
      <c r="C58" s="332">
        <v>325.47948958000001</v>
      </c>
      <c r="D58" s="493">
        <v>1.7386699999999999</v>
      </c>
      <c r="E58" s="332">
        <v>3.26473462</v>
      </c>
      <c r="F58" s="493">
        <v>6.7004299999999999</v>
      </c>
      <c r="G58" s="332">
        <v>12.804450170000001</v>
      </c>
      <c r="H58" s="302">
        <f t="shared" si="0"/>
        <v>2012</v>
      </c>
      <c r="I58" s="302" t="str">
        <f t="shared" si="1"/>
        <v>2</v>
      </c>
      <c r="AC58" s="339"/>
      <c r="AD58" s="339"/>
      <c r="AE58" s="339"/>
      <c r="AF58" s="339"/>
      <c r="AG58" s="339"/>
      <c r="AH58" s="339"/>
    </row>
    <row r="59" spans="1:34">
      <c r="A59" s="331">
        <v>41153</v>
      </c>
      <c r="B59" s="492">
        <v>43.906038315000004</v>
      </c>
      <c r="C59" s="316">
        <v>302.55236682999998</v>
      </c>
      <c r="D59" s="492">
        <v>1.63544</v>
      </c>
      <c r="E59" s="316">
        <v>3.39103544</v>
      </c>
      <c r="F59" s="492">
        <v>23.52028</v>
      </c>
      <c r="G59" s="316">
        <v>43.076269709999998</v>
      </c>
      <c r="H59" s="302">
        <f t="shared" si="0"/>
        <v>2012</v>
      </c>
      <c r="I59" s="302" t="str">
        <f t="shared" si="1"/>
        <v>3</v>
      </c>
      <c r="AC59" s="339"/>
      <c r="AD59" s="339"/>
      <c r="AE59" s="339"/>
      <c r="AF59" s="339"/>
      <c r="AG59" s="339"/>
      <c r="AH59" s="339"/>
    </row>
    <row r="60" spans="1:34">
      <c r="A60" s="331">
        <v>41244</v>
      </c>
      <c r="B60" s="493">
        <v>57.381434501999998</v>
      </c>
      <c r="C60" s="332">
        <v>437.11067219</v>
      </c>
      <c r="D60" s="493">
        <v>2.9712700000000001</v>
      </c>
      <c r="E60" s="332">
        <v>6.3801334299999999</v>
      </c>
      <c r="F60" s="493">
        <v>11.304489999999999</v>
      </c>
      <c r="G60" s="332">
        <v>21.506106880000001</v>
      </c>
      <c r="H60" s="302">
        <f t="shared" si="0"/>
        <v>2012</v>
      </c>
      <c r="I60" s="302" t="str">
        <f t="shared" si="1"/>
        <v>4</v>
      </c>
      <c r="AC60" s="339"/>
      <c r="AD60" s="339"/>
      <c r="AE60" s="339"/>
      <c r="AF60" s="339"/>
      <c r="AG60" s="339"/>
      <c r="AH60" s="339"/>
    </row>
    <row r="61" spans="1:34">
      <c r="A61" s="331">
        <v>41334</v>
      </c>
      <c r="B61" s="492">
        <v>63.868406999999998</v>
      </c>
      <c r="C61" s="316">
        <v>384.64021300000002</v>
      </c>
      <c r="D61" s="492">
        <v>0</v>
      </c>
      <c r="E61" s="316">
        <v>0</v>
      </c>
      <c r="F61" s="492">
        <v>10.36923</v>
      </c>
      <c r="G61" s="316">
        <v>19.329680150000002</v>
      </c>
      <c r="H61" s="302">
        <f t="shared" si="0"/>
        <v>2013</v>
      </c>
      <c r="I61" s="302" t="str">
        <f t="shared" si="1"/>
        <v>1</v>
      </c>
      <c r="AC61" s="339"/>
      <c r="AD61" s="339"/>
      <c r="AE61" s="339"/>
      <c r="AF61" s="339"/>
      <c r="AG61" s="339"/>
      <c r="AH61" s="339"/>
    </row>
    <row r="62" spans="1:34">
      <c r="A62" s="331">
        <v>41426</v>
      </c>
      <c r="B62" s="493">
        <v>44.110455000000002</v>
      </c>
      <c r="C62" s="332">
        <v>298.74030239000001</v>
      </c>
      <c r="D62" s="493">
        <v>12.034129999999999</v>
      </c>
      <c r="E62" s="332">
        <v>25.278355810000001</v>
      </c>
      <c r="F62" s="493">
        <v>10.65368</v>
      </c>
      <c r="G62" s="332">
        <v>19.955856069999999</v>
      </c>
      <c r="H62" s="302">
        <f t="shared" si="0"/>
        <v>2013</v>
      </c>
      <c r="I62" s="302" t="str">
        <f t="shared" si="1"/>
        <v>2</v>
      </c>
      <c r="AC62" s="339"/>
      <c r="AD62" s="339"/>
      <c r="AE62" s="339"/>
      <c r="AF62" s="339"/>
      <c r="AG62" s="339"/>
      <c r="AH62" s="339"/>
    </row>
    <row r="63" spans="1:34">
      <c r="A63" s="331">
        <v>41518</v>
      </c>
      <c r="B63" s="492">
        <v>59.303640999999999</v>
      </c>
      <c r="C63" s="316">
        <v>441.96587915999999</v>
      </c>
      <c r="D63" s="492">
        <v>19.257619999999999</v>
      </c>
      <c r="E63" s="316">
        <v>44.064206650000003</v>
      </c>
      <c r="F63" s="492">
        <v>9.9487000000000005</v>
      </c>
      <c r="G63" s="316">
        <v>20.48916023</v>
      </c>
      <c r="H63" s="302">
        <f t="shared" si="0"/>
        <v>2013</v>
      </c>
      <c r="I63" s="302" t="str">
        <f t="shared" si="1"/>
        <v>3</v>
      </c>
      <c r="AC63" s="339"/>
      <c r="AD63" s="339"/>
      <c r="AE63" s="339"/>
      <c r="AF63" s="339"/>
      <c r="AG63" s="339"/>
      <c r="AH63" s="339"/>
    </row>
    <row r="64" spans="1:34">
      <c r="A64" s="331">
        <v>41609</v>
      </c>
      <c r="B64" s="493">
        <v>48.774112000000002</v>
      </c>
      <c r="C64" s="332">
        <v>367.41804167999999</v>
      </c>
      <c r="D64" s="493">
        <v>20.969760000000001</v>
      </c>
      <c r="E64" s="332">
        <v>46.714115810000003</v>
      </c>
      <c r="F64" s="493">
        <v>17.01399</v>
      </c>
      <c r="G64" s="332">
        <v>36.506639069999999</v>
      </c>
      <c r="H64" s="302">
        <f t="shared" si="0"/>
        <v>2013</v>
      </c>
      <c r="I64" s="302" t="str">
        <f t="shared" si="1"/>
        <v>4</v>
      </c>
      <c r="AC64" s="339"/>
      <c r="AD64" s="339"/>
      <c r="AE64" s="339"/>
      <c r="AF64" s="339"/>
      <c r="AG64" s="339"/>
      <c r="AH64" s="339"/>
    </row>
    <row r="65" spans="1:34">
      <c r="A65" s="331">
        <v>41699</v>
      </c>
      <c r="B65" s="492">
        <v>55.770699</v>
      </c>
      <c r="C65" s="316">
        <v>415.81929000000002</v>
      </c>
      <c r="D65" s="492">
        <v>16.971529999999998</v>
      </c>
      <c r="E65" s="316">
        <v>39.460067000000002</v>
      </c>
      <c r="F65" s="492">
        <v>14.580270000000001</v>
      </c>
      <c r="G65" s="316">
        <v>33.067428999999997</v>
      </c>
      <c r="H65" s="302">
        <f t="shared" si="0"/>
        <v>2014</v>
      </c>
      <c r="I65" s="302" t="str">
        <f t="shared" si="1"/>
        <v>1</v>
      </c>
      <c r="AC65" s="339"/>
      <c r="AD65" s="339"/>
      <c r="AE65" s="339"/>
      <c r="AF65" s="339"/>
      <c r="AG65" s="339"/>
      <c r="AH65" s="339"/>
    </row>
    <row r="66" spans="1:34">
      <c r="A66" s="331">
        <v>41791</v>
      </c>
      <c r="B66" s="493">
        <v>47.337870000000002</v>
      </c>
      <c r="C66" s="332">
        <v>334.36239899999998</v>
      </c>
      <c r="D66" s="493">
        <v>21.451799999999999</v>
      </c>
      <c r="E66" s="332">
        <v>48.525669000000001</v>
      </c>
      <c r="F66" s="493">
        <v>12.517329999999999</v>
      </c>
      <c r="G66" s="332">
        <v>28.198347999999999</v>
      </c>
      <c r="H66" s="302">
        <f t="shared" si="0"/>
        <v>2014</v>
      </c>
      <c r="I66" s="302" t="str">
        <f t="shared" si="1"/>
        <v>2</v>
      </c>
      <c r="AC66" s="339"/>
      <c r="AD66" s="339"/>
      <c r="AE66" s="339"/>
      <c r="AF66" s="339"/>
      <c r="AG66" s="339"/>
      <c r="AH66" s="339"/>
    </row>
    <row r="67" spans="1:34">
      <c r="A67" s="331">
        <v>41883</v>
      </c>
      <c r="B67" s="492">
        <v>37.452018000000002</v>
      </c>
      <c r="C67" s="316">
        <v>266.114981</v>
      </c>
      <c r="D67" s="492">
        <v>18.383560000000003</v>
      </c>
      <c r="E67" s="316">
        <v>41.064086000000003</v>
      </c>
      <c r="F67" s="492">
        <v>12.253399999999999</v>
      </c>
      <c r="G67" s="316">
        <v>30.285149000000001</v>
      </c>
      <c r="H67" s="302">
        <f t="shared" si="0"/>
        <v>2014</v>
      </c>
      <c r="I67" s="302" t="str">
        <f t="shared" si="1"/>
        <v>3</v>
      </c>
      <c r="AC67" s="339"/>
      <c r="AD67" s="339"/>
      <c r="AE67" s="339"/>
      <c r="AF67" s="339"/>
      <c r="AG67" s="339"/>
      <c r="AH67" s="339"/>
    </row>
    <row r="68" spans="1:34">
      <c r="A68" s="331">
        <v>41974</v>
      </c>
      <c r="B68" s="493">
        <v>56.520130999999999</v>
      </c>
      <c r="C68" s="332">
        <v>385.30898100000002</v>
      </c>
      <c r="D68" s="493">
        <v>24.081610000000001</v>
      </c>
      <c r="E68" s="332">
        <v>55.612603</v>
      </c>
      <c r="F68" s="493">
        <v>33.412529999999997</v>
      </c>
      <c r="G68" s="332">
        <v>81.450952999999998</v>
      </c>
      <c r="H68" s="302">
        <f t="shared" si="0"/>
        <v>2014</v>
      </c>
      <c r="I68" s="302" t="str">
        <f t="shared" si="1"/>
        <v>4</v>
      </c>
      <c r="AC68" s="339"/>
      <c r="AD68" s="339"/>
      <c r="AE68" s="339"/>
      <c r="AF68" s="339"/>
      <c r="AG68" s="339"/>
      <c r="AH68" s="339"/>
    </row>
    <row r="69" spans="1:34">
      <c r="A69" s="331">
        <v>42064</v>
      </c>
      <c r="B69" s="492">
        <v>38.671419</v>
      </c>
      <c r="C69" s="316">
        <v>273.34245900000002</v>
      </c>
      <c r="D69" s="492">
        <v>15.08001</v>
      </c>
      <c r="E69" s="316">
        <v>36.501576</v>
      </c>
      <c r="F69" s="492">
        <v>8.1486499999999999</v>
      </c>
      <c r="G69" s="316">
        <v>22.29665</v>
      </c>
      <c r="H69" s="302">
        <f t="shared" si="0"/>
        <v>2015</v>
      </c>
      <c r="I69" s="302" t="str">
        <f t="shared" si="1"/>
        <v>1</v>
      </c>
      <c r="AC69" s="339"/>
      <c r="AD69" s="339"/>
      <c r="AE69" s="339"/>
      <c r="AF69" s="339"/>
      <c r="AG69" s="339"/>
      <c r="AH69" s="339"/>
    </row>
    <row r="70" spans="1:34">
      <c r="A70" s="331">
        <v>42156</v>
      </c>
      <c r="B70" s="493">
        <v>51.851329000000007</v>
      </c>
      <c r="C70" s="332">
        <v>358.28037599999999</v>
      </c>
      <c r="D70" s="493">
        <v>1.7032400000000001</v>
      </c>
      <c r="E70" s="332">
        <v>3.7713969999999999</v>
      </c>
      <c r="F70" s="493">
        <v>24.016330000000004</v>
      </c>
      <c r="G70" s="332">
        <v>63.007654000000002</v>
      </c>
      <c r="H70" s="302">
        <f t="shared" si="0"/>
        <v>2015</v>
      </c>
      <c r="I70" s="302" t="str">
        <f t="shared" si="1"/>
        <v>2</v>
      </c>
      <c r="AC70" s="339"/>
      <c r="AD70" s="339"/>
      <c r="AE70" s="339"/>
      <c r="AF70" s="339"/>
      <c r="AG70" s="339"/>
      <c r="AH70" s="339"/>
    </row>
    <row r="71" spans="1:34">
      <c r="A71" s="331">
        <v>42248</v>
      </c>
      <c r="B71" s="492">
        <v>47.839148999999999</v>
      </c>
      <c r="C71" s="316">
        <v>308.55401000000001</v>
      </c>
      <c r="D71" s="492">
        <v>1.8742699999999999</v>
      </c>
      <c r="E71" s="316">
        <v>4.3930509999999998</v>
      </c>
      <c r="F71" s="492">
        <v>20.545400000000001</v>
      </c>
      <c r="G71" s="316">
        <v>49.244045999999997</v>
      </c>
      <c r="H71" s="302">
        <f t="shared" si="0"/>
        <v>2015</v>
      </c>
      <c r="I71" s="302" t="str">
        <f t="shared" si="1"/>
        <v>3</v>
      </c>
      <c r="AC71" s="339"/>
      <c r="AD71" s="339"/>
      <c r="AE71" s="339"/>
      <c r="AF71" s="339"/>
      <c r="AG71" s="339"/>
      <c r="AH71" s="339"/>
    </row>
    <row r="72" spans="1:34">
      <c r="A72" s="331">
        <v>42339</v>
      </c>
      <c r="B72" s="493">
        <v>50.844124000000001</v>
      </c>
      <c r="C72" s="332">
        <v>304.25034199999999</v>
      </c>
      <c r="D72" s="493">
        <v>1.60151</v>
      </c>
      <c r="E72" s="332">
        <v>4.0191949999999999</v>
      </c>
      <c r="F72" s="493">
        <v>24.467940000000002</v>
      </c>
      <c r="G72" s="332">
        <v>50.671028999999997</v>
      </c>
      <c r="H72" s="302">
        <f t="shared" si="0"/>
        <v>2015</v>
      </c>
      <c r="I72" s="302" t="str">
        <f t="shared" si="1"/>
        <v>4</v>
      </c>
      <c r="AC72" s="339"/>
      <c r="AD72" s="339"/>
      <c r="AE72" s="339"/>
      <c r="AF72" s="339"/>
      <c r="AG72" s="339"/>
      <c r="AH72" s="339"/>
    </row>
    <row r="73" spans="1:34">
      <c r="A73" s="331">
        <v>42430</v>
      </c>
      <c r="B73" s="492">
        <v>49.264921000000001</v>
      </c>
      <c r="C73" s="316">
        <v>313.77903400000002</v>
      </c>
      <c r="D73" s="492">
        <v>1.2788199999999998</v>
      </c>
      <c r="E73" s="316">
        <v>3.204637</v>
      </c>
      <c r="F73" s="492">
        <v>20.972740000000002</v>
      </c>
      <c r="G73" s="316">
        <v>50.677760999999997</v>
      </c>
      <c r="H73" s="302">
        <f t="shared" si="0"/>
        <v>2016</v>
      </c>
      <c r="I73" s="302" t="str">
        <f t="shared" si="1"/>
        <v>1</v>
      </c>
      <c r="AD73" s="71"/>
      <c r="AF73" s="71"/>
      <c r="AH73" s="71"/>
    </row>
    <row r="74" spans="1:34">
      <c r="A74" s="331">
        <v>42522</v>
      </c>
      <c r="B74" s="493">
        <v>42.326561999999996</v>
      </c>
      <c r="C74" s="332">
        <v>254.67870099999999</v>
      </c>
      <c r="D74" s="493">
        <v>1.2334000000000001</v>
      </c>
      <c r="E74" s="332">
        <v>3.1937120000000001</v>
      </c>
      <c r="F74" s="493">
        <v>16.689859999999999</v>
      </c>
      <c r="G74" s="332">
        <v>44.901617000000002</v>
      </c>
      <c r="H74" s="302">
        <f t="shared" ref="H74:H137" si="14">YEAR(A74)</f>
        <v>2016</v>
      </c>
      <c r="I74" s="302" t="str">
        <f t="shared" ref="I74:I137" si="15">IF(MONTH(A74)=3,"1",IF(MONTH(A74)=6,"2",IF(MONTH(A74)=9,"3","4")))</f>
        <v>2</v>
      </c>
      <c r="AD74" s="71"/>
      <c r="AF74" s="71"/>
      <c r="AH74" s="71"/>
    </row>
    <row r="75" spans="1:34">
      <c r="A75" s="331">
        <v>42614</v>
      </c>
      <c r="B75" s="492">
        <v>39.905644000000002</v>
      </c>
      <c r="C75" s="316">
        <v>251.52089699999999</v>
      </c>
      <c r="D75" s="492">
        <v>1.00857</v>
      </c>
      <c r="E75" s="316">
        <v>2.7969390000000001</v>
      </c>
      <c r="F75" s="492">
        <v>17.261869999999998</v>
      </c>
      <c r="G75" s="316">
        <v>36.058556000000003</v>
      </c>
      <c r="H75" s="302">
        <f t="shared" si="14"/>
        <v>2016</v>
      </c>
      <c r="I75" s="302" t="str">
        <f t="shared" si="15"/>
        <v>3</v>
      </c>
      <c r="AD75" s="71"/>
      <c r="AF75" s="71"/>
      <c r="AH75" s="71"/>
    </row>
    <row r="76" spans="1:34">
      <c r="A76" s="331">
        <v>42705</v>
      </c>
      <c r="B76" s="493">
        <v>50.038906000000019</v>
      </c>
      <c r="C76" s="332">
        <v>368.47425600000003</v>
      </c>
      <c r="D76" s="493">
        <v>1.2401199999999999</v>
      </c>
      <c r="E76" s="332">
        <v>3.5877020000000002</v>
      </c>
      <c r="F76" s="493">
        <v>40.039070000000002</v>
      </c>
      <c r="G76" s="332">
        <v>72.886042000000003</v>
      </c>
      <c r="H76" s="302">
        <f t="shared" si="14"/>
        <v>2016</v>
      </c>
      <c r="I76" s="302" t="str">
        <f t="shared" si="15"/>
        <v>4</v>
      </c>
      <c r="AD76" s="71"/>
      <c r="AF76" s="71"/>
      <c r="AH76" s="71"/>
    </row>
    <row r="77" spans="1:34">
      <c r="A77" s="331">
        <v>42795</v>
      </c>
      <c r="B77" s="492">
        <v>37.568610999999997</v>
      </c>
      <c r="C77" s="316">
        <v>272.32097399999998</v>
      </c>
      <c r="D77" s="492">
        <v>1.2587899999999999</v>
      </c>
      <c r="E77" s="316">
        <v>3.762076</v>
      </c>
      <c r="F77" s="492">
        <v>13.381470000000002</v>
      </c>
      <c r="G77" s="316">
        <v>47.819059000000003</v>
      </c>
      <c r="H77" s="302">
        <f t="shared" si="14"/>
        <v>2017</v>
      </c>
      <c r="I77" s="302" t="str">
        <f t="shared" si="15"/>
        <v>1</v>
      </c>
      <c r="AD77" s="71"/>
      <c r="AF77" s="71"/>
      <c r="AH77" s="71"/>
    </row>
    <row r="78" spans="1:34">
      <c r="A78" s="331">
        <v>42887</v>
      </c>
      <c r="B78" s="493">
        <v>43.217053999999997</v>
      </c>
      <c r="C78" s="332">
        <v>348.21192200000002</v>
      </c>
      <c r="D78" s="493">
        <v>0</v>
      </c>
      <c r="E78" s="332">
        <v>0</v>
      </c>
      <c r="F78" s="493">
        <v>12.260249999999999</v>
      </c>
      <c r="G78" s="332">
        <v>47.397601999999999</v>
      </c>
      <c r="H78" s="302">
        <f t="shared" si="14"/>
        <v>2017</v>
      </c>
      <c r="I78" s="302" t="str">
        <f t="shared" si="15"/>
        <v>2</v>
      </c>
      <c r="AD78" s="71"/>
      <c r="AF78" s="71"/>
      <c r="AH78" s="71"/>
    </row>
    <row r="79" spans="1:34">
      <c r="A79" s="331">
        <v>42979</v>
      </c>
      <c r="B79" s="492">
        <v>37.138071000000004</v>
      </c>
      <c r="C79" s="316">
        <v>293.21190100000001</v>
      </c>
      <c r="D79" s="492">
        <v>1.1292500000000001</v>
      </c>
      <c r="E79" s="316">
        <v>3.5253899999999998</v>
      </c>
      <c r="F79" s="492">
        <v>16.669619999999998</v>
      </c>
      <c r="G79" s="316">
        <v>68.630502000000007</v>
      </c>
      <c r="H79" s="302">
        <f t="shared" si="14"/>
        <v>2017</v>
      </c>
      <c r="I79" s="302" t="str">
        <f t="shared" si="15"/>
        <v>3</v>
      </c>
      <c r="X79" s="342"/>
      <c r="Y79" s="342"/>
      <c r="AD79" s="71"/>
      <c r="AF79" s="71"/>
      <c r="AH79" s="71"/>
    </row>
    <row r="80" spans="1:34">
      <c r="A80" s="331">
        <v>43070</v>
      </c>
      <c r="B80" s="493">
        <v>47.778112</v>
      </c>
      <c r="C80" s="332">
        <v>341.89442000000003</v>
      </c>
      <c r="D80" s="493">
        <v>3.5130400000000002</v>
      </c>
      <c r="E80" s="332">
        <v>11.261267999999999</v>
      </c>
      <c r="F80" s="493">
        <v>42.342468000000004</v>
      </c>
      <c r="G80" s="332">
        <v>128.275802</v>
      </c>
      <c r="H80" s="302">
        <f t="shared" si="14"/>
        <v>2017</v>
      </c>
      <c r="I80" s="302" t="str">
        <f t="shared" si="15"/>
        <v>4</v>
      </c>
      <c r="U80" s="342"/>
      <c r="V80" s="342"/>
      <c r="W80" s="342"/>
      <c r="X80" s="342"/>
      <c r="Y80" s="342"/>
      <c r="AD80" s="71"/>
      <c r="AF80" s="71"/>
      <c r="AH80" s="71"/>
    </row>
    <row r="81" spans="1:34">
      <c r="A81" s="331">
        <v>43160</v>
      </c>
      <c r="B81" s="492">
        <v>38.299224000000002</v>
      </c>
      <c r="C81" s="316">
        <v>319.68186700000001</v>
      </c>
      <c r="D81" s="492">
        <v>1.4896500000000001</v>
      </c>
      <c r="E81" s="316">
        <v>4.653346</v>
      </c>
      <c r="F81" s="492">
        <v>13.238009999999999</v>
      </c>
      <c r="G81" s="316">
        <v>53.165086000000002</v>
      </c>
      <c r="H81" s="302">
        <f t="shared" si="14"/>
        <v>2018</v>
      </c>
      <c r="I81" s="302" t="str">
        <f t="shared" si="15"/>
        <v>1</v>
      </c>
      <c r="K81" s="342"/>
      <c r="L81" s="342"/>
      <c r="M81" s="342"/>
      <c r="N81" s="342"/>
      <c r="O81" s="342"/>
      <c r="P81" s="342"/>
      <c r="Q81" s="342"/>
      <c r="R81" s="342"/>
      <c r="S81" s="342"/>
      <c r="T81" s="342"/>
      <c r="U81" s="343"/>
      <c r="V81" s="341"/>
      <c r="W81" s="341"/>
      <c r="X81" s="342"/>
      <c r="Y81" s="342"/>
      <c r="AD81" s="71"/>
      <c r="AF81" s="71"/>
      <c r="AH81" s="71"/>
    </row>
    <row r="82" spans="1:34">
      <c r="A82" s="331">
        <v>43252</v>
      </c>
      <c r="B82" s="493">
        <v>50.858215999999999</v>
      </c>
      <c r="C82" s="332">
        <v>393.01018299999998</v>
      </c>
      <c r="D82" s="1526">
        <v>1.2653399999999999</v>
      </c>
      <c r="E82" s="332">
        <v>3.359219</v>
      </c>
      <c r="F82" s="1526">
        <v>21.123189</v>
      </c>
      <c r="G82" s="1527">
        <v>73.433008000000001</v>
      </c>
      <c r="H82" s="302">
        <f t="shared" si="14"/>
        <v>2018</v>
      </c>
      <c r="I82" s="302" t="str">
        <f t="shared" si="15"/>
        <v>2</v>
      </c>
      <c r="K82" s="342"/>
      <c r="L82" s="342"/>
      <c r="M82" s="342"/>
      <c r="N82" s="342"/>
      <c r="O82" s="342"/>
      <c r="P82" s="342"/>
      <c r="Q82" s="342"/>
      <c r="R82" s="342"/>
      <c r="S82" s="342"/>
      <c r="T82" s="342"/>
      <c r="U82" s="343"/>
      <c r="V82" s="342"/>
      <c r="W82" s="342"/>
      <c r="X82" s="342"/>
      <c r="Y82" s="342"/>
      <c r="AD82" s="71"/>
      <c r="AF82" s="71"/>
      <c r="AH82" s="71"/>
    </row>
    <row r="83" spans="1:34">
      <c r="A83" s="331">
        <v>43344</v>
      </c>
      <c r="B83" s="492">
        <v>32.559367000000002</v>
      </c>
      <c r="C83" s="1525">
        <v>256.02528999999998</v>
      </c>
      <c r="D83" s="492">
        <v>1.6848399999999999</v>
      </c>
      <c r="E83" s="1525">
        <v>4.6596440000000001</v>
      </c>
      <c r="F83" s="492">
        <v>16.817429000000001</v>
      </c>
      <c r="G83" s="316">
        <v>60.621699</v>
      </c>
      <c r="H83" s="302">
        <f t="shared" si="14"/>
        <v>2018</v>
      </c>
      <c r="I83" s="302" t="str">
        <f t="shared" si="15"/>
        <v>3</v>
      </c>
      <c r="K83" s="342"/>
      <c r="L83" s="342"/>
      <c r="M83" s="342"/>
      <c r="N83" s="342"/>
      <c r="O83" s="342"/>
      <c r="P83" s="342"/>
      <c r="Q83" s="342"/>
      <c r="R83" s="342"/>
      <c r="S83" s="342"/>
      <c r="T83" s="342"/>
      <c r="U83" s="343"/>
      <c r="V83" s="342"/>
      <c r="W83" s="342"/>
      <c r="X83" s="342"/>
      <c r="Y83" s="342"/>
      <c r="AD83" s="71"/>
      <c r="AF83" s="71"/>
      <c r="AH83" s="71"/>
    </row>
    <row r="84" spans="1:34">
      <c r="A84" s="331">
        <v>43435</v>
      </c>
      <c r="B84" s="493">
        <v>46.868195999999998</v>
      </c>
      <c r="C84" s="332">
        <v>380.98519399999998</v>
      </c>
      <c r="D84" s="1526">
        <v>1.65117</v>
      </c>
      <c r="E84" s="332">
        <v>4.4829829999999999</v>
      </c>
      <c r="F84" s="1526">
        <v>17.645365000000002</v>
      </c>
      <c r="G84" s="1527">
        <v>69.712891999999997</v>
      </c>
      <c r="H84" s="302">
        <f t="shared" si="14"/>
        <v>2018</v>
      </c>
      <c r="I84" s="302" t="str">
        <f t="shared" si="15"/>
        <v>4</v>
      </c>
      <c r="K84" s="342"/>
      <c r="L84" s="342"/>
      <c r="M84" s="342"/>
      <c r="N84" s="342"/>
      <c r="O84" s="342"/>
      <c r="P84" s="342"/>
      <c r="Q84" s="342"/>
      <c r="R84" s="342"/>
      <c r="S84" s="342"/>
      <c r="T84" s="342"/>
      <c r="U84" s="342"/>
      <c r="V84" s="342"/>
      <c r="W84" s="342"/>
      <c r="X84" s="342"/>
      <c r="Y84" s="342"/>
      <c r="AD84" s="71"/>
      <c r="AF84" s="71"/>
      <c r="AH84" s="71"/>
    </row>
    <row r="85" spans="1:34">
      <c r="A85" s="331">
        <v>43525</v>
      </c>
      <c r="B85" s="492">
        <v>43.970934999999997</v>
      </c>
      <c r="C85" s="1525">
        <v>365.21410900000001</v>
      </c>
      <c r="D85" s="492">
        <v>1.516</v>
      </c>
      <c r="E85" s="1525">
        <v>4.2015500000000001</v>
      </c>
      <c r="F85" s="492">
        <v>17.548237</v>
      </c>
      <c r="G85" s="316">
        <v>68.160379000000006</v>
      </c>
      <c r="H85" s="302">
        <f t="shared" si="14"/>
        <v>2019</v>
      </c>
      <c r="I85" s="302" t="str">
        <f t="shared" si="15"/>
        <v>1</v>
      </c>
      <c r="K85" s="342"/>
      <c r="L85" s="342"/>
      <c r="M85" s="342"/>
      <c r="N85" s="342"/>
      <c r="O85" s="342"/>
      <c r="P85" s="342"/>
      <c r="Q85" s="342"/>
      <c r="R85" s="342"/>
      <c r="S85" s="342"/>
      <c r="T85" s="342"/>
      <c r="U85" s="342"/>
      <c r="V85" s="342"/>
      <c r="W85" s="342"/>
      <c r="X85" s="342"/>
      <c r="Y85" s="342"/>
      <c r="AD85" s="71"/>
      <c r="AF85" s="71"/>
      <c r="AH85" s="71"/>
    </row>
    <row r="86" spans="1:34">
      <c r="A86" s="331">
        <v>43617</v>
      </c>
      <c r="B86" s="493">
        <v>38.939019999999999</v>
      </c>
      <c r="C86" s="332">
        <v>317.37378799999999</v>
      </c>
      <c r="D86" s="1526">
        <v>0</v>
      </c>
      <c r="E86" s="332">
        <v>0</v>
      </c>
      <c r="F86" s="1526">
        <v>19.393622000000001</v>
      </c>
      <c r="G86" s="1527">
        <v>64.667732999999998</v>
      </c>
      <c r="H86" s="302">
        <f t="shared" si="14"/>
        <v>2019</v>
      </c>
      <c r="I86" s="302" t="str">
        <f t="shared" si="15"/>
        <v>2</v>
      </c>
      <c r="K86" s="342"/>
      <c r="L86" s="342"/>
      <c r="M86" s="342"/>
      <c r="N86" s="342"/>
      <c r="O86" s="342"/>
      <c r="P86" s="342"/>
      <c r="Q86" s="342"/>
      <c r="R86" s="342"/>
      <c r="S86" s="342"/>
      <c r="T86" s="342"/>
      <c r="U86" s="342"/>
      <c r="V86" s="342"/>
      <c r="W86" s="342"/>
      <c r="X86" s="342"/>
      <c r="Y86" s="342"/>
      <c r="AD86" s="71"/>
      <c r="AF86" s="71"/>
      <c r="AH86" s="71"/>
    </row>
    <row r="87" spans="1:34">
      <c r="A87" s="331">
        <v>43709</v>
      </c>
      <c r="B87" s="492">
        <v>44.654243000000001</v>
      </c>
      <c r="C87" s="1525">
        <v>355.04918199999997</v>
      </c>
      <c r="D87" s="492">
        <v>1.4008</v>
      </c>
      <c r="E87" s="1525">
        <v>4.1491009999999999</v>
      </c>
      <c r="F87" s="492">
        <v>12.946899000000002</v>
      </c>
      <c r="G87" s="316">
        <v>44.009948000000001</v>
      </c>
      <c r="H87" s="302">
        <f t="shared" si="14"/>
        <v>2019</v>
      </c>
      <c r="I87" s="302" t="str">
        <f t="shared" si="15"/>
        <v>3</v>
      </c>
      <c r="K87" s="342"/>
      <c r="L87" s="344"/>
      <c r="M87" s="344"/>
      <c r="N87" s="342"/>
      <c r="O87" s="342"/>
      <c r="P87" s="342"/>
      <c r="Q87" s="342"/>
      <c r="R87" s="342"/>
      <c r="S87" s="342"/>
      <c r="T87" s="342"/>
      <c r="U87" s="342"/>
      <c r="V87" s="342"/>
      <c r="W87" s="342"/>
      <c r="X87" s="342"/>
      <c r="Y87" s="342"/>
      <c r="AD87" s="71"/>
      <c r="AF87" s="71"/>
      <c r="AH87" s="71"/>
    </row>
    <row r="88" spans="1:34" ht="15.75" thickBot="1">
      <c r="A88" s="1638">
        <v>43800</v>
      </c>
      <c r="B88" s="493">
        <v>44.415087000000007</v>
      </c>
      <c r="C88" s="332">
        <v>351.15925099999998</v>
      </c>
      <c r="D88" s="1526">
        <v>0</v>
      </c>
      <c r="E88" s="332">
        <v>0</v>
      </c>
      <c r="F88" s="1526">
        <v>26.970247000000001</v>
      </c>
      <c r="G88" s="1527">
        <v>87.817222000000001</v>
      </c>
      <c r="H88" s="302">
        <f t="shared" si="14"/>
        <v>2019</v>
      </c>
      <c r="I88" s="302" t="str">
        <f t="shared" si="15"/>
        <v>4</v>
      </c>
      <c r="K88" s="342"/>
      <c r="L88" s="345"/>
      <c r="M88" s="345"/>
      <c r="N88" s="343"/>
      <c r="O88" s="343"/>
      <c r="P88" s="343"/>
      <c r="Q88" s="343"/>
      <c r="R88" s="343"/>
      <c r="S88" s="343"/>
      <c r="T88" s="343"/>
      <c r="U88" s="342"/>
      <c r="V88" s="342"/>
      <c r="W88" s="342"/>
      <c r="X88" s="342"/>
      <c r="Y88" s="342"/>
      <c r="AD88" s="71"/>
      <c r="AF88" s="71"/>
      <c r="AH88" s="71"/>
    </row>
    <row r="89" spans="1:34">
      <c r="A89" s="1639"/>
      <c r="B89" s="1639"/>
      <c r="C89" s="1640"/>
      <c r="D89" s="1641"/>
      <c r="E89" s="1640"/>
      <c r="F89" s="1641"/>
      <c r="G89" s="1640"/>
      <c r="H89" s="302">
        <f t="shared" si="14"/>
        <v>1900</v>
      </c>
      <c r="I89" s="302" t="str">
        <f t="shared" si="15"/>
        <v>4</v>
      </c>
      <c r="K89" s="342"/>
      <c r="L89" s="345"/>
      <c r="M89" s="345"/>
      <c r="N89" s="343"/>
      <c r="O89" s="343"/>
      <c r="P89" s="343"/>
      <c r="Q89" s="343"/>
      <c r="R89" s="343"/>
      <c r="S89" s="343"/>
      <c r="T89" s="343"/>
      <c r="U89" s="342"/>
      <c r="V89" s="342"/>
      <c r="W89" s="342"/>
      <c r="X89" s="342"/>
      <c r="Y89" s="342"/>
      <c r="AD89" s="71"/>
      <c r="AF89" s="71"/>
      <c r="AH89" s="71"/>
    </row>
    <row r="90" spans="1:34">
      <c r="C90" s="71"/>
      <c r="D90" s="407"/>
      <c r="E90" s="71"/>
      <c r="F90" s="407"/>
      <c r="G90" s="71"/>
      <c r="H90" s="302">
        <f t="shared" si="14"/>
        <v>1900</v>
      </c>
      <c r="I90" s="302" t="str">
        <f t="shared" si="15"/>
        <v>4</v>
      </c>
      <c r="K90" s="342"/>
      <c r="L90" s="345"/>
      <c r="M90" s="345"/>
      <c r="N90" s="343"/>
      <c r="O90" s="343"/>
      <c r="P90" s="343"/>
      <c r="Q90" s="343"/>
      <c r="R90" s="343"/>
      <c r="S90" s="343"/>
      <c r="T90" s="343"/>
      <c r="U90" s="342"/>
      <c r="V90" s="342"/>
      <c r="W90" s="342"/>
      <c r="X90" s="342"/>
      <c r="Y90" s="342"/>
      <c r="AD90" s="71"/>
      <c r="AF90" s="71"/>
      <c r="AH90" s="71"/>
    </row>
    <row r="91" spans="1:34">
      <c r="C91" s="71"/>
      <c r="D91" s="407"/>
      <c r="E91" s="71"/>
      <c r="F91" s="407"/>
      <c r="G91" s="71"/>
      <c r="H91" s="302">
        <f t="shared" si="14"/>
        <v>1900</v>
      </c>
      <c r="I91" s="302" t="str">
        <f t="shared" si="15"/>
        <v>4</v>
      </c>
      <c r="K91" s="342"/>
      <c r="L91" s="342"/>
      <c r="M91" s="342"/>
      <c r="N91" s="342"/>
      <c r="O91" s="342"/>
      <c r="P91" s="342"/>
      <c r="Q91" s="342"/>
      <c r="R91" s="342"/>
      <c r="S91" s="342"/>
      <c r="T91" s="342"/>
      <c r="U91" s="342"/>
      <c r="V91" s="342"/>
      <c r="W91" s="342"/>
      <c r="X91" s="342"/>
      <c r="Y91" s="342"/>
      <c r="AD91" s="71"/>
      <c r="AF91" s="71"/>
      <c r="AH91" s="71"/>
    </row>
    <row r="92" spans="1:34">
      <c r="C92" s="71"/>
      <c r="D92" s="407"/>
      <c r="E92" s="71"/>
      <c r="F92" s="407"/>
      <c r="G92" s="71"/>
      <c r="H92" s="302">
        <f t="shared" si="14"/>
        <v>1900</v>
      </c>
      <c r="I92" s="302" t="str">
        <f t="shared" si="15"/>
        <v>4</v>
      </c>
      <c r="K92" s="342"/>
      <c r="L92" s="342"/>
      <c r="M92" s="342"/>
      <c r="N92" s="342"/>
      <c r="O92" s="342"/>
      <c r="P92" s="342"/>
      <c r="Q92" s="342"/>
      <c r="R92" s="342"/>
      <c r="S92" s="342"/>
      <c r="T92" s="342"/>
      <c r="U92" s="342"/>
      <c r="V92" s="342"/>
      <c r="W92" s="342"/>
      <c r="X92" s="342"/>
      <c r="Y92" s="342"/>
      <c r="AD92" s="71"/>
      <c r="AF92" s="71"/>
      <c r="AH92" s="71"/>
    </row>
    <row r="93" spans="1:34">
      <c r="C93" s="71"/>
      <c r="D93" s="407"/>
      <c r="E93" s="71"/>
      <c r="F93" s="407"/>
      <c r="G93" s="71"/>
      <c r="H93" s="302">
        <f t="shared" si="14"/>
        <v>1900</v>
      </c>
      <c r="I93" s="302" t="str">
        <f t="shared" si="15"/>
        <v>4</v>
      </c>
      <c r="K93" s="342"/>
      <c r="L93" s="342"/>
      <c r="M93" s="342"/>
      <c r="N93" s="342"/>
      <c r="O93" s="342"/>
      <c r="P93" s="342"/>
      <c r="Q93" s="342"/>
      <c r="R93" s="342"/>
      <c r="S93" s="342"/>
      <c r="T93" s="342"/>
      <c r="U93" s="342"/>
      <c r="V93" s="342"/>
      <c r="W93" s="342"/>
      <c r="X93" s="342"/>
      <c r="Y93" s="342"/>
      <c r="AD93" s="71"/>
      <c r="AF93" s="71"/>
      <c r="AH93" s="71"/>
    </row>
    <row r="94" spans="1:34">
      <c r="C94" s="71"/>
      <c r="D94" s="407"/>
      <c r="E94" s="71"/>
      <c r="F94" s="407"/>
      <c r="G94" s="71"/>
      <c r="H94" s="302">
        <f t="shared" si="14"/>
        <v>1900</v>
      </c>
      <c r="I94" s="302" t="str">
        <f t="shared" si="15"/>
        <v>4</v>
      </c>
      <c r="K94" s="342"/>
      <c r="L94" s="342"/>
      <c r="M94" s="342"/>
      <c r="N94" s="342"/>
      <c r="O94" s="342"/>
      <c r="P94" s="342"/>
      <c r="Q94" s="342"/>
      <c r="R94" s="342"/>
      <c r="S94" s="342"/>
      <c r="T94" s="342"/>
      <c r="U94" s="342"/>
      <c r="V94" s="342"/>
      <c r="W94" s="342"/>
      <c r="X94" s="342"/>
      <c r="Y94" s="342"/>
      <c r="AD94" s="71"/>
      <c r="AF94" s="71"/>
      <c r="AH94" s="71"/>
    </row>
    <row r="95" spans="1:34">
      <c r="C95" s="71"/>
      <c r="D95" s="407"/>
      <c r="E95" s="71"/>
      <c r="F95" s="407"/>
      <c r="G95" s="71"/>
      <c r="H95" s="302">
        <f t="shared" si="14"/>
        <v>1900</v>
      </c>
      <c r="I95" s="302" t="str">
        <f t="shared" si="15"/>
        <v>4</v>
      </c>
      <c r="K95" s="342"/>
      <c r="L95" s="342"/>
      <c r="M95" s="342"/>
      <c r="N95" s="342"/>
      <c r="O95" s="342"/>
      <c r="P95" s="342"/>
      <c r="Q95" s="342"/>
      <c r="R95" s="342"/>
      <c r="S95" s="342"/>
      <c r="T95" s="342"/>
      <c r="U95" s="342"/>
      <c r="V95" s="342"/>
      <c r="W95" s="342"/>
      <c r="X95" s="342"/>
      <c r="Y95" s="342"/>
      <c r="AD95" s="71"/>
      <c r="AF95" s="71"/>
      <c r="AH95" s="71"/>
    </row>
    <row r="96" spans="1:34">
      <c r="C96" s="71"/>
      <c r="D96" s="407"/>
      <c r="E96" s="71"/>
      <c r="F96" s="407"/>
      <c r="G96" s="71"/>
      <c r="H96" s="302">
        <f t="shared" si="14"/>
        <v>1900</v>
      </c>
      <c r="I96" s="302" t="str">
        <f t="shared" si="15"/>
        <v>4</v>
      </c>
      <c r="K96" s="342"/>
      <c r="L96" s="342"/>
      <c r="M96" s="342"/>
      <c r="N96" s="342"/>
      <c r="O96" s="342"/>
      <c r="P96" s="342"/>
      <c r="Q96" s="342"/>
      <c r="R96" s="342"/>
      <c r="S96" s="342"/>
      <c r="T96" s="342"/>
      <c r="U96" s="342"/>
      <c r="V96" s="342"/>
      <c r="W96" s="342"/>
      <c r="X96" s="342"/>
      <c r="Y96" s="342"/>
      <c r="AD96" s="71"/>
      <c r="AF96" s="71"/>
      <c r="AH96" s="71"/>
    </row>
    <row r="97" spans="3:34">
      <c r="C97" s="71"/>
      <c r="D97" s="407"/>
      <c r="E97" s="71"/>
      <c r="F97" s="407"/>
      <c r="G97" s="71"/>
      <c r="H97" s="302">
        <f t="shared" si="14"/>
        <v>1900</v>
      </c>
      <c r="I97" s="302" t="str">
        <f t="shared" si="15"/>
        <v>4</v>
      </c>
      <c r="U97" s="342"/>
      <c r="V97" s="342"/>
      <c r="W97" s="342"/>
      <c r="AD97" s="71"/>
      <c r="AF97" s="71"/>
      <c r="AH97" s="71"/>
    </row>
    <row r="98" spans="3:34">
      <c r="C98" s="71"/>
      <c r="D98" s="407"/>
      <c r="E98" s="71"/>
      <c r="F98" s="407"/>
      <c r="G98" s="71"/>
      <c r="H98" s="302">
        <f t="shared" si="14"/>
        <v>1900</v>
      </c>
      <c r="I98" s="302" t="str">
        <f t="shared" si="15"/>
        <v>4</v>
      </c>
      <c r="AD98" s="71"/>
      <c r="AF98" s="71"/>
      <c r="AH98" s="71"/>
    </row>
    <row r="99" spans="3:34">
      <c r="C99" s="71"/>
      <c r="D99" s="407"/>
      <c r="E99" s="71"/>
      <c r="F99" s="407"/>
      <c r="G99" s="71"/>
      <c r="H99" s="302">
        <f t="shared" si="14"/>
        <v>1900</v>
      </c>
      <c r="I99" s="302" t="str">
        <f t="shared" si="15"/>
        <v>4</v>
      </c>
      <c r="AD99" s="71"/>
      <c r="AF99" s="71"/>
      <c r="AH99" s="71"/>
    </row>
    <row r="100" spans="3:34">
      <c r="C100" s="71"/>
      <c r="D100" s="407"/>
      <c r="E100" s="71"/>
      <c r="F100" s="407"/>
      <c r="G100" s="71"/>
      <c r="H100" s="302">
        <f t="shared" si="14"/>
        <v>1900</v>
      </c>
      <c r="I100" s="302" t="str">
        <f t="shared" si="15"/>
        <v>4</v>
      </c>
      <c r="AD100" s="71"/>
      <c r="AF100" s="71"/>
      <c r="AH100" s="71"/>
    </row>
    <row r="101" spans="3:34">
      <c r="C101" s="71"/>
      <c r="D101" s="407"/>
      <c r="E101" s="71"/>
      <c r="F101" s="407"/>
      <c r="G101" s="71"/>
      <c r="H101" s="302">
        <f t="shared" si="14"/>
        <v>1900</v>
      </c>
      <c r="I101" s="302" t="str">
        <f t="shared" si="15"/>
        <v>4</v>
      </c>
      <c r="AD101" s="71"/>
      <c r="AF101" s="71"/>
      <c r="AH101" s="71"/>
    </row>
    <row r="102" spans="3:34">
      <c r="C102" s="71"/>
      <c r="D102" s="407"/>
      <c r="E102" s="71"/>
      <c r="F102" s="407"/>
      <c r="G102" s="71"/>
      <c r="H102" s="302">
        <f t="shared" si="14"/>
        <v>1900</v>
      </c>
      <c r="I102" s="302" t="str">
        <f t="shared" si="15"/>
        <v>4</v>
      </c>
      <c r="AD102" s="71"/>
      <c r="AF102" s="71"/>
      <c r="AH102" s="71"/>
    </row>
    <row r="103" spans="3:34">
      <c r="C103" s="71"/>
      <c r="D103" s="407"/>
      <c r="E103" s="71"/>
      <c r="F103" s="407"/>
      <c r="G103" s="71"/>
      <c r="H103" s="302">
        <f t="shared" si="14"/>
        <v>1900</v>
      </c>
      <c r="I103" s="302" t="str">
        <f t="shared" si="15"/>
        <v>4</v>
      </c>
      <c r="AD103" s="71"/>
      <c r="AF103" s="71"/>
      <c r="AH103" s="71"/>
    </row>
    <row r="104" spans="3:34">
      <c r="C104" s="71"/>
      <c r="D104" s="407"/>
      <c r="E104" s="71"/>
      <c r="F104" s="407"/>
      <c r="G104" s="71"/>
      <c r="H104" s="302">
        <f t="shared" si="14"/>
        <v>1900</v>
      </c>
      <c r="I104" s="302" t="str">
        <f t="shared" si="15"/>
        <v>4</v>
      </c>
      <c r="AD104" s="71"/>
      <c r="AF104" s="71"/>
      <c r="AH104" s="71"/>
    </row>
    <row r="105" spans="3:34">
      <c r="C105" s="71"/>
      <c r="D105" s="407"/>
      <c r="E105" s="71"/>
      <c r="F105" s="407"/>
      <c r="G105" s="71"/>
      <c r="H105" s="302">
        <f t="shared" si="14"/>
        <v>1900</v>
      </c>
      <c r="I105" s="302" t="str">
        <f t="shared" si="15"/>
        <v>4</v>
      </c>
      <c r="AD105" s="71"/>
      <c r="AF105" s="71"/>
      <c r="AH105" s="71"/>
    </row>
    <row r="106" spans="3:34">
      <c r="C106" s="71"/>
      <c r="D106" s="407"/>
      <c r="E106" s="71"/>
      <c r="F106" s="407"/>
      <c r="G106" s="71"/>
      <c r="H106" s="302">
        <f t="shared" si="14"/>
        <v>1900</v>
      </c>
      <c r="I106" s="302" t="str">
        <f t="shared" si="15"/>
        <v>4</v>
      </c>
      <c r="AD106" s="71"/>
      <c r="AF106" s="71"/>
      <c r="AH106" s="71"/>
    </row>
    <row r="107" spans="3:34">
      <c r="C107" s="71"/>
      <c r="D107" s="407"/>
      <c r="E107" s="71"/>
      <c r="F107" s="407"/>
      <c r="G107" s="71"/>
      <c r="H107" s="302">
        <f t="shared" si="14"/>
        <v>1900</v>
      </c>
      <c r="I107" s="302" t="str">
        <f t="shared" si="15"/>
        <v>4</v>
      </c>
      <c r="AD107" s="71"/>
      <c r="AF107" s="71"/>
      <c r="AH107" s="71"/>
    </row>
    <row r="108" spans="3:34">
      <c r="C108" s="71"/>
      <c r="D108" s="407"/>
      <c r="E108" s="71"/>
      <c r="F108" s="407"/>
      <c r="G108" s="71"/>
      <c r="H108" s="302">
        <f t="shared" si="14"/>
        <v>1900</v>
      </c>
      <c r="I108" s="302" t="str">
        <f t="shared" si="15"/>
        <v>4</v>
      </c>
      <c r="AD108" s="71"/>
      <c r="AF108" s="71"/>
      <c r="AH108" s="71"/>
    </row>
    <row r="109" spans="3:34">
      <c r="C109" s="71"/>
      <c r="D109" s="407"/>
      <c r="E109" s="71"/>
      <c r="F109" s="407"/>
      <c r="G109" s="71"/>
      <c r="H109" s="302">
        <f t="shared" si="14"/>
        <v>1900</v>
      </c>
      <c r="I109" s="302" t="str">
        <f t="shared" si="15"/>
        <v>4</v>
      </c>
      <c r="AD109" s="71"/>
      <c r="AF109" s="71"/>
      <c r="AH109" s="71"/>
    </row>
    <row r="110" spans="3:34">
      <c r="C110" s="71"/>
      <c r="D110" s="407"/>
      <c r="E110" s="71"/>
      <c r="F110" s="407"/>
      <c r="G110" s="71"/>
      <c r="H110" s="302">
        <f t="shared" si="14"/>
        <v>1900</v>
      </c>
      <c r="I110" s="302" t="str">
        <f t="shared" si="15"/>
        <v>4</v>
      </c>
      <c r="AD110" s="71"/>
      <c r="AF110" s="71"/>
      <c r="AH110" s="71"/>
    </row>
    <row r="111" spans="3:34">
      <c r="C111" s="71"/>
      <c r="D111" s="407"/>
      <c r="E111" s="71"/>
      <c r="F111" s="407"/>
      <c r="G111" s="71"/>
      <c r="H111" s="302">
        <f t="shared" si="14"/>
        <v>1900</v>
      </c>
      <c r="I111" s="302" t="str">
        <f t="shared" si="15"/>
        <v>4</v>
      </c>
      <c r="AD111" s="71"/>
      <c r="AF111" s="71"/>
      <c r="AH111" s="71"/>
    </row>
    <row r="112" spans="3:34">
      <c r="C112" s="71"/>
      <c r="D112" s="407"/>
      <c r="E112" s="71"/>
      <c r="F112" s="407"/>
      <c r="G112" s="71"/>
      <c r="H112" s="302">
        <f t="shared" si="14"/>
        <v>1900</v>
      </c>
      <c r="I112" s="302" t="str">
        <f t="shared" si="15"/>
        <v>4</v>
      </c>
      <c r="AD112" s="71"/>
      <c r="AF112" s="71"/>
      <c r="AH112" s="71"/>
    </row>
    <row r="113" spans="3:34">
      <c r="C113" s="71"/>
      <c r="D113" s="407"/>
      <c r="E113" s="71"/>
      <c r="F113" s="407"/>
      <c r="G113" s="71"/>
      <c r="H113" s="302">
        <f t="shared" si="14"/>
        <v>1900</v>
      </c>
      <c r="I113" s="302" t="str">
        <f t="shared" si="15"/>
        <v>4</v>
      </c>
      <c r="AD113" s="71"/>
      <c r="AF113" s="71"/>
      <c r="AH113" s="71"/>
    </row>
    <row r="114" spans="3:34">
      <c r="C114" s="71"/>
      <c r="D114" s="407"/>
      <c r="E114" s="71"/>
      <c r="F114" s="407"/>
      <c r="G114" s="71"/>
      <c r="H114" s="302">
        <f t="shared" si="14"/>
        <v>1900</v>
      </c>
      <c r="I114" s="302" t="str">
        <f t="shared" si="15"/>
        <v>4</v>
      </c>
      <c r="AD114" s="71"/>
      <c r="AF114" s="71"/>
      <c r="AH114" s="71"/>
    </row>
    <row r="115" spans="3:34">
      <c r="C115" s="71"/>
      <c r="D115" s="407"/>
      <c r="E115" s="71"/>
      <c r="F115" s="407"/>
      <c r="G115" s="71"/>
      <c r="H115" s="302">
        <f t="shared" si="14"/>
        <v>1900</v>
      </c>
      <c r="I115" s="302" t="str">
        <f t="shared" si="15"/>
        <v>4</v>
      </c>
      <c r="AD115" s="71"/>
      <c r="AF115" s="71"/>
      <c r="AH115" s="71"/>
    </row>
    <row r="116" spans="3:34">
      <c r="C116" s="71"/>
      <c r="D116" s="407"/>
      <c r="E116" s="71"/>
      <c r="F116" s="407"/>
      <c r="G116" s="71"/>
      <c r="H116" s="302">
        <f t="shared" si="14"/>
        <v>1900</v>
      </c>
      <c r="I116" s="302" t="str">
        <f t="shared" si="15"/>
        <v>4</v>
      </c>
      <c r="AD116" s="71"/>
      <c r="AF116" s="71"/>
      <c r="AH116" s="71"/>
    </row>
    <row r="117" spans="3:34">
      <c r="C117" s="71"/>
      <c r="D117" s="407"/>
      <c r="E117" s="71"/>
      <c r="F117" s="407"/>
      <c r="G117" s="71"/>
      <c r="H117" s="302">
        <f t="shared" si="14"/>
        <v>1900</v>
      </c>
      <c r="I117" s="302" t="str">
        <f t="shared" si="15"/>
        <v>4</v>
      </c>
      <c r="AD117" s="71"/>
      <c r="AF117" s="71"/>
      <c r="AH117" s="71"/>
    </row>
    <row r="118" spans="3:34">
      <c r="C118" s="71"/>
      <c r="D118" s="407"/>
      <c r="E118" s="71"/>
      <c r="F118" s="407"/>
      <c r="G118" s="71"/>
      <c r="H118" s="302">
        <f t="shared" si="14"/>
        <v>1900</v>
      </c>
      <c r="I118" s="302" t="str">
        <f t="shared" si="15"/>
        <v>4</v>
      </c>
      <c r="AD118" s="71"/>
      <c r="AF118" s="71"/>
      <c r="AH118" s="71"/>
    </row>
    <row r="119" spans="3:34">
      <c r="C119" s="71"/>
      <c r="D119" s="407"/>
      <c r="E119" s="71"/>
      <c r="F119" s="407"/>
      <c r="G119" s="71"/>
      <c r="H119" s="302">
        <f t="shared" si="14"/>
        <v>1900</v>
      </c>
      <c r="I119" s="302" t="str">
        <f t="shared" si="15"/>
        <v>4</v>
      </c>
      <c r="AD119" s="71"/>
      <c r="AF119" s="71"/>
      <c r="AH119" s="71"/>
    </row>
    <row r="120" spans="3:34">
      <c r="C120" s="71"/>
      <c r="D120" s="407"/>
      <c r="E120" s="71"/>
      <c r="F120" s="407"/>
      <c r="G120" s="71"/>
      <c r="H120" s="302">
        <f t="shared" si="14"/>
        <v>1900</v>
      </c>
      <c r="I120" s="302" t="str">
        <f t="shared" si="15"/>
        <v>4</v>
      </c>
      <c r="AD120" s="71"/>
      <c r="AF120" s="71"/>
      <c r="AH120" s="71"/>
    </row>
    <row r="121" spans="3:34">
      <c r="C121" s="71"/>
      <c r="D121" s="407"/>
      <c r="E121" s="71"/>
      <c r="F121" s="407"/>
      <c r="G121" s="71"/>
      <c r="H121" s="302">
        <f t="shared" si="14"/>
        <v>1900</v>
      </c>
      <c r="I121" s="302" t="str">
        <f t="shared" si="15"/>
        <v>4</v>
      </c>
      <c r="AD121" s="71"/>
      <c r="AF121" s="71"/>
      <c r="AH121" s="71"/>
    </row>
    <row r="122" spans="3:34">
      <c r="C122" s="71"/>
      <c r="D122" s="407"/>
      <c r="E122" s="71"/>
      <c r="F122" s="407"/>
      <c r="G122" s="71"/>
      <c r="H122" s="302">
        <f t="shared" si="14"/>
        <v>1900</v>
      </c>
      <c r="I122" s="302" t="str">
        <f t="shared" si="15"/>
        <v>4</v>
      </c>
      <c r="AD122" s="71"/>
      <c r="AF122" s="71"/>
      <c r="AH122" s="71"/>
    </row>
    <row r="123" spans="3:34">
      <c r="C123" s="71"/>
      <c r="D123" s="407"/>
      <c r="E123" s="71"/>
      <c r="F123" s="407"/>
      <c r="G123" s="71"/>
      <c r="H123" s="302">
        <f t="shared" si="14"/>
        <v>1900</v>
      </c>
      <c r="I123" s="302" t="str">
        <f t="shared" si="15"/>
        <v>4</v>
      </c>
      <c r="AD123" s="71"/>
      <c r="AF123" s="71"/>
      <c r="AH123" s="71"/>
    </row>
    <row r="124" spans="3:34">
      <c r="C124" s="71"/>
      <c r="D124" s="407"/>
      <c r="E124" s="71"/>
      <c r="F124" s="407"/>
      <c r="G124" s="71"/>
      <c r="H124" s="302">
        <f t="shared" si="14"/>
        <v>1900</v>
      </c>
      <c r="I124" s="302" t="str">
        <f t="shared" si="15"/>
        <v>4</v>
      </c>
      <c r="AD124" s="71"/>
      <c r="AF124" s="71"/>
      <c r="AH124" s="71"/>
    </row>
    <row r="125" spans="3:34">
      <c r="C125" s="71"/>
      <c r="D125" s="407"/>
      <c r="E125" s="71"/>
      <c r="F125" s="407"/>
      <c r="G125" s="71"/>
      <c r="H125" s="302">
        <f t="shared" si="14"/>
        <v>1900</v>
      </c>
      <c r="I125" s="302" t="str">
        <f t="shared" si="15"/>
        <v>4</v>
      </c>
      <c r="AD125" s="71"/>
      <c r="AF125" s="71"/>
      <c r="AH125" s="71"/>
    </row>
    <row r="126" spans="3:34">
      <c r="C126" s="71"/>
      <c r="D126" s="407"/>
      <c r="E126" s="71"/>
      <c r="F126" s="407"/>
      <c r="G126" s="71"/>
      <c r="H126" s="302">
        <f t="shared" si="14"/>
        <v>1900</v>
      </c>
      <c r="I126" s="302" t="str">
        <f t="shared" si="15"/>
        <v>4</v>
      </c>
      <c r="AD126" s="71"/>
      <c r="AF126" s="71"/>
      <c r="AH126" s="71"/>
    </row>
    <row r="127" spans="3:34">
      <c r="C127" s="71"/>
      <c r="D127" s="407"/>
      <c r="E127" s="71"/>
      <c r="F127" s="407"/>
      <c r="G127" s="71"/>
      <c r="H127" s="302">
        <f t="shared" si="14"/>
        <v>1900</v>
      </c>
      <c r="I127" s="302" t="str">
        <f t="shared" si="15"/>
        <v>4</v>
      </c>
      <c r="AD127" s="71"/>
      <c r="AF127" s="71"/>
      <c r="AH127" s="71"/>
    </row>
    <row r="128" spans="3:34">
      <c r="C128" s="71"/>
      <c r="D128" s="407"/>
      <c r="E128" s="71"/>
      <c r="F128" s="407"/>
      <c r="G128" s="71"/>
      <c r="H128" s="302">
        <f t="shared" si="14"/>
        <v>1900</v>
      </c>
      <c r="I128" s="302" t="str">
        <f t="shared" si="15"/>
        <v>4</v>
      </c>
      <c r="AD128" s="71"/>
      <c r="AF128" s="71"/>
      <c r="AH128" s="71"/>
    </row>
    <row r="129" spans="3:34">
      <c r="C129" s="71"/>
      <c r="D129" s="407"/>
      <c r="E129" s="71"/>
      <c r="F129" s="407"/>
      <c r="G129" s="71"/>
      <c r="H129" s="302">
        <f t="shared" si="14"/>
        <v>1900</v>
      </c>
      <c r="I129" s="302" t="str">
        <f t="shared" si="15"/>
        <v>4</v>
      </c>
      <c r="AD129" s="71"/>
      <c r="AF129" s="71"/>
      <c r="AH129" s="71"/>
    </row>
    <row r="130" spans="3:34">
      <c r="C130" s="71"/>
      <c r="D130" s="407"/>
      <c r="E130" s="71"/>
      <c r="F130" s="407"/>
      <c r="G130" s="71"/>
      <c r="H130" s="302">
        <f t="shared" si="14"/>
        <v>1900</v>
      </c>
      <c r="I130" s="302" t="str">
        <f t="shared" si="15"/>
        <v>4</v>
      </c>
      <c r="AD130" s="71"/>
      <c r="AF130" s="71"/>
      <c r="AH130" s="71"/>
    </row>
    <row r="131" spans="3:34">
      <c r="C131" s="71"/>
      <c r="D131" s="407"/>
      <c r="E131" s="71"/>
      <c r="F131" s="407"/>
      <c r="G131" s="71"/>
      <c r="H131" s="302">
        <f t="shared" si="14"/>
        <v>1900</v>
      </c>
      <c r="I131" s="302" t="str">
        <f t="shared" si="15"/>
        <v>4</v>
      </c>
      <c r="AD131" s="71"/>
      <c r="AF131" s="71"/>
      <c r="AH131" s="71"/>
    </row>
    <row r="132" spans="3:34">
      <c r="C132" s="71"/>
      <c r="D132" s="407"/>
      <c r="E132" s="71"/>
      <c r="F132" s="407"/>
      <c r="G132" s="71"/>
      <c r="H132" s="302">
        <f t="shared" si="14"/>
        <v>1900</v>
      </c>
      <c r="I132" s="302" t="str">
        <f t="shared" si="15"/>
        <v>4</v>
      </c>
      <c r="AD132" s="71"/>
      <c r="AF132" s="71"/>
      <c r="AH132" s="71"/>
    </row>
    <row r="133" spans="3:34">
      <c r="C133" s="71"/>
      <c r="D133" s="407"/>
      <c r="E133" s="71"/>
      <c r="F133" s="407"/>
      <c r="G133" s="71"/>
      <c r="H133" s="302">
        <f t="shared" si="14"/>
        <v>1900</v>
      </c>
      <c r="I133" s="302" t="str">
        <f t="shared" si="15"/>
        <v>4</v>
      </c>
      <c r="AD133" s="71"/>
      <c r="AF133" s="71"/>
      <c r="AH133" s="71"/>
    </row>
    <row r="134" spans="3:34">
      <c r="C134" s="71"/>
      <c r="D134" s="407"/>
      <c r="E134" s="71"/>
      <c r="F134" s="407"/>
      <c r="G134" s="71"/>
      <c r="H134" s="302">
        <f t="shared" si="14"/>
        <v>1900</v>
      </c>
      <c r="I134" s="302" t="str">
        <f t="shared" si="15"/>
        <v>4</v>
      </c>
      <c r="AD134" s="71"/>
      <c r="AF134" s="71"/>
      <c r="AH134" s="71"/>
    </row>
    <row r="135" spans="3:34">
      <c r="C135" s="71"/>
      <c r="D135" s="407"/>
      <c r="E135" s="71"/>
      <c r="F135" s="407"/>
      <c r="G135" s="71"/>
      <c r="H135" s="302">
        <f t="shared" si="14"/>
        <v>1900</v>
      </c>
      <c r="I135" s="302" t="str">
        <f t="shared" si="15"/>
        <v>4</v>
      </c>
      <c r="AD135" s="71"/>
      <c r="AF135" s="71"/>
      <c r="AH135" s="71"/>
    </row>
    <row r="136" spans="3:34">
      <c r="C136" s="71"/>
      <c r="D136" s="407"/>
      <c r="E136" s="71"/>
      <c r="F136" s="407"/>
      <c r="G136" s="71"/>
      <c r="H136" s="302">
        <f t="shared" si="14"/>
        <v>1900</v>
      </c>
      <c r="I136" s="302" t="str">
        <f t="shared" si="15"/>
        <v>4</v>
      </c>
      <c r="AD136" s="71"/>
      <c r="AF136" s="71"/>
      <c r="AH136" s="71"/>
    </row>
    <row r="137" spans="3:34">
      <c r="C137" s="71"/>
      <c r="D137" s="407"/>
      <c r="E137" s="71"/>
      <c r="F137" s="407"/>
      <c r="G137" s="71"/>
      <c r="H137" s="302">
        <f t="shared" si="14"/>
        <v>1900</v>
      </c>
      <c r="I137" s="302" t="str">
        <f t="shared" si="15"/>
        <v>4</v>
      </c>
      <c r="AD137" s="71"/>
      <c r="AF137" s="71"/>
      <c r="AH137" s="71"/>
    </row>
    <row r="138" spans="3:34">
      <c r="C138" s="71"/>
      <c r="D138" s="407"/>
      <c r="E138" s="71"/>
      <c r="F138" s="407"/>
      <c r="G138" s="71"/>
      <c r="H138" s="302">
        <f t="shared" ref="H138:H201" si="16">YEAR(A138)</f>
        <v>1900</v>
      </c>
      <c r="I138" s="302" t="str">
        <f t="shared" ref="I138:I201" si="17">IF(MONTH(A138)=3,"1",IF(MONTH(A138)=6,"2",IF(MONTH(A138)=9,"3","4")))</f>
        <v>4</v>
      </c>
      <c r="AD138" s="71"/>
      <c r="AF138" s="71"/>
      <c r="AH138" s="71"/>
    </row>
    <row r="139" spans="3:34">
      <c r="C139" s="71"/>
      <c r="D139" s="407"/>
      <c r="E139" s="71"/>
      <c r="F139" s="407"/>
      <c r="G139" s="71"/>
      <c r="H139" s="302">
        <f t="shared" si="16"/>
        <v>1900</v>
      </c>
      <c r="I139" s="302" t="str">
        <f t="shared" si="17"/>
        <v>4</v>
      </c>
      <c r="AD139" s="71"/>
      <c r="AF139" s="71"/>
      <c r="AH139" s="71"/>
    </row>
    <row r="140" spans="3:34">
      <c r="C140" s="71"/>
      <c r="D140" s="407"/>
      <c r="E140" s="71"/>
      <c r="F140" s="71"/>
      <c r="G140" s="71"/>
      <c r="H140" s="302">
        <f t="shared" si="16"/>
        <v>1900</v>
      </c>
      <c r="I140" s="302" t="str">
        <f t="shared" si="17"/>
        <v>4</v>
      </c>
      <c r="AD140" s="71"/>
      <c r="AF140" s="71"/>
      <c r="AH140" s="71"/>
    </row>
    <row r="141" spans="3:34">
      <c r="C141" s="71"/>
      <c r="D141" s="407"/>
      <c r="E141" s="71"/>
      <c r="F141" s="71"/>
      <c r="G141" s="71"/>
      <c r="H141" s="302">
        <f t="shared" si="16"/>
        <v>1900</v>
      </c>
      <c r="I141" s="302" t="str">
        <f t="shared" si="17"/>
        <v>4</v>
      </c>
      <c r="AD141" s="71"/>
      <c r="AF141" s="71"/>
      <c r="AH141" s="71"/>
    </row>
    <row r="142" spans="3:34">
      <c r="C142" s="71"/>
      <c r="D142" s="407"/>
      <c r="E142" s="71"/>
      <c r="F142" s="71"/>
      <c r="G142" s="71"/>
      <c r="H142" s="302">
        <f t="shared" si="16"/>
        <v>1900</v>
      </c>
      <c r="I142" s="302" t="str">
        <f t="shared" si="17"/>
        <v>4</v>
      </c>
      <c r="AD142" s="71"/>
      <c r="AF142" s="71"/>
      <c r="AH142" s="71"/>
    </row>
    <row r="143" spans="3:34">
      <c r="C143" s="71"/>
      <c r="D143" s="407"/>
      <c r="E143" s="71"/>
      <c r="F143" s="71"/>
      <c r="G143" s="71"/>
      <c r="H143" s="302">
        <f t="shared" si="16"/>
        <v>1900</v>
      </c>
      <c r="I143" s="302" t="str">
        <f t="shared" si="17"/>
        <v>4</v>
      </c>
      <c r="AD143" s="71"/>
      <c r="AF143" s="71"/>
      <c r="AH143" s="71"/>
    </row>
    <row r="144" spans="3:34">
      <c r="C144" s="71"/>
      <c r="D144" s="407"/>
      <c r="E144" s="71"/>
      <c r="F144" s="71"/>
      <c r="G144" s="71"/>
      <c r="H144" s="302">
        <f t="shared" si="16"/>
        <v>1900</v>
      </c>
      <c r="I144" s="302" t="str">
        <f t="shared" si="17"/>
        <v>4</v>
      </c>
      <c r="AD144" s="71"/>
      <c r="AF144" s="71"/>
      <c r="AH144" s="71"/>
    </row>
    <row r="145" spans="3:34">
      <c r="C145" s="71"/>
      <c r="D145" s="407"/>
      <c r="E145" s="71"/>
      <c r="F145" s="71"/>
      <c r="G145" s="71"/>
      <c r="H145" s="302">
        <f t="shared" si="16"/>
        <v>1900</v>
      </c>
      <c r="I145" s="302" t="str">
        <f t="shared" si="17"/>
        <v>4</v>
      </c>
      <c r="AD145" s="71"/>
      <c r="AF145" s="71"/>
      <c r="AH145" s="71"/>
    </row>
    <row r="146" spans="3:34">
      <c r="C146" s="71"/>
      <c r="D146" s="407"/>
      <c r="E146" s="71"/>
      <c r="F146" s="71"/>
      <c r="G146" s="71"/>
      <c r="H146" s="302">
        <f t="shared" si="16"/>
        <v>1900</v>
      </c>
      <c r="I146" s="302" t="str">
        <f t="shared" si="17"/>
        <v>4</v>
      </c>
      <c r="AD146" s="71"/>
      <c r="AF146" s="71"/>
      <c r="AH146" s="71"/>
    </row>
    <row r="147" spans="3:34">
      <c r="C147" s="71"/>
      <c r="D147" s="407"/>
      <c r="E147" s="71"/>
      <c r="F147" s="71"/>
      <c r="G147" s="71"/>
      <c r="H147" s="302">
        <f t="shared" si="16"/>
        <v>1900</v>
      </c>
      <c r="I147" s="302" t="str">
        <f t="shared" si="17"/>
        <v>4</v>
      </c>
      <c r="AD147" s="71"/>
      <c r="AF147" s="71"/>
      <c r="AH147" s="71"/>
    </row>
    <row r="148" spans="3:34">
      <c r="C148" s="71"/>
      <c r="D148" s="407"/>
      <c r="E148" s="71"/>
      <c r="F148" s="71"/>
      <c r="G148" s="71"/>
      <c r="H148" s="302">
        <f t="shared" si="16"/>
        <v>1900</v>
      </c>
      <c r="I148" s="302" t="str">
        <f t="shared" si="17"/>
        <v>4</v>
      </c>
      <c r="AD148" s="71"/>
      <c r="AF148" s="71"/>
      <c r="AH148" s="71"/>
    </row>
    <row r="149" spans="3:34">
      <c r="C149" s="71"/>
      <c r="D149" s="407"/>
      <c r="E149" s="71"/>
      <c r="F149" s="71"/>
      <c r="G149" s="71"/>
      <c r="H149" s="302">
        <f t="shared" si="16"/>
        <v>1900</v>
      </c>
      <c r="I149" s="302" t="str">
        <f t="shared" si="17"/>
        <v>4</v>
      </c>
      <c r="AD149" s="71"/>
      <c r="AF149" s="71"/>
      <c r="AH149" s="71"/>
    </row>
    <row r="150" spans="3:34">
      <c r="C150" s="71"/>
      <c r="D150" s="407"/>
      <c r="E150" s="71"/>
      <c r="F150" s="71"/>
      <c r="G150" s="71"/>
      <c r="H150" s="302">
        <f t="shared" si="16"/>
        <v>1900</v>
      </c>
      <c r="I150" s="302" t="str">
        <f t="shared" si="17"/>
        <v>4</v>
      </c>
      <c r="AD150" s="71"/>
      <c r="AF150" s="71"/>
      <c r="AH150" s="71"/>
    </row>
    <row r="151" spans="3:34">
      <c r="C151" s="71"/>
      <c r="D151" s="407"/>
      <c r="E151" s="71"/>
      <c r="F151" s="71"/>
      <c r="G151" s="71"/>
      <c r="H151" s="302">
        <f t="shared" si="16"/>
        <v>1900</v>
      </c>
      <c r="I151" s="302" t="str">
        <f t="shared" si="17"/>
        <v>4</v>
      </c>
      <c r="AD151" s="71"/>
      <c r="AF151" s="71"/>
      <c r="AH151" s="71"/>
    </row>
    <row r="152" spans="3:34">
      <c r="C152" s="71"/>
      <c r="D152" s="407"/>
      <c r="E152" s="71"/>
      <c r="F152" s="71"/>
      <c r="G152" s="71"/>
      <c r="H152" s="302">
        <f t="shared" si="16"/>
        <v>1900</v>
      </c>
      <c r="I152" s="302" t="str">
        <f t="shared" si="17"/>
        <v>4</v>
      </c>
      <c r="AD152" s="71"/>
      <c r="AF152" s="71"/>
      <c r="AH152" s="71"/>
    </row>
    <row r="153" spans="3:34">
      <c r="C153" s="71"/>
      <c r="D153" s="407"/>
      <c r="E153" s="71"/>
      <c r="F153" s="71"/>
      <c r="G153" s="71"/>
      <c r="H153" s="302">
        <f t="shared" si="16"/>
        <v>1900</v>
      </c>
      <c r="I153" s="302" t="str">
        <f t="shared" si="17"/>
        <v>4</v>
      </c>
      <c r="AD153" s="71"/>
      <c r="AF153" s="71"/>
      <c r="AH153" s="71"/>
    </row>
    <row r="154" spans="3:34">
      <c r="C154" s="71"/>
      <c r="D154" s="407"/>
      <c r="E154" s="71"/>
      <c r="F154" s="71"/>
      <c r="G154" s="71"/>
      <c r="H154" s="302">
        <f t="shared" si="16"/>
        <v>1900</v>
      </c>
      <c r="I154" s="302" t="str">
        <f t="shared" si="17"/>
        <v>4</v>
      </c>
      <c r="AD154" s="71"/>
      <c r="AF154" s="71"/>
      <c r="AH154" s="71"/>
    </row>
    <row r="155" spans="3:34">
      <c r="C155" s="71"/>
      <c r="D155" s="407"/>
      <c r="E155" s="71"/>
      <c r="F155" s="71"/>
      <c r="G155" s="71"/>
      <c r="H155" s="302">
        <f t="shared" si="16"/>
        <v>1900</v>
      </c>
      <c r="I155" s="302" t="str">
        <f t="shared" si="17"/>
        <v>4</v>
      </c>
      <c r="AD155" s="71"/>
      <c r="AF155" s="71"/>
      <c r="AH155" s="71"/>
    </row>
    <row r="156" spans="3:34">
      <c r="C156" s="71"/>
      <c r="D156" s="407"/>
      <c r="E156" s="71"/>
      <c r="F156" s="71"/>
      <c r="G156" s="71"/>
      <c r="H156" s="302">
        <f t="shared" si="16"/>
        <v>1900</v>
      </c>
      <c r="I156" s="302" t="str">
        <f t="shared" si="17"/>
        <v>4</v>
      </c>
      <c r="AD156" s="71"/>
      <c r="AF156" s="71"/>
      <c r="AH156" s="71"/>
    </row>
    <row r="157" spans="3:34">
      <c r="C157" s="71"/>
      <c r="D157" s="407"/>
      <c r="E157" s="71"/>
      <c r="F157" s="71"/>
      <c r="G157" s="71"/>
      <c r="H157" s="302">
        <f t="shared" si="16"/>
        <v>1900</v>
      </c>
      <c r="I157" s="302" t="str">
        <f t="shared" si="17"/>
        <v>4</v>
      </c>
      <c r="AD157" s="71"/>
      <c r="AF157" s="71"/>
      <c r="AH157" s="71"/>
    </row>
    <row r="158" spans="3:34">
      <c r="C158" s="71"/>
      <c r="D158" s="407"/>
      <c r="E158" s="71"/>
      <c r="F158" s="71"/>
      <c r="G158" s="71"/>
      <c r="H158" s="302">
        <f t="shared" si="16"/>
        <v>1900</v>
      </c>
      <c r="I158" s="302" t="str">
        <f t="shared" si="17"/>
        <v>4</v>
      </c>
      <c r="AD158" s="71"/>
      <c r="AF158" s="71"/>
      <c r="AH158" s="71"/>
    </row>
    <row r="159" spans="3:34">
      <c r="C159" s="71"/>
      <c r="D159" s="407"/>
      <c r="E159" s="71"/>
      <c r="F159" s="71"/>
      <c r="G159" s="71"/>
      <c r="H159" s="302">
        <f t="shared" si="16"/>
        <v>1900</v>
      </c>
      <c r="I159" s="302" t="str">
        <f t="shared" si="17"/>
        <v>4</v>
      </c>
      <c r="AD159" s="71"/>
      <c r="AF159" s="71"/>
      <c r="AH159" s="71"/>
    </row>
    <row r="160" spans="3:34">
      <c r="C160" s="71"/>
      <c r="D160" s="407"/>
      <c r="E160" s="71"/>
      <c r="F160" s="71"/>
      <c r="G160" s="71"/>
      <c r="H160" s="302">
        <f t="shared" si="16"/>
        <v>1900</v>
      </c>
      <c r="I160" s="302" t="str">
        <f t="shared" si="17"/>
        <v>4</v>
      </c>
      <c r="AD160" s="71"/>
      <c r="AF160" s="71"/>
      <c r="AH160" s="71"/>
    </row>
    <row r="161" spans="3:34">
      <c r="C161" s="71"/>
      <c r="D161" s="407"/>
      <c r="E161" s="71"/>
      <c r="F161" s="71"/>
      <c r="G161" s="71"/>
      <c r="H161" s="302">
        <f t="shared" si="16"/>
        <v>1900</v>
      </c>
      <c r="I161" s="302" t="str">
        <f t="shared" si="17"/>
        <v>4</v>
      </c>
      <c r="AD161" s="71"/>
      <c r="AF161" s="71"/>
      <c r="AH161" s="71"/>
    </row>
    <row r="162" spans="3:34">
      <c r="C162" s="71"/>
      <c r="D162" s="407"/>
      <c r="E162" s="71"/>
      <c r="F162" s="71"/>
      <c r="G162" s="71"/>
      <c r="H162" s="302">
        <f t="shared" si="16"/>
        <v>1900</v>
      </c>
      <c r="I162" s="302" t="str">
        <f t="shared" si="17"/>
        <v>4</v>
      </c>
      <c r="AD162" s="71"/>
      <c r="AF162" s="71"/>
      <c r="AH162" s="71"/>
    </row>
    <row r="163" spans="3:34">
      <c r="C163" s="71"/>
      <c r="D163" s="407"/>
      <c r="E163" s="71"/>
      <c r="F163" s="71"/>
      <c r="G163" s="71"/>
      <c r="H163" s="302">
        <f t="shared" si="16"/>
        <v>1900</v>
      </c>
      <c r="I163" s="302" t="str">
        <f t="shared" si="17"/>
        <v>4</v>
      </c>
      <c r="AD163" s="71"/>
      <c r="AF163" s="71"/>
      <c r="AH163" s="71"/>
    </row>
    <row r="164" spans="3:34">
      <c r="C164" s="71"/>
      <c r="D164" s="407"/>
      <c r="E164" s="71"/>
      <c r="F164" s="71"/>
      <c r="G164" s="71"/>
      <c r="H164" s="302">
        <f t="shared" si="16"/>
        <v>1900</v>
      </c>
      <c r="I164" s="302" t="str">
        <f t="shared" si="17"/>
        <v>4</v>
      </c>
      <c r="AD164" s="71"/>
      <c r="AF164" s="71"/>
      <c r="AH164" s="71"/>
    </row>
    <row r="165" spans="3:34">
      <c r="C165" s="71"/>
      <c r="D165" s="407"/>
      <c r="E165" s="71"/>
      <c r="F165" s="71"/>
      <c r="G165" s="71"/>
      <c r="H165" s="302">
        <f t="shared" si="16"/>
        <v>1900</v>
      </c>
      <c r="I165" s="302" t="str">
        <f t="shared" si="17"/>
        <v>4</v>
      </c>
    </row>
    <row r="166" spans="3:34">
      <c r="C166" s="71"/>
      <c r="D166" s="407"/>
      <c r="E166" s="71"/>
      <c r="F166" s="71"/>
      <c r="G166" s="71"/>
      <c r="H166" s="302">
        <f t="shared" si="16"/>
        <v>1900</v>
      </c>
      <c r="I166" s="302" t="str">
        <f t="shared" si="17"/>
        <v>4</v>
      </c>
    </row>
    <row r="167" spans="3:34">
      <c r="C167" s="71"/>
      <c r="D167" s="407"/>
      <c r="E167" s="71"/>
      <c r="F167" s="71"/>
      <c r="G167" s="71"/>
      <c r="H167" s="302">
        <f t="shared" si="16"/>
        <v>1900</v>
      </c>
      <c r="I167" s="302" t="str">
        <f t="shared" si="17"/>
        <v>4</v>
      </c>
    </row>
    <row r="168" spans="3:34">
      <c r="C168" s="71"/>
      <c r="D168" s="407"/>
      <c r="E168" s="71"/>
      <c r="F168" s="71"/>
      <c r="G168" s="71"/>
      <c r="H168" s="302">
        <f t="shared" si="16"/>
        <v>1900</v>
      </c>
      <c r="I168" s="302" t="str">
        <f t="shared" si="17"/>
        <v>4</v>
      </c>
    </row>
    <row r="169" spans="3:34">
      <c r="C169" s="71"/>
      <c r="D169" s="407"/>
      <c r="E169" s="71"/>
      <c r="F169" s="71"/>
      <c r="G169" s="71"/>
      <c r="H169" s="302">
        <f t="shared" si="16"/>
        <v>1900</v>
      </c>
      <c r="I169" s="302" t="str">
        <f t="shared" si="17"/>
        <v>4</v>
      </c>
    </row>
    <row r="170" spans="3:34">
      <c r="C170" s="71"/>
      <c r="D170" s="407"/>
      <c r="E170" s="71"/>
      <c r="F170" s="71"/>
      <c r="G170" s="71"/>
      <c r="H170" s="302">
        <f t="shared" si="16"/>
        <v>1900</v>
      </c>
      <c r="I170" s="302" t="str">
        <f t="shared" si="17"/>
        <v>4</v>
      </c>
    </row>
    <row r="171" spans="3:34">
      <c r="C171" s="71"/>
      <c r="D171" s="407"/>
      <c r="E171" s="71"/>
      <c r="F171" s="71"/>
      <c r="G171" s="71"/>
      <c r="H171" s="302">
        <f t="shared" si="16"/>
        <v>1900</v>
      </c>
      <c r="I171" s="302" t="str">
        <f t="shared" si="17"/>
        <v>4</v>
      </c>
    </row>
    <row r="172" spans="3:34">
      <c r="C172" s="71"/>
      <c r="D172" s="407"/>
      <c r="E172" s="71"/>
      <c r="F172" s="71"/>
      <c r="G172" s="71"/>
      <c r="H172" s="302">
        <f t="shared" si="16"/>
        <v>1900</v>
      </c>
      <c r="I172" s="302" t="str">
        <f t="shared" si="17"/>
        <v>4</v>
      </c>
    </row>
    <row r="173" spans="3:34">
      <c r="C173" s="71"/>
      <c r="D173" s="407"/>
      <c r="E173" s="71"/>
      <c r="F173" s="71"/>
      <c r="G173" s="71"/>
      <c r="H173" s="302">
        <f t="shared" si="16"/>
        <v>1900</v>
      </c>
      <c r="I173" s="302" t="str">
        <f t="shared" si="17"/>
        <v>4</v>
      </c>
    </row>
    <row r="174" spans="3:34">
      <c r="C174" s="71"/>
      <c r="D174" s="407"/>
      <c r="E174" s="71"/>
      <c r="F174" s="71"/>
      <c r="G174" s="71"/>
      <c r="H174" s="302">
        <f t="shared" si="16"/>
        <v>1900</v>
      </c>
      <c r="I174" s="302" t="str">
        <f t="shared" si="17"/>
        <v>4</v>
      </c>
    </row>
    <row r="175" spans="3:34">
      <c r="C175" s="71"/>
      <c r="D175" s="407"/>
      <c r="E175" s="71"/>
      <c r="F175" s="71"/>
      <c r="G175" s="71"/>
      <c r="H175" s="302">
        <f t="shared" si="16"/>
        <v>1900</v>
      </c>
      <c r="I175" s="302" t="str">
        <f t="shared" si="17"/>
        <v>4</v>
      </c>
    </row>
    <row r="176" spans="3:34">
      <c r="C176" s="71"/>
      <c r="D176" s="407"/>
      <c r="E176" s="71"/>
      <c r="F176" s="71"/>
      <c r="G176" s="71"/>
      <c r="H176" s="302">
        <f t="shared" si="16"/>
        <v>1900</v>
      </c>
      <c r="I176" s="302" t="str">
        <f t="shared" si="17"/>
        <v>4</v>
      </c>
    </row>
    <row r="177" spans="3:9">
      <c r="C177" s="71"/>
      <c r="D177" s="407"/>
      <c r="E177" s="71"/>
      <c r="F177" s="71"/>
      <c r="G177" s="71"/>
      <c r="H177" s="302">
        <f t="shared" si="16"/>
        <v>1900</v>
      </c>
      <c r="I177" s="302" t="str">
        <f t="shared" si="17"/>
        <v>4</v>
      </c>
    </row>
    <row r="178" spans="3:9">
      <c r="C178" s="71"/>
      <c r="D178" s="407"/>
      <c r="E178" s="71"/>
      <c r="F178" s="71"/>
      <c r="G178" s="71"/>
      <c r="H178" s="302">
        <f t="shared" si="16"/>
        <v>1900</v>
      </c>
      <c r="I178" s="302" t="str">
        <f t="shared" si="17"/>
        <v>4</v>
      </c>
    </row>
    <row r="179" spans="3:9">
      <c r="C179" s="71"/>
      <c r="D179" s="407"/>
      <c r="E179" s="71"/>
      <c r="F179" s="71"/>
      <c r="G179" s="71"/>
      <c r="H179" s="302">
        <f t="shared" si="16"/>
        <v>1900</v>
      </c>
      <c r="I179" s="302" t="str">
        <f t="shared" si="17"/>
        <v>4</v>
      </c>
    </row>
    <row r="180" spans="3:9">
      <c r="C180" s="71"/>
      <c r="D180" s="407"/>
      <c r="E180" s="71"/>
      <c r="F180" s="71"/>
      <c r="G180" s="71"/>
      <c r="H180" s="302">
        <f t="shared" si="16"/>
        <v>1900</v>
      </c>
      <c r="I180" s="302" t="str">
        <f t="shared" si="17"/>
        <v>4</v>
      </c>
    </row>
    <row r="181" spans="3:9">
      <c r="C181" s="71"/>
      <c r="D181" s="407"/>
      <c r="E181" s="71"/>
      <c r="F181" s="71"/>
      <c r="G181" s="71"/>
      <c r="H181" s="302">
        <f t="shared" si="16"/>
        <v>1900</v>
      </c>
      <c r="I181" s="302" t="str">
        <f t="shared" si="17"/>
        <v>4</v>
      </c>
    </row>
    <row r="182" spans="3:9">
      <c r="C182" s="71"/>
      <c r="D182" s="407"/>
      <c r="E182" s="71"/>
      <c r="F182" s="71"/>
      <c r="G182" s="71"/>
      <c r="H182" s="302">
        <f t="shared" si="16"/>
        <v>1900</v>
      </c>
      <c r="I182" s="302" t="str">
        <f t="shared" si="17"/>
        <v>4</v>
      </c>
    </row>
    <row r="183" spans="3:9">
      <c r="C183" s="71"/>
      <c r="D183" s="407"/>
      <c r="E183" s="71"/>
      <c r="F183" s="71"/>
      <c r="G183" s="71"/>
      <c r="H183" s="302">
        <f t="shared" si="16"/>
        <v>1900</v>
      </c>
      <c r="I183" s="302" t="str">
        <f t="shared" si="17"/>
        <v>4</v>
      </c>
    </row>
    <row r="184" spans="3:9">
      <c r="C184" s="71"/>
      <c r="D184" s="407"/>
      <c r="E184" s="71"/>
      <c r="F184" s="71"/>
      <c r="G184" s="71"/>
      <c r="H184" s="302">
        <f t="shared" si="16"/>
        <v>1900</v>
      </c>
      <c r="I184" s="302" t="str">
        <f t="shared" si="17"/>
        <v>4</v>
      </c>
    </row>
    <row r="185" spans="3:9">
      <c r="C185" s="71"/>
      <c r="D185" s="407"/>
      <c r="E185" s="71"/>
      <c r="F185" s="71"/>
      <c r="G185" s="71"/>
      <c r="H185" s="302">
        <f t="shared" si="16"/>
        <v>1900</v>
      </c>
      <c r="I185" s="302" t="str">
        <f t="shared" si="17"/>
        <v>4</v>
      </c>
    </row>
    <row r="186" spans="3:9">
      <c r="C186" s="71"/>
      <c r="D186" s="407"/>
      <c r="E186" s="71"/>
      <c r="F186" s="71"/>
      <c r="G186" s="71"/>
      <c r="H186" s="302">
        <f t="shared" si="16"/>
        <v>1900</v>
      </c>
      <c r="I186" s="302" t="str">
        <f t="shared" si="17"/>
        <v>4</v>
      </c>
    </row>
    <row r="187" spans="3:9">
      <c r="C187" s="71"/>
      <c r="D187" s="407"/>
      <c r="E187" s="71"/>
      <c r="F187" s="71"/>
      <c r="G187" s="71"/>
      <c r="H187" s="302">
        <f t="shared" si="16"/>
        <v>1900</v>
      </c>
      <c r="I187" s="302" t="str">
        <f t="shared" si="17"/>
        <v>4</v>
      </c>
    </row>
    <row r="188" spans="3:9">
      <c r="C188" s="71"/>
      <c r="D188" s="407"/>
      <c r="E188" s="71"/>
      <c r="F188" s="71"/>
      <c r="G188" s="71"/>
      <c r="H188" s="302">
        <f t="shared" si="16"/>
        <v>1900</v>
      </c>
      <c r="I188" s="302" t="str">
        <f t="shared" si="17"/>
        <v>4</v>
      </c>
    </row>
    <row r="189" spans="3:9">
      <c r="C189" s="71"/>
      <c r="D189" s="407"/>
      <c r="E189" s="71"/>
      <c r="F189" s="71"/>
      <c r="G189" s="71"/>
      <c r="H189" s="302">
        <f t="shared" si="16"/>
        <v>1900</v>
      </c>
      <c r="I189" s="302" t="str">
        <f t="shared" si="17"/>
        <v>4</v>
      </c>
    </row>
    <row r="190" spans="3:9">
      <c r="C190" s="71"/>
      <c r="D190" s="407"/>
      <c r="E190" s="71"/>
      <c r="F190" s="71"/>
      <c r="G190" s="71"/>
      <c r="H190" s="302">
        <f t="shared" si="16"/>
        <v>1900</v>
      </c>
      <c r="I190" s="302" t="str">
        <f t="shared" si="17"/>
        <v>4</v>
      </c>
    </row>
    <row r="191" spans="3:9">
      <c r="C191" s="71"/>
      <c r="D191" s="407"/>
      <c r="E191" s="71"/>
      <c r="F191" s="71"/>
      <c r="G191" s="71"/>
      <c r="H191" s="302">
        <f t="shared" si="16"/>
        <v>1900</v>
      </c>
      <c r="I191" s="302" t="str">
        <f t="shared" si="17"/>
        <v>4</v>
      </c>
    </row>
    <row r="192" spans="3:9">
      <c r="C192" s="71"/>
      <c r="D192" s="407"/>
      <c r="E192" s="71"/>
      <c r="F192" s="71"/>
      <c r="G192" s="71"/>
      <c r="H192" s="302">
        <f t="shared" si="16"/>
        <v>1900</v>
      </c>
      <c r="I192" s="302" t="str">
        <f t="shared" si="17"/>
        <v>4</v>
      </c>
    </row>
    <row r="193" spans="3:9">
      <c r="C193" s="71"/>
      <c r="D193" s="407"/>
      <c r="E193" s="71"/>
      <c r="F193" s="71"/>
      <c r="G193" s="71"/>
      <c r="H193" s="302">
        <f t="shared" si="16"/>
        <v>1900</v>
      </c>
      <c r="I193" s="302" t="str">
        <f t="shared" si="17"/>
        <v>4</v>
      </c>
    </row>
    <row r="194" spans="3:9">
      <c r="C194" s="71"/>
      <c r="D194" s="407"/>
      <c r="E194" s="71"/>
      <c r="F194" s="71"/>
      <c r="G194" s="71"/>
      <c r="H194" s="302">
        <f t="shared" si="16"/>
        <v>1900</v>
      </c>
      <c r="I194" s="302" t="str">
        <f t="shared" si="17"/>
        <v>4</v>
      </c>
    </row>
    <row r="195" spans="3:9">
      <c r="C195" s="71"/>
      <c r="D195" s="407"/>
      <c r="E195" s="71"/>
      <c r="F195" s="71"/>
      <c r="G195" s="71"/>
      <c r="H195" s="302">
        <f t="shared" si="16"/>
        <v>1900</v>
      </c>
      <c r="I195" s="302" t="str">
        <f t="shared" si="17"/>
        <v>4</v>
      </c>
    </row>
    <row r="196" spans="3:9">
      <c r="C196" s="71"/>
      <c r="D196" s="407"/>
      <c r="E196" s="71"/>
      <c r="F196" s="71"/>
      <c r="G196" s="71"/>
      <c r="H196" s="302">
        <f t="shared" si="16"/>
        <v>1900</v>
      </c>
      <c r="I196" s="302" t="str">
        <f t="shared" si="17"/>
        <v>4</v>
      </c>
    </row>
    <row r="197" spans="3:9">
      <c r="C197" s="71"/>
      <c r="D197" s="407"/>
      <c r="E197" s="71"/>
      <c r="F197" s="71"/>
      <c r="G197" s="71"/>
      <c r="H197" s="302">
        <f t="shared" si="16"/>
        <v>1900</v>
      </c>
      <c r="I197" s="302" t="str">
        <f t="shared" si="17"/>
        <v>4</v>
      </c>
    </row>
    <row r="198" spans="3:9">
      <c r="C198" s="71"/>
      <c r="D198" s="407"/>
      <c r="E198" s="71"/>
      <c r="F198" s="71"/>
      <c r="G198" s="71"/>
      <c r="H198" s="302">
        <f t="shared" si="16"/>
        <v>1900</v>
      </c>
      <c r="I198" s="302" t="str">
        <f t="shared" si="17"/>
        <v>4</v>
      </c>
    </row>
    <row r="199" spans="3:9">
      <c r="C199" s="71"/>
      <c r="D199" s="407"/>
      <c r="E199" s="71"/>
      <c r="F199" s="71"/>
      <c r="G199" s="71"/>
      <c r="H199" s="302">
        <f t="shared" si="16"/>
        <v>1900</v>
      </c>
      <c r="I199" s="302" t="str">
        <f t="shared" si="17"/>
        <v>4</v>
      </c>
    </row>
    <row r="200" spans="3:9">
      <c r="C200" s="71"/>
      <c r="D200" s="407"/>
      <c r="E200" s="71"/>
      <c r="F200" s="71"/>
      <c r="G200" s="71"/>
      <c r="H200" s="302">
        <f t="shared" si="16"/>
        <v>1900</v>
      </c>
      <c r="I200" s="302" t="str">
        <f t="shared" si="17"/>
        <v>4</v>
      </c>
    </row>
    <row r="201" spans="3:9">
      <c r="C201" s="71"/>
      <c r="D201" s="407"/>
      <c r="E201" s="71"/>
      <c r="F201" s="71"/>
      <c r="G201" s="71"/>
      <c r="H201" s="302">
        <f t="shared" si="16"/>
        <v>1900</v>
      </c>
      <c r="I201" s="302" t="str">
        <f t="shared" si="17"/>
        <v>4</v>
      </c>
    </row>
    <row r="202" spans="3:9">
      <c r="C202" s="71"/>
      <c r="D202" s="407"/>
      <c r="E202" s="71"/>
      <c r="F202" s="71"/>
      <c r="G202" s="71"/>
      <c r="H202" s="302">
        <f t="shared" ref="H202:H250" si="18">YEAR(A202)</f>
        <v>1900</v>
      </c>
      <c r="I202" s="302" t="str">
        <f t="shared" ref="I202:I250" si="19">IF(MONTH(A202)=3,"1",IF(MONTH(A202)=6,"2",IF(MONTH(A202)=9,"3","4")))</f>
        <v>4</v>
      </c>
    </row>
    <row r="203" spans="3:9">
      <c r="C203" s="71"/>
      <c r="D203" s="407"/>
      <c r="E203" s="71"/>
      <c r="F203" s="71"/>
      <c r="G203" s="71"/>
      <c r="H203" s="302">
        <f t="shared" si="18"/>
        <v>1900</v>
      </c>
      <c r="I203" s="302" t="str">
        <f t="shared" si="19"/>
        <v>4</v>
      </c>
    </row>
    <row r="204" spans="3:9">
      <c r="C204" s="71"/>
      <c r="D204" s="407"/>
      <c r="E204" s="71"/>
      <c r="F204" s="71"/>
      <c r="G204" s="71"/>
      <c r="H204" s="302">
        <f t="shared" si="18"/>
        <v>1900</v>
      </c>
      <c r="I204" s="302" t="str">
        <f t="shared" si="19"/>
        <v>4</v>
      </c>
    </row>
    <row r="205" spans="3:9">
      <c r="C205" s="71"/>
      <c r="D205" s="407"/>
      <c r="E205" s="71"/>
      <c r="F205" s="71"/>
      <c r="G205" s="71"/>
      <c r="H205" s="302">
        <f t="shared" si="18"/>
        <v>1900</v>
      </c>
      <c r="I205" s="302" t="str">
        <f t="shared" si="19"/>
        <v>4</v>
      </c>
    </row>
    <row r="206" spans="3:9">
      <c r="C206" s="71"/>
      <c r="D206" s="407"/>
      <c r="E206" s="71"/>
      <c r="F206" s="71"/>
      <c r="G206" s="71"/>
      <c r="H206" s="302">
        <f t="shared" si="18"/>
        <v>1900</v>
      </c>
      <c r="I206" s="302" t="str">
        <f t="shared" si="19"/>
        <v>4</v>
      </c>
    </row>
    <row r="207" spans="3:9">
      <c r="C207" s="71"/>
      <c r="D207" s="407"/>
      <c r="E207" s="71"/>
      <c r="F207" s="71"/>
      <c r="G207" s="71"/>
      <c r="H207" s="302">
        <f t="shared" si="18"/>
        <v>1900</v>
      </c>
      <c r="I207" s="302" t="str">
        <f t="shared" si="19"/>
        <v>4</v>
      </c>
    </row>
    <row r="208" spans="3:9">
      <c r="C208" s="71"/>
      <c r="D208" s="407"/>
      <c r="E208" s="71"/>
      <c r="F208" s="71"/>
      <c r="G208" s="71"/>
      <c r="H208" s="302">
        <f t="shared" si="18"/>
        <v>1900</v>
      </c>
      <c r="I208" s="302" t="str">
        <f t="shared" si="19"/>
        <v>4</v>
      </c>
    </row>
    <row r="209" spans="3:9">
      <c r="C209" s="71"/>
      <c r="D209" s="407"/>
      <c r="E209" s="71"/>
      <c r="F209" s="71"/>
      <c r="G209" s="71"/>
      <c r="H209" s="302">
        <f t="shared" si="18"/>
        <v>1900</v>
      </c>
      <c r="I209" s="302" t="str">
        <f t="shared" si="19"/>
        <v>4</v>
      </c>
    </row>
    <row r="210" spans="3:9">
      <c r="C210" s="71"/>
      <c r="D210" s="407"/>
      <c r="E210" s="71"/>
      <c r="F210" s="71"/>
      <c r="G210" s="71"/>
      <c r="H210" s="302">
        <f t="shared" si="18"/>
        <v>1900</v>
      </c>
      <c r="I210" s="302" t="str">
        <f t="shared" si="19"/>
        <v>4</v>
      </c>
    </row>
    <row r="211" spans="3:9">
      <c r="C211" s="71"/>
      <c r="D211" s="407"/>
      <c r="E211" s="71"/>
      <c r="F211" s="71"/>
      <c r="G211" s="71"/>
      <c r="H211" s="302">
        <f t="shared" si="18"/>
        <v>1900</v>
      </c>
      <c r="I211" s="302" t="str">
        <f t="shared" si="19"/>
        <v>4</v>
      </c>
    </row>
    <row r="212" spans="3:9">
      <c r="C212" s="71"/>
      <c r="D212" s="407"/>
      <c r="E212" s="71"/>
      <c r="F212" s="71"/>
      <c r="G212" s="71"/>
      <c r="H212" s="302">
        <f t="shared" si="18"/>
        <v>1900</v>
      </c>
      <c r="I212" s="302" t="str">
        <f t="shared" si="19"/>
        <v>4</v>
      </c>
    </row>
    <row r="213" spans="3:9">
      <c r="C213" s="71"/>
      <c r="D213" s="407"/>
      <c r="E213" s="71"/>
      <c r="F213" s="71"/>
      <c r="G213" s="71"/>
      <c r="H213" s="302">
        <f t="shared" si="18"/>
        <v>1900</v>
      </c>
      <c r="I213" s="302" t="str">
        <f t="shared" si="19"/>
        <v>4</v>
      </c>
    </row>
    <row r="214" spans="3:9">
      <c r="C214" s="71"/>
      <c r="D214" s="407"/>
      <c r="E214" s="71"/>
      <c r="F214" s="71"/>
      <c r="G214" s="71"/>
      <c r="H214" s="302">
        <f t="shared" si="18"/>
        <v>1900</v>
      </c>
      <c r="I214" s="302" t="str">
        <f t="shared" si="19"/>
        <v>4</v>
      </c>
    </row>
    <row r="215" spans="3:9">
      <c r="C215" s="71"/>
      <c r="D215" s="407"/>
      <c r="E215" s="71"/>
      <c r="F215" s="71"/>
      <c r="G215" s="71"/>
      <c r="H215" s="302">
        <f t="shared" si="18"/>
        <v>1900</v>
      </c>
      <c r="I215" s="302" t="str">
        <f t="shared" si="19"/>
        <v>4</v>
      </c>
    </row>
    <row r="216" spans="3:9">
      <c r="C216" s="71"/>
      <c r="D216" s="407"/>
      <c r="E216" s="71"/>
      <c r="F216" s="71"/>
      <c r="G216" s="71"/>
      <c r="H216" s="302">
        <f t="shared" si="18"/>
        <v>1900</v>
      </c>
      <c r="I216" s="302" t="str">
        <f t="shared" si="19"/>
        <v>4</v>
      </c>
    </row>
    <row r="217" spans="3:9">
      <c r="C217" s="71"/>
      <c r="D217" s="407"/>
      <c r="E217" s="71"/>
      <c r="F217" s="71"/>
      <c r="G217" s="71"/>
      <c r="H217" s="302">
        <f t="shared" si="18"/>
        <v>1900</v>
      </c>
      <c r="I217" s="302" t="str">
        <f t="shared" si="19"/>
        <v>4</v>
      </c>
    </row>
    <row r="218" spans="3:9">
      <c r="C218" s="71"/>
      <c r="D218" s="407"/>
      <c r="E218" s="71"/>
      <c r="F218" s="71"/>
      <c r="G218" s="71"/>
      <c r="H218" s="302">
        <f t="shared" si="18"/>
        <v>1900</v>
      </c>
      <c r="I218" s="302" t="str">
        <f t="shared" si="19"/>
        <v>4</v>
      </c>
    </row>
    <row r="219" spans="3:9">
      <c r="C219" s="71"/>
      <c r="D219" s="71"/>
      <c r="E219" s="71"/>
      <c r="F219" s="71"/>
      <c r="G219" s="71"/>
      <c r="H219" s="302">
        <f t="shared" si="18"/>
        <v>1900</v>
      </c>
      <c r="I219" s="302" t="str">
        <f t="shared" si="19"/>
        <v>4</v>
      </c>
    </row>
    <row r="220" spans="3:9">
      <c r="C220" s="71"/>
      <c r="D220" s="71"/>
      <c r="E220" s="71"/>
      <c r="F220" s="71"/>
      <c r="G220" s="71"/>
      <c r="H220" s="302">
        <f t="shared" si="18"/>
        <v>1900</v>
      </c>
      <c r="I220" s="302" t="str">
        <f t="shared" si="19"/>
        <v>4</v>
      </c>
    </row>
    <row r="221" spans="3:9">
      <c r="C221" s="71"/>
      <c r="D221" s="71"/>
      <c r="E221" s="71"/>
      <c r="F221" s="71"/>
      <c r="G221" s="71"/>
      <c r="H221" s="302">
        <f t="shared" si="18"/>
        <v>1900</v>
      </c>
      <c r="I221" s="302" t="str">
        <f t="shared" si="19"/>
        <v>4</v>
      </c>
    </row>
    <row r="222" spans="3:9">
      <c r="C222" s="71"/>
      <c r="D222" s="71"/>
      <c r="E222" s="71"/>
      <c r="F222" s="71"/>
      <c r="G222" s="71"/>
      <c r="H222" s="302">
        <f t="shared" si="18"/>
        <v>1900</v>
      </c>
      <c r="I222" s="302" t="str">
        <f t="shared" si="19"/>
        <v>4</v>
      </c>
    </row>
    <row r="223" spans="3:9">
      <c r="C223" s="71"/>
      <c r="D223" s="71"/>
      <c r="E223" s="71"/>
      <c r="F223" s="71"/>
      <c r="G223" s="71"/>
      <c r="H223" s="302">
        <f t="shared" si="18"/>
        <v>1900</v>
      </c>
      <c r="I223" s="302" t="str">
        <f t="shared" si="19"/>
        <v>4</v>
      </c>
    </row>
    <row r="224" spans="3:9">
      <c r="C224" s="71"/>
      <c r="D224" s="71"/>
      <c r="E224" s="71"/>
      <c r="F224" s="71"/>
      <c r="G224" s="71"/>
      <c r="H224" s="302">
        <f t="shared" si="18"/>
        <v>1900</v>
      </c>
      <c r="I224" s="302" t="str">
        <f t="shared" si="19"/>
        <v>4</v>
      </c>
    </row>
    <row r="225" spans="3:9">
      <c r="C225" s="71"/>
      <c r="D225" s="71"/>
      <c r="E225" s="71"/>
      <c r="F225" s="71"/>
      <c r="G225" s="71"/>
      <c r="H225" s="302">
        <f t="shared" si="18"/>
        <v>1900</v>
      </c>
      <c r="I225" s="302" t="str">
        <f t="shared" si="19"/>
        <v>4</v>
      </c>
    </row>
    <row r="226" spans="3:9">
      <c r="C226" s="71"/>
      <c r="D226" s="71"/>
      <c r="E226" s="71"/>
      <c r="F226" s="71"/>
      <c r="G226" s="71"/>
      <c r="H226" s="302">
        <f t="shared" si="18"/>
        <v>1900</v>
      </c>
      <c r="I226" s="302" t="str">
        <f t="shared" si="19"/>
        <v>4</v>
      </c>
    </row>
    <row r="227" spans="3:9">
      <c r="C227" s="71"/>
      <c r="D227" s="71"/>
      <c r="E227" s="71"/>
      <c r="F227" s="71"/>
      <c r="G227" s="71"/>
      <c r="H227" s="302">
        <f t="shared" si="18"/>
        <v>1900</v>
      </c>
      <c r="I227" s="302" t="str">
        <f t="shared" si="19"/>
        <v>4</v>
      </c>
    </row>
    <row r="228" spans="3:9">
      <c r="C228" s="71"/>
      <c r="D228" s="71"/>
      <c r="E228" s="71"/>
      <c r="F228" s="71"/>
      <c r="G228" s="71"/>
      <c r="H228" s="302">
        <f t="shared" si="18"/>
        <v>1900</v>
      </c>
      <c r="I228" s="302" t="str">
        <f t="shared" si="19"/>
        <v>4</v>
      </c>
    </row>
    <row r="229" spans="3:9">
      <c r="C229" s="71"/>
      <c r="D229" s="71"/>
      <c r="E229" s="71"/>
      <c r="F229" s="71"/>
      <c r="G229" s="71"/>
      <c r="H229" s="302">
        <f t="shared" si="18"/>
        <v>1900</v>
      </c>
      <c r="I229" s="302" t="str">
        <f t="shared" si="19"/>
        <v>4</v>
      </c>
    </row>
    <row r="230" spans="3:9">
      <c r="C230" s="71"/>
      <c r="D230" s="71"/>
      <c r="E230" s="71"/>
      <c r="F230" s="71"/>
      <c r="G230" s="71"/>
      <c r="H230" s="302">
        <f t="shared" si="18"/>
        <v>1900</v>
      </c>
      <c r="I230" s="302" t="str">
        <f t="shared" si="19"/>
        <v>4</v>
      </c>
    </row>
    <row r="231" spans="3:9">
      <c r="C231" s="71"/>
      <c r="D231" s="71"/>
      <c r="E231" s="71"/>
      <c r="F231" s="71"/>
      <c r="G231" s="71"/>
      <c r="H231" s="302">
        <f t="shared" si="18"/>
        <v>1900</v>
      </c>
      <c r="I231" s="302" t="str">
        <f t="shared" si="19"/>
        <v>4</v>
      </c>
    </row>
    <row r="232" spans="3:9">
      <c r="C232" s="71"/>
      <c r="D232" s="71"/>
      <c r="E232" s="71"/>
      <c r="F232" s="71"/>
      <c r="G232" s="71"/>
      <c r="H232" s="302">
        <f t="shared" si="18"/>
        <v>1900</v>
      </c>
      <c r="I232" s="302" t="str">
        <f t="shared" si="19"/>
        <v>4</v>
      </c>
    </row>
    <row r="233" spans="3:9">
      <c r="C233" s="71"/>
      <c r="D233" s="71"/>
      <c r="E233" s="71"/>
      <c r="F233" s="71"/>
      <c r="G233" s="71"/>
      <c r="H233" s="302">
        <f t="shared" si="18"/>
        <v>1900</v>
      </c>
      <c r="I233" s="302" t="str">
        <f t="shared" si="19"/>
        <v>4</v>
      </c>
    </row>
    <row r="234" spans="3:9">
      <c r="C234" s="71"/>
      <c r="D234" s="71"/>
      <c r="E234" s="71"/>
      <c r="F234" s="71"/>
      <c r="G234" s="71"/>
      <c r="H234" s="302">
        <f t="shared" si="18"/>
        <v>1900</v>
      </c>
      <c r="I234" s="302" t="str">
        <f t="shared" si="19"/>
        <v>4</v>
      </c>
    </row>
    <row r="235" spans="3:9">
      <c r="C235" s="71"/>
      <c r="D235" s="71"/>
      <c r="E235" s="71"/>
      <c r="F235" s="71"/>
      <c r="G235" s="71"/>
      <c r="H235" s="302">
        <f t="shared" si="18"/>
        <v>1900</v>
      </c>
      <c r="I235" s="302" t="str">
        <f t="shared" si="19"/>
        <v>4</v>
      </c>
    </row>
    <row r="236" spans="3:9">
      <c r="C236" s="71"/>
      <c r="D236" s="71"/>
      <c r="E236" s="71"/>
      <c r="F236" s="71"/>
      <c r="G236" s="71"/>
      <c r="H236" s="302">
        <f t="shared" si="18"/>
        <v>1900</v>
      </c>
      <c r="I236" s="302" t="str">
        <f t="shared" si="19"/>
        <v>4</v>
      </c>
    </row>
    <row r="237" spans="3:9">
      <c r="C237" s="71"/>
      <c r="D237" s="71"/>
      <c r="E237" s="71"/>
      <c r="F237" s="71"/>
      <c r="G237" s="71"/>
      <c r="H237" s="302">
        <f t="shared" si="18"/>
        <v>1900</v>
      </c>
      <c r="I237" s="302" t="str">
        <f t="shared" si="19"/>
        <v>4</v>
      </c>
    </row>
    <row r="238" spans="3:9">
      <c r="C238" s="71"/>
      <c r="D238" s="71"/>
      <c r="E238" s="71"/>
      <c r="F238" s="71"/>
      <c r="G238" s="71"/>
      <c r="H238" s="302">
        <f t="shared" si="18"/>
        <v>1900</v>
      </c>
      <c r="I238" s="302" t="str">
        <f t="shared" si="19"/>
        <v>4</v>
      </c>
    </row>
    <row r="239" spans="3:9">
      <c r="C239" s="71"/>
      <c r="D239" s="71"/>
      <c r="E239" s="71"/>
      <c r="F239" s="71"/>
      <c r="G239" s="71"/>
      <c r="H239" s="302">
        <f t="shared" si="18"/>
        <v>1900</v>
      </c>
      <c r="I239" s="302" t="str">
        <f t="shared" si="19"/>
        <v>4</v>
      </c>
    </row>
    <row r="240" spans="3:9">
      <c r="C240" s="71"/>
      <c r="D240" s="71"/>
      <c r="E240" s="71"/>
      <c r="F240" s="71"/>
      <c r="G240" s="71"/>
      <c r="H240" s="302">
        <f t="shared" si="18"/>
        <v>1900</v>
      </c>
      <c r="I240" s="302" t="str">
        <f t="shared" si="19"/>
        <v>4</v>
      </c>
    </row>
    <row r="241" spans="3:9">
      <c r="C241" s="71"/>
      <c r="D241" s="71"/>
      <c r="E241" s="71"/>
      <c r="F241" s="71"/>
      <c r="G241" s="71"/>
      <c r="H241" s="302">
        <f t="shared" si="18"/>
        <v>1900</v>
      </c>
      <c r="I241" s="302" t="str">
        <f t="shared" si="19"/>
        <v>4</v>
      </c>
    </row>
    <row r="242" spans="3:9">
      <c r="C242" s="71"/>
      <c r="D242" s="71"/>
      <c r="E242" s="71"/>
      <c r="F242" s="71"/>
      <c r="G242" s="71"/>
      <c r="H242" s="302">
        <f t="shared" si="18"/>
        <v>1900</v>
      </c>
      <c r="I242" s="302" t="str">
        <f t="shared" si="19"/>
        <v>4</v>
      </c>
    </row>
    <row r="243" spans="3:9">
      <c r="C243" s="71"/>
      <c r="D243" s="71"/>
      <c r="E243" s="71"/>
      <c r="F243" s="71"/>
      <c r="G243" s="71"/>
      <c r="H243" s="302">
        <f t="shared" si="18"/>
        <v>1900</v>
      </c>
      <c r="I243" s="302" t="str">
        <f t="shared" si="19"/>
        <v>4</v>
      </c>
    </row>
    <row r="244" spans="3:9">
      <c r="C244" s="71"/>
      <c r="D244" s="71"/>
      <c r="E244" s="71"/>
      <c r="F244" s="71"/>
      <c r="G244" s="71"/>
      <c r="H244" s="302">
        <f t="shared" si="18"/>
        <v>1900</v>
      </c>
      <c r="I244" s="302" t="str">
        <f t="shared" si="19"/>
        <v>4</v>
      </c>
    </row>
    <row r="245" spans="3:9">
      <c r="C245" s="71"/>
      <c r="D245" s="71"/>
      <c r="E245" s="71"/>
      <c r="F245" s="71"/>
      <c r="G245" s="71"/>
      <c r="H245" s="302">
        <f t="shared" si="18"/>
        <v>1900</v>
      </c>
      <c r="I245" s="302" t="str">
        <f t="shared" si="19"/>
        <v>4</v>
      </c>
    </row>
    <row r="246" spans="3:9">
      <c r="C246" s="71"/>
      <c r="D246" s="71"/>
      <c r="E246" s="71"/>
      <c r="F246" s="71"/>
      <c r="G246" s="71"/>
      <c r="H246" s="302">
        <f t="shared" si="18"/>
        <v>1900</v>
      </c>
      <c r="I246" s="302" t="str">
        <f t="shared" si="19"/>
        <v>4</v>
      </c>
    </row>
    <row r="247" spans="3:9">
      <c r="C247" s="71"/>
      <c r="D247" s="71"/>
      <c r="E247" s="71"/>
      <c r="F247" s="71"/>
      <c r="G247" s="71"/>
      <c r="H247" s="302">
        <f t="shared" si="18"/>
        <v>1900</v>
      </c>
      <c r="I247" s="302" t="str">
        <f t="shared" si="19"/>
        <v>4</v>
      </c>
    </row>
    <row r="248" spans="3:9">
      <c r="C248" s="71"/>
      <c r="D248" s="71"/>
      <c r="E248" s="71"/>
      <c r="F248" s="71"/>
      <c r="G248" s="71"/>
      <c r="H248" s="302">
        <f t="shared" si="18"/>
        <v>1900</v>
      </c>
      <c r="I248" s="302" t="str">
        <f t="shared" si="19"/>
        <v>4</v>
      </c>
    </row>
    <row r="249" spans="3:9">
      <c r="C249" s="71"/>
      <c r="D249" s="71"/>
      <c r="E249" s="71"/>
      <c r="F249" s="71"/>
      <c r="G249" s="71"/>
      <c r="H249" s="302">
        <f t="shared" si="18"/>
        <v>1900</v>
      </c>
      <c r="I249" s="302" t="str">
        <f t="shared" si="19"/>
        <v>4</v>
      </c>
    </row>
    <row r="250" spans="3:9">
      <c r="C250" s="71"/>
      <c r="D250" s="71"/>
      <c r="E250" s="71"/>
      <c r="F250" s="71"/>
      <c r="G250" s="71"/>
      <c r="H250" s="302">
        <f t="shared" si="18"/>
        <v>1900</v>
      </c>
      <c r="I250" s="302" t="str">
        <f t="shared" si="19"/>
        <v>4</v>
      </c>
    </row>
    <row r="251" spans="3:9">
      <c r="C251" s="71"/>
      <c r="D251" s="71"/>
      <c r="E251" s="71"/>
      <c r="F251" s="71"/>
      <c r="G251" s="71"/>
      <c r="H251" s="303"/>
      <c r="I251" s="303"/>
    </row>
    <row r="252" spans="3:9">
      <c r="C252" s="71"/>
      <c r="D252" s="71"/>
      <c r="E252" s="71"/>
      <c r="F252" s="71"/>
      <c r="G252" s="71"/>
      <c r="H252" s="303"/>
      <c r="I252" s="303"/>
    </row>
    <row r="253" spans="3:9">
      <c r="C253" s="71"/>
      <c r="D253" s="71"/>
      <c r="E253" s="71"/>
      <c r="F253" s="71"/>
      <c r="G253" s="71"/>
      <c r="H253" s="303"/>
      <c r="I253" s="303"/>
    </row>
    <row r="254" spans="3:9">
      <c r="C254" s="71"/>
      <c r="D254" s="71"/>
      <c r="E254" s="71"/>
      <c r="F254" s="71"/>
      <c r="G254" s="71"/>
      <c r="H254" s="303"/>
      <c r="I254" s="303"/>
    </row>
    <row r="255" spans="3:9">
      <c r="C255" s="71"/>
      <c r="D255" s="71"/>
      <c r="E255" s="71"/>
      <c r="F255" s="71"/>
      <c r="G255" s="71"/>
      <c r="H255" s="303"/>
      <c r="I255" s="303"/>
    </row>
    <row r="256" spans="3:9">
      <c r="C256" s="71"/>
      <c r="D256" s="71"/>
      <c r="E256" s="71"/>
      <c r="F256" s="71"/>
      <c r="G256" s="71"/>
      <c r="H256" s="303"/>
      <c r="I256" s="303"/>
    </row>
    <row r="257" spans="3:9">
      <c r="C257" s="71"/>
      <c r="D257" s="71"/>
      <c r="E257" s="71"/>
      <c r="F257" s="71"/>
      <c r="G257" s="71"/>
      <c r="H257" s="303"/>
      <c r="I257" s="303"/>
    </row>
    <row r="258" spans="3:9">
      <c r="C258" s="71"/>
      <c r="D258" s="71"/>
      <c r="E258" s="71"/>
      <c r="F258" s="71"/>
      <c r="G258" s="71"/>
      <c r="H258" s="303"/>
      <c r="I258" s="303"/>
    </row>
    <row r="259" spans="3:9">
      <c r="C259" s="71"/>
      <c r="D259" s="71"/>
      <c r="E259" s="71"/>
      <c r="F259" s="71"/>
      <c r="G259" s="71"/>
      <c r="H259" s="303"/>
      <c r="I259" s="303"/>
    </row>
    <row r="260" spans="3:9">
      <c r="C260" s="71"/>
      <c r="D260" s="71"/>
      <c r="E260" s="71"/>
      <c r="F260" s="71"/>
      <c r="G260" s="71"/>
      <c r="H260" s="303"/>
      <c r="I260" s="303"/>
    </row>
    <row r="261" spans="3:9">
      <c r="C261" s="71"/>
      <c r="D261" s="71"/>
      <c r="E261" s="71"/>
      <c r="F261" s="71"/>
      <c r="G261" s="71"/>
      <c r="H261" s="303"/>
      <c r="I261" s="303"/>
    </row>
    <row r="262" spans="3:9">
      <c r="C262" s="71"/>
      <c r="D262" s="71"/>
      <c r="E262" s="71"/>
      <c r="F262" s="71"/>
      <c r="G262" s="71"/>
      <c r="H262" s="303"/>
      <c r="I262" s="303"/>
    </row>
    <row r="263" spans="3:9">
      <c r="C263" s="71"/>
      <c r="D263" s="71"/>
      <c r="E263" s="71"/>
      <c r="F263" s="71"/>
      <c r="G263" s="71"/>
      <c r="H263" s="303"/>
      <c r="I263" s="303"/>
    </row>
    <row r="264" spans="3:9">
      <c r="C264" s="71"/>
      <c r="D264" s="71"/>
      <c r="E264" s="71"/>
      <c r="F264" s="71"/>
      <c r="G264" s="71"/>
      <c r="H264" s="303"/>
      <c r="I264" s="303"/>
    </row>
    <row r="265" spans="3:9">
      <c r="C265" s="71"/>
      <c r="D265" s="71"/>
      <c r="E265" s="71"/>
      <c r="F265" s="71"/>
      <c r="G265" s="71"/>
      <c r="H265" s="303"/>
      <c r="I265" s="303"/>
    </row>
    <row r="266" spans="3:9">
      <c r="C266" s="71"/>
      <c r="D266" s="71"/>
      <c r="E266" s="71"/>
      <c r="F266" s="71"/>
      <c r="G266" s="71"/>
      <c r="H266" s="303"/>
      <c r="I266" s="303"/>
    </row>
    <row r="267" spans="3:9">
      <c r="C267" s="71"/>
      <c r="D267" s="71"/>
      <c r="E267" s="71"/>
      <c r="F267" s="71"/>
      <c r="G267" s="71"/>
      <c r="H267" s="303"/>
      <c r="I267" s="303"/>
    </row>
    <row r="268" spans="3:9">
      <c r="C268" s="71"/>
      <c r="D268" s="71"/>
      <c r="E268" s="71"/>
      <c r="F268" s="71"/>
      <c r="G268" s="71"/>
      <c r="H268" s="303"/>
      <c r="I268" s="303"/>
    </row>
    <row r="269" spans="3:9">
      <c r="C269" s="71"/>
      <c r="D269" s="71"/>
      <c r="E269" s="71"/>
      <c r="F269" s="71"/>
      <c r="G269" s="71"/>
      <c r="H269" s="303"/>
      <c r="I269" s="303"/>
    </row>
    <row r="270" spans="3:9">
      <c r="C270" s="71"/>
      <c r="D270" s="71"/>
      <c r="E270" s="71"/>
      <c r="F270" s="71"/>
      <c r="G270" s="71"/>
      <c r="H270" s="303"/>
      <c r="I270" s="303"/>
    </row>
    <row r="271" spans="3:9">
      <c r="C271" s="71"/>
      <c r="D271" s="71"/>
      <c r="E271" s="71"/>
      <c r="F271" s="71"/>
      <c r="G271" s="71"/>
      <c r="H271" s="303"/>
      <c r="I271" s="303"/>
    </row>
    <row r="272" spans="3:9">
      <c r="C272" s="71"/>
      <c r="D272" s="71"/>
      <c r="E272" s="71"/>
      <c r="F272" s="71"/>
      <c r="G272" s="71"/>
      <c r="H272" s="303"/>
      <c r="I272" s="303"/>
    </row>
    <row r="273" spans="3:9">
      <c r="C273" s="71"/>
      <c r="D273" s="71"/>
      <c r="E273" s="71"/>
      <c r="F273" s="71"/>
      <c r="G273" s="71"/>
      <c r="H273" s="303"/>
      <c r="I273" s="303"/>
    </row>
    <row r="274" spans="3:9">
      <c r="C274" s="71"/>
      <c r="D274" s="71"/>
      <c r="E274" s="71"/>
      <c r="F274" s="71"/>
      <c r="G274" s="71"/>
      <c r="H274" s="303"/>
      <c r="I274" s="303"/>
    </row>
    <row r="275" spans="3:9">
      <c r="C275" s="71"/>
      <c r="D275" s="71"/>
      <c r="E275" s="71"/>
      <c r="F275" s="71"/>
      <c r="G275" s="71"/>
      <c r="H275" s="303"/>
      <c r="I275" s="303"/>
    </row>
    <row r="276" spans="3:9">
      <c r="C276" s="71"/>
      <c r="D276" s="71"/>
      <c r="E276" s="71"/>
      <c r="F276" s="71"/>
      <c r="G276" s="71"/>
      <c r="H276" s="303"/>
      <c r="I276" s="303"/>
    </row>
    <row r="277" spans="3:9">
      <c r="C277" s="71"/>
      <c r="D277" s="71"/>
      <c r="E277" s="71"/>
      <c r="F277" s="71"/>
      <c r="G277" s="71"/>
      <c r="H277" s="303"/>
      <c r="I277" s="303"/>
    </row>
    <row r="278" spans="3:9">
      <c r="C278" s="71"/>
      <c r="D278" s="71"/>
      <c r="E278" s="71"/>
      <c r="F278" s="71"/>
      <c r="G278" s="71"/>
      <c r="H278" s="303"/>
      <c r="I278" s="303"/>
    </row>
    <row r="279" spans="3:9">
      <c r="C279" s="71"/>
      <c r="D279" s="71"/>
      <c r="E279" s="71"/>
      <c r="F279" s="71"/>
      <c r="G279" s="71"/>
      <c r="H279" s="303"/>
      <c r="I279" s="303"/>
    </row>
    <row r="280" spans="3:9">
      <c r="C280" s="71"/>
      <c r="D280" s="71"/>
      <c r="E280" s="71"/>
      <c r="F280" s="71"/>
      <c r="G280" s="71"/>
      <c r="H280" s="303"/>
      <c r="I280" s="303"/>
    </row>
    <row r="281" spans="3:9">
      <c r="C281" s="71"/>
      <c r="D281" s="71"/>
      <c r="E281" s="71"/>
      <c r="F281" s="71"/>
      <c r="G281" s="71"/>
      <c r="H281" s="303"/>
      <c r="I281" s="303"/>
    </row>
    <row r="282" spans="3:9">
      <c r="C282" s="71"/>
      <c r="D282" s="71"/>
      <c r="E282" s="71"/>
      <c r="F282" s="71"/>
      <c r="G282" s="71"/>
      <c r="H282" s="303"/>
      <c r="I282" s="303"/>
    </row>
    <row r="283" spans="3:9">
      <c r="C283" s="71"/>
      <c r="D283" s="71"/>
      <c r="E283" s="71"/>
      <c r="F283" s="71"/>
      <c r="G283" s="71"/>
      <c r="H283" s="303"/>
      <c r="I283" s="303"/>
    </row>
    <row r="284" spans="3:9">
      <c r="C284" s="71"/>
      <c r="D284" s="71"/>
      <c r="E284" s="71"/>
      <c r="F284" s="71"/>
      <c r="G284" s="71"/>
      <c r="H284" s="303"/>
      <c r="I284" s="303"/>
    </row>
    <row r="285" spans="3:9">
      <c r="C285" s="71"/>
      <c r="D285" s="71"/>
      <c r="E285" s="71"/>
      <c r="F285" s="71"/>
      <c r="G285" s="71"/>
      <c r="H285" s="303"/>
      <c r="I285" s="303"/>
    </row>
    <row r="286" spans="3:9">
      <c r="C286" s="71"/>
      <c r="D286" s="71"/>
      <c r="E286" s="71"/>
      <c r="F286" s="71"/>
      <c r="G286" s="71"/>
      <c r="H286" s="303"/>
      <c r="I286" s="303"/>
    </row>
    <row r="287" spans="3:9">
      <c r="C287" s="71"/>
      <c r="D287" s="71"/>
      <c r="E287" s="71"/>
      <c r="F287" s="71"/>
      <c r="G287" s="71"/>
      <c r="H287" s="303"/>
      <c r="I287" s="303"/>
    </row>
    <row r="288" spans="3:9">
      <c r="C288" s="71"/>
      <c r="D288" s="71"/>
      <c r="E288" s="71"/>
      <c r="F288" s="71"/>
      <c r="G288" s="71"/>
      <c r="H288" s="303"/>
      <c r="I288" s="303"/>
    </row>
    <row r="289" spans="3:9">
      <c r="C289" s="71"/>
      <c r="D289" s="71"/>
      <c r="E289" s="71"/>
      <c r="F289" s="71"/>
      <c r="G289" s="71"/>
      <c r="H289" s="303"/>
      <c r="I289" s="303"/>
    </row>
    <row r="290" spans="3:9">
      <c r="C290" s="71"/>
      <c r="D290" s="71"/>
      <c r="E290" s="71"/>
      <c r="F290" s="71"/>
      <c r="G290" s="71"/>
      <c r="H290" s="303"/>
      <c r="I290" s="303"/>
    </row>
    <row r="291" spans="3:9">
      <c r="C291" s="71"/>
      <c r="D291" s="71"/>
      <c r="E291" s="71"/>
      <c r="F291" s="71"/>
      <c r="G291" s="71"/>
      <c r="H291" s="303"/>
      <c r="I291" s="303"/>
    </row>
    <row r="292" spans="3:9">
      <c r="C292" s="71"/>
      <c r="D292" s="71"/>
      <c r="E292" s="71"/>
      <c r="F292" s="71"/>
      <c r="G292" s="71"/>
      <c r="H292" s="303"/>
      <c r="I292" s="303"/>
    </row>
    <row r="293" spans="3:9">
      <c r="C293" s="71"/>
      <c r="D293" s="71"/>
      <c r="E293" s="71"/>
      <c r="F293" s="71"/>
      <c r="G293" s="71"/>
      <c r="H293" s="303"/>
      <c r="I293" s="303"/>
    </row>
    <row r="294" spans="3:9">
      <c r="C294" s="71"/>
      <c r="D294" s="71"/>
      <c r="E294" s="71"/>
      <c r="F294" s="71"/>
      <c r="G294" s="71"/>
      <c r="H294" s="303"/>
      <c r="I294" s="303"/>
    </row>
    <row r="295" spans="3:9">
      <c r="C295" s="71"/>
      <c r="D295" s="71"/>
      <c r="E295" s="71"/>
      <c r="F295" s="71"/>
      <c r="G295" s="71"/>
      <c r="H295" s="303"/>
      <c r="I295" s="303"/>
    </row>
    <row r="296" spans="3:9">
      <c r="C296" s="71"/>
      <c r="D296" s="71"/>
      <c r="E296" s="71"/>
      <c r="F296" s="71"/>
      <c r="G296" s="71"/>
      <c r="H296" s="303"/>
      <c r="I296" s="303"/>
    </row>
    <row r="297" spans="3:9">
      <c r="C297" s="71"/>
      <c r="D297" s="71"/>
      <c r="E297" s="71"/>
      <c r="F297" s="71"/>
      <c r="G297" s="71"/>
      <c r="H297" s="303"/>
      <c r="I297" s="303"/>
    </row>
    <row r="298" spans="3:9">
      <c r="C298" s="71"/>
      <c r="D298" s="71"/>
      <c r="E298" s="71"/>
      <c r="F298" s="71"/>
      <c r="G298" s="71"/>
      <c r="H298" s="303"/>
      <c r="I298" s="303"/>
    </row>
    <row r="299" spans="3:9">
      <c r="C299" s="71"/>
      <c r="D299" s="71"/>
      <c r="E299" s="71"/>
      <c r="F299" s="71"/>
      <c r="G299" s="71"/>
      <c r="H299" s="303"/>
      <c r="I299" s="303"/>
    </row>
    <row r="300" spans="3:9">
      <c r="C300" s="71"/>
      <c r="D300" s="71"/>
      <c r="E300" s="71"/>
      <c r="F300" s="71"/>
      <c r="G300" s="71"/>
      <c r="H300" s="303"/>
      <c r="I300" s="303"/>
    </row>
    <row r="301" spans="3:9">
      <c r="C301" s="71"/>
      <c r="D301" s="71"/>
      <c r="E301" s="71"/>
      <c r="F301" s="71"/>
      <c r="G301" s="71"/>
      <c r="H301" s="303"/>
      <c r="I301" s="303"/>
    </row>
    <row r="302" spans="3:9">
      <c r="C302" s="71"/>
      <c r="D302" s="71"/>
      <c r="E302" s="71"/>
      <c r="F302" s="71"/>
      <c r="G302" s="71"/>
      <c r="H302" s="303"/>
      <c r="I302" s="303"/>
    </row>
    <row r="303" spans="3:9">
      <c r="C303" s="71"/>
      <c r="D303" s="71"/>
      <c r="E303" s="71"/>
      <c r="F303" s="71"/>
      <c r="G303" s="71"/>
      <c r="H303" s="303"/>
      <c r="I303" s="303"/>
    </row>
    <row r="304" spans="3:9">
      <c r="C304" s="71"/>
      <c r="D304" s="71"/>
      <c r="E304" s="71"/>
      <c r="F304" s="71"/>
      <c r="G304" s="71"/>
      <c r="H304" s="303"/>
      <c r="I304" s="303"/>
    </row>
    <row r="305" spans="3:9">
      <c r="C305" s="71"/>
      <c r="D305" s="71"/>
      <c r="E305" s="71"/>
      <c r="F305" s="71"/>
      <c r="G305" s="71"/>
      <c r="H305" s="303"/>
      <c r="I305" s="303"/>
    </row>
    <row r="306" spans="3:9">
      <c r="C306" s="71"/>
      <c r="D306" s="71"/>
      <c r="E306" s="71"/>
      <c r="F306" s="71"/>
      <c r="G306" s="71"/>
      <c r="H306" s="303"/>
      <c r="I306" s="303"/>
    </row>
    <row r="307" spans="3:9">
      <c r="C307" s="71"/>
      <c r="D307" s="71"/>
      <c r="E307" s="71"/>
      <c r="F307" s="71"/>
      <c r="G307" s="71"/>
      <c r="H307" s="303"/>
      <c r="I307" s="303"/>
    </row>
    <row r="308" spans="3:9">
      <c r="C308" s="71"/>
      <c r="D308" s="71"/>
      <c r="E308" s="71"/>
      <c r="F308" s="71"/>
      <c r="G308" s="71"/>
      <c r="H308" s="303"/>
      <c r="I308" s="303"/>
    </row>
    <row r="309" spans="3:9">
      <c r="C309" s="71"/>
      <c r="D309" s="71"/>
      <c r="E309" s="71"/>
      <c r="F309" s="71"/>
      <c r="G309" s="71"/>
      <c r="H309" s="303"/>
      <c r="I309" s="303"/>
    </row>
    <row r="310" spans="3:9">
      <c r="C310" s="71"/>
      <c r="D310" s="71"/>
      <c r="E310" s="71"/>
      <c r="F310" s="71"/>
      <c r="G310" s="71"/>
      <c r="H310" s="303"/>
      <c r="I310" s="303"/>
    </row>
    <row r="311" spans="3:9">
      <c r="C311" s="71"/>
      <c r="D311" s="71"/>
      <c r="E311" s="71"/>
      <c r="F311" s="71"/>
      <c r="G311" s="71"/>
      <c r="H311" s="303"/>
      <c r="I311" s="303"/>
    </row>
    <row r="312" spans="3:9">
      <c r="C312" s="71"/>
      <c r="D312" s="71"/>
      <c r="E312" s="71"/>
      <c r="F312" s="71"/>
      <c r="G312" s="71"/>
      <c r="H312" s="303"/>
      <c r="I312" s="303"/>
    </row>
    <row r="313" spans="3:9">
      <c r="C313" s="71"/>
      <c r="D313" s="71"/>
      <c r="E313" s="71"/>
      <c r="F313" s="71"/>
      <c r="G313" s="71"/>
      <c r="H313" s="303"/>
      <c r="I313" s="303"/>
    </row>
    <row r="314" spans="3:9">
      <c r="C314" s="71"/>
      <c r="D314" s="71"/>
      <c r="E314" s="71"/>
      <c r="F314" s="71"/>
      <c r="G314" s="71"/>
      <c r="H314" s="303"/>
      <c r="I314" s="303"/>
    </row>
    <row r="315" spans="3:9">
      <c r="C315" s="71"/>
      <c r="D315" s="71"/>
      <c r="E315" s="71"/>
      <c r="F315" s="71"/>
      <c r="G315" s="71"/>
      <c r="H315" s="303"/>
      <c r="I315" s="303"/>
    </row>
    <row r="316" spans="3:9">
      <c r="C316" s="71"/>
      <c r="D316" s="71"/>
      <c r="E316" s="71"/>
      <c r="F316" s="71"/>
      <c r="G316" s="71"/>
      <c r="H316" s="303"/>
      <c r="I316" s="303"/>
    </row>
    <row r="317" spans="3:9">
      <c r="C317" s="71"/>
      <c r="D317" s="71"/>
      <c r="E317" s="71"/>
      <c r="F317" s="71"/>
      <c r="G317" s="71"/>
      <c r="H317" s="303"/>
      <c r="I317" s="303"/>
    </row>
    <row r="318" spans="3:9">
      <c r="C318" s="71"/>
      <c r="D318" s="71"/>
      <c r="E318" s="71"/>
      <c r="F318" s="71"/>
      <c r="G318" s="71"/>
      <c r="H318" s="303"/>
      <c r="I318" s="303"/>
    </row>
    <row r="319" spans="3:9">
      <c r="C319" s="71"/>
      <c r="D319" s="71"/>
      <c r="E319" s="71"/>
      <c r="F319" s="71"/>
      <c r="G319" s="71"/>
      <c r="H319" s="303"/>
      <c r="I319" s="303"/>
    </row>
    <row r="320" spans="3:9">
      <c r="C320" s="71"/>
      <c r="D320" s="71"/>
      <c r="E320" s="71"/>
      <c r="F320" s="71"/>
      <c r="G320" s="71"/>
      <c r="H320" s="303"/>
      <c r="I320" s="303"/>
    </row>
    <row r="321" spans="3:9">
      <c r="C321" s="71"/>
      <c r="D321" s="71"/>
      <c r="E321" s="71"/>
      <c r="F321" s="71"/>
      <c r="G321" s="71"/>
      <c r="H321" s="303"/>
      <c r="I321" s="303"/>
    </row>
    <row r="322" spans="3:9">
      <c r="C322" s="71"/>
      <c r="D322" s="71"/>
      <c r="E322" s="71"/>
      <c r="F322" s="71"/>
      <c r="G322" s="71"/>
      <c r="H322" s="303"/>
      <c r="I322" s="303"/>
    </row>
    <row r="323" spans="3:9">
      <c r="C323" s="71"/>
      <c r="D323" s="71"/>
      <c r="E323" s="71"/>
      <c r="F323" s="71"/>
      <c r="G323" s="71"/>
      <c r="H323" s="303"/>
      <c r="I323" s="303"/>
    </row>
    <row r="324" spans="3:9">
      <c r="C324" s="71"/>
      <c r="D324" s="71"/>
      <c r="E324" s="71"/>
      <c r="F324" s="71"/>
      <c r="G324" s="71"/>
      <c r="H324" s="303"/>
      <c r="I324" s="303"/>
    </row>
    <row r="325" spans="3:9">
      <c r="C325" s="71"/>
      <c r="D325" s="71"/>
      <c r="E325" s="71"/>
      <c r="F325" s="71"/>
      <c r="G325" s="71"/>
      <c r="H325" s="303"/>
      <c r="I325" s="303"/>
    </row>
    <row r="326" spans="3:9">
      <c r="C326" s="71"/>
      <c r="D326" s="71"/>
      <c r="E326" s="71"/>
      <c r="F326" s="71"/>
      <c r="G326" s="71"/>
      <c r="H326" s="303"/>
      <c r="I326" s="303"/>
    </row>
    <row r="327" spans="3:9">
      <c r="C327" s="71"/>
      <c r="D327" s="71"/>
      <c r="E327" s="71"/>
      <c r="F327" s="71"/>
      <c r="G327" s="71"/>
      <c r="H327" s="303"/>
      <c r="I327" s="303"/>
    </row>
    <row r="328" spans="3:9">
      <c r="C328" s="71"/>
      <c r="D328" s="71"/>
      <c r="E328" s="71"/>
      <c r="F328" s="71"/>
      <c r="G328" s="71"/>
      <c r="H328" s="303"/>
      <c r="I328" s="303"/>
    </row>
    <row r="329" spans="3:9">
      <c r="C329" s="71"/>
      <c r="D329" s="71"/>
      <c r="E329" s="71"/>
      <c r="F329" s="71"/>
      <c r="G329" s="71"/>
      <c r="H329" s="303"/>
      <c r="I329" s="303"/>
    </row>
    <row r="330" spans="3:9">
      <c r="C330" s="71"/>
      <c r="D330" s="71"/>
      <c r="E330" s="71"/>
      <c r="F330" s="71"/>
      <c r="G330" s="71"/>
      <c r="H330" s="303"/>
      <c r="I330" s="303"/>
    </row>
    <row r="331" spans="3:9">
      <c r="C331" s="71"/>
      <c r="D331" s="71"/>
      <c r="E331" s="71"/>
      <c r="F331" s="71"/>
      <c r="G331" s="71"/>
      <c r="H331" s="303"/>
      <c r="I331" s="303"/>
    </row>
    <row r="332" spans="3:9">
      <c r="C332" s="71"/>
      <c r="D332" s="71"/>
      <c r="E332" s="71"/>
      <c r="F332" s="71"/>
      <c r="G332" s="71"/>
      <c r="H332" s="303"/>
      <c r="I332" s="303"/>
    </row>
    <row r="333" spans="3:9">
      <c r="C333" s="71"/>
      <c r="D333" s="71"/>
      <c r="E333" s="71"/>
      <c r="F333" s="71"/>
      <c r="G333" s="71"/>
      <c r="H333" s="303"/>
      <c r="I333" s="303"/>
    </row>
    <row r="334" spans="3:9">
      <c r="C334" s="71"/>
      <c r="D334" s="71"/>
      <c r="E334" s="71"/>
      <c r="F334" s="71"/>
      <c r="G334" s="71"/>
      <c r="H334" s="303"/>
      <c r="I334" s="303"/>
    </row>
    <row r="335" spans="3:9">
      <c r="C335" s="71"/>
      <c r="D335" s="71"/>
      <c r="E335" s="71"/>
      <c r="F335" s="71"/>
      <c r="G335" s="71"/>
      <c r="H335" s="303"/>
      <c r="I335" s="303"/>
    </row>
    <row r="336" spans="3:9">
      <c r="C336" s="71"/>
      <c r="D336" s="71"/>
      <c r="E336" s="71"/>
      <c r="F336" s="71"/>
      <c r="G336" s="71"/>
      <c r="H336" s="303"/>
      <c r="I336" s="303"/>
    </row>
    <row r="337" spans="3:9">
      <c r="C337" s="71"/>
      <c r="D337" s="71"/>
      <c r="E337" s="71"/>
      <c r="F337" s="71"/>
      <c r="G337" s="71"/>
      <c r="H337" s="303"/>
      <c r="I337" s="303"/>
    </row>
    <row r="338" spans="3:9">
      <c r="C338" s="71"/>
      <c r="D338" s="71"/>
      <c r="E338" s="71"/>
      <c r="F338" s="71"/>
      <c r="G338" s="71"/>
      <c r="H338" s="303"/>
      <c r="I338" s="303"/>
    </row>
    <row r="339" spans="3:9">
      <c r="C339" s="71"/>
      <c r="D339" s="71"/>
      <c r="E339" s="71"/>
      <c r="F339" s="71"/>
      <c r="G339" s="71"/>
      <c r="H339" s="303"/>
      <c r="I339" s="303"/>
    </row>
    <row r="340" spans="3:9">
      <c r="C340" s="71"/>
      <c r="D340" s="71"/>
      <c r="E340" s="71"/>
      <c r="F340" s="71"/>
      <c r="G340" s="71"/>
      <c r="H340" s="303"/>
      <c r="I340" s="303"/>
    </row>
    <row r="341" spans="3:9">
      <c r="C341" s="71"/>
      <c r="D341" s="71"/>
      <c r="E341" s="71"/>
      <c r="F341" s="71"/>
      <c r="G341" s="71"/>
      <c r="H341" s="303"/>
      <c r="I341" s="303"/>
    </row>
    <row r="342" spans="3:9">
      <c r="C342" s="71"/>
      <c r="D342" s="71"/>
      <c r="E342" s="71"/>
      <c r="F342" s="71"/>
      <c r="G342" s="71"/>
      <c r="H342" s="303"/>
      <c r="I342" s="303"/>
    </row>
    <row r="343" spans="3:9">
      <c r="C343" s="71"/>
      <c r="D343" s="71"/>
      <c r="E343" s="71"/>
      <c r="F343" s="71"/>
      <c r="G343" s="71"/>
      <c r="H343" s="303"/>
      <c r="I343" s="303"/>
    </row>
    <row r="344" spans="3:9">
      <c r="C344" s="71"/>
      <c r="D344" s="71"/>
      <c r="E344" s="71"/>
      <c r="F344" s="71"/>
      <c r="G344" s="71"/>
      <c r="H344" s="303"/>
      <c r="I344" s="303"/>
    </row>
    <row r="345" spans="3:9">
      <c r="C345" s="71"/>
      <c r="D345" s="71"/>
      <c r="E345" s="71"/>
      <c r="F345" s="71"/>
      <c r="G345" s="71"/>
      <c r="H345" s="303"/>
      <c r="I345" s="303"/>
    </row>
    <row r="346" spans="3:9">
      <c r="C346" s="71"/>
      <c r="D346" s="71"/>
      <c r="E346" s="71"/>
      <c r="F346" s="71"/>
      <c r="G346" s="71"/>
      <c r="H346" s="303"/>
      <c r="I346" s="303"/>
    </row>
    <row r="347" spans="3:9">
      <c r="C347" s="71"/>
      <c r="D347" s="71"/>
      <c r="E347" s="71"/>
      <c r="F347" s="71"/>
      <c r="G347" s="71"/>
      <c r="H347" s="303"/>
      <c r="I347" s="303"/>
    </row>
    <row r="348" spans="3:9">
      <c r="C348" s="71"/>
      <c r="D348" s="71"/>
      <c r="E348" s="71"/>
      <c r="F348" s="71"/>
      <c r="G348" s="71"/>
      <c r="H348" s="303"/>
      <c r="I348" s="303"/>
    </row>
    <row r="349" spans="3:9">
      <c r="C349" s="71"/>
      <c r="D349" s="71"/>
      <c r="E349" s="71"/>
      <c r="F349" s="71"/>
      <c r="G349" s="71"/>
      <c r="H349" s="303"/>
      <c r="I349" s="303"/>
    </row>
    <row r="350" spans="3:9">
      <c r="C350" s="71"/>
      <c r="D350" s="71"/>
      <c r="E350" s="71"/>
      <c r="F350" s="71"/>
      <c r="G350" s="71"/>
      <c r="H350" s="303"/>
      <c r="I350" s="303"/>
    </row>
    <row r="351" spans="3:9">
      <c r="C351" s="71"/>
      <c r="D351" s="71"/>
      <c r="E351" s="71"/>
      <c r="F351" s="71"/>
      <c r="G351" s="71"/>
      <c r="H351" s="303"/>
      <c r="I351" s="303"/>
    </row>
    <row r="352" spans="3:9">
      <c r="C352" s="71"/>
      <c r="D352" s="71"/>
      <c r="E352" s="71"/>
      <c r="F352" s="71"/>
      <c r="G352" s="71"/>
      <c r="H352" s="303"/>
      <c r="I352" s="303"/>
    </row>
    <row r="353" spans="3:9">
      <c r="C353" s="71"/>
      <c r="D353" s="71"/>
      <c r="E353" s="71"/>
      <c r="F353" s="71"/>
      <c r="G353" s="71"/>
      <c r="H353" s="303"/>
      <c r="I353" s="303"/>
    </row>
    <row r="354" spans="3:9">
      <c r="C354" s="71"/>
      <c r="D354" s="71"/>
      <c r="E354" s="71"/>
      <c r="F354" s="71"/>
      <c r="G354" s="71"/>
      <c r="H354" s="303"/>
      <c r="I354" s="303"/>
    </row>
    <row r="355" spans="3:9">
      <c r="C355" s="71"/>
      <c r="D355" s="71"/>
      <c r="E355" s="71"/>
      <c r="F355" s="71"/>
      <c r="G355" s="71"/>
      <c r="H355" s="303"/>
      <c r="I355" s="303"/>
    </row>
    <row r="356" spans="3:9">
      <c r="C356" s="71"/>
      <c r="D356" s="71"/>
      <c r="E356" s="71"/>
      <c r="F356" s="71"/>
      <c r="G356" s="71"/>
      <c r="H356" s="303"/>
      <c r="I356" s="303"/>
    </row>
    <row r="357" spans="3:9">
      <c r="C357" s="71"/>
      <c r="D357" s="71"/>
      <c r="E357" s="71"/>
      <c r="F357" s="71"/>
      <c r="G357" s="71"/>
      <c r="H357" s="303"/>
      <c r="I357" s="303"/>
    </row>
    <row r="358" spans="3:9">
      <c r="C358" s="71"/>
      <c r="D358" s="71"/>
      <c r="E358" s="71"/>
      <c r="F358" s="71"/>
      <c r="G358" s="71"/>
      <c r="H358" s="303"/>
      <c r="I358" s="303"/>
    </row>
    <row r="359" spans="3:9">
      <c r="C359" s="71"/>
      <c r="D359" s="71"/>
      <c r="E359" s="71"/>
      <c r="F359" s="71"/>
      <c r="G359" s="71"/>
      <c r="H359" s="303"/>
      <c r="I359" s="303"/>
    </row>
    <row r="360" spans="3:9">
      <c r="H360" s="303"/>
      <c r="I360" s="303"/>
    </row>
    <row r="361" spans="3:9">
      <c r="H361" s="303"/>
      <c r="I361" s="303"/>
    </row>
    <row r="362" spans="3:9">
      <c r="H362" s="303"/>
      <c r="I362" s="303"/>
    </row>
    <row r="363" spans="3:9">
      <c r="H363" s="303"/>
      <c r="I363" s="303"/>
    </row>
    <row r="364" spans="3:9">
      <c r="H364" s="303"/>
      <c r="I364" s="303"/>
    </row>
    <row r="365" spans="3:9">
      <c r="H365" s="303"/>
      <c r="I365" s="303"/>
    </row>
    <row r="366" spans="3:9">
      <c r="H366" s="303"/>
      <c r="I366" s="303"/>
    </row>
  </sheetData>
  <mergeCells count="15">
    <mergeCell ref="K7:Q7"/>
    <mergeCell ref="K8:Q8"/>
    <mergeCell ref="A5:G5"/>
    <mergeCell ref="A6:G6"/>
    <mergeCell ref="B7:C7"/>
    <mergeCell ref="D7:E7"/>
    <mergeCell ref="F7:G7"/>
    <mergeCell ref="K23:Q23"/>
    <mergeCell ref="L24:M24"/>
    <mergeCell ref="N24:O24"/>
    <mergeCell ref="P24:Q24"/>
    <mergeCell ref="L9:M9"/>
    <mergeCell ref="N9:O9"/>
    <mergeCell ref="P9:Q9"/>
    <mergeCell ref="L22:Q22"/>
  </mergeCells>
  <dataValidations count="1">
    <dataValidation type="list" allowBlank="1" showInputMessage="1" showErrorMessage="1" promptTitle="Select a Period:" prompt="Select Financial or Calendar years." sqref="L22:Q22">
      <formula1>$A$1:$A$2</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6B4E8"/>
  </sheetPr>
  <dimension ref="A1:AA68"/>
  <sheetViews>
    <sheetView zoomScaleNormal="100" workbookViewId="0"/>
  </sheetViews>
  <sheetFormatPr defaultRowHeight="15"/>
  <cols>
    <col min="1" max="1" width="7.5703125" style="323" bestFit="1" customWidth="1"/>
    <col min="2" max="4" width="10.85546875" style="323" bestFit="1" customWidth="1"/>
    <col min="5" max="5" width="7.85546875" style="323" customWidth="1"/>
    <col min="6" max="7" width="7.85546875" style="798" hidden="1" customWidth="1"/>
    <col min="8" max="11" width="19.7109375" style="323" customWidth="1"/>
    <col min="12" max="14" width="0" style="323" hidden="1" customWidth="1"/>
    <col min="15" max="16384" width="9.140625" style="323"/>
  </cols>
  <sheetData>
    <row r="1" spans="1:27">
      <c r="AA1" s="807" t="s">
        <v>545</v>
      </c>
    </row>
    <row r="2" spans="1:27">
      <c r="AA2" s="807" t="s">
        <v>546</v>
      </c>
    </row>
    <row r="3" spans="1:27">
      <c r="J3" s="808" t="str">
        <f>IF('Data Sources'!J4=12,IF(H6="Historic Calendar Year","","Please Note: Most recent financial year is based on only the first half. Second half financial year average price data not yet available."),IF(H6="Historic Calendar Year","Please Note: Most recent calendar year is based on only the first half. Second half calendar year price data not yet available.",""))</f>
        <v/>
      </c>
    </row>
    <row r="5" spans="1:27">
      <c r="A5" s="1937" t="s">
        <v>827</v>
      </c>
      <c r="B5" s="1937"/>
      <c r="C5" s="1937"/>
      <c r="D5" s="1937"/>
      <c r="E5" s="24"/>
      <c r="F5" s="410"/>
      <c r="G5" s="410"/>
      <c r="H5" s="1937" t="s">
        <v>828</v>
      </c>
      <c r="I5" s="1937"/>
      <c r="J5" s="1937"/>
      <c r="K5" s="1937"/>
    </row>
    <row r="6" spans="1:27" ht="15.75" thickBot="1">
      <c r="A6" s="1966" t="s">
        <v>54</v>
      </c>
      <c r="B6" s="1966"/>
      <c r="C6" s="1966"/>
      <c r="D6" s="1966"/>
      <c r="E6" s="24"/>
      <c r="F6" s="410"/>
      <c r="G6" s="410"/>
      <c r="H6" s="1937" t="str">
        <f>H46</f>
        <v>Historic Calendar Year</v>
      </c>
      <c r="I6" s="1937"/>
      <c r="J6" s="1937"/>
      <c r="K6" s="1937"/>
    </row>
    <row r="7" spans="1:27">
      <c r="A7" s="328"/>
      <c r="B7" s="326" t="s">
        <v>437</v>
      </c>
      <c r="C7" s="326" t="s">
        <v>435</v>
      </c>
      <c r="D7" s="335" t="s">
        <v>438</v>
      </c>
      <c r="E7" s="24"/>
      <c r="F7" s="410"/>
      <c r="G7" s="410"/>
      <c r="H7" s="328"/>
      <c r="I7" s="326" t="s">
        <v>437</v>
      </c>
      <c r="J7" s="326" t="s">
        <v>435</v>
      </c>
      <c r="K7" s="335" t="s">
        <v>438</v>
      </c>
    </row>
    <row r="8" spans="1:27" ht="15.75" thickBot="1">
      <c r="A8" s="327" t="s">
        <v>52</v>
      </c>
      <c r="B8" s="329" t="s">
        <v>439</v>
      </c>
      <c r="C8" s="329" t="s">
        <v>439</v>
      </c>
      <c r="D8" s="400" t="s">
        <v>439</v>
      </c>
      <c r="E8" s="24"/>
      <c r="F8" s="410"/>
      <c r="G8" s="410"/>
      <c r="H8" s="327" t="s">
        <v>49</v>
      </c>
      <c r="I8" s="336" t="s">
        <v>55</v>
      </c>
      <c r="J8" s="336" t="s">
        <v>55</v>
      </c>
      <c r="K8" s="336" t="s">
        <v>55</v>
      </c>
    </row>
    <row r="9" spans="1:27">
      <c r="A9" s="1823">
        <f>LARGE('Data - Monthly Commodity Prices'!C$159:C$902,60)</f>
        <v>42005</v>
      </c>
      <c r="B9" s="330">
        <f>SUMIF('Data - Monthly Commodity Prices'!$C$159:$C$902,$A9,'Data - Monthly Commodity Prices'!O$159:O$902)</f>
        <v>7215.67</v>
      </c>
      <c r="C9" s="330">
        <f>SUMIF('Data - Monthly Commodity Prices'!$C$159:$C$902,$A9,'Data - Monthly Commodity Prices'!P$159:P$902)</f>
        <v>2269.4375930521092</v>
      </c>
      <c r="D9" s="337">
        <f>SUMIF('Data - Monthly Commodity Prices'!$C$159:$C$902,$A9,'Data - Monthly Commodity Prices'!Q$159:Q$902)</f>
        <v>2618.6636476426797</v>
      </c>
      <c r="E9" s="24"/>
      <c r="F9" s="410">
        <v>1986</v>
      </c>
      <c r="G9" s="410">
        <v>1987</v>
      </c>
      <c r="H9" s="1821">
        <f>IF($H$6="Historic Calendar Year",1986,CONCATENATE(F9,"-",RIGHT(G9,2)))</f>
        <v>1986</v>
      </c>
      <c r="I9" s="32">
        <f t="array" ref="I9">IF($H$6="Historic Calendar Year",IFERROR(AVERAGE(IF($H9=YEAR('Data - Monthly Commodity Prices'!C$100:C$1000),'Data - Monthly Commodity Prices'!O$100:O$1000)),"NA"),IFERROR(IF(L9=0,"NA",L9),"NA"))</f>
        <v>2052.1141666666667</v>
      </c>
      <c r="J9" s="32">
        <f t="array" ref="J9">IF($H$6="Historic Calendar Year",IFERROR(AVERAGE(IF($H9=YEAR('Data - Monthly Commodity Prices'!C$100:C$1000),'Data - Monthly Commodity Prices'!P$100:P$1000)),"NA"),IFERROR(IF(M9=0,"NA",M9),"NA"))</f>
        <v>608.76703983020332</v>
      </c>
      <c r="K9" s="32">
        <f t="array" ref="K9">IF($H$6="Historic Calendar Year",IFERROR(AVERAGE(IF($H9=YEAR('Data - Monthly Commodity Prices'!C$100:C$1000),'Data - Monthly Commodity Prices'!Q$100:Q$1000)),"NA"),IFERROR(IF(N9=0,"NA",N9),"NA"))</f>
        <v>1135.9188200864028</v>
      </c>
      <c r="L9" s="323">
        <f>(SUMIFS('Data - Monthly Commodity Prices'!$O$9:$O$2500,'Data - Monthly Commodity Prices'!$A$9:$A$2500,'Alumina - Prices'!D8,'Data - Monthly Commodity Prices'!$B$9:$B$2500,3)+
SUMIFS('Data - Monthly Commodity Prices'!$O$9:$O$2500,'Data - Monthly Commodity Prices'!$A$9:$A$2500,'Alumina - Prices'!D8,'Data - Monthly Commodity Prices'!$B$9:$B$2500,4)+
SUMIFS('Data - Monthly Commodity Prices'!$O$9:$O$2500,'Data - Monthly Commodity Prices'!$A$9:$A$2500,'Alumina - Prices'!E8,'Data - Monthly Commodity Prices'!$B$9:$B$2500,1)+
SUMIFS('Data - Monthly Commodity Prices'!$O$9:$O$2500,'Data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2098.4100000000003</v>
      </c>
      <c r="M9" s="323">
        <f>(SUMIFS('Data - Monthly Commodity Prices'!$P$9:$P$2500,'Data - Monthly Commodity Prices'!$A$9:$A$2500,'Alumina - Prices'!D8,'Data - Monthly Commodity Prices'!$B$9:$B$2500,3)+
SUMIFS('Data - Monthly Commodity Prices'!$P$9:$P$2500,'Data - Monthly Commodity Prices'!$A$9:$A$2500,'Alumina - Prices'!D8,'Data - Monthly Commodity Prices'!$B$9:$B$2500,4)+
SUMIFS('Data - Monthly Commodity Prices'!$P$9:$P$2500,'Data - Monthly Commodity Prices'!$A$9:$A$2500,'Alumina - Prices'!E8,'Data - Monthly Commodity Prices'!$B$9:$B$2500,1)+
SUMIFS('Data - Monthly Commodity Prices'!$P$9:$P$2500,'Data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734.63038583970717</v>
      </c>
      <c r="N9" s="323">
        <f>(SUMIFS('Data - Monthly Commodity Prices'!$Q$9:$Q$2500,'Data - Monthly Commodity Prices'!$A$9:$A$2500,'Alumina - Prices'!D8,'Data - Monthly Commodity Prices'!$B$9:$B$2500,3)+
SUMIFS('Data - Monthly Commodity Prices'!$Q$9:$Q$2500,'Data - Monthly Commodity Prices'!$A$9:$A$2500,'Alumina - Prices'!D8,'Data - Monthly Commodity Prices'!$B$9:$B$2500,4)+
SUMIFS('Data - Monthly Commodity Prices'!$Q$9:$Q$2500,'Data - Monthly Commodity Prices'!$A$9:$A$2500,'Alumina - Prices'!E8,'Data - Monthly Commodity Prices'!$B$9:$B$2500,1)+
SUMIFS('Data - Monthly Commodity Prices'!$Q$9:$Q$2500,'Data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1223.1027656720946</v>
      </c>
    </row>
    <row r="10" spans="1:27">
      <c r="A10" s="1638">
        <f>LARGE('Data - Monthly Commodity Prices'!C$159:C$902,59)</f>
        <v>42036</v>
      </c>
      <c r="B10" s="79">
        <f>SUMIF('Data - Monthly Commodity Prices'!$C$159:$C$902,$A10,'Data - Monthly Commodity Prices'!O$159:O$902)</f>
        <v>7316.92</v>
      </c>
      <c r="C10" s="79">
        <f>SUMIF('Data - Monthly Commodity Prices'!$C$159:$C$902,$A10,'Data - Monthly Commodity Prices'!P$159:P$902)</f>
        <v>2315.7641473116901</v>
      </c>
      <c r="D10" s="30">
        <f>SUMIF('Data - Monthly Commodity Prices'!$C$159:$C$902,$A10,'Data - Monthly Commodity Prices'!Q$159:Q$902)</f>
        <v>2698.7360451687414</v>
      </c>
      <c r="E10" s="24"/>
      <c r="F10" s="410">
        <f>F9+1</f>
        <v>1987</v>
      </c>
      <c r="G10" s="410">
        <f>G9+1</f>
        <v>1988</v>
      </c>
      <c r="H10" s="1822">
        <f t="shared" ref="H10:H43" si="0">IF($H$6="Historic Calendar Year",H9+1,CONCATENATE(F10,"-",RIGHT(G10,2)))</f>
        <v>1987</v>
      </c>
      <c r="I10" s="325">
        <f t="array" ref="I10">IF($H$6="Historic Calendar Year",IFERROR(AVERAGE(IF($H10=YEAR('Data - Monthly Commodity Prices'!C$100:C$1000),'Data - Monthly Commodity Prices'!O$100:O$1000)),"NA"),IFERROR(IF(L10=0,"NA",L10),"NA"))</f>
        <v>2540.9474999999998</v>
      </c>
      <c r="J10" s="325">
        <f t="array" ref="J10">IF($H$6="Historic Calendar Year",IFERROR(AVERAGE(IF($H10=YEAR('Data - Monthly Commodity Prices'!C$100:C$1000),'Data - Monthly Commodity Prices'!P$100:P$1000)),"NA"),IFERROR(IF(M10=0,"NA",M10),"NA"))</f>
        <v>849.90572624288404</v>
      </c>
      <c r="K10" s="325">
        <f t="array" ref="K10">IF($H$6="Historic Calendar Year",IFERROR(AVERAGE(IF($H10=YEAR('Data - Monthly Commodity Prices'!C$100:C$1000),'Data - Monthly Commodity Prices'!Q$100:Q$1000)),"NA"),IFERROR(IF(N10=0,"NA",N10),"NA"))</f>
        <v>1139.579898484317</v>
      </c>
      <c r="L10" s="798">
        <f>(SUMIFS('Data - Monthly Commodity Prices'!$O$9:$O$2500,'Data - Monthly Commodity Prices'!$A$9:$A$2500,'Alumina - Prices'!D9,'Data - Monthly Commodity Prices'!$B$9:$B$2500,3)+
SUMIFS('Data - Monthly Commodity Prices'!$O$9:$O$2500,'Data - Monthly Commodity Prices'!$A$9:$A$2500,'Alumina - Prices'!D9,'Data - Monthly Commodity Prices'!$B$9:$B$2500,4)+
SUMIFS('Data - Monthly Commodity Prices'!$O$9:$O$2500,'Data - Monthly Commodity Prices'!$A$9:$A$2500,'Alumina - Prices'!E9,'Data - Monthly Commodity Prices'!$B$9:$B$2500,1)+
SUMIFS('Data - Monthly Commodity Prices'!$O$9:$O$2500,'Data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3093.1</v>
      </c>
      <c r="M10" s="798">
        <f>(SUMIFS('Data - Monthly Commodity Prices'!$P$9:$P$2500,'Data - Monthly Commodity Prices'!$A$9:$A$2500,'Alumina - Prices'!D9,'Data - Monthly Commodity Prices'!$B$9:$B$2500,3)+
SUMIFS('Data - Monthly Commodity Prices'!$P$9:$P$2500,'Data - Monthly Commodity Prices'!$A$9:$A$2500,'Alumina - Prices'!D9,'Data - Monthly Commodity Prices'!$B$9:$B$2500,4)+
SUMIFS('Data - Monthly Commodity Prices'!$P$9:$P$2500,'Data - Monthly Commodity Prices'!$A$9:$A$2500,'Alumina - Prices'!E9,'Data - Monthly Commodity Prices'!$B$9:$B$2500,1)+
SUMIFS('Data - Monthly Commodity Prices'!$P$9:$P$2500,'Data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890.89775845354472</v>
      </c>
      <c r="N10" s="798">
        <f>(SUMIFS('Data - Monthly Commodity Prices'!$Q$9:$Q$2500,'Data - Monthly Commodity Prices'!$A$9:$A$2500,'Alumina - Prices'!D9,'Data - Monthly Commodity Prices'!$B$9:$B$2500,3)+
SUMIFS('Data - Monthly Commodity Prices'!$Q$9:$Q$2500,'Data - Monthly Commodity Prices'!$A$9:$A$2500,'Alumina - Prices'!D9,'Data - Monthly Commodity Prices'!$B$9:$B$2500,4)+
SUMIFS('Data - Monthly Commodity Prices'!$Q$9:$Q$2500,'Data - Monthly Commodity Prices'!$A$9:$A$2500,'Alumina - Prices'!E9,'Data - Monthly Commodity Prices'!$B$9:$B$2500,1)+
SUMIFS('Data - Monthly Commodity Prices'!$Q$9:$Q$2500,'Data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1286.4465668009154</v>
      </c>
    </row>
    <row r="11" spans="1:27">
      <c r="A11" s="1823">
        <f>LARGE('Data - Monthly Commodity Prices'!C$159:C$902,58)</f>
        <v>42064</v>
      </c>
      <c r="B11" s="330">
        <f>SUMIF('Data - Monthly Commodity Prices'!$C$159:$C$902,$A11,'Data - Monthly Commodity Prices'!O$159:O$902)</f>
        <v>7666.03</v>
      </c>
      <c r="C11" s="330">
        <f>SUMIF('Data - Monthly Commodity Prices'!$C$159:$C$902,$A11,'Data - Monthly Commodity Prices'!P$159:P$902)</f>
        <v>2309.1556274256145</v>
      </c>
      <c r="D11" s="325">
        <f>SUMIF('Data - Monthly Commodity Prices'!$C$159:$C$902,$A11,'Data - Monthly Commodity Prices'!Q$159:Q$902)</f>
        <v>2624.8971539456661</v>
      </c>
      <c r="E11" s="24"/>
      <c r="F11" s="410">
        <f t="shared" ref="F11:G26" si="1">F10+1</f>
        <v>1988</v>
      </c>
      <c r="G11" s="410">
        <f t="shared" si="1"/>
        <v>1989</v>
      </c>
      <c r="H11" s="348">
        <f t="shared" si="0"/>
        <v>1988</v>
      </c>
      <c r="I11" s="30">
        <f t="array" ref="I11">IF($H$6="Historic Calendar Year",IFERROR(AVERAGE(IF($H11=YEAR('Data - Monthly Commodity Prices'!C$100:C$1000),'Data - Monthly Commodity Prices'!O$100:O$1000)),"NA"),IFERROR(IF(L11=0,"NA",L11),"NA"))</f>
        <v>3267.8699999999994</v>
      </c>
      <c r="J11" s="30">
        <f t="array" ref="J11">IF($H$6="Historic Calendar Year",IFERROR(AVERAGE(IF($H11=YEAR('Data - Monthly Commodity Prices'!C$100:C$1000),'Data - Monthly Commodity Prices'!P$100:P$1000)),"NA"),IFERROR(IF(M11=0,"NA",M11),"NA"))</f>
        <v>827.05293282821594</v>
      </c>
      <c r="K11" s="30">
        <f t="array" ref="K11">IF($H$6="Historic Calendar Year",IFERROR(AVERAGE(IF($H11=YEAR('Data - Monthly Commodity Prices'!C$100:C$1000),'Data - Monthly Commodity Prices'!Q$100:Q$1000)),"NA"),IFERROR(IF(N11=0,"NA",N11),"NA"))</f>
        <v>1572.2391979538695</v>
      </c>
      <c r="L11" s="798">
        <f>(SUMIFS('Data - Monthly Commodity Prices'!$O$9:$O$2500,'Data - Monthly Commodity Prices'!$A$9:$A$2500,'Alumina - Prices'!D10,'Data - Monthly Commodity Prices'!$B$9:$B$2500,3)+
SUMIFS('Data - Monthly Commodity Prices'!$O$9:$O$2500,'Data - Monthly Commodity Prices'!$A$9:$A$2500,'Alumina - Prices'!D10,'Data - Monthly Commodity Prices'!$B$9:$B$2500,4)+
SUMIFS('Data - Monthly Commodity Prices'!$O$9:$O$2500,'Data - Monthly Commodity Prices'!$A$9:$A$2500,'Alumina - Prices'!E10,'Data - Monthly Commodity Prices'!$B$9:$B$2500,1)+
SUMIFS('Data - Monthly Commodity Prices'!$O$9:$O$2500,'Data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3558.0791666666664</v>
      </c>
      <c r="M11" s="798">
        <f>(SUMIFS('Data - Monthly Commodity Prices'!$P$9:$P$2500,'Data - Monthly Commodity Prices'!$A$9:$A$2500,'Alumina - Prices'!D10,'Data - Monthly Commodity Prices'!$B$9:$B$2500,3)+
SUMIFS('Data - Monthly Commodity Prices'!$P$9:$P$2500,'Data - Monthly Commodity Prices'!$A$9:$A$2500,'Alumina - Prices'!D10,'Data - Monthly Commodity Prices'!$B$9:$B$2500,4)+
SUMIFS('Data - Monthly Commodity Prices'!$P$9:$P$2500,'Data - Monthly Commodity Prices'!$A$9:$A$2500,'Alumina - Prices'!E10,'Data - Monthly Commodity Prices'!$B$9:$B$2500,1)+
SUMIFS('Data - Monthly Commodity Prices'!$P$9:$P$2500,'Data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791.94769018105308</v>
      </c>
      <c r="N11" s="798">
        <f>(SUMIFS('Data - Monthly Commodity Prices'!$Q$9:$Q$2500,'Data - Monthly Commodity Prices'!$A$9:$A$2500,'Alumina - Prices'!D10,'Data - Monthly Commodity Prices'!$B$9:$B$2500,3)+
SUMIFS('Data - Monthly Commodity Prices'!$Q$9:$Q$2500,'Data - Monthly Commodity Prices'!$A$9:$A$2500,'Alumina - Prices'!D10,'Data - Monthly Commodity Prices'!$B$9:$B$2500,4)+
SUMIFS('Data - Monthly Commodity Prices'!$Q$9:$Q$2500,'Data - Monthly Commodity Prices'!$A$9:$A$2500,'Alumina - Prices'!E10,'Data - Monthly Commodity Prices'!$B$9:$B$2500,1)+
SUMIFS('Data - Monthly Commodity Prices'!$Q$9:$Q$2500,'Data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1990.6952349438488</v>
      </c>
    </row>
    <row r="12" spans="1:27">
      <c r="A12" s="1638">
        <f>LARGE('Data - Monthly Commodity Prices'!C$159:C$902,57)</f>
        <v>42095</v>
      </c>
      <c r="B12" s="79">
        <f>SUMIF('Data - Monthly Commodity Prices'!$C$159:$C$902,$A12,'Data - Monthly Commodity Prices'!O$159:O$902)</f>
        <v>7793.76</v>
      </c>
      <c r="C12" s="79">
        <f>SUMIF('Data - Monthly Commodity Prices'!$C$159:$C$902,$A12,'Data - Monthly Commodity Prices'!P$159:P$902)</f>
        <v>2585.3910795087268</v>
      </c>
      <c r="D12" s="30">
        <f>SUMIF('Data - Monthly Commodity Prices'!$C$159:$C$902,$A12,'Data - Monthly Commodity Prices'!Q$159:Q$902)</f>
        <v>2853.1351001939238</v>
      </c>
      <c r="E12" s="24"/>
      <c r="F12" s="410">
        <f t="shared" si="1"/>
        <v>1989</v>
      </c>
      <c r="G12" s="410">
        <f t="shared" si="1"/>
        <v>1990</v>
      </c>
      <c r="H12" s="1822">
        <f t="shared" si="0"/>
        <v>1989</v>
      </c>
      <c r="I12" s="325">
        <f t="array" ref="I12">IF($H$6="Historic Calendar Year",IFERROR(AVERAGE(IF($H12=YEAR('Data - Monthly Commodity Prices'!C$100:C$1000),'Data - Monthly Commodity Prices'!O$100:O$1000)),"NA"),IFERROR(IF(L12=0,"NA",L12),"NA"))</f>
        <v>3588.7449999999994</v>
      </c>
      <c r="J12" s="325">
        <f t="array" ref="J12">IF($H$6="Historic Calendar Year",IFERROR(AVERAGE(IF($H12=YEAR('Data - Monthly Commodity Prices'!C$100:C$1000),'Data - Monthly Commodity Prices'!P$100:P$1000)),"NA"),IFERROR(IF(M12=0,"NA",M12),"NA"))</f>
        <v>857.68608882666706</v>
      </c>
      <c r="K12" s="325">
        <f t="array" ref="K12">IF($H$6="Historic Calendar Year",IFERROR(AVERAGE(IF($H12=YEAR('Data - Monthly Commodity Prices'!C$100:C$1000),'Data - Monthly Commodity Prices'!Q$100:Q$1000)),"NA"),IFERROR(IF(N12=0,"NA",N12),"NA"))</f>
        <v>2173.766731347107</v>
      </c>
      <c r="L12" s="798">
        <f>(SUMIFS('Data - Monthly Commodity Prices'!$O$9:$O$2500,'Data - Monthly Commodity Prices'!$A$9:$A$2500,'Alumina - Prices'!D11,'Data - Monthly Commodity Prices'!$B$9:$B$2500,3)+
SUMIFS('Data - Monthly Commodity Prices'!$O$9:$O$2500,'Data - Monthly Commodity Prices'!$A$9:$A$2500,'Alumina - Prices'!D11,'Data - Monthly Commodity Prices'!$B$9:$B$2500,4)+
SUMIFS('Data - Monthly Commodity Prices'!$O$9:$O$2500,'Data - Monthly Commodity Prices'!$A$9:$A$2500,'Alumina - Prices'!E11,'Data - Monthly Commodity Prices'!$B$9:$B$2500,1)+
SUMIFS('Data - Monthly Commodity Prices'!$O$9:$O$2500,'Data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3373.2724999999996</v>
      </c>
      <c r="M12" s="798">
        <f>(SUMIFS('Data - Monthly Commodity Prices'!$P$9:$P$2500,'Data - Monthly Commodity Prices'!$A$9:$A$2500,'Alumina - Prices'!D11,'Data - Monthly Commodity Prices'!$B$9:$B$2500,3)+
SUMIFS('Data - Monthly Commodity Prices'!$P$9:$P$2500,'Data - Monthly Commodity Prices'!$A$9:$A$2500,'Alumina - Prices'!D11,'Data - Monthly Commodity Prices'!$B$9:$B$2500,4)+
SUMIFS('Data - Monthly Commodity Prices'!$P$9:$P$2500,'Data - Monthly Commodity Prices'!$A$9:$A$2500,'Alumina - Prices'!E11,'Data - Monthly Commodity Prices'!$B$9:$B$2500,1)+
SUMIFS('Data - Monthly Commodity Prices'!$P$9:$P$2500,'Data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1009.5389070088927</v>
      </c>
      <c r="N12" s="798">
        <f>(SUMIFS('Data - Monthly Commodity Prices'!$Q$9:$Q$2500,'Data - Monthly Commodity Prices'!$A$9:$A$2500,'Alumina - Prices'!D11,'Data - Monthly Commodity Prices'!$B$9:$B$2500,3)+
SUMIFS('Data - Monthly Commodity Prices'!$Q$9:$Q$2500,'Data - Monthly Commodity Prices'!$A$9:$A$2500,'Alumina - Prices'!D11,'Data - Monthly Commodity Prices'!$B$9:$B$2500,4)+
SUMIFS('Data - Monthly Commodity Prices'!$Q$9:$Q$2500,'Data - Monthly Commodity Prices'!$A$9:$A$2500,'Alumina - Prices'!E11,'Data - Monthly Commodity Prices'!$B$9:$B$2500,1)+
SUMIFS('Data - Monthly Commodity Prices'!$Q$9:$Q$2500,'Data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2083.1229081035444</v>
      </c>
    </row>
    <row r="13" spans="1:27">
      <c r="A13" s="1823">
        <f>LARGE('Data - Monthly Commodity Prices'!C$159:C$902,56)</f>
        <v>42125</v>
      </c>
      <c r="B13" s="330">
        <f>SUMIF('Data - Monthly Commodity Prices'!$C$159:$C$902,$A13,'Data - Monthly Commodity Prices'!O$159:O$902)</f>
        <v>7989.61</v>
      </c>
      <c r="C13" s="330">
        <f>SUMIF('Data - Monthly Commodity Prices'!$C$159:$C$902,$A13,'Data - Monthly Commodity Prices'!P$159:P$902)</f>
        <v>2541.012046664976</v>
      </c>
      <c r="D13" s="325">
        <f>SUMIF('Data - Monthly Commodity Prices'!$C$159:$C$902,$A13,'Data - Monthly Commodity Prices'!Q$159:Q$902)</f>
        <v>2903.4131372051738</v>
      </c>
      <c r="E13" s="24"/>
      <c r="F13" s="410">
        <f t="shared" si="1"/>
        <v>1990</v>
      </c>
      <c r="G13" s="410">
        <f t="shared" si="1"/>
        <v>1991</v>
      </c>
      <c r="H13" s="348">
        <f t="shared" si="0"/>
        <v>1990</v>
      </c>
      <c r="I13" s="30">
        <f t="array" ref="I13">IF($H$6="Historic Calendar Year",IFERROR(AVERAGE(IF($H13=YEAR('Data - Monthly Commodity Prices'!C$100:C$1000),'Data - Monthly Commodity Prices'!O$100:O$1000)),"NA"),IFERROR(IF(L13=0,"NA",L13),"NA"))</f>
        <v>3412.6408333333334</v>
      </c>
      <c r="J13" s="30">
        <f t="array" ref="J13">IF($H$6="Historic Calendar Year",IFERROR(AVERAGE(IF($H13=YEAR('Data - Monthly Commodity Prices'!C$100:C$1000),'Data - Monthly Commodity Prices'!P$100:P$1000)),"NA"),IFERROR(IF(M13=0,"NA",M13),"NA"))</f>
        <v>1039.1253280689682</v>
      </c>
      <c r="K13" s="30">
        <f t="array" ref="K13">IF($H$6="Historic Calendar Year",IFERROR(AVERAGE(IF($H13=YEAR('Data - Monthly Commodity Prices'!C$100:C$1000),'Data - Monthly Commodity Prices'!Q$100:Q$1000)),"NA"),IFERROR(IF(N13=0,"NA",N13),"NA"))</f>
        <v>1948.2287553650885</v>
      </c>
      <c r="L13" s="798">
        <f>(SUMIFS('Data - Monthly Commodity Prices'!$O$9:$O$2500,'Data - Monthly Commodity Prices'!$A$9:$A$2500,'Alumina - Prices'!D12,'Data - Monthly Commodity Prices'!$B$9:$B$2500,3)+
SUMIFS('Data - Monthly Commodity Prices'!$O$9:$O$2500,'Data - Monthly Commodity Prices'!$A$9:$A$2500,'Alumina - Prices'!D12,'Data - Monthly Commodity Prices'!$B$9:$B$2500,4)+
SUMIFS('Data - Monthly Commodity Prices'!$O$9:$O$2500,'Data - Monthly Commodity Prices'!$A$9:$A$2500,'Alumina - Prices'!E12,'Data - Monthly Commodity Prices'!$B$9:$B$2500,1)+
SUMIFS('Data - Monthly Commodity Prices'!$O$9:$O$2500,'Data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3277.8591666666666</v>
      </c>
      <c r="M13" s="798">
        <f>(SUMIFS('Data - Monthly Commodity Prices'!$P$9:$P$2500,'Data - Monthly Commodity Prices'!$A$9:$A$2500,'Alumina - Prices'!D12,'Data - Monthly Commodity Prices'!$B$9:$B$2500,3)+
SUMIFS('Data - Monthly Commodity Prices'!$P$9:$P$2500,'Data - Monthly Commodity Prices'!$A$9:$A$2500,'Alumina - Prices'!D12,'Data - Monthly Commodity Prices'!$B$9:$B$2500,4)+
SUMIFS('Data - Monthly Commodity Prices'!$P$9:$P$2500,'Data - Monthly Commodity Prices'!$A$9:$A$2500,'Alumina - Prices'!E12,'Data - Monthly Commodity Prices'!$B$9:$B$2500,1)+
SUMIFS('Data - Monthly Commodity Prices'!$P$9:$P$2500,'Data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866.0578893296896</v>
      </c>
      <c r="N13" s="798">
        <f>(SUMIFS('Data - Monthly Commodity Prices'!$Q$9:$Q$2500,'Data - Monthly Commodity Prices'!$A$9:$A$2500,'Alumina - Prices'!D12,'Data - Monthly Commodity Prices'!$B$9:$B$2500,3)+
SUMIFS('Data - Monthly Commodity Prices'!$Q$9:$Q$2500,'Data - Monthly Commodity Prices'!$A$9:$A$2500,'Alumina - Prices'!D12,'Data - Monthly Commodity Prices'!$B$9:$B$2500,4)+
SUMIFS('Data - Monthly Commodity Prices'!$Q$9:$Q$2500,'Data - Monthly Commodity Prices'!$A$9:$A$2500,'Alumina - Prices'!E12,'Data - Monthly Commodity Prices'!$B$9:$B$2500,1)+
SUMIFS('Data - Monthly Commodity Prices'!$Q$9:$Q$2500,'Data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1662.4683064632829</v>
      </c>
    </row>
    <row r="14" spans="1:27">
      <c r="A14" s="1638">
        <f>LARGE('Data - Monthly Commodity Prices'!C$159:C$902,55)</f>
        <v>42156</v>
      </c>
      <c r="B14" s="79">
        <f>SUMIF('Data - Monthly Commodity Prices'!$C$159:$C$902,$A14,'Data - Monthly Commodity Prices'!O$159:O$902)</f>
        <v>7553.56</v>
      </c>
      <c r="C14" s="79">
        <f>SUMIF('Data - Monthly Commodity Prices'!$C$159:$C$902,$A14,'Data - Monthly Commodity Prices'!P$159:P$902)</f>
        <v>2377.7559238637837</v>
      </c>
      <c r="D14" s="30">
        <f>SUMIF('Data - Monthly Commodity Prices'!$C$159:$C$902,$A14,'Data - Monthly Commodity Prices'!Q$159:Q$902)</f>
        <v>2702.9062540463547</v>
      </c>
      <c r="E14" s="24"/>
      <c r="F14" s="410">
        <f t="shared" si="1"/>
        <v>1991</v>
      </c>
      <c r="G14" s="410">
        <f t="shared" si="1"/>
        <v>1992</v>
      </c>
      <c r="H14" s="1822">
        <f t="shared" si="0"/>
        <v>1991</v>
      </c>
      <c r="I14" s="325">
        <f t="array" ref="I14">IF($H$6="Historic Calendar Year",IFERROR(AVERAGE(IF($H14=YEAR('Data - Monthly Commodity Prices'!C$100:C$1000),'Data - Monthly Commodity Prices'!O$100:O$1000)),"NA"),IFERROR(IF(L14=0,"NA",L14),"NA"))</f>
        <v>2998.6533333333336</v>
      </c>
      <c r="J14" s="325">
        <f t="array" ref="J14">IF($H$6="Historic Calendar Year",IFERROR(AVERAGE(IF($H14=YEAR('Data - Monthly Commodity Prices'!C$100:C$1000),'Data - Monthly Commodity Prices'!P$100:P$1000)),"NA"),IFERROR(IF(M14=0,"NA",M14),"NA"))</f>
        <v>715.04919116531255</v>
      </c>
      <c r="K14" s="325">
        <f t="array" ref="K14">IF($H$6="Historic Calendar Year",IFERROR(AVERAGE(IF($H14=YEAR('Data - Monthly Commodity Prices'!C$100:C$1000),'Data - Monthly Commodity Prices'!Q$100:Q$1000)),"NA"),IFERROR(IF(N14=0,"NA",N14),"NA"))</f>
        <v>1432.2653715663976</v>
      </c>
      <c r="L14" s="798">
        <f>(SUMIFS('Data - Monthly Commodity Prices'!$O$9:$O$2500,'Data - Monthly Commodity Prices'!$A$9:$A$2500,'Alumina - Prices'!D13,'Data - Monthly Commodity Prices'!$B$9:$B$2500,3)+
SUMIFS('Data - Monthly Commodity Prices'!$O$9:$O$2500,'Data - Monthly Commodity Prices'!$A$9:$A$2500,'Alumina - Prices'!D13,'Data - Monthly Commodity Prices'!$B$9:$B$2500,4)+
SUMIFS('Data - Monthly Commodity Prices'!$O$9:$O$2500,'Data - Monthly Commodity Prices'!$A$9:$A$2500,'Alumina - Prices'!E13,'Data - Monthly Commodity Prices'!$B$9:$B$2500,1)+
SUMIFS('Data - Monthly Commodity Prices'!$O$9:$O$2500,'Data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2925.0533333333333</v>
      </c>
      <c r="M14" s="798">
        <f>(SUMIFS('Data - Monthly Commodity Prices'!$P$9:$P$2500,'Data - Monthly Commodity Prices'!$A$9:$A$2500,'Alumina - Prices'!D13,'Data - Monthly Commodity Prices'!$B$9:$B$2500,3)+
SUMIFS('Data - Monthly Commodity Prices'!$P$9:$P$2500,'Data - Monthly Commodity Prices'!$A$9:$A$2500,'Alumina - Prices'!D13,'Data - Monthly Commodity Prices'!$B$9:$B$2500,4)+
SUMIFS('Data - Monthly Commodity Prices'!$P$9:$P$2500,'Data - Monthly Commodity Prices'!$A$9:$A$2500,'Alumina - Prices'!E13,'Data - Monthly Commodity Prices'!$B$9:$B$2500,1)+
SUMIFS('Data - Monthly Commodity Prices'!$P$9:$P$2500,'Data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684.86606136320222</v>
      </c>
      <c r="N14" s="798">
        <f>(SUMIFS('Data - Monthly Commodity Prices'!$Q$9:$Q$2500,'Data - Monthly Commodity Prices'!$A$9:$A$2500,'Alumina - Prices'!D13,'Data - Monthly Commodity Prices'!$B$9:$B$2500,3)+
SUMIFS('Data - Monthly Commodity Prices'!$Q$9:$Q$2500,'Data - Monthly Commodity Prices'!$A$9:$A$2500,'Alumina - Prices'!D13,'Data - Monthly Commodity Prices'!$B$9:$B$2500,4)+
SUMIFS('Data - Monthly Commodity Prices'!$Q$9:$Q$2500,'Data - Monthly Commodity Prices'!$A$9:$A$2500,'Alumina - Prices'!E13,'Data - Monthly Commodity Prices'!$B$9:$B$2500,1)+
SUMIFS('Data - Monthly Commodity Prices'!$Q$9:$Q$2500,'Data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1514.2492900257009</v>
      </c>
    </row>
    <row r="15" spans="1:27">
      <c r="A15" s="1823">
        <f>LARGE('Data - Monthly Commodity Prices'!C$159:C$902,54)</f>
        <v>42186</v>
      </c>
      <c r="B15" s="330">
        <f>SUMIF('Data - Monthly Commodity Prices'!$C$159:$C$902,$A15,'Data - Monthly Commodity Prices'!O$159:O$902)</f>
        <v>7365.25</v>
      </c>
      <c r="C15" s="330">
        <f>SUMIF('Data - Monthly Commodity Prices'!$C$159:$C$902,$A15,'Data - Monthly Commodity Prices'!P$159:P$902)</f>
        <v>2378.6581185045216</v>
      </c>
      <c r="D15" s="325">
        <f>SUMIF('Data - Monthly Commodity Prices'!$C$159:$C$902,$A15,'Data - Monthly Commodity Prices'!Q$159:Q$902)</f>
        <v>2702.2070454852205</v>
      </c>
      <c r="E15" s="24"/>
      <c r="F15" s="410">
        <f t="shared" si="1"/>
        <v>1992</v>
      </c>
      <c r="G15" s="410">
        <f t="shared" si="1"/>
        <v>1993</v>
      </c>
      <c r="H15" s="348">
        <f t="shared" si="0"/>
        <v>1992</v>
      </c>
      <c r="I15" s="30">
        <f t="array" ref="I15">IF($H$6="Historic Calendar Year",IFERROR(AVERAGE(IF($H15=YEAR('Data - Monthly Commodity Prices'!C$100:C$1000),'Data - Monthly Commodity Prices'!O$100:O$1000)),"NA"),IFERROR(IF(L15=0,"NA",L15),"NA"))</f>
        <v>3153.8500000000008</v>
      </c>
      <c r="J15" s="30">
        <f t="array" ref="J15">IF($H$6="Historic Calendar Year",IFERROR(AVERAGE(IF($H15=YEAR('Data - Monthly Commodity Prices'!C$100:C$1000),'Data - Monthly Commodity Prices'!P$100:P$1000)),"NA"),IFERROR(IF(M15=0,"NA",M15),"NA"))</f>
        <v>748.79074819767618</v>
      </c>
      <c r="K15" s="30">
        <f t="array" ref="K15">IF($H$6="Historic Calendar Year",IFERROR(AVERAGE(IF($H15=YEAR('Data - Monthly Commodity Prices'!C$100:C$1000),'Data - Monthly Commodity Prices'!Q$100:Q$1000)),"NA"),IFERROR(IF(N15=0,"NA",N15),"NA"))</f>
        <v>1711.18948465463</v>
      </c>
      <c r="L15" s="798">
        <f>(SUMIFS('Data - Monthly Commodity Prices'!$O$9:$O$2500,'Data - Monthly Commodity Prices'!$A$9:$A$2500,'Alumina - Prices'!D14,'Data - Monthly Commodity Prices'!$B$9:$B$2500,3)+
SUMIFS('Data - Monthly Commodity Prices'!$O$9:$O$2500,'Data - Monthly Commodity Prices'!$A$9:$A$2500,'Alumina - Prices'!D14,'Data - Monthly Commodity Prices'!$B$9:$B$2500,4)+
SUMIFS('Data - Monthly Commodity Prices'!$O$9:$O$2500,'Data - Monthly Commodity Prices'!$A$9:$A$2500,'Alumina - Prices'!E14,'Data - Monthly Commodity Prices'!$B$9:$B$2500,1)+
SUMIFS('Data - Monthly Commodity Prices'!$O$9:$O$2500,'Data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3159.936666666667</v>
      </c>
      <c r="M15" s="798">
        <f>(SUMIFS('Data - Monthly Commodity Prices'!$P$9:$P$2500,'Data - Monthly Commodity Prices'!$A$9:$A$2500,'Alumina - Prices'!D14,'Data - Monthly Commodity Prices'!$B$9:$B$2500,3)+
SUMIFS('Data - Monthly Commodity Prices'!$P$9:$P$2500,'Data - Monthly Commodity Prices'!$A$9:$A$2500,'Alumina - Prices'!D14,'Data - Monthly Commodity Prices'!$B$9:$B$2500,4)+
SUMIFS('Data - Monthly Commodity Prices'!$P$9:$P$2500,'Data - Monthly Commodity Prices'!$A$9:$A$2500,'Alumina - Prices'!E14,'Data - Monthly Commodity Prices'!$B$9:$B$2500,1)+
SUMIFS('Data - Monthly Commodity Prices'!$P$9:$P$2500,'Data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701.02235529724078</v>
      </c>
      <c r="N15" s="798">
        <f>(SUMIFS('Data - Monthly Commodity Prices'!$Q$9:$Q$2500,'Data - Monthly Commodity Prices'!$A$9:$A$2500,'Alumina - Prices'!D14,'Data - Monthly Commodity Prices'!$B$9:$B$2500,3)+
SUMIFS('Data - Monthly Commodity Prices'!$Q$9:$Q$2500,'Data - Monthly Commodity Prices'!$A$9:$A$2500,'Alumina - Prices'!D14,'Data - Monthly Commodity Prices'!$B$9:$B$2500,4)+
SUMIFS('Data - Monthly Commodity Prices'!$Q$9:$Q$2500,'Data - Monthly Commodity Prices'!$A$9:$A$2500,'Alumina - Prices'!E14,'Data - Monthly Commodity Prices'!$B$9:$B$2500,1)+
SUMIFS('Data - Monthly Commodity Prices'!$Q$9:$Q$2500,'Data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1604.4551429414589</v>
      </c>
    </row>
    <row r="16" spans="1:27">
      <c r="A16" s="1638">
        <f>LARGE('Data - Monthly Commodity Prices'!C$159:C$902,53)</f>
        <v>42217</v>
      </c>
      <c r="B16" s="79">
        <f>SUMIF('Data - Monthly Commodity Prices'!$C$159:$C$902,$A16,'Data - Monthly Commodity Prices'!O$159:O$902)</f>
        <v>6974.95</v>
      </c>
      <c r="C16" s="79">
        <f>SUMIF('Data - Monthly Commodity Prices'!$C$159:$C$902,$A16,'Data - Monthly Commodity Prices'!P$159:P$902)</f>
        <v>2320.3125</v>
      </c>
      <c r="D16" s="30">
        <f>SUMIF('Data - Monthly Commodity Prices'!$C$159:$C$902,$A16,'Data - Monthly Commodity Prices'!Q$159:Q$902)</f>
        <v>2480.7086074561403</v>
      </c>
      <c r="E16" s="24"/>
      <c r="F16" s="410">
        <f t="shared" si="1"/>
        <v>1993</v>
      </c>
      <c r="G16" s="410">
        <f t="shared" si="1"/>
        <v>1994</v>
      </c>
      <c r="H16" s="1822">
        <f t="shared" si="0"/>
        <v>1993</v>
      </c>
      <c r="I16" s="325">
        <f t="array" ref="I16">IF($H$6="Historic Calendar Year",IFERROR(AVERAGE(IF($H16=YEAR('Data - Monthly Commodity Prices'!C$100:C$1000),'Data - Monthly Commodity Prices'!O$100:O$1000)),"NA"),IFERROR(IF(L16=0,"NA",L16),"NA"))</f>
        <v>2814.875</v>
      </c>
      <c r="J16" s="325">
        <f t="array" ref="J16">IF($H$6="Historic Calendar Year",IFERROR(AVERAGE(IF($H16=YEAR('Data - Monthly Commodity Prices'!C$100:C$1000),'Data - Monthly Commodity Prices'!P$100:P$1000)),"NA"),IFERROR(IF(M16=0,"NA",M16),"NA"))</f>
        <v>598.32515633513162</v>
      </c>
      <c r="K16" s="325">
        <f t="array" ref="K16">IF($H$6="Historic Calendar Year",IFERROR(AVERAGE(IF($H16=YEAR('Data - Monthly Commodity Prices'!C$100:C$1000),'Data - Monthly Commodity Prices'!Q$100:Q$1000)),"NA"),IFERROR(IF(N16=0,"NA",N16),"NA"))</f>
        <v>1415.0408287352329</v>
      </c>
      <c r="L16" s="798">
        <f>(SUMIFS('Data - Monthly Commodity Prices'!$O$9:$O$2500,'Data - Monthly Commodity Prices'!$A$9:$A$2500,'Alumina - Prices'!D15,'Data - Monthly Commodity Prices'!$B$9:$B$2500,3)+
SUMIFS('Data - Monthly Commodity Prices'!$O$9:$O$2500,'Data - Monthly Commodity Prices'!$A$9:$A$2500,'Alumina - Prices'!D15,'Data - Monthly Commodity Prices'!$B$9:$B$2500,4)+
SUMIFS('Data - Monthly Commodity Prices'!$O$9:$O$2500,'Data - Monthly Commodity Prices'!$A$9:$A$2500,'Alumina - Prices'!E15,'Data - Monthly Commodity Prices'!$B$9:$B$2500,1)+
SUMIFS('Data - Monthly Commodity Prices'!$O$9:$O$2500,'Data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2731.8033333333333</v>
      </c>
      <c r="M16" s="798">
        <f>(SUMIFS('Data - Monthly Commodity Prices'!$P$9:$P$2500,'Data - Monthly Commodity Prices'!$A$9:$A$2500,'Alumina - Prices'!D15,'Data - Monthly Commodity Prices'!$B$9:$B$2500,3)+
SUMIFS('Data - Monthly Commodity Prices'!$P$9:$P$2500,'Data - Monthly Commodity Prices'!$A$9:$A$2500,'Alumina - Prices'!D15,'Data - Monthly Commodity Prices'!$B$9:$B$2500,4)+
SUMIFS('Data - Monthly Commodity Prices'!$P$9:$P$2500,'Data - Monthly Commodity Prices'!$A$9:$A$2500,'Alumina - Prices'!E15,'Data - Monthly Commodity Prices'!$B$9:$B$2500,1)+
SUMIFS('Data - Monthly Commodity Prices'!$P$9:$P$2500,'Data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632.25839968034154</v>
      </c>
      <c r="N16" s="798">
        <f>(SUMIFS('Data - Monthly Commodity Prices'!$Q$9:$Q$2500,'Data - Monthly Commodity Prices'!$A$9:$A$2500,'Alumina - Prices'!D15,'Data - Monthly Commodity Prices'!$B$9:$B$2500,3)+
SUMIFS('Data - Monthly Commodity Prices'!$Q$9:$Q$2500,'Data - Monthly Commodity Prices'!$A$9:$A$2500,'Alumina - Prices'!D15,'Data - Monthly Commodity Prices'!$B$9:$B$2500,4)+
SUMIFS('Data - Monthly Commodity Prices'!$Q$9:$Q$2500,'Data - Monthly Commodity Prices'!$A$9:$A$2500,'Alumina - Prices'!E15,'Data - Monthly Commodity Prices'!$B$9:$B$2500,1)+
SUMIFS('Data - Monthly Commodity Prices'!$Q$9:$Q$2500,'Data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1355.4671257836906</v>
      </c>
    </row>
    <row r="17" spans="1:14">
      <c r="A17" s="1823">
        <f>LARGE('Data - Monthly Commodity Prices'!C$159:C$902,52)</f>
        <v>42248</v>
      </c>
      <c r="B17" s="330">
        <f>SUMIF('Data - Monthly Commodity Prices'!$C$159:$C$902,$A17,'Data - Monthly Commodity Prices'!O$159:O$902)</f>
        <v>7382.13</v>
      </c>
      <c r="C17" s="330">
        <f>SUMIF('Data - Monthly Commodity Prices'!$C$159:$C$902,$A17,'Data - Monthly Commodity Prices'!P$159:P$902)</f>
        <v>2384.1892274982279</v>
      </c>
      <c r="D17" s="325">
        <f>SUMIF('Data - Monthly Commodity Prices'!$C$159:$C$902,$A17,'Data - Monthly Commodity Prices'!Q$159:Q$902)</f>
        <v>2436.4409638554216</v>
      </c>
      <c r="E17" s="24"/>
      <c r="F17" s="410">
        <f t="shared" si="1"/>
        <v>1994</v>
      </c>
      <c r="G17" s="410">
        <f t="shared" si="1"/>
        <v>1995</v>
      </c>
      <c r="H17" s="348">
        <f t="shared" si="0"/>
        <v>1994</v>
      </c>
      <c r="I17" s="30">
        <f t="array" ref="I17">IF($H$6="Historic Calendar Year",IFERROR(AVERAGE(IF($H17=YEAR('Data - Monthly Commodity Prices'!C$100:C$1000),'Data - Monthly Commodity Prices'!O$100:O$1000)),"NA"),IFERROR(IF(L17=0,"NA",L17),"NA"))</f>
        <v>3129.7016666666664</v>
      </c>
      <c r="J17" s="30">
        <f t="array" ref="J17">IF($H$6="Historic Calendar Year",IFERROR(AVERAGE(IF($H17=YEAR('Data - Monthly Commodity Prices'!C$100:C$1000),'Data - Monthly Commodity Prices'!P$100:P$1000)),"NA"),IFERROR(IF(M17=0,"NA",M17),"NA"))</f>
        <v>743.94341775956934</v>
      </c>
      <c r="K17" s="30">
        <f t="array" ref="K17">IF($H$6="Historic Calendar Year",IFERROR(AVERAGE(IF($H17=YEAR('Data - Monthly Commodity Prices'!C$100:C$1000),'Data - Monthly Commodity Prices'!Q$100:Q$1000)),"NA"),IFERROR(IF(N17=0,"NA",N17),"NA"))</f>
        <v>1357.824156508465</v>
      </c>
      <c r="L17" s="798">
        <f>(SUMIFS('Data - Monthly Commodity Prices'!$O$9:$O$2500,'Data - Monthly Commodity Prices'!$A$9:$A$2500,'Alumina - Prices'!D16,'Data - Monthly Commodity Prices'!$B$9:$B$2500,3)+
SUMIFS('Data - Monthly Commodity Prices'!$O$9:$O$2500,'Data - Monthly Commodity Prices'!$A$9:$A$2500,'Alumina - Prices'!D16,'Data - Monthly Commodity Prices'!$B$9:$B$2500,4)+
SUMIFS('Data - Monthly Commodity Prices'!$O$9:$O$2500,'Data - Monthly Commodity Prices'!$A$9:$A$2500,'Alumina - Prices'!E16,'Data - Monthly Commodity Prices'!$B$9:$B$2500,1)+
SUMIFS('Data - Monthly Commodity Prices'!$O$9:$O$2500,'Data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3738.0425</v>
      </c>
      <c r="M17" s="798">
        <f>(SUMIFS('Data - Monthly Commodity Prices'!$P$9:$P$2500,'Data - Monthly Commodity Prices'!$A$9:$A$2500,'Alumina - Prices'!D16,'Data - Monthly Commodity Prices'!$B$9:$B$2500,3)+
SUMIFS('Data - Monthly Commodity Prices'!$P$9:$P$2500,'Data - Monthly Commodity Prices'!$A$9:$A$2500,'Alumina - Prices'!D16,'Data - Monthly Commodity Prices'!$B$9:$B$2500,4)+
SUMIFS('Data - Monthly Commodity Prices'!$P$9:$P$2500,'Data - Monthly Commodity Prices'!$A$9:$A$2500,'Alumina - Prices'!E16,'Data - Monthly Commodity Prices'!$B$9:$B$2500,1)+
SUMIFS('Data - Monthly Commodity Prices'!$P$9:$P$2500,'Data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827.95069241330464</v>
      </c>
      <c r="N17" s="798">
        <f>(SUMIFS('Data - Monthly Commodity Prices'!$Q$9:$Q$2500,'Data - Monthly Commodity Prices'!$A$9:$A$2500,'Alumina - Prices'!D16,'Data - Monthly Commodity Prices'!$B$9:$B$2500,3)+
SUMIFS('Data - Monthly Commodity Prices'!$Q$9:$Q$2500,'Data - Monthly Commodity Prices'!$A$9:$A$2500,'Alumina - Prices'!D16,'Data - Monthly Commodity Prices'!$B$9:$B$2500,4)+
SUMIFS('Data - Monthly Commodity Prices'!$Q$9:$Q$2500,'Data - Monthly Commodity Prices'!$A$9:$A$2500,'Alumina - Prices'!E16,'Data - Monthly Commodity Prices'!$B$9:$B$2500,1)+
SUMIFS('Data - Monthly Commodity Prices'!$Q$9:$Q$2500,'Data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1411.6127692247683</v>
      </c>
    </row>
    <row r="18" spans="1:14">
      <c r="A18" s="1638">
        <f>LARGE('Data - Monthly Commodity Prices'!C$159:C$902,51)</f>
        <v>42278</v>
      </c>
      <c r="B18" s="79">
        <f>SUMIF('Data - Monthly Commodity Prices'!$C$159:$C$902,$A18,'Data - Monthly Commodity Prices'!O$159:O$902)</f>
        <v>7247.59</v>
      </c>
      <c r="C18" s="79">
        <f>SUMIF('Data - Monthly Commodity Prices'!$C$159:$C$902,$A18,'Data - Monthly Commodity Prices'!P$159:P$902)</f>
        <v>2393.2392450735497</v>
      </c>
      <c r="D18" s="30">
        <f>SUMIF('Data - Monthly Commodity Prices'!$C$159:$C$902,$A18,'Data - Monthly Commodity Prices'!Q$159:Q$902)</f>
        <v>2398.0648071051901</v>
      </c>
      <c r="E18" s="24"/>
      <c r="F18" s="410">
        <f t="shared" si="1"/>
        <v>1995</v>
      </c>
      <c r="G18" s="410">
        <f t="shared" si="1"/>
        <v>1996</v>
      </c>
      <c r="H18" s="1822">
        <f t="shared" si="0"/>
        <v>1995</v>
      </c>
      <c r="I18" s="325">
        <f t="array" ref="I18">IF($H$6="Historic Calendar Year",IFERROR(AVERAGE(IF($H18=YEAR('Data - Monthly Commodity Prices'!C$100:C$1000),'Data - Monthly Commodity Prices'!O$100:O$1000)),"NA"),IFERROR(IF(L18=0,"NA",L18),"NA"))</f>
        <v>3973.0408333333339</v>
      </c>
      <c r="J18" s="325">
        <f t="array" ref="J18">IF($H$6="Historic Calendar Year",IFERROR(AVERAGE(IF($H18=YEAR('Data - Monthly Commodity Prices'!C$100:C$1000),'Data - Monthly Commodity Prices'!P$100:P$1000)),"NA"),IFERROR(IF(M18=0,"NA",M18),"NA"))</f>
        <v>855.82665748868158</v>
      </c>
      <c r="K18" s="325">
        <f t="array" ref="K18">IF($H$6="Historic Calendar Year",IFERROR(AVERAGE(IF($H18=YEAR('Data - Monthly Commodity Prices'!C$100:C$1000),'Data - Monthly Commodity Prices'!Q$100:Q$1000)),"NA"),IFERROR(IF(N18=0,"NA",N18),"NA"))</f>
        <v>1395.6675075294304</v>
      </c>
      <c r="L18" s="798">
        <f>(SUMIFS('Data - Monthly Commodity Prices'!$O$9:$O$2500,'Data - Monthly Commodity Prices'!$A$9:$A$2500,'Alumina - Prices'!D17,'Data - Monthly Commodity Prices'!$B$9:$B$2500,3)+
SUMIFS('Data - Monthly Commodity Prices'!$O$9:$O$2500,'Data - Monthly Commodity Prices'!$A$9:$A$2500,'Alumina - Prices'!D17,'Data - Monthly Commodity Prices'!$B$9:$B$2500,4)+
SUMIFS('Data - Monthly Commodity Prices'!$O$9:$O$2500,'Data - Monthly Commodity Prices'!$A$9:$A$2500,'Alumina - Prices'!E17,'Data - Monthly Commodity Prices'!$B$9:$B$2500,1)+
SUMIFS('Data - Monthly Commodity Prices'!$O$9:$O$2500,'Data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3601.1216666666664</v>
      </c>
      <c r="M18" s="798">
        <f>(SUMIFS('Data - Monthly Commodity Prices'!$P$9:$P$2500,'Data - Monthly Commodity Prices'!$A$9:$A$2500,'Alumina - Prices'!D17,'Data - Monthly Commodity Prices'!$B$9:$B$2500,3)+
SUMIFS('Data - Monthly Commodity Prices'!$P$9:$P$2500,'Data - Monthly Commodity Prices'!$A$9:$A$2500,'Alumina - Prices'!D17,'Data - Monthly Commodity Prices'!$B$9:$B$2500,4)+
SUMIFS('Data - Monthly Commodity Prices'!$P$9:$P$2500,'Data - Monthly Commodity Prices'!$A$9:$A$2500,'Alumina - Prices'!E17,'Data - Monthly Commodity Prices'!$B$9:$B$2500,1)+
SUMIFS('Data - Monthly Commodity Prices'!$P$9:$P$2500,'Data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948.38663795516652</v>
      </c>
      <c r="N18" s="798">
        <f>(SUMIFS('Data - Monthly Commodity Prices'!$Q$9:$Q$2500,'Data - Monthly Commodity Prices'!$A$9:$A$2500,'Alumina - Prices'!D17,'Data - Monthly Commodity Prices'!$B$9:$B$2500,3)+
SUMIFS('Data - Monthly Commodity Prices'!$Q$9:$Q$2500,'Data - Monthly Commodity Prices'!$A$9:$A$2500,'Alumina - Prices'!D17,'Data - Monthly Commodity Prices'!$B$9:$B$2500,4)+
SUMIFS('Data - Monthly Commodity Prices'!$Q$9:$Q$2500,'Data - Monthly Commodity Prices'!$A$9:$A$2500,'Alumina - Prices'!E17,'Data - Monthly Commodity Prices'!$B$9:$B$2500,1)+
SUMIFS('Data - Monthly Commodity Prices'!$Q$9:$Q$2500,'Data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1341.0567194865105</v>
      </c>
    </row>
    <row r="19" spans="1:14">
      <c r="A19" s="1823">
        <f>LARGE('Data - Monthly Commodity Prices'!C$159:C$902,50)</f>
        <v>42309</v>
      </c>
      <c r="B19" s="330">
        <f>SUMIF('Data - Monthly Commodity Prices'!$C$159:$C$902,$A19,'Data - Monthly Commodity Prices'!O$159:O$902)</f>
        <v>6724.81</v>
      </c>
      <c r="C19" s="330">
        <f>SUMIF('Data - Monthly Commodity Prices'!$C$159:$C$902,$A19,'Data - Monthly Commodity Prices'!P$159:P$902)</f>
        <v>2260.1065734265735</v>
      </c>
      <c r="D19" s="325">
        <f>SUMIF('Data - Monthly Commodity Prices'!$C$159:$C$902,$A19,'Data - Monthly Commodity Prices'!Q$159:Q$902)</f>
        <v>2212.9869930069931</v>
      </c>
      <c r="E19" s="24"/>
      <c r="F19" s="410">
        <f t="shared" si="1"/>
        <v>1996</v>
      </c>
      <c r="G19" s="410">
        <f t="shared" si="1"/>
        <v>1997</v>
      </c>
      <c r="H19" s="348">
        <f t="shared" si="0"/>
        <v>1996</v>
      </c>
      <c r="I19" s="30">
        <f t="array" ref="I19">IF($H$6="Historic Calendar Year",IFERROR(AVERAGE(IF($H19=YEAR('Data - Monthly Commodity Prices'!C$100:C$1000),'Data - Monthly Commodity Prices'!O$100:O$1000)),"NA"),IFERROR(IF(L19=0,"NA",L19),"NA"))</f>
        <v>2928.3225000000002</v>
      </c>
      <c r="J19" s="30">
        <f t="array" ref="J19">IF($H$6="Historic Calendar Year",IFERROR(AVERAGE(IF($H19=YEAR('Data - Monthly Commodity Prices'!C$100:C$1000),'Data - Monthly Commodity Prices'!P$100:P$1000)),"NA"),IFERROR(IF(M19=0,"NA",M19),"NA"))</f>
        <v>987.57408028541101</v>
      </c>
      <c r="K19" s="30">
        <f t="array" ref="K19">IF($H$6="Historic Calendar Year",IFERROR(AVERAGE(IF($H19=YEAR('Data - Monthly Commodity Prices'!C$100:C$1000),'Data - Monthly Commodity Prices'!Q$100:Q$1000)),"NA"),IFERROR(IF(N19=0,"NA",N19),"NA"))</f>
        <v>1307.6936460669722</v>
      </c>
      <c r="L19" s="798">
        <f>(SUMIFS('Data - Monthly Commodity Prices'!$O$9:$O$2500,'Data - Monthly Commodity Prices'!$A$9:$A$2500,'Alumina - Prices'!D18,'Data - Monthly Commodity Prices'!$B$9:$B$2500,3)+
SUMIFS('Data - Monthly Commodity Prices'!$O$9:$O$2500,'Data - Monthly Commodity Prices'!$A$9:$A$2500,'Alumina - Prices'!D18,'Data - Monthly Commodity Prices'!$B$9:$B$2500,4)+
SUMIFS('Data - Monthly Commodity Prices'!$O$9:$O$2500,'Data - Monthly Commodity Prices'!$A$9:$A$2500,'Alumina - Prices'!E18,'Data - Monthly Commodity Prices'!$B$9:$B$2500,1)+
SUMIFS('Data - Monthly Commodity Prices'!$O$9:$O$2500,'Data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2854.5266666666666</v>
      </c>
      <c r="M19" s="798">
        <f>(SUMIFS('Data - Monthly Commodity Prices'!$P$9:$P$2500,'Data - Monthly Commodity Prices'!$A$9:$A$2500,'Alumina - Prices'!D18,'Data - Monthly Commodity Prices'!$B$9:$B$2500,3)+
SUMIFS('Data - Monthly Commodity Prices'!$P$9:$P$2500,'Data - Monthly Commodity Prices'!$A$9:$A$2500,'Alumina - Prices'!D18,'Data - Monthly Commodity Prices'!$B$9:$B$2500,4)+
SUMIFS('Data - Monthly Commodity Prices'!$P$9:$P$2500,'Data - Monthly Commodity Prices'!$A$9:$A$2500,'Alumina - Prices'!E18,'Data - Monthly Commodity Prices'!$B$9:$B$2500,1)+
SUMIFS('Data - Monthly Commodity Prices'!$P$9:$P$2500,'Data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903.67757369012099</v>
      </c>
      <c r="N19" s="798">
        <f>(SUMIFS('Data - Monthly Commodity Prices'!$Q$9:$Q$2500,'Data - Monthly Commodity Prices'!$A$9:$A$2500,'Alumina - Prices'!D18,'Data - Monthly Commodity Prices'!$B$9:$B$2500,3)+
SUMIFS('Data - Monthly Commodity Prices'!$Q$9:$Q$2500,'Data - Monthly Commodity Prices'!$A$9:$A$2500,'Alumina - Prices'!D18,'Data - Monthly Commodity Prices'!$B$9:$B$2500,4)+
SUMIFS('Data - Monthly Commodity Prices'!$Q$9:$Q$2500,'Data - Monthly Commodity Prices'!$A$9:$A$2500,'Alumina - Prices'!E18,'Data - Monthly Commodity Prices'!$B$9:$B$2500,1)+
SUMIFS('Data - Monthly Commodity Prices'!$Q$9:$Q$2500,'Data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1446.5577506695543</v>
      </c>
    </row>
    <row r="20" spans="1:14">
      <c r="A20" s="1638">
        <f>LARGE('Data - Monthly Commodity Prices'!C$159:C$902,49)</f>
        <v>42339</v>
      </c>
      <c r="B20" s="79">
        <f>SUMIF('Data - Monthly Commodity Prices'!$C$159:$C$902,$A20,'Data - Monthly Commodity Prices'!O$159:O$902)</f>
        <v>6383.07</v>
      </c>
      <c r="C20" s="79">
        <f>SUMIF('Data - Monthly Commodity Prices'!$C$159:$C$902,$A20,'Data - Monthly Commodity Prices'!P$159:P$902)</f>
        <v>2345.9538058466628</v>
      </c>
      <c r="D20" s="30">
        <f>SUMIF('Data - Monthly Commodity Prices'!$C$159:$C$902,$A20,'Data - Monthly Commodity Prices'!Q$159:Q$902)</f>
        <v>2098.8626585769443</v>
      </c>
      <c r="E20" s="24"/>
      <c r="F20" s="410">
        <f t="shared" si="1"/>
        <v>1997</v>
      </c>
      <c r="G20" s="410">
        <f t="shared" si="1"/>
        <v>1998</v>
      </c>
      <c r="H20" s="1822">
        <f t="shared" si="0"/>
        <v>1997</v>
      </c>
      <c r="I20" s="325">
        <f t="array" ref="I20">IF($H$6="Historic Calendar Year",IFERROR(AVERAGE(IF($H20=YEAR('Data - Monthly Commodity Prices'!C$100:C$1000),'Data - Monthly Commodity Prices'!O$100:O$1000)),"NA"),IFERROR(IF(L20=0,"NA",L20),"NA"))</f>
        <v>3038.5116666666668</v>
      </c>
      <c r="J20" s="325">
        <f t="array" ref="J20">IF($H$6="Historic Calendar Year",IFERROR(AVERAGE(IF($H20=YEAR('Data - Monthly Commodity Prices'!C$100:C$1000),'Data - Monthly Commodity Prices'!P$100:P$1000)),"NA"),IFERROR(IF(M20=0,"NA",M20),"NA"))</f>
        <v>844.55609005935491</v>
      </c>
      <c r="K20" s="325">
        <f t="array" ref="K20">IF($H$6="Historic Calendar Year",IFERROR(AVERAGE(IF($H20=YEAR('Data - Monthly Commodity Prices'!C$100:C$1000),'Data - Monthly Commodity Prices'!Q$100:Q$1000)),"NA"),IFERROR(IF(N20=0,"NA",N20),"NA"))</f>
        <v>1786.5012236955479</v>
      </c>
      <c r="L20" s="798">
        <f>(SUMIFS('Data - Monthly Commodity Prices'!$O$9:$O$2500,'Data - Monthly Commodity Prices'!$A$9:$A$2500,'Alumina - Prices'!D19,'Data - Monthly Commodity Prices'!$B$9:$B$2500,3)+
SUMIFS('Data - Monthly Commodity Prices'!$O$9:$O$2500,'Data - Monthly Commodity Prices'!$A$9:$A$2500,'Alumina - Prices'!D19,'Data - Monthly Commodity Prices'!$B$9:$B$2500,4)+
SUMIFS('Data - Monthly Commodity Prices'!$O$9:$O$2500,'Data - Monthly Commodity Prices'!$A$9:$A$2500,'Alumina - Prices'!E19,'Data - Monthly Commodity Prices'!$B$9:$B$2500,1)+
SUMIFS('Data - Monthly Commodity Prices'!$O$9:$O$2500,'Data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2810.8533333333339</v>
      </c>
      <c r="M20" s="798">
        <f>(SUMIFS('Data - Monthly Commodity Prices'!$P$9:$P$2500,'Data - Monthly Commodity Prices'!$A$9:$A$2500,'Alumina - Prices'!D19,'Data - Monthly Commodity Prices'!$B$9:$B$2500,3)+
SUMIFS('Data - Monthly Commodity Prices'!$P$9:$P$2500,'Data - Monthly Commodity Prices'!$A$9:$A$2500,'Alumina - Prices'!D19,'Data - Monthly Commodity Prices'!$B$9:$B$2500,4)+
SUMIFS('Data - Monthly Commodity Prices'!$P$9:$P$2500,'Data - Monthly Commodity Prices'!$A$9:$A$2500,'Alumina - Prices'!E19,'Data - Monthly Commodity Prices'!$B$9:$B$2500,1)+
SUMIFS('Data - Monthly Commodity Prices'!$P$9:$P$2500,'Data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837.68075997102017</v>
      </c>
      <c r="N20" s="798">
        <f>(SUMIFS('Data - Monthly Commodity Prices'!$Q$9:$Q$2500,'Data - Monthly Commodity Prices'!$A$9:$A$2500,'Alumina - Prices'!D19,'Data - Monthly Commodity Prices'!$B$9:$B$2500,3)+
SUMIFS('Data - Monthly Commodity Prices'!$Q$9:$Q$2500,'Data - Monthly Commodity Prices'!$A$9:$A$2500,'Alumina - Prices'!D19,'Data - Monthly Commodity Prices'!$B$9:$B$2500,4)+
SUMIFS('Data - Monthly Commodity Prices'!$Q$9:$Q$2500,'Data - Monthly Commodity Prices'!$A$9:$A$2500,'Alumina - Prices'!E19,'Data - Monthly Commodity Prices'!$B$9:$B$2500,1)+
SUMIFS('Data - Monthly Commodity Prices'!$Q$9:$Q$2500,'Data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1798.3167198581029</v>
      </c>
    </row>
    <row r="21" spans="1:14">
      <c r="A21" s="1823">
        <f>LARGE('Data - Monthly Commodity Prices'!C$159:C$902,48)</f>
        <v>42370</v>
      </c>
      <c r="B21" s="330">
        <f>SUMIF('Data - Monthly Commodity Prices'!$C$159:$C$902,$A21,'Data - Monthly Commodity Prices'!O$159:O$902)</f>
        <v>6361.72</v>
      </c>
      <c r="C21" s="330">
        <f>SUMIF('Data - Monthly Commodity Prices'!$C$159:$C$902,$A21,'Data - Monthly Commodity Prices'!P$159:P$902)</f>
        <v>2347.75</v>
      </c>
      <c r="D21" s="325">
        <f>SUMIF('Data - Monthly Commodity Prices'!$C$159:$C$902,$A21,'Data - Monthly Commodity Prices'!Q$159:Q$902)</f>
        <v>2155.67</v>
      </c>
      <c r="E21" s="24"/>
      <c r="F21" s="410">
        <f t="shared" si="1"/>
        <v>1998</v>
      </c>
      <c r="G21" s="410">
        <f t="shared" si="1"/>
        <v>1999</v>
      </c>
      <c r="H21" s="348">
        <f t="shared" si="0"/>
        <v>1998</v>
      </c>
      <c r="I21" s="30">
        <f t="array" ref="I21">IF($H$6="Historic Calendar Year",IFERROR(AVERAGE(IF($H21=YEAR('Data - Monthly Commodity Prices'!C$100:C$1000),'Data - Monthly Commodity Prices'!O$100:O$1000)),"NA"),IFERROR(IF(L21=0,"NA",L21),"NA"))</f>
        <v>2628.6441666666674</v>
      </c>
      <c r="J21" s="30">
        <f t="array" ref="J21">IF($H$6="Historic Calendar Year",IFERROR(AVERAGE(IF($H21=YEAR('Data - Monthly Commodity Prices'!C$100:C$1000),'Data - Monthly Commodity Prices'!P$100:P$1000)),"NA"),IFERROR(IF(M21=0,"NA",M21),"NA"))</f>
        <v>840.53550817404846</v>
      </c>
      <c r="K21" s="30">
        <f t="array" ref="K21">IF($H$6="Historic Calendar Year",IFERROR(AVERAGE(IF($H21=YEAR('Data - Monthly Commodity Prices'!C$100:C$1000),'Data - Monthly Commodity Prices'!Q$100:Q$1000)),"NA"),IFERROR(IF(N21=0,"NA",N21),"NA"))</f>
        <v>1627.9267902112024</v>
      </c>
      <c r="L21" s="798">
        <f>(SUMIFS('Data - Monthly Commodity Prices'!$O$9:$O$2500,'Data - Monthly Commodity Prices'!$A$9:$A$2500,'Alumina - Prices'!D20,'Data - Monthly Commodity Prices'!$B$9:$B$2500,3)+
SUMIFS('Data - Monthly Commodity Prices'!$O$9:$O$2500,'Data - Monthly Commodity Prices'!$A$9:$A$2500,'Alumina - Prices'!D20,'Data - Monthly Commodity Prices'!$B$9:$B$2500,4)+
SUMIFS('Data - Monthly Commodity Prices'!$O$9:$O$2500,'Data - Monthly Commodity Prices'!$A$9:$A$2500,'Alumina - Prices'!E20,'Data - Monthly Commodity Prices'!$B$9:$B$2500,1)+
SUMIFS('Data - Monthly Commodity Prices'!$O$9:$O$2500,'Data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2420.6691666666666</v>
      </c>
      <c r="M21" s="798">
        <f>(SUMIFS('Data - Monthly Commodity Prices'!$P$9:$P$2500,'Data - Monthly Commodity Prices'!$A$9:$A$2500,'Alumina - Prices'!D20,'Data - Monthly Commodity Prices'!$B$9:$B$2500,3)+
SUMIFS('Data - Monthly Commodity Prices'!$P$9:$P$2500,'Data - Monthly Commodity Prices'!$A$9:$A$2500,'Alumina - Prices'!D20,'Data - Monthly Commodity Prices'!$B$9:$B$2500,4)+
SUMIFS('Data - Monthly Commodity Prices'!$P$9:$P$2500,'Data - Monthly Commodity Prices'!$A$9:$A$2500,'Alumina - Prices'!E20,'Data - Monthly Commodity Prices'!$B$9:$B$2500,1)+
SUMIFS('Data - Monthly Commodity Prices'!$P$9:$P$2500,'Data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819.82455898297314</v>
      </c>
      <c r="N21" s="798">
        <f>(SUMIFS('Data - Monthly Commodity Prices'!$Q$9:$Q$2500,'Data - Monthly Commodity Prices'!$A$9:$A$2500,'Alumina - Prices'!D20,'Data - Monthly Commodity Prices'!$B$9:$B$2500,3)+
SUMIFS('Data - Monthly Commodity Prices'!$Q$9:$Q$2500,'Data - Monthly Commodity Prices'!$A$9:$A$2500,'Alumina - Prices'!D20,'Data - Monthly Commodity Prices'!$B$9:$B$2500,4)+
SUMIFS('Data - Monthly Commodity Prices'!$Q$9:$Q$2500,'Data - Monthly Commodity Prices'!$A$9:$A$2500,'Alumina - Prices'!E20,'Data - Monthly Commodity Prices'!$B$9:$B$2500,1)+
SUMIFS('Data - Monthly Commodity Prices'!$Q$9:$Q$2500,'Data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1592.9354116537554</v>
      </c>
    </row>
    <row r="22" spans="1:14">
      <c r="A22" s="1638">
        <f>LARGE('Data - Monthly Commodity Prices'!C$159:C$902,47)</f>
        <v>42401</v>
      </c>
      <c r="B22" s="79">
        <f>SUMIF('Data - Monthly Commodity Prices'!$C$159:$C$902,$A22,'Data - Monthly Commodity Prices'!O$159:O$902)</f>
        <v>6436.24</v>
      </c>
      <c r="C22" s="79">
        <f>SUMIF('Data - Monthly Commodity Prices'!$C$159:$C$902,$A22,'Data - Monthly Commodity Prices'!P$159:P$902)</f>
        <v>2481.19</v>
      </c>
      <c r="D22" s="30">
        <f>SUMIF('Data - Monthly Commodity Prices'!$C$159:$C$902,$A22,'Data - Monthly Commodity Prices'!Q$159:Q$902)</f>
        <v>2396.13</v>
      </c>
      <c r="E22" s="24"/>
      <c r="F22" s="410">
        <f t="shared" si="1"/>
        <v>1999</v>
      </c>
      <c r="G22" s="410">
        <f t="shared" si="1"/>
        <v>2000</v>
      </c>
      <c r="H22" s="1822">
        <f t="shared" si="0"/>
        <v>1999</v>
      </c>
      <c r="I22" s="325">
        <f t="array" ref="I22">IF($H$6="Historic Calendar Year",IFERROR(AVERAGE(IF($H22=YEAR('Data - Monthly Commodity Prices'!C$100:C$1000),'Data - Monthly Commodity Prices'!O$100:O$1000)),"NA"),IFERROR(IF(L22=0,"NA",L22),"NA"))</f>
        <v>2437.1574999999998</v>
      </c>
      <c r="J22" s="325">
        <f t="array" ref="J22">IF($H$6="Historic Calendar Year",IFERROR(AVERAGE(IF($H22=YEAR('Data - Monthly Commodity Prices'!C$100:C$1000),'Data - Monthly Commodity Prices'!P$100:P$1000)),"NA"),IFERROR(IF(M22=0,"NA",M22),"NA"))</f>
        <v>778.83591061927837</v>
      </c>
      <c r="K22" s="325">
        <f t="array" ref="K22">IF($H$6="Historic Calendar Year",IFERROR(AVERAGE(IF($H22=YEAR('Data - Monthly Commodity Prices'!C$100:C$1000),'Data - Monthly Commodity Prices'!Q$100:Q$1000)),"NA"),IFERROR(IF(N22=0,"NA",N22),"NA"))</f>
        <v>1668.0507290819969</v>
      </c>
      <c r="L22" s="798">
        <f>(SUMIFS('Data - Monthly Commodity Prices'!$O$9:$O$2500,'Data - Monthly Commodity Prices'!$A$9:$A$2500,'Alumina - Prices'!D21,'Data - Monthly Commodity Prices'!$B$9:$B$2500,3)+
SUMIFS('Data - Monthly Commodity Prices'!$O$9:$O$2500,'Data - Monthly Commodity Prices'!$A$9:$A$2500,'Alumina - Prices'!D21,'Data - Monthly Commodity Prices'!$B$9:$B$2500,4)+
SUMIFS('Data - Monthly Commodity Prices'!$O$9:$O$2500,'Data - Monthly Commodity Prices'!$A$9:$A$2500,'Alumina - Prices'!E21,'Data - Monthly Commodity Prices'!$B$9:$B$2500,1)+
SUMIFS('Data - Monthly Commodity Prices'!$O$9:$O$2500,'Data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2769.6666666666665</v>
      </c>
      <c r="M22" s="798">
        <f>(SUMIFS('Data - Monthly Commodity Prices'!$P$9:$P$2500,'Data - Monthly Commodity Prices'!$A$9:$A$2500,'Alumina - Prices'!D21,'Data - Monthly Commodity Prices'!$B$9:$B$2500,3)+
SUMIFS('Data - Monthly Commodity Prices'!$P$9:$P$2500,'Data - Monthly Commodity Prices'!$A$9:$A$2500,'Alumina - Prices'!D21,'Data - Monthly Commodity Prices'!$B$9:$B$2500,4)+
SUMIFS('Data - Monthly Commodity Prices'!$P$9:$P$2500,'Data - Monthly Commodity Prices'!$A$9:$A$2500,'Alumina - Prices'!E21,'Data - Monthly Commodity Prices'!$B$9:$B$2500,1)+
SUMIFS('Data - Monthly Commodity Prices'!$P$9:$P$2500,'Data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738.57393658698959</v>
      </c>
      <c r="N22" s="798">
        <f>(SUMIFS('Data - Monthly Commodity Prices'!$Q$9:$Q$2500,'Data - Monthly Commodity Prices'!$A$9:$A$2500,'Alumina - Prices'!D21,'Data - Monthly Commodity Prices'!$B$9:$B$2500,3)+
SUMIFS('Data - Monthly Commodity Prices'!$Q$9:$Q$2500,'Data - Monthly Commodity Prices'!$A$9:$A$2500,'Alumina - Prices'!D21,'Data - Monthly Commodity Prices'!$B$9:$B$2500,4)+
SUMIFS('Data - Monthly Commodity Prices'!$Q$9:$Q$2500,'Data - Monthly Commodity Prices'!$A$9:$A$2500,'Alumina - Prices'!E21,'Data - Monthly Commodity Prices'!$B$9:$B$2500,1)+
SUMIFS('Data - Monthly Commodity Prices'!$Q$9:$Q$2500,'Data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1814.5016197014183</v>
      </c>
    </row>
    <row r="23" spans="1:14">
      <c r="A23" s="1823">
        <f>LARGE('Data - Monthly Commodity Prices'!C$159:C$902,46)</f>
        <v>42430</v>
      </c>
      <c r="B23" s="330">
        <f>SUMIF('Data - Monthly Commodity Prices'!$C$159:$C$902,$A23,'Data - Monthly Commodity Prices'!O$159:O$902)</f>
        <v>6587.95</v>
      </c>
      <c r="C23" s="330">
        <f>SUMIF('Data - Monthly Commodity Prices'!$C$159:$C$902,$A23,'Data - Monthly Commodity Prices'!P$159:P$902)</f>
        <v>2407.4899999999998</v>
      </c>
      <c r="D23" s="325">
        <f>SUMIF('Data - Monthly Commodity Prices'!$C$159:$C$902,$A23,'Data - Monthly Commodity Prices'!Q$159:Q$902)</f>
        <v>2402.9899999999998</v>
      </c>
      <c r="E23" s="24"/>
      <c r="F23" s="410">
        <f t="shared" si="1"/>
        <v>2000</v>
      </c>
      <c r="G23" s="410">
        <f t="shared" si="1"/>
        <v>2001</v>
      </c>
      <c r="H23" s="348">
        <f t="shared" si="0"/>
        <v>2000</v>
      </c>
      <c r="I23" s="30">
        <f t="array" ref="I23">IF($H$6="Historic Calendar Year",IFERROR(AVERAGE(IF($H23=YEAR('Data - Monthly Commodity Prices'!C$100:C$1000),'Data - Monthly Commodity Prices'!O$100:O$1000)),"NA"),IFERROR(IF(L23=0,"NA",L23),"NA"))</f>
        <v>3132.9666666666667</v>
      </c>
      <c r="J23" s="30">
        <f t="array" ref="J23">IF($H$6="Historic Calendar Year",IFERROR(AVERAGE(IF($H23=YEAR('Data - Monthly Commodity Prices'!C$100:C$1000),'Data - Monthly Commodity Prices'!P$100:P$1000)),"NA"),IFERROR(IF(M23=0,"NA",M23),"NA"))</f>
        <v>784.46002783922779</v>
      </c>
      <c r="K23" s="30">
        <f t="array" ref="K23">IF($H$6="Historic Calendar Year",IFERROR(AVERAGE(IF($H23=YEAR('Data - Monthly Commodity Prices'!C$100:C$1000),'Data - Monthly Commodity Prices'!Q$100:Q$1000)),"NA"),IFERROR(IF(N23=0,"NA",N23),"NA"))</f>
        <v>1945.1321787546287</v>
      </c>
      <c r="L23" s="798">
        <f>(SUMIFS('Data - Monthly Commodity Prices'!$O$9:$O$2500,'Data - Monthly Commodity Prices'!$A$9:$A$2500,'Alumina - Prices'!D22,'Data - Monthly Commodity Prices'!$B$9:$B$2500,3)+
SUMIFS('Data - Monthly Commodity Prices'!$O$9:$O$2500,'Data - Monthly Commodity Prices'!$A$9:$A$2500,'Alumina - Prices'!D22,'Data - Monthly Commodity Prices'!$B$9:$B$2500,4)+
SUMIFS('Data - Monthly Commodity Prices'!$O$9:$O$2500,'Data - Monthly Commodity Prices'!$A$9:$A$2500,'Alumina - Prices'!E22,'Data - Monthly Commodity Prices'!$B$9:$B$2500,1)+
SUMIFS('Data - Monthly Commodity Prices'!$O$9:$O$2500,'Data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3320.1166666666668</v>
      </c>
      <c r="M23" s="798">
        <f>(SUMIFS('Data - Monthly Commodity Prices'!$P$9:$P$2500,'Data - Monthly Commodity Prices'!$A$9:$A$2500,'Alumina - Prices'!D22,'Data - Monthly Commodity Prices'!$B$9:$B$2500,3)+
SUMIFS('Data - Monthly Commodity Prices'!$P$9:$P$2500,'Data - Monthly Commodity Prices'!$A$9:$A$2500,'Alumina - Prices'!D22,'Data - Monthly Commodity Prices'!$B$9:$B$2500,4)+
SUMIFS('Data - Monthly Commodity Prices'!$P$9:$P$2500,'Data - Monthly Commodity Prices'!$A$9:$A$2500,'Alumina - Prices'!E22,'Data - Monthly Commodity Prices'!$B$9:$B$2500,1)+
SUMIFS('Data - Monthly Commodity Prices'!$P$9:$P$2500,'Data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885.02838264918728</v>
      </c>
      <c r="N23" s="798">
        <f>(SUMIFS('Data - Monthly Commodity Prices'!$Q$9:$Q$2500,'Data - Monthly Commodity Prices'!$A$9:$A$2500,'Alumina - Prices'!D22,'Data - Monthly Commodity Prices'!$B$9:$B$2500,3)+
SUMIFS('Data - Monthly Commodity Prices'!$Q$9:$Q$2500,'Data - Monthly Commodity Prices'!$A$9:$A$2500,'Alumina - Prices'!D22,'Data - Monthly Commodity Prices'!$B$9:$B$2500,4)+
SUMIFS('Data - Monthly Commodity Prices'!$Q$9:$Q$2500,'Data - Monthly Commodity Prices'!$A$9:$A$2500,'Alumina - Prices'!E22,'Data - Monthly Commodity Prices'!$B$9:$B$2500,1)+
SUMIFS('Data - Monthly Commodity Prices'!$Q$9:$Q$2500,'Data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1954.1053574329351</v>
      </c>
    </row>
    <row r="24" spans="1:14">
      <c r="A24" s="1638">
        <f>LARGE('Data - Monthly Commodity Prices'!C$159:C$902,45)</f>
        <v>42461</v>
      </c>
      <c r="B24" s="79">
        <f>SUMIF('Data - Monthly Commodity Prices'!$C$159:$C$902,$A24,'Data - Monthly Commodity Prices'!O$159:O$902)</f>
        <v>6330.57</v>
      </c>
      <c r="C24" s="79">
        <f>SUMIF('Data - Monthly Commodity Prices'!$C$159:$C$902,$A24,'Data - Monthly Commodity Prices'!P$159:P$902)</f>
        <v>2255.86</v>
      </c>
      <c r="D24" s="30">
        <f>SUMIF('Data - Monthly Commodity Prices'!$C$159:$C$902,$A24,'Data - Monthly Commodity Prices'!Q$159:Q$902)</f>
        <v>2416.19</v>
      </c>
      <c r="E24" s="24"/>
      <c r="F24" s="410">
        <f t="shared" si="1"/>
        <v>2001</v>
      </c>
      <c r="G24" s="410">
        <f t="shared" si="1"/>
        <v>2002</v>
      </c>
      <c r="H24" s="1822">
        <f t="shared" si="0"/>
        <v>2001</v>
      </c>
      <c r="I24" s="325">
        <f t="array" ref="I24">IF($H$6="Historic Calendar Year",IFERROR(AVERAGE(IF($H24=YEAR('Data - Monthly Commodity Prices'!C$100:C$1000),'Data - Monthly Commodity Prices'!O$100:O$1000)),"NA"),IFERROR(IF(L24=0,"NA",L24),"NA"))</f>
        <v>3049.5208333333335</v>
      </c>
      <c r="J24" s="325">
        <f t="array" ref="J24">IF($H$6="Historic Calendar Year",IFERROR(AVERAGE(IF($H24=YEAR('Data - Monthly Commodity Prices'!C$100:C$1000),'Data - Monthly Commodity Prices'!P$100:P$1000)),"NA"),IFERROR(IF(M24=0,"NA",M24),"NA"))</f>
        <v>920.59695444629563</v>
      </c>
      <c r="K24" s="325">
        <f t="array" ref="K24">IF($H$6="Historic Calendar Year",IFERROR(AVERAGE(IF($H24=YEAR('Data - Monthly Commodity Prices'!C$100:C$1000),'Data - Monthly Commodity Prices'!Q$100:Q$1000)),"NA"),IFERROR(IF(N24=0,"NA",N24),"NA"))</f>
        <v>1712.9788603544469</v>
      </c>
      <c r="L24" s="798">
        <f>(SUMIFS('Data - Monthly Commodity Prices'!$O$9:$O$2500,'Data - Monthly Commodity Prices'!$A$9:$A$2500,'Alumina - Prices'!D23,'Data - Monthly Commodity Prices'!$B$9:$B$2500,3)+
SUMIFS('Data - Monthly Commodity Prices'!$O$9:$O$2500,'Data - Monthly Commodity Prices'!$A$9:$A$2500,'Alumina - Prices'!D23,'Data - Monthly Commodity Prices'!$B$9:$B$2500,4)+
SUMIFS('Data - Monthly Commodity Prices'!$O$9:$O$2500,'Data - Monthly Commodity Prices'!$A$9:$A$2500,'Alumina - Prices'!E23,'Data - Monthly Commodity Prices'!$B$9:$B$2500,1)+
SUMIFS('Data - Monthly Commodity Prices'!$O$9:$O$2500,'Data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2894.9324999999994</v>
      </c>
      <c r="M24" s="798">
        <f>(SUMIFS('Data - Monthly Commodity Prices'!$P$9:$P$2500,'Data - Monthly Commodity Prices'!$A$9:$A$2500,'Alumina - Prices'!D23,'Data - Monthly Commodity Prices'!$B$9:$B$2500,3)+
SUMIFS('Data - Monthly Commodity Prices'!$P$9:$P$2500,'Data - Monthly Commodity Prices'!$A$9:$A$2500,'Alumina - Prices'!D23,'Data - Monthly Commodity Prices'!$B$9:$B$2500,4)+
SUMIFS('Data - Monthly Commodity Prices'!$P$9:$P$2500,'Data - Monthly Commodity Prices'!$A$9:$A$2500,'Alumina - Prices'!E23,'Data - Monthly Commodity Prices'!$B$9:$B$2500,1)+
SUMIFS('Data - Monthly Commodity Prices'!$P$9:$P$2500,'Data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905.95723009450069</v>
      </c>
      <c r="N24" s="798">
        <f>(SUMIFS('Data - Monthly Commodity Prices'!$Q$9:$Q$2500,'Data - Monthly Commodity Prices'!$A$9:$A$2500,'Alumina - Prices'!D23,'Data - Monthly Commodity Prices'!$B$9:$B$2500,3)+
SUMIFS('Data - Monthly Commodity Prices'!$Q$9:$Q$2500,'Data - Monthly Commodity Prices'!$A$9:$A$2500,'Alumina - Prices'!D23,'Data - Monthly Commodity Prices'!$B$9:$B$2500,4)+
SUMIFS('Data - Monthly Commodity Prices'!$Q$9:$Q$2500,'Data - Monthly Commodity Prices'!$A$9:$A$2500,'Alumina - Prices'!E23,'Data - Monthly Commodity Prices'!$B$9:$B$2500,1)+
SUMIFS('Data - Monthly Commodity Prices'!$Q$9:$Q$2500,'Data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1512.9334727119378</v>
      </c>
    </row>
    <row r="25" spans="1:14">
      <c r="A25" s="1823">
        <f>LARGE('Data - Monthly Commodity Prices'!C$159:C$902,44)</f>
        <v>42491</v>
      </c>
      <c r="B25" s="330">
        <f>SUMIF('Data - Monthly Commodity Prices'!$C$159:$C$902,$A25,'Data - Monthly Commodity Prices'!O$159:O$902)</f>
        <v>6430.42</v>
      </c>
      <c r="C25" s="330">
        <f>SUMIF('Data - Monthly Commodity Prices'!$C$159:$C$902,$A25,'Data - Monthly Commodity Prices'!P$159:P$902)</f>
        <v>2341.4699999999998</v>
      </c>
      <c r="D25" s="325">
        <f>SUMIF('Data - Monthly Commodity Prices'!$C$159:$C$902,$A25,'Data - Monthly Commodity Prices'!Q$159:Q$902)</f>
        <v>2555.59</v>
      </c>
      <c r="E25" s="24"/>
      <c r="F25" s="410">
        <f t="shared" si="1"/>
        <v>2002</v>
      </c>
      <c r="G25" s="410">
        <f t="shared" si="1"/>
        <v>2003</v>
      </c>
      <c r="H25" s="348">
        <f t="shared" si="0"/>
        <v>2002</v>
      </c>
      <c r="I25" s="30">
        <f t="array" ref="I25">IF($H$6="Historic Calendar Year",IFERROR(AVERAGE(IF($H25=YEAR('Data - Monthly Commodity Prices'!C$100:C$1000),'Data - Monthly Commodity Prices'!O$100:O$1000)),"NA"),IFERROR(IF(L25=0,"NA",L25),"NA"))</f>
        <v>2869.5458333333336</v>
      </c>
      <c r="J25" s="30">
        <f t="array" ref="J25">IF($H$6="Historic Calendar Year",IFERROR(AVERAGE(IF($H25=YEAR('Data - Monthly Commodity Prices'!C$100:C$1000),'Data - Monthly Commodity Prices'!P$100:P$1000)),"NA"),IFERROR(IF(M25=0,"NA",M25),"NA"))</f>
        <v>834.44410025010723</v>
      </c>
      <c r="K25" s="30">
        <f t="array" ref="K25">IF($H$6="Historic Calendar Year",IFERROR(AVERAGE(IF($H25=YEAR('Data - Monthly Commodity Prices'!C$100:C$1000),'Data - Monthly Commodity Prices'!Q$100:Q$1000)),"NA"),IFERROR(IF(N25=0,"NA",N25),"NA"))</f>
        <v>1433.6326801489176</v>
      </c>
      <c r="L25" s="798">
        <f>(SUMIFS('Data - Monthly Commodity Prices'!$O$9:$O$2500,'Data - Monthly Commodity Prices'!$A$9:$A$2500,'Alumina - Prices'!D24,'Data - Monthly Commodity Prices'!$B$9:$B$2500,3)+
SUMIFS('Data - Monthly Commodity Prices'!$O$9:$O$2500,'Data - Monthly Commodity Prices'!$A$9:$A$2500,'Alumina - Prices'!D24,'Data - Monthly Commodity Prices'!$B$9:$B$2500,4)+
SUMIFS('Data - Monthly Commodity Prices'!$O$9:$O$2500,'Data - Monthly Commodity Prices'!$A$9:$A$2500,'Alumina - Prices'!E24,'Data - Monthly Commodity Prices'!$B$9:$B$2500,1)+
SUMIFS('Data - Monthly Commodity Prices'!$O$9:$O$2500,'Data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2729.9175</v>
      </c>
      <c r="M25" s="798">
        <f>(SUMIFS('Data - Monthly Commodity Prices'!$P$9:$P$2500,'Data - Monthly Commodity Prices'!$A$9:$A$2500,'Alumina - Prices'!D24,'Data - Monthly Commodity Prices'!$B$9:$B$2500,3)+
SUMIFS('Data - Monthly Commodity Prices'!$P$9:$P$2500,'Data - Monthly Commodity Prices'!$A$9:$A$2500,'Alumina - Prices'!D24,'Data - Monthly Commodity Prices'!$B$9:$B$2500,4)+
SUMIFS('Data - Monthly Commodity Prices'!$P$9:$P$2500,'Data - Monthly Commodity Prices'!$A$9:$A$2500,'Alumina - Prices'!E24,'Data - Monthly Commodity Prices'!$B$9:$B$2500,1)+
SUMIFS('Data - Monthly Commodity Prices'!$P$9:$P$2500,'Data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762.68061301323462</v>
      </c>
      <c r="N25" s="798">
        <f>(SUMIFS('Data - Monthly Commodity Prices'!$Q$9:$Q$2500,'Data - Monthly Commodity Prices'!$A$9:$A$2500,'Alumina - Prices'!D24,'Data - Monthly Commodity Prices'!$B$9:$B$2500,3)+
SUMIFS('Data - Monthly Commodity Prices'!$Q$9:$Q$2500,'Data - Monthly Commodity Prices'!$A$9:$A$2500,'Alumina - Prices'!D24,'Data - Monthly Commodity Prices'!$B$9:$B$2500,4)+
SUMIFS('Data - Monthly Commodity Prices'!$Q$9:$Q$2500,'Data - Monthly Commodity Prices'!$A$9:$A$2500,'Alumina - Prices'!E24,'Data - Monthly Commodity Prices'!$B$9:$B$2500,1)+
SUMIFS('Data - Monthly Commodity Prices'!$Q$9:$Q$2500,'Data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1329.298286335988</v>
      </c>
    </row>
    <row r="26" spans="1:14">
      <c r="A26" s="1638">
        <f>LARGE('Data - Monthly Commodity Prices'!C$159:C$902,43)</f>
        <v>42522</v>
      </c>
      <c r="B26" s="79">
        <f>SUMIF('Data - Monthly Commodity Prices'!$C$159:$C$902,$A26,'Data - Monthly Commodity Prices'!O$159:O$902)</f>
        <v>6251.7</v>
      </c>
      <c r="C26" s="79">
        <f>SUMIF('Data - Monthly Commodity Prices'!$C$159:$C$902,$A26,'Data - Monthly Commodity Prices'!P$159:P$902)</f>
        <v>2313.9</v>
      </c>
      <c r="D26" s="30">
        <f>SUMIF('Data - Monthly Commodity Prices'!$C$159:$C$902,$A26,'Data - Monthly Commodity Prices'!Q$159:Q$902)</f>
        <v>2731.2</v>
      </c>
      <c r="E26" s="24"/>
      <c r="F26" s="410">
        <f t="shared" si="1"/>
        <v>2003</v>
      </c>
      <c r="G26" s="410">
        <f t="shared" si="1"/>
        <v>2004</v>
      </c>
      <c r="H26" s="1822">
        <f t="shared" si="0"/>
        <v>2003</v>
      </c>
      <c r="I26" s="325">
        <f t="array" ref="I26">IF($H$6="Historic Calendar Year",IFERROR(AVERAGE(IF($H26=YEAR('Data - Monthly Commodity Prices'!C$100:C$1000),'Data - Monthly Commodity Prices'!O$100:O$1000)),"NA"),IFERROR(IF(L26=0,"NA",L26),"NA"))</f>
        <v>2723.0658333333336</v>
      </c>
      <c r="J26" s="325">
        <f t="array" ref="J26">IF($H$6="Historic Calendar Year",IFERROR(AVERAGE(IF($H26=YEAR('Data - Monthly Commodity Prices'!C$100:C$1000),'Data - Monthly Commodity Prices'!P$100:P$1000)),"NA"),IFERROR(IF(M26=0,"NA",M26),"NA"))</f>
        <v>785.79468726520736</v>
      </c>
      <c r="K26" s="325">
        <f t="array" ref="K26">IF($H$6="Historic Calendar Year",IFERROR(AVERAGE(IF($H26=YEAR('Data - Monthly Commodity Prices'!C$100:C$1000),'Data - Monthly Commodity Prices'!Q$100:Q$1000)),"NA"),IFERROR(IF(N26=0,"NA",N26),"NA"))</f>
        <v>1268.5230433301185</v>
      </c>
      <c r="L26" s="798">
        <f>(SUMIFS('Data - Monthly Commodity Prices'!$O$9:$O$2500,'Data - Monthly Commodity Prices'!$A$9:$A$2500,'Alumina - Prices'!D25,'Data - Monthly Commodity Prices'!$B$9:$B$2500,3)+
SUMIFS('Data - Monthly Commodity Prices'!$O$9:$O$2500,'Data - Monthly Commodity Prices'!$A$9:$A$2500,'Alumina - Prices'!D25,'Data - Monthly Commodity Prices'!$B$9:$B$2500,4)+
SUMIFS('Data - Monthly Commodity Prices'!$O$9:$O$2500,'Data - Monthly Commodity Prices'!$A$9:$A$2500,'Alumina - Prices'!E25,'Data - Monthly Commodity Prices'!$B$9:$B$2500,1)+
SUMIFS('Data - Monthly Commodity Prices'!$O$9:$O$2500,'Data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3249.4241666666671</v>
      </c>
      <c r="M26" s="798">
        <f>(SUMIFS('Data - Monthly Commodity Prices'!$P$9:$P$2500,'Data - Monthly Commodity Prices'!$A$9:$A$2500,'Alumina - Prices'!D25,'Data - Monthly Commodity Prices'!$B$9:$B$2500,3)+
SUMIFS('Data - Monthly Commodity Prices'!$P$9:$P$2500,'Data - Monthly Commodity Prices'!$A$9:$A$2500,'Alumina - Prices'!D25,'Data - Monthly Commodity Prices'!$B$9:$B$2500,4)+
SUMIFS('Data - Monthly Commodity Prices'!$P$9:$P$2500,'Data - Monthly Commodity Prices'!$A$9:$A$2500,'Alumina - Prices'!E25,'Data - Monthly Commodity Prices'!$B$9:$B$2500,1)+
SUMIFS('Data - Monthly Commodity Prices'!$P$9:$P$2500,'Data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974.48649185907527</v>
      </c>
      <c r="N26" s="798">
        <f>(SUMIFS('Data - Monthly Commodity Prices'!$Q$9:$Q$2500,'Data - Monthly Commodity Prices'!$A$9:$A$2500,'Alumina - Prices'!D25,'Data - Monthly Commodity Prices'!$B$9:$B$2500,3)+
SUMIFS('Data - Monthly Commodity Prices'!$Q$9:$Q$2500,'Data - Monthly Commodity Prices'!$A$9:$A$2500,'Alumina - Prices'!D25,'Data - Monthly Commodity Prices'!$B$9:$B$2500,4)+
SUMIFS('Data - Monthly Commodity Prices'!$Q$9:$Q$2500,'Data - Monthly Commodity Prices'!$A$9:$A$2500,'Alumina - Prices'!E25,'Data - Monthly Commodity Prices'!$B$9:$B$2500,1)+
SUMIFS('Data - Monthly Commodity Prices'!$Q$9:$Q$2500,'Data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1344.4737042174802</v>
      </c>
    </row>
    <row r="27" spans="1:14">
      <c r="A27" s="1823">
        <f>LARGE('Data - Monthly Commodity Prices'!C$159:C$902,42)</f>
        <v>42552</v>
      </c>
      <c r="B27" s="330">
        <f>SUMIF('Data - Monthly Commodity Prices'!$C$159:$C$902,$A27,'Data - Monthly Commodity Prices'!O$159:O$902)</f>
        <v>6448.59</v>
      </c>
      <c r="C27" s="330">
        <f>SUMIF('Data - Monthly Commodity Prices'!$C$159:$C$902,$A27,'Data - Monthly Commodity Prices'!P$159:P$902)</f>
        <v>2436.7600000000002</v>
      </c>
      <c r="D27" s="325">
        <f>SUMIF('Data - Monthly Commodity Prices'!$C$159:$C$902,$A27,'Data - Monthly Commodity Prices'!Q$159:Q$902)</f>
        <v>2901.51</v>
      </c>
      <c r="E27" s="24"/>
      <c r="F27" s="410">
        <f t="shared" ref="F27:G42" si="2">F26+1</f>
        <v>2004</v>
      </c>
      <c r="G27" s="410">
        <f t="shared" si="2"/>
        <v>2005</v>
      </c>
      <c r="H27" s="348">
        <f t="shared" si="0"/>
        <v>2004</v>
      </c>
      <c r="I27" s="30">
        <f t="array" ref="I27">IF($H$6="Historic Calendar Year",IFERROR(AVERAGE(IF($H27=YEAR('Data - Monthly Commodity Prices'!C$100:C$1000),'Data - Monthly Commodity Prices'!O$100:O$1000)),"NA"),IFERROR(IF(L27=0,"NA",L27),"NA"))</f>
        <v>3903.8458333333328</v>
      </c>
      <c r="J27" s="30">
        <f t="array" ref="J27">IF($H$6="Historic Calendar Year",IFERROR(AVERAGE(IF($H27=YEAR('Data - Monthly Commodity Prices'!C$100:C$1000),'Data - Monthly Commodity Prices'!P$100:P$1000)),"NA"),IFERROR(IF(M27=0,"NA",M27),"NA"))</f>
        <v>1208.5979818122817</v>
      </c>
      <c r="K27" s="30">
        <f t="array" ref="K27">IF($H$6="Historic Calendar Year",IFERROR(AVERAGE(IF($H27=YEAR('Data - Monthly Commodity Prices'!C$100:C$1000),'Data - Monthly Commodity Prices'!Q$100:Q$1000)),"NA"),IFERROR(IF(N27=0,"NA",N27),"NA"))</f>
        <v>1425.6711150904737</v>
      </c>
      <c r="L27" s="798">
        <f>(SUMIFS('Data - Monthly Commodity Prices'!$O$9:$O$2500,'Data - Monthly Commodity Prices'!$A$9:$A$2500,'Alumina - Prices'!D26,'Data - Monthly Commodity Prices'!$B$9:$B$2500,3)+
SUMIFS('Data - Monthly Commodity Prices'!$O$9:$O$2500,'Data - Monthly Commodity Prices'!$A$9:$A$2500,'Alumina - Prices'!D26,'Data - Monthly Commodity Prices'!$B$9:$B$2500,4)+
SUMIFS('Data - Monthly Commodity Prices'!$O$9:$O$2500,'Data - Monthly Commodity Prices'!$A$9:$A$2500,'Alumina - Prices'!E26,'Data - Monthly Commodity Prices'!$B$9:$B$2500,1)+
SUMIFS('Data - Monthly Commodity Prices'!$O$9:$O$2500,'Data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4189.875</v>
      </c>
      <c r="M27" s="798">
        <f>(SUMIFS('Data - Monthly Commodity Prices'!$P$9:$P$2500,'Data - Monthly Commodity Prices'!$A$9:$A$2500,'Alumina - Prices'!D26,'Data - Monthly Commodity Prices'!$B$9:$B$2500,3)+
SUMIFS('Data - Monthly Commodity Prices'!$P$9:$P$2500,'Data - Monthly Commodity Prices'!$A$9:$A$2500,'Alumina - Prices'!D26,'Data - Monthly Commodity Prices'!$B$9:$B$2500,4)+
SUMIFS('Data - Monthly Commodity Prices'!$P$9:$P$2500,'Data - Monthly Commodity Prices'!$A$9:$A$2500,'Alumina - Prices'!E26,'Data - Monthly Commodity Prices'!$B$9:$B$2500,1)+
SUMIFS('Data - Monthly Commodity Prices'!$P$9:$P$2500,'Data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1284.3000468375685</v>
      </c>
      <c r="N27" s="798">
        <f>(SUMIFS('Data - Monthly Commodity Prices'!$Q$9:$Q$2500,'Data - Monthly Commodity Prices'!$A$9:$A$2500,'Alumina - Prices'!D26,'Data - Monthly Commodity Prices'!$B$9:$B$2500,3)+
SUMIFS('Data - Monthly Commodity Prices'!$Q$9:$Q$2500,'Data - Monthly Commodity Prices'!$A$9:$A$2500,'Alumina - Prices'!D26,'Data - Monthly Commodity Prices'!$B$9:$B$2500,4)+
SUMIFS('Data - Monthly Commodity Prices'!$Q$9:$Q$2500,'Data - Monthly Commodity Prices'!$A$9:$A$2500,'Alumina - Prices'!E26,'Data - Monthly Commodity Prices'!$B$9:$B$2500,1)+
SUMIFS('Data - Monthly Commodity Prices'!$Q$9:$Q$2500,'Data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1554.1907662608482</v>
      </c>
    </row>
    <row r="28" spans="1:14">
      <c r="A28" s="1638">
        <f>LARGE('Data - Monthly Commodity Prices'!C$159:C$902,41)</f>
        <v>42583</v>
      </c>
      <c r="B28" s="79">
        <f>SUMIF('Data - Monthly Commodity Prices'!$C$159:$C$902,$A28,'Data - Monthly Commodity Prices'!O$159:O$902)</f>
        <v>6241.91</v>
      </c>
      <c r="C28" s="79">
        <f>SUMIF('Data - Monthly Commodity Prices'!$C$159:$C$902,$A28,'Data - Monthly Commodity Prices'!P$159:P$902)</f>
        <v>2412.29</v>
      </c>
      <c r="D28" s="30">
        <f>SUMIF('Data - Monthly Commodity Prices'!$C$159:$C$902,$A28,'Data - Monthly Commodity Prices'!Q$159:Q$902)</f>
        <v>2994.59</v>
      </c>
      <c r="E28" s="24"/>
      <c r="F28" s="410">
        <f t="shared" si="2"/>
        <v>2005</v>
      </c>
      <c r="G28" s="410">
        <f t="shared" si="2"/>
        <v>2006</v>
      </c>
      <c r="H28" s="1822">
        <f t="shared" si="0"/>
        <v>2005</v>
      </c>
      <c r="I28" s="325">
        <f t="array" ref="I28">IF($H$6="Historic Calendar Year",IFERROR(AVERAGE(IF($H28=YEAR('Data - Monthly Commodity Prices'!C$100:C$1000),'Data - Monthly Commodity Prices'!O$100:O$1000)),"NA"),IFERROR(IF(L28=0,"NA",L28),"NA"))</f>
        <v>4836.3725000000004</v>
      </c>
      <c r="J28" s="325">
        <f t="array" ref="J28">IF($H$6="Historic Calendar Year",IFERROR(AVERAGE(IF($H28=YEAR('Data - Monthly Commodity Prices'!C$100:C$1000),'Data - Monthly Commodity Prices'!P$100:P$1000)),"NA"),IFERROR(IF(M28=0,"NA",M28),"NA"))</f>
        <v>1281.6855437886632</v>
      </c>
      <c r="K28" s="325">
        <f t="array" ref="K28">IF($H$6="Historic Calendar Year",IFERROR(AVERAGE(IF($H28=YEAR('Data - Monthly Commodity Prices'!C$100:C$1000),'Data - Monthly Commodity Prices'!Q$100:Q$1000)),"NA"),IFERROR(IF(N28=0,"NA",N28),"NA"))</f>
        <v>1815.947732845126</v>
      </c>
      <c r="L28" s="798">
        <f>(SUMIFS('Data - Monthly Commodity Prices'!$O$9:$O$2500,'Data - Monthly Commodity Prices'!$A$9:$A$2500,'Alumina - Prices'!D27,'Data - Monthly Commodity Prices'!$B$9:$B$2500,3)+
SUMIFS('Data - Monthly Commodity Prices'!$O$9:$O$2500,'Data - Monthly Commodity Prices'!$A$9:$A$2500,'Alumina - Prices'!D27,'Data - Monthly Commodity Prices'!$B$9:$B$2500,4)+
SUMIFS('Data - Monthly Commodity Prices'!$O$9:$O$2500,'Data - Monthly Commodity Prices'!$A$9:$A$2500,'Alumina - Prices'!E27,'Data - Monthly Commodity Prices'!$B$9:$B$2500,1)+
SUMIFS('Data - Monthly Commodity Prices'!$O$9:$O$2500,'Data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6765.291666666667</v>
      </c>
      <c r="M28" s="798">
        <f>(SUMIFS('Data - Monthly Commodity Prices'!$P$9:$P$2500,'Data - Monthly Commodity Prices'!$A$9:$A$2500,'Alumina - Prices'!D27,'Data - Monthly Commodity Prices'!$B$9:$B$2500,3)+
SUMIFS('Data - Monthly Commodity Prices'!$P$9:$P$2500,'Data - Monthly Commodity Prices'!$A$9:$A$2500,'Alumina - Prices'!D27,'Data - Monthly Commodity Prices'!$B$9:$B$2500,4)+
SUMIFS('Data - Monthly Commodity Prices'!$P$9:$P$2500,'Data - Monthly Commodity Prices'!$A$9:$A$2500,'Alumina - Prices'!E27,'Data - Monthly Commodity Prices'!$B$9:$B$2500,1)+
SUMIFS('Data - Monthly Commodity Prices'!$P$9:$P$2500,'Data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1433.9423451846858</v>
      </c>
      <c r="N28" s="798">
        <f>(SUMIFS('Data - Monthly Commodity Prices'!$Q$9:$Q$2500,'Data - Monthly Commodity Prices'!$A$9:$A$2500,'Alumina - Prices'!D27,'Data - Monthly Commodity Prices'!$B$9:$B$2500,3)+
SUMIFS('Data - Monthly Commodity Prices'!$Q$9:$Q$2500,'Data - Monthly Commodity Prices'!$A$9:$A$2500,'Alumina - Prices'!D27,'Data - Monthly Commodity Prices'!$B$9:$B$2500,4)+
SUMIFS('Data - Monthly Commodity Prices'!$Q$9:$Q$2500,'Data - Monthly Commodity Prices'!$A$9:$A$2500,'Alumina - Prices'!E27,'Data - Monthly Commodity Prices'!$B$9:$B$2500,1)+
SUMIFS('Data - Monthly Commodity Prices'!$Q$9:$Q$2500,'Data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2838.6504114544191</v>
      </c>
    </row>
    <row r="29" spans="1:14">
      <c r="A29" s="1823">
        <f>LARGE('Data - Monthly Commodity Prices'!C$159:C$902,40)</f>
        <v>42614</v>
      </c>
      <c r="B29" s="330">
        <f>SUMIF('Data - Monthly Commodity Prices'!$C$159:$C$902,$A29,'Data - Monthly Commodity Prices'!O$159:O$902)</f>
        <v>6200.19</v>
      </c>
      <c r="C29" s="330">
        <f>SUMIF('Data - Monthly Commodity Prices'!$C$159:$C$902,$A29,'Data - Monthly Commodity Prices'!P$159:P$902)</f>
        <v>2557.9899999999998</v>
      </c>
      <c r="D29" s="325">
        <f>SUMIF('Data - Monthly Commodity Prices'!$C$159:$C$902,$A29,'Data - Monthly Commodity Prices'!Q$159:Q$902)</f>
        <v>3020.02</v>
      </c>
      <c r="E29" s="24"/>
      <c r="F29" s="410">
        <f t="shared" si="2"/>
        <v>2006</v>
      </c>
      <c r="G29" s="410">
        <f t="shared" si="2"/>
        <v>2007</v>
      </c>
      <c r="H29" s="348">
        <f t="shared" si="0"/>
        <v>2006</v>
      </c>
      <c r="I29" s="30">
        <f t="array" ref="I29">IF($H$6="Historic Calendar Year",IFERROR(AVERAGE(IF($H29=YEAR('Data - Monthly Commodity Prices'!C$100:C$1000),'Data - Monthly Commodity Prices'!O$100:O$1000)),"NA"),IFERROR(IF(L29=0,"NA",L29),"NA"))</f>
        <v>8911.814166666667</v>
      </c>
      <c r="J29" s="30">
        <f t="array" ref="J29">IF($H$6="Historic Calendar Year",IFERROR(AVERAGE(IF($H29=YEAR('Data - Monthly Commodity Prices'!C$100:C$1000),'Data - Monthly Commodity Prices'!P$100:P$1000)),"NA"),IFERROR(IF(M29=0,"NA",M29),"NA"))</f>
        <v>1716.1519319488098</v>
      </c>
      <c r="K29" s="30">
        <f t="array" ref="K29">IF($H$6="Historic Calendar Year",IFERROR(AVERAGE(IF($H29=YEAR('Data - Monthly Commodity Prices'!C$100:C$1000),'Data - Monthly Commodity Prices'!Q$100:Q$1000)),"NA"),IFERROR(IF(N29=0,"NA",N29),"NA"))</f>
        <v>4333.6731233110368</v>
      </c>
      <c r="L29" s="798">
        <f>(SUMIFS('Data - Monthly Commodity Prices'!$O$9:$O$2500,'Data - Monthly Commodity Prices'!$A$9:$A$2500,'Alumina - Prices'!D28,'Data - Monthly Commodity Prices'!$B$9:$B$2500,3)+
SUMIFS('Data - Monthly Commodity Prices'!$O$9:$O$2500,'Data - Monthly Commodity Prices'!$A$9:$A$2500,'Alumina - Prices'!D28,'Data - Monthly Commodity Prices'!$B$9:$B$2500,4)+
SUMIFS('Data - Monthly Commodity Prices'!$O$9:$O$2500,'Data - Monthly Commodity Prices'!$A$9:$A$2500,'Alumina - Prices'!E28,'Data - Monthly Commodity Prices'!$B$9:$B$2500,1)+
SUMIFS('Data - Monthly Commodity Prices'!$O$9:$O$2500,'Data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9013.5233333333326</v>
      </c>
      <c r="M29" s="798">
        <f>(SUMIFS('Data - Monthly Commodity Prices'!$P$9:$P$2500,'Data - Monthly Commodity Prices'!$A$9:$A$2500,'Alumina - Prices'!D28,'Data - Monthly Commodity Prices'!$B$9:$B$2500,3)+
SUMIFS('Data - Monthly Commodity Prices'!$P$9:$P$2500,'Data - Monthly Commodity Prices'!$A$9:$A$2500,'Alumina - Prices'!D28,'Data - Monthly Commodity Prices'!$B$9:$B$2500,4)+
SUMIFS('Data - Monthly Commodity Prices'!$P$9:$P$2500,'Data - Monthly Commodity Prices'!$A$9:$A$2500,'Alumina - Prices'!E28,'Data - Monthly Commodity Prices'!$B$9:$B$2500,1)+
SUMIFS('Data - Monthly Commodity Prices'!$P$9:$P$2500,'Data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2149.8650651429484</v>
      </c>
      <c r="N29" s="798">
        <f>(SUMIFS('Data - Monthly Commodity Prices'!$Q$9:$Q$2500,'Data - Monthly Commodity Prices'!$A$9:$A$2500,'Alumina - Prices'!D28,'Data - Monthly Commodity Prices'!$B$9:$B$2500,3)+
SUMIFS('Data - Monthly Commodity Prices'!$Q$9:$Q$2500,'Data - Monthly Commodity Prices'!$A$9:$A$2500,'Alumina - Prices'!D28,'Data - Monthly Commodity Prices'!$B$9:$B$2500,4)+
SUMIFS('Data - Monthly Commodity Prices'!$Q$9:$Q$2500,'Data - Monthly Commodity Prices'!$A$9:$A$2500,'Alumina - Prices'!E28,'Data - Monthly Commodity Prices'!$B$9:$B$2500,1)+
SUMIFS('Data - Monthly Commodity Prices'!$Q$9:$Q$2500,'Data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4674.4917202778797</v>
      </c>
    </row>
    <row r="30" spans="1:14">
      <c r="A30" s="1638">
        <f>LARGE('Data - Monthly Commodity Prices'!C$159:C$902,39)</f>
        <v>42644</v>
      </c>
      <c r="B30" s="79">
        <f>SUMIF('Data - Monthly Commodity Prices'!$C$159:$C$902,$A30,'Data - Monthly Commodity Prices'!O$159:O$902)</f>
        <v>6213.42</v>
      </c>
      <c r="C30" s="79">
        <f>SUMIF('Data - Monthly Commodity Prices'!$C$159:$C$902,$A30,'Data - Monthly Commodity Prices'!P$159:P$902)</f>
        <v>2678.48</v>
      </c>
      <c r="D30" s="30">
        <f>SUMIF('Data - Monthly Commodity Prices'!$C$159:$C$902,$A30,'Data - Monthly Commodity Prices'!Q$159:Q$902)</f>
        <v>3038.53</v>
      </c>
      <c r="E30" s="24"/>
      <c r="F30" s="410">
        <f t="shared" si="2"/>
        <v>2007</v>
      </c>
      <c r="G30" s="410">
        <f t="shared" si="2"/>
        <v>2008</v>
      </c>
      <c r="H30" s="1822">
        <f t="shared" si="0"/>
        <v>2007</v>
      </c>
      <c r="I30" s="325">
        <f t="array" ref="I30">IF($H$6="Historic Calendar Year",IFERROR(AVERAGE(IF($H30=YEAR('Data - Monthly Commodity Prices'!C$100:C$1000),'Data - Monthly Commodity Prices'!O$100:O$1000)),"NA"),IFERROR(IF(L30=0,"NA",L30),"NA"))</f>
        <v>8478.7725000000009</v>
      </c>
      <c r="J30" s="325">
        <f t="array" ref="J30">IF($H$6="Historic Calendar Year",IFERROR(AVERAGE(IF($H30=YEAR('Data - Monthly Commodity Prices'!C$100:C$1000),'Data - Monthly Commodity Prices'!P$100:P$1000)),"NA"),IFERROR(IF(M30=0,"NA",M30),"NA"))</f>
        <v>3051.7350653466788</v>
      </c>
      <c r="K30" s="325">
        <f t="array" ref="K30">IF($H$6="Historic Calendar Year",IFERROR(AVERAGE(IF($H30=YEAR('Data - Monthly Commodity Prices'!C$100:C$1000),'Data - Monthly Commodity Prices'!Q$100:Q$1000)),"NA"),IFERROR(IF(N30=0,"NA",N30),"NA"))</f>
        <v>3871.9478649250905</v>
      </c>
      <c r="L30" s="798">
        <f>(SUMIFS('Data - Monthly Commodity Prices'!$O$9:$O$2500,'Data - Monthly Commodity Prices'!$A$9:$A$2500,'Alumina - Prices'!D29,'Data - Monthly Commodity Prices'!$B$9:$B$2500,3)+
SUMIFS('Data - Monthly Commodity Prices'!$O$9:$O$2500,'Data - Monthly Commodity Prices'!$A$9:$A$2500,'Alumina - Prices'!D29,'Data - Monthly Commodity Prices'!$B$9:$B$2500,4)+
SUMIFS('Data - Monthly Commodity Prices'!$O$9:$O$2500,'Data - Monthly Commodity Prices'!$A$9:$A$2500,'Alumina - Prices'!E29,'Data - Monthly Commodity Prices'!$B$9:$B$2500,1)+
SUMIFS('Data - Monthly Commodity Prices'!$O$9:$O$2500,'Data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8680.5666666666675</v>
      </c>
      <c r="M30" s="798">
        <f>(SUMIFS('Data - Monthly Commodity Prices'!$P$9:$P$2500,'Data - Monthly Commodity Prices'!$A$9:$A$2500,'Alumina - Prices'!D29,'Data - Monthly Commodity Prices'!$B$9:$B$2500,3)+
SUMIFS('Data - Monthly Commodity Prices'!$P$9:$P$2500,'Data - Monthly Commodity Prices'!$A$9:$A$2500,'Alumina - Prices'!D29,'Data - Monthly Commodity Prices'!$B$9:$B$2500,4)+
SUMIFS('Data - Monthly Commodity Prices'!$P$9:$P$2500,'Data - Monthly Commodity Prices'!$A$9:$A$2500,'Alumina - Prices'!E29,'Data - Monthly Commodity Prices'!$B$9:$B$2500,1)+
SUMIFS('Data - Monthly Commodity Prices'!$P$9:$P$2500,'Data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3241.1750100811419</v>
      </c>
      <c r="N30" s="798">
        <f>(SUMIFS('Data - Monthly Commodity Prices'!$Q$9:$Q$2500,'Data - Monthly Commodity Prices'!$A$9:$A$2500,'Alumina - Prices'!D29,'Data - Monthly Commodity Prices'!$B$9:$B$2500,3)+
SUMIFS('Data - Monthly Commodity Prices'!$Q$9:$Q$2500,'Data - Monthly Commodity Prices'!$A$9:$A$2500,'Alumina - Prices'!D29,'Data - Monthly Commodity Prices'!$B$9:$B$2500,4)+
SUMIFS('Data - Monthly Commodity Prices'!$Q$9:$Q$2500,'Data - Monthly Commodity Prices'!$A$9:$A$2500,'Alumina - Prices'!E29,'Data - Monthly Commodity Prices'!$B$9:$B$2500,1)+
SUMIFS('Data - Monthly Commodity Prices'!$Q$9:$Q$2500,'Data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2901.3080587814716</v>
      </c>
    </row>
    <row r="31" spans="1:14">
      <c r="A31" s="1823">
        <f>LARGE('Data - Monthly Commodity Prices'!C$159:C$902,38)</f>
        <v>42675</v>
      </c>
      <c r="B31" s="330">
        <f>SUMIF('Data - Monthly Commodity Prices'!$C$159:$C$902,$A31,'Data - Monthly Commodity Prices'!O$159:O$902)</f>
        <v>7229.71</v>
      </c>
      <c r="C31" s="330">
        <f>SUMIF('Data - Monthly Commodity Prices'!$C$159:$C$902,$A31,'Data - Monthly Commodity Prices'!P$159:P$902)</f>
        <v>2893.93</v>
      </c>
      <c r="D31" s="325">
        <f>SUMIF('Data - Monthly Commodity Prices'!$C$159:$C$902,$A31,'Data - Monthly Commodity Prices'!Q$159:Q$902)</f>
        <v>3411.93</v>
      </c>
      <c r="E31" s="24"/>
      <c r="F31" s="410">
        <f t="shared" si="2"/>
        <v>2008</v>
      </c>
      <c r="G31" s="410">
        <f t="shared" si="2"/>
        <v>2009</v>
      </c>
      <c r="H31" s="348">
        <f t="shared" si="0"/>
        <v>2008</v>
      </c>
      <c r="I31" s="30">
        <f t="array" ref="I31">IF($H$6="Historic Calendar Year",IFERROR(AVERAGE(IF($H31=YEAR('Data - Monthly Commodity Prices'!C$100:C$1000),'Data - Monthly Commodity Prices'!O$100:O$1000)),"NA"),IFERROR(IF(L31=0,"NA",L31),"NA"))</f>
        <v>7996.9733333333324</v>
      </c>
      <c r="J31" s="30">
        <f t="array" ref="J31">IF($H$6="Historic Calendar Year",IFERROR(AVERAGE(IF($H31=YEAR('Data - Monthly Commodity Prices'!C$100:C$1000),'Data - Monthly Commodity Prices'!P$100:P$1000)),"NA"),IFERROR(IF(M31=0,"NA",M31),"NA"))</f>
        <v>2414.2270092393737</v>
      </c>
      <c r="K31" s="30">
        <f t="array" ref="K31">IF($H$6="Historic Calendar Year",IFERROR(AVERAGE(IF($H31=YEAR('Data - Monthly Commodity Prices'!C$100:C$1000),'Data - Monthly Commodity Prices'!Q$100:Q$1000)),"NA"),IFERROR(IF(N31=0,"NA",N31),"NA"))</f>
        <v>2170.9152073059377</v>
      </c>
      <c r="L31" s="798">
        <f>(SUMIFS('Data - Monthly Commodity Prices'!$O$9:$O$2500,'Data - Monthly Commodity Prices'!$A$9:$A$2500,'Alumina - Prices'!D30,'Data - Monthly Commodity Prices'!$B$9:$B$2500,3)+
SUMIFS('Data - Monthly Commodity Prices'!$O$9:$O$2500,'Data - Monthly Commodity Prices'!$A$9:$A$2500,'Alumina - Prices'!D30,'Data - Monthly Commodity Prices'!$B$9:$B$2500,4)+
SUMIFS('Data - Monthly Commodity Prices'!$O$9:$O$2500,'Data - Monthly Commodity Prices'!$A$9:$A$2500,'Alumina - Prices'!E30,'Data - Monthly Commodity Prices'!$B$9:$B$2500,1)+
SUMIFS('Data - Monthly Commodity Prices'!$O$9:$O$2500,'Data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6434.4241666666667</v>
      </c>
      <c r="M31" s="798">
        <f>(SUMIFS('Data - Monthly Commodity Prices'!$P$9:$P$2500,'Data - Monthly Commodity Prices'!$A$9:$A$2500,'Alumina - Prices'!D30,'Data - Monthly Commodity Prices'!$B$9:$B$2500,3)+
SUMIFS('Data - Monthly Commodity Prices'!$P$9:$P$2500,'Data - Monthly Commodity Prices'!$A$9:$A$2500,'Alumina - Prices'!D30,'Data - Monthly Commodity Prices'!$B$9:$B$2500,4)+
SUMIFS('Data - Monthly Commodity Prices'!$P$9:$P$2500,'Data - Monthly Commodity Prices'!$A$9:$A$2500,'Alumina - Prices'!E30,'Data - Monthly Commodity Prices'!$B$9:$B$2500,1)+
SUMIFS('Data - Monthly Commodity Prices'!$P$9:$P$2500,'Data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1932.0355708465897</v>
      </c>
      <c r="N31" s="798">
        <f>(SUMIFS('Data - Monthly Commodity Prices'!$Q$9:$Q$2500,'Data - Monthly Commodity Prices'!$A$9:$A$2500,'Alumina - Prices'!D30,'Data - Monthly Commodity Prices'!$B$9:$B$2500,3)+
SUMIFS('Data - Monthly Commodity Prices'!$Q$9:$Q$2500,'Data - Monthly Commodity Prices'!$A$9:$A$2500,'Alumina - Prices'!D30,'Data - Monthly Commodity Prices'!$B$9:$B$2500,4)+
SUMIFS('Data - Monthly Commodity Prices'!$Q$9:$Q$2500,'Data - Monthly Commodity Prices'!$A$9:$A$2500,'Alumina - Prices'!E30,'Data - Monthly Commodity Prices'!$B$9:$B$2500,1)+
SUMIFS('Data - Monthly Commodity Prices'!$Q$9:$Q$2500,'Data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1863.4608374066622</v>
      </c>
    </row>
    <row r="32" spans="1:14">
      <c r="A32" s="1638">
        <f>LARGE('Data - Monthly Commodity Prices'!C$159:C$902,37)</f>
        <v>42705</v>
      </c>
      <c r="B32" s="79">
        <f>SUMIF('Data - Monthly Commodity Prices'!$C$159:$C$902,$A32,'Data - Monthly Commodity Prices'!O$159:O$902)</f>
        <v>7724.95</v>
      </c>
      <c r="C32" s="79">
        <f>SUMIF('Data - Monthly Commodity Prices'!$C$159:$C$902,$A32,'Data - Monthly Commodity Prices'!P$159:P$902)</f>
        <v>3041.34</v>
      </c>
      <c r="D32" s="30">
        <f>SUMIF('Data - Monthly Commodity Prices'!$C$159:$C$902,$A32,'Data - Monthly Commodity Prices'!Q$159:Q$902)</f>
        <v>3642.4</v>
      </c>
      <c r="E32" s="24"/>
      <c r="F32" s="410">
        <f t="shared" si="2"/>
        <v>2009</v>
      </c>
      <c r="G32" s="410">
        <f t="shared" si="2"/>
        <v>2010</v>
      </c>
      <c r="H32" s="1822">
        <f t="shared" si="0"/>
        <v>2009</v>
      </c>
      <c r="I32" s="325">
        <f t="array" ref="I32">IF($H$6="Historic Calendar Year",IFERROR(AVERAGE(IF($H32=YEAR('Data - Monthly Commodity Prices'!C$100:C$1000),'Data - Monthly Commodity Prices'!O$100:O$1000)),"NA"),IFERROR(IF(L32=0,"NA",L32),"NA"))</f>
        <v>6404.551666666669</v>
      </c>
      <c r="J32" s="325">
        <f t="array" ref="J32">IF($H$6="Historic Calendar Year",IFERROR(AVERAGE(IF($H32=YEAR('Data - Monthly Commodity Prices'!C$100:C$1000),'Data - Monthly Commodity Prices'!P$100:P$1000)),"NA"),IFERROR(IF(M32=0,"NA",M32),"NA"))</f>
        <v>2135.4022043598834</v>
      </c>
      <c r="K32" s="325">
        <f t="array" ref="K32">IF($H$6="Historic Calendar Year",IFERROR(AVERAGE(IF($H32=YEAR('Data - Monthly Commodity Prices'!C$100:C$1000),'Data - Monthly Commodity Prices'!Q$100:Q$1000)),"NA"),IFERROR(IF(N32=0,"NA",N32),"NA"))</f>
        <v>2058.5754866787497</v>
      </c>
      <c r="L32" s="798">
        <f>(SUMIFS('Data - Monthly Commodity Prices'!$O$9:$O$2500,'Data - Monthly Commodity Prices'!$A$9:$A$2500,'Alumina - Prices'!D31,'Data - Monthly Commodity Prices'!$B$9:$B$2500,3)+
SUMIFS('Data - Monthly Commodity Prices'!$O$9:$O$2500,'Data - Monthly Commodity Prices'!$A$9:$A$2500,'Alumina - Prices'!D31,'Data - Monthly Commodity Prices'!$B$9:$B$2500,4)+
SUMIFS('Data - Monthly Commodity Prices'!$O$9:$O$2500,'Data - Monthly Commodity Prices'!$A$9:$A$2500,'Alumina - Prices'!E31,'Data - Monthly Commodity Prices'!$B$9:$B$2500,1)+
SUMIFS('Data - Monthly Commodity Prices'!$O$9:$O$2500,'Data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7567.9258333333337</v>
      </c>
      <c r="M32" s="798">
        <f>(SUMIFS('Data - Monthly Commodity Prices'!$P$9:$P$2500,'Data - Monthly Commodity Prices'!$A$9:$A$2500,'Alumina - Prices'!D31,'Data - Monthly Commodity Prices'!$B$9:$B$2500,3)+
SUMIFS('Data - Monthly Commodity Prices'!$P$9:$P$2500,'Data - Monthly Commodity Prices'!$A$9:$A$2500,'Alumina - Prices'!D31,'Data - Monthly Commodity Prices'!$B$9:$B$2500,4)+
SUMIFS('Data - Monthly Commodity Prices'!$P$9:$P$2500,'Data - Monthly Commodity Prices'!$A$9:$A$2500,'Alumina - Prices'!E31,'Data - Monthly Commodity Prices'!$B$9:$B$2500,1)+
SUMIFS('Data - Monthly Commodity Prices'!$P$9:$P$2500,'Data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2371.291108506332</v>
      </c>
      <c r="N32" s="798">
        <f>(SUMIFS('Data - Monthly Commodity Prices'!$Q$9:$Q$2500,'Data - Monthly Commodity Prices'!$A$9:$A$2500,'Alumina - Prices'!D31,'Data - Monthly Commodity Prices'!$B$9:$B$2500,3)+
SUMIFS('Data - Monthly Commodity Prices'!$Q$9:$Q$2500,'Data - Monthly Commodity Prices'!$A$9:$A$2500,'Alumina - Prices'!D31,'Data - Monthly Commodity Prices'!$B$9:$B$2500,4)+
SUMIFS('Data - Monthly Commodity Prices'!$Q$9:$Q$2500,'Data - Monthly Commodity Prices'!$A$9:$A$2500,'Alumina - Prices'!E31,'Data - Monthly Commodity Prices'!$B$9:$B$2500,1)+
SUMIFS('Data - Monthly Commodity Prices'!$Q$9:$Q$2500,'Data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2340.1491774304127</v>
      </c>
    </row>
    <row r="33" spans="1:14">
      <c r="A33" s="1823">
        <f>LARGE('Data - Monthly Commodity Prices'!C$159:C$902,36)</f>
        <v>42736</v>
      </c>
      <c r="B33" s="330">
        <f>SUMIF('Data - Monthly Commodity Prices'!$C$159:$C$902,$A33,'Data - Monthly Commodity Prices'!O$159:O$902)</f>
        <v>7691.95</v>
      </c>
      <c r="C33" s="330">
        <f>SUMIF('Data - Monthly Commodity Prices'!$C$159:$C$902,$A33,'Data - Monthly Commodity Prices'!P$159:P$902)</f>
        <v>2998.65</v>
      </c>
      <c r="D33" s="325">
        <f>SUMIF('Data - Monthly Commodity Prices'!$C$159:$C$902,$A33,'Data - Monthly Commodity Prices'!Q$159:Q$902)</f>
        <v>3637.22</v>
      </c>
      <c r="E33" s="24"/>
      <c r="F33" s="410">
        <f t="shared" si="2"/>
        <v>2010</v>
      </c>
      <c r="G33" s="410">
        <f t="shared" si="2"/>
        <v>2011</v>
      </c>
      <c r="H33" s="348">
        <f t="shared" si="0"/>
        <v>2010</v>
      </c>
      <c r="I33" s="30">
        <f t="array" ref="I33">IF($H$6="Historic Calendar Year",IFERROR(AVERAGE(IF($H33=YEAR('Data - Monthly Commodity Prices'!C$100:C$1000),'Data - Monthly Commodity Prices'!O$100:O$1000)),"NA"),IFERROR(IF(L33=0,"NA",L33),"NA"))</f>
        <v>8168.600833333333</v>
      </c>
      <c r="J33" s="30">
        <f t="array" ref="J33">IF($H$6="Historic Calendar Year",IFERROR(AVERAGE(IF($H33=YEAR('Data - Monthly Commodity Prices'!C$100:C$1000),'Data - Monthly Commodity Prices'!P$100:P$1000)),"NA"),IFERROR(IF(M33=0,"NA",M33),"NA"))</f>
        <v>2329.6905966014042</v>
      </c>
      <c r="K33" s="30">
        <f t="array" ref="K33">IF($H$6="Historic Calendar Year",IFERROR(AVERAGE(IF($H33=YEAR('Data - Monthly Commodity Prices'!C$100:C$1000),'Data - Monthly Commodity Prices'!Q$100:Q$1000)),"NA"),IFERROR(IF(N33=0,"NA",N33),"NA"))</f>
        <v>2345.4784790800163</v>
      </c>
      <c r="L33" s="798">
        <f>(SUMIFS('Data - Monthly Commodity Prices'!$O$9:$O$2500,'Data - Monthly Commodity Prices'!$A$9:$A$2500,'Alumina - Prices'!D32,'Data - Monthly Commodity Prices'!$B$9:$B$2500,3)+
SUMIFS('Data - Monthly Commodity Prices'!$O$9:$O$2500,'Data - Monthly Commodity Prices'!$A$9:$A$2500,'Alumina - Prices'!D32,'Data - Monthly Commodity Prices'!$B$9:$B$2500,4)+
SUMIFS('Data - Monthly Commodity Prices'!$O$9:$O$2500,'Data - Monthly Commodity Prices'!$A$9:$A$2500,'Alumina - Prices'!E32,'Data - Monthly Commodity Prices'!$B$9:$B$2500,1)+
SUMIFS('Data - Monthly Commodity Prices'!$O$9:$O$2500,'Data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8752.8225000000002</v>
      </c>
      <c r="M33" s="798">
        <f>(SUMIFS('Data - Monthly Commodity Prices'!$P$9:$P$2500,'Data - Monthly Commodity Prices'!$A$9:$A$2500,'Alumina - Prices'!D32,'Data - Monthly Commodity Prices'!$B$9:$B$2500,3)+
SUMIFS('Data - Monthly Commodity Prices'!$P$9:$P$2500,'Data - Monthly Commodity Prices'!$A$9:$A$2500,'Alumina - Prices'!D32,'Data - Monthly Commodity Prices'!$B$9:$B$2500,4)+
SUMIFS('Data - Monthly Commodity Prices'!$P$9:$P$2500,'Data - Monthly Commodity Prices'!$A$9:$A$2500,'Alumina - Prices'!E32,'Data - Monthly Commodity Prices'!$B$9:$B$2500,1)+
SUMIFS('Data - Monthly Commodity Prices'!$P$9:$P$2500,'Data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2419.3909783127997</v>
      </c>
      <c r="N33" s="798">
        <f>(SUMIFS('Data - Monthly Commodity Prices'!$Q$9:$Q$2500,'Data - Monthly Commodity Prices'!$A$9:$A$2500,'Alumina - Prices'!D32,'Data - Monthly Commodity Prices'!$B$9:$B$2500,3)+
SUMIFS('Data - Monthly Commodity Prices'!$Q$9:$Q$2500,'Data - Monthly Commodity Prices'!$A$9:$A$2500,'Alumina - Prices'!D32,'Data - Monthly Commodity Prices'!$B$9:$B$2500,4)+
SUMIFS('Data - Monthly Commodity Prices'!$Q$9:$Q$2500,'Data - Monthly Commodity Prices'!$A$9:$A$2500,'Alumina - Prices'!E32,'Data - Monthly Commodity Prices'!$B$9:$B$2500,1)+
SUMIFS('Data - Monthly Commodity Prices'!$Q$9:$Q$2500,'Data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2271.3336175498753</v>
      </c>
    </row>
    <row r="34" spans="1:14">
      <c r="A34" s="1638">
        <f>LARGE('Data - Monthly Commodity Prices'!C$159:C$902,35)</f>
        <v>42767</v>
      </c>
      <c r="B34" s="79">
        <f>SUMIF('Data - Monthly Commodity Prices'!$C$159:$C$902,$A34,'Data - Monthly Commodity Prices'!O$159:O$902)</f>
        <v>7750.52</v>
      </c>
      <c r="C34" s="79">
        <f>SUMIF('Data - Monthly Commodity Prices'!$C$159:$C$902,$A34,'Data - Monthly Commodity Prices'!P$159:P$902)</f>
        <v>3028.6</v>
      </c>
      <c r="D34" s="30">
        <f>SUMIF('Data - Monthly Commodity Prices'!$C$159:$C$902,$A34,'Data - Monthly Commodity Prices'!Q$159:Q$902)</f>
        <v>3715.66</v>
      </c>
      <c r="E34" s="24"/>
      <c r="F34" s="410">
        <f t="shared" si="2"/>
        <v>2011</v>
      </c>
      <c r="G34" s="410">
        <f t="shared" si="2"/>
        <v>2012</v>
      </c>
      <c r="H34" s="1822">
        <f t="shared" si="0"/>
        <v>2011</v>
      </c>
      <c r="I34" s="325">
        <f t="array" ref="I34">IF($H$6="Historic Calendar Year",IFERROR(AVERAGE(IF($H34=YEAR('Data - Monthly Commodity Prices'!C$100:C$1000),'Data - Monthly Commodity Prices'!O$100:O$1000)),"NA"),IFERROR(IF(L34=0,"NA",L34),"NA"))</f>
        <v>8558.7758333333331</v>
      </c>
      <c r="J34" s="325">
        <f t="array" ref="J34">IF($H$6="Historic Calendar Year",IFERROR(AVERAGE(IF($H34=YEAR('Data - Monthly Commodity Prices'!C$100:C$1000),'Data - Monthly Commodity Prices'!P$100:P$1000)),"NA"),IFERROR(IF(M34=0,"NA",M34),"NA"))</f>
        <v>2329.8378621782272</v>
      </c>
      <c r="K34" s="325">
        <f t="array" ref="K34">IF($H$6="Historic Calendar Year",IFERROR(AVERAGE(IF($H34=YEAR('Data - Monthly Commodity Prices'!C$100:C$1000),'Data - Monthly Commodity Prices'!Q$100:Q$1000)),"NA"),IFERROR(IF(N34=0,"NA",N34),"NA"))</f>
        <v>2128.5352169830717</v>
      </c>
      <c r="L34" s="798">
        <f>(SUMIFS('Data - Monthly Commodity Prices'!$O$9:$O$2500,'Data - Monthly Commodity Prices'!$A$9:$A$2500,'Alumina - Prices'!D33,'Data - Monthly Commodity Prices'!$B$9:$B$2500,3)+
SUMIFS('Data - Monthly Commodity Prices'!$O$9:$O$2500,'Data - Monthly Commodity Prices'!$A$9:$A$2500,'Alumina - Prices'!D33,'Data - Monthly Commodity Prices'!$B$9:$B$2500,4)+
SUMIFS('Data - Monthly Commodity Prices'!$O$9:$O$2500,'Data - Monthly Commodity Prices'!$A$9:$A$2500,'Alumina - Prices'!E33,'Data - Monthly Commodity Prices'!$B$9:$B$2500,1)+
SUMIFS('Data - Monthly Commodity Prices'!$O$9:$O$2500,'Data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7900.5566666666673</v>
      </c>
      <c r="M34" s="798">
        <f>(SUMIFS('Data - Monthly Commodity Prices'!$P$9:$P$2500,'Data - Monthly Commodity Prices'!$A$9:$A$2500,'Alumina - Prices'!D33,'Data - Monthly Commodity Prices'!$B$9:$B$2500,3)+
SUMIFS('Data - Monthly Commodity Prices'!$P$9:$P$2500,'Data - Monthly Commodity Prices'!$A$9:$A$2500,'Alumina - Prices'!D33,'Data - Monthly Commodity Prices'!$B$9:$B$2500,4)+
SUMIFS('Data - Monthly Commodity Prices'!$P$9:$P$2500,'Data - Monthly Commodity Prices'!$A$9:$A$2500,'Alumina - Prices'!E33,'Data - Monthly Commodity Prices'!$B$9:$B$2500,1)+
SUMIFS('Data - Monthly Commodity Prices'!$P$9:$P$2500,'Data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2058.8074612523487</v>
      </c>
      <c r="N34" s="798">
        <f>(SUMIFS('Data - Monthly Commodity Prices'!$Q$9:$Q$2500,'Data - Monthly Commodity Prices'!$A$9:$A$2500,'Alumina - Prices'!D33,'Data - Monthly Commodity Prices'!$B$9:$B$2500,3)+
SUMIFS('Data - Monthly Commodity Prices'!$Q$9:$Q$2500,'Data - Monthly Commodity Prices'!$A$9:$A$2500,'Alumina - Prices'!D33,'Data - Monthly Commodity Prices'!$B$9:$B$2500,4)+
SUMIFS('Data - Monthly Commodity Prices'!$Q$9:$Q$2500,'Data - Monthly Commodity Prices'!$A$9:$A$2500,'Alumina - Prices'!E33,'Data - Monthly Commodity Prices'!$B$9:$B$2500,1)+
SUMIFS('Data - Monthly Commodity Prices'!$Q$9:$Q$2500,'Data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1954.1294943265148</v>
      </c>
    </row>
    <row r="35" spans="1:14">
      <c r="A35" s="1823">
        <f>LARGE('Data - Monthly Commodity Prices'!C$159:C$902,34)</f>
        <v>42795</v>
      </c>
      <c r="B35" s="330">
        <f>SUMIF('Data - Monthly Commodity Prices'!$C$159:$C$902,$A35,'Data - Monthly Commodity Prices'!O$159:O$902)</f>
        <v>7635.78</v>
      </c>
      <c r="C35" s="330">
        <f>SUMIF('Data - Monthly Commodity Prices'!$C$159:$C$902,$A35,'Data - Monthly Commodity Prices'!P$159:P$902)</f>
        <v>2987.02</v>
      </c>
      <c r="D35" s="325">
        <f>SUMIF('Data - Monthly Commodity Prices'!$C$159:$C$902,$A35,'Data - Monthly Commodity Prices'!Q$159:Q$902)</f>
        <v>3648.66</v>
      </c>
      <c r="E35" s="24"/>
      <c r="F35" s="410">
        <f t="shared" si="2"/>
        <v>2012</v>
      </c>
      <c r="G35" s="410">
        <f t="shared" si="2"/>
        <v>2013</v>
      </c>
      <c r="H35" s="348">
        <f t="shared" si="0"/>
        <v>2012</v>
      </c>
      <c r="I35" s="30">
        <f t="array" ref="I35">IF($H$6="Historic Calendar Year",IFERROR(AVERAGE(IF($H35=YEAR('Data - Monthly Commodity Prices'!C$100:C$1000),'Data - Monthly Commodity Prices'!O$100:O$1000)),"NA"),IFERROR(IF(L35=0,"NA",L35),"NA"))</f>
        <v>7679.5333333333328</v>
      </c>
      <c r="J35" s="30">
        <f t="array" ref="J35">IF($H$6="Historic Calendar Year",IFERROR(AVERAGE(IF($H35=YEAR('Data - Monthly Commodity Prices'!C$100:C$1000),'Data - Monthly Commodity Prices'!P$100:P$1000)),"NA"),IFERROR(IF(M35=0,"NA",M35),"NA"))</f>
        <v>1991.7834570522039</v>
      </c>
      <c r="K35" s="30">
        <f t="array" ref="K35">IF($H$6="Historic Calendar Year",IFERROR(AVERAGE(IF($H35=YEAR('Data - Monthly Commodity Prices'!C$100:C$1000),'Data - Monthly Commodity Prices'!Q$100:Q$1000)),"NA"),IFERROR(IF(N35=0,"NA",N35),"NA"))</f>
        <v>1881.7681458937525</v>
      </c>
      <c r="L35" s="798">
        <f>(SUMIFS('Data - Monthly Commodity Prices'!$O$9:$O$2500,'Data - Monthly Commodity Prices'!$A$9:$A$2500,'Alumina - Prices'!D34,'Data - Monthly Commodity Prices'!$B$9:$B$2500,3)+
SUMIFS('Data - Monthly Commodity Prices'!$O$9:$O$2500,'Data - Monthly Commodity Prices'!$A$9:$A$2500,'Alumina - Prices'!D34,'Data - Monthly Commodity Prices'!$B$9:$B$2500,4)+
SUMIFS('Data - Monthly Commodity Prices'!$O$9:$O$2500,'Data - Monthly Commodity Prices'!$A$9:$A$2500,'Alumina - Prices'!E34,'Data - Monthly Commodity Prices'!$B$9:$B$2500,1)+
SUMIFS('Data - Monthly Commodity Prices'!$O$9:$O$2500,'Data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7480.2641666666668</v>
      </c>
      <c r="M35" s="798">
        <f>(SUMIFS('Data - Monthly Commodity Prices'!$P$9:$P$2500,'Data - Monthly Commodity Prices'!$A$9:$A$2500,'Alumina - Prices'!D34,'Data - Monthly Commodity Prices'!$B$9:$B$2500,3)+
SUMIFS('Data - Monthly Commodity Prices'!$P$9:$P$2500,'Data - Monthly Commodity Prices'!$A$9:$A$2500,'Alumina - Prices'!D34,'Data - Monthly Commodity Prices'!$B$9:$B$2500,4)+
SUMIFS('Data - Monthly Commodity Prices'!$P$9:$P$2500,'Data - Monthly Commodity Prices'!$A$9:$A$2500,'Alumina - Prices'!E34,'Data - Monthly Commodity Prices'!$B$9:$B$2500,1)+
SUMIFS('Data - Monthly Commodity Prices'!$P$9:$P$2500,'Data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2081.3354512782839</v>
      </c>
      <c r="N35" s="798">
        <f>(SUMIFS('Data - Monthly Commodity Prices'!$Q$9:$Q$2500,'Data - Monthly Commodity Prices'!$A$9:$A$2500,'Alumina - Prices'!D34,'Data - Monthly Commodity Prices'!$B$9:$B$2500,3)+
SUMIFS('Data - Monthly Commodity Prices'!$Q$9:$Q$2500,'Data - Monthly Commodity Prices'!$A$9:$A$2500,'Alumina - Prices'!D34,'Data - Monthly Commodity Prices'!$B$9:$B$2500,4)+
SUMIFS('Data - Monthly Commodity Prices'!$Q$9:$Q$2500,'Data - Monthly Commodity Prices'!$A$9:$A$2500,'Alumina - Prices'!E34,'Data - Monthly Commodity Prices'!$B$9:$B$2500,1)+
SUMIFS('Data - Monthly Commodity Prices'!$Q$9:$Q$2500,'Data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1880.1307645726674</v>
      </c>
    </row>
    <row r="36" spans="1:14">
      <c r="A36" s="1638">
        <f>LARGE('Data - Monthly Commodity Prices'!C$159:C$902,33)</f>
        <v>42826</v>
      </c>
      <c r="B36" s="79">
        <f>SUMIF('Data - Monthly Commodity Prices'!$C$159:$C$902,$A36,'Data - Monthly Commodity Prices'!O$159:O$902)</f>
        <v>7561.6</v>
      </c>
      <c r="C36" s="79">
        <f>SUMIF('Data - Monthly Commodity Prices'!$C$159:$C$902,$A36,'Data - Monthly Commodity Prices'!P$159:P$902)</f>
        <v>2961.25</v>
      </c>
      <c r="D36" s="30">
        <f>SUMIF('Data - Monthly Commodity Prices'!$C$159:$C$902,$A36,'Data - Monthly Commodity Prices'!Q$159:Q$902)</f>
        <v>3494.4</v>
      </c>
      <c r="E36" s="24"/>
      <c r="F36" s="410">
        <f t="shared" si="2"/>
        <v>2013</v>
      </c>
      <c r="G36" s="410">
        <f t="shared" si="2"/>
        <v>2014</v>
      </c>
      <c r="H36" s="1822">
        <f t="shared" si="0"/>
        <v>2013</v>
      </c>
      <c r="I36" s="325">
        <f t="array" ref="I36">IF($H$6="Historic Calendar Year",IFERROR(AVERAGE(IF($H36=YEAR('Data - Monthly Commodity Prices'!C$100:C$1000),'Data - Monthly Commodity Prices'!O$100:O$1000)),"NA"),IFERROR(IF(L36=0,"NA",L36),"NA"))</f>
        <v>7580.8341666666665</v>
      </c>
      <c r="J36" s="325">
        <f t="array" ref="J36">IF($H$6="Historic Calendar Year",IFERROR(AVERAGE(IF($H36=YEAR('Data - Monthly Commodity Prices'!C$100:C$1000),'Data - Monthly Commodity Prices'!P$100:P$1000)),"NA"),IFERROR(IF(M36=0,"NA",M36),"NA"))</f>
        <v>2218.6377026810364</v>
      </c>
      <c r="K36" s="325">
        <f t="array" ref="K36">IF($H$6="Historic Calendar Year",IFERROR(AVERAGE(IF($H36=YEAR('Data - Monthly Commodity Prices'!C$100:C$1000),'Data - Monthly Commodity Prices'!Q$100:Q$1000)),"NA"),IFERROR(IF(N36=0,"NA",N36),"NA"))</f>
        <v>1978.6760161367595</v>
      </c>
      <c r="L36" s="798">
        <f>(SUMIFS('Data - Monthly Commodity Prices'!$O$9:$O$2500,'Data - Monthly Commodity Prices'!$A$9:$A$2500,'Alumina - Prices'!D35,'Data - Monthly Commodity Prices'!$B$9:$B$2500,3)+
SUMIFS('Data - Monthly Commodity Prices'!$O$9:$O$2500,'Data - Monthly Commodity Prices'!$A$9:$A$2500,'Alumina - Prices'!D35,'Data - Monthly Commodity Prices'!$B$9:$B$2500,4)+
SUMIFS('Data - Monthly Commodity Prices'!$O$9:$O$2500,'Data - Monthly Commodity Prices'!$A$9:$A$2500,'Alumina - Prices'!E35,'Data - Monthly Commodity Prices'!$B$9:$B$2500,1)+
SUMIFS('Data - Monthly Commodity Prices'!$O$9:$O$2500,'Data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7647.3025000000007</v>
      </c>
      <c r="M36" s="798">
        <f>(SUMIFS('Data - Monthly Commodity Prices'!$P$9:$P$2500,'Data - Monthly Commodity Prices'!$A$9:$A$2500,'Alumina - Prices'!D35,'Data - Monthly Commodity Prices'!$B$9:$B$2500,3)+
SUMIFS('Data - Monthly Commodity Prices'!$P$9:$P$2500,'Data - Monthly Commodity Prices'!$A$9:$A$2500,'Alumina - Prices'!D35,'Data - Monthly Commodity Prices'!$B$9:$B$2500,4)+
SUMIFS('Data - Monthly Commodity Prices'!$P$9:$P$2500,'Data - Monthly Commodity Prices'!$A$9:$A$2500,'Alumina - Prices'!E35,'Data - Monthly Commodity Prices'!$B$9:$B$2500,1)+
SUMIFS('Data - Monthly Commodity Prices'!$P$9:$P$2500,'Data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2293.5594831169187</v>
      </c>
      <c r="N36" s="798">
        <f>(SUMIFS('Data - Monthly Commodity Prices'!$Q$9:$Q$2500,'Data - Monthly Commodity Prices'!$A$9:$A$2500,'Alumina - Prices'!D35,'Data - Monthly Commodity Prices'!$B$9:$B$2500,3)+
SUMIFS('Data - Monthly Commodity Prices'!$Q$9:$Q$2500,'Data - Monthly Commodity Prices'!$A$9:$A$2500,'Alumina - Prices'!D35,'Data - Monthly Commodity Prices'!$B$9:$B$2500,4)+
SUMIFS('Data - Monthly Commodity Prices'!$Q$9:$Q$2500,'Data - Monthly Commodity Prices'!$A$9:$A$2500,'Alumina - Prices'!E35,'Data - Monthly Commodity Prices'!$B$9:$B$2500,1)+
SUMIFS('Data - Monthly Commodity Prices'!$Q$9:$Q$2500,'Data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2144.889066165259</v>
      </c>
    </row>
    <row r="37" spans="1:14">
      <c r="A37" s="1823">
        <f>LARGE('Data - Monthly Commodity Prices'!C$159:C$902,32)</f>
        <v>42856</v>
      </c>
      <c r="B37" s="330">
        <f>SUMIF('Data - Monthly Commodity Prices'!$C$159:$C$902,$A37,'Data - Monthly Commodity Prices'!O$159:O$902)</f>
        <v>7519.5</v>
      </c>
      <c r="C37" s="330">
        <f>SUMIF('Data - Monthly Commodity Prices'!$C$159:$C$902,$A37,'Data - Monthly Commodity Prices'!P$159:P$902)</f>
        <v>2866.68</v>
      </c>
      <c r="D37" s="325">
        <f>SUMIF('Data - Monthly Commodity Prices'!$C$159:$C$902,$A37,'Data - Monthly Commodity Prices'!Q$159:Q$902)</f>
        <v>3483.38</v>
      </c>
      <c r="E37" s="24"/>
      <c r="F37" s="410">
        <f t="shared" si="2"/>
        <v>2014</v>
      </c>
      <c r="G37" s="410">
        <f t="shared" si="2"/>
        <v>2015</v>
      </c>
      <c r="H37" s="348">
        <f t="shared" si="0"/>
        <v>2014</v>
      </c>
      <c r="I37" s="30">
        <f t="array" ref="I37">IF($H$6="Historic Calendar Year",IFERROR(AVERAGE(IF($H37=YEAR('Data - Monthly Commodity Prices'!C$100:C$1000),'Data - Monthly Commodity Prices'!O$100:O$1000)),"NA"),IFERROR(IF(L37=0,"NA",L37),"NA"))</f>
        <v>7606.8916666666673</v>
      </c>
      <c r="J37" s="30">
        <f t="array" ref="J37">IF($H$6="Historic Calendar Year",IFERROR(AVERAGE(IF($H37=YEAR('Data - Monthly Commodity Prices'!C$100:C$1000),'Data - Monthly Commodity Prices'!P$100:P$1000)),"NA"),IFERROR(IF(M37=0,"NA",M37),"NA"))</f>
        <v>2322.8232805369121</v>
      </c>
      <c r="K37" s="30">
        <f t="array" ref="K37">IF($H$6="Historic Calendar Year",IFERROR(AVERAGE(IF($H37=YEAR('Data - Monthly Commodity Prices'!C$100:C$1000),'Data - Monthly Commodity Prices'!Q$100:Q$1000)),"NA"),IFERROR(IF(N37=0,"NA",N37),"NA"))</f>
        <v>2399.2204521888934</v>
      </c>
      <c r="L37" s="798">
        <f>(SUMIFS('Data - Monthly Commodity Prices'!$O$9:$O$2500,'Data - Monthly Commodity Prices'!$A$9:$A$2500,'Alumina - Prices'!D36,'Data - Monthly Commodity Prices'!$B$9:$B$2500,3)+
SUMIFS('Data - Monthly Commodity Prices'!$O$9:$O$2500,'Data - Monthly Commodity Prices'!$A$9:$A$2500,'Alumina - Prices'!D36,'Data - Monthly Commodity Prices'!$B$9:$B$2500,4)+
SUMIFS('Data - Monthly Commodity Prices'!$O$9:$O$2500,'Data - Monthly Commodity Prices'!$A$9:$A$2500,'Alumina - Prices'!E36,'Data - Monthly Commodity Prices'!$B$9:$B$2500,1)+
SUMIFS('Data - Monthly Commodity Prices'!$O$9:$O$2500,'Data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7620.9058333333332</v>
      </c>
      <c r="M37" s="798">
        <f>(SUMIFS('Data - Monthly Commodity Prices'!$P$9:$P$2500,'Data - Monthly Commodity Prices'!$A$9:$A$2500,'Alumina - Prices'!D36,'Data - Monthly Commodity Prices'!$B$9:$B$2500,3)+
SUMIFS('Data - Monthly Commodity Prices'!$P$9:$P$2500,'Data - Monthly Commodity Prices'!$A$9:$A$2500,'Alumina - Prices'!D36,'Data - Monthly Commodity Prices'!$B$9:$B$2500,4)+
SUMIFS('Data - Monthly Commodity Prices'!$P$9:$P$2500,'Data - Monthly Commodity Prices'!$A$9:$A$2500,'Alumina - Prices'!E36,'Data - Monthly Commodity Prices'!$B$9:$B$2500,1)+
SUMIFS('Data - Monthly Commodity Prices'!$P$9:$P$2500,'Data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2374.4630051197269</v>
      </c>
      <c r="N37" s="798">
        <f>(SUMIFS('Data - Monthly Commodity Prices'!$Q$9:$Q$2500,'Data - Monthly Commodity Prices'!$A$9:$A$2500,'Alumina - Prices'!D36,'Data - Monthly Commodity Prices'!$B$9:$B$2500,3)+
SUMIFS('Data - Monthly Commodity Prices'!$Q$9:$Q$2500,'Data - Monthly Commodity Prices'!$A$9:$A$2500,'Alumina - Prices'!D36,'Data - Monthly Commodity Prices'!$B$9:$B$2500,4)+
SUMIFS('Data - Monthly Commodity Prices'!$Q$9:$Q$2500,'Data - Monthly Commodity Prices'!$A$9:$A$2500,'Alumina - Prices'!E36,'Data - Monthly Commodity Prices'!$B$9:$B$2500,1)+
SUMIFS('Data - Monthly Commodity Prices'!$Q$9:$Q$2500,'Data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2645.1730727556346</v>
      </c>
    </row>
    <row r="38" spans="1:14">
      <c r="A38" s="1638">
        <f>LARGE('Data - Monthly Commodity Prices'!C$159:C$902,31)</f>
        <v>42887</v>
      </c>
      <c r="B38" s="79">
        <f>SUMIF('Data - Monthly Commodity Prices'!$C$159:$C$902,$A38,'Data - Monthly Commodity Prices'!O$159:O$902)</f>
        <v>7538.9911375661368</v>
      </c>
      <c r="C38" s="79">
        <f>SUMIF('Data - Monthly Commodity Prices'!$C$159:$C$902,$A38,'Data - Monthly Commodity Prices'!P$159:P$902)</f>
        <v>2819.0235449735446</v>
      </c>
      <c r="D38" s="30">
        <f>SUMIF('Data - Monthly Commodity Prices'!$C$159:$C$902,$A38,'Data - Monthly Commodity Prices'!Q$159:Q$902)</f>
        <v>3402.0261904761901</v>
      </c>
      <c r="E38" s="24"/>
      <c r="F38" s="410">
        <f t="shared" si="2"/>
        <v>2015</v>
      </c>
      <c r="G38" s="410">
        <f t="shared" si="2"/>
        <v>2016</v>
      </c>
      <c r="H38" s="1822">
        <f t="shared" si="0"/>
        <v>2015</v>
      </c>
      <c r="I38" s="325">
        <f t="array" ref="I38">IF($H$6="Historic Calendar Year",IFERROR(AVERAGE(IF($H38=YEAR('Data - Monthly Commodity Prices'!C$100:C$1000),'Data - Monthly Commodity Prices'!O$100:O$1000)),"NA"),IFERROR(IF(L38=0,"NA",L38),"NA"))</f>
        <v>7301.1124999999984</v>
      </c>
      <c r="J38" s="325">
        <f t="array" ref="J38">IF($H$6="Historic Calendar Year",IFERROR(AVERAGE(IF($H38=YEAR('Data - Monthly Commodity Prices'!C$100:C$1000),'Data - Monthly Commodity Prices'!P$100:P$1000)),"NA"),IFERROR(IF(M38=0,"NA",M38),"NA"))</f>
        <v>2373.4146573480361</v>
      </c>
      <c r="K38" s="325">
        <f t="array" ref="K38">IF($H$6="Historic Calendar Year",IFERROR(AVERAGE(IF($H38=YEAR('Data - Monthly Commodity Prices'!C$100:C$1000),'Data - Monthly Commodity Prices'!Q$100:Q$1000)),"NA"),IFERROR(IF(N38=0,"NA",N38),"NA"))</f>
        <v>2560.9185344740381</v>
      </c>
      <c r="L38" s="798">
        <f>(SUMIFS('Data - Monthly Commodity Prices'!$O$9:$O$2500,'Data - Monthly Commodity Prices'!$A$9:$A$2500,'Alumina - Prices'!D37,'Data - Monthly Commodity Prices'!$B$9:$B$2500,3)+
SUMIFS('Data - Monthly Commodity Prices'!$O$9:$O$2500,'Data - Monthly Commodity Prices'!$A$9:$A$2500,'Alumina - Prices'!D37,'Data - Monthly Commodity Prices'!$B$9:$B$2500,4)+
SUMIFS('Data - Monthly Commodity Prices'!$O$9:$O$2500,'Data - Monthly Commodity Prices'!$A$9:$A$2500,'Alumina - Prices'!E37,'Data - Monthly Commodity Prices'!$B$9:$B$2500,1)+
SUMIFS('Data - Monthly Commodity Prices'!$O$9:$O$2500,'Data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6706.3666666666677</v>
      </c>
      <c r="M38" s="798">
        <f>(SUMIFS('Data - Monthly Commodity Prices'!$P$9:$P$2500,'Data - Monthly Commodity Prices'!$A$9:$A$2500,'Alumina - Prices'!D37,'Data - Monthly Commodity Prices'!$B$9:$B$2500,3)+
SUMIFS('Data - Monthly Commodity Prices'!$P$9:$P$2500,'Data - Monthly Commodity Prices'!$A$9:$A$2500,'Alumina - Prices'!D37,'Data - Monthly Commodity Prices'!$B$9:$B$2500,4)+
SUMIFS('Data - Monthly Commodity Prices'!$P$9:$P$2500,'Data - Monthly Commodity Prices'!$A$9:$A$2500,'Alumina - Prices'!E37,'Data - Monthly Commodity Prices'!$B$9:$B$2500,1)+
SUMIFS('Data - Monthly Commodity Prices'!$P$9:$P$2500,'Data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2352.5099558624611</v>
      </c>
      <c r="N38" s="798">
        <f>(SUMIFS('Data - Monthly Commodity Prices'!$Q$9:$Q$2500,'Data - Monthly Commodity Prices'!$A$9:$A$2500,'Alumina - Prices'!D37,'Data - Monthly Commodity Prices'!$B$9:$B$2500,3)+
SUMIFS('Data - Monthly Commodity Prices'!$Q$9:$Q$2500,'Data - Monthly Commodity Prices'!$A$9:$A$2500,'Alumina - Prices'!D37,'Data - Monthly Commodity Prices'!$B$9:$B$2500,4)+
SUMIFS('Data - Monthly Commodity Prices'!$Q$9:$Q$2500,'Data - Monthly Commodity Prices'!$A$9:$A$2500,'Alumina - Prices'!E37,'Data - Monthly Commodity Prices'!$B$9:$B$2500,1)+
SUMIFS('Data - Monthly Commodity Prices'!$Q$9:$Q$2500,'Data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2415.5867562904928</v>
      </c>
    </row>
    <row r="39" spans="1:14">
      <c r="A39" s="1823">
        <f>LARGE('Data - Monthly Commodity Prices'!C$159:C$902,30)</f>
        <v>42917</v>
      </c>
      <c r="B39" s="330">
        <f>SUMIF('Data - Monthly Commodity Prices'!$C$159:$C$902,$A39,'Data - Monthly Commodity Prices'!O$159:O$902)</f>
        <v>7659.955156950673</v>
      </c>
      <c r="C39" s="330">
        <f>SUMIF('Data - Monthly Commodity Prices'!$C$159:$C$902,$A39,'Data - Monthly Commodity Prices'!P$159:P$902)</f>
        <v>2903.7860345932099</v>
      </c>
      <c r="D39" s="325">
        <f>SUMIF('Data - Monthly Commodity Prices'!$C$159:$C$902,$A39,'Data - Monthly Commodity Prices'!Q$159:Q$902)</f>
        <v>3568.3472133247915</v>
      </c>
      <c r="E39" s="24"/>
      <c r="F39" s="410">
        <f t="shared" si="2"/>
        <v>2016</v>
      </c>
      <c r="G39" s="410">
        <f t="shared" si="2"/>
        <v>2017</v>
      </c>
      <c r="H39" s="348">
        <f t="shared" si="0"/>
        <v>2016</v>
      </c>
      <c r="I39" s="30">
        <f t="array" ref="I39">IF($H$6="Historic Calendar Year",IFERROR(AVERAGE(IF($H39=YEAR('Data - Monthly Commodity Prices'!C$100:C$1000),'Data - Monthly Commodity Prices'!O$100:O$1000)),"NA"),IFERROR(IF(L39=0,"NA",L39),"NA"))</f>
        <v>6538.1141666666672</v>
      </c>
      <c r="J39" s="30">
        <f t="array" ref="J39">IF($H$6="Historic Calendar Year",IFERROR(AVERAGE(IF($H39=YEAR('Data - Monthly Commodity Prices'!C$100:C$1000),'Data - Monthly Commodity Prices'!P$100:P$1000)),"NA"),IFERROR(IF(M39=0,"NA",M39),"NA"))</f>
        <v>2514.0374999999999</v>
      </c>
      <c r="K39" s="30">
        <f t="array" ref="K39">IF($H$6="Historic Calendar Year",IFERROR(AVERAGE(IF($H39=YEAR('Data - Monthly Commodity Prices'!C$100:C$1000),'Data - Monthly Commodity Prices'!Q$100:Q$1000)),"NA"),IFERROR(IF(N39=0,"NA",N39),"NA"))</f>
        <v>2805.5625</v>
      </c>
      <c r="L39" s="798">
        <f>(SUMIFS('Data - Monthly Commodity Prices'!$O$9:$O$2500,'Data - Monthly Commodity Prices'!$A$9:$A$2500,'Alumina - Prices'!D38,'Data - Monthly Commodity Prices'!$B$9:$B$2500,3)+
SUMIFS('Data - Monthly Commodity Prices'!$O$9:$O$2500,'Data - Monthly Commodity Prices'!$A$9:$A$2500,'Alumina - Prices'!D38,'Data - Monthly Commodity Prices'!$B$9:$B$2500,4)+
SUMIFS('Data - Monthly Commodity Prices'!$O$9:$O$2500,'Data - Monthly Commodity Prices'!$A$9:$A$2500,'Alumina - Prices'!E38,'Data - Monthly Commodity Prices'!$B$9:$B$2500,1)+
SUMIFS('Data - Monthly Commodity Prices'!$O$9:$O$2500,'Data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7146.4259281305121</v>
      </c>
      <c r="M39" s="798">
        <f>(SUMIFS('Data - Monthly Commodity Prices'!$P$9:$P$2500,'Data - Monthly Commodity Prices'!$A$9:$A$2500,'Alumina - Prices'!D38,'Data - Monthly Commodity Prices'!$B$9:$B$2500,3)+
SUMIFS('Data - Monthly Commodity Prices'!$P$9:$P$2500,'Data - Monthly Commodity Prices'!$A$9:$A$2500,'Alumina - Prices'!D38,'Data - Monthly Commodity Prices'!$B$9:$B$2500,4)+
SUMIFS('Data - Monthly Commodity Prices'!$P$9:$P$2500,'Data - Monthly Commodity Prices'!$A$9:$A$2500,'Alumina - Prices'!E38,'Data - Monthly Commodity Prices'!$B$9:$B$2500,1)+
SUMIFS('Data - Monthly Commodity Prices'!$P$9:$P$2500,'Data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2806.834462081129</v>
      </c>
      <c r="N39" s="798">
        <f>(SUMIFS('Data - Monthly Commodity Prices'!$Q$9:$Q$2500,'Data - Monthly Commodity Prices'!$A$9:$A$2500,'Alumina - Prices'!D38,'Data - Monthly Commodity Prices'!$B$9:$B$2500,3)+
SUMIFS('Data - Monthly Commodity Prices'!$Q$9:$Q$2500,'Data - Monthly Commodity Prices'!$A$9:$A$2500,'Alumina - Prices'!D38,'Data - Monthly Commodity Prices'!$B$9:$B$2500,4)+
SUMIFS('Data - Monthly Commodity Prices'!$Q$9:$Q$2500,'Data - Monthly Commodity Prices'!$A$9:$A$2500,'Alumina - Prices'!E38,'Data - Monthly Commodity Prices'!$B$9:$B$2500,1)+
SUMIFS('Data - Monthly Commodity Prices'!$Q$9:$Q$2500,'Data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3365.8605158730165</v>
      </c>
    </row>
    <row r="40" spans="1:14">
      <c r="A40" s="1638">
        <f>LARGE('Data - Monthly Commodity Prices'!C$159:C$902,29)</f>
        <v>42948</v>
      </c>
      <c r="B40" s="79">
        <f>SUMIF('Data - Monthly Commodity Prices'!$C$159:$C$902,$A40,'Data - Monthly Commodity Prices'!O$159:O$902)</f>
        <v>8183.6556571271076</v>
      </c>
      <c r="C40" s="79">
        <f>SUMIF('Data - Monthly Commodity Prices'!$C$159:$C$902,$A40,'Data - Monthly Commodity Prices'!P$159:P$902)</f>
        <v>2977.9158436308517</v>
      </c>
      <c r="D40" s="30">
        <f>SUMIF('Data - Monthly Commodity Prices'!$C$159:$C$902,$A40,'Data - Monthly Commodity Prices'!Q$159:Q$902)</f>
        <v>3766.8530938490512</v>
      </c>
      <c r="E40" s="24"/>
      <c r="F40" s="410">
        <f t="shared" si="2"/>
        <v>2017</v>
      </c>
      <c r="G40" s="410">
        <f t="shared" si="2"/>
        <v>2018</v>
      </c>
      <c r="H40" s="1822">
        <f t="shared" si="0"/>
        <v>2017</v>
      </c>
      <c r="I40" s="325">
        <f t="array" ref="I40">IF($H$6="Historic Calendar Year",IFERROR(AVERAGE(IF($H40=YEAR('Data - Monthly Commodity Prices'!C$100:C$1000),'Data - Monthly Commodity Prices'!O$100:O$1000)),"NA"),IFERROR(IF(L40=0,"NA",L40),"NA"))</f>
        <v>8031.5406926200221</v>
      </c>
      <c r="J40" s="325">
        <f t="array" ref="J40">IF($H$6="Historic Calendar Year",IFERROR(AVERAGE(IF($H40=YEAR('Data - Monthly Commodity Prices'!C$100:C$1000),'Data - Monthly Commodity Prices'!P$100:P$1000)),"NA"),IFERROR(IF(M40=0,"NA",M40),"NA"))</f>
        <v>3021.4802403735935</v>
      </c>
      <c r="K40" s="325">
        <f t="array" ref="K40">IF($H$6="Historic Calendar Year",IFERROR(AVERAGE(IF($H40=YEAR('Data - Monthly Commodity Prices'!C$100:C$1000),'Data - Monthly Commodity Prices'!Q$100:Q$1000)),"NA"),IFERROR(IF(N40=0,"NA",N40),"NA"))</f>
        <v>3771.270143738519</v>
      </c>
      <c r="L40" s="798">
        <f>(SUMIFS('Data - Monthly Commodity Prices'!$O$9:$O$2500,'Data - Monthly Commodity Prices'!$A$9:$A$2500,'Alumina - Prices'!D39,'Data - Monthly Commodity Prices'!$B$9:$B$2500,3)+
SUMIFS('Data - Monthly Commodity Prices'!$O$9:$O$2500,'Data - Monthly Commodity Prices'!$A$9:$A$2500,'Alumina - Prices'!D39,'Data - Monthly Commodity Prices'!$B$9:$B$2500,4)+
SUMIFS('Data - Monthly Commodity Prices'!$O$9:$O$2500,'Data - Monthly Commodity Prices'!$A$9:$A$2500,'Alumina - Prices'!E39,'Data - Monthly Commodity Prices'!$B$9:$B$2500,1)+
SUMIFS('Data - Monthly Commodity Prices'!$O$9:$O$2500,'Data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8706.908882582984</v>
      </c>
      <c r="M40" s="798">
        <f>(SUMIFS('Data - Monthly Commodity Prices'!$P$9:$P$2500,'Data - Monthly Commodity Prices'!$A$9:$A$2500,'Alumina - Prices'!D39,'Data - Monthly Commodity Prices'!$B$9:$B$2500,3)+
SUMIFS('Data - Monthly Commodity Prices'!$P$9:$P$2500,'Data - Monthly Commodity Prices'!$A$9:$A$2500,'Alumina - Prices'!D39,'Data - Monthly Commodity Prices'!$B$9:$B$2500,4)+
SUMIFS('Data - Monthly Commodity Prices'!$P$9:$P$2500,'Data - Monthly Commodity Prices'!$A$9:$A$2500,'Alumina - Prices'!E39,'Data - Monthly Commodity Prices'!$B$9:$B$2500,1)+
SUMIFS('Data - Monthly Commodity Prices'!$P$9:$P$2500,'Data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3140.6137263955789</v>
      </c>
      <c r="N40" s="798">
        <f>(SUMIFS('Data - Monthly Commodity Prices'!$Q$9:$Q$2500,'Data - Monthly Commodity Prices'!$A$9:$A$2500,'Alumina - Prices'!D39,'Data - Monthly Commodity Prices'!$B$9:$B$2500,3)+
SUMIFS('Data - Monthly Commodity Prices'!$Q$9:$Q$2500,'Data - Monthly Commodity Prices'!$A$9:$A$2500,'Alumina - Prices'!D39,'Data - Monthly Commodity Prices'!$B$9:$B$2500,4)+
SUMIFS('Data - Monthly Commodity Prices'!$Q$9:$Q$2500,'Data - Monthly Commodity Prices'!$A$9:$A$2500,'Alumina - Prices'!E39,'Data - Monthly Commodity Prices'!$B$9:$B$2500,1)+
SUMIFS('Data - Monthly Commodity Prices'!$Q$9:$Q$2500,'Data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4106.3012366119356</v>
      </c>
    </row>
    <row r="41" spans="1:14">
      <c r="A41" s="1823">
        <f>LARGE('Data - Monthly Commodity Prices'!C$159:C$902,28)</f>
        <v>42979</v>
      </c>
      <c r="B41" s="330">
        <f>SUMIF('Data - Monthly Commodity Prices'!$C$159:$C$902,$A41,'Data - Monthly Commodity Prices'!O$159:O$902)</f>
        <v>8263.0739299610905</v>
      </c>
      <c r="C41" s="330">
        <f>SUMIF('Data - Monthly Commodity Prices'!$C$159:$C$902,$A41,'Data - Monthly Commodity Prices'!P$159:P$902)</f>
        <v>2983.9161541358103</v>
      </c>
      <c r="D41" s="325">
        <f>SUMIF('Data - Monthly Commodity Prices'!$C$159:$C$902,$A41,'Data - Monthly Commodity Prices'!Q$159:Q$902)</f>
        <v>3915.8855278021842</v>
      </c>
      <c r="E41" s="24"/>
      <c r="F41" s="410">
        <f t="shared" si="2"/>
        <v>2018</v>
      </c>
      <c r="G41" s="410">
        <f t="shared" si="2"/>
        <v>2019</v>
      </c>
      <c r="H41" s="348">
        <f t="shared" si="0"/>
        <v>2018</v>
      </c>
      <c r="I41" s="30">
        <f t="array" ref="I41">IF($H$6="Historic Calendar Year",IFERROR(AVERAGE(IF($H41=YEAR('Data - Monthly Commodity Prices'!C$100:C$1000),'Data - Monthly Commodity Prices'!O$100:O$1000)),"NA"),IFERROR(IF(L41=0,"NA",L41),"NA"))</f>
        <v>8720.8933398289391</v>
      </c>
      <c r="J41" s="30">
        <f t="array" ref="J41">IF($H$6="Historic Calendar Year",IFERROR(AVERAGE(IF($H41=YEAR('Data - Monthly Commodity Prices'!C$100:C$1000),'Data - Monthly Commodity Prices'!P$100:P$1000)),"NA"),IFERROR(IF(M41=0,"NA",M41),"NA"))</f>
        <v>2994.2226489504687</v>
      </c>
      <c r="K41" s="30">
        <f t="array" ref="K41">IF($H$6="Historic Calendar Year",IFERROR(AVERAGE(IF($H41=YEAR('Data - Monthly Commodity Prices'!C$100:C$1000),'Data - Monthly Commodity Prices'!Q$100:Q$1000)),"NA"),IFERROR(IF(N41=0,"NA",N41),"NA"))</f>
        <v>3900.3056748747126</v>
      </c>
      <c r="L41" s="798">
        <f>(SUMIFS('Data - Monthly Commodity Prices'!$O$9:$O$2500,'Data - Monthly Commodity Prices'!$A$9:$A$2500,'Alumina - Prices'!D40,'Data - Monthly Commodity Prices'!$B$9:$B$2500,3)+
SUMIFS('Data - Monthly Commodity Prices'!$O$9:$O$2500,'Data - Monthly Commodity Prices'!$A$9:$A$2500,'Alumina - Prices'!D40,'Data - Monthly Commodity Prices'!$B$9:$B$2500,4)+
SUMIFS('Data - Monthly Commodity Prices'!$O$9:$O$2500,'Data - Monthly Commodity Prices'!$A$9:$A$2500,'Alumina - Prices'!E40,'Data - Monthly Commodity Prices'!$B$9:$B$2500,1)+
SUMIFS('Data - Monthly Commodity Prices'!$O$9:$O$2500,'Data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8603.0308029586304</v>
      </c>
      <c r="M41" s="798">
        <f>(SUMIFS('Data - Monthly Commodity Prices'!$P$9:$P$2500,'Data - Monthly Commodity Prices'!$A$9:$A$2500,'Alumina - Prices'!D40,'Data - Monthly Commodity Prices'!$B$9:$B$2500,3)+
SUMIFS('Data - Monthly Commodity Prices'!$P$9:$P$2500,'Data - Monthly Commodity Prices'!$A$9:$A$2500,'Alumina - Prices'!D40,'Data - Monthly Commodity Prices'!$B$9:$B$2500,4)+
SUMIFS('Data - Monthly Commodity Prices'!$P$9:$P$2500,'Data - Monthly Commodity Prices'!$A$9:$A$2500,'Alumina - Prices'!E40,'Data - Monthly Commodity Prices'!$B$9:$B$2500,1)+
SUMIFS('Data - Monthly Commodity Prices'!$P$9:$P$2500,'Data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2791.4681269859807</v>
      </c>
      <c r="N41" s="798">
        <f>(SUMIFS('Data - Monthly Commodity Prices'!$Q$9:$Q$2500,'Data - Monthly Commodity Prices'!$A$9:$A$2500,'Alumina - Prices'!D40,'Data - Monthly Commodity Prices'!$B$9:$B$2500,3)+
SUMIFS('Data - Monthly Commodity Prices'!$Q$9:$Q$2500,'Data - Monthly Commodity Prices'!$A$9:$A$2500,'Alumina - Prices'!D40,'Data - Monthly Commodity Prices'!$B$9:$B$2500,4)+
SUMIFS('Data - Monthly Commodity Prices'!$Q$9:$Q$2500,'Data - Monthly Commodity Prices'!$A$9:$A$2500,'Alumina - Prices'!E40,'Data - Monthly Commodity Prices'!$B$9:$B$2500,1)+
SUMIFS('Data - Monthly Commodity Prices'!$Q$9:$Q$2500,'Data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3718.9358658651854</v>
      </c>
    </row>
    <row r="42" spans="1:14">
      <c r="A42" s="1638">
        <f>LARGE('Data - Monthly Commodity Prices'!C$159:C$902,27)</f>
        <v>43009</v>
      </c>
      <c r="B42" s="79">
        <f>SUMIF('Data - Monthly Commodity Prices'!$C$159:$C$902,$A42,'Data - Monthly Commodity Prices'!O$159:O$902)</f>
        <v>8729.1465262617185</v>
      </c>
      <c r="C42" s="79">
        <f>SUMIF('Data - Monthly Commodity Prices'!$C$159:$C$902,$A42,'Data - Monthly Commodity Prices'!P$159:P$902)</f>
        <v>3218.5636316938489</v>
      </c>
      <c r="D42" s="30">
        <f>SUMIF('Data - Monthly Commodity Prices'!$C$159:$C$902,$A42,'Data - Monthly Commodity Prices'!Q$159:Q$902)</f>
        <v>4204.3848722229359</v>
      </c>
      <c r="E42" s="24"/>
      <c r="F42" s="410">
        <f t="shared" si="2"/>
        <v>2019</v>
      </c>
      <c r="G42" s="410">
        <f t="shared" si="2"/>
        <v>2020</v>
      </c>
      <c r="H42" s="1822">
        <f t="shared" si="0"/>
        <v>2019</v>
      </c>
      <c r="I42" s="325">
        <f t="array" ref="I42">IF($H$6="Historic Calendar Year",IFERROR(AVERAGE(IF($H42=YEAR('Data - Monthly Commodity Prices'!C$100:C$1000),'Data - Monthly Commodity Prices'!O$100:O$1000)),"NA"),IFERROR(IF(L42=0,"NA",L42),"NA"))</f>
        <v>8627.7069911869021</v>
      </c>
      <c r="J42" s="325">
        <f t="array" ref="J42">IF($H$6="Historic Calendar Year",IFERROR(AVERAGE(IF($H42=YEAR('Data - Monthly Commodity Prices'!C$100:C$1000),'Data - Monthly Commodity Prices'!P$100:P$1000)),"NA"),IFERROR(IF(M42=0,"NA",M42),"NA"))</f>
        <v>2872.3040108946866</v>
      </c>
      <c r="K42" s="325">
        <f t="array" ref="K42">IF($H$6="Historic Calendar Year",IFERROR(AVERAGE(IF($H42=YEAR('Data - Monthly Commodity Prices'!C$100:C$1000),'Data - Monthly Commodity Prices'!Q$100:Q$1000)),"NA"),IFERROR(IF(N42=0,"NA",N42),"NA"))</f>
        <v>3660.49064688523</v>
      </c>
      <c r="L42" s="798">
        <f>(SUMIFS('Data - Monthly Commodity Prices'!$O$9:$O$2500,'Data - Monthly Commodity Prices'!$A$9:$A$2500,'Alumina - Prices'!D41,'Data - Monthly Commodity Prices'!$B$9:$B$2500,3)+
SUMIFS('Data - Monthly Commodity Prices'!$O$9:$O$2500,'Data - Monthly Commodity Prices'!$A$9:$A$2500,'Alumina - Prices'!D41,'Data - Monthly Commodity Prices'!$B$9:$B$2500,4)+
SUMIFS('Data - Monthly Commodity Prices'!$O$9:$O$2500,'Data - Monthly Commodity Prices'!$A$9:$A$2500,'Alumina - Prices'!E41,'Data - Monthly Commodity Prices'!$B$9:$B$2500,1)+
SUMIFS('Data - Monthly Commodity Prices'!$O$9:$O$2500,'Data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8524.0124865941416</v>
      </c>
      <c r="M42" s="798">
        <f>(SUMIFS('Data - Monthly Commodity Prices'!$P$9:$P$2500,'Data - Monthly Commodity Prices'!$A$9:$A$2500,'Alumina - Prices'!D41,'Data - Monthly Commodity Prices'!$B$9:$B$2500,3)+
SUMIFS('Data - Monthly Commodity Prices'!$P$9:$P$2500,'Data - Monthly Commodity Prices'!$A$9:$A$2500,'Alumina - Prices'!D41,'Data - Monthly Commodity Prices'!$B$9:$B$2500,4)+
SUMIFS('Data - Monthly Commodity Prices'!$P$9:$P$2500,'Data - Monthly Commodity Prices'!$A$9:$A$2500,'Alumina - Prices'!E41,'Data - Monthly Commodity Prices'!$B$9:$B$2500,1)+
SUMIFS('Data - Monthly Commodity Prices'!$P$9:$P$2500,'Data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2968.3128361787894</v>
      </c>
      <c r="N42" s="798">
        <f>(SUMIFS('Data - Monthly Commodity Prices'!$Q$9:$Q$2500,'Data - Monthly Commodity Prices'!$A$9:$A$2500,'Alumina - Prices'!D41,'Data - Monthly Commodity Prices'!$B$9:$B$2500,3)+
SUMIFS('Data - Monthly Commodity Prices'!$Q$9:$Q$2500,'Data - Monthly Commodity Prices'!$A$9:$A$2500,'Alumina - Prices'!D41,'Data - Monthly Commodity Prices'!$B$9:$B$2500,4)+
SUMIFS('Data - Monthly Commodity Prices'!$Q$9:$Q$2500,'Data - Monthly Commodity Prices'!$A$9:$A$2500,'Alumina - Prices'!E41,'Data - Monthly Commodity Prices'!$B$9:$B$2500,1)+
SUMIFS('Data - Monthly Commodity Prices'!$Q$9:$Q$2500,'Data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3450.1010276299808</v>
      </c>
    </row>
    <row r="43" spans="1:14" ht="15.75" thickBot="1">
      <c r="A43" s="1823">
        <f>LARGE('Data - Monthly Commodity Prices'!C$159:C$902,26)</f>
        <v>43040</v>
      </c>
      <c r="B43" s="330">
        <f>SUMIF('Data - Monthly Commodity Prices'!$C$159:$C$902,$A43,'Data - Monthly Commodity Prices'!O$159:O$902)</f>
        <v>8953.9134199134205</v>
      </c>
      <c r="C43" s="330">
        <f>SUMIF('Data - Monthly Commodity Prices'!$C$159:$C$902,$A43,'Data - Monthly Commodity Prices'!P$159:P$902)</f>
        <v>3232.8598976780795</v>
      </c>
      <c r="D43" s="325">
        <f>SUMIF('Data - Monthly Commodity Prices'!$C$159:$C$902,$A43,'Data - Monthly Commodity Prices'!Q$159:Q$902)</f>
        <v>4245.2565918929558</v>
      </c>
      <c r="E43" s="24"/>
      <c r="F43" s="410">
        <f>F42+1</f>
        <v>2020</v>
      </c>
      <c r="G43" s="410">
        <f>G42+1</f>
        <v>2021</v>
      </c>
      <c r="H43" s="349">
        <f t="shared" si="0"/>
        <v>2020</v>
      </c>
      <c r="I43" s="1603" t="str">
        <f>IF($H$6="Historic Calendar Year",IFERROR(AVERAGE(IF($H43=YEAR('Data - Monthly Commodity Prices'!C$100:C$1000),'Data - Monthly Commodity Prices'!O$100:O$1000)),"N/A"),IFERROR(IF(L43=0,"N/A",L43),"N/A"))</f>
        <v>N/A</v>
      </c>
      <c r="J43" s="1603" t="str">
        <f>IF($H$6="Historic Calendar Year",IFERROR(AVERAGE(IF($H43=YEAR('Data - Monthly Commodity Prices'!C$100:C$1000),'Data - Monthly Commodity Prices'!P$100:P$1000)),"N/A"),IFERROR(IF(M43=0,"N/A",M43),"N/A"))</f>
        <v>N/A</v>
      </c>
      <c r="K43" s="1603" t="str">
        <f>IF($H$6="Historic Calendar Year",IFERROR(AVERAGE(IF($H43=YEAR('Data - Monthly Commodity Prices'!C$100:C$1000),'Data - Monthly Commodity Prices'!Q$100:Q$1000)),"N/A"),IFERROR(IF(N43=0,"N/A",N43),"N/A"))</f>
        <v>N/A</v>
      </c>
      <c r="L43" s="798" t="e">
        <f>(SUMIFS('Data - Monthly Commodity Prices'!$O$9:$O$2500,'Data - Monthly Commodity Prices'!$A$9:$A$2500,'Alumina - Prices'!D42,'Data - Monthly Commodity Prices'!$B$9:$B$2500,3)+
SUMIFS('Data - Monthly Commodity Prices'!$O$9:$O$2500,'Data - Monthly Commodity Prices'!$A$9:$A$2500,'Alumina - Prices'!D42,'Data - Monthly Commodity Prices'!$B$9:$B$2500,4)+
SUMIFS('Data - Monthly Commodity Prices'!$O$9:$O$2500,'Data - Monthly Commodity Prices'!$A$9:$A$2500,'Alumina - Prices'!E42,'Data - Monthly Commodity Prices'!$B$9:$B$2500,1)+
SUMIFS('Data - Monthly Commodity Prices'!$O$9:$O$2500,'Data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c r="M43" s="798" t="e">
        <f>(SUMIFS('Data - Monthly Commodity Prices'!$P$9:$P$2500,'Data - Monthly Commodity Prices'!$A$9:$A$2500,'Alumina - Prices'!D42,'Data - Monthly Commodity Prices'!$B$9:$B$2500,3)+
SUMIFS('Data - Monthly Commodity Prices'!$P$9:$P$2500,'Data - Monthly Commodity Prices'!$A$9:$A$2500,'Alumina - Prices'!D42,'Data - Monthly Commodity Prices'!$B$9:$B$2500,4)+
SUMIFS('Data - Monthly Commodity Prices'!$P$9:$P$2500,'Data - Monthly Commodity Prices'!$A$9:$A$2500,'Alumina - Prices'!E42,'Data - Monthly Commodity Prices'!$B$9:$B$2500,1)+
SUMIFS('Data - Monthly Commodity Prices'!$P$9:$P$2500,'Data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c r="N43" s="798" t="e">
        <f>(SUMIFS('Data - Monthly Commodity Prices'!$Q$9:$Q$2500,'Data - Monthly Commodity Prices'!$A$9:$A$2500,'Alumina - Prices'!D42,'Data - Monthly Commodity Prices'!$B$9:$B$2500,3)+
SUMIFS('Data - Monthly Commodity Prices'!$Q$9:$Q$2500,'Data - Monthly Commodity Prices'!$A$9:$A$2500,'Alumina - Prices'!D42,'Data - Monthly Commodity Prices'!$B$9:$B$2500,4)+
SUMIFS('Data - Monthly Commodity Prices'!$Q$9:$Q$2500,'Data - Monthly Commodity Prices'!$A$9:$A$2500,'Alumina - Prices'!E42,'Data - Monthly Commodity Prices'!$B$9:$B$2500,1)+
SUMIFS('Data - Monthly Commodity Prices'!$Q$9:$Q$2500,'Data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row>
    <row r="44" spans="1:14" ht="15.75" thickBot="1">
      <c r="A44" s="1638">
        <f>LARGE('Data - Monthly Commodity Prices'!C$159:C$902,25)</f>
        <v>43070</v>
      </c>
      <c r="B44" s="79">
        <f>SUMIF('Data - Monthly Commodity Prices'!$C$159:$C$902,$A44,'Data - Monthly Commodity Prices'!O$159:O$902)</f>
        <v>8890.4024836601311</v>
      </c>
      <c r="C44" s="79">
        <f>SUMIF('Data - Monthly Commodity Prices'!$C$159:$C$902,$A44,'Data - Monthly Commodity Prices'!P$159:P$902)</f>
        <v>3279.4977777777776</v>
      </c>
      <c r="D44" s="30">
        <f>SUMIF('Data - Monthly Commodity Prices'!$C$159:$C$902,$A44,'Data - Monthly Commodity Prices'!Q$159:Q$902)</f>
        <v>4173.1682352941179</v>
      </c>
      <c r="E44" s="24"/>
      <c r="F44" s="410"/>
      <c r="G44" s="410"/>
      <c r="H44" s="24"/>
      <c r="I44" s="24"/>
      <c r="J44" s="24"/>
      <c r="K44" s="24"/>
    </row>
    <row r="45" spans="1:14" ht="15.75" thickBot="1">
      <c r="A45" s="1823">
        <f>LARGE('Data - Monthly Commodity Prices'!C$159:C$902,24)</f>
        <v>43101</v>
      </c>
      <c r="B45" s="330">
        <f>SUMIF('Data - Monthly Commodity Prices'!$C$159:$C$902,$A45,'Data - Monthly Commodity Prices'!O$159:O$902)</f>
        <v>8898.1978132461991</v>
      </c>
      <c r="C45" s="330">
        <f>SUMIF('Data - Monthly Commodity Prices'!$C$159:$C$902,$A45,'Data - Monthly Commodity Prices'!P$159:P$902)</f>
        <v>3254.7103179590299</v>
      </c>
      <c r="D45" s="325">
        <f>SUMIF('Data - Monthly Commodity Prices'!$C$159:$C$902,$A45,'Data - Monthly Commodity Prices'!Q$159:Q$902)</f>
        <v>4332.2923212265932</v>
      </c>
      <c r="E45" s="24"/>
      <c r="F45" s="410"/>
      <c r="G45" s="410"/>
      <c r="H45" s="1983" t="s">
        <v>617</v>
      </c>
      <c r="I45" s="1984"/>
      <c r="J45" s="1984"/>
      <c r="K45" s="1985"/>
    </row>
    <row r="46" spans="1:14" ht="15.75" thickBot="1">
      <c r="A46" s="1638">
        <f>LARGE('Data - Monthly Commodity Prices'!C$159:C$902,23)</f>
        <v>43132</v>
      </c>
      <c r="B46" s="79">
        <f>SUMIF('Data - Monthly Commodity Prices'!$C$159:$C$902,$A46,'Data - Monthly Commodity Prices'!O$159:O$902)</f>
        <v>8899.0849008642599</v>
      </c>
      <c r="C46" s="79">
        <f>SUMIF('Data - Monthly Commodity Prices'!$C$159:$C$902,$A46,'Data - Monthly Commodity Prices'!P$159:P$902)</f>
        <v>3280.1537874936448</v>
      </c>
      <c r="D46" s="30">
        <f>SUMIF('Data - Monthly Commodity Prices'!$C$159:$C$902,$A46,'Data - Monthly Commodity Prices'!Q$159:Q$902)</f>
        <v>4498.9514489069643</v>
      </c>
      <c r="E46" s="24"/>
      <c r="F46" s="410"/>
      <c r="G46" s="410"/>
      <c r="H46" s="1958" t="s">
        <v>545</v>
      </c>
      <c r="I46" s="1959"/>
      <c r="J46" s="1959"/>
      <c r="K46" s="1960"/>
    </row>
    <row r="47" spans="1:14">
      <c r="A47" s="1823">
        <f>LARGE('Data - Monthly Commodity Prices'!C$159:C$902,22)</f>
        <v>43160</v>
      </c>
      <c r="B47" s="330">
        <f>SUMIF('Data - Monthly Commodity Prices'!$C$159:$C$902,$A47,'Data - Monthly Commodity Prices'!O$159:O$902)</f>
        <v>8758.5513597113022</v>
      </c>
      <c r="C47" s="330">
        <f>SUMIF('Data - Monthly Commodity Prices'!$C$159:$C$902,$A47,'Data - Monthly Commodity Prices'!P$159:P$902)</f>
        <v>3089.3156334579198</v>
      </c>
      <c r="D47" s="325">
        <f>SUMIF('Data - Monthly Commodity Prices'!$C$159:$C$902,$A47,'Data - Monthly Commodity Prices'!Q$159:Q$902)</f>
        <v>4227.9675215878333</v>
      </c>
      <c r="E47" s="24"/>
      <c r="F47" s="410"/>
      <c r="G47" s="410"/>
      <c r="H47" s="1986" t="s">
        <v>618</v>
      </c>
      <c r="I47" s="1986"/>
      <c r="J47" s="1986"/>
      <c r="K47" s="1986"/>
    </row>
    <row r="48" spans="1:14">
      <c r="A48" s="1638">
        <f>LARGE('Data - Monthly Commodity Prices'!C$159:C$902,21)</f>
        <v>43191</v>
      </c>
      <c r="B48" s="79">
        <f>SUMIF('Data - Monthly Commodity Prices'!$C$159:$C$902,$A48,'Data - Monthly Commodity Prices'!O$159:O$902)</f>
        <v>8900.8850709358321</v>
      </c>
      <c r="C48" s="79">
        <f>SUMIF('Data - Monthly Commodity Prices'!$C$159:$C$902,$A48,'Data - Monthly Commodity Prices'!P$159:P$902)</f>
        <v>3068.3001431732396</v>
      </c>
      <c r="D48" s="30">
        <f>SUMIF('Data - Monthly Commodity Prices'!$C$159:$C$902,$A48,'Data - Monthly Commodity Prices'!Q$159:Q$902)</f>
        <v>4153.2279057659771</v>
      </c>
      <c r="E48" s="24"/>
      <c r="F48" s="410"/>
      <c r="G48" s="410"/>
      <c r="H48" s="24"/>
      <c r="I48" s="24"/>
      <c r="J48" s="24"/>
      <c r="K48" s="24"/>
    </row>
    <row r="49" spans="1:11">
      <c r="A49" s="1823">
        <f>LARGE('Data - Monthly Commodity Prices'!C$159:C$902,20)</f>
        <v>43221</v>
      </c>
      <c r="B49" s="330">
        <f>SUMIF('Data - Monthly Commodity Prices'!$C$159:$C$902,$A49,'Data - Monthly Commodity Prices'!O$159:O$902)</f>
        <v>9061.8516269419561</v>
      </c>
      <c r="C49" s="330">
        <f>SUMIF('Data - Monthly Commodity Prices'!$C$159:$C$902,$A49,'Data - Monthly Commodity Prices'!P$159:P$902)</f>
        <v>3140.1181620363341</v>
      </c>
      <c r="D49" s="325">
        <f>SUMIF('Data - Monthly Commodity Prices'!$C$159:$C$902,$A49,'Data - Monthly Commodity Prices'!Q$159:Q$902)</f>
        <v>4061.9781387581597</v>
      </c>
      <c r="E49" s="24"/>
      <c r="F49" s="410"/>
      <c r="G49" s="410"/>
      <c r="H49" s="24"/>
      <c r="I49" s="24"/>
      <c r="J49" s="24"/>
      <c r="K49" s="24"/>
    </row>
    <row r="50" spans="1:11">
      <c r="A50" s="1638">
        <f>LARGE('Data - Monthly Commodity Prices'!C$159:C$902,19)</f>
        <v>43252</v>
      </c>
      <c r="B50" s="79">
        <f>SUMIF('Data - Monthly Commodity Prices'!$C$159:$C$902,$A50,'Data - Monthly Commodity Prices'!O$159:O$902)</f>
        <v>9284.1886454221258</v>
      </c>
      <c r="C50" s="79">
        <f>SUMIF('Data - Monthly Commodity Prices'!$C$159:$C$902,$A50,'Data - Monthly Commodity Prices'!P$159:P$902)</f>
        <v>3258.2273331172014</v>
      </c>
      <c r="D50" s="30">
        <f>SUMIF('Data - Monthly Commodity Prices'!$C$159:$C$902,$A50,'Data - Monthly Commodity Prices'!Q$159:Q$902)</f>
        <v>4127.3019687116603</v>
      </c>
      <c r="E50" s="24"/>
      <c r="F50" s="410"/>
      <c r="G50" s="410"/>
      <c r="H50" s="24"/>
      <c r="I50" s="24"/>
      <c r="J50" s="24"/>
      <c r="K50" s="24"/>
    </row>
    <row r="51" spans="1:11">
      <c r="A51" s="1823">
        <f>LARGE('Data - Monthly Commodity Prices'!C$159:C$902,18)</f>
        <v>43282</v>
      </c>
      <c r="B51" s="330">
        <f>SUMIF('Data - Monthly Commodity Prices'!$C$159:$C$902,$A51,'Data - Monthly Commodity Prices'!O$159:O$902)</f>
        <v>8437.7877355595101</v>
      </c>
      <c r="C51" s="330">
        <f>SUMIF('Data - Monthly Commodity Prices'!$C$159:$C$902,$A51,'Data - Monthly Commodity Prices'!P$159:P$902)</f>
        <v>2988.3985022405009</v>
      </c>
      <c r="D51" s="325">
        <f>SUMIF('Data - Monthly Commodity Prices'!$C$159:$C$902,$A51,'Data - Monthly Commodity Prices'!Q$159:Q$902)</f>
        <v>3590.4487140138722</v>
      </c>
      <c r="E51" s="24"/>
      <c r="F51" s="410"/>
      <c r="G51" s="410"/>
      <c r="H51" s="24"/>
      <c r="I51" s="24"/>
      <c r="J51" s="24"/>
      <c r="K51" s="24"/>
    </row>
    <row r="52" spans="1:11">
      <c r="A52" s="1638">
        <f>LARGE('Data - Monthly Commodity Prices'!C$159:C$902,17)</f>
        <v>43313</v>
      </c>
      <c r="B52" s="79">
        <f>SUMIF('Data - Monthly Commodity Prices'!$C$159:$C$902,$A52,'Data - Monthly Commodity Prices'!O$159:O$902)</f>
        <v>8244.2669942669945</v>
      </c>
      <c r="C52" s="79">
        <f>SUMIF('Data - Monthly Commodity Prices'!$C$159:$C$902,$A52,'Data - Monthly Commodity Prices'!P$159:P$902)</f>
        <v>2818.5416821780459</v>
      </c>
      <c r="D52" s="30">
        <f>SUMIF('Data - Monthly Commodity Prices'!$C$159:$C$902,$A52,'Data - Monthly Commodity Prices'!Q$159:Q$902)</f>
        <v>3426.8669495942227</v>
      </c>
      <c r="E52" s="24"/>
      <c r="F52" s="410"/>
      <c r="G52" s="410"/>
      <c r="H52" s="24"/>
      <c r="I52" s="24"/>
      <c r="J52" s="24"/>
      <c r="K52" s="24"/>
    </row>
    <row r="53" spans="1:11">
      <c r="A53" s="1823">
        <f>LARGE('Data - Monthly Commodity Prices'!C$159:C$902,16)</f>
        <v>43344</v>
      </c>
      <c r="B53" s="330">
        <f>SUMIF('Data - Monthly Commodity Prices'!$C$159:$C$902,$A53,'Data - Monthly Commodity Prices'!O$159:O$902)</f>
        <v>8356.5033314825087</v>
      </c>
      <c r="C53" s="330">
        <f>SUMIF('Data - Monthly Commodity Prices'!$C$159:$C$902,$A53,'Data - Monthly Commodity Prices'!P$159:P$902)</f>
        <v>2815.415047196002</v>
      </c>
      <c r="D53" s="325">
        <f>SUMIF('Data - Monthly Commodity Prices'!$C$159:$C$902,$A53,'Data - Monthly Commodity Prices'!Q$159:Q$902)</f>
        <v>3377.5680177679064</v>
      </c>
      <c r="E53" s="24"/>
      <c r="F53" s="410"/>
      <c r="G53" s="410"/>
      <c r="H53" s="24"/>
      <c r="I53" s="24"/>
      <c r="J53" s="24"/>
      <c r="K53" s="24"/>
    </row>
    <row r="54" spans="1:11">
      <c r="A54" s="1638">
        <f>LARGE('Data - Monthly Commodity Prices'!C$159:C$902,15)</f>
        <v>43374</v>
      </c>
      <c r="B54" s="79">
        <f>SUMIF('Data - Monthly Commodity Prices'!$C$159:$C$902,$A54,'Data - Monthly Commodity Prices'!O$159:O$902)</f>
        <v>8752.3092086736124</v>
      </c>
      <c r="C54" s="79">
        <f>SUMIF('Data - Monthly Commodity Prices'!$C$159:$C$902,$A54,'Data - Monthly Commodity Prices'!P$159:P$902)</f>
        <v>2795.1985356237678</v>
      </c>
      <c r="D54" s="30">
        <f>SUMIF('Data - Monthly Commodity Prices'!$C$159:$C$902,$A54,'Data - Monthly Commodity Prices'!Q$159:Q$902)</f>
        <v>3762.1374260771609</v>
      </c>
      <c r="E54" s="24"/>
      <c r="F54" s="410"/>
      <c r="G54" s="410"/>
      <c r="H54" s="24"/>
      <c r="I54" s="24"/>
      <c r="J54" s="24"/>
      <c r="K54" s="24"/>
    </row>
    <row r="55" spans="1:11">
      <c r="A55" s="1823">
        <f>LARGE('Data - Monthly Commodity Prices'!C$159:C$902,14)</f>
        <v>43405</v>
      </c>
      <c r="B55" s="330">
        <f>SUMIF('Data - Monthly Commodity Prices'!$C$159:$C$902,$A55,'Data - Monthly Commodity Prices'!O$159:O$902)</f>
        <v>8543.2473444613042</v>
      </c>
      <c r="C55" s="330">
        <f>SUMIF('Data - Monthly Commodity Prices'!$C$159:$C$902,$A55,'Data - Monthly Commodity Prices'!P$159:P$902)</f>
        <v>2676.4506703118927</v>
      </c>
      <c r="D55" s="325">
        <f>SUMIF('Data - Monthly Commodity Prices'!$C$159:$C$902,$A55,'Data - Monthly Commodity Prices'!Q$159:Q$902)</f>
        <v>3576.8569959492847</v>
      </c>
      <c r="E55" s="24"/>
      <c r="F55" s="410"/>
      <c r="G55" s="410"/>
      <c r="H55" s="24"/>
      <c r="I55" s="24"/>
      <c r="J55" s="24"/>
      <c r="K55" s="24"/>
    </row>
    <row r="56" spans="1:11">
      <c r="A56" s="1638">
        <f>LARGE('Data - Monthly Commodity Prices'!C$159:C$902,13)</f>
        <v>43435</v>
      </c>
      <c r="B56" s="79">
        <f>SUMIF('Data - Monthly Commodity Prices'!$C$159:$C$902,$A56,'Data - Monthly Commodity Prices'!O$159:O$902)</f>
        <v>8513.8460463816718</v>
      </c>
      <c r="C56" s="79">
        <f>SUMIF('Data - Monthly Commodity Prices'!$C$159:$C$902,$A56,'Data - Monthly Commodity Prices'!P$159:P$902)</f>
        <v>2745.84197261805</v>
      </c>
      <c r="D56" s="30">
        <f>SUMIF('Data - Monthly Commodity Prices'!$C$159:$C$902,$A56,'Data - Monthly Commodity Prices'!Q$159:Q$902)</f>
        <v>3668.0706901369099</v>
      </c>
      <c r="E56" s="24"/>
      <c r="F56" s="410"/>
      <c r="G56" s="410"/>
      <c r="H56" s="24"/>
      <c r="I56" s="24"/>
      <c r="J56" s="24"/>
      <c r="K56" s="24"/>
    </row>
    <row r="57" spans="1:11">
      <c r="A57" s="1823">
        <f>LARGE('Data - Monthly Commodity Prices'!C$159:C$902,12)</f>
        <v>43466</v>
      </c>
      <c r="B57" s="330">
        <f>SUMIF('Data - Monthly Commodity Prices'!$C$159:$C$902,$A57,'Data - Monthly Commodity Prices'!O$159:O$902)</f>
        <v>8295.3712767445122</v>
      </c>
      <c r="C57" s="330">
        <f>SUMIF('Data - Monthly Commodity Prices'!$C$159:$C$902,$A57,'Data - Monthly Commodity Prices'!P$159:P$902)</f>
        <v>2788.6449447629707</v>
      </c>
      <c r="D57" s="325">
        <f>SUMIF('Data - Monthly Commodity Prices'!$C$159:$C$902,$A57,'Data - Monthly Commodity Prices'!Q$159:Q$902)</f>
        <v>3578.7721996923506</v>
      </c>
      <c r="E57" s="24"/>
      <c r="F57" s="410"/>
      <c r="G57" s="410"/>
      <c r="H57" s="24"/>
      <c r="I57" s="24"/>
      <c r="J57" s="24"/>
      <c r="K57" s="24"/>
    </row>
    <row r="58" spans="1:11">
      <c r="A58" s="1638">
        <f>LARGE('Data - Monthly Commodity Prices'!C$159:C$902,11)</f>
        <v>43497</v>
      </c>
      <c r="B58" s="79">
        <f>SUMIF('Data - Monthly Commodity Prices'!$C$159:$C$902,$A58,'Data - Monthly Commodity Prices'!O$159:O$902)</f>
        <v>8795.460913421126</v>
      </c>
      <c r="C58" s="79">
        <f>SUMIF('Data - Monthly Commodity Prices'!$C$159:$C$902,$A58,'Data - Monthly Commodity Prices'!P$159:P$902)</f>
        <v>2888.8764359764641</v>
      </c>
      <c r="D58" s="30">
        <f>SUMIF('Data - Monthly Commodity Prices'!$C$159:$C$902,$A58,'Data - Monthly Commodity Prices'!Q$159:Q$902)</f>
        <v>3786.5648641075932</v>
      </c>
      <c r="E58" s="24"/>
      <c r="F58" s="410"/>
      <c r="G58" s="410"/>
      <c r="H58" s="24"/>
      <c r="I58" s="24"/>
      <c r="J58" s="24"/>
      <c r="K58" s="24"/>
    </row>
    <row r="59" spans="1:11">
      <c r="A59" s="1823">
        <f>LARGE('Data - Monthly Commodity Prices'!C$159:C$902,10)</f>
        <v>43525</v>
      </c>
      <c r="B59" s="330">
        <f>SUMIF('Data - Monthly Commodity Prices'!$C$159:$C$902,$A59,'Data - Monthly Commodity Prices'!O$159:O$902)</f>
        <v>9107.7509529860235</v>
      </c>
      <c r="C59" s="330">
        <f>SUMIF('Data - Monthly Commodity Prices'!$C$159:$C$902,$A59,'Data - Monthly Commodity Prices'!P$159:P$902)</f>
        <v>2900.7059155724978</v>
      </c>
      <c r="D59" s="325">
        <f>SUMIF('Data - Monthly Commodity Prices'!$C$159:$C$902,$A59,'Data - Monthly Commodity Prices'!Q$159:Q$902)</f>
        <v>4025.6953268389098</v>
      </c>
      <c r="E59" s="24"/>
      <c r="F59" s="410"/>
      <c r="G59" s="410"/>
      <c r="H59" s="24"/>
      <c r="I59" s="24"/>
      <c r="J59" s="24"/>
      <c r="K59" s="24"/>
    </row>
    <row r="60" spans="1:11">
      <c r="A60" s="1638">
        <f>LARGE('Data - Monthly Commodity Prices'!C$159:C$902,9)</f>
        <v>43556</v>
      </c>
      <c r="B60" s="79">
        <f>SUMIF('Data - Monthly Commodity Prices'!$C$159:$C$902,$A60,'Data - Monthly Commodity Prices'!O$159:O$902)</f>
        <v>9062.2890888638922</v>
      </c>
      <c r="C60" s="79">
        <f>SUMIF('Data - Monthly Commodity Prices'!$C$159:$C$902,$A60,'Data - Monthly Commodity Prices'!P$159:P$902)</f>
        <v>2740.2277840269962</v>
      </c>
      <c r="D60" s="30">
        <f>SUMIF('Data - Monthly Commodity Prices'!$C$159:$C$902,$A60,'Data - Monthly Commodity Prices'!Q$159:Q$902)</f>
        <v>4132.100674915635</v>
      </c>
      <c r="E60" s="24"/>
      <c r="F60" s="410"/>
      <c r="G60" s="410"/>
      <c r="H60" s="24"/>
      <c r="I60" s="24"/>
      <c r="J60" s="24"/>
      <c r="K60" s="24"/>
    </row>
    <row r="61" spans="1:11">
      <c r="A61" s="1823">
        <f>LARGE('Data - Monthly Commodity Prices'!C$159:C$902,8)</f>
        <v>43586</v>
      </c>
      <c r="B61" s="330">
        <f>SUMIF('Data - Monthly Commodity Prices'!$C$159:$C$902,$A61,'Data - Monthly Commodity Prices'!O$159:O$902)</f>
        <v>8681.3220046082952</v>
      </c>
      <c r="C61" s="330">
        <f>SUMIF('Data - Monthly Commodity Prices'!$C$159:$C$902,$A61,'Data - Monthly Commodity Prices'!P$159:P$902)</f>
        <v>2616.9498847926266</v>
      </c>
      <c r="D61" s="325">
        <f>SUMIF('Data - Monthly Commodity Prices'!$C$159:$C$902,$A61,'Data - Monthly Commodity Prices'!Q$159:Q$902)</f>
        <v>3956.998847926267</v>
      </c>
      <c r="E61" s="24"/>
      <c r="F61" s="410"/>
      <c r="G61" s="410"/>
      <c r="H61" s="24"/>
      <c r="I61" s="24"/>
      <c r="J61" s="24"/>
      <c r="K61" s="24"/>
    </row>
    <row r="62" spans="1:11">
      <c r="A62" s="1638">
        <f>LARGE('Data - Monthly Commodity Prices'!C$159:C$902,7)</f>
        <v>43617</v>
      </c>
      <c r="B62" s="79">
        <f>SUMIF('Data - Monthly Commodity Prices'!$C$159:$C$902,$A62,'Data - Monthly Commodity Prices'!O$159:O$902)</f>
        <v>8446.2147380541173</v>
      </c>
      <c r="C62" s="79">
        <f>SUMIF('Data - Monthly Commodity Prices'!$C$159:$C$902,$A62,'Data - Monthly Commodity Prices'!P$159:P$902)</f>
        <v>2722.3661485319517</v>
      </c>
      <c r="D62" s="30">
        <f>SUMIF('Data - Monthly Commodity Prices'!$C$159:$C$902,$A62,'Data - Monthly Commodity Prices'!Q$159:Q$902)</f>
        <v>3745.149683362119</v>
      </c>
      <c r="E62" s="24"/>
      <c r="F62" s="410"/>
      <c r="G62" s="410"/>
      <c r="H62" s="24"/>
      <c r="I62" s="24"/>
      <c r="J62" s="24"/>
      <c r="K62" s="24"/>
    </row>
    <row r="63" spans="1:11">
      <c r="A63" s="1823">
        <f>LARGE('Data - Monthly Commodity Prices'!C$159:C$902,6)</f>
        <v>43647</v>
      </c>
      <c r="B63" s="330">
        <f>SUMIF('Data - Monthly Commodity Prices'!$C$159:$C$902,$A63,'Data - Monthly Commodity Prices'!O$159:O$902)</f>
        <v>8511.0330992978943</v>
      </c>
      <c r="C63" s="330">
        <f>SUMIF('Data - Monthly Commodity Prices'!$C$159:$C$902,$A63,'Data - Monthly Commodity Prices'!P$159:P$902)</f>
        <v>2828.5141137698811</v>
      </c>
      <c r="D63" s="325">
        <f>SUMIF('Data - Monthly Commodity Prices'!$C$159:$C$902,$A63,'Data - Monthly Commodity Prices'!Q$159:Q$902)</f>
        <v>3498.3235420547358</v>
      </c>
      <c r="E63" s="24"/>
      <c r="F63" s="410"/>
      <c r="G63" s="410"/>
      <c r="H63" s="24"/>
      <c r="I63" s="24"/>
      <c r="J63" s="24"/>
      <c r="K63" s="24"/>
    </row>
    <row r="64" spans="1:11">
      <c r="A64" s="1638">
        <f>LARGE('Data - Monthly Commodity Prices'!C$159:C$902,5)</f>
        <v>43678</v>
      </c>
      <c r="B64" s="79">
        <f>SUMIF('Data - Monthly Commodity Prices'!$C$159:$C$902,$A64,'Data - Monthly Commodity Prices'!O$159:O$902)</f>
        <v>8435.0229052756022</v>
      </c>
      <c r="C64" s="79">
        <f>SUMIF('Data - Monthly Commodity Prices'!$C$159:$C$902,$A64,'Data - Monthly Commodity Prices'!P$159:P$902)</f>
        <v>3019.3438746859761</v>
      </c>
      <c r="D64" s="30">
        <f>SUMIF('Data - Monthly Commodity Prices'!$C$159:$C$902,$A64,'Data - Monthly Commodity Prices'!Q$159:Q$902)</f>
        <v>3362.1102408748338</v>
      </c>
      <c r="E64" s="24"/>
      <c r="F64" s="410"/>
      <c r="G64" s="410"/>
      <c r="H64" s="24"/>
      <c r="I64" s="24"/>
      <c r="J64" s="24"/>
      <c r="K64" s="24"/>
    </row>
    <row r="65" spans="1:11">
      <c r="A65" s="1823">
        <f>LARGE('Data - Monthly Commodity Prices'!C$159:C$902,4)</f>
        <v>43709</v>
      </c>
      <c r="B65" s="330">
        <f>SUMIF('Data - Monthly Commodity Prices'!$C$159:$C$902,$A65,'Data - Monthly Commodity Prices'!O$159:O$902)</f>
        <v>8365.5794991263829</v>
      </c>
      <c r="C65" s="330">
        <f>SUMIF('Data - Monthly Commodity Prices'!$C$159:$C$902,$A65,'Data - Monthly Commodity Prices'!P$159:P$902)</f>
        <v>3015.2300524170068</v>
      </c>
      <c r="D65" s="325">
        <f>SUMIF('Data - Monthly Commodity Prices'!$C$159:$C$902,$A65,'Data - Monthly Commodity Prices'!Q$159:Q$902)</f>
        <v>3377.460687245195</v>
      </c>
      <c r="E65" s="24"/>
      <c r="F65" s="410"/>
      <c r="G65" s="410"/>
      <c r="H65" s="24"/>
      <c r="I65" s="24"/>
      <c r="J65" s="24"/>
      <c r="K65" s="24"/>
    </row>
    <row r="66" spans="1:11">
      <c r="A66" s="1638">
        <f>LARGE('Data - Monthly Commodity Prices'!C$159:C$902,3)</f>
        <v>43739</v>
      </c>
      <c r="B66" s="79">
        <f>SUMIF('Data - Monthly Commodity Prices'!$C$159:$C$902,$A66,'Data - Monthly Commodity Prices'!O$159:O$902)</f>
        <v>8447.9111503383356</v>
      </c>
      <c r="C66" s="79">
        <f>SUMIF('Data - Monthly Commodity Prices'!$C$159:$C$902,$A66,'Data - Monthly Commodity Prices'!P$159:P$902)</f>
        <v>3213.1509267431602</v>
      </c>
      <c r="D66" s="30">
        <f>SUMIF('Data - Monthly Commodity Prices'!$C$159:$C$902,$A66,'Data - Monthly Commodity Prices'!Q$159:Q$902)</f>
        <v>3597.513974698441</v>
      </c>
      <c r="E66" s="24"/>
      <c r="F66" s="410"/>
      <c r="G66" s="410"/>
      <c r="H66" s="24"/>
      <c r="I66" s="24"/>
      <c r="J66" s="24"/>
      <c r="K66" s="24"/>
    </row>
    <row r="67" spans="1:11">
      <c r="A67" s="1823">
        <f>LARGE('Data - Monthly Commodity Prices'!C$159:C$902,2)</f>
        <v>43770</v>
      </c>
      <c r="B67" s="330">
        <f>SUMIF('Data - Monthly Commodity Prices'!$C$159:$C$902,$A67,'Data - Monthly Commodity Prices'!O$159:O$902)</f>
        <v>8584.3685906826831</v>
      </c>
      <c r="C67" s="330">
        <f>SUMIF('Data - Monthly Commodity Prices'!$C$159:$C$902,$A67,'Data - Monthly Commodity Prices'!P$159:P$902)</f>
        <v>2976.7067096396136</v>
      </c>
      <c r="D67" s="325">
        <f>SUMIF('Data - Monthly Commodity Prices'!$C$159:$C$902,$A67,'Data - Monthly Commodity Prices'!Q$159:Q$902)</f>
        <v>3564.2396718429532</v>
      </c>
      <c r="E67" s="24"/>
      <c r="F67" s="410"/>
      <c r="G67" s="410"/>
      <c r="H67" s="24"/>
      <c r="I67" s="24"/>
      <c r="J67" s="24"/>
      <c r="K67" s="24"/>
    </row>
    <row r="68" spans="1:11" ht="15.75" thickBot="1">
      <c r="A68" s="1824">
        <f>LARGE('Data - Monthly Commodity Prices'!C$159:C$902,1)</f>
        <v>43800</v>
      </c>
      <c r="B68" s="77">
        <f>SUMIF('Data - Monthly Commodity Prices'!$C$159:$C$902,$A68,'Data - Monthly Commodity Prices'!O$159:O$902)</f>
        <v>8800.1596748439551</v>
      </c>
      <c r="C68" s="77">
        <f>SUMIF('Data - Monthly Commodity Prices'!$C$159:$C$902,$A68,'Data - Monthly Commodity Prices'!P$159:P$902)</f>
        <v>2756.9313398170998</v>
      </c>
      <c r="D68" s="29">
        <f>SUMIF('Data - Monthly Commodity Prices'!$C$159:$C$902,$A68,'Data - Monthly Commodity Prices'!Q$159:Q$902)</f>
        <v>3300.9580490637254</v>
      </c>
      <c r="E68" s="24"/>
      <c r="F68" s="410"/>
      <c r="G68" s="410"/>
      <c r="H68" s="24"/>
      <c r="I68" s="24"/>
      <c r="J68" s="24"/>
      <c r="K68" s="24"/>
    </row>
  </sheetData>
  <mergeCells count="7">
    <mergeCell ref="H45:K45"/>
    <mergeCell ref="H46:K46"/>
    <mergeCell ref="H47:K47"/>
    <mergeCell ref="A5:D5"/>
    <mergeCell ref="A6:D6"/>
    <mergeCell ref="H5:K5"/>
    <mergeCell ref="H6:K6"/>
  </mergeCells>
  <dataValidations count="1">
    <dataValidation type="list" allowBlank="1" showInputMessage="1" showErrorMessage="1" promptTitle="Select a Period:" prompt="Select Financial or Calendar years." sqref="H46:K46">
      <formula1>$AA$1:$AA$2</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B4E8"/>
  </sheetPr>
  <dimension ref="A1:Z81"/>
  <sheetViews>
    <sheetView workbookViewId="0"/>
  </sheetViews>
  <sheetFormatPr defaultRowHeight="15"/>
  <cols>
    <col min="1" max="1" width="20.140625" style="1215" bestFit="1" customWidth="1"/>
    <col min="2" max="2" width="5.28515625" style="1215" bestFit="1" customWidth="1"/>
    <col min="3" max="4" width="15.140625" style="1215" bestFit="1" customWidth="1"/>
    <col min="5" max="14" width="15.42578125" style="1215" customWidth="1"/>
    <col min="15" max="15" width="13.85546875" style="1215" bestFit="1" customWidth="1"/>
    <col min="16" max="22" width="9.140625" style="1215"/>
    <col min="23" max="23" width="17.85546875" style="1215" customWidth="1"/>
    <col min="24" max="16384" width="9.140625" style="1215"/>
  </cols>
  <sheetData>
    <row r="1" spans="1:26">
      <c r="V1" s="1041" t="s">
        <v>350</v>
      </c>
      <c r="W1" s="1041" t="str">
        <f>"Western Australian Base Metals Exports "&amp;B6&amp;CHAR(10)&amp;"Total Value: $"&amp;TEXT(C21,"#,###")</f>
        <v>Western Australian Base Metals Exports 2019
Total Value: $4,335,030,720</v>
      </c>
      <c r="X1" s="1041" t="s">
        <v>429</v>
      </c>
      <c r="Y1" s="1041">
        <f>IF($B$5="Calendar Year",MAX('Data - Monthly Commodity Prices'!$AK$9:$AK$3501),CONCATENATE(MAX('Data - Monthly Commodity Prices'!$AW$9:$AW$3495),"-",VALUE(RIGHT(MAX('Data - Monthly Commodity Prices'!$AW$9:$AW$3495),2))+1))</f>
        <v>2019</v>
      </c>
      <c r="Z1" s="1041">
        <f t="array" ref="Z1">MIN(IF('Data - Monthly Commodity Prices'!$AJ$9:$AJ$3501=V1,'Data - Monthly Commodity Prices'!$AK$9:$AK$3501))</f>
        <v>2007</v>
      </c>
    </row>
    <row r="2" spans="1:26" ht="15.75">
      <c r="G2" s="1499"/>
      <c r="W2" s="1041" t="str">
        <f>IF($B$5=X1,IF(RIGHT(LEFT(B6,5),1)="-","Mismatch Error",""),IF(LEN(B6)=4,"Mismatch Error",""))</f>
        <v/>
      </c>
      <c r="X2" s="1041" t="s">
        <v>446</v>
      </c>
      <c r="Y2" s="1041">
        <f>IFERROR(IF($B$5=$X$1,IF($Z$1&lt;=(Y1-1),Y1-1,""),IF($Z$1=VALUE(LEFT(Y1,4)),"",CONCATENATE(VALUE(LEFT(Y1,4))-1,"-",RIGHT(LEFT(Y1,4),2)))),"")</f>
        <v>2018</v>
      </c>
    </row>
    <row r="3" spans="1:26">
      <c r="W3" s="1041"/>
      <c r="X3" s="1041"/>
      <c r="Y3" s="1041">
        <f t="shared" ref="Y3:Y25" si="0">IFERROR(IF($B$5=$X$1,IF($Z$1&lt;=(Y2-1),Y2-1,""),IF($Z$1=VALUE(LEFT(Y2,4)),"",CONCATENATE(VALUE(LEFT(Y2,4))-1,"-",RIGHT(LEFT(Y2,4),2)))),"")</f>
        <v>2017</v>
      </c>
    </row>
    <row r="4" spans="1:26" ht="20.25" customHeight="1" thickBot="1">
      <c r="W4" s="1041"/>
      <c r="X4" s="1041"/>
      <c r="Y4" s="1041">
        <f t="shared" si="0"/>
        <v>2016</v>
      </c>
    </row>
    <row r="5" spans="1:26" ht="15.75" thickBot="1">
      <c r="A5" s="1212" t="s">
        <v>447</v>
      </c>
      <c r="B5" s="1987" t="s">
        <v>429</v>
      </c>
      <c r="C5" s="1977"/>
      <c r="D5" s="1978"/>
      <c r="E5" s="1040"/>
      <c r="W5" s="1041"/>
      <c r="X5" s="1041"/>
      <c r="Y5" s="1041">
        <f t="shared" si="0"/>
        <v>2015</v>
      </c>
    </row>
    <row r="6" spans="1:26" ht="15.75" thickBot="1">
      <c r="A6" s="1212" t="s">
        <v>447</v>
      </c>
      <c r="B6" s="1987">
        <v>2019</v>
      </c>
      <c r="C6" s="1977"/>
      <c r="D6" s="1978"/>
      <c r="E6" s="1040"/>
      <c r="W6" s="1041"/>
      <c r="X6" s="1041"/>
      <c r="Y6" s="1041">
        <f t="shared" si="0"/>
        <v>2014</v>
      </c>
    </row>
    <row r="7" spans="1:26">
      <c r="W7" s="1041"/>
      <c r="X7" s="1041"/>
      <c r="Y7" s="1041">
        <f t="shared" si="0"/>
        <v>2013</v>
      </c>
    </row>
    <row r="8" spans="1:26" ht="15.75" thickBot="1">
      <c r="A8" s="1937" t="str">
        <f>IF($B$6="Click here to select an option","Select a year above for display.",CONCATENATE("Western Australian Base Metal Exports ",B6))</f>
        <v>Western Australian Base Metal Exports 2019</v>
      </c>
      <c r="B8" s="1937"/>
      <c r="C8" s="1937"/>
      <c r="D8" s="1937"/>
      <c r="W8" s="1041"/>
      <c r="X8" s="1041"/>
      <c r="Y8" s="1041">
        <f t="shared" si="0"/>
        <v>2012</v>
      </c>
    </row>
    <row r="9" spans="1:26" ht="15.75" thickBot="1">
      <c r="A9" s="1222" t="s">
        <v>43</v>
      </c>
      <c r="B9" s="1223" t="s">
        <v>44</v>
      </c>
      <c r="C9" s="1223" t="s">
        <v>805</v>
      </c>
      <c r="D9" s="1224" t="s">
        <v>47</v>
      </c>
      <c r="W9" s="1041"/>
      <c r="X9" s="1041"/>
      <c r="Y9" s="1041">
        <f t="shared" si="0"/>
        <v>2011</v>
      </c>
    </row>
    <row r="10" spans="1:26">
      <c r="A10" s="901" t="str">
        <f t="array" ref="A10">IF($W$2="Mismatch Error","Mismatch Error",IF($B$5=$X$1,INDEX('Data - Monthly Commodity Prices'!$AJ$9:$AO$3501,MATCH(1,(('Data - Monthly Commodity Prices'!$AJ$9:$AJ$3501)="Base Metals")*(('Data - Monthly Commodity Prices'!$AK$9:$AK$3501)=$B$6)*(('Data - Monthly Commodity Prices'!$AM$9:$AM$3501)=B10),0),3),INDEX('Data - Monthly Commodity Prices'!$AQ$9:$AV$3495,MATCH(1,(('Data - Monthly Commodity Prices'!$AQ$9:$AQ$3495)="Base Metals")*(('Data - Monthly Commodity Prices'!$AR$9:$AR$3495)=$B$6)*(('Data - Monthly Commodity Prices'!$AT$9:$AT$3495)=B10),0),3)))</f>
        <v>China</v>
      </c>
      <c r="B10" s="902">
        <v>1</v>
      </c>
      <c r="C10" s="903">
        <f t="array" ref="C10">IF($W$2="Mismatch Error","",IF($B$5=$X$1,INDEX('Data - Monthly Commodity Prices'!$AJ$9:$AO$3501,MATCH(1,(('Data - Monthly Commodity Prices'!$AJ$9:$AJ$3501)="Base Metals")*(('Data - Monthly Commodity Prices'!$AK$9:$AK$3501)=$B$6)*(('Data - Monthly Commodity Prices'!$AM$9:$AM$3501)=B10),0),5),INDEX('Data - Monthly Commodity Prices'!$AQ$9:$AV$3495,MATCH(1,(('Data - Monthly Commodity Prices'!$AQ$9:$AQ$3495)="Base Metals")*(('Data - Monthly Commodity Prices'!$AR$9:$AR$3495)=$B$6)*(('Data - Monthly Commodity Prices'!$AT$9:$AT$3495)=B10),0),5)))</f>
        <v>1368600228.1699998</v>
      </c>
      <c r="D10" s="904">
        <f t="shared" ref="D10:D20" si="1">IF($W$2="Mismatch Error","",C10/$C$21)</f>
        <v>0.31570715793888132</v>
      </c>
      <c r="W10" s="1041"/>
      <c r="X10" s="1041"/>
      <c r="Y10" s="1041">
        <f t="shared" si="0"/>
        <v>2010</v>
      </c>
    </row>
    <row r="11" spans="1:26">
      <c r="A11" s="1221" t="str">
        <f t="array" ref="A11">IF($W$2="Mismatch Error","Mismatch Error",IF($B$5=$X$1,INDEX('Data - Monthly Commodity Prices'!$AJ$9:$AO$3501,MATCH(1,(('Data - Monthly Commodity Prices'!$AJ$9:$AJ$3501)="Base Metals")*(('Data - Monthly Commodity Prices'!$AK$9:$AK$3501)=$B$6)*(('Data - Monthly Commodity Prices'!$AM$9:$AM$3501)=B11),0),3),INDEX('Data - Monthly Commodity Prices'!$AQ$9:$AV$3495,MATCH(1,(('Data - Monthly Commodity Prices'!$AQ$9:$AQ$3495)="Base Metals")*(('Data - Monthly Commodity Prices'!$AR$9:$AR$3495)=$B$6)*(('Data - Monthly Commodity Prices'!$AT$9:$AT$3495)=B11),0),3)))</f>
        <v>Philippines</v>
      </c>
      <c r="B11" s="1225">
        <v>2</v>
      </c>
      <c r="C11" s="1226">
        <f t="array" ref="C11">IF($W$2="Mismatch Error","",IF($B$5=$X$1,INDEX('Data - Monthly Commodity Prices'!$AJ$9:$AO$3501,MATCH(1,(('Data - Monthly Commodity Prices'!$AJ$9:$AJ$3501)="Base Metals")*(('Data - Monthly Commodity Prices'!$AK$9:$AK$3501)=$B$6)*(('Data - Monthly Commodity Prices'!$AM$9:$AM$3501)=B11),0),5),INDEX('Data - Monthly Commodity Prices'!$AQ$9:$AV$3495,MATCH(1,(('Data - Monthly Commodity Prices'!$AQ$9:$AQ$3495)="Base Metals")*(('Data - Monthly Commodity Prices'!$AR$9:$AR$3495)=$B$6)*(('Data - Monthly Commodity Prices'!$AT$9:$AT$3495)=B11),0),5)))</f>
        <v>924469747.8499999</v>
      </c>
      <c r="D11" s="340">
        <f t="shared" si="1"/>
        <v>0.21325563936552572</v>
      </c>
      <c r="W11" s="1041"/>
      <c r="X11" s="1041"/>
      <c r="Y11" s="1041">
        <f t="shared" si="0"/>
        <v>2009</v>
      </c>
    </row>
    <row r="12" spans="1:26">
      <c r="A12" s="905" t="str">
        <f t="array" ref="A12">IF($W$2="Mismatch Error","Mismatch Error",IF($B$5=$X$1,INDEX('Data - Monthly Commodity Prices'!$AJ$9:$AO$3501,MATCH(1,(('Data - Monthly Commodity Prices'!$AJ$9:$AJ$3501)="Base Metals")*(('Data - Monthly Commodity Prices'!$AK$9:$AK$3501)=$B$6)*(('Data - Monthly Commodity Prices'!$AM$9:$AM$3501)=B12),0),3),INDEX('Data - Monthly Commodity Prices'!$AQ$9:$AV$3495,MATCH(1,(('Data - Monthly Commodity Prices'!$AQ$9:$AQ$3495)="Base Metals")*(('Data - Monthly Commodity Prices'!$AR$9:$AR$3495)=$B$6)*(('Data - Monthly Commodity Prices'!$AT$9:$AT$3495)=B12),0),3)))</f>
        <v>Korea, Republic Of</v>
      </c>
      <c r="B12" s="906">
        <v>3</v>
      </c>
      <c r="C12" s="907">
        <f t="array" ref="C12">IF($W$2="Mismatch Error","",IF($B$5=$X$1,INDEX('Data - Monthly Commodity Prices'!$AJ$9:$AO$3501,MATCH(1,(('Data - Monthly Commodity Prices'!$AJ$9:$AJ$3501)="Base Metals")*(('Data - Monthly Commodity Prices'!$AK$9:$AK$3501)=$B$6)*(('Data - Monthly Commodity Prices'!$AM$9:$AM$3501)=B12),0),5),INDEX('Data - Monthly Commodity Prices'!$AQ$9:$AV$3495,MATCH(1,(('Data - Monthly Commodity Prices'!$AQ$9:$AQ$3495)="Base Metals")*(('Data - Monthly Commodity Prices'!$AR$9:$AR$3495)=$B$6)*(('Data - Monthly Commodity Prices'!$AT$9:$AT$3495)=B12),0),5)))</f>
        <v>792521389.20000005</v>
      </c>
      <c r="D12" s="908">
        <f t="shared" si="1"/>
        <v>0.18281794072522034</v>
      </c>
      <c r="W12" s="1041"/>
      <c r="X12" s="1041"/>
      <c r="Y12" s="1041">
        <f t="shared" si="0"/>
        <v>2008</v>
      </c>
    </row>
    <row r="13" spans="1:26">
      <c r="A13" s="1221" t="str">
        <f t="array" ref="A13">IF($W$2="Mismatch Error","Mismatch Error",IF($B$5=$X$1,INDEX('Data - Monthly Commodity Prices'!$AJ$9:$AO$3501,MATCH(1,(('Data - Monthly Commodity Prices'!$AJ$9:$AJ$3501)="Base Metals")*(('Data - Monthly Commodity Prices'!$AK$9:$AK$3501)=$B$6)*(('Data - Monthly Commodity Prices'!$AM$9:$AM$3501)=B13),0),3),INDEX('Data - Monthly Commodity Prices'!$AQ$9:$AV$3495,MATCH(1,(('Data - Monthly Commodity Prices'!$AQ$9:$AQ$3495)="Base Metals")*(('Data - Monthly Commodity Prices'!$AR$9:$AR$3495)=$B$6)*(('Data - Monthly Commodity Prices'!$AT$9:$AT$3495)=B13),0),3)))</f>
        <v>Japan</v>
      </c>
      <c r="B13" s="1225">
        <v>4</v>
      </c>
      <c r="C13" s="1226">
        <f t="array" ref="C13">IF($W$2="Mismatch Error","",IF($B$5=$X$1,INDEX('Data - Monthly Commodity Prices'!$AJ$9:$AO$3501,MATCH(1,(('Data - Monthly Commodity Prices'!$AJ$9:$AJ$3501)="Base Metals")*(('Data - Monthly Commodity Prices'!$AK$9:$AK$3501)=$B$6)*(('Data - Monthly Commodity Prices'!$AM$9:$AM$3501)=B13),0),5),INDEX('Data - Monthly Commodity Prices'!$AQ$9:$AV$3495,MATCH(1,(('Data - Monthly Commodity Prices'!$AQ$9:$AQ$3495)="Base Metals")*(('Data - Monthly Commodity Prices'!$AR$9:$AR$3495)=$B$6)*(('Data - Monthly Commodity Prices'!$AT$9:$AT$3495)=B13),0),5)))</f>
        <v>454873935.83999997</v>
      </c>
      <c r="D13" s="340">
        <f t="shared" si="1"/>
        <v>0.10492980678261395</v>
      </c>
      <c r="Y13" s="1041">
        <f t="shared" si="0"/>
        <v>2007</v>
      </c>
    </row>
    <row r="14" spans="1:26">
      <c r="A14" s="905" t="str">
        <f t="array" ref="A14">IF($W$2="Mismatch Error","Mismatch Error",IF($B$5=$X$1,INDEX('Data - Monthly Commodity Prices'!$AJ$9:$AO$3501,MATCH(1,(('Data - Monthly Commodity Prices'!$AJ$9:$AJ$3501)="Base Metals")*(('Data - Monthly Commodity Prices'!$AK$9:$AK$3501)=$B$6)*(('Data - Monthly Commodity Prices'!$AM$9:$AM$3501)=B14),0),3),INDEX('Data - Monthly Commodity Prices'!$AQ$9:$AV$3495,MATCH(1,(('Data - Monthly Commodity Prices'!$AQ$9:$AQ$3495)="Base Metals")*(('Data - Monthly Commodity Prices'!$AR$9:$AR$3495)=$B$6)*(('Data - Monthly Commodity Prices'!$AT$9:$AT$3495)=B14),0),3)))</f>
        <v>Germany</v>
      </c>
      <c r="B14" s="906">
        <v>5</v>
      </c>
      <c r="C14" s="907">
        <f t="array" ref="C14">IF($W$2="Mismatch Error","",IF($B$5=$X$1,INDEX('Data - Monthly Commodity Prices'!$AJ$9:$AO$3501,MATCH(1,(('Data - Monthly Commodity Prices'!$AJ$9:$AJ$3501)="Base Metals")*(('Data - Monthly Commodity Prices'!$AK$9:$AK$3501)=$B$6)*(('Data - Monthly Commodity Prices'!$AM$9:$AM$3501)=B14),0),5),INDEX('Data - Monthly Commodity Prices'!$AQ$9:$AV$3495,MATCH(1,(('Data - Monthly Commodity Prices'!$AQ$9:$AQ$3495)="Base Metals")*(('Data - Monthly Commodity Prices'!$AR$9:$AR$3495)=$B$6)*(('Data - Monthly Commodity Prices'!$AT$9:$AT$3495)=B14),0),5)))</f>
        <v>377132891.69000006</v>
      </c>
      <c r="D14" s="908">
        <f t="shared" si="1"/>
        <v>8.6996590348319358E-2</v>
      </c>
      <c r="Y14" s="1041" t="str">
        <f t="shared" si="0"/>
        <v/>
      </c>
    </row>
    <row r="15" spans="1:26">
      <c r="A15" s="1221" t="str">
        <f t="array" ref="A15">IF($W$2="Mismatch Error","Mismatch Error",IF($B$5=$X$1,INDEX('Data - Monthly Commodity Prices'!$AJ$9:$AO$3501,MATCH(1,(('Data - Monthly Commodity Prices'!$AJ$9:$AJ$3501)="Base Metals")*(('Data - Monthly Commodity Prices'!$AK$9:$AK$3501)=$B$6)*(('Data - Monthly Commodity Prices'!$AM$9:$AM$3501)=B15),0),3),INDEX('Data - Monthly Commodity Prices'!$AQ$9:$AV$3495,MATCH(1,(('Data - Monthly Commodity Prices'!$AQ$9:$AQ$3495)="Base Metals")*(('Data - Monthly Commodity Prices'!$AR$9:$AR$3495)=$B$6)*(('Data - Monthly Commodity Prices'!$AT$9:$AT$3495)=B15),0),3)))</f>
        <v>India</v>
      </c>
      <c r="B15" s="1225">
        <v>6</v>
      </c>
      <c r="C15" s="1226">
        <f t="array" ref="C15">IF($W$2="Mismatch Error","",IF($B$5=$X$1,INDEX('Data - Monthly Commodity Prices'!$AJ$9:$AO$3501,MATCH(1,(('Data - Monthly Commodity Prices'!$AJ$9:$AJ$3501)="Base Metals")*(('Data - Monthly Commodity Prices'!$AK$9:$AK$3501)=$B$6)*(('Data - Monthly Commodity Prices'!$AM$9:$AM$3501)=B15),0),5),INDEX('Data - Monthly Commodity Prices'!$AQ$9:$AV$3495,MATCH(1,(('Data - Monthly Commodity Prices'!$AQ$9:$AQ$3495)="Base Metals")*(('Data - Monthly Commodity Prices'!$AR$9:$AR$3495)=$B$6)*(('Data - Monthly Commodity Prices'!$AT$9:$AT$3495)=B15),0),5)))</f>
        <v>154806579.99000001</v>
      </c>
      <c r="D15" s="340">
        <f t="shared" si="1"/>
        <v>3.571060737307593E-2</v>
      </c>
      <c r="Y15" s="1041" t="str">
        <f t="shared" si="0"/>
        <v/>
      </c>
    </row>
    <row r="16" spans="1:26">
      <c r="A16" s="905" t="str">
        <f t="array" ref="A16">IF($W$2="Mismatch Error","Mismatch Error",IF($B$5=$X$1,INDEX('Data - Monthly Commodity Prices'!$AJ$9:$AO$3501,MATCH(1,(('Data - Monthly Commodity Prices'!$AJ$9:$AJ$3501)="Base Metals")*(('Data - Monthly Commodity Prices'!$AK$9:$AK$3501)=$B$6)*(('Data - Monthly Commodity Prices'!$AM$9:$AM$3501)=B16),0),3),INDEX('Data - Monthly Commodity Prices'!$AQ$9:$AV$3495,MATCH(1,(('Data - Monthly Commodity Prices'!$AQ$9:$AQ$3495)="Base Metals")*(('Data - Monthly Commodity Prices'!$AR$9:$AR$3495)=$B$6)*(('Data - Monthly Commodity Prices'!$AT$9:$AT$3495)=B16),0),3)))</f>
        <v>Taiwan, Province Of China</v>
      </c>
      <c r="B16" s="906">
        <v>7</v>
      </c>
      <c r="C16" s="907">
        <f t="array" ref="C16">IF($W$2="Mismatch Error","",IF($B$5=$X$1,INDEX('Data - Monthly Commodity Prices'!$AJ$9:$AO$3501,MATCH(1,(('Data - Monthly Commodity Prices'!$AJ$9:$AJ$3501)="Base Metals")*(('Data - Monthly Commodity Prices'!$AK$9:$AK$3501)=$B$6)*(('Data - Monthly Commodity Prices'!$AM$9:$AM$3501)=B16),0),5),INDEX('Data - Monthly Commodity Prices'!$AQ$9:$AV$3495,MATCH(1,(('Data - Monthly Commodity Prices'!$AQ$9:$AQ$3495)="Base Metals")*(('Data - Monthly Commodity Prices'!$AR$9:$AR$3495)=$B$6)*(('Data - Monthly Commodity Prices'!$AT$9:$AT$3495)=B16),0),5)))</f>
        <v>150962776.15000001</v>
      </c>
      <c r="D16" s="908">
        <f t="shared" si="1"/>
        <v>3.4823923036026251E-2</v>
      </c>
      <c r="Y16" s="1041" t="str">
        <f>IFERROR(IF($B$5=$X$1,IF($Z$1&lt;=(Y15-1),Y15-1,""),IF($Z$1=VALUE(LEFT(Y15,4)),"",CONCATENATE(VALUE(LEFT(Y15,4))-1,"-",RIGHT(LEFT(Y15,4),2)))),"")</f>
        <v/>
      </c>
    </row>
    <row r="17" spans="1:25">
      <c r="A17" s="1221" t="str">
        <f t="array" ref="A17">IF($W$2="Mismatch Error","Mismatch Error",IF($B$5=$X$1,INDEX('Data - Monthly Commodity Prices'!$AJ$9:$AO$3501,MATCH(1,(('Data - Monthly Commodity Prices'!$AJ$9:$AJ$3501)="Base Metals")*(('Data - Monthly Commodity Prices'!$AK$9:$AK$3501)=$B$6)*(('Data - Monthly Commodity Prices'!$AM$9:$AM$3501)=B17),0),3),INDEX('Data - Monthly Commodity Prices'!$AQ$9:$AV$3495,MATCH(1,(('Data - Monthly Commodity Prices'!$AQ$9:$AQ$3495)="Base Metals")*(('Data - Monthly Commodity Prices'!$AR$9:$AR$3495)=$B$6)*(('Data - Monthly Commodity Prices'!$AT$9:$AT$3495)=B17),0),3)))</f>
        <v>Malaysia</v>
      </c>
      <c r="B17" s="1225">
        <v>8</v>
      </c>
      <c r="C17" s="1226">
        <f t="array" ref="C17">IF($W$2="Mismatch Error","",IF($B$5=$X$1,INDEX('Data - Monthly Commodity Prices'!$AJ$9:$AO$3501,MATCH(1,(('Data - Monthly Commodity Prices'!$AJ$9:$AJ$3501)="Base Metals")*(('Data - Monthly Commodity Prices'!$AK$9:$AK$3501)=$B$6)*(('Data - Monthly Commodity Prices'!$AM$9:$AM$3501)=B17),0),5),INDEX('Data - Monthly Commodity Prices'!$AQ$9:$AV$3495,MATCH(1,(('Data - Monthly Commodity Prices'!$AQ$9:$AQ$3495)="Base Metals")*(('Data - Monthly Commodity Prices'!$AR$9:$AR$3495)=$B$6)*(('Data - Monthly Commodity Prices'!$AT$9:$AT$3495)=B17),0),5)))</f>
        <v>61935693.209999993</v>
      </c>
      <c r="D17" s="340">
        <f t="shared" si="1"/>
        <v>1.4287255895353202E-2</v>
      </c>
      <c r="Y17" s="1041" t="str">
        <f t="shared" si="0"/>
        <v/>
      </c>
    </row>
    <row r="18" spans="1:25">
      <c r="A18" s="905" t="str">
        <f t="array" ref="A18">IF($W$2="Mismatch Error","Mismatch Error",IF($B$5=$X$1,INDEX('Data - Monthly Commodity Prices'!$AJ$9:$AO$3501,MATCH(1,(('Data - Monthly Commodity Prices'!$AJ$9:$AJ$3501)="Base Metals")*(('Data - Monthly Commodity Prices'!$AK$9:$AK$3501)=$B$6)*(('Data - Monthly Commodity Prices'!$AM$9:$AM$3501)=B18),0),3),INDEX('Data - Monthly Commodity Prices'!$AQ$9:$AV$3495,MATCH(1,(('Data - Monthly Commodity Prices'!$AQ$9:$AQ$3495)="Base Metals")*(('Data - Monthly Commodity Prices'!$AR$9:$AR$3495)=$B$6)*(('Data - Monthly Commodity Prices'!$AT$9:$AT$3495)=B18),0),3)))</f>
        <v>Sweden</v>
      </c>
      <c r="B18" s="906">
        <v>9</v>
      </c>
      <c r="C18" s="907">
        <f t="array" ref="C18">IF($W$2="Mismatch Error","",IF($B$5=$X$1,INDEX('Data - Monthly Commodity Prices'!$AJ$9:$AO$3501,MATCH(1,(('Data - Monthly Commodity Prices'!$AJ$9:$AJ$3501)="Base Metals")*(('Data - Monthly Commodity Prices'!$AK$9:$AK$3501)=$B$6)*(('Data - Monthly Commodity Prices'!$AM$9:$AM$3501)=B18),0),5),INDEX('Data - Monthly Commodity Prices'!$AQ$9:$AV$3495,MATCH(1,(('Data - Monthly Commodity Prices'!$AQ$9:$AQ$3495)="Base Metals")*(('Data - Monthly Commodity Prices'!$AR$9:$AR$3495)=$B$6)*(('Data - Monthly Commodity Prices'!$AT$9:$AT$3495)=B18),0),5)))</f>
        <v>33412653.98</v>
      </c>
      <c r="D18" s="908">
        <f t="shared" si="1"/>
        <v>7.7075933571382994E-3</v>
      </c>
      <c r="F18" s="1214"/>
      <c r="Y18" s="1041" t="str">
        <f>IFERROR(IF($B$5=$X$1,IF($Z$1&lt;=(Y17-1),Y17-1,""),IF($Z$1=VALUE(LEFT(Y17,4)),"",CONCATENATE(VALUE(LEFT(Y17,4))-1,"-",RIGHT(LEFT(Y17,4),2)))),"")</f>
        <v/>
      </c>
    </row>
    <row r="19" spans="1:25">
      <c r="A19" s="1221" t="str">
        <f t="array" ref="A19">IF($W$2="Mismatch Error","Mismatch Error",IF($B$5=$X$1,INDEX('Data - Monthly Commodity Prices'!$AJ$9:$AO$3501,MATCH(1,(('Data - Monthly Commodity Prices'!$AJ$9:$AJ$3501)="Base Metals")*(('Data - Monthly Commodity Prices'!$AK$9:$AK$3501)=$B$6)*(('Data - Monthly Commodity Prices'!$AM$9:$AM$3501)=B19),0),3),INDEX('Data - Monthly Commodity Prices'!$AQ$9:$AV$3495,MATCH(1,(('Data - Monthly Commodity Prices'!$AQ$9:$AQ$3495)="Base Metals")*(('Data - Monthly Commodity Prices'!$AR$9:$AR$3495)=$B$6)*(('Data - Monthly Commodity Prices'!$AT$9:$AT$3495)=B19),0),3)))</f>
        <v>Belgium</v>
      </c>
      <c r="B19" s="1225">
        <v>10</v>
      </c>
      <c r="C19" s="1226">
        <f t="array" ref="C19">IF($W$2="Mismatch Error","",IF($B$5=$X$1,INDEX('Data - Monthly Commodity Prices'!$AJ$9:$AO$3501,MATCH(1,(('Data - Monthly Commodity Prices'!$AJ$9:$AJ$3501)="Base Metals")*(('Data - Monthly Commodity Prices'!$AK$9:$AK$3501)=$B$6)*(('Data - Monthly Commodity Prices'!$AM$9:$AM$3501)=B19),0),5),INDEX('Data - Monthly Commodity Prices'!$AQ$9:$AV$3495,MATCH(1,(('Data - Monthly Commodity Prices'!$AQ$9:$AQ$3495)="Base Metals")*(('Data - Monthly Commodity Prices'!$AR$9:$AR$3495)=$B$6)*(('Data - Monthly Commodity Prices'!$AT$9:$AT$3495)=B19),0),5)))</f>
        <v>16314823.859999999</v>
      </c>
      <c r="D19" s="340">
        <f t="shared" si="1"/>
        <v>3.7634851778457087E-3</v>
      </c>
      <c r="Y19" s="1041" t="str">
        <f t="shared" si="0"/>
        <v/>
      </c>
    </row>
    <row r="20" spans="1:25" ht="15.75" thickBot="1">
      <c r="A20" s="909" t="str">
        <f>IF($W$2="Mismatch Error","","Other")</f>
        <v>Other</v>
      </c>
      <c r="B20" s="1501"/>
      <c r="C20" s="910">
        <f>IF($W$2="Mismatch Error","",IF($B$5=$X$1,SUMIFS('Data - Monthly Commodity Prices'!$AN$9:$AN$3501,'Data - Monthly Commodity Prices'!$AJ$9:$AJ$3501,"Base Metals",'Data - Monthly Commodity Prices'!$AK$9:$AK$3501,$B$6,'Data - Monthly Commodity Prices'!$AL$9:$AL$3501,"TOTAL")-SUM($C$10:$C$19),SUMIFS('Data - Monthly Commodity Prices'!$AU$9:$AU$3495,'Data - Monthly Commodity Prices'!$AQ$9:$AQ$3495,"Base Metals",'Data - Monthly Commodity Prices'!$AR$9:$AR$3495,$B$6,'Data - Monthly Commodity Prices'!$AS$9:$AS$3495,"TOTAL")-SUM($C$10:$C$19)))</f>
        <v>0</v>
      </c>
      <c r="D20" s="911">
        <f t="shared" si="1"/>
        <v>0</v>
      </c>
      <c r="E20" s="537"/>
      <c r="O20" s="1214"/>
      <c r="Y20" s="1041" t="str">
        <f t="shared" si="0"/>
        <v/>
      </c>
    </row>
    <row r="21" spans="1:25">
      <c r="A21" s="1220" t="str">
        <f>IF($W$2="Mismatch Error","","Grand Total")</f>
        <v>Grand Total</v>
      </c>
      <c r="B21" s="1218"/>
      <c r="C21" s="1219">
        <f>IF($W$2="Mismatch Error","",IF($B$5=$X$1,SUMIFS('Data - Monthly Commodity Prices'!$AN$9:$AN$3501,'Data - Monthly Commodity Prices'!$AJ$9:$AJ$3501,"Base Metals",'Data - Monthly Commodity Prices'!$AK$9:$AK$3501,$B$6,'Data - Monthly Commodity Prices'!$AL$9:$AL$3501,"TOTAL"),SUMIFS('Data - Monthly Commodity Prices'!$AU$9:$AU$3495,'Data - Monthly Commodity Prices'!$AQ$9:$AQ$3495,"Base Metals",'Data - Monthly Commodity Prices'!$AR$9:$AR$3495,$B$6,'Data - Monthly Commodity Prices'!$AS$9:$AS$3495,"TOTAL")))</f>
        <v>4335030719.9399996</v>
      </c>
      <c r="D21" s="899"/>
      <c r="E21" s="537"/>
      <c r="Y21" s="1041" t="str">
        <f t="shared" si="0"/>
        <v/>
      </c>
    </row>
    <row r="22" spans="1:25">
      <c r="A22" s="915" t="s">
        <v>579</v>
      </c>
      <c r="B22" s="912"/>
      <c r="C22" s="914">
        <f>IF($W$2="Mismatch Error","",IF($B$5=$X$1,SUMIFS('Data - Monthly Commodity Prices'!AN9:AN3501,'Data - Monthly Commodity Prices'!AK9:AK3501,B6,'Data - Monthly Commodity Prices'!AJ9:AJ3501,"Base Metals Contained Gold/Silver"),SUMIFS('Data - Monthly Commodity Prices'!AU9:AU3495,'Data - Monthly Commodity Prices'!AR9:AR3495,B6,'Data - Monthly Commodity Prices'!AQ9:AQ3495,"Base Metals Contained Gold/Silver")))</f>
        <v>2052623200.4800005</v>
      </c>
      <c r="D22" s="913"/>
      <c r="E22" s="537"/>
      <c r="Y22" s="1041" t="str">
        <f t="shared" si="0"/>
        <v/>
      </c>
    </row>
    <row r="23" spans="1:25">
      <c r="A23" s="1970" t="str">
        <f>IF(A10="Mismatch Error","You have selected an incompatible year or year type. Change one or the other to display data.","")</f>
        <v/>
      </c>
      <c r="B23" s="1970"/>
      <c r="C23" s="1970"/>
      <c r="D23" s="1970"/>
      <c r="E23" s="1214"/>
      <c r="Y23" s="1041" t="str">
        <f t="shared" si="0"/>
        <v/>
      </c>
    </row>
    <row r="24" spans="1:25">
      <c r="A24" s="1970"/>
      <c r="B24" s="1970"/>
      <c r="C24" s="1970"/>
      <c r="D24" s="1970"/>
      <c r="Y24" s="1041" t="str">
        <f t="shared" si="0"/>
        <v/>
      </c>
    </row>
    <row r="25" spans="1:25" ht="15" customHeight="1">
      <c r="A25" s="1970" t="str">
        <f>IF(OR(ISNA(A10),ISNA(A11),ISNA(A12),ISNA(A13),ISNA(A14),ISNA(A15),ISNA(A16),ISNA(A17),ISNA(#REF!),ISNA(#REF!),ISNA(C10),ISNA(C11),ISNA(C12),ISNA(C13),ISNA(C14),ISNA(C15),ISNA(C16),ISNA(C17),ISNA(#REF!),ISNA(#REF!)),"You have ecountered an NA Error. This is most likely caused by the accidental loss of an array formula in the table above. Click on the cell showing #N/A above, then click the formula bar and press Ctrl, Shift and Enter.","")</f>
        <v/>
      </c>
      <c r="B25" s="1970"/>
      <c r="C25" s="1970"/>
      <c r="D25" s="1970"/>
      <c r="Y25" s="1041" t="str">
        <f t="shared" si="0"/>
        <v/>
      </c>
    </row>
    <row r="26" spans="1:25">
      <c r="A26" s="1970"/>
      <c r="B26" s="1970"/>
      <c r="C26" s="1970"/>
      <c r="D26" s="1970"/>
      <c r="Y26" s="1041"/>
    </row>
    <row r="27" spans="1:25">
      <c r="A27" s="1970"/>
      <c r="B27" s="1970"/>
      <c r="C27" s="1970"/>
      <c r="D27" s="1970"/>
      <c r="Y27" s="1041"/>
    </row>
    <row r="28" spans="1:25">
      <c r="A28" s="1970"/>
      <c r="B28" s="1970"/>
      <c r="C28" s="1970"/>
      <c r="D28" s="1970"/>
      <c r="Y28" s="1041"/>
    </row>
    <row r="29" spans="1:25">
      <c r="A29" s="1970" t="str">
        <f>IF(B6=2017,"Note: Data suggests base metals were exported to a restricted number of countries ("&amp;MATCH("",A10:A17,0)-1&amp;") during this period ("&amp;B6&amp;").","")</f>
        <v/>
      </c>
      <c r="B29" s="1970"/>
      <c r="C29" s="1970"/>
      <c r="D29" s="1970"/>
      <c r="Y29" s="1041"/>
    </row>
    <row r="30" spans="1:25">
      <c r="A30" s="1970"/>
      <c r="B30" s="1970"/>
      <c r="C30" s="1970"/>
      <c r="D30" s="1970"/>
      <c r="Y30" s="1041"/>
    </row>
    <row r="31" spans="1:25">
      <c r="A31" s="1970"/>
      <c r="B31" s="1970"/>
      <c r="C31" s="1970"/>
      <c r="D31" s="1970"/>
      <c r="Y31" s="1041"/>
    </row>
    <row r="32" spans="1:25">
      <c r="A32" s="1970"/>
      <c r="B32" s="1970"/>
      <c r="C32" s="1970"/>
      <c r="D32" s="1970"/>
      <c r="E32" s="1216"/>
      <c r="Y32" s="1041"/>
    </row>
    <row r="33" spans="3:25">
      <c r="C33" s="431"/>
      <c r="D33" s="1214"/>
      <c r="E33" s="1216"/>
      <c r="Y33" s="1041"/>
    </row>
    <row r="34" spans="3:25">
      <c r="C34" s="431"/>
      <c r="E34" s="1216"/>
      <c r="Y34" s="1041"/>
    </row>
    <row r="35" spans="3:25">
      <c r="C35" s="1214"/>
      <c r="E35" s="1216"/>
      <c r="Y35" s="1041"/>
    </row>
    <row r="36" spans="3:25">
      <c r="E36" s="1216"/>
      <c r="Y36" s="1041"/>
    </row>
    <row r="37" spans="3:25">
      <c r="E37" s="1216"/>
      <c r="Y37" s="1041"/>
    </row>
    <row r="38" spans="3:25">
      <c r="E38" s="1216"/>
      <c r="Y38" s="1041"/>
    </row>
    <row r="39" spans="3:25">
      <c r="E39" s="1216"/>
      <c r="Y39" s="1041"/>
    </row>
    <row r="40" spans="3:25">
      <c r="E40" s="1216"/>
      <c r="Y40" s="1041"/>
    </row>
    <row r="41" spans="3:25">
      <c r="C41" s="1214"/>
      <c r="E41" s="1216"/>
      <c r="Y41" s="1041"/>
    </row>
    <row r="42" spans="3:25">
      <c r="E42" s="1216"/>
      <c r="Y42" s="1041"/>
    </row>
    <row r="43" spans="3:25">
      <c r="E43" s="1216"/>
      <c r="Y43" s="1041"/>
    </row>
    <row r="44" spans="3:25">
      <c r="E44" s="1216"/>
      <c r="Y44" s="1041"/>
    </row>
    <row r="45" spans="3:25">
      <c r="E45" s="1216"/>
      <c r="Y45" s="1041"/>
    </row>
    <row r="46" spans="3:25">
      <c r="E46" s="1216"/>
      <c r="Y46" s="1041"/>
    </row>
    <row r="47" spans="3:25">
      <c r="E47" s="1216"/>
      <c r="Y47" s="1041"/>
    </row>
    <row r="48" spans="3:25">
      <c r="E48" s="1216"/>
      <c r="Y48" s="1041"/>
    </row>
    <row r="49" spans="5:25">
      <c r="E49" s="1216"/>
      <c r="Y49" s="1041"/>
    </row>
    <row r="50" spans="5:25">
      <c r="E50" s="1216"/>
      <c r="Y50" s="1041"/>
    </row>
    <row r="51" spans="5:25">
      <c r="E51" s="1216"/>
    </row>
    <row r="52" spans="5:25">
      <c r="E52" s="1216"/>
    </row>
    <row r="53" spans="5:25">
      <c r="E53" s="1216"/>
    </row>
    <row r="54" spans="5:25">
      <c r="E54" s="1216"/>
    </row>
    <row r="55" spans="5:25">
      <c r="E55" s="1216"/>
    </row>
    <row r="56" spans="5:25">
      <c r="E56" s="1216"/>
    </row>
    <row r="57" spans="5:25">
      <c r="E57" s="1216"/>
    </row>
    <row r="58" spans="5:25">
      <c r="E58" s="1216"/>
    </row>
    <row r="59" spans="5:25">
      <c r="E59" s="1216"/>
    </row>
    <row r="60" spans="5:25">
      <c r="E60" s="1216"/>
    </row>
    <row r="61" spans="5:25">
      <c r="E61" s="1216"/>
    </row>
    <row r="62" spans="5:25">
      <c r="E62" s="1216"/>
    </row>
    <row r="63" spans="5:25">
      <c r="E63" s="1216"/>
    </row>
    <row r="64" spans="5:25">
      <c r="E64" s="1216"/>
    </row>
    <row r="67" spans="5:5">
      <c r="E67" s="1216"/>
    </row>
    <row r="68" spans="5:5">
      <c r="E68" s="1216"/>
    </row>
    <row r="69" spans="5:5">
      <c r="E69" s="1216"/>
    </row>
    <row r="70" spans="5:5">
      <c r="E70" s="1216"/>
    </row>
    <row r="71" spans="5:5">
      <c r="E71" s="1216"/>
    </row>
    <row r="72" spans="5:5">
      <c r="E72" s="1216"/>
    </row>
    <row r="73" spans="5:5">
      <c r="E73" s="1216"/>
    </row>
    <row r="74" spans="5:5">
      <c r="E74" s="1216"/>
    </row>
    <row r="75" spans="5:5">
      <c r="E75" s="1216"/>
    </row>
    <row r="76" spans="5:5">
      <c r="E76" s="1216"/>
    </row>
    <row r="77" spans="5:5">
      <c r="E77" s="1216"/>
    </row>
    <row r="78" spans="5:5">
      <c r="E78" s="1216"/>
    </row>
    <row r="79" spans="5:5">
      <c r="E79" s="1216"/>
    </row>
    <row r="80" spans="5:5">
      <c r="E80" s="1216"/>
    </row>
    <row r="81" spans="5:5">
      <c r="E81" s="1216"/>
    </row>
  </sheetData>
  <mergeCells count="6">
    <mergeCell ref="A29:D32"/>
    <mergeCell ref="B5:D5"/>
    <mergeCell ref="B6:D6"/>
    <mergeCell ref="A8:D8"/>
    <mergeCell ref="A23:D24"/>
    <mergeCell ref="A25:D28"/>
  </mergeCells>
  <conditionalFormatting sqref="A10">
    <cfRule type="containsText" dxfId="5"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6B4E8"/>
  </sheetPr>
  <dimension ref="A1:AP68"/>
  <sheetViews>
    <sheetView zoomScale="90" zoomScaleNormal="90" workbookViewId="0"/>
  </sheetViews>
  <sheetFormatPr defaultRowHeight="15"/>
  <cols>
    <col min="1" max="1" width="7.42578125" style="323" bestFit="1" customWidth="1"/>
    <col min="2" max="2" width="20.85546875" style="323" bestFit="1" customWidth="1"/>
    <col min="3" max="3" width="19.28515625" style="323" bestFit="1" customWidth="1"/>
    <col min="4" max="4" width="20.85546875" style="323" bestFit="1" customWidth="1"/>
    <col min="5" max="5" width="19.28515625" style="323" bestFit="1" customWidth="1"/>
    <col min="6" max="6" width="20.85546875" style="323" bestFit="1" customWidth="1"/>
    <col min="7" max="7" width="19.28515625" style="323" bestFit="1" customWidth="1"/>
    <col min="8" max="18" width="9.140625" style="323"/>
    <col min="19" max="19" width="6.28515625" style="323" customWidth="1"/>
    <col min="20" max="20" width="20.85546875" style="323" bestFit="1" customWidth="1"/>
    <col min="21" max="21" width="19.28515625" style="323" bestFit="1" customWidth="1"/>
    <col min="22" max="22" width="20.85546875" style="323" bestFit="1" customWidth="1"/>
    <col min="23" max="23" width="19.28515625" style="323" bestFit="1" customWidth="1"/>
    <col min="24" max="24" width="20.85546875" style="323" bestFit="1" customWidth="1"/>
    <col min="25" max="25" width="19.28515625" style="323" bestFit="1" customWidth="1"/>
    <col min="26" max="26" width="29.28515625" style="323" bestFit="1" customWidth="1"/>
    <col min="27" max="27" width="28.140625" style="323" bestFit="1" customWidth="1"/>
    <col min="28" max="28" width="29.28515625" style="323" bestFit="1" customWidth="1"/>
    <col min="29" max="29" width="28.140625" style="323" bestFit="1" customWidth="1"/>
    <col min="30" max="16384" width="9.140625" style="323"/>
  </cols>
  <sheetData>
    <row r="1" spans="1:42">
      <c r="AP1" s="1026" t="str">
        <f>"Australian and Western Australian Copper Production "&amp;MAX(A8:A200)</f>
        <v>Australian and Western Australian Copper Production 2019</v>
      </c>
    </row>
    <row r="2" spans="1:42">
      <c r="E2" s="1538"/>
      <c r="AP2" s="1026" t="str">
        <f>"Australian and Western Australian Lead Production "&amp;MAX(A8:A200)</f>
        <v>Australian and Western Australian Lead Production 2019</v>
      </c>
    </row>
    <row r="3" spans="1:42">
      <c r="AP3" s="1026" t="str">
        <f>"Australian and Western Australian Zinc Production "&amp;MAX(A8:A200)</f>
        <v>Australian and Western Australian Zinc Production 2019</v>
      </c>
    </row>
    <row r="5" spans="1:42" ht="15.75" thickBot="1">
      <c r="A5" s="1992" t="s">
        <v>478</v>
      </c>
      <c r="B5" s="1992"/>
      <c r="C5" s="1992"/>
      <c r="D5" s="1992"/>
      <c r="E5" s="1992"/>
      <c r="F5" s="1992"/>
      <c r="G5" s="1992"/>
    </row>
    <row r="6" spans="1:42" ht="15.75" thickBot="1">
      <c r="A6" s="1716"/>
      <c r="B6" s="1990" t="s">
        <v>437</v>
      </c>
      <c r="C6" s="1989"/>
      <c r="D6" s="1990" t="s">
        <v>435</v>
      </c>
      <c r="E6" s="1989"/>
      <c r="F6" s="1990" t="s">
        <v>438</v>
      </c>
      <c r="G6" s="1991"/>
    </row>
    <row r="7" spans="1:42" ht="15.75" thickBot="1">
      <c r="A7" s="1717" t="s">
        <v>49</v>
      </c>
      <c r="B7" s="346" t="s">
        <v>59</v>
      </c>
      <c r="C7" s="347" t="s">
        <v>60</v>
      </c>
      <c r="D7" s="346" t="s">
        <v>59</v>
      </c>
      <c r="E7" s="347" t="s">
        <v>60</v>
      </c>
      <c r="F7" s="346" t="s">
        <v>59</v>
      </c>
      <c r="G7" s="347" t="s">
        <v>60</v>
      </c>
    </row>
    <row r="8" spans="1:42">
      <c r="A8" s="348">
        <v>1980</v>
      </c>
      <c r="B8" s="1592">
        <v>3.1320000000000001</v>
      </c>
      <c r="C8" s="1593">
        <v>242</v>
      </c>
      <c r="D8" s="1592">
        <v>0</v>
      </c>
      <c r="E8" s="1593">
        <v>398</v>
      </c>
      <c r="F8" s="1592">
        <v>0</v>
      </c>
      <c r="G8" s="1593">
        <v>495</v>
      </c>
    </row>
    <row r="9" spans="1:42">
      <c r="A9" s="348">
        <v>1981</v>
      </c>
      <c r="B9" s="1594">
        <v>4.4240000000000004</v>
      </c>
      <c r="C9" s="1595">
        <v>231</v>
      </c>
      <c r="D9" s="1594">
        <v>0</v>
      </c>
      <c r="E9" s="1595">
        <v>388</v>
      </c>
      <c r="F9" s="1594">
        <v>3.613</v>
      </c>
      <c r="G9" s="1595">
        <v>518</v>
      </c>
    </row>
    <row r="10" spans="1:42">
      <c r="A10" s="348">
        <v>1982</v>
      </c>
      <c r="B10" s="1592">
        <v>17.603999999999999</v>
      </c>
      <c r="C10" s="1593">
        <v>245</v>
      </c>
      <c r="D10" s="1592">
        <v>0</v>
      </c>
      <c r="E10" s="1593">
        <v>455</v>
      </c>
      <c r="F10" s="1592">
        <v>48.018000000000001</v>
      </c>
      <c r="G10" s="1593">
        <v>665</v>
      </c>
    </row>
    <row r="11" spans="1:42">
      <c r="A11" s="348">
        <v>1983</v>
      </c>
      <c r="B11" s="1594">
        <v>11.449</v>
      </c>
      <c r="C11" s="1595">
        <v>262</v>
      </c>
      <c r="D11" s="1594">
        <v>0</v>
      </c>
      <c r="E11" s="1595">
        <v>481</v>
      </c>
      <c r="F11" s="1594">
        <v>13.157999999999999</v>
      </c>
      <c r="G11" s="1595">
        <v>699</v>
      </c>
    </row>
    <row r="12" spans="1:42">
      <c r="A12" s="348">
        <v>1984</v>
      </c>
      <c r="B12" s="1592">
        <v>12.005000000000001</v>
      </c>
      <c r="C12" s="1593">
        <v>236</v>
      </c>
      <c r="D12" s="1592">
        <v>0</v>
      </c>
      <c r="E12" s="1593">
        <v>441</v>
      </c>
      <c r="F12" s="1592">
        <v>35.64</v>
      </c>
      <c r="G12" s="1593">
        <v>677</v>
      </c>
    </row>
    <row r="13" spans="1:42">
      <c r="A13" s="348">
        <v>1985</v>
      </c>
      <c r="B13" s="1594">
        <v>10.403</v>
      </c>
      <c r="C13" s="1595">
        <v>260</v>
      </c>
      <c r="D13" s="1594">
        <v>0</v>
      </c>
      <c r="E13" s="1595">
        <v>498</v>
      </c>
      <c r="F13" s="1594">
        <v>51.976999999999997</v>
      </c>
      <c r="G13" s="1595">
        <v>759</v>
      </c>
    </row>
    <row r="14" spans="1:42">
      <c r="A14" s="348">
        <v>1986</v>
      </c>
      <c r="B14" s="1592">
        <v>7.774</v>
      </c>
      <c r="C14" s="1593">
        <v>248</v>
      </c>
      <c r="D14" s="1592">
        <v>0</v>
      </c>
      <c r="E14" s="1593">
        <v>445</v>
      </c>
      <c r="F14" s="1592">
        <v>23.969000000000001</v>
      </c>
      <c r="G14" s="1593">
        <v>712</v>
      </c>
    </row>
    <row r="15" spans="1:42">
      <c r="A15" s="348">
        <v>1987</v>
      </c>
      <c r="B15" s="1594">
        <v>2.91</v>
      </c>
      <c r="C15" s="1595">
        <v>233</v>
      </c>
      <c r="D15" s="1594">
        <v>0</v>
      </c>
      <c r="E15" s="1595">
        <v>489</v>
      </c>
      <c r="F15" s="1594">
        <v>0</v>
      </c>
      <c r="G15" s="1595">
        <v>778</v>
      </c>
    </row>
    <row r="16" spans="1:42">
      <c r="A16" s="348">
        <v>1988</v>
      </c>
      <c r="B16" s="1592">
        <v>7.4260000000000002</v>
      </c>
      <c r="C16" s="1593">
        <v>238</v>
      </c>
      <c r="D16" s="1592">
        <v>0</v>
      </c>
      <c r="E16" s="1593">
        <v>462</v>
      </c>
      <c r="F16" s="1592">
        <v>20.25</v>
      </c>
      <c r="G16" s="1593">
        <v>760</v>
      </c>
    </row>
    <row r="17" spans="1:7">
      <c r="A17" s="348">
        <v>1989</v>
      </c>
      <c r="B17" s="1594">
        <v>19.038</v>
      </c>
      <c r="C17" s="1595">
        <v>296</v>
      </c>
      <c r="D17" s="1594">
        <v>7.8460000000000001</v>
      </c>
      <c r="E17" s="1595">
        <v>495</v>
      </c>
      <c r="F17" s="1594">
        <v>38.064</v>
      </c>
      <c r="G17" s="1595">
        <v>803</v>
      </c>
    </row>
    <row r="18" spans="1:7">
      <c r="A18" s="348">
        <v>1990</v>
      </c>
      <c r="B18" s="1592">
        <v>14.959</v>
      </c>
      <c r="C18" s="1593">
        <v>314.11700000000002</v>
      </c>
      <c r="D18" s="1592">
        <v>13.606</v>
      </c>
      <c r="E18" s="1593">
        <v>564.69900000000007</v>
      </c>
      <c r="F18" s="1592">
        <v>51.704000000000001</v>
      </c>
      <c r="G18" s="1593">
        <v>882.57560000000012</v>
      </c>
    </row>
    <row r="19" spans="1:7">
      <c r="A19" s="348">
        <v>1991</v>
      </c>
      <c r="B19" s="1594">
        <v>11.792999999999999</v>
      </c>
      <c r="C19" s="1595">
        <v>315.83949999999999</v>
      </c>
      <c r="D19" s="1594">
        <v>10.698</v>
      </c>
      <c r="E19" s="1595">
        <v>565.72300000000007</v>
      </c>
      <c r="F19" s="1594">
        <v>112.015</v>
      </c>
      <c r="G19" s="1595">
        <v>900.30520000000001</v>
      </c>
    </row>
    <row r="20" spans="1:7">
      <c r="A20" s="348">
        <v>1992</v>
      </c>
      <c r="B20" s="1592">
        <v>12.09362</v>
      </c>
      <c r="C20" s="1593">
        <v>369.25614999999999</v>
      </c>
      <c r="D20" s="1592">
        <v>20.963999999999999</v>
      </c>
      <c r="E20" s="1593">
        <v>565.00263450000011</v>
      </c>
      <c r="F20" s="1592">
        <v>141.38499999999999</v>
      </c>
      <c r="G20" s="1593">
        <v>923.9254406</v>
      </c>
    </row>
    <row r="21" spans="1:7">
      <c r="A21" s="348">
        <v>1993</v>
      </c>
      <c r="B21" s="1594">
        <v>28.98</v>
      </c>
      <c r="C21" s="1595">
        <v>392.97141999999997</v>
      </c>
      <c r="D21" s="1594">
        <v>32.276000000000003</v>
      </c>
      <c r="E21" s="1595">
        <v>508.07449600000001</v>
      </c>
      <c r="F21" s="1594">
        <v>141.096</v>
      </c>
      <c r="G21" s="1595">
        <v>880.42057299999999</v>
      </c>
    </row>
    <row r="22" spans="1:7">
      <c r="A22" s="348">
        <v>1994</v>
      </c>
      <c r="B22" s="1592">
        <v>35.109000000000002</v>
      </c>
      <c r="C22" s="1593">
        <v>383.27244780000001</v>
      </c>
      <c r="D22" s="1592">
        <v>20.286999999999999</v>
      </c>
      <c r="E22" s="1593">
        <v>491.67572100000001</v>
      </c>
      <c r="F22" s="1592">
        <v>123.621</v>
      </c>
      <c r="G22" s="1593">
        <v>845.69662699999992</v>
      </c>
    </row>
    <row r="23" spans="1:7">
      <c r="A23" s="348">
        <v>1995</v>
      </c>
      <c r="B23" s="1594">
        <v>24.312000000000001</v>
      </c>
      <c r="C23" s="1595">
        <v>326.44694399999997</v>
      </c>
      <c r="D23" s="1594">
        <v>15.641999999999999</v>
      </c>
      <c r="E23" s="1595">
        <v>449.36164880000001</v>
      </c>
      <c r="F23" s="1594">
        <v>126.336</v>
      </c>
      <c r="G23" s="1595">
        <v>817.34446200000002</v>
      </c>
    </row>
    <row r="24" spans="1:7">
      <c r="A24" s="348">
        <v>1996</v>
      </c>
      <c r="B24" s="1592">
        <v>23.071999999999999</v>
      </c>
      <c r="C24" s="1593">
        <v>509.58433325999999</v>
      </c>
      <c r="D24" s="1592">
        <v>17.080275999999998</v>
      </c>
      <c r="E24" s="1593">
        <v>509.97193960000004</v>
      </c>
      <c r="F24" s="1592">
        <v>106.85529852100001</v>
      </c>
      <c r="G24" s="1593">
        <v>907.12170147899997</v>
      </c>
    </row>
    <row r="25" spans="1:7">
      <c r="A25" s="348">
        <v>1997</v>
      </c>
      <c r="B25" s="1594">
        <v>28.318000000000001</v>
      </c>
      <c r="C25" s="1595">
        <v>520.75490000000002</v>
      </c>
      <c r="D25" s="1594">
        <v>23.201461999999999</v>
      </c>
      <c r="E25" s="1595">
        <v>506.69124799999997</v>
      </c>
      <c r="F25" s="1594">
        <v>117.198171</v>
      </c>
      <c r="G25" s="1595">
        <v>840.23782899999992</v>
      </c>
    </row>
    <row r="26" spans="1:7">
      <c r="A26" s="348">
        <v>1998</v>
      </c>
      <c r="B26" s="1592">
        <v>28.24</v>
      </c>
      <c r="C26" s="1593">
        <v>589.6879899999999</v>
      </c>
      <c r="D26" s="1592">
        <v>39.518000000000001</v>
      </c>
      <c r="E26" s="1593">
        <v>580.16828559999999</v>
      </c>
      <c r="F26" s="1592">
        <v>149.33000000000001</v>
      </c>
      <c r="G26" s="1593">
        <v>870.02799999999991</v>
      </c>
    </row>
    <row r="27" spans="1:7">
      <c r="A27" s="348">
        <v>1999</v>
      </c>
      <c r="B27" s="1594">
        <v>26.228000000000002</v>
      </c>
      <c r="C27" s="1595">
        <v>711.61930000000007</v>
      </c>
      <c r="D27" s="1594">
        <v>55.280813999999999</v>
      </c>
      <c r="E27" s="1595">
        <v>621.56818600000008</v>
      </c>
      <c r="F27" s="1594">
        <v>222.53985500000002</v>
      </c>
      <c r="G27" s="1595">
        <v>897.12634500000013</v>
      </c>
    </row>
    <row r="28" spans="1:7">
      <c r="A28" s="348">
        <v>2000</v>
      </c>
      <c r="B28" s="1592">
        <f>SUMIF('Base Metals - Q&amp;V'!H$7:H$507, A28,'Base Metals - Q&amp;V'!B$7:B$507)</f>
        <v>34.037999999999997</v>
      </c>
      <c r="C28" s="1593">
        <v>804.81131599999992</v>
      </c>
      <c r="D28" s="1592">
        <f>SUMIF('Base Metals - Q&amp;V'!H$7:H$507, A28,'Base Metals - Q&amp;V'!D$7:D$507)</f>
        <v>73.081000000000003</v>
      </c>
      <c r="E28" s="1593">
        <v>626.2713</v>
      </c>
      <c r="F28" s="1592">
        <f>SUMIF('Base Metals - Q&amp;V'!H$7:H$507, A28,'Base Metals - Q&amp;V'!F$7:F$507)</f>
        <v>257.71199999999999</v>
      </c>
      <c r="G28" s="1593">
        <v>1121.9626999999998</v>
      </c>
    </row>
    <row r="29" spans="1:7">
      <c r="A29" s="348">
        <v>2001</v>
      </c>
      <c r="B29" s="1594">
        <f>SUMIF('Base Metals - Q&amp;V'!H$7:H$507, A29,'Base Metals - Q&amp;V'!B$7:B$507)</f>
        <v>50.237000000000002</v>
      </c>
      <c r="C29" s="1595">
        <v>848.10496999999998</v>
      </c>
      <c r="D29" s="1594">
        <f>SUMIF('Base Metals - Q&amp;V'!H$7:H$507, A29,'Base Metals - Q&amp;V'!D$7:D$507)</f>
        <v>91.38300000000001</v>
      </c>
      <c r="E29" s="1595">
        <v>667.72134999999992</v>
      </c>
      <c r="F29" s="1594">
        <f>SUMIF('Base Metals - Q&amp;V'!H$7:H$507, A29,'Base Metals - Q&amp;V'!F$7:F$507)</f>
        <v>210.83700000000002</v>
      </c>
      <c r="G29" s="1595">
        <v>1265.751859</v>
      </c>
    </row>
    <row r="30" spans="1:7">
      <c r="A30" s="348">
        <v>2002</v>
      </c>
      <c r="B30" s="1592">
        <f>SUMIF('Base Metals - Q&amp;V'!H$7:H$507, A30,'Base Metals - Q&amp;V'!B$7:B$507)</f>
        <v>64.286999999999992</v>
      </c>
      <c r="C30" s="1593">
        <v>807.99442999999997</v>
      </c>
      <c r="D30" s="1592">
        <f>SUMIF('Base Metals - Q&amp;V'!H$7:H$507, A30,'Base Metals - Q&amp;V'!D$7:D$507)</f>
        <v>70.397000000000006</v>
      </c>
      <c r="E30" s="1593">
        <v>623.45499999999993</v>
      </c>
      <c r="F30" s="1592">
        <f>SUMIF('Base Metals - Q&amp;V'!H$7:H$507, A30,'Base Metals - Q&amp;V'!F$7:F$507)</f>
        <v>218.803</v>
      </c>
      <c r="G30" s="1593">
        <v>1221.1280000000002</v>
      </c>
    </row>
    <row r="31" spans="1:7">
      <c r="A31" s="348">
        <v>2003</v>
      </c>
      <c r="B31" s="1594">
        <f>SUMIF('Base Metals - Q&amp;V'!H$7:H$507, A31,'Base Metals - Q&amp;V'!B$7:B$507)</f>
        <v>60.176090000000002</v>
      </c>
      <c r="C31" s="1595">
        <v>770.21165999999994</v>
      </c>
      <c r="D31" s="1594">
        <f>SUMIF('Base Metals - Q&amp;V'!H$7:H$507, A31,'Base Metals - Q&amp;V'!D$7:D$507)</f>
        <v>49.823</v>
      </c>
      <c r="E31" s="1595">
        <v>637.91300000000001</v>
      </c>
      <c r="F31" s="1594">
        <f>SUMIF('Base Metals - Q&amp;V'!H$7:H$507, A31,'Base Metals - Q&amp;V'!F$7:F$507)</f>
        <v>148.83994000000001</v>
      </c>
      <c r="G31" s="1595">
        <v>1293.2950599999999</v>
      </c>
    </row>
    <row r="32" spans="1:7">
      <c r="A32" s="348">
        <v>2004</v>
      </c>
      <c r="B32" s="1592">
        <f>SUMIF('Base Metals - Q&amp;V'!H$7:H$507, A32,'Base Metals - Q&amp;V'!B$7:B$507)</f>
        <v>42.260094000000002</v>
      </c>
      <c r="C32" s="1593">
        <v>833.115906</v>
      </c>
      <c r="D32" s="1592">
        <f>SUMIF('Base Metals - Q&amp;V'!H$7:H$507, A32,'Base Metals - Q&amp;V'!D$7:D$507)</f>
        <v>1.1747399999999999</v>
      </c>
      <c r="E32" s="1593">
        <v>672.41225999999995</v>
      </c>
      <c r="F32" s="1592">
        <f>SUMIF('Base Metals - Q&amp;V'!H$7:H$507, A32,'Base Metals - Q&amp;V'!F$7:F$507)</f>
        <v>51.78387</v>
      </c>
      <c r="G32" s="1593">
        <v>1245.47513</v>
      </c>
    </row>
    <row r="33" spans="1:11">
      <c r="A33" s="348">
        <v>2005</v>
      </c>
      <c r="B33" s="1594">
        <f>SUMIF('Base Metals - Q&amp;V'!H$7:H$507, A33,'Base Metals - Q&amp;V'!B$7:B$507)</f>
        <v>85.220481000000007</v>
      </c>
      <c r="C33" s="1595">
        <v>842.99651900000003</v>
      </c>
      <c r="D33" s="1594">
        <f>SUMIF('Base Metals - Q&amp;V'!H$7:H$507, A33,'Base Metals - Q&amp;V'!D$7:D$507)</f>
        <v>28.595314999999999</v>
      </c>
      <c r="E33" s="1595">
        <v>737.619685</v>
      </c>
      <c r="F33" s="1594">
        <f>SUMIF('Base Metals - Q&amp;V'!H$7:H$507, A33,'Base Metals - Q&amp;V'!F$7:F$507)</f>
        <v>59.104380000000006</v>
      </c>
      <c r="G33" s="1595">
        <v>1269.63562</v>
      </c>
      <c r="I33" s="230"/>
      <c r="J33" s="230"/>
      <c r="K33" s="230"/>
    </row>
    <row r="34" spans="1:11">
      <c r="A34" s="348">
        <v>2006</v>
      </c>
      <c r="B34" s="1592">
        <f>SUMIF('Base Metals - Q&amp;V'!H$7:H$507, A34,'Base Metals - Q&amp;V'!B$7:B$507)</f>
        <v>99.242470999999995</v>
      </c>
      <c r="C34" s="1593">
        <v>779.63111179999987</v>
      </c>
      <c r="D34" s="1592">
        <f>SUMIF('Base Metals - Q&amp;V'!H$7:H$507, A34,'Base Metals - Q&amp;V'!D$7:D$507)</f>
        <v>70.95348899999999</v>
      </c>
      <c r="E34" s="1593">
        <v>597.06951099999992</v>
      </c>
      <c r="F34" s="1592">
        <f>SUMIF('Base Metals - Q&amp;V'!H$7:H$507, A34,'Base Metals - Q&amp;V'!F$7:F$507)</f>
        <v>109.06339100000001</v>
      </c>
      <c r="G34" s="1593">
        <v>1217.611609</v>
      </c>
      <c r="I34" s="230"/>
      <c r="J34" s="230"/>
      <c r="K34" s="230"/>
    </row>
    <row r="35" spans="1:11">
      <c r="A35" s="348">
        <v>2007</v>
      </c>
      <c r="B35" s="1594">
        <f>SUMIF('Base Metals - Q&amp;V'!H$7:H$507, A35,'Base Metals - Q&amp;V'!B$7:B$507)</f>
        <v>105.40498599999999</v>
      </c>
      <c r="C35" s="1595">
        <v>757.12953350999999</v>
      </c>
      <c r="D35" s="1594">
        <f>SUMIF('Base Metals - Q&amp;V'!H$7:H$507, A35,'Base Metals - Q&amp;V'!D$7:D$507)</f>
        <v>37.091524999999997</v>
      </c>
      <c r="E35" s="1595">
        <v>603.55647499999986</v>
      </c>
      <c r="F35" s="1594">
        <f>SUMIF('Base Metals - Q&amp;V'!H$7:H$507, A35,'Base Metals - Q&amp;V'!F$7:F$507)</f>
        <v>173.33780000000002</v>
      </c>
      <c r="G35" s="1595">
        <v>1307.9872</v>
      </c>
      <c r="I35" s="230"/>
      <c r="J35" s="230"/>
      <c r="K35" s="230"/>
    </row>
    <row r="36" spans="1:11">
      <c r="A36" s="348">
        <v>2008</v>
      </c>
      <c r="B36" s="1592">
        <f>SUMIF('Base Metals - Q&amp;V'!H$7:H$507, A36,'Base Metals - Q&amp;V'!B$7:B$507)</f>
        <v>119.055948</v>
      </c>
      <c r="C36" s="1593">
        <v>759.88395200000014</v>
      </c>
      <c r="D36" s="1592">
        <f>SUMIF('Base Metals - Q&amp;V'!H$7:H$507, A36,'Base Metals - Q&amp;V'!D$7:D$507)</f>
        <v>18.538827999999999</v>
      </c>
      <c r="E36" s="1593">
        <v>631.2851720000001</v>
      </c>
      <c r="F36" s="1592">
        <f>SUMIF('Base Metals - Q&amp;V'!H$7:H$507, A36,'Base Metals - Q&amp;V'!F$7:F$507)</f>
        <v>189.81195299999999</v>
      </c>
      <c r="G36" s="1593">
        <v>1292.7660470000001</v>
      </c>
      <c r="I36" s="230"/>
      <c r="J36" s="230"/>
      <c r="K36" s="230"/>
    </row>
    <row r="37" spans="1:11">
      <c r="A37" s="348">
        <v>2009</v>
      </c>
      <c r="B37" s="1594">
        <f>SUMIF('Base Metals - Q&amp;V'!H$7:H$507, A37,'Base Metals - Q&amp;V'!B$7:B$507)</f>
        <v>151.49643399999999</v>
      </c>
      <c r="C37" s="1595">
        <v>710</v>
      </c>
      <c r="D37" s="1594">
        <f>SUMIF('Base Metals - Q&amp;V'!H$7:H$507, A37,'Base Metals - Q&amp;V'!D$7:D$507)</f>
        <v>22.755433000000004</v>
      </c>
      <c r="E37" s="1595">
        <v>561</v>
      </c>
      <c r="F37" s="1594">
        <f>SUMIF('Base Metals - Q&amp;V'!H$7:H$507, A37,'Base Metals - Q&amp;V'!F$7:F$507)</f>
        <v>99.811695999999984</v>
      </c>
      <c r="G37" s="1595">
        <v>1166</v>
      </c>
      <c r="I37" s="230"/>
      <c r="J37" s="230"/>
      <c r="K37" s="230"/>
    </row>
    <row r="38" spans="1:11">
      <c r="A38" s="348">
        <v>2010</v>
      </c>
      <c r="B38" s="1592">
        <f>SUMIF('Base Metals - Q&amp;V'!H$7:H$507, A38,'Base Metals - Q&amp;V'!B$7:B$507)</f>
        <v>155.65068099999999</v>
      </c>
      <c r="C38" s="1593">
        <v>703</v>
      </c>
      <c r="D38" s="1592">
        <f>SUMIF('Base Metals - Q&amp;V'!H$7:H$507, A38,'Base Metals - Q&amp;V'!D$7:D$507)</f>
        <v>52.922928999999996</v>
      </c>
      <c r="E38" s="1593">
        <v>616</v>
      </c>
      <c r="F38" s="1592">
        <f>SUMIF('Base Metals - Q&amp;V'!H$7:H$507, A38,'Base Metals - Q&amp;V'!F$7:F$507)</f>
        <v>81.515219999999999</v>
      </c>
      <c r="G38" s="1593">
        <v>1346</v>
      </c>
      <c r="I38" s="230"/>
      <c r="J38" s="230"/>
      <c r="K38" s="230"/>
    </row>
    <row r="39" spans="1:11">
      <c r="A39" s="348">
        <v>2011</v>
      </c>
      <c r="B39" s="1594">
        <f>SUMIF('Base Metals - Q&amp;V'!H$7:H$507, A39,'Base Metals - Q&amp;V'!B$7:B$507)</f>
        <v>144.95804783199998</v>
      </c>
      <c r="C39" s="1595">
        <v>820</v>
      </c>
      <c r="D39" s="1594">
        <f>SUMIF('Base Metals - Q&amp;V'!H$7:H$507, A39,'Base Metals - Q&amp;V'!D$7:D$507)</f>
        <v>8.3429219999999997</v>
      </c>
      <c r="E39" s="1595">
        <v>604</v>
      </c>
      <c r="F39" s="1594">
        <f>SUMIF('Base Metals - Q&amp;V'!H$7:H$507, A39,'Base Metals - Q&amp;V'!F$7:F$507)</f>
        <v>74.400736999999992</v>
      </c>
      <c r="G39" s="1595">
        <v>1387</v>
      </c>
      <c r="I39" s="230"/>
      <c r="J39" s="230"/>
      <c r="K39" s="230"/>
    </row>
    <row r="40" spans="1:11">
      <c r="A40" s="348">
        <v>2012</v>
      </c>
      <c r="B40" s="1592">
        <f>SUMIF('Base Metals - Q&amp;V'!H$7:H$507, A40,'Base Metals - Q&amp;V'!B$7:B$507)</f>
        <v>185.75001993699999</v>
      </c>
      <c r="C40" s="1597">
        <v>729</v>
      </c>
      <c r="D40" s="1592">
        <f>SUMIF('Base Metals - Q&amp;V'!H$7:H$507, A40,'Base Metals - Q&amp;V'!D$7:D$507)</f>
        <v>8.135294</v>
      </c>
      <c r="E40" s="1593">
        <v>613</v>
      </c>
      <c r="F40" s="1592">
        <f>SUMIF('Base Metals - Q&amp;V'!H$7:H$507, A40,'Base Metals - Q&amp;V'!F$7:F$507)</f>
        <v>57.112677000000005</v>
      </c>
      <c r="G40" s="1593">
        <v>1428</v>
      </c>
      <c r="I40" s="230"/>
      <c r="J40" s="230"/>
      <c r="K40" s="230"/>
    </row>
    <row r="41" spans="1:11">
      <c r="A41" s="348">
        <v>2013</v>
      </c>
      <c r="B41" s="1594">
        <f>SUMIF('Base Metals - Q&amp;V'!H$7:H$507, A41,'Base Metals - Q&amp;V'!B$7:B$507)</f>
        <v>216.05661499999999</v>
      </c>
      <c r="C41" s="1595">
        <v>792</v>
      </c>
      <c r="D41" s="1594">
        <f>SUMIF('Base Metals - Q&amp;V'!H$7:H$507, A41,'Base Metals - Q&amp;V'!D$7:D$507)</f>
        <v>52.261510000000001</v>
      </c>
      <c r="E41" s="1595">
        <v>664</v>
      </c>
      <c r="F41" s="1594">
        <f>SUMIF('Base Metals - Q&amp;V'!H$7:H$507, A41,'Base Metals - Q&amp;V'!F$7:F$507)</f>
        <v>47.985599999999998</v>
      </c>
      <c r="G41" s="1595">
        <v>1419</v>
      </c>
      <c r="I41" s="230"/>
      <c r="J41" s="230"/>
      <c r="K41" s="230"/>
    </row>
    <row r="42" spans="1:11">
      <c r="A42" s="348">
        <v>2014</v>
      </c>
      <c r="B42" s="1592">
        <f>SUMIF('Base Metals - Q&amp;V'!H$7:H$507, A42,'Base Metals - Q&amp;V'!B$7:B$507)</f>
        <v>197.08071799999999</v>
      </c>
      <c r="C42" s="1597">
        <v>787</v>
      </c>
      <c r="D42" s="1592">
        <f>SUMIF('Base Metals - Q&amp;V'!H$7:H$507, A42,'Base Metals - Q&amp;V'!D$7:D$507)</f>
        <v>80.888499999999993</v>
      </c>
      <c r="E42" s="1593">
        <v>642</v>
      </c>
      <c r="F42" s="1592">
        <f>SUMIF('Base Metals - Q&amp;V'!H$7:H$507, A42,'Base Metals - Q&amp;V'!F$7:F$507)</f>
        <v>72.763530000000003</v>
      </c>
      <c r="G42" s="1593">
        <v>1421</v>
      </c>
      <c r="I42" s="230"/>
      <c r="J42" s="230"/>
      <c r="K42" s="230"/>
    </row>
    <row r="43" spans="1:11">
      <c r="A43" s="348">
        <v>2015</v>
      </c>
      <c r="B43" s="1594">
        <f>SUMIF('Base Metals - Q&amp;V'!H$7:H$507, A43,'Base Metals - Q&amp;V'!B$7:B$507)</f>
        <v>189.20602099999999</v>
      </c>
      <c r="C43" s="1595">
        <v>800</v>
      </c>
      <c r="D43" s="1594">
        <f>SUMIF('Base Metals - Q&amp;V'!H$7:H$507, A43,'Base Metals - Q&amp;V'!D$7:D$507)</f>
        <v>20.259029999999999</v>
      </c>
      <c r="E43" s="1595">
        <v>634</v>
      </c>
      <c r="F43" s="1594">
        <f>SUMIF('Base Metals - Q&amp;V'!H$7:H$507, A43,'Base Metals - Q&amp;V'!F$7:F$507)</f>
        <v>77.178319999999999</v>
      </c>
      <c r="G43" s="1595">
        <v>1508</v>
      </c>
      <c r="I43" s="230"/>
      <c r="J43" s="230"/>
      <c r="K43" s="230"/>
    </row>
    <row r="44" spans="1:11">
      <c r="A44" s="348">
        <v>2016</v>
      </c>
      <c r="B44" s="1596">
        <f>SUMIF('Base Metals - Q&amp;V'!H$7:H$507, A44,'Base Metals - Q&amp;V'!B$7:B$507)</f>
        <v>181.53603300000003</v>
      </c>
      <c r="C44" s="1597">
        <v>769</v>
      </c>
      <c r="D44" s="1596">
        <f>SUMIF('Base Metals - Q&amp;V'!H$7:H$507, A44,'Base Metals - Q&amp;V'!D$7:D$507)</f>
        <v>4.76091</v>
      </c>
      <c r="E44" s="1597">
        <v>436</v>
      </c>
      <c r="F44" s="1596">
        <f>SUMIF('Base Metals - Q&amp;V'!H$7:H$507, A44,'Base Metals - Q&amp;V'!F$7:F$507)</f>
        <v>94.963539999999995</v>
      </c>
      <c r="G44" s="1597">
        <v>806</v>
      </c>
      <c r="I44" s="230"/>
      <c r="J44" s="230"/>
      <c r="K44" s="230"/>
    </row>
    <row r="45" spans="1:11">
      <c r="A45" s="348">
        <v>2017</v>
      </c>
      <c r="B45" s="1594">
        <f>SUMIF('Base Metals - Q&amp;V'!H$7:H$507, A45,'Base Metals - Q&amp;V'!B$7:B$507)</f>
        <v>165.70184799999998</v>
      </c>
      <c r="C45" s="1595">
        <v>672</v>
      </c>
      <c r="D45" s="1594">
        <f>SUMIF('Base Metals - Q&amp;V'!H$7:H$507, A45,'Base Metals - Q&amp;V'!D$7:D$507)</f>
        <v>5.9010800000000003</v>
      </c>
      <c r="E45" s="1595">
        <v>385</v>
      </c>
      <c r="F45" s="1594">
        <f>SUMIF('Base Metals - Q&amp;V'!H$7:H$507, A45,'Base Metals - Q&amp;V'!F$7:F$507)</f>
        <v>84.653807999999998</v>
      </c>
      <c r="G45" s="1595">
        <v>767</v>
      </c>
    </row>
    <row r="46" spans="1:11">
      <c r="A46" s="348">
        <v>2018</v>
      </c>
      <c r="B46" s="1596">
        <f>SUMIF('Base Metals - Q&amp;V'!H$7:H$507, A46,'Base Metals - Q&amp;V'!B$7:B$507)</f>
        <v>168.58500300000003</v>
      </c>
      <c r="C46" s="1597">
        <v>733</v>
      </c>
      <c r="D46" s="1596">
        <f>SUMIF('Base Metals - Q&amp;V'!H$7:H$507, A46,'Base Metals - Q&amp;V'!D$7:D$507)</f>
        <v>6.0910000000000011</v>
      </c>
      <c r="E46" s="1597">
        <v>423</v>
      </c>
      <c r="F46" s="1596">
        <f>SUMIF('Base Metals - Q&amp;V'!H$7:H$507, A46,'Base Metals - Q&amp;V'!F$7:F$507)</f>
        <v>68.823993000000002</v>
      </c>
      <c r="G46" s="1597">
        <v>1021</v>
      </c>
    </row>
    <row r="47" spans="1:11" ht="15.75" thickBot="1">
      <c r="A47" s="349">
        <v>2019</v>
      </c>
      <c r="B47" s="1643">
        <f>SUMIF('Base Metals - Q&amp;V'!H$7:H$507, A47,'Base Metals - Q&amp;V'!B$7:B$507)</f>
        <v>171.979285</v>
      </c>
      <c r="C47" s="1644">
        <v>797</v>
      </c>
      <c r="D47" s="1643">
        <f>SUMIF('Base Metals - Q&amp;V'!H$7:H$507, A47,'Base Metals - Q&amp;V'!D$7:D$507)</f>
        <v>2.9168000000000003</v>
      </c>
      <c r="E47" s="1644">
        <v>463</v>
      </c>
      <c r="F47" s="1643">
        <f>SUMIF('Base Metals - Q&amp;V'!H$7:H$507, A47,'Base Metals - Q&amp;V'!F$7:F$507)</f>
        <v>76.859004999999996</v>
      </c>
      <c r="G47" s="1644">
        <v>1194</v>
      </c>
    </row>
    <row r="49" spans="2:25">
      <c r="D49" s="1213"/>
      <c r="E49" s="1213"/>
      <c r="F49" s="1213"/>
      <c r="G49" s="1213"/>
    </row>
    <row r="50" spans="2:25">
      <c r="D50" s="1213"/>
      <c r="E50" s="1213"/>
      <c r="F50" s="1653"/>
      <c r="G50" s="1654"/>
    </row>
    <row r="51" spans="2:25">
      <c r="B51" s="1650"/>
      <c r="D51" s="1213"/>
      <c r="E51" s="1652"/>
      <c r="F51" s="1655"/>
      <c r="G51" s="1654"/>
    </row>
    <row r="52" spans="2:25">
      <c r="B52" s="1015"/>
      <c r="D52" s="1213"/>
      <c r="E52" s="1652"/>
      <c r="F52" s="1655"/>
      <c r="G52" s="1654"/>
    </row>
    <row r="53" spans="2:25">
      <c r="B53" s="1015"/>
      <c r="D53" s="1213"/>
      <c r="E53" s="1652"/>
      <c r="F53" s="1655"/>
      <c r="G53" s="1654"/>
    </row>
    <row r="54" spans="2:25">
      <c r="B54" s="1015"/>
      <c r="C54" s="1215"/>
      <c r="D54" s="1213"/>
      <c r="E54" s="1652"/>
      <c r="F54" s="1213"/>
      <c r="G54" s="1654"/>
    </row>
    <row r="55" spans="2:25">
      <c r="C55" s="530"/>
      <c r="D55" s="1213"/>
      <c r="E55" s="1652"/>
      <c r="F55" s="1213"/>
      <c r="G55" s="1654"/>
      <c r="S55" s="1937" t="s">
        <v>675</v>
      </c>
      <c r="T55" s="1937"/>
      <c r="U55" s="1937"/>
      <c r="V55" s="1937"/>
      <c r="W55" s="1937"/>
      <c r="X55" s="1937"/>
      <c r="Y55" s="1937"/>
    </row>
    <row r="56" spans="2:25" ht="15.75" thickBot="1">
      <c r="C56" s="530"/>
      <c r="D56" s="1213"/>
      <c r="E56" s="1652"/>
      <c r="F56" s="1213"/>
      <c r="G56" s="1654"/>
      <c r="S56" s="1937" t="s">
        <v>50</v>
      </c>
      <c r="T56" s="1937"/>
      <c r="U56" s="1937"/>
      <c r="V56" s="1937"/>
      <c r="W56" s="1937"/>
      <c r="X56" s="1937"/>
      <c r="Y56" s="1937"/>
    </row>
    <row r="57" spans="2:25" ht="15.75" thickBot="1">
      <c r="C57" s="530"/>
      <c r="D57" s="1213"/>
      <c r="E57" s="1652"/>
      <c r="F57" s="1213"/>
      <c r="G57" s="1654"/>
      <c r="S57" s="1776"/>
      <c r="T57" s="1988" t="s">
        <v>437</v>
      </c>
      <c r="U57" s="1989"/>
      <c r="V57" s="1990" t="s">
        <v>435</v>
      </c>
      <c r="W57" s="1989"/>
      <c r="X57" s="1990" t="s">
        <v>438</v>
      </c>
      <c r="Y57" s="1991"/>
    </row>
    <row r="58" spans="2:25" ht="15.75" thickBot="1">
      <c r="C58" s="530"/>
      <c r="D58" s="1213"/>
      <c r="E58" s="1652"/>
      <c r="F58" s="1213"/>
      <c r="G58" s="1654"/>
      <c r="S58" s="1777" t="s">
        <v>49</v>
      </c>
      <c r="T58" s="1775" t="str">
        <f t="shared" ref="T58:Y58" si="0">B7</f>
        <v>Western Australia (Kt)</v>
      </c>
      <c r="U58" s="347" t="str">
        <f t="shared" si="0"/>
        <v>Rest of Australia (Kt)</v>
      </c>
      <c r="V58" s="346" t="str">
        <f t="shared" si="0"/>
        <v>Western Australia (Kt)</v>
      </c>
      <c r="W58" s="347" t="str">
        <f t="shared" si="0"/>
        <v>Rest of Australia (Kt)</v>
      </c>
      <c r="X58" s="346" t="str">
        <f t="shared" si="0"/>
        <v>Western Australia (Kt)</v>
      </c>
      <c r="Y58" s="347" t="str">
        <f t="shared" si="0"/>
        <v>Rest of Australia (Kt)</v>
      </c>
    </row>
    <row r="59" spans="2:25">
      <c r="C59" s="530"/>
      <c r="D59" s="1213"/>
      <c r="E59" s="1652"/>
      <c r="F59" s="1213"/>
      <c r="G59" s="1213"/>
      <c r="S59" s="348">
        <f>LARGE(A$8:A$72,10)</f>
        <v>2010</v>
      </c>
      <c r="T59" s="1596">
        <f t="shared" ref="T59:T68" si="1">SUMIF($A$8:$A$77,$S59,B$8:B$77)</f>
        <v>155.65068099999999</v>
      </c>
      <c r="U59" s="1597">
        <f t="shared" ref="U59:U68" si="2">SUMIF($A$8:$A$77,$S59,C$8:C$77)</f>
        <v>703</v>
      </c>
      <c r="V59" s="1596">
        <f t="shared" ref="V59:V68" si="3">SUMIF($A$8:$A$77,$S59,D$8:D$77)</f>
        <v>52.922928999999996</v>
      </c>
      <c r="W59" s="1597">
        <f t="shared" ref="W59:W68" si="4">SUMIF($A$8:$A$77,$S59,E$8:E$77)</f>
        <v>616</v>
      </c>
      <c r="X59" s="1596">
        <f t="shared" ref="X59:X68" si="5">SUMIF($A$8:$A$77,$S59,F$8:F$77)</f>
        <v>81.515219999999999</v>
      </c>
      <c r="Y59" s="1597">
        <f t="shared" ref="Y59:Y68" si="6">SUMIF($A$8:$A$77,$S59,G$8:G$77)</f>
        <v>1346</v>
      </c>
    </row>
    <row r="60" spans="2:25">
      <c r="C60" s="530"/>
      <c r="D60" s="1213"/>
      <c r="E60" s="1652"/>
      <c r="F60" s="1213"/>
      <c r="G60" s="1213"/>
      <c r="S60" s="348">
        <f>LARGE(A$8:A$72,9)</f>
        <v>2011</v>
      </c>
      <c r="T60" s="1594">
        <f t="shared" si="1"/>
        <v>144.95804783199998</v>
      </c>
      <c r="U60" s="1595">
        <f t="shared" si="2"/>
        <v>820</v>
      </c>
      <c r="V60" s="1594">
        <f t="shared" si="3"/>
        <v>8.3429219999999997</v>
      </c>
      <c r="W60" s="1595">
        <f t="shared" si="4"/>
        <v>604</v>
      </c>
      <c r="X60" s="1594">
        <f t="shared" si="5"/>
        <v>74.400736999999992</v>
      </c>
      <c r="Y60" s="1595">
        <f t="shared" si="6"/>
        <v>1387</v>
      </c>
    </row>
    <row r="61" spans="2:25">
      <c r="C61" s="530"/>
      <c r="D61" s="1213"/>
      <c r="E61" s="1652"/>
      <c r="F61" s="1213"/>
      <c r="G61" s="1213"/>
      <c r="S61" s="348">
        <f>LARGE(A$8:A$72,8)</f>
        <v>2012</v>
      </c>
      <c r="T61" s="1596">
        <f t="shared" si="1"/>
        <v>185.75001993699999</v>
      </c>
      <c r="U61" s="1597">
        <f t="shared" si="2"/>
        <v>729</v>
      </c>
      <c r="V61" s="1596">
        <f t="shared" si="3"/>
        <v>8.135294</v>
      </c>
      <c r="W61" s="1597">
        <f t="shared" si="4"/>
        <v>613</v>
      </c>
      <c r="X61" s="1596">
        <f t="shared" si="5"/>
        <v>57.112677000000005</v>
      </c>
      <c r="Y61" s="1597">
        <f t="shared" si="6"/>
        <v>1428</v>
      </c>
    </row>
    <row r="62" spans="2:25">
      <c r="C62" s="530"/>
      <c r="D62" s="1213"/>
      <c r="E62" s="1652"/>
      <c r="F62" s="1213"/>
      <c r="G62" s="1213"/>
      <c r="S62" s="348">
        <f>LARGE(A$8:A$72,7)</f>
        <v>2013</v>
      </c>
      <c r="T62" s="1594">
        <f t="shared" si="1"/>
        <v>216.05661499999999</v>
      </c>
      <c r="U62" s="1595">
        <f t="shared" si="2"/>
        <v>792</v>
      </c>
      <c r="V62" s="1594">
        <f t="shared" si="3"/>
        <v>52.261510000000001</v>
      </c>
      <c r="W62" s="1595">
        <f t="shared" si="4"/>
        <v>664</v>
      </c>
      <c r="X62" s="1594">
        <f t="shared" si="5"/>
        <v>47.985599999999998</v>
      </c>
      <c r="Y62" s="1595">
        <f t="shared" si="6"/>
        <v>1419</v>
      </c>
    </row>
    <row r="63" spans="2:25">
      <c r="C63" s="407"/>
      <c r="D63" s="1213"/>
      <c r="E63" s="1652"/>
      <c r="F63" s="1213"/>
      <c r="G63" s="1213"/>
      <c r="S63" s="348">
        <f>LARGE(A$8:A$72,6)</f>
        <v>2014</v>
      </c>
      <c r="T63" s="1596">
        <f t="shared" si="1"/>
        <v>197.08071799999999</v>
      </c>
      <c r="U63" s="1597">
        <f t="shared" si="2"/>
        <v>787</v>
      </c>
      <c r="V63" s="1596">
        <f t="shared" si="3"/>
        <v>80.888499999999993</v>
      </c>
      <c r="W63" s="1597">
        <f t="shared" si="4"/>
        <v>642</v>
      </c>
      <c r="X63" s="1596">
        <f t="shared" si="5"/>
        <v>72.763530000000003</v>
      </c>
      <c r="Y63" s="1597">
        <f t="shared" si="6"/>
        <v>1421</v>
      </c>
    </row>
    <row r="64" spans="2:25">
      <c r="D64" s="1213"/>
      <c r="E64" s="1213"/>
      <c r="F64" s="1213"/>
      <c r="G64" s="1213"/>
      <c r="S64" s="348">
        <f>LARGE(A$8:A$72,5)</f>
        <v>2015</v>
      </c>
      <c r="T64" s="1594">
        <f t="shared" si="1"/>
        <v>189.20602099999999</v>
      </c>
      <c r="U64" s="1595">
        <f t="shared" si="2"/>
        <v>800</v>
      </c>
      <c r="V64" s="1594">
        <f t="shared" si="3"/>
        <v>20.259029999999999</v>
      </c>
      <c r="W64" s="1595">
        <f t="shared" si="4"/>
        <v>634</v>
      </c>
      <c r="X64" s="1594">
        <f t="shared" si="5"/>
        <v>77.178319999999999</v>
      </c>
      <c r="Y64" s="1595">
        <f t="shared" si="6"/>
        <v>1508</v>
      </c>
    </row>
    <row r="65" spans="19:25">
      <c r="S65" s="348">
        <f>LARGE(A$8:A$72,4)</f>
        <v>2016</v>
      </c>
      <c r="T65" s="1596">
        <f t="shared" si="1"/>
        <v>181.53603300000003</v>
      </c>
      <c r="U65" s="1597">
        <f t="shared" si="2"/>
        <v>769</v>
      </c>
      <c r="V65" s="1596">
        <f t="shared" si="3"/>
        <v>4.76091</v>
      </c>
      <c r="W65" s="1597">
        <f t="shared" si="4"/>
        <v>436</v>
      </c>
      <c r="X65" s="1596">
        <f t="shared" si="5"/>
        <v>94.963539999999995</v>
      </c>
      <c r="Y65" s="1597">
        <f t="shared" si="6"/>
        <v>806</v>
      </c>
    </row>
    <row r="66" spans="19:25">
      <c r="S66" s="348">
        <f>LARGE(A$8:A$72,3)</f>
        <v>2017</v>
      </c>
      <c r="T66" s="1594">
        <f t="shared" si="1"/>
        <v>165.70184799999998</v>
      </c>
      <c r="U66" s="1595">
        <f t="shared" si="2"/>
        <v>672</v>
      </c>
      <c r="V66" s="1594">
        <f t="shared" si="3"/>
        <v>5.9010800000000003</v>
      </c>
      <c r="W66" s="1595">
        <f t="shared" si="4"/>
        <v>385</v>
      </c>
      <c r="X66" s="1594">
        <f t="shared" si="5"/>
        <v>84.653807999999998</v>
      </c>
      <c r="Y66" s="1595">
        <f t="shared" si="6"/>
        <v>767</v>
      </c>
    </row>
    <row r="67" spans="19:25">
      <c r="S67" s="348">
        <f>LARGE(A$8:A$72,2)</f>
        <v>2018</v>
      </c>
      <c r="T67" s="1596">
        <f t="shared" si="1"/>
        <v>168.58500300000003</v>
      </c>
      <c r="U67" s="1597">
        <f t="shared" si="2"/>
        <v>733</v>
      </c>
      <c r="V67" s="1596">
        <f t="shared" si="3"/>
        <v>6.0910000000000011</v>
      </c>
      <c r="W67" s="1597">
        <f t="shared" si="4"/>
        <v>423</v>
      </c>
      <c r="X67" s="1596">
        <f t="shared" si="5"/>
        <v>68.823993000000002</v>
      </c>
      <c r="Y67" s="1597">
        <f t="shared" si="6"/>
        <v>1021</v>
      </c>
    </row>
    <row r="68" spans="19:25" ht="15.75" thickBot="1">
      <c r="S68" s="349">
        <f>LARGE(A$8:A$72,1)</f>
        <v>2019</v>
      </c>
      <c r="T68" s="1643">
        <f t="shared" si="1"/>
        <v>171.979285</v>
      </c>
      <c r="U68" s="1766">
        <f t="shared" si="2"/>
        <v>797</v>
      </c>
      <c r="V68" s="1643">
        <f t="shared" si="3"/>
        <v>2.9168000000000003</v>
      </c>
      <c r="W68" s="1766">
        <f t="shared" si="4"/>
        <v>463</v>
      </c>
      <c r="X68" s="1643">
        <f t="shared" si="5"/>
        <v>76.859004999999996</v>
      </c>
      <c r="Y68" s="1766">
        <f t="shared" si="6"/>
        <v>1194</v>
      </c>
    </row>
  </sheetData>
  <mergeCells count="9">
    <mergeCell ref="S56:Y56"/>
    <mergeCell ref="T57:U57"/>
    <mergeCell ref="V57:W57"/>
    <mergeCell ref="X57:Y57"/>
    <mergeCell ref="A5:G5"/>
    <mergeCell ref="F6:G6"/>
    <mergeCell ref="D6:E6"/>
    <mergeCell ref="B6:C6"/>
    <mergeCell ref="S55:Y5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V250"/>
  <sheetViews>
    <sheetView workbookViewId="0"/>
  </sheetViews>
  <sheetFormatPr defaultRowHeight="15"/>
  <cols>
    <col min="1" max="1" width="7.85546875" style="52" bestFit="1" customWidth="1"/>
    <col min="2" max="2" width="16.85546875" style="52" bestFit="1" customWidth="1"/>
    <col min="3" max="3" width="16" style="52" bestFit="1" customWidth="1"/>
    <col min="4" max="5" width="11.5703125" style="98" hidden="1" customWidth="1"/>
    <col min="6" max="6" width="18.85546875" style="52" bestFit="1" customWidth="1"/>
    <col min="7" max="12" width="9.140625" style="52"/>
    <col min="13" max="13" width="10.85546875" style="52" customWidth="1"/>
    <col min="14" max="16" width="0" style="52" hidden="1" customWidth="1"/>
    <col min="17" max="17" width="15.140625" style="52" customWidth="1"/>
    <col min="18" max="18" width="16.85546875" style="52" bestFit="1" customWidth="1"/>
    <col min="19" max="19" width="16" style="52" bestFit="1" customWidth="1"/>
    <col min="20" max="16384" width="9.140625" style="52"/>
  </cols>
  <sheetData>
    <row r="1" spans="1:19">
      <c r="A1" s="350" t="s">
        <v>429</v>
      </c>
    </row>
    <row r="2" spans="1:19">
      <c r="A2" s="350" t="s">
        <v>446</v>
      </c>
    </row>
    <row r="4" spans="1:19" ht="18" customHeight="1"/>
    <row r="5" spans="1:19">
      <c r="A5" s="1947" t="s">
        <v>1</v>
      </c>
      <c r="B5" s="1947"/>
      <c r="C5" s="1947"/>
      <c r="D5" s="305"/>
      <c r="E5" s="305"/>
    </row>
    <row r="6" spans="1:19" ht="15.75" thickBot="1">
      <c r="A6" s="1992" t="s">
        <v>48</v>
      </c>
      <c r="B6" s="1992"/>
      <c r="C6" s="1992"/>
      <c r="D6" s="306"/>
      <c r="E6" s="306"/>
    </row>
    <row r="7" spans="1:19" ht="15.75" thickBot="1">
      <c r="A7" s="731" t="s">
        <v>6</v>
      </c>
      <c r="B7" s="735" t="s">
        <v>74</v>
      </c>
      <c r="C7" s="736" t="s">
        <v>804</v>
      </c>
      <c r="D7" s="297"/>
      <c r="E7" s="297"/>
      <c r="Q7" s="1972" t="s">
        <v>73</v>
      </c>
      <c r="R7" s="1972"/>
      <c r="S7" s="1972"/>
    </row>
    <row r="8" spans="1:19" ht="15.75" thickBot="1">
      <c r="A8" s="732">
        <v>36220</v>
      </c>
      <c r="B8" s="35">
        <v>52.66</v>
      </c>
      <c r="C8" s="34">
        <v>766.21</v>
      </c>
      <c r="D8" s="301">
        <f>YEAR(A8)</f>
        <v>1999</v>
      </c>
      <c r="E8" s="301" t="str">
        <f>IF(MONTH(A8)=3,"1",IF(MONTH(A8)=6,"2",IF(MONTH(A8)=9,"3","4")))</f>
        <v>1</v>
      </c>
      <c r="Q8" s="1971" t="s">
        <v>51</v>
      </c>
      <c r="R8" s="1971"/>
      <c r="S8" s="1971"/>
    </row>
    <row r="9" spans="1:19" ht="15.75" thickBot="1">
      <c r="A9" s="732">
        <v>36312</v>
      </c>
      <c r="B9" s="499">
        <v>52.39</v>
      </c>
      <c r="C9" s="500">
        <v>704.47</v>
      </c>
      <c r="D9" s="301">
        <f t="shared" ref="D9:D71" si="0">YEAR(A9)</f>
        <v>1999</v>
      </c>
      <c r="E9" s="301" t="str">
        <f t="shared" ref="E9:E72" si="1">IF(MONTH(A9)=3,"1",IF(MONTH(A9)=6,"2",IF(MONTH(A9)=9,"3","4")))</f>
        <v>2</v>
      </c>
      <c r="Q9" s="743" t="s">
        <v>6</v>
      </c>
      <c r="R9" s="1712" t="s">
        <v>74</v>
      </c>
      <c r="S9" s="1713" t="s">
        <v>804</v>
      </c>
    </row>
    <row r="10" spans="1:19">
      <c r="A10" s="732">
        <v>36404</v>
      </c>
      <c r="B10" s="35">
        <v>53.69</v>
      </c>
      <c r="C10" s="34">
        <v>687.61</v>
      </c>
      <c r="D10" s="301">
        <f t="shared" si="0"/>
        <v>1999</v>
      </c>
      <c r="E10" s="301" t="str">
        <f t="shared" si="1"/>
        <v>3</v>
      </c>
      <c r="Q10" s="1851">
        <f>LARGE(A$8:A$750,10)</f>
        <v>42979</v>
      </c>
      <c r="R10" s="507">
        <f t="shared" ref="R10:R19" si="2">SUMIF($A$8:$A$738,$Q10,B$8:B$750)</f>
        <v>61.923837663640299</v>
      </c>
      <c r="S10" s="1714">
        <f t="shared" ref="S10:S19" si="3">SUMIF($A$8:$A$738,$Q10,C$8:C$750)</f>
        <v>2778.87113</v>
      </c>
    </row>
    <row r="11" spans="1:19">
      <c r="A11" s="732">
        <v>36495</v>
      </c>
      <c r="B11" s="499">
        <v>52.96</v>
      </c>
      <c r="C11" s="500">
        <v>783.77</v>
      </c>
      <c r="D11" s="301">
        <f t="shared" si="0"/>
        <v>1999</v>
      </c>
      <c r="E11" s="301" t="str">
        <f t="shared" si="1"/>
        <v>4</v>
      </c>
      <c r="Q11" s="1852">
        <f>LARGE(A$8:A$750,9)</f>
        <v>43070</v>
      </c>
      <c r="R11" s="521">
        <f t="shared" si="2"/>
        <v>54.527467582354362</v>
      </c>
      <c r="S11" s="511">
        <f t="shared" si="3"/>
        <v>2908.9766020000002</v>
      </c>
    </row>
    <row r="12" spans="1:19">
      <c r="A12" s="732">
        <v>36586</v>
      </c>
      <c r="B12" s="35">
        <v>48.48</v>
      </c>
      <c r="C12" s="34">
        <v>718.08</v>
      </c>
      <c r="D12" s="301">
        <f t="shared" si="0"/>
        <v>2000</v>
      </c>
      <c r="E12" s="301" t="str">
        <f t="shared" si="1"/>
        <v>1</v>
      </c>
      <c r="Q12" s="1852">
        <f>LARGE(A$8:A$750,8)</f>
        <v>43160</v>
      </c>
      <c r="R12" s="1408">
        <f t="shared" si="2"/>
        <v>48.261774238196978</v>
      </c>
      <c r="S12" s="1715">
        <f t="shared" si="3"/>
        <v>2623.0905389999998</v>
      </c>
    </row>
    <row r="13" spans="1:19">
      <c r="A13" s="732">
        <v>36678</v>
      </c>
      <c r="B13" s="499">
        <v>50.11</v>
      </c>
      <c r="C13" s="500">
        <v>765.84</v>
      </c>
      <c r="D13" s="301">
        <f t="shared" si="0"/>
        <v>2000</v>
      </c>
      <c r="E13" s="301" t="str">
        <f t="shared" si="1"/>
        <v>2</v>
      </c>
      <c r="Q13" s="1852">
        <f>LARGE(A$8:A$750,7)</f>
        <v>43252</v>
      </c>
      <c r="R13" s="521">
        <f t="shared" si="2"/>
        <v>56.329034671095798</v>
      </c>
      <c r="S13" s="511">
        <f t="shared" si="3"/>
        <v>3124.627978</v>
      </c>
    </row>
    <row r="14" spans="1:19">
      <c r="A14" s="732">
        <v>36770</v>
      </c>
      <c r="B14" s="35">
        <v>52.18</v>
      </c>
      <c r="C14" s="34">
        <v>807.56</v>
      </c>
      <c r="D14" s="301">
        <f t="shared" si="0"/>
        <v>2000</v>
      </c>
      <c r="E14" s="301" t="str">
        <f t="shared" si="1"/>
        <v>3</v>
      </c>
      <c r="Q14" s="1852">
        <f>LARGE(A$8:A$750,6)</f>
        <v>43344</v>
      </c>
      <c r="R14" s="1408">
        <f t="shared" si="2"/>
        <v>52.161586963891914</v>
      </c>
      <c r="S14" s="1715">
        <f t="shared" si="3"/>
        <v>2780.8612419999999</v>
      </c>
    </row>
    <row r="15" spans="1:19">
      <c r="A15" s="732">
        <v>36861</v>
      </c>
      <c r="B15" s="499">
        <v>48.85</v>
      </c>
      <c r="C15" s="500">
        <v>795.8</v>
      </c>
      <c r="D15" s="301">
        <f t="shared" si="0"/>
        <v>2000</v>
      </c>
      <c r="E15" s="301" t="str">
        <f t="shared" si="1"/>
        <v>4</v>
      </c>
      <c r="Q15" s="1852">
        <f>LARGE(A$8:A$750,5)</f>
        <v>43435</v>
      </c>
      <c r="R15" s="521">
        <f t="shared" si="2"/>
        <v>55.363435040126674</v>
      </c>
      <c r="S15" s="511">
        <f t="shared" si="3"/>
        <v>2987.902748</v>
      </c>
    </row>
    <row r="16" spans="1:19">
      <c r="A16" s="732">
        <v>36951</v>
      </c>
      <c r="B16" s="35">
        <v>48.6</v>
      </c>
      <c r="C16" s="34">
        <v>775.97</v>
      </c>
      <c r="D16" s="301">
        <f t="shared" si="0"/>
        <v>2001</v>
      </c>
      <c r="E16" s="301" t="str">
        <f t="shared" si="1"/>
        <v>1</v>
      </c>
      <c r="Q16" s="1852">
        <f>LARGE(A$8:A$750,4)</f>
        <v>43525</v>
      </c>
      <c r="R16" s="1408">
        <f t="shared" si="2"/>
        <v>52.10808094380527</v>
      </c>
      <c r="S16" s="1715">
        <f t="shared" si="3"/>
        <v>3065.565396</v>
      </c>
    </row>
    <row r="17" spans="1:19">
      <c r="A17" s="732">
        <v>37043</v>
      </c>
      <c r="B17" s="499">
        <v>51.58</v>
      </c>
      <c r="C17" s="500">
        <v>865.74</v>
      </c>
      <c r="D17" s="301">
        <f t="shared" si="0"/>
        <v>2001</v>
      </c>
      <c r="E17" s="301" t="str">
        <f t="shared" si="1"/>
        <v>2</v>
      </c>
      <c r="Q17" s="1852">
        <f>LARGE(A$8:A$750,3)</f>
        <v>43617</v>
      </c>
      <c r="R17" s="521">
        <f t="shared" si="2"/>
        <v>51.900464220063618</v>
      </c>
      <c r="S17" s="511">
        <f t="shared" si="3"/>
        <v>3123.4105679999998</v>
      </c>
    </row>
    <row r="18" spans="1:19">
      <c r="A18" s="732">
        <v>37135</v>
      </c>
      <c r="B18" s="35">
        <v>47.03</v>
      </c>
      <c r="C18" s="34">
        <v>807.87</v>
      </c>
      <c r="D18" s="301">
        <f t="shared" si="0"/>
        <v>2001</v>
      </c>
      <c r="E18" s="301" t="str">
        <f t="shared" si="1"/>
        <v>3</v>
      </c>
      <c r="Q18" s="1852">
        <f>LARGE(A$8:A$750,2)</f>
        <v>43709</v>
      </c>
      <c r="R18" s="1408">
        <f t="shared" si="2"/>
        <v>57.448625784197539</v>
      </c>
      <c r="S18" s="1715">
        <f t="shared" si="3"/>
        <v>3598.3352810000001</v>
      </c>
    </row>
    <row r="19" spans="1:19" ht="15.75" thickBot="1">
      <c r="A19" s="732">
        <v>37226</v>
      </c>
      <c r="B19" s="499">
        <v>44.99</v>
      </c>
      <c r="C19" s="500">
        <v>786.62</v>
      </c>
      <c r="D19" s="301">
        <f t="shared" si="0"/>
        <v>2001</v>
      </c>
      <c r="E19" s="301" t="str">
        <f t="shared" si="1"/>
        <v>4</v>
      </c>
      <c r="Q19" s="1853">
        <f>LARGE(A$8:A$750,1)</f>
        <v>43800</v>
      </c>
      <c r="R19" s="1690">
        <f t="shared" si="2"/>
        <v>57.369655435184931</v>
      </c>
      <c r="S19" s="1703">
        <f t="shared" si="3"/>
        <v>4000.086346</v>
      </c>
    </row>
    <row r="20" spans="1:19">
      <c r="A20" s="732">
        <v>37316</v>
      </c>
      <c r="B20" s="35">
        <v>44.81</v>
      </c>
      <c r="C20" s="34">
        <v>806.7</v>
      </c>
      <c r="D20" s="301">
        <f t="shared" si="0"/>
        <v>2002</v>
      </c>
      <c r="E20" s="301" t="str">
        <f t="shared" si="1"/>
        <v>1</v>
      </c>
      <c r="Q20" s="3"/>
    </row>
    <row r="21" spans="1:19">
      <c r="A21" s="732">
        <v>37408</v>
      </c>
      <c r="B21" s="499">
        <v>48.16</v>
      </c>
      <c r="C21" s="500">
        <v>878.31</v>
      </c>
      <c r="D21" s="301">
        <f t="shared" si="0"/>
        <v>2002</v>
      </c>
      <c r="E21" s="301" t="str">
        <f t="shared" si="1"/>
        <v>2</v>
      </c>
      <c r="Q21" s="3"/>
    </row>
    <row r="22" spans="1:19">
      <c r="A22" s="732">
        <v>37500</v>
      </c>
      <c r="B22" s="35">
        <v>47.52</v>
      </c>
      <c r="C22" s="34">
        <v>876.44</v>
      </c>
      <c r="D22" s="301">
        <f t="shared" si="0"/>
        <v>2002</v>
      </c>
      <c r="E22" s="301" t="str">
        <f t="shared" si="1"/>
        <v>3</v>
      </c>
      <c r="Q22" s="3"/>
    </row>
    <row r="23" spans="1:19">
      <c r="A23" s="732">
        <v>37591</v>
      </c>
      <c r="B23" s="499">
        <v>48.26</v>
      </c>
      <c r="C23" s="500">
        <v>895.78</v>
      </c>
      <c r="D23" s="301">
        <f t="shared" si="0"/>
        <v>2002</v>
      </c>
      <c r="E23" s="301" t="str">
        <f t="shared" si="1"/>
        <v>4</v>
      </c>
      <c r="Q23" s="3"/>
    </row>
    <row r="24" spans="1:19">
      <c r="A24" s="732">
        <v>37681</v>
      </c>
      <c r="B24" s="35">
        <v>44.92</v>
      </c>
      <c r="C24" s="34">
        <v>857.53</v>
      </c>
      <c r="D24" s="301">
        <f t="shared" si="0"/>
        <v>2003</v>
      </c>
      <c r="E24" s="301" t="str">
        <f t="shared" si="1"/>
        <v>1</v>
      </c>
      <c r="Q24" s="3"/>
    </row>
    <row r="25" spans="1:19">
      <c r="A25" s="732">
        <v>37773</v>
      </c>
      <c r="B25" s="499">
        <v>46.67</v>
      </c>
      <c r="C25" s="500">
        <v>812.36</v>
      </c>
      <c r="D25" s="301">
        <f t="shared" si="0"/>
        <v>2003</v>
      </c>
      <c r="E25" s="301" t="str">
        <f t="shared" si="1"/>
        <v>2</v>
      </c>
      <c r="Q25" s="3"/>
    </row>
    <row r="26" spans="1:19">
      <c r="A26" s="732">
        <v>37865</v>
      </c>
      <c r="B26" s="35">
        <v>46.62</v>
      </c>
      <c r="C26" s="34">
        <v>826.7</v>
      </c>
      <c r="D26" s="301">
        <f t="shared" si="0"/>
        <v>2003</v>
      </c>
      <c r="E26" s="301" t="str">
        <f t="shared" si="1"/>
        <v>3</v>
      </c>
      <c r="Q26" s="3"/>
    </row>
    <row r="27" spans="1:19">
      <c r="A27" s="732">
        <v>37956</v>
      </c>
      <c r="B27" s="499">
        <v>49.38</v>
      </c>
      <c r="C27" s="500">
        <v>869.49</v>
      </c>
      <c r="D27" s="301">
        <f t="shared" si="0"/>
        <v>2003</v>
      </c>
      <c r="E27" s="301" t="str">
        <f t="shared" si="1"/>
        <v>4</v>
      </c>
    </row>
    <row r="28" spans="1:19">
      <c r="A28" s="732">
        <v>38047</v>
      </c>
      <c r="B28" s="35">
        <v>41.69</v>
      </c>
      <c r="C28" s="34">
        <v>716.23</v>
      </c>
      <c r="D28" s="301">
        <f t="shared" si="0"/>
        <v>2004</v>
      </c>
      <c r="E28" s="301" t="str">
        <f t="shared" si="1"/>
        <v>1</v>
      </c>
    </row>
    <row r="29" spans="1:19">
      <c r="A29" s="732">
        <v>38139</v>
      </c>
      <c r="B29" s="499">
        <v>39.04</v>
      </c>
      <c r="C29" s="500">
        <v>691.75</v>
      </c>
      <c r="D29" s="301">
        <f t="shared" si="0"/>
        <v>2004</v>
      </c>
      <c r="E29" s="301" t="str">
        <f t="shared" si="1"/>
        <v>2</v>
      </c>
    </row>
    <row r="30" spans="1:19">
      <c r="A30" s="732">
        <v>38231</v>
      </c>
      <c r="B30" s="35">
        <v>42.1</v>
      </c>
      <c r="C30" s="34">
        <v>766.16</v>
      </c>
      <c r="D30" s="301">
        <f t="shared" si="0"/>
        <v>2004</v>
      </c>
      <c r="E30" s="301" t="str">
        <f t="shared" si="1"/>
        <v>3</v>
      </c>
    </row>
    <row r="31" spans="1:19">
      <c r="A31" s="732">
        <v>38322</v>
      </c>
      <c r="B31" s="499">
        <v>41.05</v>
      </c>
      <c r="C31" s="500">
        <v>757.24</v>
      </c>
      <c r="D31" s="301">
        <f t="shared" si="0"/>
        <v>2004</v>
      </c>
      <c r="E31" s="301" t="str">
        <f t="shared" si="1"/>
        <v>4</v>
      </c>
    </row>
    <row r="32" spans="1:19" ht="15.75" thickBot="1">
      <c r="A32" s="732">
        <v>38412</v>
      </c>
      <c r="B32" s="501">
        <v>42.723574069999998</v>
      </c>
      <c r="C32" s="502">
        <v>755.68726600000002</v>
      </c>
      <c r="D32" s="301">
        <f t="shared" si="0"/>
        <v>2005</v>
      </c>
      <c r="E32" s="301" t="str">
        <f t="shared" si="1"/>
        <v>1</v>
      </c>
    </row>
    <row r="33" spans="1:22" ht="15.75" thickBot="1">
      <c r="A33" s="732">
        <v>38504</v>
      </c>
      <c r="B33" s="503">
        <v>40.713485339999998</v>
      </c>
      <c r="C33" s="504">
        <v>727.41294900000003</v>
      </c>
      <c r="D33" s="301">
        <f t="shared" si="0"/>
        <v>2005</v>
      </c>
      <c r="E33" s="301" t="str">
        <f t="shared" si="1"/>
        <v>2</v>
      </c>
      <c r="Q33" s="731" t="s">
        <v>447</v>
      </c>
      <c r="R33" s="1993" t="s">
        <v>429</v>
      </c>
      <c r="S33" s="1994"/>
    </row>
    <row r="34" spans="1:22" ht="15.75" thickBot="1">
      <c r="A34" s="732">
        <v>38596</v>
      </c>
      <c r="B34" s="501">
        <v>40.118740899999999</v>
      </c>
      <c r="C34" s="502">
        <v>744.97775000000001</v>
      </c>
      <c r="D34" s="301">
        <f t="shared" si="0"/>
        <v>2005</v>
      </c>
      <c r="E34" s="301" t="str">
        <f t="shared" si="1"/>
        <v>3</v>
      </c>
      <c r="Q34" s="1958" t="str">
        <f>CONCATENATE(A5," Quantity and Value by ",R33)</f>
        <v>Gold Quantity and Value by Calendar Year</v>
      </c>
      <c r="R34" s="1959"/>
      <c r="S34" s="1960"/>
    </row>
    <row r="35" spans="1:22" ht="15.75" thickBot="1">
      <c r="A35" s="732">
        <v>38687</v>
      </c>
      <c r="B35" s="503">
        <v>43.729523180000001</v>
      </c>
      <c r="C35" s="504">
        <v>916.05683299999998</v>
      </c>
      <c r="D35" s="301">
        <f t="shared" si="0"/>
        <v>2005</v>
      </c>
      <c r="E35" s="301" t="str">
        <f t="shared" si="1"/>
        <v>4</v>
      </c>
      <c r="Q35" s="737" t="str">
        <f>R33</f>
        <v>Calendar Year</v>
      </c>
      <c r="R35" s="738" t="str">
        <f>B7</f>
        <v>Quantity (tonnes)</v>
      </c>
      <c r="S35" s="739" t="str">
        <f>C7</f>
        <v>Value ($ Million)</v>
      </c>
    </row>
    <row r="36" spans="1:22">
      <c r="A36" s="732">
        <v>38777</v>
      </c>
      <c r="B36" s="501">
        <v>39.623353799999997</v>
      </c>
      <c r="C36" s="502">
        <v>954.76192300000002</v>
      </c>
      <c r="D36" s="301">
        <f t="shared" si="0"/>
        <v>2006</v>
      </c>
      <c r="E36" s="301" t="str">
        <f t="shared" si="1"/>
        <v>1</v>
      </c>
      <c r="Q36" s="740">
        <f>IF($R$33="Calendar Year",YEAR(MIN($A$8:$A$200)),CONCATENATE(YEAR(MIN($A$8:$A$200)),"-",((YEAR(MIN($A$8:$A$200))+1))))</f>
        <v>1999</v>
      </c>
      <c r="R36" s="495">
        <f>IF($R$33="Calendar Year",SUMIF($D$8:$D$200,$Q36,$B$8:$B$200),SUMIFS($B$8:$B$200,$D$8:$D$200,LEFT($Q36,4),$E$8:$E$200,3)+SUMIFS($B$8:$B$200,$D$8:$D$200,LEFT($Q36,4),$E$8:$E$200,4)+SUMIFS($B$8:$B$200,$D$8:$D$200,LEFT($Q36,4)+1,$E$8:$E$200,1)+SUMIFS($B$8:$B$200,$D$8:$D$200,LEFT($Q36,4)+1,$E$8:$E$200,2))</f>
        <v>211.70000000000002</v>
      </c>
      <c r="S36" s="508">
        <f>IF($R$33="Calendar Year",SUMIF($D$8:$D$200,$Q36,$C$8:$C$200),SUMIFS($C$8:$C$200,$D$8:$D$200,LEFT($Q36,4),$E$8:$E$200,3)+SUMIFS($C$8:$C$200,$D$8:$D$200,LEFT($Q36,4),$E$8:$E$200,4)+SUMIFS($C$8:$C$200,$D$8:$D$200,LEFT($Q36,4)+1,$E$8:$E$200,1)+SUMIFS($C$8:$C$200,$D$8:$D$200,LEFT($Q36,4)+1,$E$8:$E$200,2))</f>
        <v>2942.06</v>
      </c>
    </row>
    <row r="37" spans="1:22">
      <c r="A37" s="732">
        <v>38869</v>
      </c>
      <c r="B37" s="503">
        <v>39.868646779999999</v>
      </c>
      <c r="C37" s="504">
        <v>1080.5398190000001</v>
      </c>
      <c r="D37" s="301">
        <f t="shared" si="0"/>
        <v>2006</v>
      </c>
      <c r="E37" s="301" t="str">
        <f t="shared" si="1"/>
        <v>2</v>
      </c>
      <c r="Q37" s="741">
        <f>IFERROR(IF(YEAR(MAX('Data - Monthly Commodity Prices'!$C$9:$C4984))=VALUE(RIGHT(Q36,4)),"",IF($R$33="Calendar Year",Q36+1,CONCATENATE(LEFT(Q36,4)+1,"-",RIGHT(Q36,4)+1))),"")</f>
        <v>2000</v>
      </c>
      <c r="R37" s="509">
        <f>IF(Q37="","",IF($R$33="Calendar Year",SUMIF($D$8:$D$200,$Q37,$B$8:$B$200),SUMIFS($B$8:$B$200,$D$8:$D$200,LEFT($Q37,4),$E$8:$E$200,3)+SUMIFS($B$8:$B$200,$D$8:$D$200,LEFT($Q37,4),$E$8:$E$200,4)+SUMIFS($B$8:$B$200,$D$8:$D$200,LEFT($Q37,4)+1,$E$8:$E$200,1)+SUMIFS($B$8:$B$200,$D$8:$D$200,LEFT($Q37,4)+1,$E$8:$E$200,2)))</f>
        <v>199.62</v>
      </c>
      <c r="S37" s="510">
        <f t="shared" ref="S37:S52" si="4">IF(Q37="","",IF($R$33="Calendar Year",SUMIF($D$8:$D$200,$Q37,$C$8:$C$200),SUMIFS($C$8:$C$200,$D$8:$D$200,LEFT($Q37,4),$E$8:$E$200,3)+SUMIFS($C$8:$C$200,$D$8:$D$200,LEFT($Q37,4),$E$8:$E$200,4)+SUMIFS($C$8:$C$200,$D$8:$D$200,LEFT($Q37,4)+1,$E$8:$E$200,1)+SUMIFS($C$8:$C$200,$D$8:$D$200,LEFT($Q37,4)+1,$E$8:$E$200,2)))</f>
        <v>3087.2799999999997</v>
      </c>
    </row>
    <row r="38" spans="1:22">
      <c r="A38" s="732">
        <v>38961</v>
      </c>
      <c r="B38" s="501">
        <v>39.836891979999997</v>
      </c>
      <c r="C38" s="502">
        <v>1053.8355959999999</v>
      </c>
      <c r="D38" s="301">
        <f t="shared" si="0"/>
        <v>2006</v>
      </c>
      <c r="E38" s="301" t="str">
        <f t="shared" si="1"/>
        <v>3</v>
      </c>
      <c r="Q38" s="741">
        <f>IFERROR(IF(YEAR(MAX('Data - Monthly Commodity Prices'!$C$9:$C4985))=VALUE(RIGHT(Q37,4)),"",IF($R$33="Calendar Year",Q37+1,CONCATENATE(LEFT(Q37,4)+1,"-",RIGHT(Q37,4)+1))),"")</f>
        <v>2001</v>
      </c>
      <c r="R38" s="497">
        <f t="shared" ref="R38:R60" si="5">IF(Q38="","",IF($R$33="Calendar Year",SUMIF($D$8:$D$200,$Q38,$B$8:$B$200),SUMIFS($B$8:$B$200,$D$8:$D$200,LEFT($Q38,4),$E$8:$E$200,3)+SUMIFS($B$8:$B$200,$D$8:$D$200,LEFT($Q38,4),$E$8:$E$200,4)+SUMIFS($B$8:$B$200,$D$8:$D$200,LEFT($Q38,4)+1,$E$8:$E$200,1)+SUMIFS($B$8:$B$200,$D$8:$D$200,LEFT($Q38,4)+1,$E$8:$E$200,2)))</f>
        <v>192.20000000000002</v>
      </c>
      <c r="S38" s="511">
        <f t="shared" si="4"/>
        <v>3236.2</v>
      </c>
    </row>
    <row r="39" spans="1:22">
      <c r="A39" s="732">
        <v>39052</v>
      </c>
      <c r="B39" s="503">
        <v>43.640200929999999</v>
      </c>
      <c r="C39" s="504">
        <v>1119.195232</v>
      </c>
      <c r="D39" s="301">
        <f t="shared" si="0"/>
        <v>2006</v>
      </c>
      <c r="E39" s="301" t="str">
        <f t="shared" si="1"/>
        <v>4</v>
      </c>
      <c r="Q39" s="741">
        <f>IFERROR(IF(YEAR(MAX('Data - Monthly Commodity Prices'!$C$9:$C4986))=VALUE(RIGHT(Q38,4)),"",IF($R$33="Calendar Year",Q38+1,CONCATENATE(LEFT(Q38,4)+1,"-",RIGHT(Q38,4)+1))),"")</f>
        <v>2002</v>
      </c>
      <c r="R39" s="509">
        <f t="shared" si="5"/>
        <v>188.75</v>
      </c>
      <c r="S39" s="510">
        <f t="shared" si="4"/>
        <v>3457.2299999999996</v>
      </c>
    </row>
    <row r="40" spans="1:22">
      <c r="A40" s="732">
        <v>39142</v>
      </c>
      <c r="B40" s="501">
        <v>38.502062189999997</v>
      </c>
      <c r="C40" s="502">
        <v>1022.274917</v>
      </c>
      <c r="D40" s="301">
        <f t="shared" si="0"/>
        <v>2007</v>
      </c>
      <c r="E40" s="301" t="str">
        <f t="shared" si="1"/>
        <v>1</v>
      </c>
      <c r="Q40" s="741">
        <f>IFERROR(IF(YEAR(MAX('Data - Monthly Commodity Prices'!$C$9:$C4987))=VALUE(RIGHT(Q39,4)),"",IF($R$33="Calendar Year",Q39+1,CONCATENATE(LEFT(Q39,4)+1,"-",RIGHT(Q39,4)+1))),"")</f>
        <v>2003</v>
      </c>
      <c r="R40" s="497">
        <f t="shared" si="5"/>
        <v>187.59</v>
      </c>
      <c r="S40" s="511">
        <f t="shared" si="4"/>
        <v>3366.08</v>
      </c>
      <c r="U40" s="1097"/>
      <c r="V40" s="1181"/>
    </row>
    <row r="41" spans="1:22">
      <c r="A41" s="732">
        <v>39234</v>
      </c>
      <c r="B41" s="503">
        <v>37.595793499999999</v>
      </c>
      <c r="C41" s="504">
        <v>970.80074100000002</v>
      </c>
      <c r="D41" s="301">
        <f t="shared" si="0"/>
        <v>2007</v>
      </c>
      <c r="E41" s="301" t="str">
        <f t="shared" si="1"/>
        <v>2</v>
      </c>
      <c r="Q41" s="741">
        <f>IFERROR(IF(YEAR(MAX('Data - Monthly Commodity Prices'!$C$9:$C4988))=VALUE(RIGHT(Q40,4)),"",IF($R$33="Calendar Year",Q40+1,CONCATENATE(LEFT(Q40,4)+1,"-",RIGHT(Q40,4)+1))),"")</f>
        <v>2004</v>
      </c>
      <c r="R41" s="509">
        <f t="shared" si="5"/>
        <v>163.88</v>
      </c>
      <c r="S41" s="510">
        <f t="shared" si="4"/>
        <v>2931.38</v>
      </c>
      <c r="U41" s="1097"/>
      <c r="V41" s="1181"/>
    </row>
    <row r="42" spans="1:22">
      <c r="A42" s="732">
        <v>39326</v>
      </c>
      <c r="B42" s="501">
        <v>37.847578720000001</v>
      </c>
      <c r="C42" s="502">
        <v>978.01341500000001</v>
      </c>
      <c r="D42" s="301">
        <f t="shared" si="0"/>
        <v>2007</v>
      </c>
      <c r="E42" s="301" t="str">
        <f t="shared" si="1"/>
        <v>3</v>
      </c>
      <c r="Q42" s="741">
        <f>IFERROR(IF(YEAR(MAX('Data - Monthly Commodity Prices'!$C$9:$C4989))=VALUE(RIGHT(Q41,4)),"",IF($R$33="Calendar Year",Q41+1,CONCATENATE(LEFT(Q41,4)+1,"-",RIGHT(Q41,4)+1))),"")</f>
        <v>2005</v>
      </c>
      <c r="R42" s="497">
        <f t="shared" si="5"/>
        <v>167.28532349</v>
      </c>
      <c r="S42" s="511">
        <f t="shared" si="4"/>
        <v>3144.134798</v>
      </c>
      <c r="U42" s="1097"/>
      <c r="V42" s="1181"/>
    </row>
    <row r="43" spans="1:22">
      <c r="A43" s="732">
        <v>39417</v>
      </c>
      <c r="B43" s="503">
        <v>37.50340465</v>
      </c>
      <c r="C43" s="504">
        <v>1067.968656</v>
      </c>
      <c r="D43" s="301">
        <f t="shared" si="0"/>
        <v>2007</v>
      </c>
      <c r="E43" s="301" t="str">
        <f t="shared" si="1"/>
        <v>4</v>
      </c>
      <c r="Q43" s="741">
        <f>IFERROR(IF(YEAR(MAX('Data - Monthly Commodity Prices'!$C$9:$C4990))=VALUE(RIGHT(Q42,4)),"",IF($R$33="Calendar Year",Q42+1,CONCATENATE(LEFT(Q42,4)+1,"-",RIGHT(Q42,4)+1))),"")</f>
        <v>2006</v>
      </c>
      <c r="R43" s="509">
        <f t="shared" si="5"/>
        <v>162.96909348999998</v>
      </c>
      <c r="S43" s="510">
        <f t="shared" si="4"/>
        <v>4208.3325700000005</v>
      </c>
      <c r="U43" s="1097"/>
      <c r="V43" s="1181"/>
    </row>
    <row r="44" spans="1:22">
      <c r="A44" s="732">
        <v>39508</v>
      </c>
      <c r="B44" s="501">
        <v>32.680447270000002</v>
      </c>
      <c r="C44" s="502">
        <v>1071.989239</v>
      </c>
      <c r="D44" s="301">
        <f t="shared" si="0"/>
        <v>2008</v>
      </c>
      <c r="E44" s="301" t="str">
        <f t="shared" si="1"/>
        <v>1</v>
      </c>
      <c r="Q44" s="741">
        <f>IFERROR(IF(YEAR(MAX('Data - Monthly Commodity Prices'!$C$9:$C4991))=VALUE(RIGHT(Q43,4)),"",IF($R$33="Calendar Year",Q43+1,CONCATENATE(LEFT(Q43,4)+1,"-",RIGHT(Q43,4)+1))),"")</f>
        <v>2007</v>
      </c>
      <c r="R44" s="497">
        <f t="shared" si="5"/>
        <v>151.44883905999998</v>
      </c>
      <c r="S44" s="511">
        <f t="shared" si="4"/>
        <v>4039.0577290000001</v>
      </c>
      <c r="U44" s="1097"/>
      <c r="V44" s="1181"/>
    </row>
    <row r="45" spans="1:22">
      <c r="A45" s="732">
        <v>39600</v>
      </c>
      <c r="B45" s="503">
        <v>33.082373449999999</v>
      </c>
      <c r="C45" s="504">
        <v>1008.627221</v>
      </c>
      <c r="D45" s="301">
        <f t="shared" si="0"/>
        <v>2008</v>
      </c>
      <c r="E45" s="301" t="str">
        <f t="shared" si="1"/>
        <v>2</v>
      </c>
      <c r="Q45" s="741">
        <f>IFERROR(IF(YEAR(MAX('Data - Monthly Commodity Prices'!$C$9:$C4992))=VALUE(RIGHT(Q44,4)),"",IF($R$33="Calendar Year",Q44+1,CONCATENATE(LEFT(Q44,4)+1,"-",RIGHT(Q44,4)+1))),"")</f>
        <v>2008</v>
      </c>
      <c r="R45" s="509">
        <f t="shared" si="5"/>
        <v>132.07425353000002</v>
      </c>
      <c r="S45" s="510">
        <f t="shared" si="4"/>
        <v>4399.5130680000002</v>
      </c>
      <c r="U45" s="1097"/>
      <c r="V45" s="1181"/>
    </row>
    <row r="46" spans="1:22">
      <c r="A46" s="732">
        <v>39692</v>
      </c>
      <c r="B46" s="501">
        <v>31.606428690000001</v>
      </c>
      <c r="C46" s="502">
        <v>996.05240900000001</v>
      </c>
      <c r="D46" s="301">
        <f t="shared" si="0"/>
        <v>2008</v>
      </c>
      <c r="E46" s="301" t="str">
        <f t="shared" si="1"/>
        <v>3</v>
      </c>
      <c r="Q46" s="741">
        <f>IFERROR(IF(YEAR(MAX('Data - Monthly Commodity Prices'!$C$9:$C4993))=VALUE(RIGHT(Q45,4)),"",IF($R$33="Calendar Year",Q45+1,CONCATENATE(LEFT(Q45,4)+1,"-",RIGHT(Q45,4)+1))),"")</f>
        <v>2009</v>
      </c>
      <c r="R46" s="497">
        <f t="shared" si="5"/>
        <v>146.42791006000002</v>
      </c>
      <c r="S46" s="511">
        <f t="shared" si="4"/>
        <v>5814.4216130000004</v>
      </c>
      <c r="U46" s="1097"/>
      <c r="V46" s="1181"/>
    </row>
    <row r="47" spans="1:22">
      <c r="A47" s="732">
        <v>39783</v>
      </c>
      <c r="B47" s="503">
        <v>34.705004119999998</v>
      </c>
      <c r="C47" s="504">
        <v>1322.8441989999999</v>
      </c>
      <c r="D47" s="301">
        <f t="shared" si="0"/>
        <v>2008</v>
      </c>
      <c r="E47" s="301" t="str">
        <f t="shared" si="1"/>
        <v>4</v>
      </c>
      <c r="Q47" s="741">
        <f>IFERROR(IF(YEAR(MAX('Data - Monthly Commodity Prices'!$C$9:$C4994))=VALUE(RIGHT(Q46,4)),"",IF($R$33="Calendar Year",Q46+1,CONCATENATE(LEFT(Q46,4)+1,"-",RIGHT(Q46,4)+1))),"")</f>
        <v>2010</v>
      </c>
      <c r="R47" s="509">
        <f t="shared" si="5"/>
        <v>182.89955302999999</v>
      </c>
      <c r="S47" s="510">
        <f t="shared" si="4"/>
        <v>7849.1314590000002</v>
      </c>
      <c r="U47" s="1097"/>
      <c r="V47" s="1181"/>
    </row>
    <row r="48" spans="1:22">
      <c r="A48" s="732">
        <v>39873</v>
      </c>
      <c r="B48" s="501">
        <v>33.420415390000002</v>
      </c>
      <c r="C48" s="502">
        <v>1475.5212750000001</v>
      </c>
      <c r="D48" s="301">
        <f t="shared" si="0"/>
        <v>2009</v>
      </c>
      <c r="E48" s="301" t="str">
        <f t="shared" si="1"/>
        <v>1</v>
      </c>
      <c r="Q48" s="741">
        <f>IFERROR(IF(YEAR(MAX('Data - Monthly Commodity Prices'!$C$9:$C4995))=VALUE(RIGHT(Q47,4)),"",IF($R$33="Calendar Year",Q47+1,CONCATENATE(LEFT(Q47,4)+1,"-",RIGHT(Q47,4)+1))),"")</f>
        <v>2011</v>
      </c>
      <c r="R48" s="497">
        <f t="shared" si="5"/>
        <v>179.60817457000002</v>
      </c>
      <c r="S48" s="511">
        <f t="shared" si="4"/>
        <v>8793.8925789999994</v>
      </c>
      <c r="U48" s="1097"/>
      <c r="V48" s="1181"/>
    </row>
    <row r="49" spans="1:22">
      <c r="A49" s="732">
        <v>39965</v>
      </c>
      <c r="B49" s="503">
        <v>37.26501159</v>
      </c>
      <c r="C49" s="504">
        <v>1453.6864430000001</v>
      </c>
      <c r="D49" s="301">
        <f t="shared" si="0"/>
        <v>2009</v>
      </c>
      <c r="E49" s="301" t="str">
        <f t="shared" si="1"/>
        <v>2</v>
      </c>
      <c r="Q49" s="741">
        <f>IFERROR(IF(YEAR(MAX('Data - Monthly Commodity Prices'!$C$9:$C4996))=VALUE(RIGHT(Q48,4)),"",IF($R$33="Calendar Year",Q48+1,CONCATENATE(LEFT(Q48,4)+1,"-",RIGHT(Q48,4)+1))),"")</f>
        <v>2012</v>
      </c>
      <c r="R49" s="509">
        <f t="shared" si="5"/>
        <v>181.28663516</v>
      </c>
      <c r="S49" s="510">
        <f t="shared" si="4"/>
        <v>9380.3064720000002</v>
      </c>
      <c r="U49" s="1097"/>
      <c r="V49" s="1181"/>
    </row>
    <row r="50" spans="1:22">
      <c r="A50" s="732">
        <v>40057</v>
      </c>
      <c r="B50" s="501">
        <v>37.164209919999998</v>
      </c>
      <c r="C50" s="502">
        <v>1378.2166769999999</v>
      </c>
      <c r="D50" s="301">
        <f t="shared" si="0"/>
        <v>2009</v>
      </c>
      <c r="E50" s="301" t="str">
        <f t="shared" si="1"/>
        <v>3</v>
      </c>
      <c r="Q50" s="741">
        <f>IFERROR(IF(YEAR(MAX('Data - Monthly Commodity Prices'!$C$9:$C4997))=VALUE(RIGHT(Q49,4)),"",IF($R$33="Calendar Year",Q49+1,CONCATENATE(LEFT(Q49,4)+1,"-",RIGHT(Q49,4)+1))),"")</f>
        <v>2013</v>
      </c>
      <c r="R50" s="497">
        <f t="shared" si="5"/>
        <v>187.45436469999999</v>
      </c>
      <c r="S50" s="511">
        <f t="shared" si="4"/>
        <v>8742.6774399999995</v>
      </c>
      <c r="U50" s="1097"/>
      <c r="V50" s="1181"/>
    </row>
    <row r="51" spans="1:22">
      <c r="A51" s="732">
        <v>40148</v>
      </c>
      <c r="B51" s="503">
        <v>38.578273160000002</v>
      </c>
      <c r="C51" s="504">
        <v>1506.997218</v>
      </c>
      <c r="D51" s="301">
        <f t="shared" si="0"/>
        <v>2009</v>
      </c>
      <c r="E51" s="301" t="str">
        <f t="shared" si="1"/>
        <v>4</v>
      </c>
      <c r="Q51" s="741">
        <f>IFERROR(IF(YEAR(MAX('Data - Monthly Commodity Prices'!$C$9:$C4998))=VALUE(RIGHT(Q50,4)),"",IF($R$33="Calendar Year",Q50+1,CONCATENATE(LEFT(Q50,4)+1,"-",RIGHT(Q50,4)+1))),"")</f>
        <v>2014</v>
      </c>
      <c r="R51" s="509">
        <f t="shared" si="5"/>
        <v>194.73649055852593</v>
      </c>
      <c r="S51" s="510">
        <f t="shared" si="4"/>
        <v>8786.1091640000013</v>
      </c>
      <c r="U51" s="1097"/>
      <c r="V51" s="1181"/>
    </row>
    <row r="52" spans="1:22">
      <c r="A52" s="732">
        <v>40238</v>
      </c>
      <c r="B52" s="501">
        <v>45.239399200000001</v>
      </c>
      <c r="C52" s="502">
        <v>1782.434512</v>
      </c>
      <c r="D52" s="301">
        <f t="shared" si="0"/>
        <v>2010</v>
      </c>
      <c r="E52" s="301" t="str">
        <f t="shared" si="1"/>
        <v>1</v>
      </c>
      <c r="Q52" s="741">
        <f>IFERROR(IF(YEAR(MAX('Data - Monthly Commodity Prices'!$C$9:$C4999))=VALUE(RIGHT(Q51,4)),"",IF($R$33="Calendar Year",Q51+1,CONCATENATE(LEFT(Q51,4)+1,"-",RIGHT(Q51,4)+1))),"")</f>
        <v>2015</v>
      </c>
      <c r="R52" s="497">
        <f t="shared" si="5"/>
        <v>194.46998849169691</v>
      </c>
      <c r="S52" s="511">
        <f t="shared" si="4"/>
        <v>9627.6532069999994</v>
      </c>
      <c r="U52" s="1097"/>
      <c r="V52" s="1181"/>
    </row>
    <row r="53" spans="1:22">
      <c r="A53" s="732">
        <v>40330</v>
      </c>
      <c r="B53" s="503">
        <v>43.057267240000002</v>
      </c>
      <c r="C53" s="504">
        <v>1890.607653</v>
      </c>
      <c r="D53" s="301">
        <f t="shared" si="0"/>
        <v>2010</v>
      </c>
      <c r="E53" s="301" t="str">
        <f t="shared" si="1"/>
        <v>2</v>
      </c>
      <c r="Q53" s="741">
        <f>IFERROR(IF(YEAR(MAX('Data - Monthly Commodity Prices'!$C$9:$C5000))=VALUE(RIGHT(Q52,4)),"",IF($R$33="Calendar Year",Q52+1,CONCATENATE(LEFT(Q52,4)+1,"-",RIGHT(Q52,4)+1))),"")</f>
        <v>2016</v>
      </c>
      <c r="R53" s="509">
        <f t="shared" si="5"/>
        <v>197.02509114887081</v>
      </c>
      <c r="S53" s="510">
        <f>IF(Q53="","",IF($R$33="Calendar Year",SUMIF($D$8:$D$200,$Q53,$C$8:$C$200),SUMIFS($C$8:$C$200,$D$8:$D$200,LEFT($Q53,4),$E$8:$E$200,3)+SUMIFS($C$8:$C$200,$D$8:$D$200,LEFT($Q53,4),$E$8:$E$200,4)+SUMIFS($C$8:$C$200,$D$8:$D$200,LEFT($Q53,4)+1,$E$8:$E$200,1)+SUMIFS($C$8:$C$200,$D$8:$D$200,LEFT($Q53,4)+1,$E$8:$E$200,2)))</f>
        <v>10627.038843</v>
      </c>
    </row>
    <row r="54" spans="1:22">
      <c r="A54" s="732">
        <v>40422</v>
      </c>
      <c r="B54" s="501">
        <v>46.070483780000004</v>
      </c>
      <c r="C54" s="502">
        <v>2012.0115490000001</v>
      </c>
      <c r="D54" s="301">
        <f t="shared" si="0"/>
        <v>2010</v>
      </c>
      <c r="E54" s="301" t="str">
        <f t="shared" si="1"/>
        <v>3</v>
      </c>
      <c r="Q54" s="741">
        <f>IFERROR(IF(YEAR(MAX('Data - Monthly Commodity Prices'!$C$9:$C5001))=VALUE(RIGHT(Q53,4)),"",IF($R$33="Calendar Year",Q53+1,CONCATENATE(LEFT(Q53,4)+1,"-",RIGHT(Q53,4)+1))),"")</f>
        <v>2017</v>
      </c>
      <c r="R54" s="497">
        <f t="shared" si="5"/>
        <v>219.84579538151269</v>
      </c>
      <c r="S54" s="511">
        <f t="shared" ref="S54:S60" si="6">IF(Q54="","",IF($R$33="Calendar Year",SUMIF($D$8:$D$200,$Q54,$C$8:$C$200),SUMIFS($C$8:$C$200,$D$8:$D$200,LEFT($Q54,4),$E$8:$E$200,3)+SUMIFS($C$8:$C$200,$D$8:$D$200,LEFT($Q54,4),$E$8:$E$200,4)+SUMIFS($C$8:$C$200,$D$8:$D$200,LEFT($Q54,4)+1,$E$8:$E$200,1)+SUMIFS($C$8:$C$200,$D$8:$D$200,LEFT($Q54,4)+1,$E$8:$E$200,2)))</f>
        <v>11144.525042000001</v>
      </c>
    </row>
    <row r="55" spans="1:22">
      <c r="A55" s="732">
        <v>40513</v>
      </c>
      <c r="B55" s="503">
        <v>48.532402810000001</v>
      </c>
      <c r="C55" s="504">
        <v>2164.077745</v>
      </c>
      <c r="D55" s="301">
        <f t="shared" si="0"/>
        <v>2010</v>
      </c>
      <c r="E55" s="301" t="str">
        <f t="shared" si="1"/>
        <v>4</v>
      </c>
      <c r="Q55" s="741">
        <f>IFERROR(IF(YEAR(MAX('Data - Monthly Commodity Prices'!$C$9:$C5002))=VALUE(RIGHT(Q54,4)),"",IF($R$33="Calendar Year",Q54+1,CONCATENATE(LEFT(Q54,4)+1,"-",RIGHT(Q54,4)+1))),"")</f>
        <v>2018</v>
      </c>
      <c r="R55" s="509">
        <f t="shared" si="5"/>
        <v>212.11583091331136</v>
      </c>
      <c r="S55" s="510">
        <f t="shared" si="6"/>
        <v>11516.482507000001</v>
      </c>
    </row>
    <row r="56" spans="1:22">
      <c r="A56" s="732">
        <v>40603</v>
      </c>
      <c r="B56" s="501">
        <v>45.256966130000002</v>
      </c>
      <c r="C56" s="502">
        <v>2006.465418</v>
      </c>
      <c r="D56" s="301">
        <f t="shared" si="0"/>
        <v>2011</v>
      </c>
      <c r="E56" s="301" t="str">
        <f t="shared" si="1"/>
        <v>1</v>
      </c>
      <c r="Q56" s="741">
        <f>IFERROR(IF(YEAR(MAX('Data - Monthly Commodity Prices'!$C$9:$C5003))=VALUE(RIGHT(Q55,4)),"",IF($R$33="Calendar Year",Q55+1,CONCATENATE(LEFT(Q55,4)+1,"-",RIGHT(Q55,4)+1))),"")</f>
        <v>2019</v>
      </c>
      <c r="R56" s="512">
        <f t="shared" si="5"/>
        <v>218.82682638325136</v>
      </c>
      <c r="S56" s="513">
        <f t="shared" si="6"/>
        <v>13787.397590999999</v>
      </c>
    </row>
    <row r="57" spans="1:22">
      <c r="A57" s="732">
        <v>40695</v>
      </c>
      <c r="B57" s="503">
        <v>43.890888660000002</v>
      </c>
      <c r="C57" s="504">
        <v>2001.632744</v>
      </c>
      <c r="D57" s="301">
        <f t="shared" si="0"/>
        <v>2011</v>
      </c>
      <c r="E57" s="301" t="str">
        <f t="shared" si="1"/>
        <v>2</v>
      </c>
      <c r="Q57" s="741" t="str">
        <f>IFERROR(IF(YEAR(MAX('Data - Monthly Commodity Prices'!$C$9:$C5004))=VALUE(RIGHT(Q56,4)),"",IF($R$33="Calendar Year",Q56+1,CONCATENATE(LEFT(Q56,4)+1,"-",RIGHT(Q56,4)+1))),"")</f>
        <v/>
      </c>
      <c r="R57" s="509" t="str">
        <f t="shared" si="5"/>
        <v/>
      </c>
      <c r="S57" s="510" t="str">
        <f t="shared" si="6"/>
        <v/>
      </c>
    </row>
    <row r="58" spans="1:22">
      <c r="A58" s="732">
        <v>40787</v>
      </c>
      <c r="B58" s="501">
        <v>46.50763122</v>
      </c>
      <c r="C58" s="502">
        <v>2424.520254</v>
      </c>
      <c r="D58" s="301">
        <f t="shared" si="0"/>
        <v>2011</v>
      </c>
      <c r="E58" s="301" t="str">
        <f t="shared" si="1"/>
        <v>3</v>
      </c>
      <c r="Q58" s="741" t="str">
        <f>IFERROR(IF(YEAR(MAX('Data - Monthly Commodity Prices'!$C$9:$C5005))=VALUE(RIGHT(Q57,4)),"",IF($R$33="Calendar Year",Q57+1,CONCATENATE(LEFT(Q57,4)+1,"-",RIGHT(Q57,4)+1))),"")</f>
        <v/>
      </c>
      <c r="R58" s="497" t="str">
        <f t="shared" si="5"/>
        <v/>
      </c>
      <c r="S58" s="511" t="str">
        <f t="shared" si="6"/>
        <v/>
      </c>
    </row>
    <row r="59" spans="1:22">
      <c r="A59" s="732">
        <v>40878</v>
      </c>
      <c r="B59" s="503">
        <v>43.952688559999999</v>
      </c>
      <c r="C59" s="504">
        <v>2361.274163</v>
      </c>
      <c r="D59" s="301">
        <f t="shared" si="0"/>
        <v>2011</v>
      </c>
      <c r="E59" s="301" t="str">
        <f t="shared" si="1"/>
        <v>4</v>
      </c>
      <c r="G59" s="407"/>
      <c r="Q59" s="741" t="str">
        <f>IFERROR(IF(YEAR(MAX('Data - Monthly Commodity Prices'!$C$9:$C5006))=VALUE(RIGHT(Q58,4)),"",IF($R$33="Calendar Year",Q58+1,CONCATENATE(LEFT(Q58,4)+1,"-",RIGHT(Q58,4)+1))),"")</f>
        <v/>
      </c>
      <c r="R59" s="509" t="str">
        <f t="shared" si="5"/>
        <v/>
      </c>
      <c r="S59" s="510" t="str">
        <f t="shared" si="6"/>
        <v/>
      </c>
    </row>
    <row r="60" spans="1:22" ht="15.75" thickBot="1">
      <c r="A60" s="732">
        <v>40969</v>
      </c>
      <c r="B60" s="501">
        <v>46.517585840000002</v>
      </c>
      <c r="C60" s="502">
        <v>2393.0271120000002</v>
      </c>
      <c r="D60" s="301">
        <f t="shared" si="0"/>
        <v>2012</v>
      </c>
      <c r="E60" s="301" t="str">
        <f t="shared" si="1"/>
        <v>1</v>
      </c>
      <c r="G60" s="407"/>
      <c r="Q60" s="742" t="str">
        <f>IFERROR(IF(YEAR(MAX('Data - Monthly Commodity Prices'!$C$9:$C5007))=VALUE(RIGHT(Q59,4)),"",IF($R$33="Calendar Year",Q59+1,CONCATENATE(LEFT(Q59,4)+1,"-",RIGHT(Q59,4)+1))),"")</f>
        <v/>
      </c>
      <c r="R60" s="514" t="str">
        <f t="shared" si="5"/>
        <v/>
      </c>
      <c r="S60" s="515" t="str">
        <f t="shared" si="6"/>
        <v/>
      </c>
    </row>
    <row r="61" spans="1:22">
      <c r="A61" s="732">
        <v>41061</v>
      </c>
      <c r="B61" s="503">
        <v>43.793330660000002</v>
      </c>
      <c r="C61" s="504">
        <v>2242.6617980000001</v>
      </c>
      <c r="D61" s="301">
        <f t="shared" si="0"/>
        <v>2012</v>
      </c>
      <c r="E61" s="301" t="str">
        <f t="shared" si="1"/>
        <v>2</v>
      </c>
      <c r="G61" s="407"/>
    </row>
    <row r="62" spans="1:22">
      <c r="A62" s="732">
        <v>41153</v>
      </c>
      <c r="B62" s="501">
        <v>44.712392080000001</v>
      </c>
      <c r="C62" s="502">
        <v>2284.4757519999998</v>
      </c>
      <c r="D62" s="301">
        <f t="shared" si="0"/>
        <v>2012</v>
      </c>
      <c r="E62" s="301" t="str">
        <f t="shared" si="1"/>
        <v>3</v>
      </c>
      <c r="G62" s="407"/>
    </row>
    <row r="63" spans="1:22">
      <c r="A63" s="732">
        <v>41244</v>
      </c>
      <c r="B63" s="503">
        <v>46.263326579999998</v>
      </c>
      <c r="C63" s="504">
        <v>2460.1418100000001</v>
      </c>
      <c r="D63" s="301">
        <f t="shared" si="0"/>
        <v>2012</v>
      </c>
      <c r="E63" s="301" t="str">
        <f t="shared" si="1"/>
        <v>4</v>
      </c>
      <c r="F63" s="407"/>
      <c r="G63" s="407"/>
    </row>
    <row r="64" spans="1:22">
      <c r="A64" s="732">
        <v>41334</v>
      </c>
      <c r="B64" s="501">
        <v>43.726069510000002</v>
      </c>
      <c r="C64" s="502">
        <v>2207.942571</v>
      </c>
      <c r="D64" s="301">
        <f t="shared" si="0"/>
        <v>2013</v>
      </c>
      <c r="E64" s="301" t="str">
        <f t="shared" si="1"/>
        <v>1</v>
      </c>
      <c r="G64" s="407"/>
    </row>
    <row r="65" spans="1:8">
      <c r="A65" s="732">
        <v>41426</v>
      </c>
      <c r="B65" s="503">
        <v>45.147227119999997</v>
      </c>
      <c r="C65" s="504">
        <v>2069.9618850000002</v>
      </c>
      <c r="D65" s="301">
        <f t="shared" si="0"/>
        <v>2013</v>
      </c>
      <c r="E65" s="301" t="str">
        <f t="shared" si="1"/>
        <v>2</v>
      </c>
      <c r="G65" s="407"/>
    </row>
    <row r="66" spans="1:8">
      <c r="A66" s="732">
        <v>41518</v>
      </c>
      <c r="B66" s="501">
        <v>49.23385743</v>
      </c>
      <c r="C66" s="502">
        <v>2290.6239599999999</v>
      </c>
      <c r="D66" s="301">
        <f t="shared" si="0"/>
        <v>2013</v>
      </c>
      <c r="E66" s="301" t="str">
        <f t="shared" si="1"/>
        <v>3</v>
      </c>
      <c r="G66" s="407"/>
    </row>
    <row r="67" spans="1:8">
      <c r="A67" s="732">
        <v>41609</v>
      </c>
      <c r="B67" s="503">
        <v>49.34721064</v>
      </c>
      <c r="C67" s="504">
        <v>2174.1490239999998</v>
      </c>
      <c r="D67" s="301">
        <f t="shared" si="0"/>
        <v>2013</v>
      </c>
      <c r="E67" s="301" t="str">
        <f t="shared" si="1"/>
        <v>4</v>
      </c>
      <c r="G67" s="407"/>
    </row>
    <row r="68" spans="1:8">
      <c r="A68" s="732">
        <v>41699</v>
      </c>
      <c r="B68" s="501">
        <v>48.814820703748296</v>
      </c>
      <c r="C68" s="502">
        <v>2265.7737750000001</v>
      </c>
      <c r="D68" s="301">
        <f t="shared" si="0"/>
        <v>2014</v>
      </c>
      <c r="E68" s="301" t="str">
        <f t="shared" si="1"/>
        <v>1</v>
      </c>
      <c r="F68" s="407"/>
      <c r="G68" s="407"/>
    </row>
    <row r="69" spans="1:8">
      <c r="A69" s="732">
        <v>41791</v>
      </c>
      <c r="B69" s="503">
        <v>48.677674482981708</v>
      </c>
      <c r="C69" s="504">
        <v>2160.4482870000002</v>
      </c>
      <c r="D69" s="301">
        <f t="shared" si="0"/>
        <v>2014</v>
      </c>
      <c r="E69" s="301" t="str">
        <f t="shared" si="1"/>
        <v>2</v>
      </c>
      <c r="F69" s="407"/>
      <c r="G69" s="407"/>
    </row>
    <row r="70" spans="1:8">
      <c r="A70" s="732">
        <v>41883</v>
      </c>
      <c r="B70" s="501">
        <v>48.544154030860916</v>
      </c>
      <c r="C70" s="502">
        <v>2161.5345440000001</v>
      </c>
      <c r="D70" s="301">
        <f t="shared" si="0"/>
        <v>2014</v>
      </c>
      <c r="E70" s="301" t="str">
        <f t="shared" si="1"/>
        <v>3</v>
      </c>
      <c r="F70" s="407"/>
      <c r="G70" s="407"/>
    </row>
    <row r="71" spans="1:8">
      <c r="A71" s="732">
        <v>41974</v>
      </c>
      <c r="B71" s="503">
        <v>48.699841340935038</v>
      </c>
      <c r="C71" s="504">
        <v>2198.352558</v>
      </c>
      <c r="D71" s="301">
        <f t="shared" si="0"/>
        <v>2014</v>
      </c>
      <c r="E71" s="301" t="str">
        <f t="shared" si="1"/>
        <v>4</v>
      </c>
      <c r="F71" s="407"/>
      <c r="G71" s="407"/>
    </row>
    <row r="72" spans="1:8">
      <c r="A72" s="733">
        <v>42064</v>
      </c>
      <c r="B72" s="501">
        <v>47.123750307147283</v>
      </c>
      <c r="C72" s="502">
        <v>2345.6551949999998</v>
      </c>
      <c r="D72" s="301">
        <f>YEAR(A72)</f>
        <v>2015</v>
      </c>
      <c r="E72" s="301" t="str">
        <f t="shared" si="1"/>
        <v>1</v>
      </c>
      <c r="F72" s="407"/>
      <c r="G72" s="407"/>
    </row>
    <row r="73" spans="1:8">
      <c r="A73" s="733">
        <v>42156</v>
      </c>
      <c r="B73" s="503">
        <v>48.794618904098513</v>
      </c>
      <c r="C73" s="504">
        <v>2401.6256450000001</v>
      </c>
      <c r="D73" s="301">
        <f>YEAR(A73)</f>
        <v>2015</v>
      </c>
      <c r="E73" s="301" t="str">
        <f>IF(MONTH(A73)=3,"1",IF(MONTH(A73)=6,"2",IF(MONTH(A73)=9,"3","4")))</f>
        <v>2</v>
      </c>
      <c r="F73" s="407"/>
      <c r="G73" s="407"/>
    </row>
    <row r="74" spans="1:8">
      <c r="A74" s="733">
        <v>42248</v>
      </c>
      <c r="B74" s="501">
        <v>47.839176689776579</v>
      </c>
      <c r="C74" s="502">
        <v>2382.0840240000002</v>
      </c>
      <c r="D74" s="301">
        <f>YEAR(A74)</f>
        <v>2015</v>
      </c>
      <c r="E74" s="301" t="str">
        <f>IF(MONTH(A74)=3,"1",IF(MONTH(A74)=6,"2",IF(MONTH(A74)=9,"3","4")))</f>
        <v>3</v>
      </c>
      <c r="F74" s="407"/>
      <c r="G74" s="407"/>
    </row>
    <row r="75" spans="1:8">
      <c r="A75" s="733">
        <v>42339</v>
      </c>
      <c r="B75" s="503">
        <v>50.712442590674556</v>
      </c>
      <c r="C75" s="504">
        <v>2498.2883430000002</v>
      </c>
      <c r="D75" s="301">
        <f>YEAR(A75)</f>
        <v>2015</v>
      </c>
      <c r="E75" s="301" t="str">
        <f>IF(MONTH(A75)=3,"1",IF(MONTH(A75)=6,"2",IF(MONTH(A75)=9,"3","4")))</f>
        <v>4</v>
      </c>
      <c r="F75" s="407"/>
      <c r="G75" s="407"/>
      <c r="H75" s="407"/>
    </row>
    <row r="76" spans="1:8">
      <c r="A76" s="733">
        <v>42430</v>
      </c>
      <c r="B76" s="501">
        <v>48.788435772782563</v>
      </c>
      <c r="C76" s="502">
        <v>2574.6538030000002</v>
      </c>
      <c r="D76" s="301">
        <f t="shared" ref="D76:D139" si="7">YEAR(A76)</f>
        <v>2016</v>
      </c>
      <c r="E76" s="301" t="str">
        <f t="shared" ref="E76:E139" si="8">IF(MONTH(A76)=3,"1",IF(MONTH(A76)=6,"2",IF(MONTH(A76)=9,"3","4")))</f>
        <v>1</v>
      </c>
      <c r="F76" s="407"/>
      <c r="G76" s="407"/>
    </row>
    <row r="77" spans="1:8">
      <c r="A77" s="733">
        <v>42522</v>
      </c>
      <c r="B77" s="503">
        <v>48.628272759224537</v>
      </c>
      <c r="C77" s="504">
        <v>2649.4881289999998</v>
      </c>
      <c r="D77" s="301">
        <f t="shared" si="7"/>
        <v>2016</v>
      </c>
      <c r="E77" s="301" t="str">
        <f t="shared" si="8"/>
        <v>2</v>
      </c>
      <c r="F77" s="407"/>
      <c r="G77" s="407"/>
    </row>
    <row r="78" spans="1:8">
      <c r="A78" s="733">
        <v>42614</v>
      </c>
      <c r="B78" s="501">
        <v>47.875898814022726</v>
      </c>
      <c r="C78" s="502">
        <v>2708.3811460000002</v>
      </c>
      <c r="D78" s="301">
        <f t="shared" si="7"/>
        <v>2016</v>
      </c>
      <c r="E78" s="301" t="str">
        <f t="shared" si="8"/>
        <v>3</v>
      </c>
      <c r="F78" s="407"/>
      <c r="G78" s="407"/>
    </row>
    <row r="79" spans="1:8">
      <c r="A79" s="733">
        <v>42705</v>
      </c>
      <c r="B79" s="503">
        <v>51.732483802840989</v>
      </c>
      <c r="C79" s="504">
        <v>2694.5157650000001</v>
      </c>
      <c r="D79" s="301">
        <f t="shared" si="7"/>
        <v>2016</v>
      </c>
      <c r="E79" s="301" t="str">
        <f t="shared" si="8"/>
        <v>4</v>
      </c>
      <c r="F79" s="407"/>
      <c r="G79" s="407"/>
    </row>
    <row r="80" spans="1:8">
      <c r="A80" s="733">
        <v>42795</v>
      </c>
      <c r="B80" s="501">
        <v>51.146496094952838</v>
      </c>
      <c r="C80" s="502">
        <v>2644.2052880000001</v>
      </c>
      <c r="D80" s="301">
        <f t="shared" si="7"/>
        <v>2017</v>
      </c>
      <c r="E80" s="301" t="str">
        <f t="shared" si="8"/>
        <v>1</v>
      </c>
    </row>
    <row r="81" spans="1:5">
      <c r="A81" s="733">
        <v>42887</v>
      </c>
      <c r="B81" s="503">
        <v>52.247994040565196</v>
      </c>
      <c r="C81" s="504">
        <v>2812.4720219999999</v>
      </c>
      <c r="D81" s="301">
        <f t="shared" si="7"/>
        <v>2017</v>
      </c>
      <c r="E81" s="301" t="str">
        <f t="shared" si="8"/>
        <v>2</v>
      </c>
    </row>
    <row r="82" spans="1:5">
      <c r="A82" s="733">
        <v>42979</v>
      </c>
      <c r="B82" s="501">
        <v>61.923837663640299</v>
      </c>
      <c r="C82" s="502">
        <v>2778.87113</v>
      </c>
      <c r="D82" s="301">
        <f t="shared" si="7"/>
        <v>2017</v>
      </c>
      <c r="E82" s="301" t="str">
        <f t="shared" si="8"/>
        <v>3</v>
      </c>
    </row>
    <row r="83" spans="1:5">
      <c r="A83" s="733">
        <v>43070</v>
      </c>
      <c r="B83" s="503">
        <v>54.527467582354362</v>
      </c>
      <c r="C83" s="504">
        <v>2908.9766020000002</v>
      </c>
      <c r="D83" s="301">
        <f t="shared" si="7"/>
        <v>2017</v>
      </c>
      <c r="E83" s="301" t="str">
        <f t="shared" si="8"/>
        <v>4</v>
      </c>
    </row>
    <row r="84" spans="1:5">
      <c r="A84" s="733">
        <v>43160</v>
      </c>
      <c r="B84" s="501">
        <v>48.261774238196978</v>
      </c>
      <c r="C84" s="502">
        <v>2623.0905389999998</v>
      </c>
      <c r="D84" s="301">
        <f t="shared" si="7"/>
        <v>2018</v>
      </c>
      <c r="E84" s="301" t="str">
        <f t="shared" si="8"/>
        <v>1</v>
      </c>
    </row>
    <row r="85" spans="1:5">
      <c r="A85" s="733">
        <v>43252</v>
      </c>
      <c r="B85" s="503">
        <v>56.329034671095798</v>
      </c>
      <c r="C85" s="504">
        <v>3124.627978</v>
      </c>
      <c r="D85" s="301">
        <f t="shared" si="7"/>
        <v>2018</v>
      </c>
      <c r="E85" s="301" t="str">
        <f t="shared" si="8"/>
        <v>2</v>
      </c>
    </row>
    <row r="86" spans="1:5">
      <c r="A86" s="733">
        <v>43344</v>
      </c>
      <c r="B86" s="501">
        <v>52.161586963891914</v>
      </c>
      <c r="C86" s="1529">
        <v>2780.8612419999999</v>
      </c>
      <c r="D86" s="301">
        <f t="shared" si="7"/>
        <v>2018</v>
      </c>
      <c r="E86" s="301" t="str">
        <f t="shared" si="8"/>
        <v>3</v>
      </c>
    </row>
    <row r="87" spans="1:5">
      <c r="A87" s="733">
        <v>43435</v>
      </c>
      <c r="B87" s="503">
        <v>55.363435040126674</v>
      </c>
      <c r="C87" s="504">
        <v>2987.902748</v>
      </c>
      <c r="D87" s="301">
        <f t="shared" si="7"/>
        <v>2018</v>
      </c>
      <c r="E87" s="301" t="str">
        <f t="shared" si="8"/>
        <v>4</v>
      </c>
    </row>
    <row r="88" spans="1:5">
      <c r="A88" s="733">
        <v>43525</v>
      </c>
      <c r="B88" s="501">
        <v>52.10808094380527</v>
      </c>
      <c r="C88" s="1529">
        <v>3065.565396</v>
      </c>
      <c r="D88" s="301">
        <f t="shared" si="7"/>
        <v>2019</v>
      </c>
      <c r="E88" s="301" t="str">
        <f t="shared" si="8"/>
        <v>1</v>
      </c>
    </row>
    <row r="89" spans="1:5">
      <c r="A89" s="733">
        <v>43617</v>
      </c>
      <c r="B89" s="503">
        <v>51.900464220063618</v>
      </c>
      <c r="C89" s="504">
        <v>3123.4105679999998</v>
      </c>
      <c r="D89" s="301">
        <f t="shared" si="7"/>
        <v>2019</v>
      </c>
      <c r="E89" s="301" t="str">
        <f t="shared" si="8"/>
        <v>2</v>
      </c>
    </row>
    <row r="90" spans="1:5">
      <c r="A90" s="733">
        <v>43709</v>
      </c>
      <c r="B90" s="501">
        <v>57.448625784197539</v>
      </c>
      <c r="C90" s="1529">
        <v>3598.3352810000001</v>
      </c>
      <c r="D90" s="301">
        <f t="shared" si="7"/>
        <v>2019</v>
      </c>
      <c r="E90" s="301" t="str">
        <f t="shared" si="8"/>
        <v>3</v>
      </c>
    </row>
    <row r="91" spans="1:5" ht="15.75" thickBot="1">
      <c r="A91" s="734">
        <v>43800</v>
      </c>
      <c r="B91" s="505">
        <v>57.369655435184931</v>
      </c>
      <c r="C91" s="506">
        <v>4000.086346</v>
      </c>
      <c r="D91" s="301">
        <f t="shared" si="7"/>
        <v>2019</v>
      </c>
      <c r="E91" s="301" t="str">
        <f t="shared" si="8"/>
        <v>4</v>
      </c>
    </row>
    <row r="92" spans="1:5">
      <c r="D92" s="301">
        <f t="shared" si="7"/>
        <v>1900</v>
      </c>
      <c r="E92" s="301" t="str">
        <f t="shared" si="8"/>
        <v>4</v>
      </c>
    </row>
    <row r="93" spans="1:5">
      <c r="D93" s="301">
        <f t="shared" si="7"/>
        <v>1900</v>
      </c>
      <c r="E93" s="301" t="str">
        <f t="shared" si="8"/>
        <v>4</v>
      </c>
    </row>
    <row r="94" spans="1:5">
      <c r="D94" s="301">
        <f t="shared" si="7"/>
        <v>1900</v>
      </c>
      <c r="E94" s="301" t="str">
        <f t="shared" si="8"/>
        <v>4</v>
      </c>
    </row>
    <row r="95" spans="1:5">
      <c r="D95" s="301">
        <f t="shared" si="7"/>
        <v>1900</v>
      </c>
      <c r="E95" s="301" t="str">
        <f t="shared" si="8"/>
        <v>4</v>
      </c>
    </row>
    <row r="96" spans="1:5">
      <c r="D96" s="301">
        <f t="shared" si="7"/>
        <v>1900</v>
      </c>
      <c r="E96" s="301" t="str">
        <f t="shared" si="8"/>
        <v>4</v>
      </c>
    </row>
    <row r="97" spans="4:5">
      <c r="D97" s="301">
        <f t="shared" si="7"/>
        <v>1900</v>
      </c>
      <c r="E97" s="301" t="str">
        <f t="shared" si="8"/>
        <v>4</v>
      </c>
    </row>
    <row r="98" spans="4:5">
      <c r="D98" s="301">
        <f t="shared" si="7"/>
        <v>1900</v>
      </c>
      <c r="E98" s="301" t="str">
        <f t="shared" si="8"/>
        <v>4</v>
      </c>
    </row>
    <row r="99" spans="4:5">
      <c r="D99" s="301">
        <f t="shared" si="7"/>
        <v>1900</v>
      </c>
      <c r="E99" s="301" t="str">
        <f t="shared" si="8"/>
        <v>4</v>
      </c>
    </row>
    <row r="100" spans="4:5">
      <c r="D100" s="301">
        <f t="shared" si="7"/>
        <v>1900</v>
      </c>
      <c r="E100" s="301" t="str">
        <f t="shared" si="8"/>
        <v>4</v>
      </c>
    </row>
    <row r="101" spans="4:5">
      <c r="D101" s="301">
        <f t="shared" si="7"/>
        <v>1900</v>
      </c>
      <c r="E101" s="301" t="str">
        <f t="shared" si="8"/>
        <v>4</v>
      </c>
    </row>
    <row r="102" spans="4:5">
      <c r="D102" s="301">
        <f t="shared" si="7"/>
        <v>1900</v>
      </c>
      <c r="E102" s="301" t="str">
        <f t="shared" si="8"/>
        <v>4</v>
      </c>
    </row>
    <row r="103" spans="4:5">
      <c r="D103" s="301">
        <f t="shared" si="7"/>
        <v>1900</v>
      </c>
      <c r="E103" s="301" t="str">
        <f t="shared" si="8"/>
        <v>4</v>
      </c>
    </row>
    <row r="104" spans="4:5">
      <c r="D104" s="301">
        <f t="shared" si="7"/>
        <v>1900</v>
      </c>
      <c r="E104" s="301" t="str">
        <f t="shared" si="8"/>
        <v>4</v>
      </c>
    </row>
    <row r="105" spans="4:5">
      <c r="D105" s="301">
        <f t="shared" si="7"/>
        <v>1900</v>
      </c>
      <c r="E105" s="301" t="str">
        <f t="shared" si="8"/>
        <v>4</v>
      </c>
    </row>
    <row r="106" spans="4:5">
      <c r="D106" s="301">
        <f t="shared" si="7"/>
        <v>1900</v>
      </c>
      <c r="E106" s="301" t="str">
        <f t="shared" si="8"/>
        <v>4</v>
      </c>
    </row>
    <row r="107" spans="4:5">
      <c r="D107" s="301">
        <f t="shared" si="7"/>
        <v>1900</v>
      </c>
      <c r="E107" s="301" t="str">
        <f t="shared" si="8"/>
        <v>4</v>
      </c>
    </row>
    <row r="108" spans="4:5">
      <c r="D108" s="301">
        <f t="shared" si="7"/>
        <v>1900</v>
      </c>
      <c r="E108" s="301" t="str">
        <f t="shared" si="8"/>
        <v>4</v>
      </c>
    </row>
    <row r="109" spans="4:5">
      <c r="D109" s="301">
        <f t="shared" si="7"/>
        <v>1900</v>
      </c>
      <c r="E109" s="301" t="str">
        <f t="shared" si="8"/>
        <v>4</v>
      </c>
    </row>
    <row r="110" spans="4:5">
      <c r="D110" s="301">
        <f t="shared" si="7"/>
        <v>1900</v>
      </c>
      <c r="E110" s="301" t="str">
        <f t="shared" si="8"/>
        <v>4</v>
      </c>
    </row>
    <row r="111" spans="4:5">
      <c r="D111" s="301">
        <f t="shared" si="7"/>
        <v>1900</v>
      </c>
      <c r="E111" s="301" t="str">
        <f t="shared" si="8"/>
        <v>4</v>
      </c>
    </row>
    <row r="112" spans="4:5">
      <c r="D112" s="301">
        <f t="shared" si="7"/>
        <v>1900</v>
      </c>
      <c r="E112" s="301" t="str">
        <f t="shared" si="8"/>
        <v>4</v>
      </c>
    </row>
    <row r="113" spans="4:5">
      <c r="D113" s="301">
        <f t="shared" si="7"/>
        <v>1900</v>
      </c>
      <c r="E113" s="301" t="str">
        <f t="shared" si="8"/>
        <v>4</v>
      </c>
    </row>
    <row r="114" spans="4:5">
      <c r="D114" s="301">
        <f t="shared" si="7"/>
        <v>1900</v>
      </c>
      <c r="E114" s="301" t="str">
        <f t="shared" si="8"/>
        <v>4</v>
      </c>
    </row>
    <row r="115" spans="4:5">
      <c r="D115" s="301">
        <f t="shared" si="7"/>
        <v>1900</v>
      </c>
      <c r="E115" s="301" t="str">
        <f t="shared" si="8"/>
        <v>4</v>
      </c>
    </row>
    <row r="116" spans="4:5">
      <c r="D116" s="301">
        <f t="shared" si="7"/>
        <v>1900</v>
      </c>
      <c r="E116" s="301" t="str">
        <f t="shared" si="8"/>
        <v>4</v>
      </c>
    </row>
    <row r="117" spans="4:5">
      <c r="D117" s="301">
        <f t="shared" si="7"/>
        <v>1900</v>
      </c>
      <c r="E117" s="301" t="str">
        <f t="shared" si="8"/>
        <v>4</v>
      </c>
    </row>
    <row r="118" spans="4:5">
      <c r="D118" s="301">
        <f t="shared" si="7"/>
        <v>1900</v>
      </c>
      <c r="E118" s="301" t="str">
        <f t="shared" si="8"/>
        <v>4</v>
      </c>
    </row>
    <row r="119" spans="4:5">
      <c r="D119" s="301">
        <f t="shared" si="7"/>
        <v>1900</v>
      </c>
      <c r="E119" s="301" t="str">
        <f t="shared" si="8"/>
        <v>4</v>
      </c>
    </row>
    <row r="120" spans="4:5">
      <c r="D120" s="301">
        <f t="shared" si="7"/>
        <v>1900</v>
      </c>
      <c r="E120" s="301" t="str">
        <f t="shared" si="8"/>
        <v>4</v>
      </c>
    </row>
    <row r="121" spans="4:5">
      <c r="D121" s="301">
        <f t="shared" si="7"/>
        <v>1900</v>
      </c>
      <c r="E121" s="301" t="str">
        <f t="shared" si="8"/>
        <v>4</v>
      </c>
    </row>
    <row r="122" spans="4:5">
      <c r="D122" s="301">
        <f t="shared" si="7"/>
        <v>1900</v>
      </c>
      <c r="E122" s="301" t="str">
        <f t="shared" si="8"/>
        <v>4</v>
      </c>
    </row>
    <row r="123" spans="4:5">
      <c r="D123" s="301">
        <f t="shared" si="7"/>
        <v>1900</v>
      </c>
      <c r="E123" s="301" t="str">
        <f t="shared" si="8"/>
        <v>4</v>
      </c>
    </row>
    <row r="124" spans="4:5">
      <c r="D124" s="301">
        <f t="shared" si="7"/>
        <v>1900</v>
      </c>
      <c r="E124" s="301" t="str">
        <f t="shared" si="8"/>
        <v>4</v>
      </c>
    </row>
    <row r="125" spans="4:5">
      <c r="D125" s="301">
        <f t="shared" si="7"/>
        <v>1900</v>
      </c>
      <c r="E125" s="301" t="str">
        <f t="shared" si="8"/>
        <v>4</v>
      </c>
    </row>
    <row r="126" spans="4:5">
      <c r="D126" s="301">
        <f t="shared" si="7"/>
        <v>1900</v>
      </c>
      <c r="E126" s="301" t="str">
        <f t="shared" si="8"/>
        <v>4</v>
      </c>
    </row>
    <row r="127" spans="4:5">
      <c r="D127" s="301">
        <f t="shared" si="7"/>
        <v>1900</v>
      </c>
      <c r="E127" s="301" t="str">
        <f t="shared" si="8"/>
        <v>4</v>
      </c>
    </row>
    <row r="128" spans="4:5">
      <c r="D128" s="301">
        <f t="shared" si="7"/>
        <v>1900</v>
      </c>
      <c r="E128" s="301" t="str">
        <f t="shared" si="8"/>
        <v>4</v>
      </c>
    </row>
    <row r="129" spans="4:5">
      <c r="D129" s="301">
        <f t="shared" si="7"/>
        <v>1900</v>
      </c>
      <c r="E129" s="301" t="str">
        <f t="shared" si="8"/>
        <v>4</v>
      </c>
    </row>
    <row r="130" spans="4:5">
      <c r="D130" s="301">
        <f t="shared" si="7"/>
        <v>1900</v>
      </c>
      <c r="E130" s="301" t="str">
        <f t="shared" si="8"/>
        <v>4</v>
      </c>
    </row>
    <row r="131" spans="4:5">
      <c r="D131" s="301">
        <f t="shared" si="7"/>
        <v>1900</v>
      </c>
      <c r="E131" s="301" t="str">
        <f t="shared" si="8"/>
        <v>4</v>
      </c>
    </row>
    <row r="132" spans="4:5">
      <c r="D132" s="301">
        <f t="shared" si="7"/>
        <v>1900</v>
      </c>
      <c r="E132" s="301" t="str">
        <f t="shared" si="8"/>
        <v>4</v>
      </c>
    </row>
    <row r="133" spans="4:5">
      <c r="D133" s="301">
        <f t="shared" si="7"/>
        <v>1900</v>
      </c>
      <c r="E133" s="301" t="str">
        <f t="shared" si="8"/>
        <v>4</v>
      </c>
    </row>
    <row r="134" spans="4:5">
      <c r="D134" s="301">
        <f t="shared" si="7"/>
        <v>1900</v>
      </c>
      <c r="E134" s="301" t="str">
        <f t="shared" si="8"/>
        <v>4</v>
      </c>
    </row>
    <row r="135" spans="4:5">
      <c r="D135" s="301">
        <f t="shared" si="7"/>
        <v>1900</v>
      </c>
      <c r="E135" s="301" t="str">
        <f t="shared" si="8"/>
        <v>4</v>
      </c>
    </row>
    <row r="136" spans="4:5">
      <c r="D136" s="301">
        <f t="shared" si="7"/>
        <v>1900</v>
      </c>
      <c r="E136" s="301" t="str">
        <f t="shared" si="8"/>
        <v>4</v>
      </c>
    </row>
    <row r="137" spans="4:5">
      <c r="D137" s="301">
        <f t="shared" si="7"/>
        <v>1900</v>
      </c>
      <c r="E137" s="301" t="str">
        <f t="shared" si="8"/>
        <v>4</v>
      </c>
    </row>
    <row r="138" spans="4:5">
      <c r="D138" s="301">
        <f t="shared" si="7"/>
        <v>1900</v>
      </c>
      <c r="E138" s="301" t="str">
        <f t="shared" si="8"/>
        <v>4</v>
      </c>
    </row>
    <row r="139" spans="4:5">
      <c r="D139" s="301">
        <f t="shared" si="7"/>
        <v>1900</v>
      </c>
      <c r="E139" s="301" t="str">
        <f t="shared" si="8"/>
        <v>4</v>
      </c>
    </row>
    <row r="140" spans="4:5">
      <c r="D140" s="301">
        <f t="shared" ref="D140:D203" si="9">YEAR(A140)</f>
        <v>1900</v>
      </c>
      <c r="E140" s="301" t="str">
        <f t="shared" ref="E140:E203" si="10">IF(MONTH(A140)=3,"1",IF(MONTH(A140)=6,"2",IF(MONTH(A140)=9,"3","4")))</f>
        <v>4</v>
      </c>
    </row>
    <row r="141" spans="4:5">
      <c r="D141" s="301">
        <f t="shared" si="9"/>
        <v>1900</v>
      </c>
      <c r="E141" s="301" t="str">
        <f t="shared" si="10"/>
        <v>4</v>
      </c>
    </row>
    <row r="142" spans="4:5">
      <c r="D142" s="301">
        <f t="shared" si="9"/>
        <v>1900</v>
      </c>
      <c r="E142" s="301" t="str">
        <f t="shared" si="10"/>
        <v>4</v>
      </c>
    </row>
    <row r="143" spans="4:5">
      <c r="D143" s="301">
        <f t="shared" si="9"/>
        <v>1900</v>
      </c>
      <c r="E143" s="301" t="str">
        <f t="shared" si="10"/>
        <v>4</v>
      </c>
    </row>
    <row r="144" spans="4:5">
      <c r="D144" s="301">
        <f t="shared" si="9"/>
        <v>1900</v>
      </c>
      <c r="E144" s="301" t="str">
        <f t="shared" si="10"/>
        <v>4</v>
      </c>
    </row>
    <row r="145" spans="4:5">
      <c r="D145" s="301">
        <f t="shared" si="9"/>
        <v>1900</v>
      </c>
      <c r="E145" s="301" t="str">
        <f t="shared" si="10"/>
        <v>4</v>
      </c>
    </row>
    <row r="146" spans="4:5">
      <c r="D146" s="301">
        <f t="shared" si="9"/>
        <v>1900</v>
      </c>
      <c r="E146" s="301" t="str">
        <f t="shared" si="10"/>
        <v>4</v>
      </c>
    </row>
    <row r="147" spans="4:5">
      <c r="D147" s="301">
        <f t="shared" si="9"/>
        <v>1900</v>
      </c>
      <c r="E147" s="301" t="str">
        <f t="shared" si="10"/>
        <v>4</v>
      </c>
    </row>
    <row r="148" spans="4:5">
      <c r="D148" s="301">
        <f t="shared" si="9"/>
        <v>1900</v>
      </c>
      <c r="E148" s="301" t="str">
        <f t="shared" si="10"/>
        <v>4</v>
      </c>
    </row>
    <row r="149" spans="4:5">
      <c r="D149" s="301">
        <f t="shared" si="9"/>
        <v>1900</v>
      </c>
      <c r="E149" s="301" t="str">
        <f t="shared" si="10"/>
        <v>4</v>
      </c>
    </row>
    <row r="150" spans="4:5">
      <c r="D150" s="301">
        <f t="shared" si="9"/>
        <v>1900</v>
      </c>
      <c r="E150" s="301" t="str">
        <f t="shared" si="10"/>
        <v>4</v>
      </c>
    </row>
    <row r="151" spans="4:5">
      <c r="D151" s="301">
        <f t="shared" si="9"/>
        <v>1900</v>
      </c>
      <c r="E151" s="301" t="str">
        <f t="shared" si="10"/>
        <v>4</v>
      </c>
    </row>
    <row r="152" spans="4:5">
      <c r="D152" s="301">
        <f t="shared" si="9"/>
        <v>1900</v>
      </c>
      <c r="E152" s="301" t="str">
        <f t="shared" si="10"/>
        <v>4</v>
      </c>
    </row>
    <row r="153" spans="4:5">
      <c r="D153" s="301">
        <f t="shared" si="9"/>
        <v>1900</v>
      </c>
      <c r="E153" s="301" t="str">
        <f t="shared" si="10"/>
        <v>4</v>
      </c>
    </row>
    <row r="154" spans="4:5">
      <c r="D154" s="301">
        <f t="shared" si="9"/>
        <v>1900</v>
      </c>
      <c r="E154" s="301" t="str">
        <f t="shared" si="10"/>
        <v>4</v>
      </c>
    </row>
    <row r="155" spans="4:5">
      <c r="D155" s="301">
        <f t="shared" si="9"/>
        <v>1900</v>
      </c>
      <c r="E155" s="301" t="str">
        <f t="shared" si="10"/>
        <v>4</v>
      </c>
    </row>
    <row r="156" spans="4:5">
      <c r="D156" s="301">
        <f t="shared" si="9"/>
        <v>1900</v>
      </c>
      <c r="E156" s="301" t="str">
        <f t="shared" si="10"/>
        <v>4</v>
      </c>
    </row>
    <row r="157" spans="4:5">
      <c r="D157" s="301">
        <f t="shared" si="9"/>
        <v>1900</v>
      </c>
      <c r="E157" s="301" t="str">
        <f t="shared" si="10"/>
        <v>4</v>
      </c>
    </row>
    <row r="158" spans="4:5">
      <c r="D158" s="301">
        <f t="shared" si="9"/>
        <v>1900</v>
      </c>
      <c r="E158" s="301" t="str">
        <f t="shared" si="10"/>
        <v>4</v>
      </c>
    </row>
    <row r="159" spans="4:5">
      <c r="D159" s="301">
        <f t="shared" si="9"/>
        <v>1900</v>
      </c>
      <c r="E159" s="301" t="str">
        <f t="shared" si="10"/>
        <v>4</v>
      </c>
    </row>
    <row r="160" spans="4:5">
      <c r="D160" s="301">
        <f t="shared" si="9"/>
        <v>1900</v>
      </c>
      <c r="E160" s="301" t="str">
        <f t="shared" si="10"/>
        <v>4</v>
      </c>
    </row>
    <row r="161" spans="4:5">
      <c r="D161" s="301">
        <f t="shared" si="9"/>
        <v>1900</v>
      </c>
      <c r="E161" s="301" t="str">
        <f t="shared" si="10"/>
        <v>4</v>
      </c>
    </row>
    <row r="162" spans="4:5">
      <c r="D162" s="301">
        <f t="shared" si="9"/>
        <v>1900</v>
      </c>
      <c r="E162" s="301" t="str">
        <f t="shared" si="10"/>
        <v>4</v>
      </c>
    </row>
    <row r="163" spans="4:5">
      <c r="D163" s="301">
        <f t="shared" si="9"/>
        <v>1900</v>
      </c>
      <c r="E163" s="301" t="str">
        <f t="shared" si="10"/>
        <v>4</v>
      </c>
    </row>
    <row r="164" spans="4:5">
      <c r="D164" s="301">
        <f t="shared" si="9"/>
        <v>1900</v>
      </c>
      <c r="E164" s="301" t="str">
        <f t="shared" si="10"/>
        <v>4</v>
      </c>
    </row>
    <row r="165" spans="4:5">
      <c r="D165" s="301">
        <f t="shared" si="9"/>
        <v>1900</v>
      </c>
      <c r="E165" s="301" t="str">
        <f t="shared" si="10"/>
        <v>4</v>
      </c>
    </row>
    <row r="166" spans="4:5">
      <c r="D166" s="301">
        <f t="shared" si="9"/>
        <v>1900</v>
      </c>
      <c r="E166" s="301" t="str">
        <f t="shared" si="10"/>
        <v>4</v>
      </c>
    </row>
    <row r="167" spans="4:5">
      <c r="D167" s="301">
        <f t="shared" si="9"/>
        <v>1900</v>
      </c>
      <c r="E167" s="301" t="str">
        <f t="shared" si="10"/>
        <v>4</v>
      </c>
    </row>
    <row r="168" spans="4:5">
      <c r="D168" s="301">
        <f t="shared" si="9"/>
        <v>1900</v>
      </c>
      <c r="E168" s="301" t="str">
        <f t="shared" si="10"/>
        <v>4</v>
      </c>
    </row>
    <row r="169" spans="4:5">
      <c r="D169" s="301">
        <f t="shared" si="9"/>
        <v>1900</v>
      </c>
      <c r="E169" s="301" t="str">
        <f t="shared" si="10"/>
        <v>4</v>
      </c>
    </row>
    <row r="170" spans="4:5">
      <c r="D170" s="301">
        <f t="shared" si="9"/>
        <v>1900</v>
      </c>
      <c r="E170" s="301" t="str">
        <f t="shared" si="10"/>
        <v>4</v>
      </c>
    </row>
    <row r="171" spans="4:5">
      <c r="D171" s="301">
        <f t="shared" si="9"/>
        <v>1900</v>
      </c>
      <c r="E171" s="301" t="str">
        <f t="shared" si="10"/>
        <v>4</v>
      </c>
    </row>
    <row r="172" spans="4:5">
      <c r="D172" s="301">
        <f t="shared" si="9"/>
        <v>1900</v>
      </c>
      <c r="E172" s="301" t="str">
        <f t="shared" si="10"/>
        <v>4</v>
      </c>
    </row>
    <row r="173" spans="4:5">
      <c r="D173" s="301">
        <f t="shared" si="9"/>
        <v>1900</v>
      </c>
      <c r="E173" s="301" t="str">
        <f t="shared" si="10"/>
        <v>4</v>
      </c>
    </row>
    <row r="174" spans="4:5">
      <c r="D174" s="301">
        <f t="shared" si="9"/>
        <v>1900</v>
      </c>
      <c r="E174" s="301" t="str">
        <f t="shared" si="10"/>
        <v>4</v>
      </c>
    </row>
    <row r="175" spans="4:5">
      <c r="D175" s="301">
        <f t="shared" si="9"/>
        <v>1900</v>
      </c>
      <c r="E175" s="301" t="str">
        <f t="shared" si="10"/>
        <v>4</v>
      </c>
    </row>
    <row r="176" spans="4:5">
      <c r="D176" s="301">
        <f t="shared" si="9"/>
        <v>1900</v>
      </c>
      <c r="E176" s="301" t="str">
        <f t="shared" si="10"/>
        <v>4</v>
      </c>
    </row>
    <row r="177" spans="4:5">
      <c r="D177" s="301">
        <f t="shared" si="9"/>
        <v>1900</v>
      </c>
      <c r="E177" s="301" t="str">
        <f t="shared" si="10"/>
        <v>4</v>
      </c>
    </row>
    <row r="178" spans="4:5">
      <c r="D178" s="301">
        <f t="shared" si="9"/>
        <v>1900</v>
      </c>
      <c r="E178" s="301" t="str">
        <f t="shared" si="10"/>
        <v>4</v>
      </c>
    </row>
    <row r="179" spans="4:5">
      <c r="D179" s="301">
        <f t="shared" si="9"/>
        <v>1900</v>
      </c>
      <c r="E179" s="301" t="str">
        <f t="shared" si="10"/>
        <v>4</v>
      </c>
    </row>
    <row r="180" spans="4:5">
      <c r="D180" s="301">
        <f t="shared" si="9"/>
        <v>1900</v>
      </c>
      <c r="E180" s="301" t="str">
        <f t="shared" si="10"/>
        <v>4</v>
      </c>
    </row>
    <row r="181" spans="4:5">
      <c r="D181" s="301">
        <f t="shared" si="9"/>
        <v>1900</v>
      </c>
      <c r="E181" s="301" t="str">
        <f t="shared" si="10"/>
        <v>4</v>
      </c>
    </row>
    <row r="182" spans="4:5">
      <c r="D182" s="301">
        <f t="shared" si="9"/>
        <v>1900</v>
      </c>
      <c r="E182" s="301" t="str">
        <f t="shared" si="10"/>
        <v>4</v>
      </c>
    </row>
    <row r="183" spans="4:5">
      <c r="D183" s="301">
        <f t="shared" si="9"/>
        <v>1900</v>
      </c>
      <c r="E183" s="301" t="str">
        <f t="shared" si="10"/>
        <v>4</v>
      </c>
    </row>
    <row r="184" spans="4:5">
      <c r="D184" s="301">
        <f t="shared" si="9"/>
        <v>1900</v>
      </c>
      <c r="E184" s="301" t="str">
        <f t="shared" si="10"/>
        <v>4</v>
      </c>
    </row>
    <row r="185" spans="4:5">
      <c r="D185" s="301">
        <f t="shared" si="9"/>
        <v>1900</v>
      </c>
      <c r="E185" s="301" t="str">
        <f t="shared" si="10"/>
        <v>4</v>
      </c>
    </row>
    <row r="186" spans="4:5">
      <c r="D186" s="301">
        <f t="shared" si="9"/>
        <v>1900</v>
      </c>
      <c r="E186" s="301" t="str">
        <f t="shared" si="10"/>
        <v>4</v>
      </c>
    </row>
    <row r="187" spans="4:5">
      <c r="D187" s="301">
        <f t="shared" si="9"/>
        <v>1900</v>
      </c>
      <c r="E187" s="301" t="str">
        <f t="shared" si="10"/>
        <v>4</v>
      </c>
    </row>
    <row r="188" spans="4:5">
      <c r="D188" s="301">
        <f t="shared" si="9"/>
        <v>1900</v>
      </c>
      <c r="E188" s="301" t="str">
        <f t="shared" si="10"/>
        <v>4</v>
      </c>
    </row>
    <row r="189" spans="4:5">
      <c r="D189" s="301">
        <f t="shared" si="9"/>
        <v>1900</v>
      </c>
      <c r="E189" s="301" t="str">
        <f t="shared" si="10"/>
        <v>4</v>
      </c>
    </row>
    <row r="190" spans="4:5">
      <c r="D190" s="301">
        <f t="shared" si="9"/>
        <v>1900</v>
      </c>
      <c r="E190" s="301" t="str">
        <f t="shared" si="10"/>
        <v>4</v>
      </c>
    </row>
    <row r="191" spans="4:5">
      <c r="D191" s="301">
        <f t="shared" si="9"/>
        <v>1900</v>
      </c>
      <c r="E191" s="301" t="str">
        <f t="shared" si="10"/>
        <v>4</v>
      </c>
    </row>
    <row r="192" spans="4:5">
      <c r="D192" s="301">
        <f t="shared" si="9"/>
        <v>1900</v>
      </c>
      <c r="E192" s="301" t="str">
        <f t="shared" si="10"/>
        <v>4</v>
      </c>
    </row>
    <row r="193" spans="4:5">
      <c r="D193" s="301">
        <f t="shared" si="9"/>
        <v>1900</v>
      </c>
      <c r="E193" s="301" t="str">
        <f t="shared" si="10"/>
        <v>4</v>
      </c>
    </row>
    <row r="194" spans="4:5">
      <c r="D194" s="301">
        <f t="shared" si="9"/>
        <v>1900</v>
      </c>
      <c r="E194" s="301" t="str">
        <f t="shared" si="10"/>
        <v>4</v>
      </c>
    </row>
    <row r="195" spans="4:5">
      <c r="D195" s="301">
        <f t="shared" si="9"/>
        <v>1900</v>
      </c>
      <c r="E195" s="301" t="str">
        <f t="shared" si="10"/>
        <v>4</v>
      </c>
    </row>
    <row r="196" spans="4:5">
      <c r="D196" s="301">
        <f t="shared" si="9"/>
        <v>1900</v>
      </c>
      <c r="E196" s="301" t="str">
        <f t="shared" si="10"/>
        <v>4</v>
      </c>
    </row>
    <row r="197" spans="4:5">
      <c r="D197" s="301">
        <f t="shared" si="9"/>
        <v>1900</v>
      </c>
      <c r="E197" s="301" t="str">
        <f t="shared" si="10"/>
        <v>4</v>
      </c>
    </row>
    <row r="198" spans="4:5">
      <c r="D198" s="301">
        <f t="shared" si="9"/>
        <v>1900</v>
      </c>
      <c r="E198" s="301" t="str">
        <f t="shared" si="10"/>
        <v>4</v>
      </c>
    </row>
    <row r="199" spans="4:5">
      <c r="D199" s="301">
        <f t="shared" si="9"/>
        <v>1900</v>
      </c>
      <c r="E199" s="301" t="str">
        <f t="shared" si="10"/>
        <v>4</v>
      </c>
    </row>
    <row r="200" spans="4:5">
      <c r="D200" s="301">
        <f t="shared" si="9"/>
        <v>1900</v>
      </c>
      <c r="E200" s="301" t="str">
        <f t="shared" si="10"/>
        <v>4</v>
      </c>
    </row>
    <row r="201" spans="4:5">
      <c r="D201" s="301">
        <f t="shared" si="9"/>
        <v>1900</v>
      </c>
      <c r="E201" s="301" t="str">
        <f t="shared" si="10"/>
        <v>4</v>
      </c>
    </row>
    <row r="202" spans="4:5">
      <c r="D202" s="301">
        <f t="shared" si="9"/>
        <v>1900</v>
      </c>
      <c r="E202" s="301" t="str">
        <f t="shared" si="10"/>
        <v>4</v>
      </c>
    </row>
    <row r="203" spans="4:5">
      <c r="D203" s="301">
        <f t="shared" si="9"/>
        <v>1900</v>
      </c>
      <c r="E203" s="301" t="str">
        <f t="shared" si="10"/>
        <v>4</v>
      </c>
    </row>
    <row r="204" spans="4:5">
      <c r="D204" s="301">
        <f t="shared" ref="D204:D250" si="11">YEAR(A204)</f>
        <v>1900</v>
      </c>
      <c r="E204" s="301" t="str">
        <f t="shared" ref="E204:E250" si="12">IF(MONTH(A204)=3,"1",IF(MONTH(A204)=6,"2",IF(MONTH(A204)=9,"3","4")))</f>
        <v>4</v>
      </c>
    </row>
    <row r="205" spans="4:5">
      <c r="D205" s="301">
        <f t="shared" si="11"/>
        <v>1900</v>
      </c>
      <c r="E205" s="301" t="str">
        <f t="shared" si="12"/>
        <v>4</v>
      </c>
    </row>
    <row r="206" spans="4:5">
      <c r="D206" s="301">
        <f t="shared" si="11"/>
        <v>1900</v>
      </c>
      <c r="E206" s="301" t="str">
        <f t="shared" si="12"/>
        <v>4</v>
      </c>
    </row>
    <row r="207" spans="4:5">
      <c r="D207" s="301">
        <f t="shared" si="11"/>
        <v>1900</v>
      </c>
      <c r="E207" s="301" t="str">
        <f t="shared" si="12"/>
        <v>4</v>
      </c>
    </row>
    <row r="208" spans="4:5">
      <c r="D208" s="301">
        <f t="shared" si="11"/>
        <v>1900</v>
      </c>
      <c r="E208" s="301" t="str">
        <f t="shared" si="12"/>
        <v>4</v>
      </c>
    </row>
    <row r="209" spans="4:5">
      <c r="D209" s="301">
        <f t="shared" si="11"/>
        <v>1900</v>
      </c>
      <c r="E209" s="301" t="str">
        <f t="shared" si="12"/>
        <v>4</v>
      </c>
    </row>
    <row r="210" spans="4:5">
      <c r="D210" s="301">
        <f t="shared" si="11"/>
        <v>1900</v>
      </c>
      <c r="E210" s="301" t="str">
        <f t="shared" si="12"/>
        <v>4</v>
      </c>
    </row>
    <row r="211" spans="4:5">
      <c r="D211" s="301">
        <f t="shared" si="11"/>
        <v>1900</v>
      </c>
      <c r="E211" s="301" t="str">
        <f t="shared" si="12"/>
        <v>4</v>
      </c>
    </row>
    <row r="212" spans="4:5">
      <c r="D212" s="301">
        <f t="shared" si="11"/>
        <v>1900</v>
      </c>
      <c r="E212" s="301" t="str">
        <f t="shared" si="12"/>
        <v>4</v>
      </c>
    </row>
    <row r="213" spans="4:5">
      <c r="D213" s="301">
        <f t="shared" si="11"/>
        <v>1900</v>
      </c>
      <c r="E213" s="301" t="str">
        <f t="shared" si="12"/>
        <v>4</v>
      </c>
    </row>
    <row r="214" spans="4:5">
      <c r="D214" s="301">
        <f t="shared" si="11"/>
        <v>1900</v>
      </c>
      <c r="E214" s="301" t="str">
        <f t="shared" si="12"/>
        <v>4</v>
      </c>
    </row>
    <row r="215" spans="4:5">
      <c r="D215" s="301">
        <f t="shared" si="11"/>
        <v>1900</v>
      </c>
      <c r="E215" s="301" t="str">
        <f t="shared" si="12"/>
        <v>4</v>
      </c>
    </row>
    <row r="216" spans="4:5">
      <c r="D216" s="301">
        <f t="shared" si="11"/>
        <v>1900</v>
      </c>
      <c r="E216" s="301" t="str">
        <f t="shared" si="12"/>
        <v>4</v>
      </c>
    </row>
    <row r="217" spans="4:5">
      <c r="D217" s="301">
        <f t="shared" si="11"/>
        <v>1900</v>
      </c>
      <c r="E217" s="301" t="str">
        <f t="shared" si="12"/>
        <v>4</v>
      </c>
    </row>
    <row r="218" spans="4:5">
      <c r="D218" s="301">
        <f t="shared" si="11"/>
        <v>1900</v>
      </c>
      <c r="E218" s="301" t="str">
        <f t="shared" si="12"/>
        <v>4</v>
      </c>
    </row>
    <row r="219" spans="4:5">
      <c r="D219" s="301">
        <f t="shared" si="11"/>
        <v>1900</v>
      </c>
      <c r="E219" s="301" t="str">
        <f t="shared" si="12"/>
        <v>4</v>
      </c>
    </row>
    <row r="220" spans="4:5">
      <c r="D220" s="301">
        <f t="shared" si="11"/>
        <v>1900</v>
      </c>
      <c r="E220" s="301" t="str">
        <f t="shared" si="12"/>
        <v>4</v>
      </c>
    </row>
    <row r="221" spans="4:5">
      <c r="D221" s="301">
        <f t="shared" si="11"/>
        <v>1900</v>
      </c>
      <c r="E221" s="301" t="str">
        <f t="shared" si="12"/>
        <v>4</v>
      </c>
    </row>
    <row r="222" spans="4:5">
      <c r="D222" s="301">
        <f t="shared" si="11"/>
        <v>1900</v>
      </c>
      <c r="E222" s="301" t="str">
        <f t="shared" si="12"/>
        <v>4</v>
      </c>
    </row>
    <row r="223" spans="4:5">
      <c r="D223" s="301">
        <f t="shared" si="11"/>
        <v>1900</v>
      </c>
      <c r="E223" s="301" t="str">
        <f t="shared" si="12"/>
        <v>4</v>
      </c>
    </row>
    <row r="224" spans="4:5">
      <c r="D224" s="301">
        <f t="shared" si="11"/>
        <v>1900</v>
      </c>
      <c r="E224" s="301" t="str">
        <f t="shared" si="12"/>
        <v>4</v>
      </c>
    </row>
    <row r="225" spans="4:5">
      <c r="D225" s="301">
        <f t="shared" si="11"/>
        <v>1900</v>
      </c>
      <c r="E225" s="301" t="str">
        <f t="shared" si="12"/>
        <v>4</v>
      </c>
    </row>
    <row r="226" spans="4:5">
      <c r="D226" s="301">
        <f t="shared" si="11"/>
        <v>1900</v>
      </c>
      <c r="E226" s="301" t="str">
        <f t="shared" si="12"/>
        <v>4</v>
      </c>
    </row>
    <row r="227" spans="4:5">
      <c r="D227" s="301">
        <f t="shared" si="11"/>
        <v>1900</v>
      </c>
      <c r="E227" s="301" t="str">
        <f t="shared" si="12"/>
        <v>4</v>
      </c>
    </row>
    <row r="228" spans="4:5">
      <c r="D228" s="301">
        <f t="shared" si="11"/>
        <v>1900</v>
      </c>
      <c r="E228" s="301" t="str">
        <f t="shared" si="12"/>
        <v>4</v>
      </c>
    </row>
    <row r="229" spans="4:5">
      <c r="D229" s="301">
        <f t="shared" si="11"/>
        <v>1900</v>
      </c>
      <c r="E229" s="301" t="str">
        <f t="shared" si="12"/>
        <v>4</v>
      </c>
    </row>
    <row r="230" spans="4:5">
      <c r="D230" s="301">
        <f t="shared" si="11"/>
        <v>1900</v>
      </c>
      <c r="E230" s="301" t="str">
        <f t="shared" si="12"/>
        <v>4</v>
      </c>
    </row>
    <row r="231" spans="4:5">
      <c r="D231" s="301">
        <f t="shared" si="11"/>
        <v>1900</v>
      </c>
      <c r="E231" s="301" t="str">
        <f t="shared" si="12"/>
        <v>4</v>
      </c>
    </row>
    <row r="232" spans="4:5">
      <c r="D232" s="301">
        <f t="shared" si="11"/>
        <v>1900</v>
      </c>
      <c r="E232" s="301" t="str">
        <f t="shared" si="12"/>
        <v>4</v>
      </c>
    </row>
    <row r="233" spans="4:5">
      <c r="D233" s="301">
        <f t="shared" si="11"/>
        <v>1900</v>
      </c>
      <c r="E233" s="301" t="str">
        <f t="shared" si="12"/>
        <v>4</v>
      </c>
    </row>
    <row r="234" spans="4:5">
      <c r="D234" s="301">
        <f t="shared" si="11"/>
        <v>1900</v>
      </c>
      <c r="E234" s="301" t="str">
        <f t="shared" si="12"/>
        <v>4</v>
      </c>
    </row>
    <row r="235" spans="4:5">
      <c r="D235" s="301">
        <f t="shared" si="11"/>
        <v>1900</v>
      </c>
      <c r="E235" s="301" t="str">
        <f t="shared" si="12"/>
        <v>4</v>
      </c>
    </row>
    <row r="236" spans="4:5">
      <c r="D236" s="301">
        <f t="shared" si="11"/>
        <v>1900</v>
      </c>
      <c r="E236" s="301" t="str">
        <f t="shared" si="12"/>
        <v>4</v>
      </c>
    </row>
    <row r="237" spans="4:5">
      <c r="D237" s="301">
        <f t="shared" si="11"/>
        <v>1900</v>
      </c>
      <c r="E237" s="301" t="str">
        <f t="shared" si="12"/>
        <v>4</v>
      </c>
    </row>
    <row r="238" spans="4:5">
      <c r="D238" s="301">
        <f t="shared" si="11"/>
        <v>1900</v>
      </c>
      <c r="E238" s="301" t="str">
        <f t="shared" si="12"/>
        <v>4</v>
      </c>
    </row>
    <row r="239" spans="4:5">
      <c r="D239" s="301">
        <f t="shared" si="11"/>
        <v>1900</v>
      </c>
      <c r="E239" s="301" t="str">
        <f t="shared" si="12"/>
        <v>4</v>
      </c>
    </row>
    <row r="240" spans="4:5">
      <c r="D240" s="301">
        <f t="shared" si="11"/>
        <v>1900</v>
      </c>
      <c r="E240" s="301" t="str">
        <f t="shared" si="12"/>
        <v>4</v>
      </c>
    </row>
    <row r="241" spans="4:5">
      <c r="D241" s="301">
        <f t="shared" si="11"/>
        <v>1900</v>
      </c>
      <c r="E241" s="301" t="str">
        <f t="shared" si="12"/>
        <v>4</v>
      </c>
    </row>
    <row r="242" spans="4:5">
      <c r="D242" s="301">
        <f t="shared" si="11"/>
        <v>1900</v>
      </c>
      <c r="E242" s="301" t="str">
        <f t="shared" si="12"/>
        <v>4</v>
      </c>
    </row>
    <row r="243" spans="4:5">
      <c r="D243" s="301">
        <f t="shared" si="11"/>
        <v>1900</v>
      </c>
      <c r="E243" s="301" t="str">
        <f t="shared" si="12"/>
        <v>4</v>
      </c>
    </row>
    <row r="244" spans="4:5">
      <c r="D244" s="301">
        <f t="shared" si="11"/>
        <v>1900</v>
      </c>
      <c r="E244" s="301" t="str">
        <f t="shared" si="12"/>
        <v>4</v>
      </c>
    </row>
    <row r="245" spans="4:5">
      <c r="D245" s="301">
        <f t="shared" si="11"/>
        <v>1900</v>
      </c>
      <c r="E245" s="301" t="str">
        <f t="shared" si="12"/>
        <v>4</v>
      </c>
    </row>
    <row r="246" spans="4:5">
      <c r="D246" s="301">
        <f t="shared" si="11"/>
        <v>1900</v>
      </c>
      <c r="E246" s="301" t="str">
        <f t="shared" si="12"/>
        <v>4</v>
      </c>
    </row>
    <row r="247" spans="4:5">
      <c r="D247" s="301">
        <f t="shared" si="11"/>
        <v>1900</v>
      </c>
      <c r="E247" s="301" t="str">
        <f t="shared" si="12"/>
        <v>4</v>
      </c>
    </row>
    <row r="248" spans="4:5">
      <c r="D248" s="301">
        <f t="shared" si="11"/>
        <v>1900</v>
      </c>
      <c r="E248" s="301" t="str">
        <f t="shared" si="12"/>
        <v>4</v>
      </c>
    </row>
    <row r="249" spans="4:5">
      <c r="D249" s="301">
        <f t="shared" si="11"/>
        <v>1900</v>
      </c>
      <c r="E249" s="301" t="str">
        <f t="shared" si="12"/>
        <v>4</v>
      </c>
    </row>
    <row r="250" spans="4:5">
      <c r="D250" s="301">
        <f t="shared" si="11"/>
        <v>1900</v>
      </c>
      <c r="E250" s="301" t="str">
        <f t="shared" si="12"/>
        <v>4</v>
      </c>
    </row>
  </sheetData>
  <mergeCells count="6">
    <mergeCell ref="A5:C5"/>
    <mergeCell ref="A6:C6"/>
    <mergeCell ref="Q7:S7"/>
    <mergeCell ref="Q8:S8"/>
    <mergeCell ref="Q34:S34"/>
    <mergeCell ref="R33:S33"/>
  </mergeCells>
  <dataValidations count="1">
    <dataValidation type="list" allowBlank="1" showInputMessage="1" showErrorMessage="1" promptTitle="Select a Period:" prompt="Select Financial or Calendar years." sqref="R33:S33">
      <formula1>A1:A2</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15"/>
  <sheetViews>
    <sheetView workbookViewId="0"/>
  </sheetViews>
  <sheetFormatPr defaultRowHeight="15"/>
  <cols>
    <col min="1" max="1" width="17.7109375" style="948" customWidth="1"/>
    <col min="2" max="2" width="44" style="948" customWidth="1"/>
    <col min="3" max="8" width="9.140625" style="948"/>
    <col min="9" max="9" width="13.28515625" style="948" bestFit="1" customWidth="1"/>
    <col min="10" max="16384" width="9.140625" style="948"/>
  </cols>
  <sheetData>
    <row r="1" spans="1:25">
      <c r="Y1" s="1026" t="s">
        <v>623</v>
      </c>
    </row>
    <row r="2" spans="1:25">
      <c r="Y2" s="1026" t="s">
        <v>624</v>
      </c>
    </row>
    <row r="3" spans="1:25">
      <c r="Y3" s="1026" t="s">
        <v>625</v>
      </c>
    </row>
    <row r="4" spans="1:25">
      <c r="Y4" s="1026" t="s">
        <v>624</v>
      </c>
    </row>
    <row r="8" spans="1:25" ht="15.75" thickBot="1"/>
    <row r="9" spans="1:25" ht="15.75" thickBot="1">
      <c r="A9" s="9"/>
      <c r="H9" s="1926" t="s">
        <v>617</v>
      </c>
      <c r="I9" s="1927"/>
      <c r="J9" s="1927"/>
      <c r="K9" s="1927"/>
      <c r="L9" s="1928"/>
    </row>
    <row r="10" spans="1:25" ht="15.75" thickBot="1">
      <c r="H10" s="1929" t="s">
        <v>623</v>
      </c>
      <c r="I10" s="1930"/>
      <c r="J10" s="1930"/>
      <c r="K10" s="1930"/>
      <c r="L10" s="1931"/>
    </row>
    <row r="11" spans="1:25">
      <c r="H11" s="1932" t="s">
        <v>626</v>
      </c>
      <c r="I11" s="1932"/>
      <c r="J11" s="1932"/>
      <c r="K11" s="1932"/>
      <c r="L11" s="1932"/>
    </row>
    <row r="12" spans="1:25" ht="15.75" thickBot="1">
      <c r="A12" s="9"/>
    </row>
    <row r="13" spans="1:25" ht="15.75" thickBot="1">
      <c r="H13" s="16" t="s">
        <v>447</v>
      </c>
      <c r="I13" s="1933" t="s">
        <v>623</v>
      </c>
      <c r="J13" s="1933"/>
      <c r="K13" s="1933"/>
      <c r="L13" s="1934"/>
    </row>
    <row r="15" spans="1:25">
      <c r="H15" s="1935" t="s">
        <v>625</v>
      </c>
      <c r="I15" s="1936"/>
      <c r="J15" s="1936"/>
      <c r="K15" s="1936"/>
      <c r="L15" s="1936"/>
    </row>
  </sheetData>
  <mergeCells count="5">
    <mergeCell ref="H9:L9"/>
    <mergeCell ref="H10:L10"/>
    <mergeCell ref="H11:L11"/>
    <mergeCell ref="I13:L13"/>
    <mergeCell ref="H15:L15"/>
  </mergeCells>
  <dataValidations count="2">
    <dataValidation type="list" allowBlank="1" showInputMessage="1" showErrorMessage="1" promptTitle="Selecta Display Factor:" prompt="Clicking here will bring up a message describing the selections you can make." sqref="H15:L15">
      <formula1>$Y$3:$Y$4</formula1>
    </dataValidation>
    <dataValidation type="list" allowBlank="1" showInputMessage="1" showErrorMessage="1" promptTitle="Select a Display Factor:" prompt="Clicking here will bring up a message describing the selections you can make." sqref="H10:L10 I13:L13">
      <formula1>$Y$1:$Y$2</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Y82"/>
  <sheetViews>
    <sheetView zoomScaleNormal="100" workbookViewId="0"/>
  </sheetViews>
  <sheetFormatPr defaultRowHeight="15"/>
  <cols>
    <col min="1" max="1" width="7.42578125" style="85" bestFit="1" customWidth="1"/>
    <col min="2" max="2" width="13.7109375" style="85" bestFit="1" customWidth="1"/>
    <col min="3" max="3" width="12.42578125" style="85" bestFit="1" customWidth="1"/>
    <col min="4" max="4" width="8" style="85" customWidth="1"/>
    <col min="5" max="6" width="9.140625" style="798" hidden="1" customWidth="1"/>
    <col min="7" max="7" width="7.85546875" style="85" bestFit="1" customWidth="1"/>
    <col min="8" max="8" width="18.140625" style="85" bestFit="1" customWidth="1"/>
    <col min="9" max="9" width="16.85546875" style="85" bestFit="1" customWidth="1"/>
    <col min="10" max="10" width="9.140625" style="798" hidden="1" customWidth="1"/>
    <col min="11" max="11" width="9.140625" style="85" hidden="1" customWidth="1"/>
    <col min="12" max="16384" width="9.140625" style="85"/>
  </cols>
  <sheetData>
    <row r="1" spans="1:25">
      <c r="Y1" s="807" t="s">
        <v>545</v>
      </c>
    </row>
    <row r="2" spans="1:25">
      <c r="K2" s="488"/>
      <c r="L2" s="808"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c r="Y2" s="807" t="s">
        <v>546</v>
      </c>
    </row>
    <row r="5" spans="1:25">
      <c r="A5" s="1937" t="s">
        <v>188</v>
      </c>
      <c r="B5" s="1937"/>
      <c r="C5" s="1937"/>
      <c r="D5" s="24"/>
      <c r="E5" s="410"/>
      <c r="F5" s="410"/>
      <c r="G5" s="1937" t="s">
        <v>187</v>
      </c>
      <c r="H5" s="1937"/>
      <c r="I5" s="1937"/>
    </row>
    <row r="6" spans="1:25" ht="15.75" thickBot="1">
      <c r="A6" s="1966" t="s">
        <v>54</v>
      </c>
      <c r="B6" s="1966"/>
      <c r="C6" s="1966"/>
      <c r="D6" s="24"/>
      <c r="E6" s="410"/>
      <c r="F6" s="410"/>
      <c r="G6" s="1937" t="str">
        <f>G60</f>
        <v>Historic Calendar Year</v>
      </c>
      <c r="H6" s="1937"/>
      <c r="I6" s="1937"/>
      <c r="S6" s="9" t="str">
        <f>CONCATENATE(G5," ",G6)</f>
        <v>Gold Average Annual Price Historic Calendar Year</v>
      </c>
    </row>
    <row r="7" spans="1:25" ht="15.75" thickBot="1">
      <c r="A7" s="743" t="s">
        <v>52</v>
      </c>
      <c r="B7" s="744" t="s">
        <v>75</v>
      </c>
      <c r="C7" s="745" t="s">
        <v>76</v>
      </c>
      <c r="D7" s="24"/>
      <c r="E7" s="410"/>
      <c r="F7" s="410"/>
      <c r="G7" s="1712" t="s">
        <v>49</v>
      </c>
      <c r="H7" s="1712" t="s">
        <v>186</v>
      </c>
      <c r="I7" s="1713" t="s">
        <v>77</v>
      </c>
    </row>
    <row r="8" spans="1:25">
      <c r="A8" s="83">
        <f>LARGE('Data - Monthly Commodity Prices'!C$159:C$902,60)</f>
        <v>42005</v>
      </c>
      <c r="B8" s="80">
        <f>SUMIF('Data - Monthly Commodity Prices'!C$159:C$902,A8,'Data - Monthly Commodity Prices'!F$159:F$902)</f>
        <v>1251.8499999999999</v>
      </c>
      <c r="C8" s="81">
        <f>SUMIF('Data - Monthly Commodity Prices'!C$159:C$902,A8,'Data - Monthly Commodity Prices'!E$159:E$902)</f>
        <v>1559.8</v>
      </c>
      <c r="D8" s="24"/>
      <c r="E8" s="410">
        <v>1971</v>
      </c>
      <c r="F8" s="410">
        <v>1972</v>
      </c>
      <c r="G8" s="1818">
        <f>IF($G$6="Historic Calendar Year",1971,CONCATENATE(E8,"-",RIGHT(F8,2)))</f>
        <v>1971</v>
      </c>
      <c r="H8" s="67">
        <f t="array" ref="H8">IF($G$6="Historic Calendar Year",IFERROR(AVERAGE(IF($G8=YEAR('Data - Monthly Commodity Prices'!$C$9:$C$1000),'Data - Monthly Commodity Prices'!$F$9:$F$1000)),"NA"),IFERROR(IF(K8=0,"NA",K8),"NA"))</f>
        <v>35.706835625000004</v>
      </c>
      <c r="I8" s="64">
        <f t="array" ref="I8">IF($G$6="Historic Calendar Year",IFERROR(AVERAGE(IF($G8=YEAR('Data - Monthly Commodity Prices'!$C$9:$C$1000),'Data - Monthly Commodity Prices'!$E$9:$E$1000)),"NA"),IFERROR(IF(J8=0,"NA",J8),"NA"))</f>
        <v>40.804166666666667</v>
      </c>
      <c r="J8" s="798">
        <f>(SUMIFS('Data - Monthly Commodity Prices'!$E$9:$E$2500,'Data - Monthly Commodity Prices'!$A$9:$A$2500,'Gold - Prices'!E8,'Data - Monthly Commodity Prices'!$B$9:$B$2500,3)+
SUMIFS('Data - Monthly Commodity Prices'!$E$9:$E$2500,'Data - Monthly Commodity Prices'!$A$9:$A$2500,'Gold - Prices'!E8,'Data - Monthly Commodity Prices'!$B$9:$B$2500,4)+
SUMIFS('Data - Monthly Commodity Prices'!$E$9:$E$2500,'Data - Monthly Commodity Prices'!$A$9:$A$2500,'Gold - Prices'!F8,'Data - Monthly Commodity Prices'!$B$9:$B$2500,1)+
SUMIFS('Data - Monthly Commodity Prices'!$E$9:$E$2500,'Data - Monthly Commodity Prices'!$A$9:$A$2500,'Gold - Prices'!F8,'Data - Monthly Commodity Prices'!$B$9:$B$2500,2))
/(COUNTIFS('Data - Monthly Commodity Prices'!$A$9:$A$2500,'Gold - Prices'!E8,'Data - Monthly Commodity Prices'!$B$9:$B$2500,3)+
COUNTIFS('Data - Monthly Commodity Prices'!$A$9:$A$2500,'Gold - Prices'!E8,'Data - Monthly Commodity Prices'!$B$9:$B$2500,4)+
COUNTIFS('Data - Monthly Commodity Prices'!$A$9:$A$2500,'Gold - Prices'!F8,'Data - Monthly Commodity Prices'!$B$9:$B$2500,1)+
COUNTIFS('Data - Monthly Commodity Prices'!$A$9:$A$2500,'Gold - Prices'!F8,'Data - Monthly Commodity Prices'!$B$9:$B$2500,2))</f>
        <v>46.884166666666665</v>
      </c>
      <c r="K8" s="85">
        <f>(SUMIFS('Data - Monthly Commodity Prices'!$F$9:$F$2500,'Data - Monthly Commodity Prices'!$A$9:$A$2500,'Gold - Prices'!E8,'Data - Monthly Commodity Prices'!$B$9:$B$2500,3)+
SUMIFS('Data - Monthly Commodity Prices'!$F$9:$F$2500,'Data - Monthly Commodity Prices'!$A$9:$A$2500,'Gold - Prices'!E8,'Data - Monthly Commodity Prices'!$B$9:$B$2500,4)+
SUMIFS('Data - Monthly Commodity Prices'!$F$9:$F$2500,'Data - Monthly Commodity Prices'!$A$9:$A$2500,'Gold - Prices'!F8,'Data - Monthly Commodity Prices'!$B$9:$B$2500,1)+
SUMIFS('Data - Monthly Commodity Prices'!$F$9:$F$2500,'Data - Monthly Commodity Prices'!$A$9:$A$2500,'Gold - Prices'!F8,'Data - Monthly Commodity Prices'!$B$9:$B$2500,2))
/(COUNTIFS('Data - Monthly Commodity Prices'!$A$9:$A$2500,'Gold - Prices'!E8,'Data - Monthly Commodity Prices'!$B$9:$B$2500,3)+
COUNTIFS('Data - Monthly Commodity Prices'!$A$9:$A$2500,'Gold - Prices'!E8,'Data - Monthly Commodity Prices'!$B$9:$B$2500,4)+
COUNTIFS('Data - Monthly Commodity Prices'!$A$9:$A$2500,'Gold - Prices'!F8,'Data - Monthly Commodity Prices'!$B$9:$B$2500,1)+
COUNTIFS('Data - Monthly Commodity Prices'!$A$9:$A$2500,'Gold - Prices'!F8,'Data - Monthly Commodity Prices'!$B$9:$B$2500,2))</f>
        <v>39.864775658333336</v>
      </c>
    </row>
    <row r="9" spans="1:25">
      <c r="A9" s="21">
        <f>LARGE('Data - Monthly Commodity Prices'!C$159:C$902,59)</f>
        <v>42036</v>
      </c>
      <c r="B9" s="79">
        <f>SUMIF('Data - Monthly Commodity Prices'!C$159:C$902,A9,'Data - Monthly Commodity Prices'!F$159:F$902)</f>
        <v>1227.19</v>
      </c>
      <c r="C9" s="30">
        <f>SUMIF('Data - Monthly Commodity Prices'!C$159:C$902,A9,'Data - Monthly Commodity Prices'!E$159:E$902)</f>
        <v>1590.3</v>
      </c>
      <c r="D9" s="24"/>
      <c r="E9" s="410">
        <f>E8+1</f>
        <v>1972</v>
      </c>
      <c r="F9" s="410">
        <f>F8+1</f>
        <v>1973</v>
      </c>
      <c r="G9" s="747">
        <f t="shared" ref="G9:G40" si="0">IF($G$6="Historic Calendar Year",G8+1,CONCATENATE(E9,"-",RIGHT(F9,2)))</f>
        <v>1972</v>
      </c>
      <c r="H9" s="75">
        <f t="array" ref="H9">IF($G$6="Historic Calendar Year",IFERROR(AVERAGE(IF($G9=YEAR('Data - Monthly Commodity Prices'!$C$9:$C$1000),'Data - Monthly Commodity Prices'!$F$9:$F$1000)),"NA"),IFERROR(IF(K9=0,"NA",K9),"NA"))</f>
        <v>48.537630145000001</v>
      </c>
      <c r="I9" s="30">
        <f t="array" ref="I9">IF($G$6="Historic Calendar Year",IFERROR(AVERAGE(IF($G9=YEAR('Data - Monthly Commodity Prices'!$C$9:$C$1000),'Data - Monthly Commodity Prices'!$E$9:$E$1000)),"NA"),IFERROR(IF(J9=0,"NA",J9),"NA"))</f>
        <v>58.159166666666657</v>
      </c>
      <c r="J9" s="798">
        <f>(SUMIFS('Data - Monthly Commodity Prices'!$E$9:$E$2500,'Data - Monthly Commodity Prices'!$A$9:$A$2500,'Gold - Prices'!E9,'Data - Monthly Commodity Prices'!$B$9:$B$2500,3)+
SUMIFS('Data - Monthly Commodity Prices'!$E$9:$E$2500,'Data - Monthly Commodity Prices'!$A$9:$A$2500,'Gold - Prices'!E9,'Data - Monthly Commodity Prices'!$B$9:$B$2500,4)+
SUMIFS('Data - Monthly Commodity Prices'!$E$9:$E$2500,'Data - Monthly Commodity Prices'!$A$9:$A$2500,'Gold - Prices'!F9,'Data - Monthly Commodity Prices'!$B$9:$B$2500,1)+
SUMIFS('Data - Monthly Commodity Prices'!$E$9:$E$2500,'Data - Monthly Commodity Prices'!$A$9:$A$2500,'Gold - Prices'!F9,'Data - Monthly Commodity Prices'!$B$9:$B$2500,2))
/(COUNTIFS('Data - Monthly Commodity Prices'!$A$9:$A$2500,'Gold - Prices'!E9,'Data - Monthly Commodity Prices'!$B$9:$B$2500,3)+
COUNTIFS('Data - Monthly Commodity Prices'!$A$9:$A$2500,'Gold - Prices'!E9,'Data - Monthly Commodity Prices'!$B$9:$B$2500,4)+
COUNTIFS('Data - Monthly Commodity Prices'!$A$9:$A$2500,'Gold - Prices'!F9,'Data - Monthly Commodity Prices'!$B$9:$B$2500,1)+
COUNTIFS('Data - Monthly Commodity Prices'!$A$9:$A$2500,'Gold - Prices'!F9,'Data - Monthly Commodity Prices'!$B$9:$B$2500,2))</f>
        <v>77.241341136933329</v>
      </c>
      <c r="K9" s="798">
        <f>(SUMIFS('Data - Monthly Commodity Prices'!$F$9:$F$2500,'Data - Monthly Commodity Prices'!$A$9:$A$2500,'Gold - Prices'!E9,'Data - Monthly Commodity Prices'!$B$9:$B$2500,3)+
SUMIFS('Data - Monthly Commodity Prices'!$F$9:$F$2500,'Data - Monthly Commodity Prices'!$A$9:$A$2500,'Gold - Prices'!E9,'Data - Monthly Commodity Prices'!$B$9:$B$2500,4)+
SUMIFS('Data - Monthly Commodity Prices'!$F$9:$F$2500,'Data - Monthly Commodity Prices'!$A$9:$A$2500,'Gold - Prices'!F9,'Data - Monthly Commodity Prices'!$B$9:$B$2500,1)+
SUMIFS('Data - Monthly Commodity Prices'!$F$9:$F$2500,'Data - Monthly Commodity Prices'!$A$9:$A$2500,'Gold - Prices'!F9,'Data - Monthly Commodity Prices'!$B$9:$B$2500,2))
/(COUNTIFS('Data - Monthly Commodity Prices'!$A$9:$A$2500,'Gold - Prices'!E9,'Data - Monthly Commodity Prices'!$B$9:$B$2500,3)+
COUNTIFS('Data - Monthly Commodity Prices'!$A$9:$A$2500,'Gold - Prices'!E9,'Data - Monthly Commodity Prices'!$B$9:$B$2500,4)+
COUNTIFS('Data - Monthly Commodity Prices'!$A$9:$A$2500,'Gold - Prices'!F9,'Data - Monthly Commodity Prices'!$B$9:$B$2500,1)+
COUNTIFS('Data - Monthly Commodity Prices'!$A$9:$A$2500,'Gold - Prices'!F9,'Data - Monthly Commodity Prices'!$B$9:$B$2500,2))</f>
        <v>58.992837693458711</v>
      </c>
    </row>
    <row r="10" spans="1:25">
      <c r="A10" s="83">
        <f>LARGE('Data - Monthly Commodity Prices'!C$159:C$902,58)</f>
        <v>42064</v>
      </c>
      <c r="B10" s="78">
        <f>SUMIF('Data - Monthly Commodity Prices'!C$159:C$902,A10,'Data - Monthly Commodity Prices'!F$159:F$902)</f>
        <v>1178.6300000000001</v>
      </c>
      <c r="C10" s="82">
        <f>SUMIF('Data - Monthly Commodity Prices'!C$159:C$902,A10,'Data - Monthly Commodity Prices'!E$159:E$902)</f>
        <v>1536.21</v>
      </c>
      <c r="D10" s="24"/>
      <c r="E10" s="410">
        <f t="shared" ref="E10:F42" si="1">E9+1</f>
        <v>1973</v>
      </c>
      <c r="F10" s="410">
        <f t="shared" si="1"/>
        <v>1974</v>
      </c>
      <c r="G10" s="747">
        <f t="shared" si="0"/>
        <v>1973</v>
      </c>
      <c r="H10" s="69">
        <f t="array" ref="H10">IF($G$6="Historic Calendar Year",IFERROR(AVERAGE(IF($G10=YEAR('Data - Monthly Commodity Prices'!$C$9:$C$1000),'Data - Monthly Commodity Prices'!$F$9:$F$1000)),"NA"),IFERROR(IF(K10=0,"NA",K10),"NA"))</f>
        <v>67.983213187027317</v>
      </c>
      <c r="I10" s="68">
        <f t="array" ref="I10">IF($G$6="Historic Calendar Year",IFERROR(AVERAGE(IF($G10=YEAR('Data - Monthly Commodity Prices'!$C$9:$C$1000),'Data - Monthly Commodity Prices'!$E$9:$E$1000)),"NA"),IFERROR(IF(J10=0,"NA",J10),"NA"))</f>
        <v>97.35802890547501</v>
      </c>
      <c r="J10" s="798">
        <f>(SUMIFS('Data - Monthly Commodity Prices'!$E$9:$E$2500,'Data - Monthly Commodity Prices'!$A$9:$A$2500,'Gold - Prices'!E10,'Data - Monthly Commodity Prices'!$B$9:$B$2500,3)+
SUMIFS('Data - Monthly Commodity Prices'!$E$9:$E$2500,'Data - Monthly Commodity Prices'!$A$9:$A$2500,'Gold - Prices'!E10,'Data - Monthly Commodity Prices'!$B$9:$B$2500,4)+
SUMIFS('Data - Monthly Commodity Prices'!$E$9:$E$2500,'Data - Monthly Commodity Prices'!$A$9:$A$2500,'Gold - Prices'!F10,'Data - Monthly Commodity Prices'!$B$9:$B$2500,1)+
SUMIFS('Data - Monthly Commodity Prices'!$E$9:$E$2500,'Data - Monthly Commodity Prices'!$A$9:$A$2500,'Gold - Prices'!F10,'Data - Monthly Commodity Prices'!$B$9:$B$2500,2))
/(COUNTIFS('Data - Monthly Commodity Prices'!$A$9:$A$2500,'Gold - Prices'!E10,'Data - Monthly Commodity Prices'!$B$9:$B$2500,3)+
COUNTIFS('Data - Monthly Commodity Prices'!$A$9:$A$2500,'Gold - Prices'!E10,'Data - Monthly Commodity Prices'!$B$9:$B$2500,4)+
COUNTIFS('Data - Monthly Commodity Prices'!$A$9:$A$2500,'Gold - Prices'!F10,'Data - Monthly Commodity Prices'!$B$9:$B$2500,1)+
COUNTIFS('Data - Monthly Commodity Prices'!$A$9:$A$2500,'Gold - Prices'!F10,'Data - Monthly Commodity Prices'!$B$9:$B$2500,2))</f>
        <v>130.78281971773333</v>
      </c>
      <c r="K10" s="798">
        <f>(SUMIFS('Data - Monthly Commodity Prices'!$F$9:$F$2500,'Data - Monthly Commodity Prices'!$A$9:$A$2500,'Gold - Prices'!E10,'Data - Monthly Commodity Prices'!$B$9:$B$2500,3)+
SUMIFS('Data - Monthly Commodity Prices'!$F$9:$F$2500,'Data - Monthly Commodity Prices'!$A$9:$A$2500,'Gold - Prices'!E10,'Data - Monthly Commodity Prices'!$B$9:$B$2500,4)+
SUMIFS('Data - Monthly Commodity Prices'!$F$9:$F$2500,'Data - Monthly Commodity Prices'!$A$9:$A$2500,'Gold - Prices'!F10,'Data - Monthly Commodity Prices'!$B$9:$B$2500,1)+
SUMIFS('Data - Monthly Commodity Prices'!$F$9:$F$2500,'Data - Monthly Commodity Prices'!$A$9:$A$2500,'Gold - Prices'!F10,'Data - Monthly Commodity Prices'!$B$9:$B$2500,2))
/(COUNTIFS('Data - Monthly Commodity Prices'!$A$9:$A$2500,'Gold - Prices'!E10,'Data - Monthly Commodity Prices'!$B$9:$B$2500,3)+
COUNTIFS('Data - Monthly Commodity Prices'!$A$9:$A$2500,'Gold - Prices'!E10,'Data - Monthly Commodity Prices'!$B$9:$B$2500,4)+
COUNTIFS('Data - Monthly Commodity Prices'!$A$9:$A$2500,'Gold - Prices'!F10,'Data - Monthly Commodity Prices'!$B$9:$B$2500,1)+
COUNTIFS('Data - Monthly Commodity Prices'!$A$9:$A$2500,'Gold - Prices'!F10,'Data - Monthly Commodity Prices'!$B$9:$B$2500,2))</f>
        <v>88.512401521265872</v>
      </c>
    </row>
    <row r="11" spans="1:25">
      <c r="A11" s="21">
        <f>LARGE('Data - Monthly Commodity Prices'!C$159:C$902,57)</f>
        <v>42095</v>
      </c>
      <c r="B11" s="79">
        <f>SUMIF('Data - Monthly Commodity Prices'!C$159:C$902,A11,'Data - Monthly Commodity Prices'!F$159:F$902)</f>
        <v>1197.9100000000001</v>
      </c>
      <c r="C11" s="30">
        <f>SUMIF('Data - Monthly Commodity Prices'!C$159:C$902,A11,'Data - Monthly Commodity Prices'!E$159:E$902)</f>
        <v>1565.5</v>
      </c>
      <c r="D11" s="24"/>
      <c r="E11" s="410">
        <f t="shared" si="1"/>
        <v>1974</v>
      </c>
      <c r="F11" s="410">
        <f t="shared" si="1"/>
        <v>1975</v>
      </c>
      <c r="G11" s="747">
        <f t="shared" si="0"/>
        <v>1974</v>
      </c>
      <c r="H11" s="75">
        <f t="array" ref="H11">IF($G$6="Historic Calendar Year",IFERROR(AVERAGE(IF($G11=YEAR('Data - Monthly Commodity Prices'!$C$9:$C$1000),'Data - Monthly Commodity Prices'!$F$9:$F$1000)),"NA"),IFERROR(IF(K11=0,"NA",K11),"NA"))</f>
        <v>112.09585983443016</v>
      </c>
      <c r="I11" s="30">
        <f t="array" ref="I11">IF($G$6="Historic Calendar Year",IFERROR(AVERAGE(IF($G11=YEAR('Data - Monthly Commodity Prices'!$C$9:$C$1000),'Data - Monthly Commodity Prices'!$E$9:$E$1000)),"NA"),IFERROR(IF(J11=0,"NA",J11),"NA"))</f>
        <v>159.438611728875</v>
      </c>
      <c r="J11" s="798">
        <f>(SUMIFS('Data - Monthly Commodity Prices'!$E$9:$E$2500,'Data - Monthly Commodity Prices'!$A$9:$A$2500,'Gold - Prices'!E11,'Data - Monthly Commodity Prices'!$B$9:$B$2500,3)+
SUMIFS('Data - Monthly Commodity Prices'!$E$9:$E$2500,'Data - Monthly Commodity Prices'!$A$9:$A$2500,'Gold - Prices'!E11,'Data - Monthly Commodity Prices'!$B$9:$B$2500,4)+
SUMIFS('Data - Monthly Commodity Prices'!$E$9:$E$2500,'Data - Monthly Commodity Prices'!$A$9:$A$2500,'Gold - Prices'!F11,'Data - Monthly Commodity Prices'!$B$9:$B$2500,1)+
SUMIFS('Data - Monthly Commodity Prices'!$E$9:$E$2500,'Data - Monthly Commodity Prices'!$A$9:$A$2500,'Gold - Prices'!F11,'Data - Monthly Commodity Prices'!$B$9:$B$2500,2))
/(COUNTIFS('Data - Monthly Commodity Prices'!$A$9:$A$2500,'Gold - Prices'!E11,'Data - Monthly Commodity Prices'!$B$9:$B$2500,3)+
COUNTIFS('Data - Monthly Commodity Prices'!$A$9:$A$2500,'Gold - Prices'!E11,'Data - Monthly Commodity Prices'!$B$9:$B$2500,4)+
COUNTIFS('Data - Monthly Commodity Prices'!$A$9:$A$2500,'Gold - Prices'!F11,'Data - Monthly Commodity Prices'!$B$9:$B$2500,1)+
COUNTIFS('Data - Monthly Commodity Prices'!$A$9:$A$2500,'Gold - Prices'!F11,'Data - Monthly Commodity Prices'!$B$9:$B$2500,2))</f>
        <v>167.54958855541668</v>
      </c>
      <c r="K11" s="798">
        <f>(SUMIFS('Data - Monthly Commodity Prices'!$F$9:$F$2500,'Data - Monthly Commodity Prices'!$A$9:$A$2500,'Gold - Prices'!E11,'Data - Monthly Commodity Prices'!$B$9:$B$2500,3)+
SUMIFS('Data - Monthly Commodity Prices'!$F$9:$F$2500,'Data - Monthly Commodity Prices'!$A$9:$A$2500,'Gold - Prices'!E11,'Data - Monthly Commodity Prices'!$B$9:$B$2500,4)+
SUMIFS('Data - Monthly Commodity Prices'!$F$9:$F$2500,'Data - Monthly Commodity Prices'!$A$9:$A$2500,'Gold - Prices'!F11,'Data - Monthly Commodity Prices'!$B$9:$B$2500,1)+
SUMIFS('Data - Monthly Commodity Prices'!$F$9:$F$2500,'Data - Monthly Commodity Prices'!$A$9:$A$2500,'Gold - Prices'!F11,'Data - Monthly Commodity Prices'!$B$9:$B$2500,2))
/(COUNTIFS('Data - Monthly Commodity Prices'!$A$9:$A$2500,'Gold - Prices'!E11,'Data - Monthly Commodity Prices'!$B$9:$B$2500,3)+
COUNTIFS('Data - Monthly Commodity Prices'!$A$9:$A$2500,'Gold - Prices'!E11,'Data - Monthly Commodity Prices'!$B$9:$B$2500,4)+
COUNTIFS('Data - Monthly Commodity Prices'!$A$9:$A$2500,'Gold - Prices'!F11,'Data - Monthly Commodity Prices'!$B$9:$B$2500,1)+
COUNTIFS('Data - Monthly Commodity Prices'!$A$9:$A$2500,'Gold - Prices'!F11,'Data - Monthly Commodity Prices'!$B$9:$B$2500,2))</f>
        <v>123.71216383124874</v>
      </c>
    </row>
    <row r="12" spans="1:25">
      <c r="A12" s="83">
        <f>LARGE('Data - Monthly Commodity Prices'!C$159:C$902,56)</f>
        <v>42125</v>
      </c>
      <c r="B12" s="78">
        <f>SUMIF('Data - Monthly Commodity Prices'!C$159:C$902,A12,'Data - Monthly Commodity Prices'!F$159:F$902)</f>
        <v>1199.05</v>
      </c>
      <c r="C12" s="82">
        <f>SUMIF('Data - Monthly Commodity Prices'!C$159:C$902,A12,'Data - Monthly Commodity Prices'!E$159:E$902)</f>
        <v>1529.37</v>
      </c>
      <c r="D12" s="24"/>
      <c r="E12" s="410">
        <f t="shared" si="1"/>
        <v>1975</v>
      </c>
      <c r="F12" s="410">
        <f t="shared" si="1"/>
        <v>1976</v>
      </c>
      <c r="G12" s="1819">
        <f t="shared" si="0"/>
        <v>1975</v>
      </c>
      <c r="H12" s="69">
        <f t="array" ref="H12">IF($G$6="Historic Calendar Year",IFERROR(AVERAGE(IF($G12=YEAR('Data - Monthly Commodity Prices'!$C$9:$C$1000),'Data - Monthly Commodity Prices'!$F$9:$F$1000)),"NA"),IFERROR(IF(K12=0,"NA",K12),"NA"))</f>
        <v>122.9133828900956</v>
      </c>
      <c r="I12" s="68">
        <f t="array" ref="I12">IF($G$6="Historic Calendar Year",IFERROR(AVERAGE(IF($G12=YEAR('Data - Monthly Commodity Prices'!$C$9:$C$1000),'Data - Monthly Commodity Prices'!$E$9:$E$1000)),"NA"),IFERROR(IF(J12=0,"NA",J12),"NA"))</f>
        <v>160.96236135876666</v>
      </c>
      <c r="J12" s="798">
        <f>(SUMIFS('Data - Monthly Commodity Prices'!$E$9:$E$2500,'Data - Monthly Commodity Prices'!$A$9:$A$2500,'Gold - Prices'!E12,'Data - Monthly Commodity Prices'!$B$9:$B$2500,3)+
SUMIFS('Data - Monthly Commodity Prices'!$E$9:$E$2500,'Data - Monthly Commodity Prices'!$A$9:$A$2500,'Gold - Prices'!E12,'Data - Monthly Commodity Prices'!$B$9:$B$2500,4)+
SUMIFS('Data - Monthly Commodity Prices'!$E$9:$E$2500,'Data - Monthly Commodity Prices'!$A$9:$A$2500,'Gold - Prices'!F12,'Data - Monthly Commodity Prices'!$B$9:$B$2500,1)+
SUMIFS('Data - Monthly Commodity Prices'!$E$9:$E$2500,'Data - Monthly Commodity Prices'!$A$9:$A$2500,'Gold - Prices'!F12,'Data - Monthly Commodity Prices'!$B$9:$B$2500,2))
/(COUNTIFS('Data - Monthly Commodity Prices'!$A$9:$A$2500,'Gold - Prices'!E12,'Data - Monthly Commodity Prices'!$B$9:$B$2500,3)+
COUNTIFS('Data - Monthly Commodity Prices'!$A$9:$A$2500,'Gold - Prices'!E12,'Data - Monthly Commodity Prices'!$B$9:$B$2500,4)+
COUNTIFS('Data - Monthly Commodity Prices'!$A$9:$A$2500,'Gold - Prices'!F12,'Data - Monthly Commodity Prices'!$B$9:$B$2500,1)+
COUNTIFS('Data - Monthly Commodity Prices'!$A$9:$A$2500,'Gold - Prices'!F12,'Data - Monthly Commodity Prices'!$B$9:$B$2500,2))</f>
        <v>139.28272538951668</v>
      </c>
      <c r="K12" s="798">
        <f>(SUMIFS('Data - Monthly Commodity Prices'!$F$9:$F$2500,'Data - Monthly Commodity Prices'!$A$9:$A$2500,'Gold - Prices'!E12,'Data - Monthly Commodity Prices'!$B$9:$B$2500,3)+
SUMIFS('Data - Monthly Commodity Prices'!$F$9:$F$2500,'Data - Monthly Commodity Prices'!$A$9:$A$2500,'Gold - Prices'!E12,'Data - Monthly Commodity Prices'!$B$9:$B$2500,4)+
SUMIFS('Data - Monthly Commodity Prices'!$F$9:$F$2500,'Data - Monthly Commodity Prices'!$A$9:$A$2500,'Gold - Prices'!F12,'Data - Monthly Commodity Prices'!$B$9:$B$2500,1)+
SUMIFS('Data - Monthly Commodity Prices'!$F$9:$F$2500,'Data - Monthly Commodity Prices'!$A$9:$A$2500,'Gold - Prices'!F12,'Data - Monthly Commodity Prices'!$B$9:$B$2500,2))
/(COUNTIFS('Data - Monthly Commodity Prices'!$A$9:$A$2500,'Gold - Prices'!E12,'Data - Monthly Commodity Prices'!$B$9:$B$2500,3)+
COUNTIFS('Data - Monthly Commodity Prices'!$A$9:$A$2500,'Gold - Prices'!E12,'Data - Monthly Commodity Prices'!$B$9:$B$2500,4)+
COUNTIFS('Data - Monthly Commodity Prices'!$A$9:$A$2500,'Gold - Prices'!F12,'Data - Monthly Commodity Prices'!$B$9:$B$2500,1)+
COUNTIFS('Data - Monthly Commodity Prices'!$A$9:$A$2500,'Gold - Prices'!F12,'Data - Monthly Commodity Prices'!$B$9:$B$2500,2))</f>
        <v>110.65158637856634</v>
      </c>
    </row>
    <row r="13" spans="1:25">
      <c r="A13" s="21">
        <f>LARGE('Data - Monthly Commodity Prices'!C$159:C$902,55)</f>
        <v>42156</v>
      </c>
      <c r="B13" s="79">
        <f>SUMIF('Data - Monthly Commodity Prices'!C$159:C$902,A13,'Data - Monthly Commodity Prices'!F$159:F$902)</f>
        <v>1181.5</v>
      </c>
      <c r="C13" s="30">
        <f>SUMIF('Data - Monthly Commodity Prices'!C$159:C$902,A13,'Data - Monthly Commodity Prices'!E$159:E$902)</f>
        <v>1544.61</v>
      </c>
      <c r="D13" s="24"/>
      <c r="E13" s="410">
        <f t="shared" si="1"/>
        <v>1976</v>
      </c>
      <c r="F13" s="410">
        <f t="shared" si="1"/>
        <v>1977</v>
      </c>
      <c r="G13" s="747">
        <f t="shared" si="0"/>
        <v>1976</v>
      </c>
      <c r="H13" s="75">
        <f t="array" ref="H13">IF($G$6="Historic Calendar Year",IFERROR(AVERAGE(IF($G13=YEAR('Data - Monthly Commodity Prices'!$C$9:$C$1000),'Data - Monthly Commodity Prices'!$F$9:$F$1000)),"NA"),IFERROR(IF(K13=0,"NA",K13),"NA"))</f>
        <v>103.75646281980045</v>
      </c>
      <c r="I13" s="30">
        <f t="array" ref="I13">IF($G$6="Historic Calendar Year",IFERROR(AVERAGE(IF($G13=YEAR('Data - Monthly Commodity Prices'!$C$9:$C$1000),'Data - Monthly Commodity Prices'!$E$9:$E$1000)),"NA"),IFERROR(IF(J13=0,"NA",J13),"NA"))</f>
        <v>124.81329892480835</v>
      </c>
      <c r="J13" s="798">
        <f>(SUMIFS('Data - Monthly Commodity Prices'!$E$9:$E$2500,'Data - Monthly Commodity Prices'!$A$9:$A$2500,'Gold - Prices'!E13,'Data - Monthly Commodity Prices'!$B$9:$B$2500,3)+
SUMIFS('Data - Monthly Commodity Prices'!$E$9:$E$2500,'Data - Monthly Commodity Prices'!$A$9:$A$2500,'Gold - Prices'!E13,'Data - Monthly Commodity Prices'!$B$9:$B$2500,4)+
SUMIFS('Data - Monthly Commodity Prices'!$E$9:$E$2500,'Data - Monthly Commodity Prices'!$A$9:$A$2500,'Gold - Prices'!F13,'Data - Monthly Commodity Prices'!$B$9:$B$2500,1)+
SUMIFS('Data - Monthly Commodity Prices'!$E$9:$E$2500,'Data - Monthly Commodity Prices'!$A$9:$A$2500,'Gold - Prices'!F13,'Data - Monthly Commodity Prices'!$B$9:$B$2500,2))
/(COUNTIFS('Data - Monthly Commodity Prices'!$A$9:$A$2500,'Gold - Prices'!E13,'Data - Monthly Commodity Prices'!$B$9:$B$2500,3)+
COUNTIFS('Data - Monthly Commodity Prices'!$A$9:$A$2500,'Gold - Prices'!E13,'Data - Monthly Commodity Prices'!$B$9:$B$2500,4)+
COUNTIFS('Data - Monthly Commodity Prices'!$A$9:$A$2500,'Gold - Prices'!F13,'Data - Monthly Commodity Prices'!$B$9:$B$2500,1)+
COUNTIFS('Data - Monthly Commodity Prices'!$A$9:$A$2500,'Gold - Prices'!F13,'Data - Monthly Commodity Prices'!$B$9:$B$2500,2))</f>
        <v>131.32729602333333</v>
      </c>
      <c r="K13" s="798">
        <f>(SUMIFS('Data - Monthly Commodity Prices'!$F$9:$F$2500,'Data - Monthly Commodity Prices'!$A$9:$A$2500,'Gold - Prices'!E13,'Data - Monthly Commodity Prices'!$B$9:$B$2500,3)+
SUMIFS('Data - Monthly Commodity Prices'!$F$9:$F$2500,'Data - Monthly Commodity Prices'!$A$9:$A$2500,'Gold - Prices'!E13,'Data - Monthly Commodity Prices'!$B$9:$B$2500,4)+
SUMIFS('Data - Monthly Commodity Prices'!$F$9:$F$2500,'Data - Monthly Commodity Prices'!$A$9:$A$2500,'Gold - Prices'!F13,'Data - Monthly Commodity Prices'!$B$9:$B$2500,1)+
SUMIFS('Data - Monthly Commodity Prices'!$F$9:$F$2500,'Data - Monthly Commodity Prices'!$A$9:$A$2500,'Gold - Prices'!F13,'Data - Monthly Commodity Prices'!$B$9:$B$2500,2))
/(COUNTIFS('Data - Monthly Commodity Prices'!$A$9:$A$2500,'Gold - Prices'!E13,'Data - Monthly Commodity Prices'!$B$9:$B$2500,3)+
COUNTIFS('Data - Monthly Commodity Prices'!$A$9:$A$2500,'Gold - Prices'!E13,'Data - Monthly Commodity Prices'!$B$9:$B$2500,4)+
COUNTIFS('Data - Monthly Commodity Prices'!$A$9:$A$2500,'Gold - Prices'!F13,'Data - Monthly Commodity Prices'!$B$9:$B$2500,1)+
COUNTIFS('Data - Monthly Commodity Prices'!$A$9:$A$2500,'Gold - Prices'!F13,'Data - Monthly Commodity Prices'!$B$9:$B$2500,2))</f>
        <v>116.40698637885976</v>
      </c>
    </row>
    <row r="14" spans="1:25">
      <c r="A14" s="83">
        <f>LARGE('Data - Monthly Commodity Prices'!C$159:C$902,54)</f>
        <v>42186</v>
      </c>
      <c r="B14" s="78">
        <f>SUMIF('Data - Monthly Commodity Prices'!C$159:C$902,A14,'Data - Monthly Commodity Prices'!F$159:F$902)</f>
        <v>1130.04</v>
      </c>
      <c r="C14" s="82">
        <f>SUMIF('Data - Monthly Commodity Prices'!C$159:C$902,A14,'Data - Monthly Commodity Prices'!E$159:E$902)</f>
        <v>1539.17</v>
      </c>
      <c r="D14" s="24"/>
      <c r="E14" s="410">
        <f t="shared" si="1"/>
        <v>1977</v>
      </c>
      <c r="F14" s="410">
        <f t="shared" si="1"/>
        <v>1978</v>
      </c>
      <c r="G14" s="747">
        <f t="shared" si="0"/>
        <v>1977</v>
      </c>
      <c r="H14" s="69">
        <f t="array" ref="H14">IF($G$6="Historic Calendar Year",IFERROR(AVERAGE(IF($G14=YEAR('Data - Monthly Commodity Prices'!$C$9:$C$1000),'Data - Monthly Commodity Prices'!$F$9:$F$1000)),"NA"),IFERROR(IF(K14=0,"NA",K14),"NA"))</f>
        <v>132.87159356359371</v>
      </c>
      <c r="I14" s="68">
        <f t="array" ref="I14">IF($G$6="Historic Calendar Year",IFERROR(AVERAGE(IF($G14=YEAR('Data - Monthly Commodity Prices'!$C$9:$C$1000),'Data - Monthly Commodity Prices'!$E$9:$E$1000)),"NA"),IFERROR(IF(J14=0,"NA",J14),"NA"))</f>
        <v>147.75641759620834</v>
      </c>
      <c r="J14" s="798">
        <f>(SUMIFS('Data - Monthly Commodity Prices'!$E$9:$E$2500,'Data - Monthly Commodity Prices'!$A$9:$A$2500,'Gold - Prices'!E14,'Data - Monthly Commodity Prices'!$B$9:$B$2500,3)+
SUMIFS('Data - Monthly Commodity Prices'!$E$9:$E$2500,'Data - Monthly Commodity Prices'!$A$9:$A$2500,'Gold - Prices'!E14,'Data - Monthly Commodity Prices'!$B$9:$B$2500,4)+
SUMIFS('Data - Monthly Commodity Prices'!$E$9:$E$2500,'Data - Monthly Commodity Prices'!$A$9:$A$2500,'Gold - Prices'!F14,'Data - Monthly Commodity Prices'!$B$9:$B$2500,1)+
SUMIFS('Data - Monthly Commodity Prices'!$E$9:$E$2500,'Data - Monthly Commodity Prices'!$A$9:$A$2500,'Gold - Prices'!F14,'Data - Monthly Commodity Prices'!$B$9:$B$2500,2))
/(COUNTIFS('Data - Monthly Commodity Prices'!$A$9:$A$2500,'Gold - Prices'!E14,'Data - Monthly Commodity Prices'!$B$9:$B$2500,3)+
COUNTIFS('Data - Monthly Commodity Prices'!$A$9:$A$2500,'Gold - Prices'!E14,'Data - Monthly Commodity Prices'!$B$9:$B$2500,4)+
COUNTIFS('Data - Monthly Commodity Prices'!$A$9:$A$2500,'Gold - Prices'!F14,'Data - Monthly Commodity Prices'!$B$9:$B$2500,1)+
COUNTIFS('Data - Monthly Commodity Prices'!$A$9:$A$2500,'Gold - Prices'!F14,'Data - Monthly Commodity Prices'!$B$9:$B$2500,2))</f>
        <v>165.83439099643331</v>
      </c>
      <c r="K14" s="798">
        <f>(SUMIFS('Data - Monthly Commodity Prices'!$F$9:$F$2500,'Data - Monthly Commodity Prices'!$A$9:$A$2500,'Gold - Prices'!E14,'Data - Monthly Commodity Prices'!$B$9:$B$2500,3)+
SUMIFS('Data - Monthly Commodity Prices'!$F$9:$F$2500,'Data - Monthly Commodity Prices'!$A$9:$A$2500,'Gold - Prices'!E14,'Data - Monthly Commodity Prices'!$B$9:$B$2500,4)+
SUMIFS('Data - Monthly Commodity Prices'!$F$9:$F$2500,'Data - Monthly Commodity Prices'!$A$9:$A$2500,'Gold - Prices'!F14,'Data - Monthly Commodity Prices'!$B$9:$B$2500,1)+
SUMIFS('Data - Monthly Commodity Prices'!$F$9:$F$2500,'Data - Monthly Commodity Prices'!$A$9:$A$2500,'Gold - Prices'!F14,'Data - Monthly Commodity Prices'!$B$9:$B$2500,2))
/(COUNTIFS('Data - Monthly Commodity Prices'!$A$9:$A$2500,'Gold - Prices'!E14,'Data - Monthly Commodity Prices'!$B$9:$B$2500,3)+
COUNTIFS('Data - Monthly Commodity Prices'!$A$9:$A$2500,'Gold - Prices'!E14,'Data - Monthly Commodity Prices'!$B$9:$B$2500,4)+
COUNTIFS('Data - Monthly Commodity Prices'!$A$9:$A$2500,'Gold - Prices'!F14,'Data - Monthly Commodity Prices'!$B$9:$B$2500,1)+
COUNTIFS('Data - Monthly Commodity Prices'!$A$9:$A$2500,'Gold - Prices'!F14,'Data - Monthly Commodity Prices'!$B$9:$B$2500,2))</f>
        <v>146.66546550418241</v>
      </c>
    </row>
    <row r="15" spans="1:25">
      <c r="A15" s="21">
        <f>LARGE('Data - Monthly Commodity Prices'!C$159:C$902,53)</f>
        <v>42217</v>
      </c>
      <c r="B15" s="79">
        <f>SUMIF('Data - Monthly Commodity Prices'!C$159:C$902,A15,'Data - Monthly Commodity Prices'!F$159:F$902)</f>
        <v>1117.48</v>
      </c>
      <c r="C15" s="30">
        <f>SUMIF('Data - Monthly Commodity Prices'!C$159:C$902,A15,'Data - Monthly Commodity Prices'!E$159:E$902)</f>
        <v>1542.91</v>
      </c>
      <c r="D15" s="24"/>
      <c r="E15" s="410">
        <f t="shared" si="1"/>
        <v>1978</v>
      </c>
      <c r="F15" s="410">
        <f t="shared" si="1"/>
        <v>1979</v>
      </c>
      <c r="G15" s="747">
        <f t="shared" si="0"/>
        <v>1978</v>
      </c>
      <c r="H15" s="75">
        <f t="array" ref="H15">IF($G$6="Historic Calendar Year",IFERROR(AVERAGE(IF($G15=YEAR('Data - Monthly Commodity Prices'!$C$9:$C$1000),'Data - Monthly Commodity Prices'!$F$9:$F$1000)),"NA"),IFERROR(IF(K15=0,"NA",K15),"NA"))</f>
        <v>168.26940290151194</v>
      </c>
      <c r="I15" s="30">
        <f t="array" ref="I15">IF($G$6="Historic Calendar Year",IFERROR(AVERAGE(IF($G15=YEAR('Data - Monthly Commodity Prices'!$C$9:$C$1000),'Data - Monthly Commodity Prices'!$E$9:$E$1000)),"NA"),IFERROR(IF(J15=0,"NA",J15),"NA"))</f>
        <v>193.25000246828333</v>
      </c>
      <c r="J15" s="798">
        <f>(SUMIFS('Data - Monthly Commodity Prices'!$E$9:$E$2500,'Data - Monthly Commodity Prices'!$A$9:$A$2500,'Gold - Prices'!E15,'Data - Monthly Commodity Prices'!$B$9:$B$2500,3)+
SUMIFS('Data - Monthly Commodity Prices'!$E$9:$E$2500,'Data - Monthly Commodity Prices'!$A$9:$A$2500,'Gold - Prices'!E15,'Data - Monthly Commodity Prices'!$B$9:$B$2500,4)+
SUMIFS('Data - Monthly Commodity Prices'!$E$9:$E$2500,'Data - Monthly Commodity Prices'!$A$9:$A$2500,'Gold - Prices'!F15,'Data - Monthly Commodity Prices'!$B$9:$B$2500,1)+
SUMIFS('Data - Monthly Commodity Prices'!$E$9:$E$2500,'Data - Monthly Commodity Prices'!$A$9:$A$2500,'Gold - Prices'!F15,'Data - Monthly Commodity Prices'!$B$9:$B$2500,2))
/(COUNTIFS('Data - Monthly Commodity Prices'!$A$9:$A$2500,'Gold - Prices'!E15,'Data - Monthly Commodity Prices'!$B$9:$B$2500,3)+
COUNTIFS('Data - Monthly Commodity Prices'!$A$9:$A$2500,'Gold - Prices'!E15,'Data - Monthly Commodity Prices'!$B$9:$B$2500,4)+
COUNTIFS('Data - Monthly Commodity Prices'!$A$9:$A$2500,'Gold - Prices'!F15,'Data - Monthly Commodity Prices'!$B$9:$B$2500,1)+
COUNTIFS('Data - Monthly Commodity Prices'!$A$9:$A$2500,'Gold - Prices'!F15,'Data - Monthly Commodity Prices'!$B$9:$B$2500,2))</f>
        <v>228.39681198735002</v>
      </c>
      <c r="K15" s="798">
        <f>(SUMIFS('Data - Monthly Commodity Prices'!$F$9:$F$2500,'Data - Monthly Commodity Prices'!$A$9:$A$2500,'Gold - Prices'!E15,'Data - Monthly Commodity Prices'!$B$9:$B$2500,3)+
SUMIFS('Data - Monthly Commodity Prices'!$F$9:$F$2500,'Data - Monthly Commodity Prices'!$A$9:$A$2500,'Gold - Prices'!E15,'Data - Monthly Commodity Prices'!$B$9:$B$2500,4)+
SUMIFS('Data - Monthly Commodity Prices'!$F$9:$F$2500,'Data - Monthly Commodity Prices'!$A$9:$A$2500,'Gold - Prices'!F15,'Data - Monthly Commodity Prices'!$B$9:$B$2500,1)+
SUMIFS('Data - Monthly Commodity Prices'!$F$9:$F$2500,'Data - Monthly Commodity Prices'!$A$9:$A$2500,'Gold - Prices'!F15,'Data - Monthly Commodity Prices'!$B$9:$B$2500,2))
/(COUNTIFS('Data - Monthly Commodity Prices'!$A$9:$A$2500,'Gold - Prices'!E15,'Data - Monthly Commodity Prices'!$B$9:$B$2500,3)+
COUNTIFS('Data - Monthly Commodity Prices'!$A$9:$A$2500,'Gold - Prices'!E15,'Data - Monthly Commodity Prices'!$B$9:$B$2500,4)+
COUNTIFS('Data - Monthly Commodity Prices'!$A$9:$A$2500,'Gold - Prices'!F15,'Data - Monthly Commodity Prices'!$B$9:$B$2500,1)+
COUNTIFS('Data - Monthly Commodity Prices'!$A$9:$A$2500,'Gold - Prices'!F15,'Data - Monthly Commodity Prices'!$B$9:$B$2500,2))</f>
        <v>201.17971761391141</v>
      </c>
    </row>
    <row r="16" spans="1:25">
      <c r="A16" s="83">
        <f>LARGE('Data - Monthly Commodity Prices'!C$159:C$902,52)</f>
        <v>42248</v>
      </c>
      <c r="B16" s="78">
        <f>SUMIF('Data - Monthly Commodity Prices'!C$159:C$902,A16,'Data - Monthly Commodity Prices'!F$159:F$902)</f>
        <v>1124.9000000000001</v>
      </c>
      <c r="C16" s="82">
        <f>SUMIF('Data - Monthly Commodity Prices'!C$159:C$902,A16,'Data - Monthly Commodity Prices'!E$159:E$902)</f>
        <v>1605.71</v>
      </c>
      <c r="D16" s="24"/>
      <c r="E16" s="410">
        <f t="shared" si="1"/>
        <v>1979</v>
      </c>
      <c r="F16" s="410">
        <f t="shared" si="1"/>
        <v>1980</v>
      </c>
      <c r="G16" s="1819">
        <f t="shared" si="0"/>
        <v>1979</v>
      </c>
      <c r="H16" s="69">
        <f t="array" ref="H16">IF($G$6="Historic Calendar Year",IFERROR(AVERAGE(IF($G16=YEAR('Data - Monthly Commodity Prices'!$C$9:$C$1000),'Data - Monthly Commodity Prices'!$F$9:$F$1000)),"NA"),IFERROR(IF(K16=0,"NA",K16),"NA"))</f>
        <v>275.6130443156224</v>
      </c>
      <c r="I16" s="68">
        <f t="array" ref="I16">IF($G$6="Historic Calendar Year",IFERROR(AVERAGE(IF($G16=YEAR('Data - Monthly Commodity Prices'!$C$9:$C$1000),'Data - Monthly Commodity Prices'!$E$9:$E$1000)),"NA"),IFERROR(IF(J16=0,"NA",J16),"NA"))</f>
        <v>307.16288279422503</v>
      </c>
      <c r="J16" s="798">
        <f>(SUMIFS('Data - Monthly Commodity Prices'!$E$9:$E$2500,'Data - Monthly Commodity Prices'!$A$9:$A$2500,'Gold - Prices'!E16,'Data - Monthly Commodity Prices'!$B$9:$B$2500,3)+
SUMIFS('Data - Monthly Commodity Prices'!$E$9:$E$2500,'Data - Monthly Commodity Prices'!$A$9:$A$2500,'Gold - Prices'!E16,'Data - Monthly Commodity Prices'!$B$9:$B$2500,4)+
SUMIFS('Data - Monthly Commodity Prices'!$E$9:$E$2500,'Data - Monthly Commodity Prices'!$A$9:$A$2500,'Gold - Prices'!F16,'Data - Monthly Commodity Prices'!$B$9:$B$2500,1)+
SUMIFS('Data - Monthly Commodity Prices'!$E$9:$E$2500,'Data - Monthly Commodity Prices'!$A$9:$A$2500,'Gold - Prices'!F16,'Data - Monthly Commodity Prices'!$B$9:$B$2500,2))
/(COUNTIFS('Data - Monthly Commodity Prices'!$A$9:$A$2500,'Gold - Prices'!E16,'Data - Monthly Commodity Prices'!$B$9:$B$2500,3)+
COUNTIFS('Data - Monthly Commodity Prices'!$A$9:$A$2500,'Gold - Prices'!E16,'Data - Monthly Commodity Prices'!$B$9:$B$2500,4)+
COUNTIFS('Data - Monthly Commodity Prices'!$A$9:$A$2500,'Gold - Prices'!F16,'Data - Monthly Commodity Prices'!$B$9:$B$2500,1)+
COUNTIFS('Data - Monthly Commodity Prices'!$A$9:$A$2500,'Gold - Prices'!F16,'Data - Monthly Commodity Prices'!$B$9:$B$2500,2))</f>
        <v>476.85298639128331</v>
      </c>
      <c r="K16" s="798">
        <f>(SUMIFS('Data - Monthly Commodity Prices'!$F$9:$F$2500,'Data - Monthly Commodity Prices'!$A$9:$A$2500,'Gold - Prices'!E16,'Data - Monthly Commodity Prices'!$B$9:$B$2500,3)+
SUMIFS('Data - Monthly Commodity Prices'!$F$9:$F$2500,'Data - Monthly Commodity Prices'!$A$9:$A$2500,'Gold - Prices'!E16,'Data - Monthly Commodity Prices'!$B$9:$B$2500,4)+
SUMIFS('Data - Monthly Commodity Prices'!$F$9:$F$2500,'Data - Monthly Commodity Prices'!$A$9:$A$2500,'Gold - Prices'!F16,'Data - Monthly Commodity Prices'!$B$9:$B$2500,1)+
SUMIFS('Data - Monthly Commodity Prices'!$F$9:$F$2500,'Data - Monthly Commodity Prices'!$A$9:$A$2500,'Gold - Prices'!F16,'Data - Monthly Commodity Prices'!$B$9:$B$2500,2))
/(COUNTIFS('Data - Monthly Commodity Prices'!$A$9:$A$2500,'Gold - Prices'!E16,'Data - Monthly Commodity Prices'!$B$9:$B$2500,3)+
COUNTIFS('Data - Monthly Commodity Prices'!$A$9:$A$2500,'Gold - Prices'!E16,'Data - Monthly Commodity Prices'!$B$9:$B$2500,4)+
COUNTIFS('Data - Monthly Commodity Prices'!$A$9:$A$2500,'Gold - Prices'!F16,'Data - Monthly Commodity Prices'!$B$9:$B$2500,1)+
COUNTIFS('Data - Monthly Commodity Prices'!$A$9:$A$2500,'Gold - Prices'!F16,'Data - Monthly Commodity Prices'!$B$9:$B$2500,2))</f>
        <v>427.82403583776903</v>
      </c>
    </row>
    <row r="17" spans="1:11">
      <c r="A17" s="21">
        <f>LARGE('Data - Monthly Commodity Prices'!C$159:C$902,51)</f>
        <v>42278</v>
      </c>
      <c r="B17" s="79">
        <f>SUMIF('Data - Monthly Commodity Prices'!C$159:C$902,A17,'Data - Monthly Commodity Prices'!F$159:F$902)</f>
        <v>1159.25</v>
      </c>
      <c r="C17" s="30">
        <f>SUMIF('Data - Monthly Commodity Prices'!C$159:C$902,A17,'Data - Monthly Commodity Prices'!E$159:E$902)</f>
        <v>1618.18</v>
      </c>
      <c r="D17" s="24"/>
      <c r="E17" s="410">
        <f t="shared" si="1"/>
        <v>1980</v>
      </c>
      <c r="F17" s="410">
        <f t="shared" si="1"/>
        <v>1981</v>
      </c>
      <c r="G17" s="747">
        <f t="shared" si="0"/>
        <v>1980</v>
      </c>
      <c r="H17" s="75">
        <f t="array" ref="H17">IF($G$6="Historic Calendar Year",IFERROR(AVERAGE(IF($G17=YEAR('Data - Monthly Commodity Prices'!$C$9:$C$1000),'Data - Monthly Commodity Prices'!$F$9:$F$1000)),"NA"),IFERROR(IF(K17=0,"NA",K17),"NA"))</f>
        <v>536.39079665008728</v>
      </c>
      <c r="I17" s="30">
        <f t="array" ref="I17">IF($G$6="Historic Calendar Year",IFERROR(AVERAGE(IF($G17=YEAR('Data - Monthly Commodity Prices'!$C$9:$C$1000),'Data - Monthly Commodity Prices'!$E$9:$E$1000)),"NA"),IFERROR(IF(J17=0,"NA",J17),"NA"))</f>
        <v>612.62523050664993</v>
      </c>
      <c r="J17" s="798">
        <f>(SUMIFS('Data - Monthly Commodity Prices'!$E$9:$E$2500,'Data - Monthly Commodity Prices'!$A$9:$A$2500,'Gold - Prices'!E17,'Data - Monthly Commodity Prices'!$B$9:$B$2500,3)+
SUMIFS('Data - Monthly Commodity Prices'!$E$9:$E$2500,'Data - Monthly Commodity Prices'!$A$9:$A$2500,'Gold - Prices'!E17,'Data - Monthly Commodity Prices'!$B$9:$B$2500,4)+
SUMIFS('Data - Monthly Commodity Prices'!$E$9:$E$2500,'Data - Monthly Commodity Prices'!$A$9:$A$2500,'Gold - Prices'!F17,'Data - Monthly Commodity Prices'!$B$9:$B$2500,1)+
SUMIFS('Data - Monthly Commodity Prices'!$E$9:$E$2500,'Data - Monthly Commodity Prices'!$A$9:$A$2500,'Gold - Prices'!F17,'Data - Monthly Commodity Prices'!$B$9:$B$2500,2))
/(COUNTIFS('Data - Monthly Commodity Prices'!$A$9:$A$2500,'Gold - Prices'!E17,'Data - Monthly Commodity Prices'!$B$9:$B$2500,3)+
COUNTIFS('Data - Monthly Commodity Prices'!$A$9:$A$2500,'Gold - Prices'!E17,'Data - Monthly Commodity Prices'!$B$9:$B$2500,4)+
COUNTIFS('Data - Monthly Commodity Prices'!$A$9:$A$2500,'Gold - Prices'!F17,'Data - Monthly Commodity Prices'!$B$9:$B$2500,1)+
COUNTIFS('Data - Monthly Commodity Prices'!$A$9:$A$2500,'Gold - Prices'!F17,'Data - Monthly Commodity Prices'!$B$9:$B$2500,2))</f>
        <v>567.63558650239167</v>
      </c>
      <c r="K17" s="798">
        <f>(SUMIFS('Data - Monthly Commodity Prices'!$F$9:$F$2500,'Data - Monthly Commodity Prices'!$A$9:$A$2500,'Gold - Prices'!E17,'Data - Monthly Commodity Prices'!$B$9:$B$2500,3)+
SUMIFS('Data - Monthly Commodity Prices'!$F$9:$F$2500,'Data - Monthly Commodity Prices'!$A$9:$A$2500,'Gold - Prices'!E17,'Data - Monthly Commodity Prices'!$B$9:$B$2500,4)+
SUMIFS('Data - Monthly Commodity Prices'!$F$9:$F$2500,'Data - Monthly Commodity Prices'!$A$9:$A$2500,'Gold - Prices'!F17,'Data - Monthly Commodity Prices'!$B$9:$B$2500,1)+
SUMIFS('Data - Monthly Commodity Prices'!$F$9:$F$2500,'Data - Monthly Commodity Prices'!$A$9:$A$2500,'Gold - Prices'!F17,'Data - Monthly Commodity Prices'!$B$9:$B$2500,2))
/(COUNTIFS('Data - Monthly Commodity Prices'!$A$9:$A$2500,'Gold - Prices'!E17,'Data - Monthly Commodity Prices'!$B$9:$B$2500,3)+
COUNTIFS('Data - Monthly Commodity Prices'!$A$9:$A$2500,'Gold - Prices'!E17,'Data - Monthly Commodity Prices'!$B$9:$B$2500,4)+
COUNTIFS('Data - Monthly Commodity Prices'!$A$9:$A$2500,'Gold - Prices'!F17,'Data - Monthly Commodity Prices'!$B$9:$B$2500,1)+
COUNTIFS('Data - Monthly Commodity Prices'!$A$9:$A$2500,'Gold - Prices'!F17,'Data - Monthly Commodity Prices'!$B$9:$B$2500,2))</f>
        <v>488.400335780788</v>
      </c>
    </row>
    <row r="18" spans="1:11">
      <c r="A18" s="83">
        <f>LARGE('Data - Monthly Commodity Prices'!C$159:C$902,50)</f>
        <v>42309</v>
      </c>
      <c r="B18" s="78">
        <f>SUMIF('Data - Monthly Commodity Prices'!C$159:C$902,A18,'Data - Monthly Commodity Prices'!F$159:F$902)</f>
        <v>1085.7</v>
      </c>
      <c r="C18" s="82">
        <f>SUMIF('Data - Monthly Commodity Prices'!C$159:C$902,A18,'Data - Monthly Commodity Prices'!E$159:E$902)</f>
        <v>1536.07</v>
      </c>
      <c r="D18" s="24"/>
      <c r="E18" s="410">
        <f t="shared" si="1"/>
        <v>1981</v>
      </c>
      <c r="F18" s="410">
        <f t="shared" si="1"/>
        <v>1982</v>
      </c>
      <c r="G18" s="1819">
        <f t="shared" si="0"/>
        <v>1981</v>
      </c>
      <c r="H18" s="69">
        <f t="array" ref="H18">IF($G$6="Historic Calendar Year",IFERROR(AVERAGE(IF($G18=YEAR('Data - Monthly Commodity Prices'!$C$9:$C$1000),'Data - Monthly Commodity Prices'!$F$9:$F$1000)),"NA"),IFERROR(IF(K18=0,"NA",K18),"NA"))</f>
        <v>399.94802762718473</v>
      </c>
      <c r="I18" s="68">
        <f t="array" ref="I18">IF($G$6="Historic Calendar Year",IFERROR(AVERAGE(IF($G18=YEAR('Data - Monthly Commodity Prices'!$C$9:$C$1000),'Data - Monthly Commodity Prices'!$E$9:$E$1000)),"NA"),IFERROR(IF(J18=0,"NA",J18),"NA"))</f>
        <v>459.40341630442504</v>
      </c>
      <c r="J18" s="798">
        <f>(SUMIFS('Data - Monthly Commodity Prices'!$E$9:$E$2500,'Data - Monthly Commodity Prices'!$A$9:$A$2500,'Gold - Prices'!E18,'Data - Monthly Commodity Prices'!$B$9:$B$2500,3)+
SUMIFS('Data - Monthly Commodity Prices'!$E$9:$E$2500,'Data - Monthly Commodity Prices'!$A$9:$A$2500,'Gold - Prices'!E18,'Data - Monthly Commodity Prices'!$B$9:$B$2500,4)+
SUMIFS('Data - Monthly Commodity Prices'!$E$9:$E$2500,'Data - Monthly Commodity Prices'!$A$9:$A$2500,'Gold - Prices'!F18,'Data - Monthly Commodity Prices'!$B$9:$B$2500,1)+
SUMIFS('Data - Monthly Commodity Prices'!$E$9:$E$2500,'Data - Monthly Commodity Prices'!$A$9:$A$2500,'Gold - Prices'!F18,'Data - Monthly Commodity Prices'!$B$9:$B$2500,2))
/(COUNTIFS('Data - Monthly Commodity Prices'!$A$9:$A$2500,'Gold - Prices'!E18,'Data - Monthly Commodity Prices'!$B$9:$B$2500,3)+
COUNTIFS('Data - Monthly Commodity Prices'!$A$9:$A$2500,'Gold - Prices'!E18,'Data - Monthly Commodity Prices'!$B$9:$B$2500,4)+
COUNTIFS('Data - Monthly Commodity Prices'!$A$9:$A$2500,'Gold - Prices'!F18,'Data - Monthly Commodity Prices'!$B$9:$B$2500,1)+
COUNTIFS('Data - Monthly Commodity Prices'!$A$9:$A$2500,'Gold - Prices'!F18,'Data - Monthly Commodity Prices'!$B$9:$B$2500,2))</f>
        <v>384.16900610717499</v>
      </c>
      <c r="K18" s="798">
        <f>(SUMIFS('Data - Monthly Commodity Prices'!$F$9:$F$2500,'Data - Monthly Commodity Prices'!$A$9:$A$2500,'Gold - Prices'!E18,'Data - Monthly Commodity Prices'!$B$9:$B$2500,3)+
SUMIFS('Data - Monthly Commodity Prices'!$F$9:$F$2500,'Data - Monthly Commodity Prices'!$A$9:$A$2500,'Gold - Prices'!E18,'Data - Monthly Commodity Prices'!$B$9:$B$2500,4)+
SUMIFS('Data - Monthly Commodity Prices'!$F$9:$F$2500,'Data - Monthly Commodity Prices'!$A$9:$A$2500,'Gold - Prices'!F18,'Data - Monthly Commodity Prices'!$B$9:$B$2500,1)+
SUMIFS('Data - Monthly Commodity Prices'!$F$9:$F$2500,'Data - Monthly Commodity Prices'!$A$9:$A$2500,'Gold - Prices'!F18,'Data - Monthly Commodity Prices'!$B$9:$B$2500,2))
/(COUNTIFS('Data - Monthly Commodity Prices'!$A$9:$A$2500,'Gold - Prices'!E18,'Data - Monthly Commodity Prices'!$B$9:$B$2500,3)+
COUNTIFS('Data - Monthly Commodity Prices'!$A$9:$A$2500,'Gold - Prices'!E18,'Data - Monthly Commodity Prices'!$B$9:$B$2500,4)+
COUNTIFS('Data - Monthly Commodity Prices'!$A$9:$A$2500,'Gold - Prices'!F18,'Data - Monthly Commodity Prices'!$B$9:$B$2500,1)+
COUNTIFS('Data - Monthly Commodity Prices'!$A$9:$A$2500,'Gold - Prices'!F18,'Data - Monthly Commodity Prices'!$B$9:$B$2500,2))</f>
        <v>348.35130858957814</v>
      </c>
    </row>
    <row r="19" spans="1:11">
      <c r="A19" s="21">
        <f>LARGE('Data - Monthly Commodity Prices'!C$159:C$902,49)</f>
        <v>42339</v>
      </c>
      <c r="B19" s="79">
        <f>SUMIF('Data - Monthly Commodity Prices'!C$159:C$902,A19,'Data - Monthly Commodity Prices'!F$159:F$902)</f>
        <v>1068.25</v>
      </c>
      <c r="C19" s="30">
        <f>SUMIF('Data - Monthly Commodity Prices'!C$159:C$902,A19,'Data - Monthly Commodity Prices'!E$159:E$902)</f>
        <v>1486.33</v>
      </c>
      <c r="D19" s="24"/>
      <c r="E19" s="410">
        <f t="shared" si="1"/>
        <v>1982</v>
      </c>
      <c r="F19" s="410">
        <f t="shared" si="1"/>
        <v>1983</v>
      </c>
      <c r="G19" s="747">
        <f t="shared" si="0"/>
        <v>1982</v>
      </c>
      <c r="H19" s="75">
        <f t="array" ref="H19">IF($G$6="Historic Calendar Year",IFERROR(AVERAGE(IF($G19=YEAR('Data - Monthly Commodity Prices'!$C$9:$C$1000),'Data - Monthly Commodity Prices'!$F$9:$F$1000)),"NA"),IFERROR(IF(K19=0,"NA",K19),"NA"))</f>
        <v>373.89996587284605</v>
      </c>
      <c r="I19" s="30">
        <f t="array" ref="I19">IF($G$6="Historic Calendar Year",IFERROR(AVERAGE(IF($G19=YEAR('Data - Monthly Commodity Prices'!$C$9:$C$1000),'Data - Monthly Commodity Prices'!$E$9:$E$1000)),"NA"),IFERROR(IF(J19=0,"NA",J19),"NA"))</f>
        <v>375.89852143419165</v>
      </c>
      <c r="J19" s="798">
        <f>(SUMIFS('Data - Monthly Commodity Prices'!$E$9:$E$2500,'Data - Monthly Commodity Prices'!$A$9:$A$2500,'Gold - Prices'!E19,'Data - Monthly Commodity Prices'!$B$9:$B$2500,3)+
SUMIFS('Data - Monthly Commodity Prices'!$E$9:$E$2500,'Data - Monthly Commodity Prices'!$A$9:$A$2500,'Gold - Prices'!E19,'Data - Monthly Commodity Prices'!$B$9:$B$2500,4)+
SUMIFS('Data - Monthly Commodity Prices'!$E$9:$E$2500,'Data - Monthly Commodity Prices'!$A$9:$A$2500,'Gold - Prices'!F19,'Data - Monthly Commodity Prices'!$B$9:$B$2500,1)+
SUMIFS('Data - Monthly Commodity Prices'!$E$9:$E$2500,'Data - Monthly Commodity Prices'!$A$9:$A$2500,'Gold - Prices'!F19,'Data - Monthly Commodity Prices'!$B$9:$B$2500,2))
/(COUNTIFS('Data - Monthly Commodity Prices'!$A$9:$A$2500,'Gold - Prices'!E19,'Data - Monthly Commodity Prices'!$B$9:$B$2500,3)+
COUNTIFS('Data - Monthly Commodity Prices'!$A$9:$A$2500,'Gold - Prices'!E19,'Data - Monthly Commodity Prices'!$B$9:$B$2500,4)+
COUNTIFS('Data - Monthly Commodity Prices'!$A$9:$A$2500,'Gold - Prices'!F19,'Data - Monthly Commodity Prices'!$B$9:$B$2500,1)+
COUNTIFS('Data - Monthly Commodity Prices'!$A$9:$A$2500,'Gold - Prices'!F19,'Data - Monthly Commodity Prices'!$B$9:$B$2500,2))</f>
        <v>424.98477623727496</v>
      </c>
      <c r="K19" s="798">
        <f>(SUMIFS('Data - Monthly Commodity Prices'!$F$9:$F$2500,'Data - Monthly Commodity Prices'!$A$9:$A$2500,'Gold - Prices'!E19,'Data - Monthly Commodity Prices'!$B$9:$B$2500,3)+
SUMIFS('Data - Monthly Commodity Prices'!$F$9:$F$2500,'Data - Monthly Commodity Prices'!$A$9:$A$2500,'Gold - Prices'!E19,'Data - Monthly Commodity Prices'!$B$9:$B$2500,4)+
SUMIFS('Data - Monthly Commodity Prices'!$F$9:$F$2500,'Data - Monthly Commodity Prices'!$A$9:$A$2500,'Gold - Prices'!F19,'Data - Monthly Commodity Prices'!$B$9:$B$2500,1)+
SUMIFS('Data - Monthly Commodity Prices'!$F$9:$F$2500,'Data - Monthly Commodity Prices'!$A$9:$A$2500,'Gold - Prices'!F19,'Data - Monthly Commodity Prices'!$B$9:$B$2500,2))
/(COUNTIFS('Data - Monthly Commodity Prices'!$A$9:$A$2500,'Gold - Prices'!E19,'Data - Monthly Commodity Prices'!$B$9:$B$2500,3)+
COUNTIFS('Data - Monthly Commodity Prices'!$A$9:$A$2500,'Gold - Prices'!E19,'Data - Monthly Commodity Prices'!$B$9:$B$2500,4)+
COUNTIFS('Data - Monthly Commodity Prices'!$A$9:$A$2500,'Gold - Prices'!F19,'Data - Monthly Commodity Prices'!$B$9:$B$2500,1)+
COUNTIFS('Data - Monthly Commodity Prices'!$A$9:$A$2500,'Gold - Prices'!F19,'Data - Monthly Commodity Prices'!$B$9:$B$2500,2))</f>
        <v>456.6300374819063</v>
      </c>
    </row>
    <row r="20" spans="1:11">
      <c r="A20" s="83">
        <f>LARGE('Data - Monthly Commodity Prices'!C$159:C$902,48)</f>
        <v>42370</v>
      </c>
      <c r="B20" s="78">
        <f>SUMIF('Data - Monthly Commodity Prices'!C$159:C$902,A20,'Data - Monthly Commodity Prices'!F$159:F$902)</f>
        <v>1097.3800000000001</v>
      </c>
      <c r="C20" s="82">
        <f>SUMIF('Data - Monthly Commodity Prices'!C$159:C$902,A20,'Data - Monthly Commodity Prices'!E$159:E$902)</f>
        <v>1574.65</v>
      </c>
      <c r="D20" s="24"/>
      <c r="E20" s="410">
        <f t="shared" si="1"/>
        <v>1983</v>
      </c>
      <c r="F20" s="410">
        <f t="shared" si="1"/>
        <v>1984</v>
      </c>
      <c r="G20" s="1819">
        <f t="shared" si="0"/>
        <v>1983</v>
      </c>
      <c r="H20" s="69">
        <f t="array" ref="H20">IF($G$6="Historic Calendar Year",IFERROR(AVERAGE(IF($G20=YEAR('Data - Monthly Commodity Prices'!$C$9:$C$1000),'Data - Monthly Commodity Prices'!$F$9:$F$1000)),"NA"),IFERROR(IF(K20=0,"NA",K20),"NA"))</f>
        <v>447.83279001100169</v>
      </c>
      <c r="I20" s="68">
        <f t="array" ref="I20">IF($G$6="Historic Calendar Year",IFERROR(AVERAGE(IF($G20=YEAR('Data - Monthly Commodity Prices'!$C$9:$C$1000),'Data - Monthly Commodity Prices'!$E$9:$E$1000)),"NA"),IFERROR(IF(J20=0,"NA",J20),"NA"))</f>
        <v>447.93605702293326</v>
      </c>
      <c r="J20" s="798">
        <f>(SUMIFS('Data - Monthly Commodity Prices'!$E$9:$E$2500,'Data - Monthly Commodity Prices'!$A$9:$A$2500,'Gold - Prices'!E20,'Data - Monthly Commodity Prices'!$B$9:$B$2500,3)+
SUMIFS('Data - Monthly Commodity Prices'!$E$9:$E$2500,'Data - Monthly Commodity Prices'!$A$9:$A$2500,'Gold - Prices'!E20,'Data - Monthly Commodity Prices'!$B$9:$B$2500,4)+
SUMIFS('Data - Monthly Commodity Prices'!$E$9:$E$2500,'Data - Monthly Commodity Prices'!$A$9:$A$2500,'Gold - Prices'!F20,'Data - Monthly Commodity Prices'!$B$9:$B$2500,1)+
SUMIFS('Data - Monthly Commodity Prices'!$E$9:$E$2500,'Data - Monthly Commodity Prices'!$A$9:$A$2500,'Gold - Prices'!F20,'Data - Monthly Commodity Prices'!$B$9:$B$2500,2))
/(COUNTIFS('Data - Monthly Commodity Prices'!$A$9:$A$2500,'Gold - Prices'!E20,'Data - Monthly Commodity Prices'!$B$9:$B$2500,3)+
COUNTIFS('Data - Monthly Commodity Prices'!$A$9:$A$2500,'Gold - Prices'!E20,'Data - Monthly Commodity Prices'!$B$9:$B$2500,4)+
COUNTIFS('Data - Monthly Commodity Prices'!$A$9:$A$2500,'Gold - Prices'!F20,'Data - Monthly Commodity Prices'!$B$9:$B$2500,1)+
COUNTIFS('Data - Monthly Commodity Prices'!$A$9:$A$2500,'Gold - Prices'!F20,'Data - Monthly Commodity Prices'!$B$9:$B$2500,2))</f>
        <v>433.32499999999999</v>
      </c>
      <c r="K20" s="798">
        <f>(SUMIFS('Data - Monthly Commodity Prices'!$F$9:$F$2500,'Data - Monthly Commodity Prices'!$A$9:$A$2500,'Gold - Prices'!E20,'Data - Monthly Commodity Prices'!$B$9:$B$2500,3)+
SUMIFS('Data - Monthly Commodity Prices'!$F$9:$F$2500,'Data - Monthly Commodity Prices'!$A$9:$A$2500,'Gold - Prices'!E20,'Data - Monthly Commodity Prices'!$B$9:$B$2500,4)+
SUMIFS('Data - Monthly Commodity Prices'!$F$9:$F$2500,'Data - Monthly Commodity Prices'!$A$9:$A$2500,'Gold - Prices'!F20,'Data - Monthly Commodity Prices'!$B$9:$B$2500,1)+
SUMIFS('Data - Monthly Commodity Prices'!$F$9:$F$2500,'Data - Monthly Commodity Prices'!$A$9:$A$2500,'Gold - Prices'!F20,'Data - Monthly Commodity Prices'!$B$9:$B$2500,2))
/(COUNTIFS('Data - Monthly Commodity Prices'!$A$9:$A$2500,'Gold - Prices'!E20,'Data - Monthly Commodity Prices'!$B$9:$B$2500,3)+
COUNTIFS('Data - Monthly Commodity Prices'!$A$9:$A$2500,'Gold - Prices'!E20,'Data - Monthly Commodity Prices'!$B$9:$B$2500,4)+
COUNTIFS('Data - Monthly Commodity Prices'!$A$9:$A$2500,'Gold - Prices'!F20,'Data - Monthly Commodity Prices'!$B$9:$B$2500,1)+
COUNTIFS('Data - Monthly Commodity Prices'!$A$9:$A$2500,'Gold - Prices'!F20,'Data - Monthly Commodity Prices'!$B$9:$B$2500,2))</f>
        <v>392.04583333333329</v>
      </c>
    </row>
    <row r="21" spans="1:11">
      <c r="A21" s="21">
        <f>LARGE('Data - Monthly Commodity Prices'!C$159:C$902,47)</f>
        <v>42401</v>
      </c>
      <c r="B21" s="79">
        <f>SUMIF('Data - Monthly Commodity Prices'!C$159:C$902,A21,'Data - Monthly Commodity Prices'!F$159:F$902)</f>
        <v>1199.9100000000001</v>
      </c>
      <c r="C21" s="30">
        <f>SUMIF('Data - Monthly Commodity Prices'!C$159:C$902,A21,'Data - Monthly Commodity Prices'!E$159:E$902)</f>
        <v>1686.71</v>
      </c>
      <c r="D21" s="24"/>
      <c r="E21" s="410">
        <f t="shared" si="1"/>
        <v>1984</v>
      </c>
      <c r="F21" s="410">
        <f t="shared" si="1"/>
        <v>1985</v>
      </c>
      <c r="G21" s="747">
        <f t="shared" si="0"/>
        <v>1984</v>
      </c>
      <c r="H21" s="75">
        <f t="array" ref="H21">IF($G$6="Historic Calendar Year",IFERROR(AVERAGE(IF($G21=YEAR('Data - Monthly Commodity Prices'!$C$9:$C$1000),'Data - Monthly Commodity Prices'!$F$9:$F$1000)),"NA"),IFERROR(IF(K21=0,"NA",K21),"NA"))</f>
        <v>360.68333333333334</v>
      </c>
      <c r="I21" s="30">
        <f t="array" ref="I21">IF($G$6="Historic Calendar Year",IFERROR(AVERAGE(IF($G21=YEAR('Data - Monthly Commodity Prices'!$C$9:$C$1000),'Data - Monthly Commodity Prices'!$E$9:$E$1000)),"NA"),IFERROR(IF(J21=0,"NA",J21),"NA"))</f>
        <v>410.15416666666664</v>
      </c>
      <c r="J21" s="798">
        <f>(SUMIFS('Data - Monthly Commodity Prices'!$E$9:$E$2500,'Data - Monthly Commodity Prices'!$A$9:$A$2500,'Gold - Prices'!E21,'Data - Monthly Commodity Prices'!$B$9:$B$2500,3)+
SUMIFS('Data - Monthly Commodity Prices'!$E$9:$E$2500,'Data - Monthly Commodity Prices'!$A$9:$A$2500,'Gold - Prices'!E21,'Data - Monthly Commodity Prices'!$B$9:$B$2500,4)+
SUMIFS('Data - Monthly Commodity Prices'!$E$9:$E$2500,'Data - Monthly Commodity Prices'!$A$9:$A$2500,'Gold - Prices'!F21,'Data - Monthly Commodity Prices'!$B$9:$B$2500,1)+
SUMIFS('Data - Monthly Commodity Prices'!$E$9:$E$2500,'Data - Monthly Commodity Prices'!$A$9:$A$2500,'Gold - Prices'!F21,'Data - Monthly Commodity Prices'!$B$9:$B$2500,2))
/(COUNTIFS('Data - Monthly Commodity Prices'!$A$9:$A$2500,'Gold - Prices'!E21,'Data - Monthly Commodity Prices'!$B$9:$B$2500,3)+
COUNTIFS('Data - Monthly Commodity Prices'!$A$9:$A$2500,'Gold - Prices'!E21,'Data - Monthly Commodity Prices'!$B$9:$B$2500,4)+
COUNTIFS('Data - Monthly Commodity Prices'!$A$9:$A$2500,'Gold - Prices'!F21,'Data - Monthly Commodity Prices'!$B$9:$B$2500,1)+
COUNTIFS('Data - Monthly Commodity Prices'!$A$9:$A$2500,'Gold - Prices'!F21,'Data - Monthly Commodity Prices'!$B$9:$B$2500,2))</f>
        <v>421.97916666666669</v>
      </c>
      <c r="K21" s="798">
        <f>(SUMIFS('Data - Monthly Commodity Prices'!$F$9:$F$2500,'Data - Monthly Commodity Prices'!$A$9:$A$2500,'Gold - Prices'!E21,'Data - Monthly Commodity Prices'!$B$9:$B$2500,3)+
SUMIFS('Data - Monthly Commodity Prices'!$F$9:$F$2500,'Data - Monthly Commodity Prices'!$A$9:$A$2500,'Gold - Prices'!E21,'Data - Monthly Commodity Prices'!$B$9:$B$2500,4)+
SUMIFS('Data - Monthly Commodity Prices'!$F$9:$F$2500,'Data - Monthly Commodity Prices'!$A$9:$A$2500,'Gold - Prices'!F21,'Data - Monthly Commodity Prices'!$B$9:$B$2500,1)+
SUMIFS('Data - Monthly Commodity Prices'!$F$9:$F$2500,'Data - Monthly Commodity Prices'!$A$9:$A$2500,'Gold - Prices'!F21,'Data - Monthly Commodity Prices'!$B$9:$B$2500,2))
/(COUNTIFS('Data - Monthly Commodity Prices'!$A$9:$A$2500,'Gold - Prices'!E21,'Data - Monthly Commodity Prices'!$B$9:$B$2500,3)+
COUNTIFS('Data - Monthly Commodity Prices'!$A$9:$A$2500,'Gold - Prices'!E21,'Data - Monthly Commodity Prices'!$B$9:$B$2500,4)+
COUNTIFS('Data - Monthly Commodity Prices'!$A$9:$A$2500,'Gold - Prices'!F21,'Data - Monthly Commodity Prices'!$B$9:$B$2500,1)+
COUNTIFS('Data - Monthly Commodity Prices'!$A$9:$A$2500,'Gold - Prices'!F21,'Data - Monthly Commodity Prices'!$B$9:$B$2500,2))</f>
        <v>325.22499999999997</v>
      </c>
    </row>
    <row r="22" spans="1:11">
      <c r="A22" s="83">
        <f>LARGE('Data - Monthly Commodity Prices'!C$159:C$902,46)</f>
        <v>42430</v>
      </c>
      <c r="B22" s="78">
        <f>SUMIF('Data - Monthly Commodity Prices'!C$159:C$902,A22,'Data - Monthly Commodity Prices'!F$159:F$902)</f>
        <v>1246.3399999999999</v>
      </c>
      <c r="C22" s="82">
        <f>SUMIF('Data - Monthly Commodity Prices'!C$159:C$902,A22,'Data - Monthly Commodity Prices'!E$159:E$902)</f>
        <v>1677.74</v>
      </c>
      <c r="D22" s="24"/>
      <c r="E22" s="410">
        <f t="shared" si="1"/>
        <v>1985</v>
      </c>
      <c r="F22" s="410">
        <f t="shared" si="1"/>
        <v>1986</v>
      </c>
      <c r="G22" s="1819">
        <f t="shared" si="0"/>
        <v>1985</v>
      </c>
      <c r="H22" s="69">
        <f t="array" ref="H22">IF($G$6="Historic Calendar Year",IFERROR(AVERAGE(IF($G22=YEAR('Data - Monthly Commodity Prices'!$C$9:$C$1000),'Data - Monthly Commodity Prices'!$F$9:$F$1000)),"NA"),IFERROR(IF(K22=0,"NA",K22),"NA"))</f>
        <v>317.22499999999997</v>
      </c>
      <c r="I22" s="68">
        <f t="array" ref="I22">IF($G$6="Historic Calendar Year",IFERROR(AVERAGE(IF($G22=YEAR('Data - Monthly Commodity Prices'!$C$9:$C$1000),'Data - Monthly Commodity Prices'!$E$9:$E$1000)),"NA"),IFERROR(IF(J22=0,"NA",J22),"NA"))</f>
        <v>453.74583333333339</v>
      </c>
      <c r="J22" s="798">
        <f>(SUMIFS('Data - Monthly Commodity Prices'!$E$9:$E$2500,'Data - Monthly Commodity Prices'!$A$9:$A$2500,'Gold - Prices'!E22,'Data - Monthly Commodity Prices'!$B$9:$B$2500,3)+
SUMIFS('Data - Monthly Commodity Prices'!$E$9:$E$2500,'Data - Monthly Commodity Prices'!$A$9:$A$2500,'Gold - Prices'!E22,'Data - Monthly Commodity Prices'!$B$9:$B$2500,4)+
SUMIFS('Data - Monthly Commodity Prices'!$E$9:$E$2500,'Data - Monthly Commodity Prices'!$A$9:$A$2500,'Gold - Prices'!F22,'Data - Monthly Commodity Prices'!$B$9:$B$2500,1)+
SUMIFS('Data - Monthly Commodity Prices'!$E$9:$E$2500,'Data - Monthly Commodity Prices'!$A$9:$A$2500,'Gold - Prices'!F22,'Data - Monthly Commodity Prices'!$B$9:$B$2500,2))
/(COUNTIFS('Data - Monthly Commodity Prices'!$A$9:$A$2500,'Gold - Prices'!E22,'Data - Monthly Commodity Prices'!$B$9:$B$2500,3)+
COUNTIFS('Data - Monthly Commodity Prices'!$A$9:$A$2500,'Gold - Prices'!E22,'Data - Monthly Commodity Prices'!$B$9:$B$2500,4)+
COUNTIFS('Data - Monthly Commodity Prices'!$A$9:$A$2500,'Gold - Prices'!F22,'Data - Monthly Commodity Prices'!$B$9:$B$2500,1)+
COUNTIFS('Data - Monthly Commodity Prices'!$A$9:$A$2500,'Gold - Prices'!F22,'Data - Monthly Commodity Prices'!$B$9:$B$2500,2))</f>
        <v>476.53749999999997</v>
      </c>
      <c r="K22" s="798">
        <f>(SUMIFS('Data - Monthly Commodity Prices'!$F$9:$F$2500,'Data - Monthly Commodity Prices'!$A$9:$A$2500,'Gold - Prices'!E22,'Data - Monthly Commodity Prices'!$B$9:$B$2500,3)+
SUMIFS('Data - Monthly Commodity Prices'!$F$9:$F$2500,'Data - Monthly Commodity Prices'!$A$9:$A$2500,'Gold - Prices'!E22,'Data - Monthly Commodity Prices'!$B$9:$B$2500,4)+
SUMIFS('Data - Monthly Commodity Prices'!$F$9:$F$2500,'Data - Monthly Commodity Prices'!$A$9:$A$2500,'Gold - Prices'!F22,'Data - Monthly Commodity Prices'!$B$9:$B$2500,1)+
SUMIFS('Data - Monthly Commodity Prices'!$F$9:$F$2500,'Data - Monthly Commodity Prices'!$A$9:$A$2500,'Gold - Prices'!F22,'Data - Monthly Commodity Prices'!$B$9:$B$2500,2))
/(COUNTIFS('Data - Monthly Commodity Prices'!$A$9:$A$2500,'Gold - Prices'!E22,'Data - Monthly Commodity Prices'!$B$9:$B$2500,3)+
COUNTIFS('Data - Monthly Commodity Prices'!$A$9:$A$2500,'Gold - Prices'!E22,'Data - Monthly Commodity Prices'!$B$9:$B$2500,4)+
COUNTIFS('Data - Monthly Commodity Prices'!$A$9:$A$2500,'Gold - Prices'!F22,'Data - Monthly Commodity Prices'!$B$9:$B$2500,1)+
COUNTIFS('Data - Monthly Commodity Prices'!$A$9:$A$2500,'Gold - Prices'!F22,'Data - Monthly Commodity Prices'!$B$9:$B$2500,2))</f>
        <v>333.13333333333338</v>
      </c>
    </row>
    <row r="23" spans="1:11">
      <c r="A23" s="21">
        <f>LARGE('Data - Monthly Commodity Prices'!C$159:C$902,45)</f>
        <v>42461</v>
      </c>
      <c r="B23" s="79">
        <f>SUMIF('Data - Monthly Commodity Prices'!C$159:C$902,A23,'Data - Monthly Commodity Prices'!F$159:F$902)</f>
        <v>1242.26</v>
      </c>
      <c r="C23" s="30">
        <f>SUMIF('Data - Monthly Commodity Prices'!C$159:C$902,A23,'Data - Monthly Commodity Prices'!E$159:E$902)</f>
        <v>1631.08</v>
      </c>
      <c r="D23" s="24"/>
      <c r="E23" s="410">
        <f t="shared" si="1"/>
        <v>1986</v>
      </c>
      <c r="F23" s="410">
        <f t="shared" si="1"/>
        <v>1987</v>
      </c>
      <c r="G23" s="747">
        <f t="shared" si="0"/>
        <v>1986</v>
      </c>
      <c r="H23" s="75">
        <f t="array" ref="H23">IF($G$6="Historic Calendar Year",IFERROR(AVERAGE(IF($G23=YEAR('Data - Monthly Commodity Prices'!$C$9:$C$1000),'Data - Monthly Commodity Prices'!$F$9:$F$1000)),"NA"),IFERROR(IF(K23=0,"NA",K23),"NA"))</f>
        <v>367.38749999999999</v>
      </c>
      <c r="I23" s="30">
        <f t="array" ref="I23">IF($G$6="Historic Calendar Year",IFERROR(AVERAGE(IF($G23=YEAR('Data - Monthly Commodity Prices'!$C$9:$C$1000),'Data - Monthly Commodity Prices'!$E$9:$E$1000)),"NA"),IFERROR(IF(J23=0,"NA",J23),"NA"))</f>
        <v>553.46249999999998</v>
      </c>
      <c r="J23" s="798">
        <f>(SUMIFS('Data - Monthly Commodity Prices'!$E$9:$E$2500,'Data - Monthly Commodity Prices'!$A$9:$A$2500,'Gold - Prices'!E23,'Data - Monthly Commodity Prices'!$B$9:$B$2500,3)+
SUMIFS('Data - Monthly Commodity Prices'!$E$9:$E$2500,'Data - Monthly Commodity Prices'!$A$9:$A$2500,'Gold - Prices'!E23,'Data - Monthly Commodity Prices'!$B$9:$B$2500,4)+
SUMIFS('Data - Monthly Commodity Prices'!$E$9:$E$2500,'Data - Monthly Commodity Prices'!$A$9:$A$2500,'Gold - Prices'!F23,'Data - Monthly Commodity Prices'!$B$9:$B$2500,1)+
SUMIFS('Data - Monthly Commodity Prices'!$E$9:$E$2500,'Data - Monthly Commodity Prices'!$A$9:$A$2500,'Gold - Prices'!F23,'Data - Monthly Commodity Prices'!$B$9:$B$2500,2))
/(COUNTIFS('Data - Monthly Commodity Prices'!$A$9:$A$2500,'Gold - Prices'!E23,'Data - Monthly Commodity Prices'!$B$9:$B$2500,3)+
COUNTIFS('Data - Monthly Commodity Prices'!$A$9:$A$2500,'Gold - Prices'!E23,'Data - Monthly Commodity Prices'!$B$9:$B$2500,4)+
COUNTIFS('Data - Monthly Commodity Prices'!$A$9:$A$2500,'Gold - Prices'!F23,'Data - Monthly Commodity Prices'!$B$9:$B$2500,1)+
COUNTIFS('Data - Monthly Commodity Prices'!$A$9:$A$2500,'Gold - Prices'!F23,'Data - Monthly Commodity Prices'!$B$9:$B$2500,2))</f>
        <v>620.36916666666673</v>
      </c>
      <c r="K23" s="798">
        <f>(SUMIFS('Data - Monthly Commodity Prices'!$F$9:$F$2500,'Data - Monthly Commodity Prices'!$A$9:$A$2500,'Gold - Prices'!E23,'Data - Monthly Commodity Prices'!$B$9:$B$2500,3)+
SUMIFS('Data - Monthly Commodity Prices'!$F$9:$F$2500,'Data - Monthly Commodity Prices'!$A$9:$A$2500,'Gold - Prices'!E23,'Data - Monthly Commodity Prices'!$B$9:$B$2500,4)+
SUMIFS('Data - Monthly Commodity Prices'!$F$9:$F$2500,'Data - Monthly Commodity Prices'!$A$9:$A$2500,'Gold - Prices'!F23,'Data - Monthly Commodity Prices'!$B$9:$B$2500,1)+
SUMIFS('Data - Monthly Commodity Prices'!$F$9:$F$2500,'Data - Monthly Commodity Prices'!$A$9:$A$2500,'Gold - Prices'!F23,'Data - Monthly Commodity Prices'!$B$9:$B$2500,2))
/(COUNTIFS('Data - Monthly Commodity Prices'!$A$9:$A$2500,'Gold - Prices'!E23,'Data - Monthly Commodity Prices'!$B$9:$B$2500,3)+
COUNTIFS('Data - Monthly Commodity Prices'!$A$9:$A$2500,'Gold - Prices'!E23,'Data - Monthly Commodity Prices'!$B$9:$B$2500,4)+
COUNTIFS('Data - Monthly Commodity Prices'!$A$9:$A$2500,'Gold - Prices'!F23,'Data - Monthly Commodity Prices'!$B$9:$B$2500,1)+
COUNTIFS('Data - Monthly Commodity Prices'!$A$9:$A$2500,'Gold - Prices'!F23,'Data - Monthly Commodity Prices'!$B$9:$B$2500,2))</f>
        <v>410.02749999999997</v>
      </c>
    </row>
    <row r="24" spans="1:11">
      <c r="A24" s="83">
        <f>LARGE('Data - Monthly Commodity Prices'!C$159:C$902,44)</f>
        <v>42491</v>
      </c>
      <c r="B24" s="78">
        <f>SUMIF('Data - Monthly Commodity Prices'!C$159:C$902,A24,'Data - Monthly Commodity Prices'!F$159:F$902)</f>
        <v>1259.4000000000001</v>
      </c>
      <c r="C24" s="82">
        <f>SUMIF('Data - Monthly Commodity Prices'!C$159:C$902,A24,'Data - Monthly Commodity Prices'!E$159:E$902)</f>
        <v>1729.64</v>
      </c>
      <c r="D24" s="24"/>
      <c r="E24" s="410">
        <f t="shared" si="1"/>
        <v>1987</v>
      </c>
      <c r="F24" s="410">
        <f t="shared" si="1"/>
        <v>1988</v>
      </c>
      <c r="G24" s="1819">
        <f t="shared" si="0"/>
        <v>1987</v>
      </c>
      <c r="H24" s="76">
        <f t="array" ref="H24">IF($G$6="Historic Calendar Year",IFERROR(AVERAGE(IF($G24=YEAR('Data - Monthly Commodity Prices'!$C$9:$C$1000),'Data - Monthly Commodity Prices'!$F$9:$F$1000)),"NA"),IFERROR(IF(K24=0,"NA",K24),"NA"))</f>
        <v>446.80166666666668</v>
      </c>
      <c r="I24" s="82">
        <f t="array" ref="I24">IF($G$6="Historic Calendar Year",IFERROR(AVERAGE(IF($G24=YEAR('Data - Monthly Commodity Prices'!$C$9:$C$1000),'Data - Monthly Commodity Prices'!$E$9:$E$1000)),"NA"),IFERROR(IF(J24=0,"NA",J24),"NA"))</f>
        <v>639.26249999999993</v>
      </c>
      <c r="J24" s="798">
        <f>(SUMIFS('Data - Monthly Commodity Prices'!$E$9:$E$2500,'Data - Monthly Commodity Prices'!$A$9:$A$2500,'Gold - Prices'!E24,'Data - Monthly Commodity Prices'!$B$9:$B$2500,3)+
SUMIFS('Data - Monthly Commodity Prices'!$E$9:$E$2500,'Data - Monthly Commodity Prices'!$A$9:$A$2500,'Gold - Prices'!E24,'Data - Monthly Commodity Prices'!$B$9:$B$2500,4)+
SUMIFS('Data - Monthly Commodity Prices'!$E$9:$E$2500,'Data - Monthly Commodity Prices'!$A$9:$A$2500,'Gold - Prices'!F24,'Data - Monthly Commodity Prices'!$B$9:$B$2500,1)+
SUMIFS('Data - Monthly Commodity Prices'!$E$9:$E$2500,'Data - Monthly Commodity Prices'!$A$9:$A$2500,'Gold - Prices'!F24,'Data - Monthly Commodity Prices'!$B$9:$B$2500,2))
/(COUNTIFS('Data - Monthly Commodity Prices'!$A$9:$A$2500,'Gold - Prices'!E24,'Data - Monthly Commodity Prices'!$B$9:$B$2500,3)+
COUNTIFS('Data - Monthly Commodity Prices'!$A$9:$A$2500,'Gold - Prices'!E24,'Data - Monthly Commodity Prices'!$B$9:$B$2500,4)+
COUNTIFS('Data - Monthly Commodity Prices'!$A$9:$A$2500,'Gold - Prices'!F24,'Data - Monthly Commodity Prices'!$B$9:$B$2500,1)+
COUNTIFS('Data - Monthly Commodity Prices'!$A$9:$A$2500,'Gold - Prices'!F24,'Data - Monthly Commodity Prices'!$B$9:$B$2500,2))</f>
        <v>634.09833333333336</v>
      </c>
      <c r="K24" s="798">
        <f>(SUMIFS('Data - Monthly Commodity Prices'!$F$9:$F$2500,'Data - Monthly Commodity Prices'!$A$9:$A$2500,'Gold - Prices'!E24,'Data - Monthly Commodity Prices'!$B$9:$B$2500,3)+
SUMIFS('Data - Monthly Commodity Prices'!$F$9:$F$2500,'Data - Monthly Commodity Prices'!$A$9:$A$2500,'Gold - Prices'!E24,'Data - Monthly Commodity Prices'!$B$9:$B$2500,4)+
SUMIFS('Data - Monthly Commodity Prices'!$F$9:$F$2500,'Data - Monthly Commodity Prices'!$A$9:$A$2500,'Gold - Prices'!F24,'Data - Monthly Commodity Prices'!$B$9:$B$2500,1)+
SUMIFS('Data - Monthly Commodity Prices'!$F$9:$F$2500,'Data - Monthly Commodity Prices'!$A$9:$A$2500,'Gold - Prices'!F24,'Data - Monthly Commodity Prices'!$B$9:$B$2500,2))
/(COUNTIFS('Data - Monthly Commodity Prices'!$A$9:$A$2500,'Gold - Prices'!E24,'Data - Monthly Commodity Prices'!$B$9:$B$2500,3)+
COUNTIFS('Data - Monthly Commodity Prices'!$A$9:$A$2500,'Gold - Prices'!E24,'Data - Monthly Commodity Prices'!$B$9:$B$2500,4)+
COUNTIFS('Data - Monthly Commodity Prices'!$A$9:$A$2500,'Gold - Prices'!F24,'Data - Monthly Commodity Prices'!$B$9:$B$2500,1)+
COUNTIFS('Data - Monthly Commodity Prices'!$A$9:$A$2500,'Gold - Prices'!F24,'Data - Monthly Commodity Prices'!$B$9:$B$2500,2))</f>
        <v>459.5141666666666</v>
      </c>
    </row>
    <row r="25" spans="1:11">
      <c r="A25" s="21">
        <f>LARGE('Data - Monthly Commodity Prices'!C$159:C$902,43)</f>
        <v>42522</v>
      </c>
      <c r="B25" s="79">
        <f>SUMIF('Data - Monthly Commodity Prices'!C$159:C$902,A25,'Data - Monthly Commodity Prices'!F$159:F$902)</f>
        <v>1276.4000000000001</v>
      </c>
      <c r="C25" s="30">
        <f>SUMIF('Data - Monthly Commodity Prices'!C$159:C$902,A25,'Data - Monthly Commodity Prices'!E$159:E$902)</f>
        <v>1731.45</v>
      </c>
      <c r="D25" s="24"/>
      <c r="E25" s="410">
        <f t="shared" si="1"/>
        <v>1988</v>
      </c>
      <c r="F25" s="410">
        <f t="shared" si="1"/>
        <v>1989</v>
      </c>
      <c r="G25" s="747">
        <f t="shared" si="0"/>
        <v>1988</v>
      </c>
      <c r="H25" s="75">
        <f t="array" ref="H25">IF($G$6="Historic Calendar Year",IFERROR(AVERAGE(IF($G25=YEAR('Data - Monthly Commodity Prices'!$C$9:$C$1000),'Data - Monthly Commodity Prices'!$F$9:$F$1000)),"NA"),IFERROR(IF(K25=0,"NA",K25),"NA"))</f>
        <v>437.51499999999993</v>
      </c>
      <c r="I25" s="30">
        <f t="array" ref="I25">IF($G$6="Historic Calendar Year",IFERROR(AVERAGE(IF($G25=YEAR('Data - Monthly Commodity Prices'!$C$9:$C$1000),'Data - Monthly Commodity Prices'!$E$9:$E$1000)),"NA"),IFERROR(IF(J25=0,"NA",J25),"NA"))</f>
        <v>562.99249999999995</v>
      </c>
      <c r="J25" s="798">
        <f>(SUMIFS('Data - Monthly Commodity Prices'!$E$9:$E$2500,'Data - Monthly Commodity Prices'!$A$9:$A$2500,'Gold - Prices'!E25,'Data - Monthly Commodity Prices'!$B$9:$B$2500,3)+
SUMIFS('Data - Monthly Commodity Prices'!$E$9:$E$2500,'Data - Monthly Commodity Prices'!$A$9:$A$2500,'Gold - Prices'!E25,'Data - Monthly Commodity Prices'!$B$9:$B$2500,4)+
SUMIFS('Data - Monthly Commodity Prices'!$E$9:$E$2500,'Data - Monthly Commodity Prices'!$A$9:$A$2500,'Gold - Prices'!F25,'Data - Monthly Commodity Prices'!$B$9:$B$2500,1)+
SUMIFS('Data - Monthly Commodity Prices'!$E$9:$E$2500,'Data - Monthly Commodity Prices'!$A$9:$A$2500,'Gold - Prices'!F25,'Data - Monthly Commodity Prices'!$B$9:$B$2500,2))
/(COUNTIFS('Data - Monthly Commodity Prices'!$A$9:$A$2500,'Gold - Prices'!E25,'Data - Monthly Commodity Prices'!$B$9:$B$2500,3)+
COUNTIFS('Data - Monthly Commodity Prices'!$A$9:$A$2500,'Gold - Prices'!E25,'Data - Monthly Commodity Prices'!$B$9:$B$2500,4)+
COUNTIFS('Data - Monthly Commodity Prices'!$A$9:$A$2500,'Gold - Prices'!F25,'Data - Monthly Commodity Prices'!$B$9:$B$2500,1)+
COUNTIFS('Data - Monthly Commodity Prices'!$A$9:$A$2500,'Gold - Prices'!F25,'Data - Monthly Commodity Prices'!$B$9:$B$2500,2))</f>
        <v>496.0558333333334</v>
      </c>
      <c r="K25" s="798">
        <f>(SUMIFS('Data - Monthly Commodity Prices'!$F$9:$F$2500,'Data - Monthly Commodity Prices'!$A$9:$A$2500,'Gold - Prices'!E25,'Data - Monthly Commodity Prices'!$B$9:$B$2500,3)+
SUMIFS('Data - Monthly Commodity Prices'!$F$9:$F$2500,'Data - Monthly Commodity Prices'!$A$9:$A$2500,'Gold - Prices'!E25,'Data - Monthly Commodity Prices'!$B$9:$B$2500,4)+
SUMIFS('Data - Monthly Commodity Prices'!$F$9:$F$2500,'Data - Monthly Commodity Prices'!$A$9:$A$2500,'Gold - Prices'!F25,'Data - Monthly Commodity Prices'!$B$9:$B$2500,1)+
SUMIFS('Data - Monthly Commodity Prices'!$F$9:$F$2500,'Data - Monthly Commodity Prices'!$A$9:$A$2500,'Gold - Prices'!F25,'Data - Monthly Commodity Prices'!$B$9:$B$2500,2))
/(COUNTIFS('Data - Monthly Commodity Prices'!$A$9:$A$2500,'Gold - Prices'!E25,'Data - Monthly Commodity Prices'!$B$9:$B$2500,3)+
COUNTIFS('Data - Monthly Commodity Prices'!$A$9:$A$2500,'Gold - Prices'!E25,'Data - Monthly Commodity Prices'!$B$9:$B$2500,4)+
COUNTIFS('Data - Monthly Commodity Prices'!$A$9:$A$2500,'Gold - Prices'!F25,'Data - Monthly Commodity Prices'!$B$9:$B$2500,1)+
COUNTIFS('Data - Monthly Commodity Prices'!$A$9:$A$2500,'Gold - Prices'!F25,'Data - Monthly Commodity Prices'!$B$9:$B$2500,2))</f>
        <v>403.16249999999997</v>
      </c>
    </row>
    <row r="26" spans="1:11">
      <c r="A26" s="83">
        <f>LARGE('Data - Monthly Commodity Prices'!C$159:C$902,42)</f>
        <v>42552</v>
      </c>
      <c r="B26" s="78">
        <f>SUMIF('Data - Monthly Commodity Prices'!C$159:C$902,A26,'Data - Monthly Commodity Prices'!F$159:F$902)</f>
        <v>1337.33</v>
      </c>
      <c r="C26" s="82">
        <f>SUMIF('Data - Monthly Commodity Prices'!C$159:C$902,A26,'Data - Monthly Commodity Prices'!E$159:E$902)</f>
        <v>1789.93</v>
      </c>
      <c r="D26" s="24"/>
      <c r="E26" s="410">
        <f t="shared" si="1"/>
        <v>1989</v>
      </c>
      <c r="F26" s="410">
        <f t="shared" si="1"/>
        <v>1990</v>
      </c>
      <c r="G26" s="1819">
        <f t="shared" si="0"/>
        <v>1989</v>
      </c>
      <c r="H26" s="76">
        <f t="array" ref="H26">IF($G$6="Historic Calendar Year",IFERROR(AVERAGE(IF($G26=YEAR('Data - Monthly Commodity Prices'!$C$9:$C$1000),'Data - Monthly Commodity Prices'!$F$9:$F$1000)),"NA"),IFERROR(IF(K26=0,"NA",K26),"NA"))</f>
        <v>381.83166666666665</v>
      </c>
      <c r="I26" s="82">
        <f t="array" ref="I26">IF($G$6="Historic Calendar Year",IFERROR(AVERAGE(IF($G26=YEAR('Data - Monthly Commodity Prices'!$C$9:$C$1000),'Data - Monthly Commodity Prices'!$E$9:$E$1000)),"NA"),IFERROR(IF(J26=0,"NA",J26),"NA"))</f>
        <v>483.81833333333338</v>
      </c>
      <c r="J26" s="798">
        <f>(SUMIFS('Data - Monthly Commodity Prices'!$E$9:$E$2500,'Data - Monthly Commodity Prices'!$A$9:$A$2500,'Gold - Prices'!E26,'Data - Monthly Commodity Prices'!$B$9:$B$2500,3)+
SUMIFS('Data - Monthly Commodity Prices'!$E$9:$E$2500,'Data - Monthly Commodity Prices'!$A$9:$A$2500,'Gold - Prices'!E26,'Data - Monthly Commodity Prices'!$B$9:$B$2500,4)+
SUMIFS('Data - Monthly Commodity Prices'!$E$9:$E$2500,'Data - Monthly Commodity Prices'!$A$9:$A$2500,'Gold - Prices'!F26,'Data - Monthly Commodity Prices'!$B$9:$B$2500,1)+
SUMIFS('Data - Monthly Commodity Prices'!$E$9:$E$2500,'Data - Monthly Commodity Prices'!$A$9:$A$2500,'Gold - Prices'!F26,'Data - Monthly Commodity Prices'!$B$9:$B$2500,2))
/(COUNTIFS('Data - Monthly Commodity Prices'!$A$9:$A$2500,'Gold - Prices'!E26,'Data - Monthly Commodity Prices'!$B$9:$B$2500,3)+
COUNTIFS('Data - Monthly Commodity Prices'!$A$9:$A$2500,'Gold - Prices'!E26,'Data - Monthly Commodity Prices'!$B$9:$B$2500,4)+
COUNTIFS('Data - Monthly Commodity Prices'!$A$9:$A$2500,'Gold - Prices'!F26,'Data - Monthly Commodity Prices'!$B$9:$B$2500,1)+
COUNTIFS('Data - Monthly Commodity Prices'!$A$9:$A$2500,'Gold - Prices'!F26,'Data - Monthly Commodity Prices'!$B$9:$B$2500,2))</f>
        <v>498.92416666666668</v>
      </c>
      <c r="K26" s="798">
        <f>(SUMIFS('Data - Monthly Commodity Prices'!$F$9:$F$2500,'Data - Monthly Commodity Prices'!$A$9:$A$2500,'Gold - Prices'!E26,'Data - Monthly Commodity Prices'!$B$9:$B$2500,3)+
SUMIFS('Data - Monthly Commodity Prices'!$F$9:$F$2500,'Data - Monthly Commodity Prices'!$A$9:$A$2500,'Gold - Prices'!E26,'Data - Monthly Commodity Prices'!$B$9:$B$2500,4)+
SUMIFS('Data - Monthly Commodity Prices'!$F$9:$F$2500,'Data - Monthly Commodity Prices'!$A$9:$A$2500,'Gold - Prices'!F26,'Data - Monthly Commodity Prices'!$B$9:$B$2500,1)+
SUMIFS('Data - Monthly Commodity Prices'!$F$9:$F$2500,'Data - Monthly Commodity Prices'!$A$9:$A$2500,'Gold - Prices'!F26,'Data - Monthly Commodity Prices'!$B$9:$B$2500,2))
/(COUNTIFS('Data - Monthly Commodity Prices'!$A$9:$A$2500,'Gold - Prices'!E26,'Data - Monthly Commodity Prices'!$B$9:$B$2500,3)+
COUNTIFS('Data - Monthly Commodity Prices'!$A$9:$A$2500,'Gold - Prices'!E26,'Data - Monthly Commodity Prices'!$B$9:$B$2500,4)+
COUNTIFS('Data - Monthly Commodity Prices'!$A$9:$A$2500,'Gold - Prices'!F26,'Data - Monthly Commodity Prices'!$B$9:$B$2500,1)+
COUNTIFS('Data - Monthly Commodity Prices'!$A$9:$A$2500,'Gold - Prices'!F26,'Data - Monthly Commodity Prices'!$B$9:$B$2500,2))</f>
        <v>382.71249999999992</v>
      </c>
    </row>
    <row r="27" spans="1:11">
      <c r="A27" s="21">
        <f>LARGE('Data - Monthly Commodity Prices'!C$159:C$902,41)</f>
        <v>42583</v>
      </c>
      <c r="B27" s="79">
        <f>SUMIF('Data - Monthly Commodity Prices'!C$159:C$902,A27,'Data - Monthly Commodity Prices'!F$159:F$902)</f>
        <v>1341.09</v>
      </c>
      <c r="C27" s="30">
        <f>SUMIF('Data - Monthly Commodity Prices'!C$159:C$902,A27,'Data - Monthly Commodity Prices'!E$159:E$902)</f>
        <v>1770.59</v>
      </c>
      <c r="D27" s="24"/>
      <c r="E27" s="410">
        <f t="shared" si="1"/>
        <v>1990</v>
      </c>
      <c r="F27" s="410">
        <f t="shared" si="1"/>
        <v>1991</v>
      </c>
      <c r="G27" s="747">
        <f t="shared" si="0"/>
        <v>1990</v>
      </c>
      <c r="H27" s="75">
        <f t="array" ref="H27">IF($G$6="Historic Calendar Year",IFERROR(AVERAGE(IF($G27=YEAR('Data - Monthly Commodity Prices'!$C$9:$C$1000),'Data - Monthly Commodity Prices'!$F$9:$F$1000)),"NA"),IFERROR(IF(K27=0,"NA",K27),"NA"))</f>
        <v>383.67083333333329</v>
      </c>
      <c r="I27" s="30">
        <f t="array" ref="I27">IF($G$6="Historic Calendar Year",IFERROR(AVERAGE(IF($G27=YEAR('Data - Monthly Commodity Prices'!$C$9:$C$1000),'Data - Monthly Commodity Prices'!$E$9:$E$1000)),"NA"),IFERROR(IF(J27=0,"NA",J27),"NA"))</f>
        <v>493.27333333333331</v>
      </c>
      <c r="J27" s="798">
        <f>(SUMIFS('Data - Monthly Commodity Prices'!$E$9:$E$2500,'Data - Monthly Commodity Prices'!$A$9:$A$2500,'Gold - Prices'!E27,'Data - Monthly Commodity Prices'!$B$9:$B$2500,3)+
SUMIFS('Data - Monthly Commodity Prices'!$E$9:$E$2500,'Data - Monthly Commodity Prices'!$A$9:$A$2500,'Gold - Prices'!E27,'Data - Monthly Commodity Prices'!$B$9:$B$2500,4)+
SUMIFS('Data - Monthly Commodity Prices'!$E$9:$E$2500,'Data - Monthly Commodity Prices'!$A$9:$A$2500,'Gold - Prices'!F27,'Data - Monthly Commodity Prices'!$B$9:$B$2500,1)+
SUMIFS('Data - Monthly Commodity Prices'!$E$9:$E$2500,'Data - Monthly Commodity Prices'!$A$9:$A$2500,'Gold - Prices'!F27,'Data - Monthly Commodity Prices'!$B$9:$B$2500,2))
/(COUNTIFS('Data - Monthly Commodity Prices'!$A$9:$A$2500,'Gold - Prices'!E27,'Data - Monthly Commodity Prices'!$B$9:$B$2500,3)+
COUNTIFS('Data - Monthly Commodity Prices'!$A$9:$A$2500,'Gold - Prices'!E27,'Data - Monthly Commodity Prices'!$B$9:$B$2500,4)+
COUNTIFS('Data - Monthly Commodity Prices'!$A$9:$A$2500,'Gold - Prices'!F27,'Data - Monthly Commodity Prices'!$B$9:$B$2500,1)+
COUNTIFS('Data - Monthly Commodity Prices'!$A$9:$A$2500,'Gold - Prices'!F27,'Data - Monthly Commodity Prices'!$B$9:$B$2500,2))</f>
        <v>477.64499999999998</v>
      </c>
      <c r="K27" s="798">
        <f>(SUMIFS('Data - Monthly Commodity Prices'!$F$9:$F$2500,'Data - Monthly Commodity Prices'!$A$9:$A$2500,'Gold - Prices'!E27,'Data - Monthly Commodity Prices'!$B$9:$B$2500,3)+
SUMIFS('Data - Monthly Commodity Prices'!$F$9:$F$2500,'Data - Monthly Commodity Prices'!$A$9:$A$2500,'Gold - Prices'!E27,'Data - Monthly Commodity Prices'!$B$9:$B$2500,4)+
SUMIFS('Data - Monthly Commodity Prices'!$F$9:$F$2500,'Data - Monthly Commodity Prices'!$A$9:$A$2500,'Gold - Prices'!F27,'Data - Monthly Commodity Prices'!$B$9:$B$2500,1)+
SUMIFS('Data - Monthly Commodity Prices'!$F$9:$F$2500,'Data - Monthly Commodity Prices'!$A$9:$A$2500,'Gold - Prices'!F27,'Data - Monthly Commodity Prices'!$B$9:$B$2500,2))
/(COUNTIFS('Data - Monthly Commodity Prices'!$A$9:$A$2500,'Gold - Prices'!E27,'Data - Monthly Commodity Prices'!$B$9:$B$2500,3)+
COUNTIFS('Data - Monthly Commodity Prices'!$A$9:$A$2500,'Gold - Prices'!E27,'Data - Monthly Commodity Prices'!$B$9:$B$2500,4)+
COUNTIFS('Data - Monthly Commodity Prices'!$A$9:$A$2500,'Gold - Prices'!F27,'Data - Monthly Commodity Prices'!$B$9:$B$2500,1)+
COUNTIFS('Data - Monthly Commodity Prices'!$A$9:$A$2500,'Gold - Prices'!F27,'Data - Monthly Commodity Prices'!$B$9:$B$2500,2))</f>
        <v>373.57916666666665</v>
      </c>
    </row>
    <row r="28" spans="1:11">
      <c r="A28" s="83">
        <f>LARGE('Data - Monthly Commodity Prices'!C$159:C$902,40)</f>
        <v>42614</v>
      </c>
      <c r="B28" s="78">
        <f>SUMIF('Data - Monthly Commodity Prices'!C$159:C$902,A28,'Data - Monthly Commodity Prices'!F$159:F$902)</f>
        <v>1326.03</v>
      </c>
      <c r="C28" s="82">
        <f>SUMIF('Data - Monthly Commodity Prices'!C$159:C$902,A28,'Data - Monthly Commodity Prices'!E$159:E$902)</f>
        <v>1758.83</v>
      </c>
      <c r="D28" s="24"/>
      <c r="E28" s="410">
        <f t="shared" si="1"/>
        <v>1991</v>
      </c>
      <c r="F28" s="410">
        <f t="shared" si="1"/>
        <v>1992</v>
      </c>
      <c r="G28" s="1819">
        <f t="shared" si="0"/>
        <v>1991</v>
      </c>
      <c r="H28" s="76">
        <f t="array" ref="H28">IF($G$6="Historic Calendar Year",IFERROR(AVERAGE(IF($G28=YEAR('Data - Monthly Commodity Prices'!$C$9:$C$1000),'Data - Monthly Commodity Prices'!$F$9:$F$1000)),"NA"),IFERROR(IF(K28=0,"NA",K28),"NA"))</f>
        <v>362.57666666666665</v>
      </c>
      <c r="I28" s="82">
        <f t="array" ref="I28">IF($G$6="Historic Calendar Year",IFERROR(AVERAGE(IF($G28=YEAR('Data - Monthly Commodity Prices'!$C$9:$C$1000),'Data - Monthly Commodity Prices'!$E$9:$E$1000)),"NA"),IFERROR(IF(J28=0,"NA",J28),"NA"))</f>
        <v>467.42333333333335</v>
      </c>
      <c r="J28" s="798">
        <f>(SUMIFS('Data - Monthly Commodity Prices'!$E$9:$E$2500,'Data - Monthly Commodity Prices'!$A$9:$A$2500,'Gold - Prices'!E28,'Data - Monthly Commodity Prices'!$B$9:$B$2500,3)+
SUMIFS('Data - Monthly Commodity Prices'!$E$9:$E$2500,'Data - Monthly Commodity Prices'!$A$9:$A$2500,'Gold - Prices'!E28,'Data - Monthly Commodity Prices'!$B$9:$B$2500,4)+
SUMIFS('Data - Monthly Commodity Prices'!$E$9:$E$2500,'Data - Monthly Commodity Prices'!$A$9:$A$2500,'Gold - Prices'!F28,'Data - Monthly Commodity Prices'!$B$9:$B$2500,1)+
SUMIFS('Data - Monthly Commodity Prices'!$E$9:$E$2500,'Data - Monthly Commodity Prices'!$A$9:$A$2500,'Gold - Prices'!F28,'Data - Monthly Commodity Prices'!$B$9:$B$2500,2))
/(COUNTIFS('Data - Monthly Commodity Prices'!$A$9:$A$2500,'Gold - Prices'!E28,'Data - Monthly Commodity Prices'!$B$9:$B$2500,3)+
COUNTIFS('Data - Monthly Commodity Prices'!$A$9:$A$2500,'Gold - Prices'!E28,'Data - Monthly Commodity Prices'!$B$9:$B$2500,4)+
COUNTIFS('Data - Monthly Commodity Prices'!$A$9:$A$2500,'Gold - Prices'!F28,'Data - Monthly Commodity Prices'!$B$9:$B$2500,1)+
COUNTIFS('Data - Monthly Commodity Prices'!$A$9:$A$2500,'Gold - Prices'!F28,'Data - Monthly Commodity Prices'!$B$9:$B$2500,2))</f>
        <v>459.53249999999997</v>
      </c>
      <c r="K28" s="798">
        <f>(SUMIFS('Data - Monthly Commodity Prices'!$F$9:$F$2500,'Data - Monthly Commodity Prices'!$A$9:$A$2500,'Gold - Prices'!E28,'Data - Monthly Commodity Prices'!$B$9:$B$2500,3)+
SUMIFS('Data - Monthly Commodity Prices'!$F$9:$F$2500,'Data - Monthly Commodity Prices'!$A$9:$A$2500,'Gold - Prices'!E28,'Data - Monthly Commodity Prices'!$B$9:$B$2500,4)+
SUMIFS('Data - Monthly Commodity Prices'!$F$9:$F$2500,'Data - Monthly Commodity Prices'!$A$9:$A$2500,'Gold - Prices'!F28,'Data - Monthly Commodity Prices'!$B$9:$B$2500,1)+
SUMIFS('Data - Monthly Commodity Prices'!$F$9:$F$2500,'Data - Monthly Commodity Prices'!$A$9:$A$2500,'Gold - Prices'!F28,'Data - Monthly Commodity Prices'!$B$9:$B$2500,2))
/(COUNTIFS('Data - Monthly Commodity Prices'!$A$9:$A$2500,'Gold - Prices'!E28,'Data - Monthly Commodity Prices'!$B$9:$B$2500,3)+
COUNTIFS('Data - Monthly Commodity Prices'!$A$9:$A$2500,'Gold - Prices'!E28,'Data - Monthly Commodity Prices'!$B$9:$B$2500,4)+
COUNTIFS('Data - Monthly Commodity Prices'!$A$9:$A$2500,'Gold - Prices'!F28,'Data - Monthly Commodity Prices'!$B$9:$B$2500,1)+
COUNTIFS('Data - Monthly Commodity Prices'!$A$9:$A$2500,'Gold - Prices'!F28,'Data - Monthly Commodity Prices'!$B$9:$B$2500,2))</f>
        <v>352.09416666666669</v>
      </c>
    </row>
    <row r="29" spans="1:11">
      <c r="A29" s="21">
        <f>LARGE('Data - Monthly Commodity Prices'!C$159:C$902,39)</f>
        <v>42644</v>
      </c>
      <c r="B29" s="79">
        <f>SUMIF('Data - Monthly Commodity Prices'!C$159:C$902,A29,'Data - Monthly Commodity Prices'!F$159:F$902)</f>
        <v>1266.5899999999999</v>
      </c>
      <c r="C29" s="30">
        <f>SUMIF('Data - Monthly Commodity Prices'!C$159:C$902,A29,'Data - Monthly Commodity Prices'!E$159:E$902)</f>
        <v>1675.91</v>
      </c>
      <c r="D29" s="24"/>
      <c r="E29" s="410">
        <f t="shared" si="1"/>
        <v>1992</v>
      </c>
      <c r="F29" s="410">
        <f t="shared" si="1"/>
        <v>1993</v>
      </c>
      <c r="G29" s="747">
        <f t="shared" si="0"/>
        <v>1992</v>
      </c>
      <c r="H29" s="75">
        <f t="array" ref="H29">IF($G$6="Historic Calendar Year",IFERROR(AVERAGE(IF($G29=YEAR('Data - Monthly Commodity Prices'!$C$9:$C$1000),'Data - Monthly Commodity Prices'!$F$9:$F$1000)),"NA"),IFERROR(IF(K29=0,"NA",K29),"NA"))</f>
        <v>343.83916666666664</v>
      </c>
      <c r="I29" s="30">
        <f t="array" ref="I29">IF($G$6="Historic Calendar Year",IFERROR(AVERAGE(IF($G29=YEAR('Data - Monthly Commodity Prices'!$C$9:$C$1000),'Data - Monthly Commodity Prices'!$E$9:$E$1000)),"NA"),IFERROR(IF(J29=0,"NA",J29),"NA"))</f>
        <v>469.76500000000004</v>
      </c>
      <c r="J29" s="798">
        <f>(SUMIFS('Data - Monthly Commodity Prices'!$E$9:$E$2500,'Data - Monthly Commodity Prices'!$A$9:$A$2500,'Gold - Prices'!E29,'Data - Monthly Commodity Prices'!$B$9:$B$2500,3)+
SUMIFS('Data - Monthly Commodity Prices'!$E$9:$E$2500,'Data - Monthly Commodity Prices'!$A$9:$A$2500,'Gold - Prices'!E29,'Data - Monthly Commodity Prices'!$B$9:$B$2500,4)+
SUMIFS('Data - Monthly Commodity Prices'!$E$9:$E$2500,'Data - Monthly Commodity Prices'!$A$9:$A$2500,'Gold - Prices'!F29,'Data - Monthly Commodity Prices'!$B$9:$B$2500,1)+
SUMIFS('Data - Monthly Commodity Prices'!$E$9:$E$2500,'Data - Monthly Commodity Prices'!$A$9:$A$2500,'Gold - Prices'!F29,'Data - Monthly Commodity Prices'!$B$9:$B$2500,2))
/(COUNTIFS('Data - Monthly Commodity Prices'!$A$9:$A$2500,'Gold - Prices'!E29,'Data - Monthly Commodity Prices'!$B$9:$B$2500,3)+
COUNTIFS('Data - Monthly Commodity Prices'!$A$9:$A$2500,'Gold - Prices'!E29,'Data - Monthly Commodity Prices'!$B$9:$B$2500,4)+
COUNTIFS('Data - Monthly Commodity Prices'!$A$9:$A$2500,'Gold - Prices'!F29,'Data - Monthly Commodity Prices'!$B$9:$B$2500,1)+
COUNTIFS('Data - Monthly Commodity Prices'!$A$9:$A$2500,'Gold - Prices'!F29,'Data - Monthly Commodity Prices'!$B$9:$B$2500,2))</f>
        <v>490.3125</v>
      </c>
      <c r="K29" s="798">
        <f>(SUMIFS('Data - Monthly Commodity Prices'!$F$9:$F$2500,'Data - Monthly Commodity Prices'!$A$9:$A$2500,'Gold - Prices'!E29,'Data - Monthly Commodity Prices'!$B$9:$B$2500,3)+
SUMIFS('Data - Monthly Commodity Prices'!$F$9:$F$2500,'Data - Monthly Commodity Prices'!$A$9:$A$2500,'Gold - Prices'!E29,'Data - Monthly Commodity Prices'!$B$9:$B$2500,4)+
SUMIFS('Data - Monthly Commodity Prices'!$F$9:$F$2500,'Data - Monthly Commodity Prices'!$A$9:$A$2500,'Gold - Prices'!F29,'Data - Monthly Commodity Prices'!$B$9:$B$2500,1)+
SUMIFS('Data - Monthly Commodity Prices'!$F$9:$F$2500,'Data - Monthly Commodity Prices'!$A$9:$A$2500,'Gold - Prices'!F29,'Data - Monthly Commodity Prices'!$B$9:$B$2500,2))
/(COUNTIFS('Data - Monthly Commodity Prices'!$A$9:$A$2500,'Gold - Prices'!E29,'Data - Monthly Commodity Prices'!$B$9:$B$2500,3)+
COUNTIFS('Data - Monthly Commodity Prices'!$A$9:$A$2500,'Gold - Prices'!E29,'Data - Monthly Commodity Prices'!$B$9:$B$2500,4)+
COUNTIFS('Data - Monthly Commodity Prices'!$A$9:$A$2500,'Gold - Prices'!F29,'Data - Monthly Commodity Prices'!$B$9:$B$2500,1)+
COUNTIFS('Data - Monthly Commodity Prices'!$A$9:$A$2500,'Gold - Prices'!F29,'Data - Monthly Commodity Prices'!$B$9:$B$2500,2))</f>
        <v>343.69583333333338</v>
      </c>
    </row>
    <row r="30" spans="1:11">
      <c r="A30" s="83">
        <f>LARGE('Data - Monthly Commodity Prices'!C$159:C$902,38)</f>
        <v>42675</v>
      </c>
      <c r="B30" s="78">
        <f>SUMIF('Data - Monthly Commodity Prices'!C$159:C$902,A30,'Data - Monthly Commodity Prices'!F$159:F$902)</f>
        <v>1235.98</v>
      </c>
      <c r="C30" s="82">
        <f>SUMIF('Data - Monthly Commodity Prices'!C$159:C$902,A30,'Data - Monthly Commodity Prices'!E$159:E$902)</f>
        <v>1653.24</v>
      </c>
      <c r="D30" s="24"/>
      <c r="E30" s="410">
        <f t="shared" si="1"/>
        <v>1993</v>
      </c>
      <c r="F30" s="410">
        <f t="shared" si="1"/>
        <v>1994</v>
      </c>
      <c r="G30" s="1819">
        <f t="shared" si="0"/>
        <v>1993</v>
      </c>
      <c r="H30" s="76">
        <f t="array" ref="H30">IF($G$6="Historic Calendar Year",IFERROR(AVERAGE(IF($G30=YEAR('Data - Monthly Commodity Prices'!$C$9:$C$1000),'Data - Monthly Commodity Prices'!$F$9:$F$1000)),"NA"),IFERROR(IF(K30=0,"NA",K30),"NA"))</f>
        <v>359.80916666666661</v>
      </c>
      <c r="I30" s="82">
        <f t="array" ref="I30">IF($G$6="Historic Calendar Year",IFERROR(AVERAGE(IF($G30=YEAR('Data - Monthly Commodity Prices'!$C$9:$C$1000),'Data - Monthly Commodity Prices'!$E$9:$E$1000)),"NA"),IFERROR(IF(J30=0,"NA",J30),"NA"))</f>
        <v>530.61</v>
      </c>
      <c r="J30" s="798">
        <f>(SUMIFS('Data - Monthly Commodity Prices'!$E$9:$E$2500,'Data - Monthly Commodity Prices'!$A$9:$A$2500,'Gold - Prices'!E30,'Data - Monthly Commodity Prices'!$B$9:$B$2500,3)+
SUMIFS('Data - Monthly Commodity Prices'!$E$9:$E$2500,'Data - Monthly Commodity Prices'!$A$9:$A$2500,'Gold - Prices'!E30,'Data - Monthly Commodity Prices'!$B$9:$B$2500,4)+
SUMIFS('Data - Monthly Commodity Prices'!$E$9:$E$2500,'Data - Monthly Commodity Prices'!$A$9:$A$2500,'Gold - Prices'!F30,'Data - Monthly Commodity Prices'!$B$9:$B$2500,1)+
SUMIFS('Data - Monthly Commodity Prices'!$E$9:$E$2500,'Data - Monthly Commodity Prices'!$A$9:$A$2500,'Gold - Prices'!F30,'Data - Monthly Commodity Prices'!$B$9:$B$2500,2))
/(COUNTIFS('Data - Monthly Commodity Prices'!$A$9:$A$2500,'Gold - Prices'!E30,'Data - Monthly Commodity Prices'!$B$9:$B$2500,3)+
COUNTIFS('Data - Monthly Commodity Prices'!$A$9:$A$2500,'Gold - Prices'!E30,'Data - Monthly Commodity Prices'!$B$9:$B$2500,4)+
COUNTIFS('Data - Monthly Commodity Prices'!$A$9:$A$2500,'Gold - Prices'!F30,'Data - Monthly Commodity Prices'!$B$9:$B$2500,1)+
COUNTIFS('Data - Monthly Commodity Prices'!$A$9:$A$2500,'Gold - Prices'!F30,'Data - Monthly Commodity Prices'!$B$9:$B$2500,2))</f>
        <v>547.57703170766706</v>
      </c>
      <c r="K30" s="798">
        <f>(SUMIFS('Data - Monthly Commodity Prices'!$F$9:$F$2500,'Data - Monthly Commodity Prices'!$A$9:$A$2500,'Gold - Prices'!E30,'Data - Monthly Commodity Prices'!$B$9:$B$2500,3)+
SUMIFS('Data - Monthly Commodity Prices'!$F$9:$F$2500,'Data - Monthly Commodity Prices'!$A$9:$A$2500,'Gold - Prices'!E30,'Data - Monthly Commodity Prices'!$B$9:$B$2500,4)+
SUMIFS('Data - Monthly Commodity Prices'!$F$9:$F$2500,'Data - Monthly Commodity Prices'!$A$9:$A$2500,'Gold - Prices'!F30,'Data - Monthly Commodity Prices'!$B$9:$B$2500,1)+
SUMIFS('Data - Monthly Commodity Prices'!$F$9:$F$2500,'Data - Monthly Commodity Prices'!$A$9:$A$2500,'Gold - Prices'!F30,'Data - Monthly Commodity Prices'!$B$9:$B$2500,2))
/(COUNTIFS('Data - Monthly Commodity Prices'!$A$9:$A$2500,'Gold - Prices'!E30,'Data - Monthly Commodity Prices'!$B$9:$B$2500,3)+
COUNTIFS('Data - Monthly Commodity Prices'!$A$9:$A$2500,'Gold - Prices'!E30,'Data - Monthly Commodity Prices'!$B$9:$B$2500,4)+
COUNTIFS('Data - Monthly Commodity Prices'!$A$9:$A$2500,'Gold - Prices'!F30,'Data - Monthly Commodity Prices'!$B$9:$B$2500,1)+
COUNTIFS('Data - Monthly Commodity Prices'!$A$9:$A$2500,'Gold - Prices'!F30,'Data - Monthly Commodity Prices'!$B$9:$B$2500,2))</f>
        <v>378.87333333333328</v>
      </c>
    </row>
    <row r="31" spans="1:11">
      <c r="A31" s="21">
        <f>LARGE('Data - Monthly Commodity Prices'!C$159:C$902,37)</f>
        <v>42705</v>
      </c>
      <c r="B31" s="79">
        <f>SUMIF('Data - Monthly Commodity Prices'!C$159:C$902,A31,'Data - Monthly Commodity Prices'!F$159:F$902)</f>
        <v>1151.4000000000001</v>
      </c>
      <c r="C31" s="30">
        <f>SUMIF('Data - Monthly Commodity Prices'!C$159:C$902,A31,'Data - Monthly Commodity Prices'!E$159:E$902)</f>
        <v>1570.76</v>
      </c>
      <c r="D31" s="24"/>
      <c r="E31" s="410">
        <f t="shared" si="1"/>
        <v>1994</v>
      </c>
      <c r="F31" s="410">
        <f t="shared" si="1"/>
        <v>1995</v>
      </c>
      <c r="G31" s="747">
        <f t="shared" si="0"/>
        <v>1994</v>
      </c>
      <c r="H31" s="75">
        <f t="array" ref="H31">IF($G$6="Historic Calendar Year",IFERROR(AVERAGE(IF($G31=YEAR('Data - Monthly Commodity Prices'!$C$9:$C$1000),'Data - Monthly Commodity Prices'!$F$9:$F$1000)),"NA"),IFERROR(IF(K31=0,"NA",K31),"NA"))</f>
        <v>384.08416666666659</v>
      </c>
      <c r="I31" s="30">
        <f t="array" ref="I31">IF($G$6="Historic Calendar Year",IFERROR(AVERAGE(IF($G31=YEAR('Data - Monthly Commodity Prices'!$C$9:$C$1000),'Data - Monthly Commodity Prices'!$E$9:$E$1000)),"NA"),IFERROR(IF(J31=0,"NA",J31),"NA"))</f>
        <v>497.79778317167546</v>
      </c>
      <c r="J31" s="798">
        <f>(SUMIFS('Data - Monthly Commodity Prices'!$E$9:$E$2500,'Data - Monthly Commodity Prices'!$A$9:$A$2500,'Gold - Prices'!E31,'Data - Monthly Commodity Prices'!$B$9:$B$2500,3)+
SUMIFS('Data - Monthly Commodity Prices'!$E$9:$E$2500,'Data - Monthly Commodity Prices'!$A$9:$A$2500,'Gold - Prices'!E31,'Data - Monthly Commodity Prices'!$B$9:$B$2500,4)+
SUMIFS('Data - Monthly Commodity Prices'!$E$9:$E$2500,'Data - Monthly Commodity Prices'!$A$9:$A$2500,'Gold - Prices'!F31,'Data - Monthly Commodity Prices'!$B$9:$B$2500,1)+
SUMIFS('Data - Monthly Commodity Prices'!$E$9:$E$2500,'Data - Monthly Commodity Prices'!$A$9:$A$2500,'Gold - Prices'!F31,'Data - Monthly Commodity Prices'!$B$9:$B$2500,2))
/(COUNTIFS('Data - Monthly Commodity Prices'!$A$9:$A$2500,'Gold - Prices'!E31,'Data - Monthly Commodity Prices'!$B$9:$B$2500,3)+
COUNTIFS('Data - Monthly Commodity Prices'!$A$9:$A$2500,'Gold - Prices'!E31,'Data - Monthly Commodity Prices'!$B$9:$B$2500,4)+
COUNTIFS('Data - Monthly Commodity Prices'!$A$9:$A$2500,'Gold - Prices'!F31,'Data - Monthly Commodity Prices'!$B$9:$B$2500,1)+
COUNTIFS('Data - Monthly Commodity Prices'!$A$9:$A$2500,'Gold - Prices'!F31,'Data - Monthly Commodity Prices'!$B$9:$B$2500,2))</f>
        <v>494.10457999520287</v>
      </c>
      <c r="K31" s="798">
        <f>(SUMIFS('Data - Monthly Commodity Prices'!$F$9:$F$2500,'Data - Monthly Commodity Prices'!$A$9:$A$2500,'Gold - Prices'!E31,'Data - Monthly Commodity Prices'!$B$9:$B$2500,3)+
SUMIFS('Data - Monthly Commodity Prices'!$F$9:$F$2500,'Data - Monthly Commodity Prices'!$A$9:$A$2500,'Gold - Prices'!E31,'Data - Monthly Commodity Prices'!$B$9:$B$2500,4)+
SUMIFS('Data - Monthly Commodity Prices'!$F$9:$F$2500,'Data - Monthly Commodity Prices'!$A$9:$A$2500,'Gold - Prices'!F31,'Data - Monthly Commodity Prices'!$B$9:$B$2500,1)+
SUMIFS('Data - Monthly Commodity Prices'!$F$9:$F$2500,'Data - Monthly Commodity Prices'!$A$9:$A$2500,'Gold - Prices'!F31,'Data - Monthly Commodity Prices'!$B$9:$B$2500,2))
/(COUNTIFS('Data - Monthly Commodity Prices'!$A$9:$A$2500,'Gold - Prices'!E31,'Data - Monthly Commodity Prices'!$B$9:$B$2500,3)+
COUNTIFS('Data - Monthly Commodity Prices'!$A$9:$A$2500,'Gold - Prices'!E31,'Data - Monthly Commodity Prices'!$B$9:$B$2500,4)+
COUNTIFS('Data - Monthly Commodity Prices'!$A$9:$A$2500,'Gold - Prices'!F31,'Data - Monthly Commodity Prices'!$B$9:$B$2500,1)+
COUNTIFS('Data - Monthly Commodity Prices'!$A$9:$A$2500,'Gold - Prices'!F31,'Data - Monthly Commodity Prices'!$B$9:$B$2500,2))</f>
        <v>384.45499999999998</v>
      </c>
    </row>
    <row r="32" spans="1:11">
      <c r="A32" s="83">
        <f>LARGE('Data - Monthly Commodity Prices'!C$159:C$902,36)</f>
        <v>42736</v>
      </c>
      <c r="B32" s="78">
        <f>SUMIF('Data - Monthly Commodity Prices'!C$159:C$902,A32,'Data - Monthly Commodity Prices'!F$159:F$902)</f>
        <v>1192.6199999999999</v>
      </c>
      <c r="C32" s="82">
        <f>SUMIF('Data - Monthly Commodity Prices'!C$159:C$902,A32,'Data - Monthly Commodity Prices'!E$159:E$902)</f>
        <v>1602.86</v>
      </c>
      <c r="D32" s="24"/>
      <c r="E32" s="410">
        <f t="shared" si="1"/>
        <v>1995</v>
      </c>
      <c r="F32" s="410">
        <f t="shared" si="1"/>
        <v>1996</v>
      </c>
      <c r="G32" s="1819">
        <f t="shared" si="0"/>
        <v>1995</v>
      </c>
      <c r="H32" s="76">
        <f t="array" ref="H32">IF($G$6="Historic Calendar Year",IFERROR(AVERAGE(IF($G32=YEAR('Data - Monthly Commodity Prices'!$C$9:$C$1000),'Data - Monthly Commodity Prices'!$F$9:$F$1000)),"NA"),IFERROR(IF(K32=0,"NA",K32),"NA"))</f>
        <v>384.23499999999996</v>
      </c>
      <c r="I32" s="82">
        <f t="array" ref="I32">IF($G$6="Historic Calendar Year",IFERROR(AVERAGE(IF($G32=YEAR('Data - Monthly Commodity Prices'!$C$9:$C$1000),'Data - Monthly Commodity Prices'!$E$9:$E$1000)),"NA"),IFERROR(IF(J32=0,"NA",J32),"NA"))</f>
        <v>519.79613105296096</v>
      </c>
      <c r="J32" s="798">
        <f>(SUMIFS('Data - Monthly Commodity Prices'!$E$9:$E$2500,'Data - Monthly Commodity Prices'!$A$9:$A$2500,'Gold - Prices'!E32,'Data - Monthly Commodity Prices'!$B$9:$B$2500,3)+
SUMIFS('Data - Monthly Commodity Prices'!$E$9:$E$2500,'Data - Monthly Commodity Prices'!$A$9:$A$2500,'Gold - Prices'!E32,'Data - Monthly Commodity Prices'!$B$9:$B$2500,4)+
SUMIFS('Data - Monthly Commodity Prices'!$E$9:$E$2500,'Data - Monthly Commodity Prices'!$A$9:$A$2500,'Gold - Prices'!F32,'Data - Monthly Commodity Prices'!$B$9:$B$2500,1)+
SUMIFS('Data - Monthly Commodity Prices'!$E$9:$E$2500,'Data - Monthly Commodity Prices'!$A$9:$A$2500,'Gold - Prices'!F32,'Data - Monthly Commodity Prices'!$B$9:$B$2500,2))
/(COUNTIFS('Data - Monthly Commodity Prices'!$A$9:$A$2500,'Gold - Prices'!E32,'Data - Monthly Commodity Prices'!$B$9:$B$2500,3)+
COUNTIFS('Data - Monthly Commodity Prices'!$A$9:$A$2500,'Gold - Prices'!E32,'Data - Monthly Commodity Prices'!$B$9:$B$2500,4)+
COUNTIFS('Data - Monthly Commodity Prices'!$A$9:$A$2500,'Gold - Prices'!F32,'Data - Monthly Commodity Prices'!$B$9:$B$2500,1)+
COUNTIFS('Data - Monthly Commodity Prices'!$A$9:$A$2500,'Gold - Prices'!F32,'Data - Monthly Commodity Prices'!$B$9:$B$2500,2))</f>
        <v>512.21980252176661</v>
      </c>
      <c r="K32" s="798">
        <f>(SUMIFS('Data - Monthly Commodity Prices'!$F$9:$F$2500,'Data - Monthly Commodity Prices'!$A$9:$A$2500,'Gold - Prices'!E32,'Data - Monthly Commodity Prices'!$B$9:$B$2500,3)+
SUMIFS('Data - Monthly Commodity Prices'!$F$9:$F$2500,'Data - Monthly Commodity Prices'!$A$9:$A$2500,'Gold - Prices'!E32,'Data - Monthly Commodity Prices'!$B$9:$B$2500,4)+
SUMIFS('Data - Monthly Commodity Prices'!$F$9:$F$2500,'Data - Monthly Commodity Prices'!$A$9:$A$2500,'Gold - Prices'!F32,'Data - Monthly Commodity Prices'!$B$9:$B$2500,1)+
SUMIFS('Data - Monthly Commodity Prices'!$F$9:$F$2500,'Data - Monthly Commodity Prices'!$A$9:$A$2500,'Gold - Prices'!F32,'Data - Monthly Commodity Prices'!$B$9:$B$2500,2))
/(COUNTIFS('Data - Monthly Commodity Prices'!$A$9:$A$2500,'Gold - Prices'!E32,'Data - Monthly Commodity Prices'!$B$9:$B$2500,3)+
COUNTIFS('Data - Monthly Commodity Prices'!$A$9:$A$2500,'Gold - Prices'!E32,'Data - Monthly Commodity Prices'!$B$9:$B$2500,4)+
COUNTIFS('Data - Monthly Commodity Prices'!$A$9:$A$2500,'Gold - Prices'!F32,'Data - Monthly Commodity Prices'!$B$9:$B$2500,1)+
COUNTIFS('Data - Monthly Commodity Prices'!$A$9:$A$2500,'Gold - Prices'!F32,'Data - Monthly Commodity Prices'!$B$9:$B$2500,2))</f>
        <v>389.88916666666665</v>
      </c>
    </row>
    <row r="33" spans="1:11">
      <c r="A33" s="21">
        <f>LARGE('Data - Monthly Commodity Prices'!C$159:C$902,35)</f>
        <v>42767</v>
      </c>
      <c r="B33" s="79">
        <f>SUMIF('Data - Monthly Commodity Prices'!C$159:C$902,A33,'Data - Monthly Commodity Prices'!F$159:F$902)</f>
        <v>1234.3599999999999</v>
      </c>
      <c r="C33" s="30">
        <f>SUMIF('Data - Monthly Commodity Prices'!C$159:C$902,A33,'Data - Monthly Commodity Prices'!E$159:E$902)</f>
        <v>1614.24</v>
      </c>
      <c r="D33" s="24"/>
      <c r="E33" s="410">
        <f t="shared" si="1"/>
        <v>1996</v>
      </c>
      <c r="F33" s="410">
        <f t="shared" si="1"/>
        <v>1997</v>
      </c>
      <c r="G33" s="747">
        <f t="shared" si="0"/>
        <v>1996</v>
      </c>
      <c r="H33" s="75">
        <f t="array" ref="H33">IF($G$6="Historic Calendar Year",IFERROR(AVERAGE(IF($G33=YEAR('Data - Monthly Commodity Prices'!$C$9:$C$1000),'Data - Monthly Commodity Prices'!$F$9:$F$1000)),"NA"),IFERROR(IF(K33=0,"NA",K33),"NA"))</f>
        <v>387.79999999999995</v>
      </c>
      <c r="I33" s="30">
        <f t="array" ref="I33">IF($G$6="Historic Calendar Year",IFERROR(AVERAGE(IF($G33=YEAR('Data - Monthly Commodity Prices'!$C$9:$C$1000),'Data - Monthly Commodity Prices'!$E$9:$E$1000)),"NA"),IFERROR(IF(J33=0,"NA",J33),"NA"))</f>
        <v>494.79666666666662</v>
      </c>
      <c r="J33" s="798">
        <f>(SUMIFS('Data - Monthly Commodity Prices'!$E$9:$E$2500,'Data - Monthly Commodity Prices'!$A$9:$A$2500,'Gold - Prices'!E33,'Data - Monthly Commodity Prices'!$B$9:$B$2500,3)+
SUMIFS('Data - Monthly Commodity Prices'!$E$9:$E$2500,'Data - Monthly Commodity Prices'!$A$9:$A$2500,'Gold - Prices'!E33,'Data - Monthly Commodity Prices'!$B$9:$B$2500,4)+
SUMIFS('Data - Monthly Commodity Prices'!$E$9:$E$2500,'Data - Monthly Commodity Prices'!$A$9:$A$2500,'Gold - Prices'!F33,'Data - Monthly Commodity Prices'!$B$9:$B$2500,1)+
SUMIFS('Data - Monthly Commodity Prices'!$E$9:$E$2500,'Data - Monthly Commodity Prices'!$A$9:$A$2500,'Gold - Prices'!F33,'Data - Monthly Commodity Prices'!$B$9:$B$2500,2))
/(COUNTIFS('Data - Monthly Commodity Prices'!$A$9:$A$2500,'Gold - Prices'!E33,'Data - Monthly Commodity Prices'!$B$9:$B$2500,3)+
COUNTIFS('Data - Monthly Commodity Prices'!$A$9:$A$2500,'Gold - Prices'!E33,'Data - Monthly Commodity Prices'!$B$9:$B$2500,4)+
COUNTIFS('Data - Monthly Commodity Prices'!$A$9:$A$2500,'Gold - Prices'!F33,'Data - Monthly Commodity Prices'!$B$9:$B$2500,1)+
COUNTIFS('Data - Monthly Commodity Prices'!$A$9:$A$2500,'Gold - Prices'!F33,'Data - Monthly Commodity Prices'!$B$9:$B$2500,2))</f>
        <v>464.21000000000004</v>
      </c>
      <c r="K33" s="798">
        <f>(SUMIFS('Data - Monthly Commodity Prices'!$F$9:$F$2500,'Data - Monthly Commodity Prices'!$A$9:$A$2500,'Gold - Prices'!E33,'Data - Monthly Commodity Prices'!$B$9:$B$2500,3)+
SUMIFS('Data - Monthly Commodity Prices'!$F$9:$F$2500,'Data - Monthly Commodity Prices'!$A$9:$A$2500,'Gold - Prices'!E33,'Data - Monthly Commodity Prices'!$B$9:$B$2500,4)+
SUMIFS('Data - Monthly Commodity Prices'!$F$9:$F$2500,'Data - Monthly Commodity Prices'!$A$9:$A$2500,'Gold - Prices'!F33,'Data - Monthly Commodity Prices'!$B$9:$B$2500,1)+
SUMIFS('Data - Monthly Commodity Prices'!$F$9:$F$2500,'Data - Monthly Commodity Prices'!$A$9:$A$2500,'Gold - Prices'!F33,'Data - Monthly Commodity Prices'!$B$9:$B$2500,2))
/(COUNTIFS('Data - Monthly Commodity Prices'!$A$9:$A$2500,'Gold - Prices'!E33,'Data - Monthly Commodity Prices'!$B$9:$B$2500,3)+
COUNTIFS('Data - Monthly Commodity Prices'!$A$9:$A$2500,'Gold - Prices'!E33,'Data - Monthly Commodity Prices'!$B$9:$B$2500,4)+
COUNTIFS('Data - Monthly Commodity Prices'!$A$9:$A$2500,'Gold - Prices'!F33,'Data - Monthly Commodity Prices'!$B$9:$B$2500,1)+
COUNTIFS('Data - Monthly Commodity Prices'!$A$9:$A$2500,'Gold - Prices'!F33,'Data - Monthly Commodity Prices'!$B$9:$B$2500,2))</f>
        <v>363.89249999999998</v>
      </c>
    </row>
    <row r="34" spans="1:11">
      <c r="A34" s="83">
        <f>LARGE('Data - Monthly Commodity Prices'!C$159:C$902,34)</f>
        <v>42795</v>
      </c>
      <c r="B34" s="78">
        <f>SUMIF('Data - Monthly Commodity Prices'!C$159:C$902,A34,'Data - Monthly Commodity Prices'!F$159:F$902)</f>
        <v>1231.0899999999999</v>
      </c>
      <c r="C34" s="82">
        <f>SUMIF('Data - Monthly Commodity Prices'!C$159:C$902,A34,'Data - Monthly Commodity Prices'!E$159:E$902)</f>
        <v>1618.35</v>
      </c>
      <c r="D34" s="24"/>
      <c r="E34" s="410">
        <f t="shared" si="1"/>
        <v>1997</v>
      </c>
      <c r="F34" s="410">
        <f t="shared" si="1"/>
        <v>1998</v>
      </c>
      <c r="G34" s="1819">
        <f t="shared" si="0"/>
        <v>1997</v>
      </c>
      <c r="H34" s="76">
        <f t="array" ref="H34">IF($G$6="Historic Calendar Year",IFERROR(AVERAGE(IF($G34=YEAR('Data - Monthly Commodity Prices'!$C$9:$C$1000),'Data - Monthly Commodity Prices'!$F$9:$F$1000)),"NA"),IFERROR(IF(K34=0,"NA",K34),"NA"))</f>
        <v>331.16833333333335</v>
      </c>
      <c r="I34" s="82">
        <f t="array" ref="I34">IF($G$6="Historic Calendar Year",IFERROR(AVERAGE(IF($G34=YEAR('Data - Monthly Commodity Prices'!$C$9:$C$1000),'Data - Monthly Commodity Prices'!$E$9:$E$1000)),"NA"),IFERROR(IF(J34=0,"NA",J34),"NA"))</f>
        <v>447.61416666666668</v>
      </c>
      <c r="J34" s="798">
        <f>(SUMIFS('Data - Monthly Commodity Prices'!$E$9:$E$2500,'Data - Monthly Commodity Prices'!$A$9:$A$2500,'Gold - Prices'!E34,'Data - Monthly Commodity Prices'!$B$9:$B$2500,3)+
SUMIFS('Data - Monthly Commodity Prices'!$E$9:$E$2500,'Data - Monthly Commodity Prices'!$A$9:$A$2500,'Gold - Prices'!E34,'Data - Monthly Commodity Prices'!$B$9:$B$2500,4)+
SUMIFS('Data - Monthly Commodity Prices'!$E$9:$E$2500,'Data - Monthly Commodity Prices'!$A$9:$A$2500,'Gold - Prices'!F34,'Data - Monthly Commodity Prices'!$B$9:$B$2500,1)+
SUMIFS('Data - Monthly Commodity Prices'!$E$9:$E$2500,'Data - Monthly Commodity Prices'!$A$9:$A$2500,'Gold - Prices'!F34,'Data - Monthly Commodity Prices'!$B$9:$B$2500,2))
/(COUNTIFS('Data - Monthly Commodity Prices'!$A$9:$A$2500,'Gold - Prices'!E34,'Data - Monthly Commodity Prices'!$B$9:$B$2500,3)+
COUNTIFS('Data - Monthly Commodity Prices'!$A$9:$A$2500,'Gold - Prices'!E34,'Data - Monthly Commodity Prices'!$B$9:$B$2500,4)+
COUNTIFS('Data - Monthly Commodity Prices'!$A$9:$A$2500,'Gold - Prices'!F34,'Data - Monthly Commodity Prices'!$B$9:$B$2500,1)+
COUNTIFS('Data - Monthly Commodity Prices'!$A$9:$A$2500,'Gold - Prices'!F34,'Data - Monthly Commodity Prices'!$B$9:$B$2500,2))</f>
        <v>454.21166666666664</v>
      </c>
      <c r="K34" s="798">
        <f>(SUMIFS('Data - Monthly Commodity Prices'!$F$9:$F$2500,'Data - Monthly Commodity Prices'!$A$9:$A$2500,'Gold - Prices'!E34,'Data - Monthly Commodity Prices'!$B$9:$B$2500,3)+
SUMIFS('Data - Monthly Commodity Prices'!$F$9:$F$2500,'Data - Monthly Commodity Prices'!$A$9:$A$2500,'Gold - Prices'!E34,'Data - Monthly Commodity Prices'!$B$9:$B$2500,4)+
SUMIFS('Data - Monthly Commodity Prices'!$F$9:$F$2500,'Data - Monthly Commodity Prices'!$A$9:$A$2500,'Gold - Prices'!F34,'Data - Monthly Commodity Prices'!$B$9:$B$2500,1)+
SUMIFS('Data - Monthly Commodity Prices'!$F$9:$F$2500,'Data - Monthly Commodity Prices'!$A$9:$A$2500,'Gold - Prices'!F34,'Data - Monthly Commodity Prices'!$B$9:$B$2500,2))
/(COUNTIFS('Data - Monthly Commodity Prices'!$A$9:$A$2500,'Gold - Prices'!E34,'Data - Monthly Commodity Prices'!$B$9:$B$2500,3)+
COUNTIFS('Data - Monthly Commodity Prices'!$A$9:$A$2500,'Gold - Prices'!E34,'Data - Monthly Commodity Prices'!$B$9:$B$2500,4)+
COUNTIFS('Data - Monthly Commodity Prices'!$A$9:$A$2500,'Gold - Prices'!F34,'Data - Monthly Commodity Prices'!$B$9:$B$2500,1)+
COUNTIFS('Data - Monthly Commodity Prices'!$A$9:$A$2500,'Gold - Prices'!F34,'Data - Monthly Commodity Prices'!$B$9:$B$2500,2))</f>
        <v>306.07499999999999</v>
      </c>
    </row>
    <row r="35" spans="1:11">
      <c r="A35" s="21">
        <f>LARGE('Data - Monthly Commodity Prices'!C$159:C$902,33)</f>
        <v>42826</v>
      </c>
      <c r="B35" s="79">
        <f>SUMIF('Data - Monthly Commodity Prices'!C$159:C$902,A35,'Data - Monthly Commodity Prices'!F$159:F$902)</f>
        <v>1265.6300000000001</v>
      </c>
      <c r="C35" s="30">
        <f>SUMIF('Data - Monthly Commodity Prices'!C$159:C$902,A35,'Data - Monthly Commodity Prices'!E$159:E$902)</f>
        <v>1687.57</v>
      </c>
      <c r="D35" s="24"/>
      <c r="E35" s="410">
        <f t="shared" si="1"/>
        <v>1998</v>
      </c>
      <c r="F35" s="410">
        <f t="shared" si="1"/>
        <v>1999</v>
      </c>
      <c r="G35" s="747">
        <f t="shared" si="0"/>
        <v>1998</v>
      </c>
      <c r="H35" s="75">
        <f t="array" ref="H35">IF($G$6="Historic Calendar Year",IFERROR(AVERAGE(IF($G35=YEAR('Data - Monthly Commodity Prices'!$C$9:$C$1000),'Data - Monthly Commodity Prices'!$F$9:$F$1000)),"NA"),IFERROR(IF(K35=0,"NA",K35),"NA"))</f>
        <v>294.31824074074069</v>
      </c>
      <c r="I35" s="30">
        <f t="array" ref="I35">IF($G$6="Historic Calendar Year",IFERROR(AVERAGE(IF($G35=YEAR('Data - Monthly Commodity Prices'!$C$9:$C$1000),'Data - Monthly Commodity Prices'!$E$9:$E$1000)),"NA"),IFERROR(IF(J35=0,"NA",J35),"NA"))</f>
        <v>469.56999999999994</v>
      </c>
      <c r="J35" s="798">
        <f>(SUMIFS('Data - Monthly Commodity Prices'!$E$9:$E$2500,'Data - Monthly Commodity Prices'!$A$9:$A$2500,'Gold - Prices'!E35,'Data - Monthly Commodity Prices'!$B$9:$B$2500,3)+
SUMIFS('Data - Monthly Commodity Prices'!$E$9:$E$2500,'Data - Monthly Commodity Prices'!$A$9:$A$2500,'Gold - Prices'!E35,'Data - Monthly Commodity Prices'!$B$9:$B$2500,4)+
SUMIFS('Data - Monthly Commodity Prices'!$E$9:$E$2500,'Data - Monthly Commodity Prices'!$A$9:$A$2500,'Gold - Prices'!F35,'Data - Monthly Commodity Prices'!$B$9:$B$2500,1)+
SUMIFS('Data - Monthly Commodity Prices'!$E$9:$E$2500,'Data - Monthly Commodity Prices'!$A$9:$A$2500,'Gold - Prices'!F35,'Data - Monthly Commodity Prices'!$B$9:$B$2500,2))
/(COUNTIFS('Data - Monthly Commodity Prices'!$A$9:$A$2500,'Gold - Prices'!E35,'Data - Monthly Commodity Prices'!$B$9:$B$2500,3)+
COUNTIFS('Data - Monthly Commodity Prices'!$A$9:$A$2500,'Gold - Prices'!E35,'Data - Monthly Commodity Prices'!$B$9:$B$2500,4)+
COUNTIFS('Data - Monthly Commodity Prices'!$A$9:$A$2500,'Gold - Prices'!F35,'Data - Monthly Commodity Prices'!$B$9:$B$2500,1)+
COUNTIFS('Data - Monthly Commodity Prices'!$A$9:$A$2500,'Gold - Prices'!F35,'Data - Monthly Commodity Prices'!$B$9:$B$2500,2))</f>
        <v>456.36583333333328</v>
      </c>
      <c r="K35" s="798">
        <f>(SUMIFS('Data - Monthly Commodity Prices'!$F$9:$F$2500,'Data - Monthly Commodity Prices'!$A$9:$A$2500,'Gold - Prices'!E35,'Data - Monthly Commodity Prices'!$B$9:$B$2500,3)+
SUMIFS('Data - Monthly Commodity Prices'!$F$9:$F$2500,'Data - Monthly Commodity Prices'!$A$9:$A$2500,'Gold - Prices'!E35,'Data - Monthly Commodity Prices'!$B$9:$B$2500,4)+
SUMIFS('Data - Monthly Commodity Prices'!$F$9:$F$2500,'Data - Monthly Commodity Prices'!$A$9:$A$2500,'Gold - Prices'!F35,'Data - Monthly Commodity Prices'!$B$9:$B$2500,1)+
SUMIFS('Data - Monthly Commodity Prices'!$F$9:$F$2500,'Data - Monthly Commodity Prices'!$A$9:$A$2500,'Gold - Prices'!F35,'Data - Monthly Commodity Prices'!$B$9:$B$2500,2))
/(COUNTIFS('Data - Monthly Commodity Prices'!$A$9:$A$2500,'Gold - Prices'!E35,'Data - Monthly Commodity Prices'!$B$9:$B$2500,3)+
COUNTIFS('Data - Monthly Commodity Prices'!$A$9:$A$2500,'Gold - Prices'!E35,'Data - Monthly Commodity Prices'!$B$9:$B$2500,4)+
COUNTIFS('Data - Monthly Commodity Prices'!$A$9:$A$2500,'Gold - Prices'!F35,'Data - Monthly Commodity Prices'!$B$9:$B$2500,1)+
COUNTIFS('Data - Monthly Commodity Prices'!$A$9:$A$2500,'Gold - Prices'!F35,'Data - Monthly Commodity Prices'!$B$9:$B$2500,2))</f>
        <v>285.87740740740736</v>
      </c>
    </row>
    <row r="36" spans="1:11">
      <c r="A36" s="83">
        <f>LARGE('Data - Monthly Commodity Prices'!C$159:C$902,32)</f>
        <v>42856</v>
      </c>
      <c r="B36" s="78">
        <f>SUMIF('Data - Monthly Commodity Prices'!C$159:C$902,A36,'Data - Monthly Commodity Prices'!F$159:F$902)</f>
        <v>1245</v>
      </c>
      <c r="C36" s="82">
        <f>SUMIF('Data - Monthly Commodity Prices'!C$159:C$902,A36,'Data - Monthly Commodity Prices'!E$159:E$902)</f>
        <v>1679.56</v>
      </c>
      <c r="D36" s="24"/>
      <c r="E36" s="410">
        <f t="shared" si="1"/>
        <v>1999</v>
      </c>
      <c r="F36" s="410">
        <f t="shared" si="1"/>
        <v>2000</v>
      </c>
      <c r="G36" s="1819">
        <f t="shared" si="0"/>
        <v>1999</v>
      </c>
      <c r="H36" s="76">
        <f t="array" ref="H36">IF($G$6="Historic Calendar Year",IFERROR(AVERAGE(IF($G36=YEAR('Data - Monthly Commodity Prices'!$C$9:$C$1000),'Data - Monthly Commodity Prices'!$F$9:$F$1000)),"NA"),IFERROR(IF(K36=0,"NA",K36),"NA"))</f>
        <v>279.16701118326114</v>
      </c>
      <c r="I36" s="82">
        <f t="array" ref="I36">IF($G$6="Historic Calendar Year",IFERROR(AVERAGE(IF($G36=YEAR('Data - Monthly Commodity Prices'!$C$9:$C$1000),'Data - Monthly Commodity Prices'!$E$9:$E$1000)),"NA"),IFERROR(IF(J36=0,"NA",J36),"NA"))</f>
        <v>433.45000000000005</v>
      </c>
      <c r="J36" s="798">
        <f>(SUMIFS('Data - Monthly Commodity Prices'!$E$9:$E$2500,'Data - Monthly Commodity Prices'!$A$9:$A$2500,'Gold - Prices'!E36,'Data - Monthly Commodity Prices'!$B$9:$B$2500,3)+
SUMIFS('Data - Monthly Commodity Prices'!$E$9:$E$2500,'Data - Monthly Commodity Prices'!$A$9:$A$2500,'Gold - Prices'!E36,'Data - Monthly Commodity Prices'!$B$9:$B$2500,4)+
SUMIFS('Data - Monthly Commodity Prices'!$E$9:$E$2500,'Data - Monthly Commodity Prices'!$A$9:$A$2500,'Gold - Prices'!F36,'Data - Monthly Commodity Prices'!$B$9:$B$2500,1)+
SUMIFS('Data - Monthly Commodity Prices'!$E$9:$E$2500,'Data - Monthly Commodity Prices'!$A$9:$A$2500,'Gold - Prices'!F36,'Data - Monthly Commodity Prices'!$B$9:$B$2500,2))
/(COUNTIFS('Data - Monthly Commodity Prices'!$A$9:$A$2500,'Gold - Prices'!E36,'Data - Monthly Commodity Prices'!$B$9:$B$2500,3)+
COUNTIFS('Data - Monthly Commodity Prices'!$A$9:$A$2500,'Gold - Prices'!E36,'Data - Monthly Commodity Prices'!$B$9:$B$2500,4)+
COUNTIFS('Data - Monthly Commodity Prices'!$A$9:$A$2500,'Gold - Prices'!F36,'Data - Monthly Commodity Prices'!$B$9:$B$2500,1)+
COUNTIFS('Data - Monthly Commodity Prices'!$A$9:$A$2500,'Gold - Prices'!F36,'Data - Monthly Commodity Prices'!$B$9:$B$2500,2))</f>
        <v>449.42333333333335</v>
      </c>
      <c r="K36" s="798">
        <f>(SUMIFS('Data - Monthly Commodity Prices'!$F$9:$F$2500,'Data - Monthly Commodity Prices'!$A$9:$A$2500,'Gold - Prices'!E36,'Data - Monthly Commodity Prices'!$B$9:$B$2500,3)+
SUMIFS('Data - Monthly Commodity Prices'!$F$9:$F$2500,'Data - Monthly Commodity Prices'!$A$9:$A$2500,'Gold - Prices'!E36,'Data - Monthly Commodity Prices'!$B$9:$B$2500,4)+
SUMIFS('Data - Monthly Commodity Prices'!$F$9:$F$2500,'Data - Monthly Commodity Prices'!$A$9:$A$2500,'Gold - Prices'!F36,'Data - Monthly Commodity Prices'!$B$9:$B$2500,1)+
SUMIFS('Data - Monthly Commodity Prices'!$F$9:$F$2500,'Data - Monthly Commodity Prices'!$A$9:$A$2500,'Gold - Prices'!F36,'Data - Monthly Commodity Prices'!$B$9:$B$2500,2))
/(COUNTIFS('Data - Monthly Commodity Prices'!$A$9:$A$2500,'Gold - Prices'!E36,'Data - Monthly Commodity Prices'!$B$9:$B$2500,3)+
COUNTIFS('Data - Monthly Commodity Prices'!$A$9:$A$2500,'Gold - Prices'!E36,'Data - Monthly Commodity Prices'!$B$9:$B$2500,4)+
COUNTIFS('Data - Monthly Commodity Prices'!$A$9:$A$2500,'Gold - Prices'!F36,'Data - Monthly Commodity Prices'!$B$9:$B$2500,1)+
COUNTIFS('Data - Monthly Commodity Prices'!$A$9:$A$2500,'Gold - Prices'!F36,'Data - Monthly Commodity Prices'!$B$9:$B$2500,2))</f>
        <v>281.71867784992781</v>
      </c>
    </row>
    <row r="37" spans="1:11">
      <c r="A37" s="21">
        <f>LARGE('Data - Monthly Commodity Prices'!C$159:C$902,31)</f>
        <v>42887</v>
      </c>
      <c r="B37" s="79">
        <f>SUMIF('Data - Monthly Commodity Prices'!C$159:C$902,A37,'Data - Monthly Commodity Prices'!F$159:F$902)</f>
        <v>1260.26</v>
      </c>
      <c r="C37" s="30">
        <f>SUMIF('Data - Monthly Commodity Prices'!C$159:C$902,A37,'Data - Monthly Commodity Prices'!E$159:E$902)</f>
        <v>1677.15</v>
      </c>
      <c r="D37" s="24"/>
      <c r="E37" s="410">
        <f t="shared" si="1"/>
        <v>2000</v>
      </c>
      <c r="F37" s="410">
        <f t="shared" si="1"/>
        <v>2001</v>
      </c>
      <c r="G37" s="747">
        <f t="shared" si="0"/>
        <v>2000</v>
      </c>
      <c r="H37" s="75">
        <f t="array" ref="H37">IF($G$6="Historic Calendar Year",IFERROR(AVERAGE(IF($G37=YEAR('Data - Monthly Commodity Prices'!$C$9:$C$1000),'Data - Monthly Commodity Prices'!$F$9:$F$1000)),"NA"),IFERROR(IF(K37=0,"NA",K37),"NA"))</f>
        <v>278.8533333333333</v>
      </c>
      <c r="I37" s="30">
        <f t="array" ref="I37">IF($G$6="Historic Calendar Year",IFERROR(AVERAGE(IF($G37=YEAR('Data - Monthly Commodity Prices'!$C$9:$C$1000),'Data - Monthly Commodity Prices'!$E$9:$E$1000)),"NA"),IFERROR(IF(J37=0,"NA",J37),"NA"))</f>
        <v>479.93333333333339</v>
      </c>
      <c r="J37" s="798">
        <f>(SUMIFS('Data - Monthly Commodity Prices'!$E$9:$E$2500,'Data - Monthly Commodity Prices'!$A$9:$A$2500,'Gold - Prices'!E37,'Data - Monthly Commodity Prices'!$B$9:$B$2500,3)+
SUMIFS('Data - Monthly Commodity Prices'!$E$9:$E$2500,'Data - Monthly Commodity Prices'!$A$9:$A$2500,'Gold - Prices'!E37,'Data - Monthly Commodity Prices'!$B$9:$B$2500,4)+
SUMIFS('Data - Monthly Commodity Prices'!$E$9:$E$2500,'Data - Monthly Commodity Prices'!$A$9:$A$2500,'Gold - Prices'!F37,'Data - Monthly Commodity Prices'!$B$9:$B$2500,1)+
SUMIFS('Data - Monthly Commodity Prices'!$E$9:$E$2500,'Data - Monthly Commodity Prices'!$A$9:$A$2500,'Gold - Prices'!F37,'Data - Monthly Commodity Prices'!$B$9:$B$2500,2))
/(COUNTIFS('Data - Monthly Commodity Prices'!$A$9:$A$2500,'Gold - Prices'!E37,'Data - Monthly Commodity Prices'!$B$9:$B$2500,3)+
COUNTIFS('Data - Monthly Commodity Prices'!$A$9:$A$2500,'Gold - Prices'!E37,'Data - Monthly Commodity Prices'!$B$9:$B$2500,4)+
COUNTIFS('Data - Monthly Commodity Prices'!$A$9:$A$2500,'Gold - Prices'!F37,'Data - Monthly Commodity Prices'!$B$9:$B$2500,1)+
COUNTIFS('Data - Monthly Commodity Prices'!$A$9:$A$2500,'Gold - Prices'!F37,'Data - Monthly Commodity Prices'!$B$9:$B$2500,2))</f>
        <v>501.09666666666664</v>
      </c>
      <c r="K37" s="798">
        <f>(SUMIFS('Data - Monthly Commodity Prices'!$F$9:$F$2500,'Data - Monthly Commodity Prices'!$A$9:$A$2500,'Gold - Prices'!E37,'Data - Monthly Commodity Prices'!$B$9:$B$2500,3)+
SUMIFS('Data - Monthly Commodity Prices'!$F$9:$F$2500,'Data - Monthly Commodity Prices'!$A$9:$A$2500,'Gold - Prices'!E37,'Data - Monthly Commodity Prices'!$B$9:$B$2500,4)+
SUMIFS('Data - Monthly Commodity Prices'!$F$9:$F$2500,'Data - Monthly Commodity Prices'!$A$9:$A$2500,'Gold - Prices'!F37,'Data - Monthly Commodity Prices'!$B$9:$B$2500,1)+
SUMIFS('Data - Monthly Commodity Prices'!$F$9:$F$2500,'Data - Monthly Commodity Prices'!$A$9:$A$2500,'Gold - Prices'!F37,'Data - Monthly Commodity Prices'!$B$9:$B$2500,2))
/(COUNTIFS('Data - Monthly Commodity Prices'!$A$9:$A$2500,'Gold - Prices'!E37,'Data - Monthly Commodity Prices'!$B$9:$B$2500,3)+
COUNTIFS('Data - Monthly Commodity Prices'!$A$9:$A$2500,'Gold - Prices'!E37,'Data - Monthly Commodity Prices'!$B$9:$B$2500,4)+
COUNTIFS('Data - Monthly Commodity Prices'!$A$9:$A$2500,'Gold - Prices'!F37,'Data - Monthly Commodity Prices'!$B$9:$B$2500,1)+
COUNTIFS('Data - Monthly Commodity Prices'!$A$9:$A$2500,'Gold - Prices'!F37,'Data - Monthly Commodity Prices'!$B$9:$B$2500,2))</f>
        <v>268.97916666666669</v>
      </c>
    </row>
    <row r="38" spans="1:11">
      <c r="A38" s="83">
        <f>LARGE('Data - Monthly Commodity Prices'!C$159:C$902,30)</f>
        <v>42917</v>
      </c>
      <c r="B38" s="78">
        <f>SUMIF('Data - Monthly Commodity Prices'!C$159:C$902,A38,'Data - Monthly Commodity Prices'!F$159:F$902)</f>
        <v>1236.22</v>
      </c>
      <c r="C38" s="82">
        <f>SUMIF('Data - Monthly Commodity Prices'!C$159:C$902,A38,'Data - Monthly Commodity Prices'!E$159:E$902)</f>
        <v>1592.74</v>
      </c>
      <c r="D38" s="24"/>
      <c r="E38" s="410">
        <f t="shared" si="1"/>
        <v>2001</v>
      </c>
      <c r="F38" s="410">
        <f t="shared" si="1"/>
        <v>2002</v>
      </c>
      <c r="G38" s="1819">
        <f t="shared" si="0"/>
        <v>2001</v>
      </c>
      <c r="H38" s="76">
        <f t="array" ref="H38">IF($G$6="Historic Calendar Year",IFERROR(AVERAGE(IF($G38=YEAR('Data - Monthly Commodity Prices'!$C$9:$C$1000),'Data - Monthly Commodity Prices'!$F$9:$F$1000)),"NA"),IFERROR(IF(K38=0,"NA",K38),"NA"))</f>
        <v>270.68416666666667</v>
      </c>
      <c r="I38" s="82">
        <f t="array" ref="I38">IF($G$6="Historic Calendar Year",IFERROR(AVERAGE(IF($G38=YEAR('Data - Monthly Commodity Prices'!$C$9:$C$1000),'Data - Monthly Commodity Prices'!$E$9:$E$1000)),"NA"),IFERROR(IF(J38=0,"NA",J38),"NA"))</f>
        <v>525.91416666666669</v>
      </c>
      <c r="J38" s="798">
        <f>(SUMIFS('Data - Monthly Commodity Prices'!$E$9:$E$2500,'Data - Monthly Commodity Prices'!$A$9:$A$2500,'Gold - Prices'!E38,'Data - Monthly Commodity Prices'!$B$9:$B$2500,3)+
SUMIFS('Data - Monthly Commodity Prices'!$E$9:$E$2500,'Data - Monthly Commodity Prices'!$A$9:$A$2500,'Gold - Prices'!E38,'Data - Monthly Commodity Prices'!$B$9:$B$2500,4)+
SUMIFS('Data - Monthly Commodity Prices'!$E$9:$E$2500,'Data - Monthly Commodity Prices'!$A$9:$A$2500,'Gold - Prices'!F38,'Data - Monthly Commodity Prices'!$B$9:$B$2500,1)+
SUMIFS('Data - Monthly Commodity Prices'!$E$9:$E$2500,'Data - Monthly Commodity Prices'!$A$9:$A$2500,'Gold - Prices'!F38,'Data - Monthly Commodity Prices'!$B$9:$B$2500,2))
/(COUNTIFS('Data - Monthly Commodity Prices'!$A$9:$A$2500,'Gold - Prices'!E38,'Data - Monthly Commodity Prices'!$B$9:$B$2500,3)+
COUNTIFS('Data - Monthly Commodity Prices'!$A$9:$A$2500,'Gold - Prices'!E38,'Data - Monthly Commodity Prices'!$B$9:$B$2500,4)+
COUNTIFS('Data - Monthly Commodity Prices'!$A$9:$A$2500,'Gold - Prices'!F38,'Data - Monthly Commodity Prices'!$B$9:$B$2500,1)+
COUNTIFS('Data - Monthly Commodity Prices'!$A$9:$A$2500,'Gold - Prices'!F38,'Data - Monthly Commodity Prices'!$B$9:$B$2500,2))</f>
        <v>553.15500000000009</v>
      </c>
      <c r="K38" s="798">
        <f>(SUMIFS('Data - Monthly Commodity Prices'!$F$9:$F$2500,'Data - Monthly Commodity Prices'!$A$9:$A$2500,'Gold - Prices'!E38,'Data - Monthly Commodity Prices'!$B$9:$B$2500,3)+
SUMIFS('Data - Monthly Commodity Prices'!$F$9:$F$2500,'Data - Monthly Commodity Prices'!$A$9:$A$2500,'Gold - Prices'!E38,'Data - Monthly Commodity Prices'!$B$9:$B$2500,4)+
SUMIFS('Data - Monthly Commodity Prices'!$F$9:$F$2500,'Data - Monthly Commodity Prices'!$A$9:$A$2500,'Gold - Prices'!F38,'Data - Monthly Commodity Prices'!$B$9:$B$2500,1)+
SUMIFS('Data - Monthly Commodity Prices'!$F$9:$F$2500,'Data - Monthly Commodity Prices'!$A$9:$A$2500,'Gold - Prices'!F38,'Data - Monthly Commodity Prices'!$B$9:$B$2500,2))
/(COUNTIFS('Data - Monthly Commodity Prices'!$A$9:$A$2500,'Gold - Prices'!E38,'Data - Monthly Commodity Prices'!$B$9:$B$2500,3)+
COUNTIFS('Data - Monthly Commodity Prices'!$A$9:$A$2500,'Gold - Prices'!E38,'Data - Monthly Commodity Prices'!$B$9:$B$2500,4)+
COUNTIFS('Data - Monthly Commodity Prices'!$A$9:$A$2500,'Gold - Prices'!F38,'Data - Monthly Commodity Prices'!$B$9:$B$2500,1)+
COUNTIFS('Data - Monthly Commodity Prices'!$A$9:$A$2500,'Gold - Prices'!F38,'Data - Monthly Commodity Prices'!$B$9:$B$2500,2))</f>
        <v>288.72416666666669</v>
      </c>
    </row>
    <row r="39" spans="1:11">
      <c r="A39" s="21">
        <f>LARGE('Data - Monthly Commodity Prices'!C$159:C$902,29)</f>
        <v>42948</v>
      </c>
      <c r="B39" s="79">
        <f>SUMIF('Data - Monthly Commodity Prices'!C$159:C$902,A39,'Data - Monthly Commodity Prices'!F$159:F$902)</f>
        <v>1282.32</v>
      </c>
      <c r="C39" s="30">
        <f>SUMIF('Data - Monthly Commodity Prices'!C$159:C$902,A39,'Data - Monthly Commodity Prices'!E$159:E$902)</f>
        <v>1623.19</v>
      </c>
      <c r="D39" s="24"/>
      <c r="E39" s="410">
        <f t="shared" si="1"/>
        <v>2002</v>
      </c>
      <c r="F39" s="410">
        <f t="shared" si="1"/>
        <v>2003</v>
      </c>
      <c r="G39" s="747">
        <f t="shared" si="0"/>
        <v>2002</v>
      </c>
      <c r="H39" s="75">
        <f t="array" ref="H39">IF($G$6="Historic Calendar Year",IFERROR(AVERAGE(IF($G39=YEAR('Data - Monthly Commodity Prices'!$C$9:$C$1000),'Data - Monthly Commodity Prices'!$F$9:$F$1000)),"NA"),IFERROR(IF(K39=0,"NA",K39),"NA"))</f>
        <v>309.98083333333335</v>
      </c>
      <c r="I39" s="30">
        <f t="array" ref="I39">IF($G$6="Historic Calendar Year",IFERROR(AVERAGE(IF($G39=YEAR('Data - Monthly Commodity Prices'!$C$9:$C$1000),'Data - Monthly Commodity Prices'!$E$9:$E$1000)),"NA"),IFERROR(IF(J39=0,"NA",J39),"NA"))</f>
        <v>571.49833333333333</v>
      </c>
      <c r="J39" s="798">
        <f>(SUMIFS('Data - Monthly Commodity Prices'!$E$9:$E$2500,'Data - Monthly Commodity Prices'!$A$9:$A$2500,'Gold - Prices'!E39,'Data - Monthly Commodity Prices'!$B$9:$B$2500,3)+
SUMIFS('Data - Monthly Commodity Prices'!$E$9:$E$2500,'Data - Monthly Commodity Prices'!$A$9:$A$2500,'Gold - Prices'!E39,'Data - Monthly Commodity Prices'!$B$9:$B$2500,4)+
SUMIFS('Data - Monthly Commodity Prices'!$E$9:$E$2500,'Data - Monthly Commodity Prices'!$A$9:$A$2500,'Gold - Prices'!F39,'Data - Monthly Commodity Prices'!$B$9:$B$2500,1)+
SUMIFS('Data - Monthly Commodity Prices'!$E$9:$E$2500,'Data - Monthly Commodity Prices'!$A$9:$A$2500,'Gold - Prices'!F39,'Data - Monthly Commodity Prices'!$B$9:$B$2500,2))
/(COUNTIFS('Data - Monthly Commodity Prices'!$A$9:$A$2500,'Gold - Prices'!E39,'Data - Monthly Commodity Prices'!$B$9:$B$2500,3)+
COUNTIFS('Data - Monthly Commodity Prices'!$A$9:$A$2500,'Gold - Prices'!E39,'Data - Monthly Commodity Prices'!$B$9:$B$2500,4)+
COUNTIFS('Data - Monthly Commodity Prices'!$A$9:$A$2500,'Gold - Prices'!F39,'Data - Monthly Commodity Prices'!$B$9:$B$2500,1)+
COUNTIFS('Data - Monthly Commodity Prices'!$A$9:$A$2500,'Gold - Prices'!F39,'Data - Monthly Commodity Prices'!$B$9:$B$2500,2))</f>
        <v>573.39166666666677</v>
      </c>
      <c r="K39" s="798">
        <f>(SUMIFS('Data - Monthly Commodity Prices'!$F$9:$F$2500,'Data - Monthly Commodity Prices'!$A$9:$A$2500,'Gold - Prices'!E39,'Data - Monthly Commodity Prices'!$B$9:$B$2500,3)+
SUMIFS('Data - Monthly Commodity Prices'!$F$9:$F$2500,'Data - Monthly Commodity Prices'!$A$9:$A$2500,'Gold - Prices'!E39,'Data - Monthly Commodity Prices'!$B$9:$B$2500,4)+
SUMIFS('Data - Monthly Commodity Prices'!$F$9:$F$2500,'Data - Monthly Commodity Prices'!$A$9:$A$2500,'Gold - Prices'!F39,'Data - Monthly Commodity Prices'!$B$9:$B$2500,1)+
SUMIFS('Data - Monthly Commodity Prices'!$F$9:$F$2500,'Data - Monthly Commodity Prices'!$A$9:$A$2500,'Gold - Prices'!F39,'Data - Monthly Commodity Prices'!$B$9:$B$2500,2))
/(COUNTIFS('Data - Monthly Commodity Prices'!$A$9:$A$2500,'Gold - Prices'!E39,'Data - Monthly Commodity Prices'!$B$9:$B$2500,3)+
COUNTIFS('Data - Monthly Commodity Prices'!$A$9:$A$2500,'Gold - Prices'!E39,'Data - Monthly Commodity Prices'!$B$9:$B$2500,4)+
COUNTIFS('Data - Monthly Commodity Prices'!$A$9:$A$2500,'Gold - Prices'!F39,'Data - Monthly Commodity Prices'!$B$9:$B$2500,1)+
COUNTIFS('Data - Monthly Commodity Prices'!$A$9:$A$2500,'Gold - Prices'!F39,'Data - Monthly Commodity Prices'!$B$9:$B$2500,2))</f>
        <v>333.97166666666669</v>
      </c>
    </row>
    <row r="40" spans="1:11">
      <c r="A40" s="83">
        <f>LARGE('Data - Monthly Commodity Prices'!C$159:C$902,28)</f>
        <v>42979</v>
      </c>
      <c r="B40" s="78">
        <f>SUMIF('Data - Monthly Commodity Prices'!C$159:C$902,A40,'Data - Monthly Commodity Prices'!F$159:F$902)</f>
        <v>1314.98</v>
      </c>
      <c r="C40" s="82">
        <f>SUMIF('Data - Monthly Commodity Prices'!C$159:C$902,A40,'Data - Monthly Commodity Prices'!E$159:E$902)</f>
        <v>1657.81</v>
      </c>
      <c r="D40" s="24"/>
      <c r="E40" s="410">
        <f t="shared" si="1"/>
        <v>2003</v>
      </c>
      <c r="F40" s="410">
        <f t="shared" si="1"/>
        <v>2004</v>
      </c>
      <c r="G40" s="1819">
        <f t="shared" si="0"/>
        <v>2003</v>
      </c>
      <c r="H40" s="76">
        <f t="array" ref="H40">IF($G$6="Historic Calendar Year",IFERROR(AVERAGE(IF($G40=YEAR('Data - Monthly Commodity Prices'!$C$9:$C$1000),'Data - Monthly Commodity Prices'!$F$9:$F$1000)),"NA"),IFERROR(IF(K40=0,"NA",K40),"NA"))</f>
        <v>363.57916666666665</v>
      </c>
      <c r="I40" s="82">
        <f t="array" ref="I40">IF($G$6="Historic Calendar Year",IFERROR(AVERAGE(IF($G40=YEAR('Data - Monthly Commodity Prices'!$C$9:$C$1000),'Data - Monthly Commodity Prices'!$E$9:$E$1000)),"NA"),IFERROR(IF(J40=0,"NA",J40),"NA"))</f>
        <v>560.54750000000001</v>
      </c>
      <c r="J40" s="798">
        <f>(SUMIFS('Data - Monthly Commodity Prices'!$E$9:$E$2500,'Data - Monthly Commodity Prices'!$A$9:$A$2500,'Gold - Prices'!E40,'Data - Monthly Commodity Prices'!$B$9:$B$2500,3)+
SUMIFS('Data - Monthly Commodity Prices'!$E$9:$E$2500,'Data - Monthly Commodity Prices'!$A$9:$A$2500,'Gold - Prices'!E40,'Data - Monthly Commodity Prices'!$B$9:$B$2500,4)+
SUMIFS('Data - Monthly Commodity Prices'!$E$9:$E$2500,'Data - Monthly Commodity Prices'!$A$9:$A$2500,'Gold - Prices'!F40,'Data - Monthly Commodity Prices'!$B$9:$B$2500,1)+
SUMIFS('Data - Monthly Commodity Prices'!$E$9:$E$2500,'Data - Monthly Commodity Prices'!$A$9:$A$2500,'Gold - Prices'!F40,'Data - Monthly Commodity Prices'!$B$9:$B$2500,2))
/(COUNTIFS('Data - Monthly Commodity Prices'!$A$9:$A$2500,'Gold - Prices'!E40,'Data - Monthly Commodity Prices'!$B$9:$B$2500,3)+
COUNTIFS('Data - Monthly Commodity Prices'!$A$9:$A$2500,'Gold - Prices'!E40,'Data - Monthly Commodity Prices'!$B$9:$B$2500,4)+
COUNTIFS('Data - Monthly Commodity Prices'!$A$9:$A$2500,'Gold - Prices'!F40,'Data - Monthly Commodity Prices'!$B$9:$B$2500,1)+
COUNTIFS('Data - Monthly Commodity Prices'!$A$9:$A$2500,'Gold - Prices'!F40,'Data - Monthly Commodity Prices'!$B$9:$B$2500,2))</f>
        <v>547.60916666666662</v>
      </c>
      <c r="K40" s="798">
        <f>(SUMIFS('Data - Monthly Commodity Prices'!$F$9:$F$2500,'Data - Monthly Commodity Prices'!$A$9:$A$2500,'Gold - Prices'!E40,'Data - Monthly Commodity Prices'!$B$9:$B$2500,3)+
SUMIFS('Data - Monthly Commodity Prices'!$F$9:$F$2500,'Data - Monthly Commodity Prices'!$A$9:$A$2500,'Gold - Prices'!E40,'Data - Monthly Commodity Prices'!$B$9:$B$2500,4)+
SUMIFS('Data - Monthly Commodity Prices'!$F$9:$F$2500,'Data - Monthly Commodity Prices'!$A$9:$A$2500,'Gold - Prices'!F40,'Data - Monthly Commodity Prices'!$B$9:$B$2500,1)+
SUMIFS('Data - Monthly Commodity Prices'!$F$9:$F$2500,'Data - Monthly Commodity Prices'!$A$9:$A$2500,'Gold - Prices'!F40,'Data - Monthly Commodity Prices'!$B$9:$B$2500,2))
/(COUNTIFS('Data - Monthly Commodity Prices'!$A$9:$A$2500,'Gold - Prices'!E40,'Data - Monthly Commodity Prices'!$B$9:$B$2500,3)+
COUNTIFS('Data - Monthly Commodity Prices'!$A$9:$A$2500,'Gold - Prices'!E40,'Data - Monthly Commodity Prices'!$B$9:$B$2500,4)+
COUNTIFS('Data - Monthly Commodity Prices'!$A$9:$A$2500,'Gold - Prices'!F40,'Data - Monthly Commodity Prices'!$B$9:$B$2500,1)+
COUNTIFS('Data - Monthly Commodity Prices'!$A$9:$A$2500,'Gold - Prices'!F40,'Data - Monthly Commodity Prices'!$B$9:$B$2500,2))</f>
        <v>389.19833333333332</v>
      </c>
    </row>
    <row r="41" spans="1:11">
      <c r="A41" s="21">
        <f>LARGE('Data - Monthly Commodity Prices'!C$159:C$902,27)</f>
        <v>43009</v>
      </c>
      <c r="B41" s="79">
        <f>SUMIF('Data - Monthly Commodity Prices'!C$159:C$902,A41,'Data - Monthly Commodity Prices'!F$159:F$902)</f>
        <v>1279.51</v>
      </c>
      <c r="C41" s="30">
        <f>SUMIF('Data - Monthly Commodity Prices'!C$159:C$902,A41,'Data - Monthly Commodity Prices'!E$159:E$902)</f>
        <v>1647.23</v>
      </c>
      <c r="D41" s="24"/>
      <c r="E41" s="410">
        <f t="shared" si="1"/>
        <v>2004</v>
      </c>
      <c r="F41" s="410">
        <f t="shared" si="1"/>
        <v>2005</v>
      </c>
      <c r="G41" s="747">
        <f t="shared" ref="G41:G57" si="2">IF($G$6="Historic Calendar Year",G40+1,CONCATENATE(E41,"-",RIGHT(F41,2)))</f>
        <v>2004</v>
      </c>
      <c r="H41" s="75">
        <f t="array" ref="H41">IF($G$6="Historic Calendar Year",IFERROR(AVERAGE(IF($G41=YEAR('Data - Monthly Commodity Prices'!$C$9:$C$1000),'Data - Monthly Commodity Prices'!$F$9:$F$1000)),"NA"),IFERROR(IF(K41=0,"NA",K41),"NA"))</f>
        <v>409.3416666666667</v>
      </c>
      <c r="I41" s="30">
        <f t="array" ref="I41">IF($G$6="Historic Calendar Year",IFERROR(AVERAGE(IF($G41=YEAR('Data - Monthly Commodity Prices'!$C$9:$C$1000),'Data - Monthly Commodity Prices'!$E$9:$E$1000)),"NA"),IFERROR(IF(J41=0,"NA",J41),"NA"))</f>
        <v>557.0533333333334</v>
      </c>
      <c r="J41" s="798">
        <f>(SUMIFS('Data - Monthly Commodity Prices'!$E$9:$E$2500,'Data - Monthly Commodity Prices'!$A$9:$A$2500,'Gold - Prices'!E41,'Data - Monthly Commodity Prices'!$B$9:$B$2500,3)+
SUMIFS('Data - Monthly Commodity Prices'!$E$9:$E$2500,'Data - Monthly Commodity Prices'!$A$9:$A$2500,'Gold - Prices'!E41,'Data - Monthly Commodity Prices'!$B$9:$B$2500,4)+
SUMIFS('Data - Monthly Commodity Prices'!$E$9:$E$2500,'Data - Monthly Commodity Prices'!$A$9:$A$2500,'Gold - Prices'!F41,'Data - Monthly Commodity Prices'!$B$9:$B$2500,1)+
SUMIFS('Data - Monthly Commodity Prices'!$E$9:$E$2500,'Data - Monthly Commodity Prices'!$A$9:$A$2500,'Gold - Prices'!F41,'Data - Monthly Commodity Prices'!$B$9:$B$2500,2))
/(COUNTIFS('Data - Monthly Commodity Prices'!$A$9:$A$2500,'Gold - Prices'!E41,'Data - Monthly Commodity Prices'!$B$9:$B$2500,3)+
COUNTIFS('Data - Monthly Commodity Prices'!$A$9:$A$2500,'Gold - Prices'!E41,'Data - Monthly Commodity Prices'!$B$9:$B$2500,4)+
COUNTIFS('Data - Monthly Commodity Prices'!$A$9:$A$2500,'Gold - Prices'!F41,'Data - Monthly Commodity Prices'!$B$9:$B$2500,1)+
COUNTIFS('Data - Monthly Commodity Prices'!$A$9:$A$2500,'Gold - Prices'!F41,'Data - Monthly Commodity Prices'!$B$9:$B$2500,2))</f>
        <v>562.47416666666675</v>
      </c>
      <c r="K41" s="798">
        <f>(SUMIFS('Data - Monthly Commodity Prices'!$F$9:$F$2500,'Data - Monthly Commodity Prices'!$A$9:$A$2500,'Gold - Prices'!E41,'Data - Monthly Commodity Prices'!$B$9:$B$2500,3)+
SUMIFS('Data - Monthly Commodity Prices'!$F$9:$F$2500,'Data - Monthly Commodity Prices'!$A$9:$A$2500,'Gold - Prices'!E41,'Data - Monthly Commodity Prices'!$B$9:$B$2500,4)+
SUMIFS('Data - Monthly Commodity Prices'!$F$9:$F$2500,'Data - Monthly Commodity Prices'!$A$9:$A$2500,'Gold - Prices'!F41,'Data - Monthly Commodity Prices'!$B$9:$B$2500,1)+
SUMIFS('Data - Monthly Commodity Prices'!$F$9:$F$2500,'Data - Monthly Commodity Prices'!$A$9:$A$2500,'Gold - Prices'!F41,'Data - Monthly Commodity Prices'!$B$9:$B$2500,2))
/(COUNTIFS('Data - Monthly Commodity Prices'!$A$9:$A$2500,'Gold - Prices'!E41,'Data - Monthly Commodity Prices'!$B$9:$B$2500,3)+
COUNTIFS('Data - Monthly Commodity Prices'!$A$9:$A$2500,'Gold - Prices'!E41,'Data - Monthly Commodity Prices'!$B$9:$B$2500,4)+
COUNTIFS('Data - Monthly Commodity Prices'!$A$9:$A$2500,'Gold - Prices'!F41,'Data - Monthly Commodity Prices'!$B$9:$B$2500,1)+
COUNTIFS('Data - Monthly Commodity Prices'!$A$9:$A$2500,'Gold - Prices'!F41,'Data - Monthly Commodity Prices'!$B$9:$B$2500,2))</f>
        <v>422.55833333333334</v>
      </c>
    </row>
    <row r="42" spans="1:11">
      <c r="A42" s="83">
        <f>LARGE('Data - Monthly Commodity Prices'!C$159:C$902,26)</f>
        <v>43040</v>
      </c>
      <c r="B42" s="78">
        <f>SUMIF('Data - Monthly Commodity Prices'!C$159:C$902,A42,'Data - Monthly Commodity Prices'!F$159:F$902)</f>
        <v>1282.28</v>
      </c>
      <c r="C42" s="82">
        <f>SUMIF('Data - Monthly Commodity Prices'!C$159:C$902,A42,'Data - Monthly Commodity Prices'!E$159:E$902)</f>
        <v>1686.71</v>
      </c>
      <c r="D42" s="24"/>
      <c r="E42" s="410">
        <f t="shared" si="1"/>
        <v>2005</v>
      </c>
      <c r="F42" s="410">
        <f t="shared" si="1"/>
        <v>2006</v>
      </c>
      <c r="G42" s="1819">
        <f t="shared" si="2"/>
        <v>2005</v>
      </c>
      <c r="H42" s="76">
        <f t="array" ref="H42">IF($G$6="Historic Calendar Year",IFERROR(AVERAGE(IF($G42=YEAR('Data - Monthly Commodity Prices'!$C$9:$C$1000),'Data - Monthly Commodity Prices'!$F$9:$F$1000)),"NA"),IFERROR(IF(K42=0,"NA",K42),"NA"))</f>
        <v>444.88249999999999</v>
      </c>
      <c r="I42" s="82">
        <f t="array" ref="I42">IF($G$6="Historic Calendar Year",IFERROR(AVERAGE(IF($G42=YEAR('Data - Monthly Commodity Prices'!$C$9:$C$1000),'Data - Monthly Commodity Prices'!$E$9:$E$1000)),"NA"),IFERROR(IF(J42=0,"NA",J42),"NA"))</f>
        <v>584.83499999999992</v>
      </c>
      <c r="J42" s="798">
        <f>(SUMIFS('Data - Monthly Commodity Prices'!$E$9:$E$2500,'Data - Monthly Commodity Prices'!$A$9:$A$2500,'Gold - Prices'!E42,'Data - Monthly Commodity Prices'!$B$9:$B$2500,3)+
SUMIFS('Data - Monthly Commodity Prices'!$E$9:$E$2500,'Data - Monthly Commodity Prices'!$A$9:$A$2500,'Gold - Prices'!E42,'Data - Monthly Commodity Prices'!$B$9:$B$2500,4)+
SUMIFS('Data - Monthly Commodity Prices'!$E$9:$E$2500,'Data - Monthly Commodity Prices'!$A$9:$A$2500,'Gold - Prices'!F42,'Data - Monthly Commodity Prices'!$B$9:$B$2500,1)+
SUMIFS('Data - Monthly Commodity Prices'!$E$9:$E$2500,'Data - Monthly Commodity Prices'!$A$9:$A$2500,'Gold - Prices'!F42,'Data - Monthly Commodity Prices'!$B$9:$B$2500,2))
/(COUNTIFS('Data - Monthly Commodity Prices'!$A$9:$A$2500,'Gold - Prices'!E42,'Data - Monthly Commodity Prices'!$B$9:$B$2500,3)+
COUNTIFS('Data - Monthly Commodity Prices'!$A$9:$A$2500,'Gold - Prices'!E42,'Data - Monthly Commodity Prices'!$B$9:$B$2500,4)+
COUNTIFS('Data - Monthly Commodity Prices'!$A$9:$A$2500,'Gold - Prices'!F42,'Data - Monthly Commodity Prices'!$B$9:$B$2500,1)+
COUNTIFS('Data - Monthly Commodity Prices'!$A$9:$A$2500,'Gold - Prices'!F42,'Data - Monthly Commodity Prices'!$B$9:$B$2500,2))</f>
        <v>705.23833333333334</v>
      </c>
      <c r="K42" s="798">
        <f>(SUMIFS('Data - Monthly Commodity Prices'!$F$9:$F$2500,'Data - Monthly Commodity Prices'!$A$9:$A$2500,'Gold - Prices'!E42,'Data - Monthly Commodity Prices'!$B$9:$B$2500,3)+
SUMIFS('Data - Monthly Commodity Prices'!$F$9:$F$2500,'Data - Monthly Commodity Prices'!$A$9:$A$2500,'Gold - Prices'!E42,'Data - Monthly Commodity Prices'!$B$9:$B$2500,4)+
SUMIFS('Data - Monthly Commodity Prices'!$F$9:$F$2500,'Data - Monthly Commodity Prices'!$A$9:$A$2500,'Gold - Prices'!F42,'Data - Monthly Commodity Prices'!$B$9:$B$2500,1)+
SUMIFS('Data - Monthly Commodity Prices'!$F$9:$F$2500,'Data - Monthly Commodity Prices'!$A$9:$A$2500,'Gold - Prices'!F42,'Data - Monthly Commodity Prices'!$B$9:$B$2500,2))
/(COUNTIFS('Data - Monthly Commodity Prices'!$A$9:$A$2500,'Gold - Prices'!E42,'Data - Monthly Commodity Prices'!$B$9:$B$2500,3)+
COUNTIFS('Data - Monthly Commodity Prices'!$A$9:$A$2500,'Gold - Prices'!E42,'Data - Monthly Commodity Prices'!$B$9:$B$2500,4)+
COUNTIFS('Data - Monthly Commodity Prices'!$A$9:$A$2500,'Gold - Prices'!F42,'Data - Monthly Commodity Prices'!$B$9:$B$2500,1)+
COUNTIFS('Data - Monthly Commodity Prices'!$A$9:$A$2500,'Gold - Prices'!F42,'Data - Monthly Commodity Prices'!$B$9:$B$2500,2))</f>
        <v>526.60416666666663</v>
      </c>
    </row>
    <row r="43" spans="1:11">
      <c r="A43" s="21">
        <f>LARGE('Data - Monthly Commodity Prices'!C$159:C$902,25)</f>
        <v>43070</v>
      </c>
      <c r="B43" s="79">
        <f>SUMIF('Data - Monthly Commodity Prices'!C$159:C$902,A43,'Data - Monthly Commodity Prices'!F$159:F$902)</f>
        <v>1261.05</v>
      </c>
      <c r="C43" s="30">
        <f>SUMIF('Data - Monthly Commodity Prices'!C$159:C$902,A43,'Data - Monthly Commodity Prices'!E$159:E$902)</f>
        <v>1662.39</v>
      </c>
      <c r="D43" s="24"/>
      <c r="E43" s="410">
        <f t="shared" ref="E43:E57" si="3">E42+1</f>
        <v>2006</v>
      </c>
      <c r="F43" s="410">
        <f t="shared" ref="F43:F57" si="4">F42+1</f>
        <v>2007</v>
      </c>
      <c r="G43" s="747">
        <f t="shared" si="2"/>
        <v>2006</v>
      </c>
      <c r="H43" s="75">
        <f t="array" ref="H43">IF($G$6="Historic Calendar Year",IFERROR(AVERAGE(IF($G43=YEAR('Data - Monthly Commodity Prices'!$C$9:$C$1000),'Data - Monthly Commodity Prices'!$F$9:$F$1000)),"NA"),IFERROR(IF(K43=0,"NA",K43),"NA"))</f>
        <v>604.33416666666665</v>
      </c>
      <c r="I43" s="30">
        <f t="array" ref="I43">IF($G$6="Historic Calendar Year",IFERROR(AVERAGE(IF($G43=YEAR('Data - Monthly Commodity Prices'!$C$9:$C$1000),'Data - Monthly Commodity Prices'!$E$9:$E$1000)),"NA"),IFERROR(IF(J43=0,"NA",J43),"NA"))</f>
        <v>802.76083333333338</v>
      </c>
      <c r="J43" s="798">
        <f>(SUMIFS('Data - Monthly Commodity Prices'!$E$9:$E$2500,'Data - Monthly Commodity Prices'!$A$9:$A$2500,'Gold - Prices'!E43,'Data - Monthly Commodity Prices'!$B$9:$B$2500,3)+
SUMIFS('Data - Monthly Commodity Prices'!$E$9:$E$2500,'Data - Monthly Commodity Prices'!$A$9:$A$2500,'Gold - Prices'!E43,'Data - Monthly Commodity Prices'!$B$9:$B$2500,4)+
SUMIFS('Data - Monthly Commodity Prices'!$E$9:$E$2500,'Data - Monthly Commodity Prices'!$A$9:$A$2500,'Gold - Prices'!F43,'Data - Monthly Commodity Prices'!$B$9:$B$2500,1)+
SUMIFS('Data - Monthly Commodity Prices'!$E$9:$E$2500,'Data - Monthly Commodity Prices'!$A$9:$A$2500,'Gold - Prices'!F43,'Data - Monthly Commodity Prices'!$B$9:$B$2500,2))
/(COUNTIFS('Data - Monthly Commodity Prices'!$A$9:$A$2500,'Gold - Prices'!E43,'Data - Monthly Commodity Prices'!$B$9:$B$2500,3)+
COUNTIFS('Data - Monthly Commodity Prices'!$A$9:$A$2500,'Gold - Prices'!E43,'Data - Monthly Commodity Prices'!$B$9:$B$2500,4)+
COUNTIFS('Data - Monthly Commodity Prices'!$A$9:$A$2500,'Gold - Prices'!F43,'Data - Monthly Commodity Prices'!$B$9:$B$2500,1)+
COUNTIFS('Data - Monthly Commodity Prices'!$A$9:$A$2500,'Gold - Prices'!F43,'Data - Monthly Commodity Prices'!$B$9:$B$2500,2))</f>
        <v>813.43166666666673</v>
      </c>
      <c r="K43" s="798">
        <f>(SUMIFS('Data - Monthly Commodity Prices'!$F$9:$F$2500,'Data - Monthly Commodity Prices'!$A$9:$A$2500,'Gold - Prices'!E43,'Data - Monthly Commodity Prices'!$B$9:$B$2500,3)+
SUMIFS('Data - Monthly Commodity Prices'!$F$9:$F$2500,'Data - Monthly Commodity Prices'!$A$9:$A$2500,'Gold - Prices'!E43,'Data - Monthly Commodity Prices'!$B$9:$B$2500,4)+
SUMIFS('Data - Monthly Commodity Prices'!$F$9:$F$2500,'Data - Monthly Commodity Prices'!$A$9:$A$2500,'Gold - Prices'!F43,'Data - Monthly Commodity Prices'!$B$9:$B$2500,1)+
SUMIFS('Data - Monthly Commodity Prices'!$F$9:$F$2500,'Data - Monthly Commodity Prices'!$A$9:$A$2500,'Gold - Prices'!F43,'Data - Monthly Commodity Prices'!$B$9:$B$2500,2))
/(COUNTIFS('Data - Monthly Commodity Prices'!$A$9:$A$2500,'Gold - Prices'!E43,'Data - Monthly Commodity Prices'!$B$9:$B$2500,3)+
COUNTIFS('Data - Monthly Commodity Prices'!$A$9:$A$2500,'Gold - Prices'!E43,'Data - Monthly Commodity Prices'!$B$9:$B$2500,4)+
COUNTIFS('Data - Monthly Commodity Prices'!$A$9:$A$2500,'Gold - Prices'!F43,'Data - Monthly Commodity Prices'!$B$9:$B$2500,1)+
COUNTIFS('Data - Monthly Commodity Prices'!$A$9:$A$2500,'Gold - Prices'!F43,'Data - Monthly Commodity Prices'!$B$9:$B$2500,2))</f>
        <v>638.36750000000006</v>
      </c>
    </row>
    <row r="44" spans="1:11">
      <c r="A44" s="83">
        <f>LARGE('Data - Monthly Commodity Prices'!C$159:C$902,24)</f>
        <v>43101</v>
      </c>
      <c r="B44" s="78">
        <f>SUMIF('Data - Monthly Commodity Prices'!C$159:C$902,A44,'Data - Monthly Commodity Prices'!F$159:F$902)</f>
        <v>1332.2375000000002</v>
      </c>
      <c r="C44" s="82">
        <f>SUMIF('Data - Monthly Commodity Prices'!C$159:C$902,A44,'Data - Monthly Commodity Prices'!E$159:E$902)</f>
        <v>1679.27</v>
      </c>
      <c r="D44" s="24"/>
      <c r="E44" s="410">
        <f t="shared" si="3"/>
        <v>2007</v>
      </c>
      <c r="F44" s="410">
        <f t="shared" si="4"/>
        <v>2008</v>
      </c>
      <c r="G44" s="1819">
        <f t="shared" si="2"/>
        <v>2007</v>
      </c>
      <c r="H44" s="76">
        <f t="array" ref="H44">IF($G$6="Historic Calendar Year",IFERROR(AVERAGE(IF($G44=YEAR('Data - Monthly Commodity Prices'!$C$9:$C$1000),'Data - Monthly Commodity Prices'!$F$9:$F$1000)),"NA"),IFERROR(IF(K44=0,"NA",K44),"NA"))</f>
        <v>696.58750000000009</v>
      </c>
      <c r="I44" s="82">
        <f t="array" ref="I44">IF($G$6="Historic Calendar Year",IFERROR(AVERAGE(IF($G44=YEAR('Data - Monthly Commodity Prices'!$C$9:$C$1000),'Data - Monthly Commodity Prices'!$E$9:$E$1000)),"NA"),IFERROR(IF(J44=0,"NA",J44),"NA"))</f>
        <v>830.21083333333343</v>
      </c>
      <c r="J44" s="798">
        <f>(SUMIFS('Data - Monthly Commodity Prices'!$E$9:$E$2500,'Data - Monthly Commodity Prices'!$A$9:$A$2500,'Gold - Prices'!E44,'Data - Monthly Commodity Prices'!$B$9:$B$2500,3)+
SUMIFS('Data - Monthly Commodity Prices'!$E$9:$E$2500,'Data - Monthly Commodity Prices'!$A$9:$A$2500,'Gold - Prices'!E44,'Data - Monthly Commodity Prices'!$B$9:$B$2500,4)+
SUMIFS('Data - Monthly Commodity Prices'!$E$9:$E$2500,'Data - Monthly Commodity Prices'!$A$9:$A$2500,'Gold - Prices'!F44,'Data - Monthly Commodity Prices'!$B$9:$B$2500,1)+
SUMIFS('Data - Monthly Commodity Prices'!$E$9:$E$2500,'Data - Monthly Commodity Prices'!$A$9:$A$2500,'Gold - Prices'!F44,'Data - Monthly Commodity Prices'!$B$9:$B$2500,2))
/(COUNTIFS('Data - Monthly Commodity Prices'!$A$9:$A$2500,'Gold - Prices'!E44,'Data - Monthly Commodity Prices'!$B$9:$B$2500,3)+
COUNTIFS('Data - Monthly Commodity Prices'!$A$9:$A$2500,'Gold - Prices'!E44,'Data - Monthly Commodity Prices'!$B$9:$B$2500,4)+
COUNTIFS('Data - Monthly Commodity Prices'!$A$9:$A$2500,'Gold - Prices'!F44,'Data - Monthly Commodity Prices'!$B$9:$B$2500,1)+
COUNTIFS('Data - Monthly Commodity Prices'!$A$9:$A$2500,'Gold - Prices'!F44,'Data - Monthly Commodity Prices'!$B$9:$B$2500,2))</f>
        <v>915.245</v>
      </c>
      <c r="K44" s="798">
        <f>(SUMIFS('Data - Monthly Commodity Prices'!$F$9:$F$2500,'Data - Monthly Commodity Prices'!$A$9:$A$2500,'Gold - Prices'!E44,'Data - Monthly Commodity Prices'!$B$9:$B$2500,3)+
SUMIFS('Data - Monthly Commodity Prices'!$F$9:$F$2500,'Data - Monthly Commodity Prices'!$A$9:$A$2500,'Gold - Prices'!E44,'Data - Monthly Commodity Prices'!$B$9:$B$2500,4)+
SUMIFS('Data - Monthly Commodity Prices'!$F$9:$F$2500,'Data - Monthly Commodity Prices'!$A$9:$A$2500,'Gold - Prices'!F44,'Data - Monthly Commodity Prices'!$B$9:$B$2500,1)+
SUMIFS('Data - Monthly Commodity Prices'!$F$9:$F$2500,'Data - Monthly Commodity Prices'!$A$9:$A$2500,'Gold - Prices'!F44,'Data - Monthly Commodity Prices'!$B$9:$B$2500,2))
/(COUNTIFS('Data - Monthly Commodity Prices'!$A$9:$A$2500,'Gold - Prices'!E44,'Data - Monthly Commodity Prices'!$B$9:$B$2500,3)+
COUNTIFS('Data - Monthly Commodity Prices'!$A$9:$A$2500,'Gold - Prices'!E44,'Data - Monthly Commodity Prices'!$B$9:$B$2500,4)+
COUNTIFS('Data - Monthly Commodity Prices'!$A$9:$A$2500,'Gold - Prices'!F44,'Data - Monthly Commodity Prices'!$B$9:$B$2500,1)+
COUNTIFS('Data - Monthly Commodity Prices'!$A$9:$A$2500,'Gold - Prices'!F44,'Data - Monthly Commodity Prices'!$B$9:$B$2500,2))</f>
        <v>822.90083333333348</v>
      </c>
    </row>
    <row r="45" spans="1:11">
      <c r="A45" s="21">
        <f>LARGE('Data - Monthly Commodity Prices'!C$159:C$902,23)</f>
        <v>43132</v>
      </c>
      <c r="B45" s="79">
        <f>SUMIF('Data - Monthly Commodity Prices'!C$159:C$902,A45,'Data - Monthly Commodity Prices'!F$159:F$902)</f>
        <v>1332.65</v>
      </c>
      <c r="C45" s="30">
        <f>SUMIF('Data - Monthly Commodity Prices'!C$159:C$902,A45,'Data - Monthly Commodity Prices'!E$159:E$902)</f>
        <v>1695.77</v>
      </c>
      <c r="D45" s="24"/>
      <c r="E45" s="410">
        <f t="shared" si="3"/>
        <v>2008</v>
      </c>
      <c r="F45" s="410">
        <f t="shared" si="4"/>
        <v>2009</v>
      </c>
      <c r="G45" s="747">
        <f t="shared" si="2"/>
        <v>2008</v>
      </c>
      <c r="H45" s="75">
        <f t="array" ref="H45">IF($G$6="Historic Calendar Year",IFERROR(AVERAGE(IF($G45=YEAR('Data - Monthly Commodity Prices'!$C$9:$C$1000),'Data - Monthly Commodity Prices'!$F$9:$F$1000)),"NA"),IFERROR(IF(K45=0,"NA",K45),"NA"))</f>
        <v>872.07833333333338</v>
      </c>
      <c r="I45" s="30">
        <f t="array" ref="I45">IF($G$6="Historic Calendar Year",IFERROR(AVERAGE(IF($G45=YEAR('Data - Monthly Commodity Prices'!$C$9:$C$1000),'Data - Monthly Commodity Prices'!$E$9:$E$1000)),"NA"),IFERROR(IF(J45=0,"NA",J45),"NA"))</f>
        <v>1029.3374999999999</v>
      </c>
      <c r="J45" s="798">
        <f>(SUMIFS('Data - Monthly Commodity Prices'!$E$9:$E$2500,'Data - Monthly Commodity Prices'!$A$9:$A$2500,'Gold - Prices'!E45,'Data - Monthly Commodity Prices'!$B$9:$B$2500,3)+
SUMIFS('Data - Monthly Commodity Prices'!$E$9:$E$2500,'Data - Monthly Commodity Prices'!$A$9:$A$2500,'Gold - Prices'!E45,'Data - Monthly Commodity Prices'!$B$9:$B$2500,4)+
SUMIFS('Data - Monthly Commodity Prices'!$E$9:$E$2500,'Data - Monthly Commodity Prices'!$A$9:$A$2500,'Gold - Prices'!F45,'Data - Monthly Commodity Prices'!$B$9:$B$2500,1)+
SUMIFS('Data - Monthly Commodity Prices'!$E$9:$E$2500,'Data - Monthly Commodity Prices'!$A$9:$A$2500,'Gold - Prices'!F45,'Data - Monthly Commodity Prices'!$B$9:$B$2500,2))
/(COUNTIFS('Data - Monthly Commodity Prices'!$A$9:$A$2500,'Gold - Prices'!E45,'Data - Monthly Commodity Prices'!$B$9:$B$2500,3)+
COUNTIFS('Data - Monthly Commodity Prices'!$A$9:$A$2500,'Gold - Prices'!E45,'Data - Monthly Commodity Prices'!$B$9:$B$2500,4)+
COUNTIFS('Data - Monthly Commodity Prices'!$A$9:$A$2500,'Gold - Prices'!F45,'Data - Monthly Commodity Prices'!$B$9:$B$2500,1)+
COUNTIFS('Data - Monthly Commodity Prices'!$A$9:$A$2500,'Gold - Prices'!F45,'Data - Monthly Commodity Prices'!$B$9:$B$2500,2))</f>
        <v>1181.1433333333332</v>
      </c>
      <c r="K45" s="798">
        <f>(SUMIFS('Data - Monthly Commodity Prices'!$F$9:$F$2500,'Data - Monthly Commodity Prices'!$A$9:$A$2500,'Gold - Prices'!E45,'Data - Monthly Commodity Prices'!$B$9:$B$2500,3)+
SUMIFS('Data - Monthly Commodity Prices'!$F$9:$F$2500,'Data - Monthly Commodity Prices'!$A$9:$A$2500,'Gold - Prices'!E45,'Data - Monthly Commodity Prices'!$B$9:$B$2500,4)+
SUMIFS('Data - Monthly Commodity Prices'!$F$9:$F$2500,'Data - Monthly Commodity Prices'!$A$9:$A$2500,'Gold - Prices'!F45,'Data - Monthly Commodity Prices'!$B$9:$B$2500,1)+
SUMIFS('Data - Monthly Commodity Prices'!$F$9:$F$2500,'Data - Monthly Commodity Prices'!$A$9:$A$2500,'Gold - Prices'!F45,'Data - Monthly Commodity Prices'!$B$9:$B$2500,2))
/(COUNTIFS('Data - Monthly Commodity Prices'!$A$9:$A$2500,'Gold - Prices'!E45,'Data - Monthly Commodity Prices'!$B$9:$B$2500,3)+
COUNTIFS('Data - Monthly Commodity Prices'!$A$9:$A$2500,'Gold - Prices'!E45,'Data - Monthly Commodity Prices'!$B$9:$B$2500,4)+
COUNTIFS('Data - Monthly Commodity Prices'!$A$9:$A$2500,'Gold - Prices'!F45,'Data - Monthly Commodity Prices'!$B$9:$B$2500,1)+
COUNTIFS('Data - Monthly Commodity Prices'!$A$9:$A$2500,'Gold - Prices'!F45,'Data - Monthly Commodity Prices'!$B$9:$B$2500,2))</f>
        <v>873.93583333333333</v>
      </c>
    </row>
    <row r="46" spans="1:11">
      <c r="A46" s="83">
        <f>LARGE('Data - Monthly Commodity Prices'!C$159:C$902,22)</f>
        <v>43160</v>
      </c>
      <c r="B46" s="78">
        <f>SUMIF('Data - Monthly Commodity Prices'!C$159:C$902,A46,'Data - Monthly Commodity Prices'!F$159:F$902)</f>
        <v>1325.109523809524</v>
      </c>
      <c r="C46" s="82">
        <f>SUMIF('Data - Monthly Commodity Prices'!C$159:C$902,A46,'Data - Monthly Commodity Prices'!E$159:E$902)</f>
        <v>1712.39</v>
      </c>
      <c r="D46" s="24"/>
      <c r="E46" s="410">
        <f t="shared" si="3"/>
        <v>2009</v>
      </c>
      <c r="F46" s="410">
        <f t="shared" si="4"/>
        <v>2010</v>
      </c>
      <c r="G46" s="1819">
        <f t="shared" si="2"/>
        <v>2009</v>
      </c>
      <c r="H46" s="76">
        <f t="array" ref="H46">IF($G$6="Historic Calendar Year",IFERROR(AVERAGE(IF($G46=YEAR('Data - Monthly Commodity Prices'!$C$9:$C$1000),'Data - Monthly Commodity Prices'!$F$9:$F$1000)),"NA"),IFERROR(IF(K46=0,"NA",K46),"NA"))</f>
        <v>972.97416666666641</v>
      </c>
      <c r="I46" s="82">
        <f t="array" ref="I46">IF($G$6="Historic Calendar Year",IFERROR(AVERAGE(IF($G46=YEAR('Data - Monthly Commodity Prices'!$C$9:$C$1000),'Data - Monthly Commodity Prices'!$E$9:$E$1000)),"NA"),IFERROR(IF(J46=0,"NA",J46),"NA"))</f>
        <v>1235.6508333333334</v>
      </c>
      <c r="J46" s="798">
        <f>(SUMIFS('Data - Monthly Commodity Prices'!$E$9:$E$2500,'Data - Monthly Commodity Prices'!$A$9:$A$2500,'Gold - Prices'!E46,'Data - Monthly Commodity Prices'!$B$9:$B$2500,3)+
SUMIFS('Data - Monthly Commodity Prices'!$E$9:$E$2500,'Data - Monthly Commodity Prices'!$A$9:$A$2500,'Gold - Prices'!E46,'Data - Monthly Commodity Prices'!$B$9:$B$2500,4)+
SUMIFS('Data - Monthly Commodity Prices'!$E$9:$E$2500,'Data - Monthly Commodity Prices'!$A$9:$A$2500,'Gold - Prices'!F46,'Data - Monthly Commodity Prices'!$B$9:$B$2500,1)+
SUMIFS('Data - Monthly Commodity Prices'!$E$9:$E$2500,'Data - Monthly Commodity Prices'!$A$9:$A$2500,'Gold - Prices'!F46,'Data - Monthly Commodity Prices'!$B$9:$B$2500,2))
/(COUNTIFS('Data - Monthly Commodity Prices'!$A$9:$A$2500,'Gold - Prices'!E46,'Data - Monthly Commodity Prices'!$B$9:$B$2500,3)+
COUNTIFS('Data - Monthly Commodity Prices'!$A$9:$A$2500,'Gold - Prices'!E46,'Data - Monthly Commodity Prices'!$B$9:$B$2500,4)+
COUNTIFS('Data - Monthly Commodity Prices'!$A$9:$A$2500,'Gold - Prices'!F46,'Data - Monthly Commodity Prices'!$B$9:$B$2500,1)+
COUNTIFS('Data - Monthly Commodity Prices'!$A$9:$A$2500,'Gold - Prices'!F46,'Data - Monthly Commodity Prices'!$B$9:$B$2500,2))</f>
        <v>1235.4066666666665</v>
      </c>
      <c r="K46" s="798">
        <f>(SUMIFS('Data - Monthly Commodity Prices'!$F$9:$F$2500,'Data - Monthly Commodity Prices'!$A$9:$A$2500,'Gold - Prices'!E46,'Data - Monthly Commodity Prices'!$B$9:$B$2500,3)+
SUMIFS('Data - Monthly Commodity Prices'!$F$9:$F$2500,'Data - Monthly Commodity Prices'!$A$9:$A$2500,'Gold - Prices'!E46,'Data - Monthly Commodity Prices'!$B$9:$B$2500,4)+
SUMIFS('Data - Monthly Commodity Prices'!$F$9:$F$2500,'Data - Monthly Commodity Prices'!$A$9:$A$2500,'Gold - Prices'!F46,'Data - Monthly Commodity Prices'!$B$9:$B$2500,1)+
SUMIFS('Data - Monthly Commodity Prices'!$F$9:$F$2500,'Data - Monthly Commodity Prices'!$A$9:$A$2500,'Gold - Prices'!F46,'Data - Monthly Commodity Prices'!$B$9:$B$2500,2))
/(COUNTIFS('Data - Monthly Commodity Prices'!$A$9:$A$2500,'Gold - Prices'!E46,'Data - Monthly Commodity Prices'!$B$9:$B$2500,3)+
COUNTIFS('Data - Monthly Commodity Prices'!$A$9:$A$2500,'Gold - Prices'!E46,'Data - Monthly Commodity Prices'!$B$9:$B$2500,4)+
COUNTIFS('Data - Monthly Commodity Prices'!$A$9:$A$2500,'Gold - Prices'!F46,'Data - Monthly Commodity Prices'!$B$9:$B$2500,1)+
COUNTIFS('Data - Monthly Commodity Prices'!$A$9:$A$2500,'Gold - Prices'!F46,'Data - Monthly Commodity Prices'!$B$9:$B$2500,2))</f>
        <v>1091.3475000000001</v>
      </c>
    </row>
    <row r="47" spans="1:11">
      <c r="A47" s="21">
        <f>LARGE('Data - Monthly Commodity Prices'!C$159:C$902,21)</f>
        <v>43191</v>
      </c>
      <c r="B47" s="79">
        <f>SUMIF('Data - Monthly Commodity Prices'!C$159:C$902,A47,'Data - Monthly Commodity Prices'!F$159:F$902)</f>
        <v>1334.74</v>
      </c>
      <c r="C47" s="30">
        <f>SUMIF('Data - Monthly Commodity Prices'!C$159:C$902,A47,'Data - Monthly Commodity Prices'!E$159:E$902)</f>
        <v>1741.12</v>
      </c>
      <c r="D47" s="24"/>
      <c r="E47" s="410">
        <f t="shared" si="3"/>
        <v>2010</v>
      </c>
      <c r="F47" s="410">
        <f t="shared" si="4"/>
        <v>2011</v>
      </c>
      <c r="G47" s="747">
        <f t="shared" si="2"/>
        <v>2010</v>
      </c>
      <c r="H47" s="75">
        <f t="array" ref="H47">IF($G$6="Historic Calendar Year",IFERROR(AVERAGE(IF($G47=YEAR('Data - Monthly Commodity Prices'!$C$9:$C$1000),'Data - Monthly Commodity Prices'!$F$9:$F$1000)),"NA"),IFERROR(IF(K47=0,"NA",K47),"NA"))</f>
        <v>1224.4741666666666</v>
      </c>
      <c r="I47" s="30">
        <f t="array" ref="I47">IF($G$6="Historic Calendar Year",IFERROR(AVERAGE(IF($G47=YEAR('Data - Monthly Commodity Prices'!$C$9:$C$1000),'Data - Monthly Commodity Prices'!$E$9:$E$1000)),"NA"),IFERROR(IF(J47=0,"NA",J47),"NA"))</f>
        <v>1335.4691666666668</v>
      </c>
      <c r="J47" s="798">
        <f>(SUMIFS('Data - Monthly Commodity Prices'!$E$9:$E$2500,'Data - Monthly Commodity Prices'!$A$9:$A$2500,'Gold - Prices'!E47,'Data - Monthly Commodity Prices'!$B$9:$B$2500,3)+
SUMIFS('Data - Monthly Commodity Prices'!$E$9:$E$2500,'Data - Monthly Commodity Prices'!$A$9:$A$2500,'Gold - Prices'!E47,'Data - Monthly Commodity Prices'!$B$9:$B$2500,4)+
SUMIFS('Data - Monthly Commodity Prices'!$E$9:$E$2500,'Data - Monthly Commodity Prices'!$A$9:$A$2500,'Gold - Prices'!F47,'Data - Monthly Commodity Prices'!$B$9:$B$2500,1)+
SUMIFS('Data - Monthly Commodity Prices'!$E$9:$E$2500,'Data - Monthly Commodity Prices'!$A$9:$A$2500,'Gold - Prices'!F47,'Data - Monthly Commodity Prices'!$B$9:$B$2500,2))
/(COUNTIFS('Data - Monthly Commodity Prices'!$A$9:$A$2500,'Gold - Prices'!E47,'Data - Monthly Commodity Prices'!$B$9:$B$2500,3)+
COUNTIFS('Data - Monthly Commodity Prices'!$A$9:$A$2500,'Gold - Prices'!E47,'Data - Monthly Commodity Prices'!$B$9:$B$2500,4)+
COUNTIFS('Data - Monthly Commodity Prices'!$A$9:$A$2500,'Gold - Prices'!F47,'Data - Monthly Commodity Prices'!$B$9:$B$2500,1)+
COUNTIFS('Data - Monthly Commodity Prices'!$A$9:$A$2500,'Gold - Prices'!F47,'Data - Monthly Commodity Prices'!$B$9:$B$2500,2))</f>
        <v>1395.0583333333334</v>
      </c>
      <c r="K47" s="798">
        <f>(SUMIFS('Data - Monthly Commodity Prices'!$F$9:$F$2500,'Data - Monthly Commodity Prices'!$A$9:$A$2500,'Gold - Prices'!E47,'Data - Monthly Commodity Prices'!$B$9:$B$2500,3)+
SUMIFS('Data - Monthly Commodity Prices'!$F$9:$F$2500,'Data - Monthly Commodity Prices'!$A$9:$A$2500,'Gold - Prices'!E47,'Data - Monthly Commodity Prices'!$B$9:$B$2500,4)+
SUMIFS('Data - Monthly Commodity Prices'!$F$9:$F$2500,'Data - Monthly Commodity Prices'!$A$9:$A$2500,'Gold - Prices'!F47,'Data - Monthly Commodity Prices'!$B$9:$B$2500,1)+
SUMIFS('Data - Monthly Commodity Prices'!$F$9:$F$2500,'Data - Monthly Commodity Prices'!$A$9:$A$2500,'Gold - Prices'!F47,'Data - Monthly Commodity Prices'!$B$9:$B$2500,2))
/(COUNTIFS('Data - Monthly Commodity Prices'!$A$9:$A$2500,'Gold - Prices'!E47,'Data - Monthly Commodity Prices'!$B$9:$B$2500,3)+
COUNTIFS('Data - Monthly Commodity Prices'!$A$9:$A$2500,'Gold - Prices'!E47,'Data - Monthly Commodity Prices'!$B$9:$B$2500,4)+
COUNTIFS('Data - Monthly Commodity Prices'!$A$9:$A$2500,'Gold - Prices'!F47,'Data - Monthly Commodity Prices'!$B$9:$B$2500,1)+
COUNTIFS('Data - Monthly Commodity Prices'!$A$9:$A$2500,'Gold - Prices'!F47,'Data - Monthly Commodity Prices'!$B$9:$B$2500,2))</f>
        <v>1370.7841666666666</v>
      </c>
    </row>
    <row r="48" spans="1:11">
      <c r="A48" s="83">
        <f>LARGE('Data - Monthly Commodity Prices'!C$159:C$902,20)</f>
        <v>43221</v>
      </c>
      <c r="B48" s="78">
        <f>SUMIF('Data - Monthly Commodity Prices'!C$159:C$902,A48,'Data - Monthly Commodity Prices'!F$159:F$902)</f>
        <v>1303.03</v>
      </c>
      <c r="C48" s="82">
        <f>SUMIF('Data - Monthly Commodity Prices'!C$159:C$902,A48,'Data - Monthly Commodity Prices'!E$159:E$902)</f>
        <v>1721.78</v>
      </c>
      <c r="D48" s="24"/>
      <c r="E48" s="410">
        <f t="shared" si="3"/>
        <v>2011</v>
      </c>
      <c r="F48" s="410">
        <f t="shared" si="4"/>
        <v>2012</v>
      </c>
      <c r="G48" s="1819">
        <f t="shared" si="2"/>
        <v>2011</v>
      </c>
      <c r="H48" s="76">
        <f t="array" ref="H48">IF($G$6="Historic Calendar Year",IFERROR(AVERAGE(IF($G48=YEAR('Data - Monthly Commodity Prices'!$C$9:$C$1000),'Data - Monthly Commodity Prices'!$F$9:$F$1000)),"NA"),IFERROR(IF(K48=0,"NA",K48),"NA"))</f>
        <v>1568.6191666666666</v>
      </c>
      <c r="I48" s="82">
        <f t="array" ref="I48">IF($G$6="Historic Calendar Year",IFERROR(AVERAGE(IF($G48=YEAR('Data - Monthly Commodity Prices'!$C$9:$C$1000),'Data - Monthly Commodity Prices'!$E$9:$E$1000)),"NA"),IFERROR(IF(J48=0,"NA",J48),"NA"))</f>
        <v>1535.4658333333334</v>
      </c>
      <c r="J48" s="798">
        <f>(SUMIFS('Data - Monthly Commodity Prices'!$E$9:$E$2500,'Data - Monthly Commodity Prices'!$A$9:$A$2500,'Gold - Prices'!E48,'Data - Monthly Commodity Prices'!$B$9:$B$2500,3)+
SUMIFS('Data - Monthly Commodity Prices'!$E$9:$E$2500,'Data - Monthly Commodity Prices'!$A$9:$A$2500,'Gold - Prices'!E48,'Data - Monthly Commodity Prices'!$B$9:$B$2500,4)+
SUMIFS('Data - Monthly Commodity Prices'!$E$9:$E$2500,'Data - Monthly Commodity Prices'!$A$9:$A$2500,'Gold - Prices'!F48,'Data - Monthly Commodity Prices'!$B$9:$B$2500,1)+
SUMIFS('Data - Monthly Commodity Prices'!$E$9:$E$2500,'Data - Monthly Commodity Prices'!$A$9:$A$2500,'Gold - Prices'!F48,'Data - Monthly Commodity Prices'!$B$9:$B$2500,2))
/(COUNTIFS('Data - Monthly Commodity Prices'!$A$9:$A$2500,'Gold - Prices'!E48,'Data - Monthly Commodity Prices'!$B$9:$B$2500,3)+
COUNTIFS('Data - Monthly Commodity Prices'!$A$9:$A$2500,'Gold - Prices'!E48,'Data - Monthly Commodity Prices'!$B$9:$B$2500,4)+
COUNTIFS('Data - Monthly Commodity Prices'!$A$9:$A$2500,'Gold - Prices'!F48,'Data - Monthly Commodity Prices'!$B$9:$B$2500,1)+
COUNTIFS('Data - Monthly Commodity Prices'!$A$9:$A$2500,'Gold - Prices'!F48,'Data - Monthly Commodity Prices'!$B$9:$B$2500,2))</f>
        <v>1634.5474999999999</v>
      </c>
      <c r="K48" s="798">
        <f>(SUMIFS('Data - Monthly Commodity Prices'!$F$9:$F$2500,'Data - Monthly Commodity Prices'!$A$9:$A$2500,'Gold - Prices'!E48,'Data - Monthly Commodity Prices'!$B$9:$B$2500,3)+
SUMIFS('Data - Monthly Commodity Prices'!$F$9:$F$2500,'Data - Monthly Commodity Prices'!$A$9:$A$2500,'Gold - Prices'!E48,'Data - Monthly Commodity Prices'!$B$9:$B$2500,4)+
SUMIFS('Data - Monthly Commodity Prices'!$F$9:$F$2500,'Data - Monthly Commodity Prices'!$A$9:$A$2500,'Gold - Prices'!F48,'Data - Monthly Commodity Prices'!$B$9:$B$2500,1)+
SUMIFS('Data - Monthly Commodity Prices'!$F$9:$F$2500,'Data - Monthly Commodity Prices'!$A$9:$A$2500,'Gold - Prices'!F48,'Data - Monthly Commodity Prices'!$B$9:$B$2500,2))
/(COUNTIFS('Data - Monthly Commodity Prices'!$A$9:$A$2500,'Gold - Prices'!E48,'Data - Monthly Commodity Prices'!$B$9:$B$2500,3)+
COUNTIFS('Data - Monthly Commodity Prices'!$A$9:$A$2500,'Gold - Prices'!E48,'Data - Monthly Commodity Prices'!$B$9:$B$2500,4)+
COUNTIFS('Data - Monthly Commodity Prices'!$A$9:$A$2500,'Gold - Prices'!F48,'Data - Monthly Commodity Prices'!$B$9:$B$2500,1)+
COUNTIFS('Data - Monthly Commodity Prices'!$A$9:$A$2500,'Gold - Prices'!F48,'Data - Monthly Commodity Prices'!$B$9:$B$2500,2))</f>
        <v>1671.7866666666666</v>
      </c>
    </row>
    <row r="49" spans="1:14">
      <c r="A49" s="21">
        <f>LARGE('Data - Monthly Commodity Prices'!C$159:C$902,19)</f>
        <v>43252</v>
      </c>
      <c r="B49" s="79">
        <f>SUMIF('Data - Monthly Commodity Prices'!C$159:C$902,A49,'Data - Monthly Commodity Prices'!F$159:F$902)</f>
        <v>1281.57</v>
      </c>
      <c r="C49" s="30">
        <f>SUMIF('Data - Monthly Commodity Prices'!C$159:C$902,A49,'Data - Monthly Commodity Prices'!E$159:E$902)</f>
        <v>1714.33</v>
      </c>
      <c r="D49" s="24"/>
      <c r="E49" s="410">
        <f t="shared" si="3"/>
        <v>2012</v>
      </c>
      <c r="F49" s="410">
        <f t="shared" si="4"/>
        <v>2013</v>
      </c>
      <c r="G49" s="747">
        <f t="shared" si="2"/>
        <v>2012</v>
      </c>
      <c r="H49" s="75">
        <f t="array" ref="H49">IF($G$6="Historic Calendar Year",IFERROR(AVERAGE(IF($G49=YEAR('Data - Monthly Commodity Prices'!$C$9:$C$1000),'Data - Monthly Commodity Prices'!$F$9:$F$1000)),"NA"),IFERROR(IF(K49=0,"NA",K49),"NA"))</f>
        <v>1668.8283333333331</v>
      </c>
      <c r="I49" s="30">
        <f t="array" ref="I49">IF($G$6="Historic Calendar Year",IFERROR(AVERAGE(IF($G49=YEAR('Data - Monthly Commodity Prices'!$C$9:$C$1000),'Data - Monthly Commodity Prices'!$E$9:$E$1000)),"NA"),IFERROR(IF(J49=0,"NA",J49),"NA"))</f>
        <v>1619.6091666666669</v>
      </c>
      <c r="J49" s="798">
        <f>(SUMIFS('Data - Monthly Commodity Prices'!$E$9:$E$2500,'Data - Monthly Commodity Prices'!$A$9:$A$2500,'Gold - Prices'!E49,'Data - Monthly Commodity Prices'!$B$9:$B$2500,3)+
SUMIFS('Data - Monthly Commodity Prices'!$E$9:$E$2500,'Data - Monthly Commodity Prices'!$A$9:$A$2500,'Gold - Prices'!E49,'Data - Monthly Commodity Prices'!$B$9:$B$2500,4)+
SUMIFS('Data - Monthly Commodity Prices'!$E$9:$E$2500,'Data - Monthly Commodity Prices'!$A$9:$A$2500,'Gold - Prices'!F49,'Data - Monthly Commodity Prices'!$B$9:$B$2500,1)+
SUMIFS('Data - Monthly Commodity Prices'!$E$9:$E$2500,'Data - Monthly Commodity Prices'!$A$9:$A$2500,'Gold - Prices'!F49,'Data - Monthly Commodity Prices'!$B$9:$B$2500,2))
/(COUNTIFS('Data - Monthly Commodity Prices'!$A$9:$A$2500,'Gold - Prices'!E49,'Data - Monthly Commodity Prices'!$B$9:$B$2500,3)+
COUNTIFS('Data - Monthly Commodity Prices'!$A$9:$A$2500,'Gold - Prices'!E49,'Data - Monthly Commodity Prices'!$B$9:$B$2500,4)+
COUNTIFS('Data - Monthly Commodity Prices'!$A$9:$A$2500,'Gold - Prices'!F49,'Data - Monthly Commodity Prices'!$B$9:$B$2500,1)+
COUNTIFS('Data - Monthly Commodity Prices'!$A$9:$A$2500,'Gold - Prices'!F49,'Data - Monthly Commodity Prices'!$B$9:$B$2500,2))</f>
        <v>1570.3675000000003</v>
      </c>
      <c r="K49" s="798">
        <f>(SUMIFS('Data - Monthly Commodity Prices'!$F$9:$F$2500,'Data - Monthly Commodity Prices'!$A$9:$A$2500,'Gold - Prices'!E49,'Data - Monthly Commodity Prices'!$B$9:$B$2500,3)+
SUMIFS('Data - Monthly Commodity Prices'!$F$9:$F$2500,'Data - Monthly Commodity Prices'!$A$9:$A$2500,'Gold - Prices'!E49,'Data - Monthly Commodity Prices'!$B$9:$B$2500,4)+
SUMIFS('Data - Monthly Commodity Prices'!$F$9:$F$2500,'Data - Monthly Commodity Prices'!$A$9:$A$2500,'Gold - Prices'!F49,'Data - Monthly Commodity Prices'!$B$9:$B$2500,1)+
SUMIFS('Data - Monthly Commodity Prices'!$F$9:$F$2500,'Data - Monthly Commodity Prices'!$A$9:$A$2500,'Gold - Prices'!F49,'Data - Monthly Commodity Prices'!$B$9:$B$2500,2))
/(COUNTIFS('Data - Monthly Commodity Prices'!$A$9:$A$2500,'Gold - Prices'!E49,'Data - Monthly Commodity Prices'!$B$9:$B$2500,3)+
COUNTIFS('Data - Monthly Commodity Prices'!$A$9:$A$2500,'Gold - Prices'!E49,'Data - Monthly Commodity Prices'!$B$9:$B$2500,4)+
COUNTIFS('Data - Monthly Commodity Prices'!$A$9:$A$2500,'Gold - Prices'!F49,'Data - Monthly Commodity Prices'!$B$9:$B$2500,1)+
COUNTIFS('Data - Monthly Commodity Prices'!$A$9:$A$2500,'Gold - Prices'!F49,'Data - Monthly Commodity Prices'!$B$9:$B$2500,2))</f>
        <v>1603.3033333333333</v>
      </c>
    </row>
    <row r="50" spans="1:14">
      <c r="A50" s="83">
        <f>LARGE('Data - Monthly Commodity Prices'!C$159:C$902,18)</f>
        <v>43282</v>
      </c>
      <c r="B50" s="78">
        <f>SUMIF('Data - Monthly Commodity Prices'!C$159:C$902,A50,'Data - Monthly Commodity Prices'!F$159:F$902)</f>
        <v>1238.53</v>
      </c>
      <c r="C50" s="82">
        <f>SUMIF('Data - Monthly Commodity Prices'!C$159:C$902,A50,'Data - Monthly Commodity Prices'!E$159:E$902)</f>
        <v>1677.03</v>
      </c>
      <c r="D50" s="24"/>
      <c r="E50" s="410">
        <f t="shared" si="3"/>
        <v>2013</v>
      </c>
      <c r="F50" s="410">
        <f t="shared" si="4"/>
        <v>2014</v>
      </c>
      <c r="G50" s="1819">
        <f t="shared" si="2"/>
        <v>2013</v>
      </c>
      <c r="H50" s="76">
        <f t="array" ref="H50">IF($G$6="Historic Calendar Year",IFERROR(AVERAGE(IF($G50=YEAR('Data - Monthly Commodity Prices'!$C$9:$C$1000),'Data - Monthly Commodity Prices'!$F$9:$F$1000)),"NA"),IFERROR(IF(K50=0,"NA",K50),"NA"))</f>
        <v>1409.875</v>
      </c>
      <c r="I50" s="82">
        <f t="array" ref="I50">IF($G$6="Historic Calendar Year",IFERROR(AVERAGE(IF($G50=YEAR('Data - Monthly Commodity Prices'!$C$9:$C$1000),'Data - Monthly Commodity Prices'!$E$9:$E$1000)),"NA"),IFERROR(IF(J50=0,"NA",J50),"NA"))</f>
        <v>1465.1966666666665</v>
      </c>
      <c r="J50" s="798">
        <f>(SUMIFS('Data - Monthly Commodity Prices'!$E$9:$E$2500,'Data - Monthly Commodity Prices'!$A$9:$A$2500,'Gold - Prices'!E50,'Data - Monthly Commodity Prices'!$B$9:$B$2500,3)+
SUMIFS('Data - Monthly Commodity Prices'!$E$9:$E$2500,'Data - Monthly Commodity Prices'!$A$9:$A$2500,'Gold - Prices'!E50,'Data - Monthly Commodity Prices'!$B$9:$B$2500,4)+
SUMIFS('Data - Monthly Commodity Prices'!$E$9:$E$2500,'Data - Monthly Commodity Prices'!$A$9:$A$2500,'Gold - Prices'!F50,'Data - Monthly Commodity Prices'!$B$9:$B$2500,1)+
SUMIFS('Data - Monthly Commodity Prices'!$E$9:$E$2500,'Data - Monthly Commodity Prices'!$A$9:$A$2500,'Gold - Prices'!F50,'Data - Monthly Commodity Prices'!$B$9:$B$2500,2))
/(COUNTIFS('Data - Monthly Commodity Prices'!$A$9:$A$2500,'Gold - Prices'!E50,'Data - Monthly Commodity Prices'!$B$9:$B$2500,3)+
COUNTIFS('Data - Monthly Commodity Prices'!$A$9:$A$2500,'Gold - Prices'!E50,'Data - Monthly Commodity Prices'!$B$9:$B$2500,4)+
COUNTIFS('Data - Monthly Commodity Prices'!$A$9:$A$2500,'Gold - Prices'!F50,'Data - Monthly Commodity Prices'!$B$9:$B$2500,1)+
COUNTIFS('Data - Monthly Commodity Prices'!$A$9:$A$2500,'Gold - Prices'!F50,'Data - Monthly Commodity Prices'!$B$9:$B$2500,2))</f>
        <v>1422.0191666666669</v>
      </c>
      <c r="K50" s="798">
        <f>(SUMIFS('Data - Monthly Commodity Prices'!$F$9:$F$2500,'Data - Monthly Commodity Prices'!$A$9:$A$2500,'Gold - Prices'!E50,'Data - Monthly Commodity Prices'!$B$9:$B$2500,3)+
SUMIFS('Data - Monthly Commodity Prices'!$F$9:$F$2500,'Data - Monthly Commodity Prices'!$A$9:$A$2500,'Gold - Prices'!E50,'Data - Monthly Commodity Prices'!$B$9:$B$2500,4)+
SUMIFS('Data - Monthly Commodity Prices'!$F$9:$F$2500,'Data - Monthly Commodity Prices'!$A$9:$A$2500,'Gold - Prices'!F50,'Data - Monthly Commodity Prices'!$B$9:$B$2500,1)+
SUMIFS('Data - Monthly Commodity Prices'!$F$9:$F$2500,'Data - Monthly Commodity Prices'!$A$9:$A$2500,'Gold - Prices'!F50,'Data - Monthly Commodity Prices'!$B$9:$B$2500,2))
/(COUNTIFS('Data - Monthly Commodity Prices'!$A$9:$A$2500,'Gold - Prices'!E50,'Data - Monthly Commodity Prices'!$B$9:$B$2500,3)+
COUNTIFS('Data - Monthly Commodity Prices'!$A$9:$A$2500,'Gold - Prices'!E50,'Data - Monthly Commodity Prices'!$B$9:$B$2500,4)+
COUNTIFS('Data - Monthly Commodity Prices'!$A$9:$A$2500,'Gold - Prices'!F50,'Data - Monthly Commodity Prices'!$B$9:$B$2500,1)+
COUNTIFS('Data - Monthly Commodity Prices'!$A$9:$A$2500,'Gold - Prices'!F50,'Data - Monthly Commodity Prices'!$B$9:$B$2500,2))</f>
        <v>1295.6258333333333</v>
      </c>
    </row>
    <row r="51" spans="1:14">
      <c r="A51" s="21">
        <f>LARGE('Data - Monthly Commodity Prices'!C$159:C$902,17)</f>
        <v>43313</v>
      </c>
      <c r="B51" s="79">
        <f>SUMIF('Data - Monthly Commodity Prices'!C$159:C$902,A51,'Data - Monthly Commodity Prices'!F$159:F$902)</f>
        <v>1201.25</v>
      </c>
      <c r="C51" s="30">
        <f>SUMIF('Data - Monthly Commodity Prices'!C$159:C$902,A51,'Data - Monthly Commodity Prices'!E$159:E$902)</f>
        <v>1642.36</v>
      </c>
      <c r="D51" s="24"/>
      <c r="E51" s="410">
        <f t="shared" si="3"/>
        <v>2014</v>
      </c>
      <c r="F51" s="410">
        <f t="shared" si="4"/>
        <v>2015</v>
      </c>
      <c r="G51" s="747">
        <f t="shared" si="2"/>
        <v>2014</v>
      </c>
      <c r="H51" s="75">
        <f t="array" ref="H51">IF($G$6="Historic Calendar Year",IFERROR(AVERAGE(IF($G51=YEAR('Data - Monthly Commodity Prices'!$C$9:$C$1000),'Data - Monthly Commodity Prices'!$F$9:$F$1000)),"NA"),IFERROR(IF(K51=0,"NA",K51),"NA"))</f>
        <v>1266.1958333333332</v>
      </c>
      <c r="I51" s="30">
        <f t="array" ref="I51">IF($G$6="Historic Calendar Year",IFERROR(AVERAGE(IF($G51=YEAR('Data - Monthly Commodity Prices'!$C$9:$C$1000),'Data - Monthly Commodity Prices'!$E$9:$E$1000)),"NA"),IFERROR(IF(J51=0,"NA",J51),"NA"))</f>
        <v>1413.0983333333334</v>
      </c>
      <c r="J51" s="798">
        <f>(SUMIFS('Data - Monthly Commodity Prices'!$E$9:$E$2500,'Data - Monthly Commodity Prices'!$A$9:$A$2500,'Gold - Prices'!E51,'Data - Monthly Commodity Prices'!$B$9:$B$2500,3)+
SUMIFS('Data - Monthly Commodity Prices'!$E$9:$E$2500,'Data - Monthly Commodity Prices'!$A$9:$A$2500,'Gold - Prices'!E51,'Data - Monthly Commodity Prices'!$B$9:$B$2500,4)+
SUMIFS('Data - Monthly Commodity Prices'!$E$9:$E$2500,'Data - Monthly Commodity Prices'!$A$9:$A$2500,'Gold - Prices'!F51,'Data - Monthly Commodity Prices'!$B$9:$B$2500,1)+
SUMIFS('Data - Monthly Commodity Prices'!$E$9:$E$2500,'Data - Monthly Commodity Prices'!$A$9:$A$2500,'Gold - Prices'!F51,'Data - Monthly Commodity Prices'!$B$9:$B$2500,2))
/(COUNTIFS('Data - Monthly Commodity Prices'!$A$9:$A$2500,'Gold - Prices'!E51,'Data - Monthly Commodity Prices'!$B$9:$B$2500,3)+
COUNTIFS('Data - Monthly Commodity Prices'!$A$9:$A$2500,'Gold - Prices'!E51,'Data - Monthly Commodity Prices'!$B$9:$B$2500,4)+
COUNTIFS('Data - Monthly Commodity Prices'!$A$9:$A$2500,'Gold - Prices'!F51,'Data - Monthly Commodity Prices'!$B$9:$B$2500,1)+
COUNTIFS('Data - Monthly Commodity Prices'!$A$9:$A$2500,'Gold - Prices'!F51,'Data - Monthly Commodity Prices'!$B$9:$B$2500,2))</f>
        <v>1479.22</v>
      </c>
      <c r="K51" s="798">
        <f>(SUMIFS('Data - Monthly Commodity Prices'!$F$9:$F$2500,'Data - Monthly Commodity Prices'!$A$9:$A$2500,'Gold - Prices'!E51,'Data - Monthly Commodity Prices'!$B$9:$B$2500,3)+
SUMIFS('Data - Monthly Commodity Prices'!$F$9:$F$2500,'Data - Monthly Commodity Prices'!$A$9:$A$2500,'Gold - Prices'!E51,'Data - Monthly Commodity Prices'!$B$9:$B$2500,4)+
SUMIFS('Data - Monthly Commodity Prices'!$F$9:$F$2500,'Data - Monthly Commodity Prices'!$A$9:$A$2500,'Gold - Prices'!F51,'Data - Monthly Commodity Prices'!$B$9:$B$2500,1)+
SUMIFS('Data - Monthly Commodity Prices'!$F$9:$F$2500,'Data - Monthly Commodity Prices'!$A$9:$A$2500,'Gold - Prices'!F51,'Data - Monthly Commodity Prices'!$B$9:$B$2500,2))
/(COUNTIFS('Data - Monthly Commodity Prices'!$A$9:$A$2500,'Gold - Prices'!E51,'Data - Monthly Commodity Prices'!$B$9:$B$2500,3)+
COUNTIFS('Data - Monthly Commodity Prices'!$A$9:$A$2500,'Gold - Prices'!E51,'Data - Monthly Commodity Prices'!$B$9:$B$2500,4)+
COUNTIFS('Data - Monthly Commodity Prices'!$A$9:$A$2500,'Gold - Prices'!F51,'Data - Monthly Commodity Prices'!$B$9:$B$2500,1)+
COUNTIFS('Data - Monthly Commodity Prices'!$A$9:$A$2500,'Gold - Prices'!F51,'Data - Monthly Commodity Prices'!$B$9:$B$2500,2))</f>
        <v>1223.5824999999998</v>
      </c>
    </row>
    <row r="52" spans="1:14">
      <c r="A52" s="83">
        <f>LARGE('Data - Monthly Commodity Prices'!C$159:C$902,16)</f>
        <v>43344</v>
      </c>
      <c r="B52" s="78">
        <f>SUMIF('Data - Monthly Commodity Prices'!C$159:C$902,A52,'Data - Monthly Commodity Prices'!F$159:F$902)</f>
        <v>1198.47</v>
      </c>
      <c r="C52" s="82">
        <f>SUMIF('Data - Monthly Commodity Prices'!C$159:C$902,A52,'Data - Monthly Commodity Prices'!E$159:E$902)</f>
        <v>1669.31</v>
      </c>
      <c r="D52" s="24"/>
      <c r="E52" s="410">
        <f t="shared" si="3"/>
        <v>2015</v>
      </c>
      <c r="F52" s="410">
        <f t="shared" si="4"/>
        <v>2016</v>
      </c>
      <c r="G52" s="1819">
        <f t="shared" si="2"/>
        <v>2015</v>
      </c>
      <c r="H52" s="76">
        <f t="array" ref="H52">IF($G$6="Historic Calendar Year",IFERROR(AVERAGE(IF($G52=YEAR('Data - Monthly Commodity Prices'!$C$9:$C$1000),'Data - Monthly Commodity Prices'!$F$9:$F$1000)),"NA"),IFERROR(IF(K52=0,"NA",K52),"NA"))</f>
        <v>1160.1458333333333</v>
      </c>
      <c r="I52" s="82">
        <f t="array" ref="I52">IF($G$6="Historic Calendar Year",IFERROR(AVERAGE(IF($G52=YEAR('Data - Monthly Commodity Prices'!$C$9:$C$1000),'Data - Monthly Commodity Prices'!$E$9:$E$1000)),"NA"),IFERROR(IF(J52=0,"NA",J52),"NA"))</f>
        <v>1554.5133333333331</v>
      </c>
      <c r="J52" s="798">
        <f>(SUMIFS('Data - Monthly Commodity Prices'!$E$9:$E$2500,'Data - Monthly Commodity Prices'!$A$9:$A$2500,'Gold - Prices'!E52,'Data - Monthly Commodity Prices'!$B$9:$B$2500,3)+
SUMIFS('Data - Monthly Commodity Prices'!$E$9:$E$2500,'Data - Monthly Commodity Prices'!$A$9:$A$2500,'Gold - Prices'!E52,'Data - Monthly Commodity Prices'!$B$9:$B$2500,4)+
SUMIFS('Data - Monthly Commodity Prices'!$E$9:$E$2500,'Data - Monthly Commodity Prices'!$A$9:$A$2500,'Gold - Prices'!F52,'Data - Monthly Commodity Prices'!$B$9:$B$2500,1)+
SUMIFS('Data - Monthly Commodity Prices'!$E$9:$E$2500,'Data - Monthly Commodity Prices'!$A$9:$A$2500,'Gold - Prices'!F52,'Data - Monthly Commodity Prices'!$B$9:$B$2500,2))
/(COUNTIFS('Data - Monthly Commodity Prices'!$A$9:$A$2500,'Gold - Prices'!E52,'Data - Monthly Commodity Prices'!$B$9:$B$2500,3)+
COUNTIFS('Data - Monthly Commodity Prices'!$A$9:$A$2500,'Gold - Prices'!E52,'Data - Monthly Commodity Prices'!$B$9:$B$2500,4)+
COUNTIFS('Data - Monthly Commodity Prices'!$A$9:$A$2500,'Gold - Prices'!F52,'Data - Monthly Commodity Prices'!$B$9:$B$2500,1)+
COUNTIFS('Data - Monthly Commodity Prices'!$A$9:$A$2500,'Gold - Prices'!F52,'Data - Monthly Commodity Prices'!$B$9:$B$2500,2))</f>
        <v>1613.3033333333333</v>
      </c>
      <c r="K52" s="798">
        <f>(SUMIFS('Data - Monthly Commodity Prices'!$F$9:$F$2500,'Data - Monthly Commodity Prices'!$A$9:$A$2500,'Gold - Prices'!E52,'Data - Monthly Commodity Prices'!$B$9:$B$2500,3)+
SUMIFS('Data - Monthly Commodity Prices'!$F$9:$F$2500,'Data - Monthly Commodity Prices'!$A$9:$A$2500,'Gold - Prices'!E52,'Data - Monthly Commodity Prices'!$B$9:$B$2500,4)+
SUMIFS('Data - Monthly Commodity Prices'!$F$9:$F$2500,'Data - Monthly Commodity Prices'!$A$9:$A$2500,'Gold - Prices'!F52,'Data - Monthly Commodity Prices'!$B$9:$B$2500,1)+
SUMIFS('Data - Monthly Commodity Prices'!$F$9:$F$2500,'Data - Monthly Commodity Prices'!$A$9:$A$2500,'Gold - Prices'!F52,'Data - Monthly Commodity Prices'!$B$9:$B$2500,2))
/(COUNTIFS('Data - Monthly Commodity Prices'!$A$9:$A$2500,'Gold - Prices'!E52,'Data - Monthly Commodity Prices'!$B$9:$B$2500,3)+
COUNTIFS('Data - Monthly Commodity Prices'!$A$9:$A$2500,'Gold - Prices'!E52,'Data - Monthly Commodity Prices'!$B$9:$B$2500,4)+
COUNTIFS('Data - Monthly Commodity Prices'!$A$9:$A$2500,'Gold - Prices'!F52,'Data - Monthly Commodity Prices'!$B$9:$B$2500,1)+
COUNTIFS('Data - Monthly Commodity Prices'!$A$9:$A$2500,'Gold - Prices'!F52,'Data - Monthly Commodity Prices'!$B$9:$B$2500,2))</f>
        <v>1167.2758333333334</v>
      </c>
    </row>
    <row r="53" spans="1:14">
      <c r="A53" s="21">
        <f>LARGE('Data - Monthly Commodity Prices'!C$159:C$902,15)</f>
        <v>43374</v>
      </c>
      <c r="B53" s="79">
        <f>SUMIF('Data - Monthly Commodity Prices'!C$159:C$902,A53,'Data - Monthly Commodity Prices'!F$159:F$902)</f>
        <v>1215.3900000000001</v>
      </c>
      <c r="C53" s="30">
        <f>SUMIF('Data - Monthly Commodity Prices'!C$159:C$902,A53,'Data - Monthly Commodity Prices'!E$159:E$902)</f>
        <v>1714.3</v>
      </c>
      <c r="D53" s="24"/>
      <c r="E53" s="410">
        <f t="shared" si="3"/>
        <v>2016</v>
      </c>
      <c r="F53" s="410">
        <f t="shared" si="4"/>
        <v>2017</v>
      </c>
      <c r="G53" s="747">
        <f t="shared" si="2"/>
        <v>2016</v>
      </c>
      <c r="H53" s="75">
        <f t="array" ref="H53">IF($G$6="Historic Calendar Year",IFERROR(AVERAGE(IF($G53=YEAR('Data - Monthly Commodity Prices'!$C$9:$C$1000),'Data - Monthly Commodity Prices'!$F$9:$F$1000)),"NA"),IFERROR(IF(K53=0,"NA",K53),"NA"))</f>
        <v>1248.3425</v>
      </c>
      <c r="I53" s="30">
        <f t="array" ref="I53">IF($G$6="Historic Calendar Year",IFERROR(AVERAGE(IF($G53=YEAR('Data - Monthly Commodity Prices'!$C$9:$C$1000),'Data - Monthly Commodity Prices'!$E$9:$E$1000)),"NA"),IFERROR(IF(J53=0,"NA",J53),"NA"))</f>
        <v>1687.5441666666668</v>
      </c>
      <c r="J53" s="798">
        <f>(SUMIFS('Data - Monthly Commodity Prices'!$E$9:$E$2500,'Data - Monthly Commodity Prices'!$A$9:$A$2500,'Gold - Prices'!E53,'Data - Monthly Commodity Prices'!$B$9:$B$2500,3)+
SUMIFS('Data - Monthly Commodity Prices'!$E$9:$E$2500,'Data - Monthly Commodity Prices'!$A$9:$A$2500,'Gold - Prices'!E53,'Data - Monthly Commodity Prices'!$B$9:$B$2500,4)+
SUMIFS('Data - Monthly Commodity Prices'!$E$9:$E$2500,'Data - Monthly Commodity Prices'!$A$9:$A$2500,'Gold - Prices'!F53,'Data - Monthly Commodity Prices'!$B$9:$B$2500,1)+
SUMIFS('Data - Monthly Commodity Prices'!$E$9:$E$2500,'Data - Monthly Commodity Prices'!$A$9:$A$2500,'Gold - Prices'!F53,'Data - Monthly Commodity Prices'!$B$9:$B$2500,2))
/(COUNTIFS('Data - Monthly Commodity Prices'!$A$9:$A$2500,'Gold - Prices'!E53,'Data - Monthly Commodity Prices'!$B$9:$B$2500,3)+
COUNTIFS('Data - Monthly Commodity Prices'!$A$9:$A$2500,'Gold - Prices'!E53,'Data - Monthly Commodity Prices'!$B$9:$B$2500,4)+
COUNTIFS('Data - Monthly Commodity Prices'!$A$9:$A$2500,'Gold - Prices'!F53,'Data - Monthly Commodity Prices'!$B$9:$B$2500,1)+
COUNTIFS('Data - Monthly Commodity Prices'!$A$9:$A$2500,'Gold - Prices'!F53,'Data - Monthly Commodity Prices'!$B$9:$B$2500,2))</f>
        <v>1674.9158333333332</v>
      </c>
      <c r="K53" s="798">
        <f>(SUMIFS('Data - Monthly Commodity Prices'!$F$9:$F$2500,'Data - Monthly Commodity Prices'!$A$9:$A$2500,'Gold - Prices'!E53,'Data - Monthly Commodity Prices'!$B$9:$B$2500,3)+
SUMIFS('Data - Monthly Commodity Prices'!$F$9:$F$2500,'Data - Monthly Commodity Prices'!$A$9:$A$2500,'Gold - Prices'!E53,'Data - Monthly Commodity Prices'!$B$9:$B$2500,4)+
SUMIFS('Data - Monthly Commodity Prices'!$F$9:$F$2500,'Data - Monthly Commodity Prices'!$A$9:$A$2500,'Gold - Prices'!F53,'Data - Monthly Commodity Prices'!$B$9:$B$2500,1)+
SUMIFS('Data - Monthly Commodity Prices'!$F$9:$F$2500,'Data - Monthly Commodity Prices'!$A$9:$A$2500,'Gold - Prices'!F53,'Data - Monthly Commodity Prices'!$B$9:$B$2500,2))
/(COUNTIFS('Data - Monthly Commodity Prices'!$A$9:$A$2500,'Gold - Prices'!E53,'Data - Monthly Commodity Prices'!$B$9:$B$2500,3)+
COUNTIFS('Data - Monthly Commodity Prices'!$A$9:$A$2500,'Gold - Prices'!E53,'Data - Monthly Commodity Prices'!$B$9:$B$2500,4)+
COUNTIFS('Data - Monthly Commodity Prices'!$A$9:$A$2500,'Gold - Prices'!F53,'Data - Monthly Commodity Prices'!$B$9:$B$2500,1)+
COUNTIFS('Data - Monthly Commodity Prices'!$A$9:$A$2500,'Gold - Prices'!F53,'Data - Monthly Commodity Prices'!$B$9:$B$2500,2))</f>
        <v>1257.2816666666668</v>
      </c>
      <c r="N53" s="1242"/>
    </row>
    <row r="54" spans="1:14">
      <c r="A54" s="83">
        <f>LARGE('Data - Monthly Commodity Prices'!C$159:C$902,14)</f>
        <v>43405</v>
      </c>
      <c r="B54" s="78">
        <f>SUMIF('Data - Monthly Commodity Prices'!C$159:C$902,A54,'Data - Monthly Commodity Prices'!F$159:F$902)</f>
        <v>1220.95</v>
      </c>
      <c r="C54" s="82">
        <f>SUMIF('Data - Monthly Commodity Prices'!C$159:C$902,A54,'Data - Monthly Commodity Prices'!E$159:E$902)</f>
        <v>1691.04</v>
      </c>
      <c r="D54" s="24"/>
      <c r="E54" s="410">
        <f t="shared" si="3"/>
        <v>2017</v>
      </c>
      <c r="F54" s="410">
        <f t="shared" si="4"/>
        <v>2018</v>
      </c>
      <c r="G54" s="1819">
        <f t="shared" si="2"/>
        <v>2017</v>
      </c>
      <c r="H54" s="76">
        <f t="array" ref="H54">IF($G$6="Historic Calendar Year",IFERROR(AVERAGE(IF($G54=YEAR('Data - Monthly Commodity Prices'!$C$9:$C$1000),'Data - Monthly Commodity Prices'!$F$9:$F$1000)),"NA"),IFERROR(IF(K54=0,"NA",K54),"NA"))</f>
        <v>1257.1099999999999</v>
      </c>
      <c r="I54" s="82">
        <f t="array" ref="I54">IF($G$6="Historic Calendar Year",IFERROR(AVERAGE(IF($G54=YEAR('Data - Monthly Commodity Prices'!$C$9:$C$1000),'Data - Monthly Commodity Prices'!$E$9:$E$1000)),"NA"),IFERROR(IF(J54=0,"NA",J54),"NA"))</f>
        <v>1645.8166666666666</v>
      </c>
      <c r="J54" s="798">
        <f>(SUMIFS('Data - Monthly Commodity Prices'!$E$9:$E$2500,'Data - Monthly Commodity Prices'!$A$9:$A$2500,'Gold - Prices'!E54,'Data - Monthly Commodity Prices'!$B$9:$B$2500,3)+
SUMIFS('Data - Monthly Commodity Prices'!$E$9:$E$2500,'Data - Monthly Commodity Prices'!$A$9:$A$2500,'Gold - Prices'!E54,'Data - Monthly Commodity Prices'!$B$9:$B$2500,4)+
SUMIFS('Data - Monthly Commodity Prices'!$E$9:$E$2500,'Data - Monthly Commodity Prices'!$A$9:$A$2500,'Gold - Prices'!F54,'Data - Monthly Commodity Prices'!$B$9:$B$2500,1)+
SUMIFS('Data - Monthly Commodity Prices'!$E$9:$E$2500,'Data - Monthly Commodity Prices'!$A$9:$A$2500,'Gold - Prices'!F54,'Data - Monthly Commodity Prices'!$B$9:$B$2500,2))
/(COUNTIFS('Data - Monthly Commodity Prices'!$A$9:$A$2500,'Gold - Prices'!E54,'Data - Monthly Commodity Prices'!$B$9:$B$2500,3)+
COUNTIFS('Data - Monthly Commodity Prices'!$A$9:$A$2500,'Gold - Prices'!E54,'Data - Monthly Commodity Prices'!$B$9:$B$2500,4)+
COUNTIFS('Data - Monthly Commodity Prices'!$A$9:$A$2500,'Gold - Prices'!F54,'Data - Monthly Commodity Prices'!$B$9:$B$2500,1)+
COUNTIFS('Data - Monthly Commodity Prices'!$A$9:$A$2500,'Gold - Prices'!F54,'Data - Monthly Commodity Prices'!$B$9:$B$2500,2))</f>
        <v>1677.8941666666667</v>
      </c>
      <c r="K54" s="798">
        <f>(SUMIFS('Data - Monthly Commodity Prices'!$F$9:$F$2500,'Data - Monthly Commodity Prices'!$A$9:$A$2500,'Gold - Prices'!E54,'Data - Monthly Commodity Prices'!$B$9:$B$2500,3)+
SUMIFS('Data - Monthly Commodity Prices'!$F$9:$F$2500,'Data - Monthly Commodity Prices'!$A$9:$A$2500,'Gold - Prices'!E54,'Data - Monthly Commodity Prices'!$B$9:$B$2500,4)+
SUMIFS('Data - Monthly Commodity Prices'!$F$9:$F$2500,'Data - Monthly Commodity Prices'!$A$9:$A$2500,'Gold - Prices'!F54,'Data - Monthly Commodity Prices'!$B$9:$B$2500,1)+
SUMIFS('Data - Monthly Commodity Prices'!$F$9:$F$2500,'Data - Monthly Commodity Prices'!$A$9:$A$2500,'Gold - Prices'!F54,'Data - Monthly Commodity Prices'!$B$9:$B$2500,2))
/(COUNTIFS('Data - Monthly Commodity Prices'!$A$9:$A$2500,'Gold - Prices'!E54,'Data - Monthly Commodity Prices'!$B$9:$B$2500,3)+
COUNTIFS('Data - Monthly Commodity Prices'!$A$9:$A$2500,'Gold - Prices'!E54,'Data - Monthly Commodity Prices'!$B$9:$B$2500,4)+
COUNTIFS('Data - Monthly Commodity Prices'!$A$9:$A$2500,'Gold - Prices'!F54,'Data - Monthly Commodity Prices'!$B$9:$B$2500,1)+
COUNTIFS('Data - Monthly Commodity Prices'!$A$9:$A$2500,'Gold - Prices'!F54,'Data - Monthly Commodity Prices'!$B$9:$B$2500,2))</f>
        <v>1297.1414186507939</v>
      </c>
    </row>
    <row r="55" spans="1:14">
      <c r="A55" s="21">
        <f>LARGE('Data - Monthly Commodity Prices'!C$159:C$902,13)</f>
        <v>43435</v>
      </c>
      <c r="B55" s="79">
        <f>SUMIF('Data - Monthly Commodity Prices'!C$159:C$902,A55,'Data - Monthly Commodity Prices'!F$159:F$902)</f>
        <v>1247.92</v>
      </c>
      <c r="C55" s="30">
        <f>SUMIF('Data - Monthly Commodity Prices'!C$159:C$902,A55,'Data - Monthly Commodity Prices'!E$159:E$902)</f>
        <v>1748.32</v>
      </c>
      <c r="D55" s="24"/>
      <c r="E55" s="410">
        <f t="shared" si="3"/>
        <v>2018</v>
      </c>
      <c r="F55" s="410">
        <f t="shared" si="4"/>
        <v>2019</v>
      </c>
      <c r="G55" s="747">
        <f t="shared" si="2"/>
        <v>2018</v>
      </c>
      <c r="H55" s="75">
        <f t="array" ref="H55">IF($G$6="Historic Calendar Year",IFERROR(AVERAGE(IF($G55=YEAR('Data - Monthly Commodity Prices'!$C$9:$C$1000),'Data - Monthly Commodity Prices'!$F$9:$F$1000)),"NA"),IFERROR(IF(K55=0,"NA",K55),"NA"))</f>
        <v>1269.3205853174602</v>
      </c>
      <c r="I55" s="30">
        <f t="array" ref="I55">IF($G$6="Historic Calendar Year",IFERROR(AVERAGE(IF($G55=YEAR('Data - Monthly Commodity Prices'!$C$9:$C$1000),'Data - Monthly Commodity Prices'!$E$9:$E$1000)),"NA"),IFERROR(IF(J55=0,"NA",J55),"NA"))</f>
        <v>1700.585</v>
      </c>
      <c r="J55" s="798">
        <f>(SUMIFS('Data - Monthly Commodity Prices'!$E$9:$E$2500,'Data - Monthly Commodity Prices'!$A$9:$A$2500,'Gold - Prices'!E55,'Data - Monthly Commodity Prices'!$B$9:$B$2500,3)+
SUMIFS('Data - Monthly Commodity Prices'!$E$9:$E$2500,'Data - Monthly Commodity Prices'!$A$9:$A$2500,'Gold - Prices'!E55,'Data - Monthly Commodity Prices'!$B$9:$B$2500,4)+
SUMIFS('Data - Monthly Commodity Prices'!$E$9:$E$2500,'Data - Monthly Commodity Prices'!$A$9:$A$2500,'Gold - Prices'!F55,'Data - Monthly Commodity Prices'!$B$9:$B$2500,1)+
SUMIFS('Data - Monthly Commodity Prices'!$E$9:$E$2500,'Data - Monthly Commodity Prices'!$A$9:$A$2500,'Gold - Prices'!F55,'Data - Monthly Commodity Prices'!$B$9:$B$2500,2))
/(COUNTIFS('Data - Monthly Commodity Prices'!$A$9:$A$2500,'Gold - Prices'!E55,'Data - Monthly Commodity Prices'!$B$9:$B$2500,3)+
COUNTIFS('Data - Monthly Commodity Prices'!$A$9:$A$2500,'Gold - Prices'!E55,'Data - Monthly Commodity Prices'!$B$9:$B$2500,4)+
COUNTIFS('Data - Monthly Commodity Prices'!$A$9:$A$2500,'Gold - Prices'!F55,'Data - Monthly Commodity Prices'!$B$9:$B$2500,1)+
COUNTIFS('Data - Monthly Commodity Prices'!$A$9:$A$2500,'Gold - Prices'!F55,'Data - Monthly Commodity Prices'!$B$9:$B$2500,2))</f>
        <v>1772.1166666666668</v>
      </c>
      <c r="K55" s="798">
        <f>(SUMIFS('Data - Monthly Commodity Prices'!$F$9:$F$2500,'Data - Monthly Commodity Prices'!$A$9:$A$2500,'Gold - Prices'!E55,'Data - Monthly Commodity Prices'!$B$9:$B$2500,3)+
SUMIFS('Data - Monthly Commodity Prices'!$F$9:$F$2500,'Data - Monthly Commodity Prices'!$A$9:$A$2500,'Gold - Prices'!E55,'Data - Monthly Commodity Prices'!$B$9:$B$2500,4)+
SUMIFS('Data - Monthly Commodity Prices'!$F$9:$F$2500,'Data - Monthly Commodity Prices'!$A$9:$A$2500,'Gold - Prices'!F55,'Data - Monthly Commodity Prices'!$B$9:$B$2500,1)+
SUMIFS('Data - Monthly Commodity Prices'!$F$9:$F$2500,'Data - Monthly Commodity Prices'!$A$9:$A$2500,'Gold - Prices'!F55,'Data - Monthly Commodity Prices'!$B$9:$B$2500,2))
/(COUNTIFS('Data - Monthly Commodity Prices'!$A$9:$A$2500,'Gold - Prices'!E55,'Data - Monthly Commodity Prices'!$B$9:$B$2500,3)+
COUNTIFS('Data - Monthly Commodity Prices'!$A$9:$A$2500,'Gold - Prices'!E55,'Data - Monthly Commodity Prices'!$B$9:$B$2500,4)+
COUNTIFS('Data - Monthly Commodity Prices'!$A$9:$A$2500,'Gold - Prices'!F55,'Data - Monthly Commodity Prices'!$B$9:$B$2500,1)+
COUNTIFS('Data - Monthly Commodity Prices'!$A$9:$A$2500,'Gold - Prices'!F55,'Data - Monthly Commodity Prices'!$B$9:$B$2500,2))</f>
        <v>1263.7217499999999</v>
      </c>
    </row>
    <row r="56" spans="1:14">
      <c r="A56" s="83">
        <f>LARGE('Data - Monthly Commodity Prices'!C$159:C$902,12)</f>
        <v>43466</v>
      </c>
      <c r="B56" s="78">
        <f>SUMIF('Data - Monthly Commodity Prices'!C$159:C$902,A56,'Data - Monthly Commodity Prices'!F$159:F$902)</f>
        <v>1291.75</v>
      </c>
      <c r="C56" s="82">
        <f>SUMIF('Data - Monthly Commodity Prices'!C$159:C$902,A56,'Data - Monthly Commodity Prices'!E$159:E$902)</f>
        <v>1811.23</v>
      </c>
      <c r="D56" s="24"/>
      <c r="E56" s="410">
        <f t="shared" si="3"/>
        <v>2019</v>
      </c>
      <c r="F56" s="410">
        <f t="shared" si="4"/>
        <v>2020</v>
      </c>
      <c r="G56" s="1819">
        <f t="shared" si="2"/>
        <v>2019</v>
      </c>
      <c r="H56" s="76">
        <f t="array" ref="H56">IF($G$6="Historic Calendar Year",IFERROR(AVERAGE(IF($G56=YEAR('Data - Monthly Commodity Prices'!$C$9:$C$1000),'Data - Monthly Commodity Prices'!$F$9:$F$1000)),"NA"),IFERROR(IF(K56=0,"NA",K56),"NA"))</f>
        <v>1392.1753000000001</v>
      </c>
      <c r="I56" s="82">
        <f t="array" ref="I56">IF($G$6="Historic Calendar Year",IFERROR(AVERAGE(IF($G56=YEAR('Data - Monthly Commodity Prices'!$C$9:$C$1000),'Data - Monthly Commodity Prices'!$E$9:$E$1000)),"NA"),IFERROR(IF(J56=0,"NA",J56),"NA"))</f>
        <v>2009.4724999999996</v>
      </c>
      <c r="J56" s="798">
        <f>(SUMIFS('Data - Monthly Commodity Prices'!$E$9:$E$2500,'Data - Monthly Commodity Prices'!$A$9:$A$2500,'Gold - Prices'!E56,'Data - Monthly Commodity Prices'!$B$9:$B$2500,3)+
SUMIFS('Data - Monthly Commodity Prices'!$E$9:$E$2500,'Data - Monthly Commodity Prices'!$A$9:$A$2500,'Gold - Prices'!E56,'Data - Monthly Commodity Prices'!$B$9:$B$2500,4)+
SUMIFS('Data - Monthly Commodity Prices'!$E$9:$E$2500,'Data - Monthly Commodity Prices'!$A$9:$A$2500,'Gold - Prices'!F56,'Data - Monthly Commodity Prices'!$B$9:$B$2500,1)+
SUMIFS('Data - Monthly Commodity Prices'!$E$9:$E$2500,'Data - Monthly Commodity Prices'!$A$9:$A$2500,'Gold - Prices'!F56,'Data - Monthly Commodity Prices'!$B$9:$B$2500,2))
/(COUNTIFS('Data - Monthly Commodity Prices'!$A$9:$A$2500,'Gold - Prices'!E56,'Data - Monthly Commodity Prices'!$B$9:$B$2500,3)+
COUNTIFS('Data - Monthly Commodity Prices'!$A$9:$A$2500,'Gold - Prices'!E56,'Data - Monthly Commodity Prices'!$B$9:$B$2500,4)+
COUNTIFS('Data - Monthly Commodity Prices'!$A$9:$A$2500,'Gold - Prices'!F56,'Data - Monthly Commodity Prices'!$B$9:$B$2500,1)+
COUNTIFS('Data - Monthly Commodity Prices'!$A$9:$A$2500,'Gold - Prices'!F56,'Data - Monthly Commodity Prices'!$B$9:$B$2500,2))</f>
        <v>2165.105</v>
      </c>
      <c r="K56" s="798">
        <f>(SUMIFS('Data - Monthly Commodity Prices'!$F$9:$F$2500,'Data - Monthly Commodity Prices'!$A$9:$A$2500,'Gold - Prices'!E56,'Data - Monthly Commodity Prices'!$B$9:$B$2500,3)+
SUMIFS('Data - Monthly Commodity Prices'!$F$9:$F$2500,'Data - Monthly Commodity Prices'!$A$9:$A$2500,'Gold - Prices'!E56,'Data - Monthly Commodity Prices'!$B$9:$B$2500,4)+
SUMIFS('Data - Monthly Commodity Prices'!$F$9:$F$2500,'Data - Monthly Commodity Prices'!$A$9:$A$2500,'Gold - Prices'!F56,'Data - Monthly Commodity Prices'!$B$9:$B$2500,1)+
SUMIFS('Data - Monthly Commodity Prices'!$F$9:$F$2500,'Data - Monthly Commodity Prices'!$A$9:$A$2500,'Gold - Prices'!F56,'Data - Monthly Commodity Prices'!$B$9:$B$2500,2))
/(COUNTIFS('Data - Monthly Commodity Prices'!$A$9:$A$2500,'Gold - Prices'!E56,'Data - Monthly Commodity Prices'!$B$9:$B$2500,3)+
COUNTIFS('Data - Monthly Commodity Prices'!$A$9:$A$2500,'Gold - Prices'!E56,'Data - Monthly Commodity Prices'!$B$9:$B$2500,4)+
COUNTIFS('Data - Monthly Commodity Prices'!$A$9:$A$2500,'Gold - Prices'!F56,'Data - Monthly Commodity Prices'!$B$9:$B$2500,1)+
COUNTIFS('Data - Monthly Commodity Prices'!$A$9:$A$2500,'Gold - Prices'!F56,'Data - Monthly Commodity Prices'!$B$9:$B$2500,2))</f>
        <v>1477.3254333333334</v>
      </c>
    </row>
    <row r="57" spans="1:14" ht="15.75" thickBot="1">
      <c r="A57" s="21">
        <f>LARGE('Data - Monthly Commodity Prices'!C$159:C$902,11)</f>
        <v>43497</v>
      </c>
      <c r="B57" s="79">
        <f>SUMIF('Data - Monthly Commodity Prices'!C$159:C$902,A57,'Data - Monthly Commodity Prices'!F$159:F$902)</f>
        <v>1320.07</v>
      </c>
      <c r="C57" s="30">
        <f>SUMIF('Data - Monthly Commodity Prices'!C$159:C$902,A57,'Data - Monthly Commodity Prices'!E$159:E$902)</f>
        <v>1849.13</v>
      </c>
      <c r="D57" s="24"/>
      <c r="E57" s="410">
        <f t="shared" si="3"/>
        <v>2020</v>
      </c>
      <c r="F57" s="410">
        <f t="shared" si="4"/>
        <v>2021</v>
      </c>
      <c r="G57" s="1820">
        <f t="shared" si="2"/>
        <v>2020</v>
      </c>
      <c r="H57" s="74">
        <f>IF($G$6="Historic Calendar Year",IFERROR(AVERAGE(IF($G57=YEAR('Data - Monthly Commodity Prices'!$C$9:$C$1000),'Data - Monthly Commodity Prices'!$F$9:$F$1000)),"N/A"),IFERROR(IF(K57=0,"N/A",K57),"N/A"))</f>
        <v>0</v>
      </c>
      <c r="I57" s="1603">
        <f>IF($G$6="Historic Calendar Year",IFERROR(AVERAGE(IF($G57=YEAR('Data - Monthly Commodity Prices'!$C$9:$C$1000),'Data - Monthly Commodity Prices'!$E$9:$E$1000)),"N/A"),IFERROR(IF(J57=0,"N/A",J57),"N/A"))</f>
        <v>0</v>
      </c>
      <c r="J57" s="798" t="e">
        <f>(SUMIFS('Data - Monthly Commodity Prices'!$E$9:$E$2500,'Data - Monthly Commodity Prices'!$A$9:$A$2500,'Gold - Prices'!E57,'Data - Monthly Commodity Prices'!$B$9:$B$2500,3)+
SUMIFS('Data - Monthly Commodity Prices'!$E$9:$E$2500,'Data - Monthly Commodity Prices'!$A$9:$A$2500,'Gold - Prices'!E57,'Data - Monthly Commodity Prices'!$B$9:$B$2500,4)+
SUMIFS('Data - Monthly Commodity Prices'!$E$9:$E$2500,'Data - Monthly Commodity Prices'!$A$9:$A$2500,'Gold - Prices'!F57,'Data - Monthly Commodity Prices'!$B$9:$B$2500,1)+
SUMIFS('Data - Monthly Commodity Prices'!$E$9:$E$2500,'Data - Monthly Commodity Prices'!$A$9:$A$2500,'Gold - Prices'!F57,'Data - Monthly Commodity Prices'!$B$9:$B$2500,2))
/(COUNTIFS('Data - Monthly Commodity Prices'!$A$9:$A$2500,'Gold - Prices'!E57,'Data - Monthly Commodity Prices'!$B$9:$B$2500,3)+
COUNTIFS('Data - Monthly Commodity Prices'!$A$9:$A$2500,'Gold - Prices'!E57,'Data - Monthly Commodity Prices'!$B$9:$B$2500,4)+
COUNTIFS('Data - Monthly Commodity Prices'!$A$9:$A$2500,'Gold - Prices'!F57,'Data - Monthly Commodity Prices'!$B$9:$B$2500,1)+
COUNTIFS('Data - Monthly Commodity Prices'!$A$9:$A$2500,'Gold - Prices'!F57,'Data - Monthly Commodity Prices'!$B$9:$B$2500,2))</f>
        <v>#DIV/0!</v>
      </c>
      <c r="K57" s="798" t="e">
        <f>(SUMIFS('Data - Monthly Commodity Prices'!$F$9:$F$2500,'Data - Monthly Commodity Prices'!$A$9:$A$2500,'Gold - Prices'!E57,'Data - Monthly Commodity Prices'!$B$9:$B$2500,3)+
SUMIFS('Data - Monthly Commodity Prices'!$F$9:$F$2500,'Data - Monthly Commodity Prices'!$A$9:$A$2500,'Gold - Prices'!E57,'Data - Monthly Commodity Prices'!$B$9:$B$2500,4)+
SUMIFS('Data - Monthly Commodity Prices'!$F$9:$F$2500,'Data - Monthly Commodity Prices'!$A$9:$A$2500,'Gold - Prices'!F57,'Data - Monthly Commodity Prices'!$B$9:$B$2500,1)+
SUMIFS('Data - Monthly Commodity Prices'!$F$9:$F$2500,'Data - Monthly Commodity Prices'!$A$9:$A$2500,'Gold - Prices'!F57,'Data - Monthly Commodity Prices'!$B$9:$B$2500,2))
/(COUNTIFS('Data - Monthly Commodity Prices'!$A$9:$A$2500,'Gold - Prices'!E57,'Data - Monthly Commodity Prices'!$B$9:$B$2500,3)+
COUNTIFS('Data - Monthly Commodity Prices'!$A$9:$A$2500,'Gold - Prices'!E57,'Data - Monthly Commodity Prices'!$B$9:$B$2500,4)+
COUNTIFS('Data - Monthly Commodity Prices'!$A$9:$A$2500,'Gold - Prices'!F57,'Data - Monthly Commodity Prices'!$B$9:$B$2500,1)+
COUNTIFS('Data - Monthly Commodity Prices'!$A$9:$A$2500,'Gold - Prices'!F57,'Data - Monthly Commodity Prices'!$B$9:$B$2500,2))</f>
        <v>#DIV/0!</v>
      </c>
    </row>
    <row r="58" spans="1:14" ht="15.75" thickBot="1">
      <c r="A58" s="83">
        <f>LARGE('Data - Monthly Commodity Prices'!C$159:C$902,10)</f>
        <v>43525</v>
      </c>
      <c r="B58" s="78">
        <f>SUMIF('Data - Monthly Commodity Prices'!C$159:C$902,A58,'Data - Monthly Commodity Prices'!F$159:F$902)</f>
        <v>1300.9000000000001</v>
      </c>
      <c r="C58" s="82">
        <f>SUMIF('Data - Monthly Commodity Prices'!C$159:C$902,A58,'Data - Monthly Commodity Prices'!E$159:E$902)</f>
        <v>1841.84</v>
      </c>
      <c r="D58" s="24"/>
      <c r="E58" s="410"/>
      <c r="F58" s="410"/>
      <c r="G58" s="24"/>
      <c r="H58" s="24"/>
      <c r="I58" s="24"/>
    </row>
    <row r="59" spans="1:14">
      <c r="A59" s="21">
        <f>LARGE('Data - Monthly Commodity Prices'!C$159:C$902,9)</f>
        <v>43556</v>
      </c>
      <c r="B59" s="79">
        <f>SUMIF('Data - Monthly Commodity Prices'!C$159:C$902,A59,'Data - Monthly Commodity Prices'!F$159:F$902)</f>
        <v>1286.44</v>
      </c>
      <c r="C59" s="30">
        <f>SUMIF('Data - Monthly Commodity Prices'!C$159:C$902,A59,'Data - Monthly Commodity Prices'!E$159:E$902)</f>
        <v>1812.21</v>
      </c>
      <c r="D59" s="24"/>
      <c r="E59" s="410"/>
      <c r="F59" s="410"/>
      <c r="G59" s="1996" t="s">
        <v>617</v>
      </c>
      <c r="H59" s="1997"/>
      <c r="I59" s="1998"/>
    </row>
    <row r="60" spans="1:14" ht="15.75" thickBot="1">
      <c r="A60" s="83">
        <f>LARGE('Data - Monthly Commodity Prices'!C$159:C$902,8)</f>
        <v>43586</v>
      </c>
      <c r="B60" s="78">
        <f>SUMIF('Data - Monthly Commodity Prices'!C$159:C$902,A60,'Data - Monthly Commodity Prices'!F$159:F$902)</f>
        <v>1283.95</v>
      </c>
      <c r="C60" s="82">
        <f>SUMIF('Data - Monthly Commodity Prices'!C$159:C$902,A60,'Data - Monthly Commodity Prices'!E$159:E$902)</f>
        <v>1850.4</v>
      </c>
      <c r="D60" s="24"/>
      <c r="E60" s="410"/>
      <c r="F60" s="410"/>
      <c r="G60" s="1963" t="s">
        <v>545</v>
      </c>
      <c r="H60" s="1966"/>
      <c r="I60" s="1964"/>
    </row>
    <row r="61" spans="1:14">
      <c r="A61" s="21">
        <f>LARGE('Data - Monthly Commodity Prices'!C$159:C$902,7)</f>
        <v>43617</v>
      </c>
      <c r="B61" s="79">
        <f>SUMIF('Data - Monthly Commodity Prices'!C$159:C$902,A61,'Data - Monthly Commodity Prices'!F$159:F$902)</f>
        <v>1359.0409999999999</v>
      </c>
      <c r="C61" s="30">
        <f>SUMIF('Data - Monthly Commodity Prices'!C$159:C$902,A61,'Data - Monthly Commodity Prices'!E$159:E$902)</f>
        <v>1958.23</v>
      </c>
      <c r="D61" s="24"/>
      <c r="E61" s="410"/>
      <c r="F61" s="410"/>
      <c r="G61" s="1995" t="s">
        <v>618</v>
      </c>
      <c r="H61" s="1995"/>
      <c r="I61" s="1995"/>
    </row>
    <row r="62" spans="1:14">
      <c r="A62" s="83">
        <f>LARGE('Data - Monthly Commodity Prices'!C$159:C$902,6)</f>
        <v>43647</v>
      </c>
      <c r="B62" s="78">
        <f>SUMIF('Data - Monthly Commodity Prices'!C$159:C$902,A62,'Data - Monthly Commodity Prices'!F$159:F$902)</f>
        <v>1412.98</v>
      </c>
      <c r="C62" s="82">
        <f>SUMIF('Data - Monthly Commodity Prices'!C$159:C$902,A62,'Data - Monthly Commodity Prices'!E$159:E$902)</f>
        <v>2029.59</v>
      </c>
      <c r="D62" s="24"/>
      <c r="E62" s="410"/>
      <c r="F62" s="410"/>
      <c r="G62" s="24"/>
      <c r="H62" s="24"/>
      <c r="I62" s="24"/>
    </row>
    <row r="63" spans="1:14">
      <c r="A63" s="21">
        <f>LARGE('Data - Monthly Commodity Prices'!C$159:C$902,5)</f>
        <v>43678</v>
      </c>
      <c r="B63" s="79">
        <f>SUMIF('Data - Monthly Commodity Prices'!C$159:C$902,A63,'Data - Monthly Commodity Prices'!F$159:F$902)</f>
        <v>1498.798</v>
      </c>
      <c r="C63" s="30">
        <f>SUMIF('Data - Monthly Commodity Prices'!C$159:C$902,A63,'Data - Monthly Commodity Prices'!E$159:E$902)</f>
        <v>2218.41</v>
      </c>
      <c r="D63" s="24"/>
      <c r="E63" s="410"/>
      <c r="F63" s="410"/>
      <c r="G63" s="24"/>
      <c r="H63" s="24"/>
      <c r="I63" s="24"/>
    </row>
    <row r="64" spans="1:14">
      <c r="A64" s="83">
        <f>LARGE('Data - Monthly Commodity Prices'!C$159:C$902,4)</f>
        <v>43709</v>
      </c>
      <c r="B64" s="78">
        <f>SUMIF('Data - Monthly Commodity Prices'!C$159:C$902,A64,'Data - Monthly Commodity Prices'!F$159:F$902)</f>
        <v>1511.3140000000001</v>
      </c>
      <c r="C64" s="82">
        <f>SUMIF('Data - Monthly Commodity Prices'!C$159:C$902,A64,'Data - Monthly Commodity Prices'!E$159:E$902)</f>
        <v>2221.84</v>
      </c>
      <c r="D64" s="24"/>
      <c r="E64" s="410"/>
      <c r="F64" s="410"/>
      <c r="G64" s="24"/>
      <c r="H64" s="24"/>
      <c r="I64" s="24"/>
    </row>
    <row r="65" spans="1:9">
      <c r="A65" s="21">
        <f>LARGE('Data - Monthly Commodity Prices'!C$159:C$902,3)</f>
        <v>43739</v>
      </c>
      <c r="B65" s="79">
        <f>SUMIF('Data - Monthly Commodity Prices'!C$159:C$902,A65,'Data - Monthly Commodity Prices'!F$159:F$902)</f>
        <v>1494.8</v>
      </c>
      <c r="C65" s="30">
        <f>SUMIF('Data - Monthly Commodity Prices'!C$159:C$902,A65,'Data - Monthly Commodity Prices'!E$159:E$902)</f>
        <v>2203.9299999999998</v>
      </c>
      <c r="D65" s="24"/>
      <c r="E65" s="410"/>
      <c r="F65" s="410"/>
      <c r="G65" s="24"/>
      <c r="H65" s="24"/>
      <c r="I65" s="24"/>
    </row>
    <row r="66" spans="1:9">
      <c r="A66" s="83">
        <f>LARGE('Data - Monthly Commodity Prices'!C$159:C$902,2)</f>
        <v>43770</v>
      </c>
      <c r="B66" s="78">
        <f>SUMIF('Data - Monthly Commodity Prices'!C$159:C$902,A66,'Data - Monthly Commodity Prices'!F$159:F$902)</f>
        <v>1470.0165999999999</v>
      </c>
      <c r="C66" s="82">
        <f>SUMIF('Data - Monthly Commodity Prices'!C$159:C$902,A66,'Data - Monthly Commodity Prices'!E$159:E$902)</f>
        <v>2160.4899999999998</v>
      </c>
      <c r="D66" s="24"/>
      <c r="E66" s="410"/>
      <c r="F66" s="410"/>
      <c r="G66" s="24"/>
      <c r="H66" s="24"/>
      <c r="I66" s="24"/>
    </row>
    <row r="67" spans="1:9" ht="15.75" thickBot="1">
      <c r="A67" s="22">
        <f>LARGE('Data - Monthly Commodity Prices'!C$159:C$902,1)</f>
        <v>43800</v>
      </c>
      <c r="B67" s="77">
        <f>SUMIF('Data - Monthly Commodity Prices'!C$159:C$902,A67,'Data - Monthly Commodity Prices'!F$159:F$902)</f>
        <v>1476.0440000000001</v>
      </c>
      <c r="C67" s="29">
        <f>SUMIF('Data - Monthly Commodity Prices'!C$159:C$902,A67,'Data - Monthly Commodity Prices'!E$159:E$902)</f>
        <v>2156.37</v>
      </c>
      <c r="D67" s="24"/>
      <c r="E67" s="410"/>
      <c r="F67" s="410"/>
      <c r="G67" s="24"/>
      <c r="H67" s="24"/>
      <c r="I67" s="24"/>
    </row>
    <row r="68" spans="1:9">
      <c r="G68" s="24"/>
      <c r="H68" s="24"/>
      <c r="I68" s="24"/>
    </row>
    <row r="69" spans="1:9">
      <c r="G69" s="24"/>
      <c r="H69" s="24"/>
      <c r="I69" s="24"/>
    </row>
    <row r="70" spans="1:9">
      <c r="G70" s="24"/>
      <c r="H70" s="24"/>
      <c r="I70" s="24"/>
    </row>
    <row r="71" spans="1:9">
      <c r="G71" s="24"/>
      <c r="H71" s="24"/>
      <c r="I71" s="24"/>
    </row>
    <row r="72" spans="1:9">
      <c r="G72" s="24"/>
      <c r="H72" s="24"/>
      <c r="I72" s="24"/>
    </row>
    <row r="73" spans="1:9">
      <c r="G73" s="24"/>
      <c r="H73" s="24"/>
      <c r="I73" s="24"/>
    </row>
    <row r="74" spans="1:9">
      <c r="G74" s="24"/>
      <c r="H74" s="24"/>
      <c r="I74" s="24"/>
    </row>
    <row r="75" spans="1:9">
      <c r="G75" s="24"/>
      <c r="H75" s="24"/>
      <c r="I75" s="24"/>
    </row>
    <row r="76" spans="1:9">
      <c r="G76" s="24"/>
      <c r="H76" s="24"/>
      <c r="I76" s="24"/>
    </row>
    <row r="77" spans="1:9">
      <c r="G77" s="24"/>
      <c r="H77" s="24"/>
      <c r="I77" s="24"/>
    </row>
    <row r="78" spans="1:9">
      <c r="G78" s="24"/>
      <c r="H78" s="24"/>
      <c r="I78" s="24"/>
    </row>
    <row r="79" spans="1:9">
      <c r="G79" s="24"/>
      <c r="H79" s="24"/>
      <c r="I79" s="24"/>
    </row>
    <row r="80" spans="1:9">
      <c r="G80" s="24"/>
      <c r="H80" s="24"/>
      <c r="I80" s="24"/>
    </row>
    <row r="81" spans="7:9">
      <c r="G81" s="24"/>
      <c r="H81" s="24"/>
      <c r="I81" s="24"/>
    </row>
    <row r="82" spans="7:9">
      <c r="G82" s="24"/>
      <c r="H82" s="24"/>
      <c r="I82" s="24"/>
    </row>
  </sheetData>
  <mergeCells count="7">
    <mergeCell ref="G60:I60"/>
    <mergeCell ref="G61:I61"/>
    <mergeCell ref="A5:C5"/>
    <mergeCell ref="G5:I5"/>
    <mergeCell ref="A6:C6"/>
    <mergeCell ref="G6:I6"/>
    <mergeCell ref="G59:I59"/>
  </mergeCells>
  <dataValidations count="1">
    <dataValidation type="list" allowBlank="1" showInputMessage="1" showErrorMessage="1" promptTitle="Select a Period:" prompt="Select Financial or Calendar years." sqref="G60:I60">
      <formula1>$Y$1:$Y$2</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81"/>
  <sheetViews>
    <sheetView workbookViewId="0"/>
  </sheetViews>
  <sheetFormatPr defaultRowHeight="15"/>
  <cols>
    <col min="1" max="1" width="20.140625" style="1084" bestFit="1" customWidth="1"/>
    <col min="2" max="2" width="5.28515625" style="1084" bestFit="1" customWidth="1"/>
    <col min="3" max="4" width="15.140625" style="1084" bestFit="1" customWidth="1"/>
    <col min="5" max="14" width="15.42578125" style="1084" customWidth="1"/>
    <col min="15" max="15" width="11" style="1084" bestFit="1" customWidth="1"/>
    <col min="16" max="22" width="9.140625" style="1084"/>
    <col min="23" max="23" width="17.85546875" style="1084" customWidth="1"/>
    <col min="24" max="16384" width="9.140625" style="1084"/>
  </cols>
  <sheetData>
    <row r="1" spans="1:26">
      <c r="V1" s="1041" t="s">
        <v>1</v>
      </c>
      <c r="W1" s="1041" t="str">
        <f>"Western Australian Gold Exports "&amp;B6&amp;CHAR(10)&amp;"Total Value: $"&amp;TEXT(C21,"#,###")</f>
        <v>Western Australian Gold Exports 2019
Total Value: $20,603,838,000</v>
      </c>
      <c r="X1" s="1041" t="s">
        <v>429</v>
      </c>
      <c r="Y1" s="1041">
        <f>IF($B$5="Calendar Year",MAX('Data - Monthly Commodity Prices'!$AK$9:$AK$3501),CONCATENATE(MAX('Data - Monthly Commodity Prices'!$AW$9:$AW$3495),"-",VALUE(RIGHT(MAX('Data - Monthly Commodity Prices'!$AW$9:$AW$3495),2))+1))</f>
        <v>2019</v>
      </c>
      <c r="Z1" s="1041">
        <f t="array" ref="Z1">MIN(IF('Data - Monthly Commodity Prices'!$AJ$9:$AJ$3501=V1,'Data - Monthly Commodity Prices'!$AK$9:$AK$3501))</f>
        <v>2002</v>
      </c>
    </row>
    <row r="2" spans="1:26">
      <c r="W2" s="1041" t="str">
        <f>IF($B$5=X1,IF(RIGHT(LEFT(B6,5),1)="-","Mismatch Error",""),IF(LEN(B6)=4,"Mismatch Error",""))</f>
        <v/>
      </c>
      <c r="X2" s="1041" t="s">
        <v>446</v>
      </c>
      <c r="Y2" s="1041">
        <f>IFERROR(IF($B$5=$X$1,IF($Z$1&lt;=(Y1-1),Y1-1,""),IF($Z$1=VALUE(LEFT(Y1,4)),"",CONCATENATE(VALUE(LEFT(Y1,4))-1,"-",RIGHT(LEFT(Y1,4),2)))),"")</f>
        <v>2018</v>
      </c>
    </row>
    <row r="3" spans="1:26">
      <c r="W3" s="1041"/>
      <c r="X3" s="1041"/>
      <c r="Y3" s="1041">
        <f t="shared" ref="Y3:Y25" si="0">IFERROR(IF($B$5=$X$1,IF($Z$1&lt;=(Y2-1),Y2-1,""),IF($Z$1=VALUE(LEFT(Y2,4)),"",CONCATENATE(VALUE(LEFT(Y2,4))-1,"-",RIGHT(LEFT(Y2,4),2)))),"")</f>
        <v>2017</v>
      </c>
    </row>
    <row r="4" spans="1:26" ht="21.75" customHeight="1" thickBot="1">
      <c r="W4" s="1041"/>
      <c r="X4" s="1041"/>
      <c r="Y4" s="1041">
        <f t="shared" si="0"/>
        <v>2016</v>
      </c>
    </row>
    <row r="5" spans="1:26" ht="15.75" thickBot="1">
      <c r="A5" s="746" t="s">
        <v>447</v>
      </c>
      <c r="B5" s="1999" t="s">
        <v>429</v>
      </c>
      <c r="C5" s="2000"/>
      <c r="D5" s="2001"/>
      <c r="E5" s="1040"/>
      <c r="W5" s="1041"/>
      <c r="X5" s="1041"/>
      <c r="Y5" s="1041">
        <f t="shared" si="0"/>
        <v>2015</v>
      </c>
    </row>
    <row r="6" spans="1:26" ht="15.75" thickBot="1">
      <c r="A6" s="746" t="s">
        <v>447</v>
      </c>
      <c r="B6" s="1999">
        <v>2019</v>
      </c>
      <c r="C6" s="2000"/>
      <c r="D6" s="2001"/>
      <c r="E6" s="1040"/>
      <c r="W6" s="1041"/>
      <c r="X6" s="1041"/>
      <c r="Y6" s="1041">
        <f t="shared" si="0"/>
        <v>2014</v>
      </c>
    </row>
    <row r="7" spans="1:26">
      <c r="W7" s="1041"/>
      <c r="X7" s="1041"/>
      <c r="Y7" s="1041">
        <f t="shared" si="0"/>
        <v>2013</v>
      </c>
    </row>
    <row r="8" spans="1:26" ht="15.75" thickBot="1">
      <c r="A8" s="1937" t="str">
        <f>IF($B$6="Click here to select an option","Select a year above for display.",CONCATENATE("Western Australian gold exports ",B6))</f>
        <v>Western Australian gold exports 2019</v>
      </c>
      <c r="B8" s="1937"/>
      <c r="C8" s="1937"/>
      <c r="D8" s="1937"/>
      <c r="W8" s="1041"/>
      <c r="X8" s="1041"/>
      <c r="Y8" s="1041">
        <f t="shared" si="0"/>
        <v>2012</v>
      </c>
    </row>
    <row r="9" spans="1:26" ht="15.75" thickBot="1">
      <c r="A9" s="1710" t="s">
        <v>43</v>
      </c>
      <c r="B9" s="1711" t="s">
        <v>44</v>
      </c>
      <c r="C9" s="1705" t="s">
        <v>805</v>
      </c>
      <c r="D9" s="736" t="s">
        <v>47</v>
      </c>
      <c r="W9" s="1041"/>
      <c r="X9" s="1041"/>
      <c r="Y9" s="1041">
        <f t="shared" si="0"/>
        <v>2011</v>
      </c>
    </row>
    <row r="10" spans="1:26">
      <c r="A10" s="60" t="str">
        <f t="array" ref="A10">IF($W$2="Mismatch Error","Mismatch Error",IF($B$5=$X$1,INDEX('Data - Monthly Commodity Prices'!$AJ$9:$AO$3501,MATCH(1,(('Data - Monthly Commodity Prices'!$AJ$9:$AJ$3501)="Gold")*(('Data - Monthly Commodity Prices'!$AK$9:$AK$3501)=$B$6)*(('Data - Monthly Commodity Prices'!$AM$9:$AM$3501)=B10),0),3),INDEX('Data - Monthly Commodity Prices'!$AQ$9:$AV$3495,MATCH(1,(('Data - Monthly Commodity Prices'!$AQ$9:$AQ$3495)="Gold")*(('Data - Monthly Commodity Prices'!$AR$9:$AR$3495)=$B$6)*(('Data - Monthly Commodity Prices'!$AT$9:$AT$3495)=B10),0),3)))</f>
        <v xml:space="preserve">  United Kingdom</v>
      </c>
      <c r="B10" s="59">
        <v>1</v>
      </c>
      <c r="C10" s="58">
        <f t="array" ref="C10">IF($W$2="Mismatch Error","",IF($B$5=$X$1,INDEX('Data - Monthly Commodity Prices'!$AJ$9:$AO$3501,MATCH(1,(('Data - Monthly Commodity Prices'!$AJ$9:$AJ$3501)="Gold")*(('Data - Monthly Commodity Prices'!$AK$9:$AK$3501)=$B$6)*(('Data - Monthly Commodity Prices'!$AM$9:$AM$3501)=B10),0),5),INDEX('Data - Monthly Commodity Prices'!$AQ$9:$AV$3495,MATCH(1,(('Data - Monthly Commodity Prices'!$AQ$9:$AQ$3495)="Gold")*(('Data - Monthly Commodity Prices'!$AR$9:$AR$3495)=$B$6)*(('Data - Monthly Commodity Prices'!$AT$9:$AT$3495)=B10),0),5)))</f>
        <v>11983964000</v>
      </c>
      <c r="D10" s="1706">
        <f>IF($W$2="Mismatch Error","",C10/$C$21)</f>
        <v>0.58163745997226346</v>
      </c>
      <c r="W10" s="1041"/>
      <c r="X10" s="1041"/>
      <c r="Y10" s="1041">
        <f t="shared" si="0"/>
        <v>2010</v>
      </c>
    </row>
    <row r="11" spans="1:26">
      <c r="A11" s="13" t="str">
        <f t="array" ref="A11">IF($W$2="Mismatch Error","",IF($B$5=$X$1,INDEX('Data - Monthly Commodity Prices'!$AJ$9:$AO$3501,MATCH(1,(('Data - Monthly Commodity Prices'!$AJ$9:$AJ$3501)="Gold")*(('Data - Monthly Commodity Prices'!$AK$9:$AK$3501)=$B$6)*(('Data - Monthly Commodity Prices'!$AM$9:$AM$3501)=B11),0),3),INDEX('Data - Monthly Commodity Prices'!$AQ$9:$AV$3495,MATCH(1,(('Data - Monthly Commodity Prices'!$AQ$9:$AQ$3495)="Gold")*(('Data - Monthly Commodity Prices'!$AR$9:$AR$3495)=$B$6)*(('Data - Monthly Commodity Prices'!$AT$9:$AT$3495)=B11),0),3)))</f>
        <v xml:space="preserve">  Hong Kong (SAR of China)</v>
      </c>
      <c r="B11" s="11">
        <v>2</v>
      </c>
      <c r="C11" s="55">
        <f t="array" ref="C11">IF($W$2="Mismatch Error","",IF($B$5=$X$1,INDEX('Data - Monthly Commodity Prices'!$AJ$9:$AO$3501,MATCH(1,(('Data - Monthly Commodity Prices'!$AJ$9:$AJ$3501)="Gold")*(('Data - Monthly Commodity Prices'!$AK$9:$AK$3501)=$B$6)*(('Data - Monthly Commodity Prices'!$AM$9:$AM$3501)=B11),0),5),INDEX('Data - Monthly Commodity Prices'!$AQ$9:$AV$3495,MATCH(1,(('Data - Monthly Commodity Prices'!$AQ$9:$AQ$3495)="Gold")*(('Data - Monthly Commodity Prices'!$AR$9:$AR$3495)=$B$6)*(('Data - Monthly Commodity Prices'!$AT$9:$AT$3495)=B11),0),5)))</f>
        <v>3396127000</v>
      </c>
      <c r="D11" s="1707">
        <f t="shared" ref="D11:D20" si="1">IF($W$2="Mismatch Error","",C11/$C$21)</f>
        <v>0.16482982442397381</v>
      </c>
      <c r="E11" s="1083"/>
      <c r="W11" s="1041"/>
      <c r="X11" s="1041"/>
      <c r="Y11" s="1041">
        <f t="shared" si="0"/>
        <v>2009</v>
      </c>
    </row>
    <row r="12" spans="1:26">
      <c r="A12" s="60" t="str">
        <f t="array" ref="A12">IF($W$2="Mismatch Error","",IF($B$5=$X$1,INDEX('Data - Monthly Commodity Prices'!$AJ$9:$AO$3501,MATCH(1,(('Data - Monthly Commodity Prices'!$AJ$9:$AJ$3501)="Gold")*(('Data - Monthly Commodity Prices'!$AK$9:$AK$3501)=$B$6)*(('Data - Monthly Commodity Prices'!$AM$9:$AM$3501)=B12),0),3),INDEX('Data - Monthly Commodity Prices'!$AQ$9:$AV$3495,MATCH(1,(('Data - Monthly Commodity Prices'!$AQ$9:$AQ$3495)="Gold")*(('Data - Monthly Commodity Prices'!$AR$9:$AR$3495)=$B$6)*(('Data - Monthly Commodity Prices'!$AT$9:$AT$3495)=B12),0),3)))</f>
        <v xml:space="preserve">  China</v>
      </c>
      <c r="B12" s="59">
        <v>3</v>
      </c>
      <c r="C12" s="58">
        <f t="array" ref="C12">IF($W$2="Mismatch Error","",IF($B$5=$X$1,INDEX('Data - Monthly Commodity Prices'!$AJ$9:$AO$3501,MATCH(1,(('Data - Monthly Commodity Prices'!$AJ$9:$AJ$3501)="Gold")*(('Data - Monthly Commodity Prices'!$AK$9:$AK$3501)=$B$6)*(('Data - Monthly Commodity Prices'!$AM$9:$AM$3501)=B12),0),5),INDEX('Data - Monthly Commodity Prices'!$AQ$9:$AV$3495,MATCH(1,(('Data - Monthly Commodity Prices'!$AQ$9:$AQ$3495)="Gold")*(('Data - Monthly Commodity Prices'!$AR$9:$AR$3495)=$B$6)*(('Data - Monthly Commodity Prices'!$AT$9:$AT$3495)=B12),0),5)))</f>
        <v>2990924000</v>
      </c>
      <c r="D12" s="1706">
        <f t="shared" si="1"/>
        <v>0.14516343993774364</v>
      </c>
      <c r="E12" s="1083"/>
      <c r="W12" s="1041"/>
      <c r="X12" s="1041"/>
      <c r="Y12" s="1041">
        <f t="shared" si="0"/>
        <v>2008</v>
      </c>
    </row>
    <row r="13" spans="1:26">
      <c r="A13" s="13" t="str">
        <f t="array" ref="A13">IF($W$2="Mismatch Error","",IF($B$5=$X$1,INDEX('Data - Monthly Commodity Prices'!$AJ$9:$AO$3501,MATCH(1,(('Data - Monthly Commodity Prices'!$AJ$9:$AJ$3501)="Gold")*(('Data - Monthly Commodity Prices'!$AK$9:$AK$3501)=$B$6)*(('Data - Monthly Commodity Prices'!$AM$9:$AM$3501)=B13),0),3),INDEX('Data - Monthly Commodity Prices'!$AQ$9:$AV$3495,MATCH(1,(('Data - Monthly Commodity Prices'!$AQ$9:$AQ$3495)="Gold")*(('Data - Monthly Commodity Prices'!$AR$9:$AR$3495)=$B$6)*(('Data - Monthly Commodity Prices'!$AT$9:$AT$3495)=B13),0),3)))</f>
        <v xml:space="preserve">  Singapore</v>
      </c>
      <c r="B13" s="11">
        <v>4</v>
      </c>
      <c r="C13" s="55">
        <f t="array" ref="C13">IF($W$2="Mismatch Error","",IF($B$5=$X$1,INDEX('Data - Monthly Commodity Prices'!$AJ$9:$AO$3501,MATCH(1,(('Data - Monthly Commodity Prices'!$AJ$9:$AJ$3501)="Gold")*(('Data - Monthly Commodity Prices'!$AK$9:$AK$3501)=$B$6)*(('Data - Monthly Commodity Prices'!$AM$9:$AM$3501)=B13),0),5),INDEX('Data - Monthly Commodity Prices'!$AQ$9:$AV$3495,MATCH(1,(('Data - Monthly Commodity Prices'!$AQ$9:$AQ$3495)="Gold")*(('Data - Monthly Commodity Prices'!$AR$9:$AR$3495)=$B$6)*(('Data - Monthly Commodity Prices'!$AT$9:$AT$3495)=B13),0),5)))</f>
        <v>1363404000</v>
      </c>
      <c r="D13" s="1707">
        <f t="shared" si="1"/>
        <v>6.6172331582106211E-2</v>
      </c>
      <c r="E13" s="1083"/>
      <c r="W13" s="1026"/>
      <c r="X13" s="1026"/>
      <c r="Y13" s="1041">
        <f t="shared" si="0"/>
        <v>2007</v>
      </c>
    </row>
    <row r="14" spans="1:26">
      <c r="A14" s="60" t="str">
        <f t="array" ref="A14">IF($W$2="Mismatch Error","",IF($B$5=$X$1,INDEX('Data - Monthly Commodity Prices'!$AJ$9:$AO$3501,MATCH(1,(('Data - Monthly Commodity Prices'!$AJ$9:$AJ$3501)="Gold")*(('Data - Monthly Commodity Prices'!$AK$9:$AK$3501)=$B$6)*(('Data - Monthly Commodity Prices'!$AM$9:$AM$3501)=B14),0),3),INDEX('Data - Monthly Commodity Prices'!$AQ$9:$AV$3495,MATCH(1,(('Data - Monthly Commodity Prices'!$AQ$9:$AQ$3495)="Gold")*(('Data - Monthly Commodity Prices'!$AR$9:$AR$3495)=$B$6)*(('Data - Monthly Commodity Prices'!$AT$9:$AT$3495)=B14),0),3)))</f>
        <v xml:space="preserve">  India</v>
      </c>
      <c r="B14" s="59">
        <v>5</v>
      </c>
      <c r="C14" s="58">
        <f t="array" ref="C14">IF($W$2="Mismatch Error","",IF($B$5=$X$1,INDEX('Data - Monthly Commodity Prices'!$AJ$9:$AO$3501,MATCH(1,(('Data - Monthly Commodity Prices'!$AJ$9:$AJ$3501)="Gold")*(('Data - Monthly Commodity Prices'!$AK$9:$AK$3501)=$B$6)*(('Data - Monthly Commodity Prices'!$AM$9:$AM$3501)=B14),0),5),INDEX('Data - Monthly Commodity Prices'!$AQ$9:$AV$3495,MATCH(1,(('Data - Monthly Commodity Prices'!$AQ$9:$AQ$3495)="Gold")*(('Data - Monthly Commodity Prices'!$AR$9:$AR$3495)=$B$6)*(('Data - Monthly Commodity Prices'!$AT$9:$AT$3495)=B14),0),5)))</f>
        <v>265817000</v>
      </c>
      <c r="D14" s="1706">
        <f t="shared" si="1"/>
        <v>1.290133420773353E-2</v>
      </c>
      <c r="E14" s="1083"/>
      <c r="W14" s="1026"/>
      <c r="X14" s="1026"/>
      <c r="Y14" s="1041">
        <f t="shared" si="0"/>
        <v>2006</v>
      </c>
    </row>
    <row r="15" spans="1:26">
      <c r="A15" s="13" t="str">
        <f t="array" ref="A15">IF($W$2="Mismatch Error","",IF($B$5=$X$1,INDEX('Data - Monthly Commodity Prices'!$AJ$9:$AO$3501,MATCH(1,(('Data - Monthly Commodity Prices'!$AJ$9:$AJ$3501)="Gold")*(('Data - Monthly Commodity Prices'!$AK$9:$AK$3501)=$B$6)*(('Data - Monthly Commodity Prices'!$AM$9:$AM$3501)=B15),0),3),INDEX('Data - Monthly Commodity Prices'!$AQ$9:$AV$3495,MATCH(1,(('Data - Monthly Commodity Prices'!$AQ$9:$AQ$3495)="Gold")*(('Data - Monthly Commodity Prices'!$AR$9:$AR$3495)=$B$6)*(('Data - Monthly Commodity Prices'!$AT$9:$AT$3495)=B15),0),3)))</f>
        <v xml:space="preserve">  Switzerland</v>
      </c>
      <c r="B15" s="11">
        <v>6</v>
      </c>
      <c r="C15" s="55">
        <f t="array" ref="C15">IF($W$2="Mismatch Error","",IF($B$5=$X$1,INDEX('Data - Monthly Commodity Prices'!$AJ$9:$AO$3501,MATCH(1,(('Data - Monthly Commodity Prices'!$AJ$9:$AJ$3501)="Gold")*(('Data - Monthly Commodity Prices'!$AK$9:$AK$3501)=$B$6)*(('Data - Monthly Commodity Prices'!$AM$9:$AM$3501)=B15),0),5),INDEX('Data - Monthly Commodity Prices'!$AQ$9:$AV$3495,MATCH(1,(('Data - Monthly Commodity Prices'!$AQ$9:$AQ$3495)="Gold")*(('Data - Monthly Commodity Prices'!$AR$9:$AR$3495)=$B$6)*(('Data - Monthly Commodity Prices'!$AT$9:$AT$3495)=B15),0),5)))</f>
        <v>151869000</v>
      </c>
      <c r="D15" s="1707">
        <f t="shared" si="1"/>
        <v>7.3709082744680869E-3</v>
      </c>
      <c r="W15" s="1026"/>
      <c r="X15" s="1026"/>
      <c r="Y15" s="1041">
        <f t="shared" si="0"/>
        <v>2005</v>
      </c>
    </row>
    <row r="16" spans="1:26">
      <c r="A16" s="60" t="str">
        <f t="array" ref="A16">IF($W$2="Mismatch Error","",IF($B$5=$X$1,INDEX('Data - Monthly Commodity Prices'!$AJ$9:$AO$3501,MATCH(1,(('Data - Monthly Commodity Prices'!$AJ$9:$AJ$3501)="Gold")*(('Data - Monthly Commodity Prices'!$AK$9:$AK$3501)=$B$6)*(('Data - Monthly Commodity Prices'!$AM$9:$AM$3501)=B16),0),3),INDEX('Data - Monthly Commodity Prices'!$AQ$9:$AV$3495,MATCH(1,(('Data - Monthly Commodity Prices'!$AQ$9:$AQ$3495)="Gold")*(('Data - Monthly Commodity Prices'!$AR$9:$AR$3495)=$B$6)*(('Data - Monthly Commodity Prices'!$AT$9:$AT$3495)=B16),0),3)))</f>
        <v xml:space="preserve">  United States of America</v>
      </c>
      <c r="B16" s="59">
        <v>7</v>
      </c>
      <c r="C16" s="58">
        <f t="array" ref="C16">IF($W$2="Mismatch Error","",IF($B$5=$X$1,INDEX('Data - Monthly Commodity Prices'!$AJ$9:$AO$3501,MATCH(1,(('Data - Monthly Commodity Prices'!$AJ$9:$AJ$3501)="Gold")*(('Data - Monthly Commodity Prices'!$AK$9:$AK$3501)=$B$6)*(('Data - Monthly Commodity Prices'!$AM$9:$AM$3501)=B16),0),5),INDEX('Data - Monthly Commodity Prices'!$AQ$9:$AV$3495,MATCH(1,(('Data - Monthly Commodity Prices'!$AQ$9:$AQ$3495)="Gold")*(('Data - Monthly Commodity Prices'!$AR$9:$AR$3495)=$B$6)*(('Data - Monthly Commodity Prices'!$AT$9:$AT$3495)=B16),0),5)))</f>
        <v>116526000</v>
      </c>
      <c r="D16" s="1706">
        <f t="shared" si="1"/>
        <v>5.6555482527090341E-3</v>
      </c>
      <c r="W16" s="1026"/>
      <c r="X16" s="1026"/>
      <c r="Y16" s="1041">
        <f t="shared" si="0"/>
        <v>2004</v>
      </c>
    </row>
    <row r="17" spans="1:25">
      <c r="A17" s="13" t="str">
        <f t="array" ref="A17">IF($W$2="Mismatch Error","",IF($B$5=$X$1,INDEX('Data - Monthly Commodity Prices'!$AJ$9:$AO$3501,MATCH(1,(('Data - Monthly Commodity Prices'!$AJ$9:$AJ$3501)="Gold")*(('Data - Monthly Commodity Prices'!$AK$9:$AK$3501)=$B$6)*(('Data - Monthly Commodity Prices'!$AM$9:$AM$3501)=B17),0),3),INDEX('Data - Monthly Commodity Prices'!$AQ$9:$AV$3495,MATCH(1,(('Data - Monthly Commodity Prices'!$AQ$9:$AQ$3495)="Gold")*(('Data - Monthly Commodity Prices'!$AR$9:$AR$3495)=$B$6)*(('Data - Monthly Commodity Prices'!$AT$9:$AT$3495)=B17),0),3)))</f>
        <v xml:space="preserve">  Korea, Republic of</v>
      </c>
      <c r="B17" s="11">
        <v>8</v>
      </c>
      <c r="C17" s="55">
        <f t="array" ref="C17">IF($W$2="Mismatch Error","",IF($B$5=$X$1,INDEX('Data - Monthly Commodity Prices'!$AJ$9:$AO$3501,MATCH(1,(('Data - Monthly Commodity Prices'!$AJ$9:$AJ$3501)="Gold")*(('Data - Monthly Commodity Prices'!$AK$9:$AK$3501)=$B$6)*(('Data - Monthly Commodity Prices'!$AM$9:$AM$3501)=B17),0),5),INDEX('Data - Monthly Commodity Prices'!$AQ$9:$AV$3495,MATCH(1,(('Data - Monthly Commodity Prices'!$AQ$9:$AQ$3495)="Gold")*(('Data - Monthly Commodity Prices'!$AR$9:$AR$3495)=$B$6)*(('Data - Monthly Commodity Prices'!$AT$9:$AT$3495)=B17),0),5)))</f>
        <v>112952000</v>
      </c>
      <c r="D17" s="1707">
        <f t="shared" si="1"/>
        <v>5.4820854250552734E-3</v>
      </c>
      <c r="W17" s="1026"/>
      <c r="X17" s="1026"/>
      <c r="Y17" s="1041">
        <f t="shared" si="0"/>
        <v>2003</v>
      </c>
    </row>
    <row r="18" spans="1:25">
      <c r="A18" s="60" t="str">
        <f t="array" ref="A18">IF($W$2="Mismatch Error","",IF($B$5=$X$1,INDEX('Data - Monthly Commodity Prices'!$AJ$9:$AO$3501,MATCH(1,(('Data - Monthly Commodity Prices'!$AJ$9:$AJ$3501)="Gold")*(('Data - Monthly Commodity Prices'!$AK$9:$AK$3501)=$B$6)*(('Data - Monthly Commodity Prices'!$AM$9:$AM$3501)=B18),0),3),INDEX('Data - Monthly Commodity Prices'!$AQ$9:$AV$3495,MATCH(1,(('Data - Monthly Commodity Prices'!$AQ$9:$AQ$3495)="Gold")*(('Data - Monthly Commodity Prices'!$AR$9:$AR$3495)=$B$6)*(('Data - Monthly Commodity Prices'!$AT$9:$AT$3495)=B18),0),3)))</f>
        <v xml:space="preserve">  Thailand</v>
      </c>
      <c r="B18" s="59">
        <v>9</v>
      </c>
      <c r="C18" s="58">
        <f t="array" ref="C18">IF($W$2="Mismatch Error","",IF($B$5=$X$1,INDEX('Data - Monthly Commodity Prices'!$AJ$9:$AO$3501,MATCH(1,(('Data - Monthly Commodity Prices'!$AJ$9:$AJ$3501)="Gold")*(('Data - Monthly Commodity Prices'!$AK$9:$AK$3501)=$B$6)*(('Data - Monthly Commodity Prices'!$AM$9:$AM$3501)=B18),0),5),INDEX('Data - Monthly Commodity Prices'!$AQ$9:$AV$3495,MATCH(1,(('Data - Monthly Commodity Prices'!$AQ$9:$AQ$3495)="Gold")*(('Data - Monthly Commodity Prices'!$AR$9:$AR$3495)=$B$6)*(('Data - Monthly Commodity Prices'!$AT$9:$AT$3495)=B18),0),5)))</f>
        <v>92815000</v>
      </c>
      <c r="D18" s="1706">
        <f t="shared" si="1"/>
        <v>4.5047432424968588E-3</v>
      </c>
      <c r="W18" s="1026"/>
      <c r="X18" s="1026"/>
      <c r="Y18" s="1041">
        <f t="shared" si="0"/>
        <v>2002</v>
      </c>
    </row>
    <row r="19" spans="1:25">
      <c r="A19" s="13" t="str">
        <f t="array" ref="A19">IF($W$2="Mismatch Error","",IF($B$5=$X$1,INDEX('Data - Monthly Commodity Prices'!$AJ$9:$AO$3501,MATCH(1,(('Data - Monthly Commodity Prices'!$AJ$9:$AJ$3501)="Gold")*(('Data - Monthly Commodity Prices'!$AK$9:$AK$3501)=$B$6)*(('Data - Monthly Commodity Prices'!$AM$9:$AM$3501)=B19),0),3),INDEX('Data - Monthly Commodity Prices'!$AQ$9:$AV$3495,MATCH(1,(('Data - Monthly Commodity Prices'!$AQ$9:$AQ$3495)="Gold")*(('Data - Monthly Commodity Prices'!$AR$9:$AR$3495)=$B$6)*(('Data - Monthly Commodity Prices'!$AT$9:$AT$3495)=B19),0),3)))</f>
        <v xml:space="preserve">  Turkey</v>
      </c>
      <c r="B19" s="11">
        <v>10</v>
      </c>
      <c r="C19" s="55">
        <f t="array" ref="C19">IF($W$2="Mismatch Error","",IF($B$5=$X$1,INDEX('Data - Monthly Commodity Prices'!$AJ$9:$AO$3501,MATCH(1,(('Data - Monthly Commodity Prices'!$AJ$9:$AJ$3501)="Gold")*(('Data - Monthly Commodity Prices'!$AK$9:$AK$3501)=$B$6)*(('Data - Monthly Commodity Prices'!$AM$9:$AM$3501)=B19),0),5),INDEX('Data - Monthly Commodity Prices'!$AQ$9:$AV$3495,MATCH(1,(('Data - Monthly Commodity Prices'!$AQ$9:$AQ$3495)="Gold")*(('Data - Monthly Commodity Prices'!$AR$9:$AR$3495)=$B$6)*(('Data - Monthly Commodity Prices'!$AT$9:$AT$3495)=B19),0),5)))</f>
        <v>54470000</v>
      </c>
      <c r="D19" s="1707">
        <f t="shared" si="1"/>
        <v>2.643682211052135E-3</v>
      </c>
      <c r="W19" s="1026"/>
      <c r="X19" s="1026"/>
      <c r="Y19" s="1041" t="str">
        <f t="shared" si="0"/>
        <v/>
      </c>
    </row>
    <row r="20" spans="1:25" ht="15.75" thickBot="1">
      <c r="A20" s="57" t="str">
        <f>IF($W$2="Mismatch Error","","Other")</f>
        <v>Other</v>
      </c>
      <c r="B20" s="66"/>
      <c r="C20" s="65">
        <f>IF($W$2="Mismatch Error","",IF($B$5=$X$1,SUMIFS('Data - Monthly Commodity Prices'!$AN$9:$AN$3501,'Data - Monthly Commodity Prices'!$AJ$9:$AJ$3501,"Gold",'Data - Monthly Commodity Prices'!$AK$9:$AK$3501,$B$6,'Data - Monthly Commodity Prices'!$AL$9:$AL$3501,"TOTAL")-SUM($C$10:$C$19),SUMIFS('Data - Monthly Commodity Prices'!$AU$9:$AU$3495,'Data - Monthly Commodity Prices'!$AQ$9:$AQ$3495,"Gold",'Data - Monthly Commodity Prices'!$AR$9:$AR$3495,$B$6,'Data - Monthly Commodity Prices'!$AS$9:$AS$3495,"TOTAL")-SUM($C$10:$C$19)))</f>
        <v>74970000</v>
      </c>
      <c r="D20" s="1708">
        <f t="shared" si="1"/>
        <v>3.6386424703979911E-3</v>
      </c>
      <c r="W20" s="1026"/>
      <c r="X20" s="1026"/>
      <c r="Y20" s="1041" t="str">
        <f t="shared" si="0"/>
        <v/>
      </c>
    </row>
    <row r="21" spans="1:25" ht="15.75" thickBot="1">
      <c r="A21" s="1709" t="str">
        <f>IF($W$2="Mismatch Error","","Grand Total")</f>
        <v>Grand Total</v>
      </c>
      <c r="B21" s="1698"/>
      <c r="C21" s="1699">
        <f>IF($W$2="Mismatch Error","",IF($B$5=$X$1,SUMIFS('Data - Monthly Commodity Prices'!$AN$9:$AN$3501,'Data - Monthly Commodity Prices'!$AJ$9:$AJ$3501,"Gold",'Data - Monthly Commodity Prices'!$AK$9:$AK$3501,$B$6,'Data - Monthly Commodity Prices'!$AL$9:$AL$3501,"TOTAL"),SUMIFS('Data - Monthly Commodity Prices'!$AU$9:$AU$3495,'Data - Monthly Commodity Prices'!$AQ$9:$AQ$3495,"Gold",'Data - Monthly Commodity Prices'!$AR$9:$AR$3495,$B$6,'Data - Monthly Commodity Prices'!$AS$9:$AS$3495,"TOTAL")))</f>
        <v>20603838000</v>
      </c>
      <c r="D21" s="1700"/>
      <c r="W21" s="1026"/>
      <c r="X21" s="1026"/>
      <c r="Y21" s="1041" t="str">
        <f t="shared" si="0"/>
        <v/>
      </c>
    </row>
    <row r="22" spans="1:25">
      <c r="W22" s="1026"/>
      <c r="X22" s="1026"/>
      <c r="Y22" s="1041" t="str">
        <f t="shared" si="0"/>
        <v/>
      </c>
    </row>
    <row r="23" spans="1:25">
      <c r="A23" s="1970" t="str">
        <f>IF(A10="Mismatch Error","You have selected an incompatible year or year type. Change one or the other to display data.","")</f>
        <v/>
      </c>
      <c r="B23" s="1970"/>
      <c r="C23" s="1970"/>
      <c r="D23" s="1970"/>
      <c r="W23" s="1026"/>
      <c r="X23" s="1026"/>
      <c r="Y23" s="1041" t="str">
        <f t="shared" si="0"/>
        <v/>
      </c>
    </row>
    <row r="24" spans="1:25">
      <c r="A24" s="1970"/>
      <c r="B24" s="1970"/>
      <c r="C24" s="1970"/>
      <c r="D24" s="1970"/>
      <c r="W24" s="1026"/>
      <c r="X24" s="1026"/>
      <c r="Y24" s="1041" t="str">
        <f t="shared" si="0"/>
        <v/>
      </c>
    </row>
    <row r="25" spans="1:25" ht="15" customHeight="1">
      <c r="A25" s="1970"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70"/>
      <c r="C25" s="1970"/>
      <c r="D25" s="1970"/>
      <c r="W25" s="1026"/>
      <c r="X25" s="1026"/>
      <c r="Y25" s="1041" t="str">
        <f t="shared" si="0"/>
        <v/>
      </c>
    </row>
    <row r="26" spans="1:25">
      <c r="A26" s="1970"/>
      <c r="B26" s="1970"/>
      <c r="C26" s="1970"/>
      <c r="D26" s="1970"/>
      <c r="W26" s="1026"/>
      <c r="X26" s="1026"/>
      <c r="Y26" s="1026"/>
    </row>
    <row r="27" spans="1:25">
      <c r="A27" s="1970"/>
      <c r="B27" s="1970"/>
      <c r="C27" s="1970"/>
      <c r="D27" s="1970"/>
      <c r="W27" s="1026"/>
      <c r="X27" s="1026"/>
      <c r="Y27" s="1026"/>
    </row>
    <row r="28" spans="1:25">
      <c r="A28" s="1970"/>
      <c r="B28" s="1970"/>
      <c r="C28" s="1970"/>
      <c r="D28" s="1970"/>
      <c r="W28" s="1026"/>
      <c r="X28" s="1026"/>
      <c r="Y28" s="1026"/>
    </row>
    <row r="29" spans="1:25">
      <c r="W29" s="1026"/>
      <c r="X29" s="1026"/>
      <c r="Y29" s="1026"/>
    </row>
    <row r="30" spans="1:25">
      <c r="W30" s="1026"/>
      <c r="X30" s="1026"/>
      <c r="Y30" s="1026"/>
    </row>
    <row r="31" spans="1:25">
      <c r="W31" s="1026"/>
      <c r="X31" s="1026"/>
      <c r="Y31" s="1026"/>
    </row>
    <row r="32" spans="1:25">
      <c r="E32" s="1064"/>
      <c r="W32" s="1026"/>
      <c r="X32" s="1026"/>
      <c r="Y32" s="1026"/>
    </row>
    <row r="33" spans="3:25">
      <c r="E33" s="1064"/>
      <c r="W33" s="1026"/>
      <c r="X33" s="1026"/>
      <c r="Y33" s="1026"/>
    </row>
    <row r="34" spans="3:25">
      <c r="C34" s="1451"/>
      <c r="E34" s="1064"/>
      <c r="W34" s="1026"/>
      <c r="X34" s="1026"/>
      <c r="Y34" s="1026"/>
    </row>
    <row r="35" spans="3:25">
      <c r="E35" s="1064"/>
      <c r="W35" s="1026"/>
      <c r="X35" s="1026"/>
      <c r="Y35" s="1026"/>
    </row>
    <row r="36" spans="3:25">
      <c r="E36" s="1064"/>
      <c r="W36" s="1026"/>
      <c r="X36" s="1026"/>
      <c r="Y36" s="1026"/>
    </row>
    <row r="37" spans="3:25">
      <c r="E37" s="1064"/>
      <c r="W37" s="1026"/>
      <c r="X37" s="1026"/>
      <c r="Y37" s="1026"/>
    </row>
    <row r="38" spans="3:25">
      <c r="E38" s="1064"/>
      <c r="W38" s="1026"/>
      <c r="X38" s="1026"/>
      <c r="Y38" s="1026"/>
    </row>
    <row r="39" spans="3:25">
      <c r="E39" s="1064"/>
    </row>
    <row r="40" spans="3:25">
      <c r="E40" s="1064"/>
    </row>
    <row r="41" spans="3:25">
      <c r="E41" s="1064"/>
    </row>
    <row r="42" spans="3:25">
      <c r="E42" s="1064"/>
    </row>
    <row r="43" spans="3:25">
      <c r="E43" s="1064"/>
    </row>
    <row r="44" spans="3:25">
      <c r="E44" s="1064"/>
    </row>
    <row r="45" spans="3:25">
      <c r="E45" s="1064"/>
    </row>
    <row r="46" spans="3:25">
      <c r="E46" s="1064"/>
    </row>
    <row r="47" spans="3:25">
      <c r="E47" s="1064"/>
    </row>
    <row r="48" spans="3:25">
      <c r="E48" s="1064"/>
    </row>
    <row r="49" spans="5:5">
      <c r="E49" s="1064"/>
    </row>
    <row r="50" spans="5:5">
      <c r="E50" s="1064"/>
    </row>
    <row r="51" spans="5:5">
      <c r="E51" s="1064"/>
    </row>
    <row r="52" spans="5:5">
      <c r="E52" s="1064"/>
    </row>
    <row r="53" spans="5:5">
      <c r="E53" s="1064"/>
    </row>
    <row r="54" spans="5:5">
      <c r="E54" s="1064"/>
    </row>
    <row r="55" spans="5:5">
      <c r="E55" s="1064"/>
    </row>
    <row r="56" spans="5:5">
      <c r="E56" s="1064"/>
    </row>
    <row r="57" spans="5:5">
      <c r="E57" s="1064"/>
    </row>
    <row r="58" spans="5:5">
      <c r="E58" s="1064"/>
    </row>
    <row r="59" spans="5:5">
      <c r="E59" s="1064"/>
    </row>
    <row r="60" spans="5:5">
      <c r="E60" s="1064"/>
    </row>
    <row r="61" spans="5:5">
      <c r="E61" s="1064"/>
    </row>
    <row r="62" spans="5:5">
      <c r="E62" s="1064"/>
    </row>
    <row r="63" spans="5:5">
      <c r="E63" s="1064"/>
    </row>
    <row r="64" spans="5:5">
      <c r="E64" s="1064"/>
    </row>
    <row r="67" spans="5:5">
      <c r="E67" s="1064"/>
    </row>
    <row r="68" spans="5:5">
      <c r="E68" s="1064"/>
    </row>
    <row r="69" spans="5:5">
      <c r="E69" s="1064"/>
    </row>
    <row r="70" spans="5:5">
      <c r="E70" s="1064"/>
    </row>
    <row r="71" spans="5:5">
      <c r="E71" s="1064"/>
    </row>
    <row r="72" spans="5:5">
      <c r="E72" s="1064"/>
    </row>
    <row r="73" spans="5:5">
      <c r="E73" s="1064"/>
    </row>
    <row r="74" spans="5:5">
      <c r="E74" s="1064"/>
    </row>
    <row r="75" spans="5:5">
      <c r="E75" s="1064"/>
    </row>
    <row r="76" spans="5:5">
      <c r="E76" s="1064"/>
    </row>
    <row r="77" spans="5:5">
      <c r="E77" s="1064"/>
    </row>
    <row r="78" spans="5:5">
      <c r="E78" s="1064"/>
    </row>
    <row r="79" spans="5:5">
      <c r="E79" s="1064"/>
    </row>
    <row r="80" spans="5:5">
      <c r="E80" s="1064"/>
    </row>
    <row r="81" spans="5:5">
      <c r="E81" s="1064"/>
    </row>
  </sheetData>
  <mergeCells count="5">
    <mergeCell ref="B5:D5"/>
    <mergeCell ref="B6:D6"/>
    <mergeCell ref="A8:D8"/>
    <mergeCell ref="A23:D24"/>
    <mergeCell ref="A25:D28"/>
  </mergeCells>
  <conditionalFormatting sqref="A10">
    <cfRule type="containsText" dxfId="4"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sheetPr>
  <dimension ref="A2:R147"/>
  <sheetViews>
    <sheetView workbookViewId="0"/>
  </sheetViews>
  <sheetFormatPr defaultRowHeight="15"/>
  <cols>
    <col min="1" max="1" width="15.7109375" style="141" customWidth="1"/>
    <col min="2" max="2" width="25.85546875" style="141" bestFit="1" customWidth="1"/>
    <col min="3" max="3" width="24.140625" style="141" bestFit="1" customWidth="1"/>
    <col min="4" max="4" width="8" style="141" customWidth="1"/>
    <col min="5" max="5" width="2.140625" style="141" customWidth="1"/>
    <col min="6" max="6" width="11" style="141" bestFit="1" customWidth="1"/>
    <col min="7" max="16" width="9.140625" style="141"/>
    <col min="17" max="17" width="25.85546875" style="141" bestFit="1" customWidth="1"/>
    <col min="18" max="18" width="24.140625" style="141" bestFit="1" customWidth="1"/>
    <col min="19" max="19" width="10.85546875" style="141" customWidth="1"/>
    <col min="20" max="21" width="23.5703125" style="141" customWidth="1"/>
    <col min="22" max="16384" width="9.140625" style="141"/>
  </cols>
  <sheetData>
    <row r="2" spans="1:18">
      <c r="F2" s="1538"/>
    </row>
    <row r="4" spans="1:18" ht="21" customHeight="1"/>
    <row r="5" spans="1:18" ht="15.75" thickBot="1">
      <c r="A5" s="1947" t="s">
        <v>677</v>
      </c>
      <c r="B5" s="1947"/>
      <c r="C5" s="1947"/>
      <c r="P5" s="1972" t="s">
        <v>677</v>
      </c>
      <c r="Q5" s="1972"/>
      <c r="R5" s="1972"/>
    </row>
    <row r="6" spans="1:18" ht="15.75" thickBot="1">
      <c r="A6" s="731"/>
      <c r="B6" s="735" t="s">
        <v>400</v>
      </c>
      <c r="C6" s="736" t="s">
        <v>401</v>
      </c>
      <c r="P6" s="1971" t="s">
        <v>50</v>
      </c>
      <c r="Q6" s="1971"/>
      <c r="R6" s="1971"/>
    </row>
    <row r="7" spans="1:18" ht="15.75" thickBot="1">
      <c r="A7" s="747">
        <v>1890</v>
      </c>
      <c r="B7" s="38">
        <v>0.6345731</v>
      </c>
      <c r="C7" s="37">
        <v>37.890096900000003</v>
      </c>
      <c r="P7" s="743" t="s">
        <v>49</v>
      </c>
      <c r="Q7" s="744" t="str">
        <f>B6</f>
        <v>Western Australia (Tonnes)</v>
      </c>
      <c r="R7" s="1713" t="str">
        <f>C6</f>
        <v>Rest of Australia (Tonnes)</v>
      </c>
    </row>
    <row r="8" spans="1:18">
      <c r="A8" s="747">
        <v>1891</v>
      </c>
      <c r="B8" s="503">
        <v>0.84340189999999993</v>
      </c>
      <c r="C8" s="504">
        <v>37.832368099999997</v>
      </c>
      <c r="P8" s="1815">
        <f>LARGE(A$7:A$149,10)</f>
        <v>2010</v>
      </c>
      <c r="Q8" s="1768">
        <f t="shared" ref="Q8:Q17" si="0">SUMIF($A$7:$A$149,$P8,B$7:B$149)</f>
        <v>182.89955302999999</v>
      </c>
      <c r="R8" s="1770">
        <f t="shared" ref="R8:R17" si="1">SUMIF($A$7:$A$149,$P8,C$7:C$149)</f>
        <v>77.5</v>
      </c>
    </row>
    <row r="9" spans="1:18">
      <c r="A9" s="747">
        <v>1892</v>
      </c>
      <c r="B9" s="38">
        <v>1.6569130000000001</v>
      </c>
      <c r="C9" s="37">
        <v>41.384076999999998</v>
      </c>
      <c r="P9" s="1816">
        <f>LARGE(A$7:A$149,9)</f>
        <v>2011</v>
      </c>
      <c r="Q9" s="1767">
        <f t="shared" si="0"/>
        <v>179.60817457000002</v>
      </c>
      <c r="R9" s="1771">
        <f t="shared" si="1"/>
        <v>78.400000000000006</v>
      </c>
    </row>
    <row r="10" spans="1:18">
      <c r="A10" s="747">
        <v>1893</v>
      </c>
      <c r="B10" s="503">
        <v>3.0855579999999998</v>
      </c>
      <c r="C10" s="504">
        <v>42.217962</v>
      </c>
      <c r="P10" s="1816">
        <f>LARGE(A$7:A$149,8)</f>
        <v>2012</v>
      </c>
      <c r="Q10" s="1769">
        <f t="shared" si="0"/>
        <v>181.28663516</v>
      </c>
      <c r="R10" s="1772">
        <f t="shared" si="1"/>
        <v>69.5</v>
      </c>
    </row>
    <row r="11" spans="1:18">
      <c r="A11" s="747">
        <v>1894</v>
      </c>
      <c r="B11" s="38">
        <v>5.7633179999999999</v>
      </c>
      <c r="C11" s="37">
        <v>49.169462000000003</v>
      </c>
      <c r="P11" s="1816">
        <f>LARGE(A$7:A$149,7)</f>
        <v>2013</v>
      </c>
      <c r="Q11" s="1767">
        <f t="shared" si="0"/>
        <v>187.45436469999999</v>
      </c>
      <c r="R11" s="1771">
        <f t="shared" si="1"/>
        <v>81.7</v>
      </c>
    </row>
    <row r="12" spans="1:18">
      <c r="A12" s="747">
        <v>1895</v>
      </c>
      <c r="B12" s="503">
        <v>6.441872</v>
      </c>
      <c r="C12" s="504">
        <v>49.512628000000007</v>
      </c>
      <c r="P12" s="1816">
        <f>LARGE(A$7:A$149,6)</f>
        <v>2014</v>
      </c>
      <c r="Q12" s="1769">
        <f t="shared" si="0"/>
        <v>194.73649055852593</v>
      </c>
      <c r="R12" s="1772">
        <f t="shared" si="1"/>
        <v>85.5</v>
      </c>
    </row>
    <row r="13" spans="1:18">
      <c r="A13" s="747">
        <v>1896</v>
      </c>
      <c r="B13" s="38">
        <v>7.8261940000000001</v>
      </c>
      <c r="C13" s="37">
        <v>49.497975999999994</v>
      </c>
      <c r="P13" s="1816">
        <f>LARGE(A$7:A$149,5)</f>
        <v>2015</v>
      </c>
      <c r="Q13" s="1767">
        <f t="shared" si="0"/>
        <v>194.46998849169691</v>
      </c>
      <c r="R13" s="1771">
        <f t="shared" si="1"/>
        <v>89.7</v>
      </c>
    </row>
    <row r="14" spans="1:18">
      <c r="A14" s="747">
        <v>1897</v>
      </c>
      <c r="B14" s="503">
        <v>18.2789</v>
      </c>
      <c r="C14" s="504">
        <v>54.138829999999992</v>
      </c>
      <c r="P14" s="1816">
        <f>LARGE(A$7:A$149,4)</f>
        <v>2016</v>
      </c>
      <c r="Q14" s="1769">
        <f t="shared" si="0"/>
        <v>197.02509114887081</v>
      </c>
      <c r="R14" s="1772">
        <f t="shared" si="1"/>
        <v>94.1</v>
      </c>
    </row>
    <row r="15" spans="1:18">
      <c r="A15" s="747">
        <v>1898</v>
      </c>
      <c r="B15" s="38">
        <v>29.50365</v>
      </c>
      <c r="C15" s="37">
        <v>56.012799999999991</v>
      </c>
      <c r="P15" s="1816">
        <f>LARGE(A$7:A$149,3)</f>
        <v>2017</v>
      </c>
      <c r="Q15" s="1767">
        <f t="shared" si="0"/>
        <v>219.84579538151269</v>
      </c>
      <c r="R15" s="1771">
        <f t="shared" si="1"/>
        <v>87.5</v>
      </c>
    </row>
    <row r="16" spans="1:18">
      <c r="A16" s="747">
        <v>1899</v>
      </c>
      <c r="B16" s="503">
        <v>44.892300000000006</v>
      </c>
      <c r="C16" s="504">
        <v>61.525300000000001</v>
      </c>
      <c r="P16" s="1816">
        <f>LARGE(A$7:A$149,2)</f>
        <v>2018</v>
      </c>
      <c r="Q16" s="1769">
        <f t="shared" si="0"/>
        <v>212.11583091331136</v>
      </c>
      <c r="R16" s="1772">
        <f t="shared" si="1"/>
        <v>96.2</v>
      </c>
    </row>
    <row r="17" spans="1:18" ht="15.75" thickBot="1">
      <c r="A17" s="747">
        <v>1900</v>
      </c>
      <c r="B17" s="38">
        <v>41.324719999999999</v>
      </c>
      <c r="C17" s="37">
        <v>58.101740000000007</v>
      </c>
      <c r="P17" s="1817">
        <f>LARGE(A$7:A$149,1)</f>
        <v>2019</v>
      </c>
      <c r="Q17" s="1773">
        <f t="shared" si="0"/>
        <v>218.82682638325136</v>
      </c>
      <c r="R17" s="1774">
        <f t="shared" si="1"/>
        <v>105.4</v>
      </c>
    </row>
    <row r="18" spans="1:18">
      <c r="A18" s="747">
        <v>1901</v>
      </c>
      <c r="B18" s="503">
        <v>49.205489999999998</v>
      </c>
      <c r="C18" s="504">
        <v>53.436310000000006</v>
      </c>
    </row>
    <row r="19" spans="1:18">
      <c r="A19" s="747">
        <v>1902</v>
      </c>
      <c r="B19" s="38">
        <v>55.71705</v>
      </c>
      <c r="C19" s="37">
        <v>52.741749999999996</v>
      </c>
    </row>
    <row r="20" spans="1:18">
      <c r="A20" s="747">
        <v>1903</v>
      </c>
      <c r="B20" s="503">
        <v>61.036239999999999</v>
      </c>
      <c r="C20" s="504">
        <v>58.338259999999998</v>
      </c>
    </row>
    <row r="21" spans="1:18">
      <c r="A21" s="747">
        <v>1904</v>
      </c>
      <c r="B21" s="38">
        <v>59.52693</v>
      </c>
      <c r="C21" s="37">
        <v>57.158269999999995</v>
      </c>
    </row>
    <row r="22" spans="1:18">
      <c r="A22" s="747">
        <v>1905</v>
      </c>
      <c r="B22" s="503">
        <v>57.250809999999994</v>
      </c>
      <c r="C22" s="504">
        <v>56.770389999999999</v>
      </c>
    </row>
    <row r="23" spans="1:18">
      <c r="A23" s="747">
        <v>1906</v>
      </c>
      <c r="B23" s="38">
        <v>54.004820000000002</v>
      </c>
      <c r="C23" s="37">
        <v>53.096979999999995</v>
      </c>
    </row>
    <row r="24" spans="1:18">
      <c r="A24" s="747">
        <v>1907</v>
      </c>
      <c r="B24" s="503">
        <v>52.00479</v>
      </c>
      <c r="C24" s="504">
        <v>46.95617</v>
      </c>
    </row>
    <row r="25" spans="1:18">
      <c r="A25" s="747">
        <v>1908</v>
      </c>
      <c r="B25" s="38">
        <v>49.031699999999994</v>
      </c>
      <c r="C25" s="37">
        <v>46.601350000000004</v>
      </c>
    </row>
    <row r="26" spans="1:18">
      <c r="A26" s="747">
        <v>1909</v>
      </c>
      <c r="B26" s="503">
        <v>49.031699999999994</v>
      </c>
      <c r="C26" s="504">
        <v>43.31427</v>
      </c>
    </row>
    <row r="27" spans="1:18">
      <c r="A27" s="747">
        <v>1910</v>
      </c>
      <c r="B27" s="38">
        <v>44.236339999999998</v>
      </c>
      <c r="C27" s="37">
        <v>40.393820000000005</v>
      </c>
    </row>
    <row r="28" spans="1:18">
      <c r="A28" s="747">
        <v>1911</v>
      </c>
      <c r="B28" s="503">
        <v>41.647150000000003</v>
      </c>
      <c r="C28" s="504">
        <v>35.615839999999999</v>
      </c>
    </row>
    <row r="29" spans="1:18">
      <c r="A29" s="747">
        <v>1912</v>
      </c>
      <c r="B29" s="38">
        <v>39.434379999999997</v>
      </c>
      <c r="C29" s="37">
        <v>32.910220000000002</v>
      </c>
    </row>
    <row r="30" spans="1:18">
      <c r="A30" s="747">
        <v>1913</v>
      </c>
      <c r="B30" s="503">
        <v>40.406179999999999</v>
      </c>
      <c r="C30" s="504">
        <v>28.25262</v>
      </c>
    </row>
    <row r="31" spans="1:18">
      <c r="A31" s="747">
        <v>1914</v>
      </c>
      <c r="B31" s="38">
        <v>37.767060000000001</v>
      </c>
      <c r="C31" s="37">
        <v>26.1569</v>
      </c>
    </row>
    <row r="32" spans="1:18">
      <c r="A32" s="747">
        <v>1915</v>
      </c>
      <c r="B32" s="503">
        <v>37.184160000000006</v>
      </c>
      <c r="C32" s="504">
        <v>23.371409999999997</v>
      </c>
    </row>
    <row r="33" spans="1:3">
      <c r="A33" s="747">
        <v>1916</v>
      </c>
      <c r="B33" s="38">
        <v>32.090290000000003</v>
      </c>
      <c r="C33" s="37">
        <v>19.722379999999994</v>
      </c>
    </row>
    <row r="34" spans="1:3">
      <c r="A34" s="747">
        <v>1917</v>
      </c>
      <c r="B34" s="503">
        <v>29.77908</v>
      </c>
      <c r="C34" s="504">
        <v>15.512810000000002</v>
      </c>
    </row>
    <row r="35" spans="1:3">
      <c r="A35" s="747">
        <v>1918</v>
      </c>
      <c r="B35" s="38">
        <v>26.625990000000002</v>
      </c>
      <c r="C35" s="37">
        <v>12.974579999999996</v>
      </c>
    </row>
    <row r="36" spans="1:3">
      <c r="A36" s="747">
        <v>1919</v>
      </c>
      <c r="B36" s="503">
        <v>21.40588</v>
      </c>
      <c r="C36" s="504">
        <v>11.815799999999999</v>
      </c>
    </row>
    <row r="37" spans="1:3">
      <c r="A37" s="747">
        <v>1920</v>
      </c>
      <c r="B37" s="38">
        <v>19.491289999999999</v>
      </c>
      <c r="C37" s="37">
        <v>9.8596299999999992</v>
      </c>
    </row>
    <row r="38" spans="1:3">
      <c r="A38" s="747">
        <v>1921</v>
      </c>
      <c r="B38" s="503">
        <v>16.346629999999998</v>
      </c>
      <c r="C38" s="504">
        <v>7.2299600000000019</v>
      </c>
    </row>
    <row r="39" spans="1:3">
      <c r="A39" s="747">
        <v>1922</v>
      </c>
      <c r="B39" s="38">
        <v>16.68824</v>
      </c>
      <c r="C39" s="37">
        <v>6.8094999999999999</v>
      </c>
    </row>
    <row r="40" spans="1:3">
      <c r="A40" s="747">
        <v>1923</v>
      </c>
      <c r="B40" s="503">
        <v>15.41714</v>
      </c>
      <c r="C40" s="504">
        <v>6.7370599999999996</v>
      </c>
    </row>
    <row r="41" spans="1:3">
      <c r="A41" s="747">
        <v>1924</v>
      </c>
      <c r="B41" s="38">
        <v>14.251860000000001</v>
      </c>
      <c r="C41" s="37">
        <v>6.7721300000000006</v>
      </c>
    </row>
    <row r="42" spans="1:3">
      <c r="A42" s="747">
        <v>1925</v>
      </c>
      <c r="B42" s="503">
        <v>13.51549</v>
      </c>
      <c r="C42" s="504">
        <v>3.8771999999999984</v>
      </c>
    </row>
    <row r="43" spans="1:3">
      <c r="A43" s="747">
        <v>1926</v>
      </c>
      <c r="B43" s="38">
        <v>13.322559999999999</v>
      </c>
      <c r="C43" s="37">
        <v>2.8921799999999998</v>
      </c>
    </row>
    <row r="44" spans="1:3">
      <c r="A44" s="747">
        <v>1927</v>
      </c>
      <c r="B44" s="503">
        <v>12.64264</v>
      </c>
      <c r="C44" s="504">
        <v>3.1669800000000006</v>
      </c>
    </row>
    <row r="45" spans="1:3">
      <c r="A45" s="747">
        <v>1928</v>
      </c>
      <c r="B45" s="38">
        <v>12.19501</v>
      </c>
      <c r="C45" s="37">
        <v>2.0400900000000011</v>
      </c>
    </row>
    <row r="46" spans="1:3">
      <c r="A46" s="747">
        <v>1929</v>
      </c>
      <c r="B46" s="503">
        <v>11.57249</v>
      </c>
      <c r="C46" s="504">
        <v>1.7136700000000005</v>
      </c>
    </row>
    <row r="47" spans="1:3">
      <c r="A47" s="747">
        <v>1930</v>
      </c>
      <c r="B47" s="38">
        <v>13.05622</v>
      </c>
      <c r="C47" s="37">
        <v>1.4921799999999994</v>
      </c>
    </row>
    <row r="48" spans="1:3">
      <c r="A48" s="747">
        <v>1931</v>
      </c>
      <c r="B48" s="503">
        <v>16.113</v>
      </c>
      <c r="C48" s="504">
        <v>2.3973900000000015</v>
      </c>
    </row>
    <row r="49" spans="1:3">
      <c r="A49" s="747">
        <v>1932</v>
      </c>
      <c r="B49" s="38">
        <v>18.644069999999999</v>
      </c>
      <c r="C49" s="37">
        <v>3.568010000000001</v>
      </c>
    </row>
    <row r="50" spans="1:3">
      <c r="A50" s="747">
        <v>1933</v>
      </c>
      <c r="B50" s="503">
        <v>19.810680000000001</v>
      </c>
      <c r="C50" s="504">
        <v>6.0135099999999966</v>
      </c>
    </row>
    <row r="51" spans="1:3">
      <c r="A51" s="747">
        <v>1934</v>
      </c>
      <c r="B51" s="38">
        <v>19.90222</v>
      </c>
      <c r="C51" s="37">
        <v>7.6743999999999986</v>
      </c>
    </row>
    <row r="52" spans="1:3">
      <c r="A52" s="747">
        <v>1935</v>
      </c>
      <c r="B52" s="503">
        <v>20.09751</v>
      </c>
      <c r="C52" s="504">
        <v>8.2219499999999996</v>
      </c>
    </row>
    <row r="53" spans="1:3">
      <c r="A53" s="747">
        <v>1936</v>
      </c>
      <c r="B53" s="38">
        <v>26.513279999999998</v>
      </c>
      <c r="C53" s="37">
        <v>10.181080000000005</v>
      </c>
    </row>
    <row r="54" spans="1:3">
      <c r="A54" s="747">
        <v>1937</v>
      </c>
      <c r="B54" s="503">
        <v>31.330179999999999</v>
      </c>
      <c r="C54" s="504">
        <v>11.759949999999996</v>
      </c>
    </row>
    <row r="55" spans="1:3">
      <c r="A55" s="747">
        <v>1938</v>
      </c>
      <c r="B55" s="38">
        <v>36.482810000000001</v>
      </c>
      <c r="C55" s="37">
        <v>13.034979999999997</v>
      </c>
    </row>
    <row r="56" spans="1:3">
      <c r="A56" s="747">
        <v>1939</v>
      </c>
      <c r="B56" s="503">
        <v>36.959809999999997</v>
      </c>
      <c r="C56" s="504">
        <v>14.227080000000001</v>
      </c>
    </row>
    <row r="57" spans="1:3">
      <c r="A57" s="747">
        <v>1940</v>
      </c>
      <c r="B57" s="38">
        <v>35.919629999999998</v>
      </c>
      <c r="C57" s="37">
        <v>15.214450000000006</v>
      </c>
    </row>
    <row r="58" spans="1:3">
      <c r="A58" s="747">
        <v>1941</v>
      </c>
      <c r="B58" s="503">
        <v>34.384169999999997</v>
      </c>
      <c r="C58" s="504">
        <v>12.168340000000008</v>
      </c>
    </row>
    <row r="59" spans="1:3">
      <c r="A59" s="747">
        <v>1942</v>
      </c>
      <c r="B59" s="38">
        <v>26.306450000000002</v>
      </c>
      <c r="C59" s="37">
        <v>9.5803399999999961</v>
      </c>
    </row>
    <row r="60" spans="1:3">
      <c r="A60" s="747">
        <v>1943</v>
      </c>
      <c r="B60" s="503">
        <v>16.539189999999998</v>
      </c>
      <c r="C60" s="504">
        <v>6.8282000000000025</v>
      </c>
    </row>
    <row r="61" spans="1:3">
      <c r="A61" s="747">
        <v>1944</v>
      </c>
      <c r="B61" s="38">
        <v>14.69914</v>
      </c>
      <c r="C61" s="37">
        <v>5.7317099999999996</v>
      </c>
    </row>
    <row r="62" spans="1:3">
      <c r="A62" s="747">
        <v>1945</v>
      </c>
      <c r="B62" s="503">
        <v>14.61572</v>
      </c>
      <c r="C62" s="504">
        <v>5.8258900000000011</v>
      </c>
    </row>
    <row r="63" spans="1:3">
      <c r="A63" s="747">
        <v>1946</v>
      </c>
      <c r="B63" s="38">
        <v>19.240839999999999</v>
      </c>
      <c r="C63" s="37">
        <v>6.4033499999999997</v>
      </c>
    </row>
    <row r="64" spans="1:3">
      <c r="A64" s="747">
        <v>1947</v>
      </c>
      <c r="B64" s="503">
        <v>21.82694</v>
      </c>
      <c r="C64" s="504">
        <v>7.3373600000000003</v>
      </c>
    </row>
    <row r="65" spans="1:3">
      <c r="A65" s="747">
        <v>1948</v>
      </c>
      <c r="B65" s="38">
        <v>20.61354</v>
      </c>
      <c r="C65" s="37">
        <v>6.9288099999999986</v>
      </c>
    </row>
    <row r="66" spans="1:3">
      <c r="A66" s="747">
        <v>1949</v>
      </c>
      <c r="B66" s="503">
        <v>20.203949999999999</v>
      </c>
      <c r="C66" s="504">
        <v>7.4488400000000006</v>
      </c>
    </row>
    <row r="67" spans="1:3">
      <c r="A67" s="747">
        <v>1950</v>
      </c>
      <c r="B67" s="38">
        <v>18.930610000000001</v>
      </c>
      <c r="C67" s="37">
        <v>8.1150099999999981</v>
      </c>
    </row>
    <row r="68" spans="1:3">
      <c r="A68" s="747">
        <v>1951</v>
      </c>
      <c r="B68" s="503">
        <v>20.162669999999999</v>
      </c>
      <c r="C68" s="504">
        <v>7.6920800000000007</v>
      </c>
    </row>
    <row r="69" spans="1:3">
      <c r="A69" s="747">
        <v>1952</v>
      </c>
      <c r="B69" s="38">
        <v>22.62678</v>
      </c>
      <c r="C69" s="37">
        <v>7.8681599999999996</v>
      </c>
    </row>
    <row r="70" spans="1:3">
      <c r="A70" s="747">
        <v>1953</v>
      </c>
      <c r="B70" s="503">
        <v>25.608460000000001</v>
      </c>
      <c r="C70" s="504">
        <v>7.8334100000000007</v>
      </c>
    </row>
    <row r="71" spans="1:3">
      <c r="A71" s="747">
        <v>1954</v>
      </c>
      <c r="B71" s="38">
        <v>26.810950000000002</v>
      </c>
      <c r="C71" s="37">
        <v>7.9547100000000022</v>
      </c>
    </row>
    <row r="72" spans="1:3">
      <c r="A72" s="747">
        <v>1955</v>
      </c>
      <c r="B72" s="503">
        <v>25.950430000000001</v>
      </c>
      <c r="C72" s="504">
        <v>6.678329999999999</v>
      </c>
    </row>
    <row r="73" spans="1:3">
      <c r="A73" s="747">
        <v>1956</v>
      </c>
      <c r="B73" s="38">
        <v>25.306330000000003</v>
      </c>
      <c r="C73" s="37">
        <v>6.7246799999999922</v>
      </c>
    </row>
    <row r="74" spans="1:3">
      <c r="A74" s="747">
        <v>1957</v>
      </c>
      <c r="B74" s="503">
        <v>26.42989</v>
      </c>
      <c r="C74" s="504">
        <v>7.2844400000000036</v>
      </c>
    </row>
    <row r="75" spans="1:3">
      <c r="A75" s="747">
        <v>1958</v>
      </c>
      <c r="B75" s="38">
        <v>27.209910000000001</v>
      </c>
      <c r="C75" s="37">
        <v>7.1276999999999973</v>
      </c>
    </row>
    <row r="76" spans="1:3">
      <c r="A76" s="747">
        <v>1959</v>
      </c>
      <c r="B76" s="503">
        <v>26.779130000000002</v>
      </c>
      <c r="C76" s="504">
        <v>6.9713700000000003</v>
      </c>
    </row>
    <row r="77" spans="1:3">
      <c r="A77" s="747">
        <v>1960</v>
      </c>
      <c r="B77" s="38">
        <v>27.058979999999998</v>
      </c>
      <c r="C77" s="37">
        <v>6.7414500000000004</v>
      </c>
    </row>
    <row r="78" spans="1:3">
      <c r="A78" s="747">
        <v>1961</v>
      </c>
      <c r="B78" s="503">
        <v>27.080490000000001</v>
      </c>
      <c r="C78" s="504">
        <v>6.3959299999999963</v>
      </c>
    </row>
    <row r="79" spans="1:3">
      <c r="A79" s="747">
        <v>1962</v>
      </c>
      <c r="B79" s="38">
        <v>26.750209999999999</v>
      </c>
      <c r="C79" s="37">
        <v>6.4943300000000015</v>
      </c>
    </row>
    <row r="80" spans="1:3">
      <c r="A80" s="747">
        <v>1963</v>
      </c>
      <c r="B80" s="503">
        <v>24.971730000000001</v>
      </c>
      <c r="C80" s="504">
        <v>6.8772999999999982</v>
      </c>
    </row>
    <row r="81" spans="1:3">
      <c r="A81" s="747">
        <v>1964</v>
      </c>
      <c r="B81" s="38">
        <v>22.25395</v>
      </c>
      <c r="C81" s="37">
        <v>7.7246400000000008</v>
      </c>
    </row>
    <row r="82" spans="1:3">
      <c r="A82" s="747">
        <v>1965</v>
      </c>
      <c r="B82" s="503">
        <v>20.414930000000002</v>
      </c>
      <c r="C82" s="504">
        <v>6.8828199999999988</v>
      </c>
    </row>
    <row r="83" spans="1:3">
      <c r="A83" s="747">
        <v>1966</v>
      </c>
      <c r="B83" s="38">
        <v>19.503490000000003</v>
      </c>
      <c r="C83" s="37">
        <v>9.0179299999999962</v>
      </c>
    </row>
    <row r="84" spans="1:3">
      <c r="A84" s="747">
        <v>1967</v>
      </c>
      <c r="B84" s="503">
        <v>17.845759999999999</v>
      </c>
      <c r="C84" s="504">
        <v>7.2029899999999998</v>
      </c>
    </row>
    <row r="85" spans="1:3">
      <c r="A85" s="747">
        <v>1968</v>
      </c>
      <c r="B85" s="38">
        <v>16.047840000000001</v>
      </c>
      <c r="C85" s="37">
        <v>8.2683</v>
      </c>
    </row>
    <row r="86" spans="1:3">
      <c r="A86" s="747">
        <v>1969</v>
      </c>
      <c r="B86" s="503">
        <v>13.68755</v>
      </c>
      <c r="C86" s="504">
        <v>8.1438199999999998</v>
      </c>
    </row>
    <row r="87" spans="1:3">
      <c r="A87" s="747">
        <v>1970</v>
      </c>
      <c r="B87" s="38">
        <v>10.89833</v>
      </c>
      <c r="C87" s="37">
        <v>8.3834</v>
      </c>
    </row>
    <row r="88" spans="1:3">
      <c r="A88" s="747">
        <v>1971</v>
      </c>
      <c r="B88" s="503">
        <v>10.73376</v>
      </c>
      <c r="C88" s="504">
        <v>10.184239999999999</v>
      </c>
    </row>
    <row r="89" spans="1:3">
      <c r="A89" s="747">
        <v>1972</v>
      </c>
      <c r="B89" s="38">
        <v>10.47786</v>
      </c>
      <c r="C89" s="37">
        <v>12.883140000000001</v>
      </c>
    </row>
    <row r="90" spans="1:3">
      <c r="A90" s="747">
        <v>1973</v>
      </c>
      <c r="B90" s="503">
        <v>8.5868889999999993</v>
      </c>
      <c r="C90" s="504">
        <v>8.5871110000000002</v>
      </c>
    </row>
    <row r="91" spans="1:3">
      <c r="A91" s="747">
        <v>1974</v>
      </c>
      <c r="B91" s="38">
        <v>6.5834330000000003</v>
      </c>
      <c r="C91" s="37">
        <v>9.3605669999999996</v>
      </c>
    </row>
    <row r="92" spans="1:3">
      <c r="A92" s="747">
        <v>1975</v>
      </c>
      <c r="B92" s="503">
        <v>7.1049750000000005</v>
      </c>
      <c r="C92" s="504">
        <v>9.2810249999999996</v>
      </c>
    </row>
    <row r="93" spans="1:3">
      <c r="A93" s="747">
        <v>1976</v>
      </c>
      <c r="B93" s="38">
        <v>7.0914160000000006</v>
      </c>
      <c r="C93" s="37">
        <v>8.5455839999999998</v>
      </c>
    </row>
    <row r="94" spans="1:3">
      <c r="A94" s="747">
        <v>1977</v>
      </c>
      <c r="B94" s="503">
        <v>10.74737</v>
      </c>
      <c r="C94" s="504">
        <v>8.6696300000000015</v>
      </c>
    </row>
    <row r="95" spans="1:3">
      <c r="A95" s="747">
        <v>1978</v>
      </c>
      <c r="B95" s="38">
        <v>13.332420000000001</v>
      </c>
      <c r="C95" s="37">
        <v>6.8095799999999986</v>
      </c>
    </row>
    <row r="96" spans="1:3">
      <c r="A96" s="747">
        <v>1979</v>
      </c>
      <c r="B96" s="503">
        <v>11.581989999999999</v>
      </c>
      <c r="C96" s="504">
        <v>8.9840099999999996</v>
      </c>
    </row>
    <row r="97" spans="1:3">
      <c r="A97" s="747">
        <v>1980</v>
      </c>
      <c r="B97" s="38">
        <v>11.232940000000001</v>
      </c>
      <c r="C97" s="37">
        <v>5.8020599999999991</v>
      </c>
    </row>
    <row r="98" spans="1:3">
      <c r="A98" s="747">
        <v>1981</v>
      </c>
      <c r="B98" s="503">
        <v>12.046629999999999</v>
      </c>
      <c r="C98" s="504">
        <v>6.3273700000000002</v>
      </c>
    </row>
    <row r="99" spans="1:3">
      <c r="A99" s="747">
        <v>1982</v>
      </c>
      <c r="B99" s="38">
        <v>20.75675</v>
      </c>
      <c r="C99" s="37">
        <v>6.2042499999999983</v>
      </c>
    </row>
    <row r="100" spans="1:3">
      <c r="A100" s="747">
        <v>1983</v>
      </c>
      <c r="B100" s="503">
        <v>23.88092</v>
      </c>
      <c r="C100" s="504">
        <v>6.7100800000000014</v>
      </c>
    </row>
    <row r="101" spans="1:3">
      <c r="A101" s="747">
        <v>1984</v>
      </c>
      <c r="B101" s="38">
        <v>32.110979999999998</v>
      </c>
      <c r="C101" s="37">
        <v>8.1980199999999996</v>
      </c>
    </row>
    <row r="102" spans="1:3">
      <c r="A102" s="747">
        <v>1985</v>
      </c>
      <c r="B102" s="503">
        <v>41.195999999999998</v>
      </c>
      <c r="C102" s="504">
        <v>17.258720000000004</v>
      </c>
    </row>
    <row r="103" spans="1:3">
      <c r="A103" s="747">
        <v>1986</v>
      </c>
      <c r="B103" s="38">
        <v>53.639470000000003</v>
      </c>
      <c r="C103" s="37">
        <v>21.439529999999991</v>
      </c>
    </row>
    <row r="104" spans="1:3">
      <c r="A104" s="747">
        <v>1987</v>
      </c>
      <c r="B104" s="503">
        <v>79.164000000000001</v>
      </c>
      <c r="C104" s="504">
        <v>32.257660000000001</v>
      </c>
    </row>
    <row r="105" spans="1:3">
      <c r="A105" s="747">
        <v>1988</v>
      </c>
      <c r="B105" s="38">
        <v>108.133</v>
      </c>
      <c r="C105" s="37">
        <v>46.432700000000011</v>
      </c>
    </row>
    <row r="106" spans="1:3">
      <c r="A106" s="747">
        <v>1989</v>
      </c>
      <c r="B106" s="503">
        <v>150.459</v>
      </c>
      <c r="C106" s="504">
        <v>56.530500000000018</v>
      </c>
    </row>
    <row r="107" spans="1:3">
      <c r="A107" s="747">
        <v>1990</v>
      </c>
      <c r="B107" s="38">
        <v>187.744</v>
      </c>
      <c r="C107" s="37">
        <v>65.951999999999998</v>
      </c>
    </row>
    <row r="108" spans="1:3">
      <c r="A108" s="747">
        <v>1991</v>
      </c>
      <c r="B108" s="503">
        <v>184.41</v>
      </c>
      <c r="C108" s="504">
        <v>55.257999999999981</v>
      </c>
    </row>
    <row r="109" spans="1:3">
      <c r="A109" s="747">
        <v>1992</v>
      </c>
      <c r="B109" s="38">
        <v>182.45</v>
      </c>
      <c r="C109" s="37">
        <v>58.68</v>
      </c>
    </row>
    <row r="110" spans="1:3">
      <c r="A110" s="747">
        <v>1993</v>
      </c>
      <c r="B110" s="503">
        <v>182.154</v>
      </c>
      <c r="C110" s="504">
        <v>63.709000000000003</v>
      </c>
    </row>
    <row r="111" spans="1:3">
      <c r="A111" s="747">
        <v>1994</v>
      </c>
      <c r="B111" s="38">
        <v>192.953</v>
      </c>
      <c r="C111" s="37">
        <v>62.046999999999997</v>
      </c>
    </row>
    <row r="112" spans="1:3">
      <c r="A112" s="747">
        <v>1995</v>
      </c>
      <c r="B112" s="503">
        <v>196.791</v>
      </c>
      <c r="C112" s="504">
        <v>56.308999999999997</v>
      </c>
    </row>
    <row r="113" spans="1:12">
      <c r="A113" s="747">
        <v>1996</v>
      </c>
      <c r="B113" s="38">
        <v>228.005</v>
      </c>
      <c r="C113" s="37">
        <v>60.875</v>
      </c>
    </row>
    <row r="114" spans="1:12">
      <c r="A114" s="747">
        <v>1997</v>
      </c>
      <c r="B114" s="503">
        <v>238.33535699999999</v>
      </c>
      <c r="C114" s="504">
        <v>75.114643000000001</v>
      </c>
    </row>
    <row r="115" spans="1:12">
      <c r="A115" s="747">
        <v>1998</v>
      </c>
      <c r="B115" s="38">
        <v>231.375</v>
      </c>
      <c r="C115" s="37">
        <v>78.225000000000023</v>
      </c>
    </row>
    <row r="116" spans="1:12">
      <c r="A116" s="747">
        <v>1999</v>
      </c>
      <c r="B116" s="503">
        <f>SUMIF('Gold - Q&amp;V'!D$8:D$508, A116,'Gold - Q&amp;V'!B$8:B$508)</f>
        <v>211.70000000000002</v>
      </c>
      <c r="C116" s="504">
        <v>87.765999999999991</v>
      </c>
    </row>
    <row r="117" spans="1:12">
      <c r="A117" s="747">
        <v>2000</v>
      </c>
      <c r="B117" s="38">
        <f>SUMIF('Gold - Q&amp;V'!D$8:D$508, A117,'Gold - Q&amp;V'!B$8:B$508)</f>
        <v>199.62</v>
      </c>
      <c r="C117" s="37">
        <v>96.00800000000001</v>
      </c>
    </row>
    <row r="118" spans="1:12">
      <c r="A118" s="747">
        <v>2001</v>
      </c>
      <c r="B118" s="503">
        <f>SUMIF('Gold - Q&amp;V'!D$8:D$508, A118,'Gold - Q&amp;V'!B$8:B$508)</f>
        <v>192.20000000000002</v>
      </c>
      <c r="C118" s="504">
        <v>92.826310999999976</v>
      </c>
    </row>
    <row r="119" spans="1:12">
      <c r="A119" s="747">
        <v>2002</v>
      </c>
      <c r="B119" s="38">
        <f>SUMIF('Gold - Q&amp;V'!D$8:D$508, A119,'Gold - Q&amp;V'!B$8:B$508)</f>
        <v>188.75</v>
      </c>
      <c r="C119" s="37">
        <v>77.281331999999992</v>
      </c>
    </row>
    <row r="120" spans="1:12">
      <c r="A120" s="747">
        <v>2003</v>
      </c>
      <c r="B120" s="503">
        <f>SUMIF('Gold - Q&amp;V'!D$8:D$508, A120,'Gold - Q&amp;V'!B$8:B$508)</f>
        <v>187.59</v>
      </c>
      <c r="C120" s="504">
        <v>96.716024000000004</v>
      </c>
    </row>
    <row r="121" spans="1:12">
      <c r="A121" s="747">
        <v>2004</v>
      </c>
      <c r="B121" s="38">
        <f>SUMIF('Gold - Q&amp;V'!D$8:D$508, A121,'Gold - Q&amp;V'!B$8:B$508)</f>
        <v>163.88</v>
      </c>
      <c r="C121" s="37">
        <v>94.578000000000003</v>
      </c>
    </row>
    <row r="122" spans="1:12">
      <c r="A122" s="747">
        <v>2005</v>
      </c>
      <c r="B122" s="503">
        <f>SUMIF('Gold - Q&amp;V'!D$8:D$508, A122,'Gold - Q&amp;V'!B$8:B$508)</f>
        <v>167.28532349</v>
      </c>
      <c r="C122" s="504">
        <v>92.165999999999997</v>
      </c>
    </row>
    <row r="123" spans="1:12">
      <c r="A123" s="747">
        <v>2006</v>
      </c>
      <c r="B123" s="38">
        <f>SUMIF('Gold - Q&amp;V'!D$8:D$508, A123,'Gold - Q&amp;V'!B$8:B$508)</f>
        <v>162.96909348999998</v>
      </c>
      <c r="C123" s="37">
        <v>80.349999999999994</v>
      </c>
    </row>
    <row r="124" spans="1:12">
      <c r="A124" s="747">
        <v>2007</v>
      </c>
      <c r="B124" s="503">
        <f>SUMIF('Gold - Q&amp;V'!D$8:D$508, A124,'Gold - Q&amp;V'!B$8:B$508)</f>
        <v>151.44883905999998</v>
      </c>
      <c r="C124" s="504">
        <v>92.31</v>
      </c>
      <c r="L124" s="407"/>
    </row>
    <row r="125" spans="1:12">
      <c r="A125" s="747">
        <v>2008</v>
      </c>
      <c r="B125" s="38">
        <f>SUMIF('Gold - Q&amp;V'!D$8:D$508, A125,'Gold - Q&amp;V'!B$8:B$508)</f>
        <v>132.07425353000002</v>
      </c>
      <c r="C125" s="37">
        <v>83.175999999999988</v>
      </c>
    </row>
    <row r="126" spans="1:12">
      <c r="A126" s="747">
        <v>2009</v>
      </c>
      <c r="B126" s="503">
        <f>SUMIF('Gold - Q&amp;V'!D$8:D$508, A126,'Gold - Q&amp;V'!B$8:B$508)</f>
        <v>146.42791006000002</v>
      </c>
      <c r="C126" s="504">
        <v>71.5</v>
      </c>
    </row>
    <row r="127" spans="1:12">
      <c r="A127" s="747">
        <v>2010</v>
      </c>
      <c r="B127" s="38">
        <f>SUMIF('Gold - Q&amp;V'!D$8:D$508, A127,'Gold - Q&amp;V'!B$8:B$508)</f>
        <v>182.89955302999999</v>
      </c>
      <c r="C127" s="37">
        <v>77.5</v>
      </c>
    </row>
    <row r="128" spans="1:12">
      <c r="A128" s="747">
        <v>2011</v>
      </c>
      <c r="B128" s="503">
        <f>SUMIF('Gold - Q&amp;V'!D$8:D$508, A128,'Gold - Q&amp;V'!B$8:B$508)</f>
        <v>179.60817457000002</v>
      </c>
      <c r="C128" s="504">
        <v>78.400000000000006</v>
      </c>
    </row>
    <row r="129" spans="1:6">
      <c r="A129" s="747">
        <v>2012</v>
      </c>
      <c r="B129" s="38">
        <f>SUMIF('Gold - Q&amp;V'!D$8:D$508, A129,'Gold - Q&amp;V'!B$8:B$508)</f>
        <v>181.28663516</v>
      </c>
      <c r="C129" s="37">
        <v>69.5</v>
      </c>
    </row>
    <row r="130" spans="1:6">
      <c r="A130" s="747">
        <v>2013</v>
      </c>
      <c r="B130" s="503">
        <f>SUMIF('Gold - Q&amp;V'!D$8:D$508, A130,'Gold - Q&amp;V'!B$8:B$508)</f>
        <v>187.45436469999999</v>
      </c>
      <c r="C130" s="504">
        <v>81.7</v>
      </c>
    </row>
    <row r="131" spans="1:6">
      <c r="A131" s="747">
        <v>2014</v>
      </c>
      <c r="B131" s="38">
        <f>SUMIF('Gold - Q&amp;V'!D$8:D$508, A131,'Gold - Q&amp;V'!B$8:B$508)</f>
        <v>194.73649055852593</v>
      </c>
      <c r="C131" s="37">
        <v>85.5</v>
      </c>
    </row>
    <row r="132" spans="1:6">
      <c r="A132" s="747">
        <v>2015</v>
      </c>
      <c r="B132" s="503">
        <f>SUMIF('Gold - Q&amp;V'!D$8:D$508, A132,'Gold - Q&amp;V'!B$8:B$508)</f>
        <v>194.46998849169691</v>
      </c>
      <c r="C132" s="504">
        <v>89.7</v>
      </c>
      <c r="F132" s="407"/>
    </row>
    <row r="133" spans="1:6">
      <c r="A133" s="747">
        <v>2016</v>
      </c>
      <c r="B133" s="38">
        <f>SUMIF('Gold - Q&amp;V'!D$8:D$508, A133,'Gold - Q&amp;V'!B$8:B$508)</f>
        <v>197.02509114887081</v>
      </c>
      <c r="C133" s="37">
        <v>94.1</v>
      </c>
    </row>
    <row r="134" spans="1:6">
      <c r="A134" s="747">
        <v>2017</v>
      </c>
      <c r="B134" s="503">
        <f>SUMIF('Gold - Q&amp;V'!D$8:D$508, A134,'Gold - Q&amp;V'!B$8:B$508)</f>
        <v>219.84579538151269</v>
      </c>
      <c r="C134" s="504">
        <v>87.5</v>
      </c>
    </row>
    <row r="135" spans="1:6">
      <c r="A135" s="747">
        <v>2018</v>
      </c>
      <c r="B135" s="38">
        <f>SUMIF('Gold - Q&amp;V'!D$8:D$508, A135,'Gold - Q&amp;V'!B$8:B$508)</f>
        <v>212.11583091331136</v>
      </c>
      <c r="C135" s="37">
        <v>96.2</v>
      </c>
    </row>
    <row r="136" spans="1:6" ht="15.75" thickBot="1">
      <c r="A136" s="747">
        <v>2019</v>
      </c>
      <c r="B136" s="503">
        <f>SUMIF('Gold - Q&amp;V'!D$8:D$508, A136,'Gold - Q&amp;V'!B$8:B$508)</f>
        <v>218.82682638325136</v>
      </c>
      <c r="C136" s="504">
        <v>105.4</v>
      </c>
    </row>
    <row r="137" spans="1:6">
      <c r="A137" s="1639"/>
      <c r="B137" s="1639"/>
      <c r="C137" s="1639"/>
    </row>
    <row r="140" spans="1:6">
      <c r="A140" s="1083"/>
      <c r="B140" s="1083"/>
      <c r="C140" s="1083"/>
    </row>
    <row r="141" spans="1:6">
      <c r="A141" s="1083"/>
      <c r="B141" s="1083"/>
      <c r="C141" s="1083"/>
    </row>
    <row r="142" spans="1:6">
      <c r="A142" s="1083"/>
      <c r="B142" s="1083"/>
      <c r="C142" s="1083"/>
    </row>
    <row r="143" spans="1:6">
      <c r="A143" s="1083"/>
      <c r="B143" s="1083"/>
      <c r="C143" s="1083"/>
    </row>
    <row r="144" spans="1:6">
      <c r="A144" s="1083"/>
      <c r="B144" s="1083"/>
      <c r="C144" s="1083"/>
    </row>
    <row r="145" spans="1:3">
      <c r="A145" s="1083"/>
      <c r="B145" s="1083"/>
      <c r="C145" s="1083"/>
    </row>
    <row r="146" spans="1:3">
      <c r="A146" s="1083"/>
      <c r="B146" s="1083"/>
      <c r="C146" s="1083"/>
    </row>
    <row r="147" spans="1:3">
      <c r="A147" s="1083"/>
      <c r="B147" s="1083"/>
      <c r="C147" s="1083"/>
    </row>
  </sheetData>
  <mergeCells count="3">
    <mergeCell ref="A5:C5"/>
    <mergeCell ref="P5:R5"/>
    <mergeCell ref="P6:R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A1:AS226"/>
  <sheetViews>
    <sheetView workbookViewId="0">
      <pane xSplit="3" ySplit="8" topLeftCell="L9" activePane="bottomRight" state="frozen"/>
      <selection pane="topRight" activeCell="D1" sqref="D1"/>
      <selection pane="bottomLeft" activeCell="A9" sqref="A9"/>
      <selection pane="bottomRight"/>
    </sheetView>
  </sheetViews>
  <sheetFormatPr defaultColWidth="9.140625" defaultRowHeight="15"/>
  <cols>
    <col min="1" max="1" width="5.42578125" style="142" customWidth="1"/>
    <col min="2" max="2" width="26.42578125" style="142" customWidth="1"/>
    <col min="3" max="3" width="12.5703125" style="142" hidden="1" customWidth="1"/>
    <col min="4" max="4" width="17" style="142" customWidth="1"/>
    <col min="5" max="30" width="9.140625" style="142" bestFit="1" customWidth="1"/>
    <col min="31" max="31" width="9.140625" style="798" bestFit="1" customWidth="1"/>
    <col min="32" max="32" width="9.140625" style="1244" bestFit="1" customWidth="1"/>
    <col min="33" max="33" width="9.140625" style="1348" customWidth="1"/>
    <col min="34" max="34" width="9.140625" style="1535" customWidth="1"/>
    <col min="35" max="35" width="3.28515625" style="142" hidden="1" customWidth="1"/>
    <col min="36" max="36" width="16.5703125" style="142" bestFit="1" customWidth="1"/>
    <col min="37" max="37" width="13.28515625" style="142" customWidth="1"/>
    <col min="38" max="39" width="9.140625" style="142" customWidth="1"/>
    <col min="40" max="40" width="12.140625" style="142" bestFit="1" customWidth="1"/>
    <col min="41" max="44" width="9.140625" style="142"/>
    <col min="45" max="45" width="13.85546875" style="142" bestFit="1" customWidth="1"/>
    <col min="46" max="16384" width="9.140625" style="142"/>
  </cols>
  <sheetData>
    <row r="1" spans="1:45">
      <c r="E1" s="143"/>
    </row>
    <row r="5" spans="1:45" ht="18.75" customHeight="1">
      <c r="B5" s="150"/>
      <c r="C5" s="151"/>
      <c r="D5" s="151"/>
      <c r="E5" s="151"/>
      <c r="F5" s="151"/>
      <c r="G5" s="151"/>
      <c r="H5" s="151"/>
      <c r="I5" s="151"/>
      <c r="J5" s="151"/>
      <c r="K5" s="151"/>
      <c r="L5" s="151"/>
      <c r="M5" s="151"/>
      <c r="N5" s="151"/>
      <c r="O5" s="151"/>
      <c r="P5" s="151"/>
      <c r="Q5" s="151"/>
      <c r="R5" s="151"/>
      <c r="S5" s="151"/>
      <c r="T5" s="151"/>
      <c r="U5" s="151"/>
      <c r="V5" s="516"/>
      <c r="W5" s="151"/>
      <c r="X5" s="151"/>
      <c r="Y5" s="151"/>
      <c r="Z5" s="151"/>
      <c r="AA5" s="151"/>
      <c r="AB5" s="151"/>
      <c r="AC5" s="151"/>
      <c r="AD5" s="151"/>
      <c r="AE5" s="630"/>
      <c r="AF5" s="630"/>
      <c r="AG5" s="630"/>
      <c r="AH5" s="630"/>
      <c r="AI5" s="151"/>
      <c r="AJ5" s="151"/>
    </row>
    <row r="6" spans="1:45">
      <c r="A6" s="1947" t="s">
        <v>1</v>
      </c>
      <c r="B6" s="1947"/>
      <c r="C6" s="151"/>
      <c r="D6" s="151"/>
      <c r="E6" s="151"/>
      <c r="F6" s="151"/>
      <c r="G6" s="151"/>
      <c r="H6" s="151"/>
      <c r="I6" s="151"/>
      <c r="J6" s="151"/>
      <c r="K6" s="151"/>
      <c r="L6" s="151"/>
      <c r="M6" s="151"/>
      <c r="N6" s="151"/>
      <c r="O6" s="151"/>
      <c r="P6" s="151"/>
      <c r="Q6" s="151"/>
      <c r="R6" s="151"/>
      <c r="S6" s="151"/>
      <c r="T6" s="151"/>
      <c r="U6" s="151"/>
      <c r="V6" s="516"/>
      <c r="W6" s="151"/>
      <c r="X6" s="151"/>
      <c r="Y6" s="151"/>
      <c r="Z6" s="151"/>
      <c r="AA6" s="151"/>
      <c r="AB6" s="151"/>
      <c r="AC6" s="151"/>
      <c r="AD6" s="151"/>
      <c r="AE6" s="630"/>
      <c r="AF6" s="630"/>
      <c r="AG6" s="630"/>
      <c r="AH6" s="630"/>
      <c r="AI6" s="151"/>
      <c r="AJ6" s="151"/>
    </row>
    <row r="7" spans="1:45" ht="15.75" thickBot="1">
      <c r="A7" s="1992" t="s">
        <v>140</v>
      </c>
      <c r="B7" s="1992"/>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630"/>
      <c r="AF7" s="630"/>
      <c r="AG7" s="630"/>
      <c r="AH7" s="630"/>
      <c r="AI7" s="151"/>
      <c r="AJ7" s="151"/>
    </row>
    <row r="8" spans="1:45" s="144" customFormat="1" ht="27" customHeight="1" thickBot="1">
      <c r="A8" s="728" t="s">
        <v>112</v>
      </c>
      <c r="B8" s="728"/>
      <c r="C8" s="726" t="s">
        <v>113</v>
      </c>
      <c r="D8" s="722" t="s">
        <v>114</v>
      </c>
      <c r="E8" s="726">
        <v>1990</v>
      </c>
      <c r="F8" s="726">
        <v>1991</v>
      </c>
      <c r="G8" s="726">
        <v>1992</v>
      </c>
      <c r="H8" s="726">
        <v>1993</v>
      </c>
      <c r="I8" s="726">
        <v>1994</v>
      </c>
      <c r="J8" s="726">
        <v>1995</v>
      </c>
      <c r="K8" s="726">
        <v>1996</v>
      </c>
      <c r="L8" s="726">
        <v>1997</v>
      </c>
      <c r="M8" s="726">
        <v>1998</v>
      </c>
      <c r="N8" s="726">
        <v>1999</v>
      </c>
      <c r="O8" s="726">
        <v>2000</v>
      </c>
      <c r="P8" s="726">
        <v>2001</v>
      </c>
      <c r="Q8" s="726">
        <v>2002</v>
      </c>
      <c r="R8" s="726">
        <v>2003</v>
      </c>
      <c r="S8" s="726">
        <v>2004</v>
      </c>
      <c r="T8" s="726">
        <v>2005</v>
      </c>
      <c r="U8" s="726">
        <v>2006</v>
      </c>
      <c r="V8" s="726">
        <v>2007</v>
      </c>
      <c r="W8" s="726">
        <v>2008</v>
      </c>
      <c r="X8" s="726">
        <v>2009</v>
      </c>
      <c r="Y8" s="726">
        <v>2010</v>
      </c>
      <c r="Z8" s="726">
        <v>2011</v>
      </c>
      <c r="AA8" s="726">
        <v>2012</v>
      </c>
      <c r="AB8" s="726">
        <v>2013</v>
      </c>
      <c r="AC8" s="726">
        <v>2014</v>
      </c>
      <c r="AD8" s="726">
        <v>2015</v>
      </c>
      <c r="AE8" s="930">
        <v>2016</v>
      </c>
      <c r="AF8" s="930">
        <v>2017</v>
      </c>
      <c r="AG8" s="930">
        <v>2018</v>
      </c>
      <c r="AH8" s="930">
        <v>2019</v>
      </c>
      <c r="AI8" s="726"/>
      <c r="AJ8" s="721" t="s">
        <v>115</v>
      </c>
    </row>
    <row r="9" spans="1:45">
      <c r="A9" s="727" t="s">
        <v>116</v>
      </c>
      <c r="B9" s="723"/>
      <c r="C9" s="154"/>
      <c r="D9" s="308">
        <v>16091.545125539798</v>
      </c>
      <c r="E9" s="308">
        <v>0</v>
      </c>
      <c r="F9" s="308">
        <v>0</v>
      </c>
      <c r="G9" s="308">
        <v>0</v>
      </c>
      <c r="H9" s="308">
        <v>0</v>
      </c>
      <c r="I9" s="308">
        <v>0</v>
      </c>
      <c r="J9" s="308">
        <v>0</v>
      </c>
      <c r="K9" s="308">
        <v>0</v>
      </c>
      <c r="L9" s="308">
        <v>0</v>
      </c>
      <c r="M9" s="308">
        <v>0</v>
      </c>
      <c r="N9" s="308">
        <v>0</v>
      </c>
      <c r="O9" s="308">
        <v>0</v>
      </c>
      <c r="P9" s="308">
        <v>0</v>
      </c>
      <c r="Q9" s="308">
        <v>0</v>
      </c>
      <c r="R9" s="308">
        <v>0</v>
      </c>
      <c r="S9" s="308">
        <v>0</v>
      </c>
      <c r="T9" s="308">
        <v>40303</v>
      </c>
      <c r="U9" s="308">
        <v>74957</v>
      </c>
      <c r="V9" s="308">
        <v>70028</v>
      </c>
      <c r="W9" s="308">
        <v>79015</v>
      </c>
      <c r="X9" s="308">
        <v>75934</v>
      </c>
      <c r="Y9" s="308">
        <v>60425</v>
      </c>
      <c r="Z9" s="308">
        <v>74474</v>
      </c>
      <c r="AA9" s="308">
        <v>70727</v>
      </c>
      <c r="AB9" s="308">
        <v>100457</v>
      </c>
      <c r="AC9" s="308">
        <v>88600</v>
      </c>
      <c r="AD9" s="308">
        <v>80631.349000000002</v>
      </c>
      <c r="AE9" s="308">
        <v>68516</v>
      </c>
      <c r="AF9" s="308">
        <v>48873</v>
      </c>
      <c r="AG9" s="308">
        <v>565.89099999999996</v>
      </c>
      <c r="AH9" s="308">
        <v>0</v>
      </c>
      <c r="AI9" s="308"/>
      <c r="AJ9" s="155">
        <f>SUM($D9:AI9)</f>
        <v>949597.78512553975</v>
      </c>
      <c r="AL9" s="144"/>
    </row>
    <row r="10" spans="1:45">
      <c r="A10" s="727" t="s">
        <v>117</v>
      </c>
      <c r="B10" s="723"/>
      <c r="C10" s="156"/>
      <c r="D10" s="861">
        <v>1977855.2878702015</v>
      </c>
      <c r="E10" s="861">
        <v>431837.35051466379</v>
      </c>
      <c r="F10" s="861">
        <v>331280</v>
      </c>
      <c r="G10" s="861">
        <v>377326</v>
      </c>
      <c r="H10" s="861">
        <v>368879.51</v>
      </c>
      <c r="I10" s="861">
        <v>330246.38</v>
      </c>
      <c r="J10" s="861">
        <v>288696.33333333337</v>
      </c>
      <c r="K10" s="861">
        <v>317056</v>
      </c>
      <c r="L10" s="861">
        <v>411822</v>
      </c>
      <c r="M10" s="861">
        <v>452776.97</v>
      </c>
      <c r="N10" s="861">
        <v>315523</v>
      </c>
      <c r="O10" s="861">
        <v>244855.82800000001</v>
      </c>
      <c r="P10" s="861">
        <v>284727.23</v>
      </c>
      <c r="Q10" s="861">
        <v>271869.93300000002</v>
      </c>
      <c r="R10" s="861">
        <v>303776.11099999998</v>
      </c>
      <c r="S10" s="861">
        <v>88709.48</v>
      </c>
      <c r="T10" s="861">
        <v>424513</v>
      </c>
      <c r="U10" s="861">
        <v>356935</v>
      </c>
      <c r="V10" s="861">
        <v>308469</v>
      </c>
      <c r="W10" s="861">
        <v>312411</v>
      </c>
      <c r="X10" s="861">
        <v>326493</v>
      </c>
      <c r="Y10" s="861">
        <v>361174</v>
      </c>
      <c r="Z10" s="861">
        <v>325656</v>
      </c>
      <c r="AA10" s="861">
        <v>184932</v>
      </c>
      <c r="AB10" s="861">
        <v>163179</v>
      </c>
      <c r="AC10" s="861">
        <v>159961</v>
      </c>
      <c r="AD10" s="861">
        <v>142394.74400000001</v>
      </c>
      <c r="AE10" s="861">
        <v>187172</v>
      </c>
      <c r="AF10" s="861">
        <v>230401</v>
      </c>
      <c r="AG10" s="861">
        <v>164070.04199999999</v>
      </c>
      <c r="AH10" s="861">
        <v>187265.99500000002</v>
      </c>
      <c r="AI10" s="861"/>
      <c r="AJ10" s="157">
        <f>SUM($D10:AI10)</f>
        <v>10632264.194718197</v>
      </c>
    </row>
    <row r="11" spans="1:45">
      <c r="A11" s="727" t="s">
        <v>118</v>
      </c>
      <c r="B11" s="723"/>
      <c r="C11" s="158"/>
      <c r="D11" s="308">
        <v>3213516.9884779765</v>
      </c>
      <c r="E11" s="308">
        <v>644493.86634359986</v>
      </c>
      <c r="F11" s="308">
        <v>515564</v>
      </c>
      <c r="G11" s="308">
        <v>551705</v>
      </c>
      <c r="H11" s="308">
        <v>580416</v>
      </c>
      <c r="I11" s="308">
        <v>685049</v>
      </c>
      <c r="J11" s="308">
        <v>728244</v>
      </c>
      <c r="K11" s="308">
        <v>968155</v>
      </c>
      <c r="L11" s="308">
        <v>1071738.3333333335</v>
      </c>
      <c r="M11" s="308">
        <v>763794.10900000005</v>
      </c>
      <c r="N11" s="308">
        <v>573344.81999999995</v>
      </c>
      <c r="O11" s="308">
        <v>597815</v>
      </c>
      <c r="P11" s="308">
        <v>628892.07499999995</v>
      </c>
      <c r="Q11" s="308">
        <v>704657.74309999996</v>
      </c>
      <c r="R11" s="308">
        <v>786061</v>
      </c>
      <c r="S11" s="308">
        <v>638915</v>
      </c>
      <c r="T11" s="308">
        <v>665549</v>
      </c>
      <c r="U11" s="308">
        <v>626545</v>
      </c>
      <c r="V11" s="308">
        <v>604206</v>
      </c>
      <c r="W11" s="308">
        <v>599150</v>
      </c>
      <c r="X11" s="308">
        <v>836396</v>
      </c>
      <c r="Y11" s="308">
        <v>1037238</v>
      </c>
      <c r="Z11" s="308">
        <v>974444</v>
      </c>
      <c r="AA11" s="308">
        <v>1062069</v>
      </c>
      <c r="AB11" s="308">
        <v>1034311</v>
      </c>
      <c r="AC11" s="308">
        <v>983434</v>
      </c>
      <c r="AD11" s="308">
        <v>1022496.059</v>
      </c>
      <c r="AE11" s="308">
        <v>957975</v>
      </c>
      <c r="AF11" s="308">
        <v>907644</v>
      </c>
      <c r="AG11" s="308">
        <v>997522.73199999996</v>
      </c>
      <c r="AH11" s="308">
        <v>987834.929</v>
      </c>
      <c r="AI11" s="308"/>
      <c r="AJ11" s="159">
        <f>SUM($D11:AI11)</f>
        <v>26949176.655254912</v>
      </c>
    </row>
    <row r="12" spans="1:45">
      <c r="A12" s="727" t="s">
        <v>119</v>
      </c>
      <c r="B12" s="723"/>
      <c r="C12" s="156"/>
      <c r="D12" s="861">
        <v>4715372.5638515139</v>
      </c>
      <c r="E12" s="861">
        <v>89282.623308199996</v>
      </c>
      <c r="F12" s="861">
        <v>57499</v>
      </c>
      <c r="G12" s="861">
        <v>49377</v>
      </c>
      <c r="H12" s="861">
        <v>74419</v>
      </c>
      <c r="I12" s="861">
        <v>89244</v>
      </c>
      <c r="J12" s="861">
        <v>107090</v>
      </c>
      <c r="K12" s="861">
        <v>144084</v>
      </c>
      <c r="L12" s="861">
        <v>145969</v>
      </c>
      <c r="M12" s="861">
        <v>116908</v>
      </c>
      <c r="N12" s="861">
        <v>111629</v>
      </c>
      <c r="O12" s="861">
        <v>109612</v>
      </c>
      <c r="P12" s="861">
        <v>128495</v>
      </c>
      <c r="Q12" s="861">
        <v>131153.67000000001</v>
      </c>
      <c r="R12" s="861">
        <v>129715.77</v>
      </c>
      <c r="S12" s="861">
        <v>133571</v>
      </c>
      <c r="T12" s="861">
        <v>88494</v>
      </c>
      <c r="U12" s="861">
        <v>71403</v>
      </c>
      <c r="V12" s="861">
        <v>81676</v>
      </c>
      <c r="W12" s="861">
        <v>79803</v>
      </c>
      <c r="X12" s="861">
        <v>73087</v>
      </c>
      <c r="Y12" s="861">
        <v>52846</v>
      </c>
      <c r="Z12" s="861">
        <v>49820</v>
      </c>
      <c r="AA12" s="861">
        <v>18773</v>
      </c>
      <c r="AB12" s="861">
        <v>11757</v>
      </c>
      <c r="AC12" s="861">
        <v>23622</v>
      </c>
      <c r="AD12" s="861">
        <v>15079.38</v>
      </c>
      <c r="AE12" s="861">
        <v>7017</v>
      </c>
      <c r="AF12" s="861">
        <v>22733</v>
      </c>
      <c r="AG12" s="861">
        <v>14926.344000000001</v>
      </c>
      <c r="AH12" s="861">
        <v>0</v>
      </c>
      <c r="AI12" s="861"/>
      <c r="AJ12" s="157">
        <f>SUM($D12:AI12)</f>
        <v>6944458.3511597132</v>
      </c>
    </row>
    <row r="13" spans="1:45">
      <c r="A13" s="727" t="s">
        <v>120</v>
      </c>
      <c r="B13" s="723"/>
      <c r="C13" s="156"/>
      <c r="D13" s="308">
        <v>43818169.688666008</v>
      </c>
      <c r="E13" s="308">
        <v>860739.7879752001</v>
      </c>
      <c r="F13" s="308">
        <v>866120</v>
      </c>
      <c r="G13" s="308">
        <v>1035071</v>
      </c>
      <c r="H13" s="308">
        <v>1059577</v>
      </c>
      <c r="I13" s="308">
        <v>1104361.3333333333</v>
      </c>
      <c r="J13" s="308">
        <v>958477</v>
      </c>
      <c r="K13" s="308">
        <v>1061930</v>
      </c>
      <c r="L13" s="308">
        <v>1114679</v>
      </c>
      <c r="M13" s="308">
        <v>1108776</v>
      </c>
      <c r="N13" s="308">
        <v>1125368</v>
      </c>
      <c r="O13" s="308">
        <v>1062720</v>
      </c>
      <c r="P13" s="308">
        <v>937598.21009396785</v>
      </c>
      <c r="Q13" s="308">
        <v>945126.93800000008</v>
      </c>
      <c r="R13" s="308">
        <v>1003704</v>
      </c>
      <c r="S13" s="308">
        <v>1192062</v>
      </c>
      <c r="T13" s="308">
        <v>910775</v>
      </c>
      <c r="U13" s="308">
        <v>776281</v>
      </c>
      <c r="V13" s="308">
        <v>657954</v>
      </c>
      <c r="W13" s="308">
        <v>653918</v>
      </c>
      <c r="X13" s="308">
        <v>779025</v>
      </c>
      <c r="Y13" s="308">
        <v>911400</v>
      </c>
      <c r="Z13" s="308">
        <v>976735</v>
      </c>
      <c r="AA13" s="308">
        <v>918530</v>
      </c>
      <c r="AB13" s="308">
        <v>860347</v>
      </c>
      <c r="AC13" s="308">
        <v>815935</v>
      </c>
      <c r="AD13" s="308">
        <v>746019.87899999996</v>
      </c>
      <c r="AE13" s="308">
        <v>943258</v>
      </c>
      <c r="AF13" s="308">
        <v>939705</v>
      </c>
      <c r="AG13" s="308">
        <v>827712.52</v>
      </c>
      <c r="AH13" s="308">
        <v>596753.25800000003</v>
      </c>
      <c r="AI13" s="308"/>
      <c r="AJ13" s="159">
        <f>SUM($D13:AI13)</f>
        <v>71568828.61506851</v>
      </c>
    </row>
    <row r="14" spans="1:45">
      <c r="A14" s="727" t="s">
        <v>121</v>
      </c>
      <c r="B14" s="723"/>
      <c r="C14" s="860"/>
      <c r="D14" s="861">
        <v>4990730.2373176888</v>
      </c>
      <c r="E14" s="861">
        <v>525664.70691000007</v>
      </c>
      <c r="F14" s="861">
        <v>629017</v>
      </c>
      <c r="G14" s="861">
        <v>540341</v>
      </c>
      <c r="H14" s="861">
        <v>499632</v>
      </c>
      <c r="I14" s="861">
        <v>519432</v>
      </c>
      <c r="J14" s="861">
        <v>663521</v>
      </c>
      <c r="K14" s="861">
        <v>1197542</v>
      </c>
      <c r="L14" s="861">
        <v>1145193</v>
      </c>
      <c r="M14" s="861">
        <v>1291156.83</v>
      </c>
      <c r="N14" s="861">
        <v>1189707</v>
      </c>
      <c r="O14" s="861">
        <v>1095356.9949999999</v>
      </c>
      <c r="P14" s="861">
        <v>1234636.3048</v>
      </c>
      <c r="Q14" s="861">
        <v>1076479.808</v>
      </c>
      <c r="R14" s="861">
        <v>948995</v>
      </c>
      <c r="S14" s="861">
        <v>850412</v>
      </c>
      <c r="T14" s="861">
        <v>1183335</v>
      </c>
      <c r="U14" s="861">
        <v>1091842</v>
      </c>
      <c r="V14" s="861">
        <v>1014154</v>
      </c>
      <c r="W14" s="861">
        <v>863492</v>
      </c>
      <c r="X14" s="861">
        <v>898020</v>
      </c>
      <c r="Y14" s="861">
        <v>813941</v>
      </c>
      <c r="Z14" s="861">
        <v>814885</v>
      </c>
      <c r="AA14" s="861">
        <v>852148</v>
      </c>
      <c r="AB14" s="861">
        <v>703005</v>
      </c>
      <c r="AC14" s="861">
        <v>519221</v>
      </c>
      <c r="AD14" s="861">
        <v>486445.80599999998</v>
      </c>
      <c r="AE14" s="861">
        <v>581576</v>
      </c>
      <c r="AF14" s="861">
        <v>766507</v>
      </c>
      <c r="AG14" s="861">
        <v>844741.41500000004</v>
      </c>
      <c r="AH14" s="861">
        <v>878010.01899999985</v>
      </c>
      <c r="AI14" s="861"/>
      <c r="AJ14" s="157">
        <f>SUM($D14:AI14)</f>
        <v>30709140.122027688</v>
      </c>
      <c r="AP14" s="148"/>
      <c r="AQ14" s="146"/>
      <c r="AR14" s="146"/>
      <c r="AS14" s="146"/>
    </row>
    <row r="15" spans="1:45">
      <c r="A15" s="727" t="s">
        <v>122</v>
      </c>
      <c r="B15" s="723"/>
      <c r="C15" s="860"/>
      <c r="D15" s="308">
        <v>8736.0330168986002</v>
      </c>
      <c r="E15" s="308">
        <v>0</v>
      </c>
      <c r="F15" s="308">
        <v>0</v>
      </c>
      <c r="G15" s="308">
        <v>0</v>
      </c>
      <c r="H15" s="308">
        <v>0</v>
      </c>
      <c r="I15" s="308">
        <v>0</v>
      </c>
      <c r="J15" s="308">
        <v>0</v>
      </c>
      <c r="K15" s="308">
        <v>0</v>
      </c>
      <c r="L15" s="308">
        <v>0</v>
      </c>
      <c r="M15" s="308">
        <v>0</v>
      </c>
      <c r="N15" s="308">
        <v>0</v>
      </c>
      <c r="O15" s="308">
        <v>0</v>
      </c>
      <c r="P15" s="308">
        <v>0</v>
      </c>
      <c r="Q15" s="308">
        <v>0</v>
      </c>
      <c r="R15" s="308">
        <v>0</v>
      </c>
      <c r="S15" s="308">
        <v>0</v>
      </c>
      <c r="T15" s="308">
        <v>0</v>
      </c>
      <c r="U15" s="308">
        <v>0</v>
      </c>
      <c r="V15" s="308">
        <v>0</v>
      </c>
      <c r="W15" s="308">
        <v>0</v>
      </c>
      <c r="X15" s="308">
        <v>0</v>
      </c>
      <c r="Y15" s="308">
        <v>0</v>
      </c>
      <c r="Z15" s="308">
        <v>0</v>
      </c>
      <c r="AA15" s="308">
        <v>0</v>
      </c>
      <c r="AB15" s="308">
        <v>0</v>
      </c>
      <c r="AC15" s="308">
        <v>0</v>
      </c>
      <c r="AD15" s="308">
        <v>0</v>
      </c>
      <c r="AE15" s="308">
        <v>0</v>
      </c>
      <c r="AF15" s="308">
        <v>0</v>
      </c>
      <c r="AG15" s="308">
        <v>0</v>
      </c>
      <c r="AH15" s="308">
        <v>0</v>
      </c>
      <c r="AI15" s="308"/>
      <c r="AJ15" s="159">
        <f>SUM($D15:AI15)</f>
        <v>8736.0330168986002</v>
      </c>
      <c r="AP15" s="148"/>
      <c r="AQ15" s="146"/>
      <c r="AR15" s="146"/>
      <c r="AS15" s="146"/>
    </row>
    <row r="16" spans="1:45">
      <c r="A16" s="727" t="s">
        <v>123</v>
      </c>
      <c r="B16" s="723"/>
      <c r="C16" s="860"/>
      <c r="D16" s="861">
        <v>34672.104600611798</v>
      </c>
      <c r="E16" s="861">
        <v>0</v>
      </c>
      <c r="F16" s="861">
        <v>0</v>
      </c>
      <c r="G16" s="861">
        <v>0</v>
      </c>
      <c r="H16" s="861">
        <v>0</v>
      </c>
      <c r="I16" s="861">
        <v>0</v>
      </c>
      <c r="J16" s="861">
        <v>17467</v>
      </c>
      <c r="K16" s="861">
        <v>43500</v>
      </c>
      <c r="L16" s="861">
        <v>12107</v>
      </c>
      <c r="M16" s="861">
        <v>0</v>
      </c>
      <c r="N16" s="861">
        <v>0</v>
      </c>
      <c r="O16" s="861">
        <v>0</v>
      </c>
      <c r="P16" s="861">
        <v>0</v>
      </c>
      <c r="Q16" s="861">
        <v>1557</v>
      </c>
      <c r="R16" s="861">
        <v>2193.75</v>
      </c>
      <c r="S16" s="861">
        <v>0</v>
      </c>
      <c r="T16" s="861">
        <v>0</v>
      </c>
      <c r="U16" s="861">
        <v>2000</v>
      </c>
      <c r="V16" s="861">
        <v>18446</v>
      </c>
      <c r="W16" s="861">
        <v>21754</v>
      </c>
      <c r="X16" s="861">
        <v>37109</v>
      </c>
      <c r="Y16" s="861">
        <v>41669</v>
      </c>
      <c r="Z16" s="861">
        <v>41741</v>
      </c>
      <c r="AA16" s="861">
        <v>41982</v>
      </c>
      <c r="AB16" s="861">
        <v>11348</v>
      </c>
      <c r="AC16" s="861">
        <v>847</v>
      </c>
      <c r="AD16" s="861">
        <v>3880.703</v>
      </c>
      <c r="AE16" s="861">
        <v>28330</v>
      </c>
      <c r="AF16" s="861">
        <v>48042</v>
      </c>
      <c r="AG16" s="861">
        <v>46626.123</v>
      </c>
      <c r="AH16" s="861">
        <v>41932.323000000004</v>
      </c>
      <c r="AI16" s="861"/>
      <c r="AJ16" s="157">
        <f>SUM($D16:AI16)</f>
        <v>497204.00360061182</v>
      </c>
      <c r="AP16" s="148"/>
      <c r="AQ16" s="146"/>
      <c r="AR16" s="146"/>
      <c r="AS16" s="146"/>
    </row>
    <row r="17" spans="1:45">
      <c r="A17" s="727" t="s">
        <v>124</v>
      </c>
      <c r="B17" s="723"/>
      <c r="C17" s="860"/>
      <c r="D17" s="308">
        <v>6469239.2265401706</v>
      </c>
      <c r="E17" s="308">
        <v>710049.23866100004</v>
      </c>
      <c r="F17" s="308">
        <v>778216</v>
      </c>
      <c r="G17" s="308">
        <v>700927</v>
      </c>
      <c r="H17" s="308">
        <v>689470</v>
      </c>
      <c r="I17" s="308">
        <v>741531.33333333337</v>
      </c>
      <c r="J17" s="308">
        <v>594588</v>
      </c>
      <c r="K17" s="308">
        <v>739969</v>
      </c>
      <c r="L17" s="308">
        <v>1152497</v>
      </c>
      <c r="M17" s="308">
        <v>1260255.8</v>
      </c>
      <c r="N17" s="308">
        <v>1169422.3</v>
      </c>
      <c r="O17" s="308">
        <v>1090947.335</v>
      </c>
      <c r="P17" s="308">
        <v>1082232.324</v>
      </c>
      <c r="Q17" s="308">
        <v>1245820.6850000001</v>
      </c>
      <c r="R17" s="308">
        <v>1215943</v>
      </c>
      <c r="S17" s="308">
        <v>1056223</v>
      </c>
      <c r="T17" s="308">
        <v>815634</v>
      </c>
      <c r="U17" s="308">
        <v>780343</v>
      </c>
      <c r="V17" s="308">
        <v>802318</v>
      </c>
      <c r="W17" s="308">
        <v>605749</v>
      </c>
      <c r="X17" s="308">
        <v>637917</v>
      </c>
      <c r="Y17" s="308">
        <v>807462</v>
      </c>
      <c r="Z17" s="308">
        <v>825551</v>
      </c>
      <c r="AA17" s="308">
        <v>976414</v>
      </c>
      <c r="AB17" s="308">
        <v>1200126</v>
      </c>
      <c r="AC17" s="308">
        <v>1596327</v>
      </c>
      <c r="AD17" s="308">
        <v>1553897.5789999999</v>
      </c>
      <c r="AE17" s="308">
        <v>1472143</v>
      </c>
      <c r="AF17" s="308">
        <v>1572477</v>
      </c>
      <c r="AG17" s="308">
        <v>1698243.3279999997</v>
      </c>
      <c r="AH17" s="308">
        <v>1736959.7089999996</v>
      </c>
      <c r="AI17" s="308"/>
      <c r="AJ17" s="159">
        <f>SUM($D17:AI17)</f>
        <v>37778892.858534507</v>
      </c>
      <c r="AP17" s="148"/>
      <c r="AQ17" s="146"/>
      <c r="AR17" s="146"/>
      <c r="AS17" s="146"/>
    </row>
    <row r="18" spans="1:45">
      <c r="A18" s="727" t="s">
        <v>125</v>
      </c>
      <c r="B18" s="723"/>
      <c r="C18" s="860"/>
      <c r="D18" s="861">
        <v>8116040.7844284074</v>
      </c>
      <c r="E18" s="861">
        <v>701497.14006539993</v>
      </c>
      <c r="F18" s="861">
        <v>722661</v>
      </c>
      <c r="G18" s="861">
        <v>715058</v>
      </c>
      <c r="H18" s="861">
        <v>628604</v>
      </c>
      <c r="I18" s="861">
        <v>616243</v>
      </c>
      <c r="J18" s="861">
        <v>614987</v>
      </c>
      <c r="K18" s="861">
        <v>556628</v>
      </c>
      <c r="L18" s="861">
        <v>462003</v>
      </c>
      <c r="M18" s="861">
        <v>437194</v>
      </c>
      <c r="N18" s="861">
        <v>389423</v>
      </c>
      <c r="O18" s="861">
        <v>457125.93500000006</v>
      </c>
      <c r="P18" s="861">
        <v>428484.12</v>
      </c>
      <c r="Q18" s="861">
        <v>446401.23700000002</v>
      </c>
      <c r="R18" s="861">
        <v>306489</v>
      </c>
      <c r="S18" s="861">
        <v>196902</v>
      </c>
      <c r="T18" s="861">
        <v>155896</v>
      </c>
      <c r="U18" s="861">
        <v>186991</v>
      </c>
      <c r="V18" s="861">
        <v>137095</v>
      </c>
      <c r="W18" s="861">
        <v>44782</v>
      </c>
      <c r="X18" s="861">
        <v>14883</v>
      </c>
      <c r="Y18" s="861">
        <v>49</v>
      </c>
      <c r="Z18" s="861">
        <v>222</v>
      </c>
      <c r="AA18" s="861">
        <v>41432</v>
      </c>
      <c r="AB18" s="861">
        <v>173593</v>
      </c>
      <c r="AC18" s="861">
        <v>165744</v>
      </c>
      <c r="AD18" s="861">
        <v>173647.435</v>
      </c>
      <c r="AE18" s="861">
        <v>194836</v>
      </c>
      <c r="AF18" s="861">
        <v>233745</v>
      </c>
      <c r="AG18" s="861">
        <v>204182.62100000001</v>
      </c>
      <c r="AH18" s="861">
        <v>255605.848</v>
      </c>
      <c r="AI18" s="861"/>
      <c r="AJ18" s="157">
        <f>SUM($D18:AI18)</f>
        <v>17778445.120493807</v>
      </c>
      <c r="AP18" s="148"/>
      <c r="AQ18" s="146"/>
      <c r="AR18" s="146"/>
      <c r="AS18" s="146"/>
    </row>
    <row r="19" spans="1:45">
      <c r="A19" s="727" t="s">
        <v>126</v>
      </c>
      <c r="B19" s="723"/>
      <c r="C19" s="156"/>
      <c r="D19" s="308">
        <v>2997775.2227038112</v>
      </c>
      <c r="E19" s="308">
        <v>64590.849919400003</v>
      </c>
      <c r="F19" s="308">
        <v>26133</v>
      </c>
      <c r="G19" s="308">
        <v>5282</v>
      </c>
      <c r="H19" s="308">
        <v>0</v>
      </c>
      <c r="I19" s="308">
        <v>1412</v>
      </c>
      <c r="J19" s="308">
        <v>23345</v>
      </c>
      <c r="K19" s="308">
        <v>55859</v>
      </c>
      <c r="L19" s="308">
        <v>48266</v>
      </c>
      <c r="M19" s="308">
        <v>0</v>
      </c>
      <c r="N19" s="308">
        <v>0</v>
      </c>
      <c r="O19" s="308">
        <v>0</v>
      </c>
      <c r="P19" s="308">
        <v>0</v>
      </c>
      <c r="Q19" s="308">
        <v>137434.155</v>
      </c>
      <c r="R19" s="308">
        <v>112204.78</v>
      </c>
      <c r="S19" s="308">
        <v>68864</v>
      </c>
      <c r="T19" s="308">
        <v>0</v>
      </c>
      <c r="U19" s="308">
        <v>643</v>
      </c>
      <c r="V19" s="308">
        <v>3726</v>
      </c>
      <c r="W19" s="308">
        <v>10234</v>
      </c>
      <c r="X19" s="308">
        <v>3824</v>
      </c>
      <c r="Y19" s="308">
        <v>100691</v>
      </c>
      <c r="Z19" s="308">
        <v>111077</v>
      </c>
      <c r="AA19" s="308">
        <v>119895</v>
      </c>
      <c r="AB19" s="308">
        <v>139529</v>
      </c>
      <c r="AC19" s="308">
        <v>144497</v>
      </c>
      <c r="AD19" s="308">
        <v>169631.03700000001</v>
      </c>
      <c r="AE19" s="308">
        <v>106707</v>
      </c>
      <c r="AF19" s="308">
        <v>17907</v>
      </c>
      <c r="AG19" s="308">
        <v>2825.0349999999999</v>
      </c>
      <c r="AH19" s="308">
        <v>5865.3029999999999</v>
      </c>
      <c r="AI19" s="308"/>
      <c r="AJ19" s="159">
        <f>SUM($D19:AI19)</f>
        <v>4478217.3826232115</v>
      </c>
      <c r="AP19" s="148"/>
      <c r="AQ19" s="146"/>
      <c r="AR19" s="146"/>
      <c r="AS19" s="146"/>
    </row>
    <row r="20" spans="1:45">
      <c r="A20" s="727" t="s">
        <v>127</v>
      </c>
      <c r="B20" s="723"/>
      <c r="C20" s="156"/>
      <c r="D20" s="861">
        <v>872611.96556919557</v>
      </c>
      <c r="E20" s="861">
        <v>57678.439400399999</v>
      </c>
      <c r="F20" s="861">
        <v>80711</v>
      </c>
      <c r="G20" s="861">
        <v>36716</v>
      </c>
      <c r="H20" s="861">
        <v>55894</v>
      </c>
      <c r="I20" s="861">
        <v>117781.66666666667</v>
      </c>
      <c r="J20" s="861">
        <v>168893</v>
      </c>
      <c r="K20" s="861">
        <v>160752</v>
      </c>
      <c r="L20" s="861">
        <v>203793</v>
      </c>
      <c r="M20" s="861">
        <v>299811</v>
      </c>
      <c r="N20" s="861">
        <v>304039</v>
      </c>
      <c r="O20" s="861">
        <v>312148.15399999998</v>
      </c>
      <c r="P20" s="861">
        <v>413757.47200000001</v>
      </c>
      <c r="Q20" s="861">
        <v>393533.06</v>
      </c>
      <c r="R20" s="861">
        <v>420717.15</v>
      </c>
      <c r="S20" s="861">
        <v>406383</v>
      </c>
      <c r="T20" s="861">
        <v>150605</v>
      </c>
      <c r="U20" s="861">
        <v>93949</v>
      </c>
      <c r="V20" s="861">
        <v>58302</v>
      </c>
      <c r="W20" s="861">
        <v>36956</v>
      </c>
      <c r="X20" s="861">
        <v>2540</v>
      </c>
      <c r="Y20" s="861">
        <v>0</v>
      </c>
      <c r="Z20" s="861">
        <v>0</v>
      </c>
      <c r="AA20" s="861">
        <v>0</v>
      </c>
      <c r="AB20" s="861">
        <v>37386</v>
      </c>
      <c r="AC20" s="861">
        <v>164716</v>
      </c>
      <c r="AD20" s="861">
        <v>147359.78</v>
      </c>
      <c r="AE20" s="861">
        <v>149060</v>
      </c>
      <c r="AF20" s="861">
        <v>238339</v>
      </c>
      <c r="AG20" s="861">
        <v>289387.18599999999</v>
      </c>
      <c r="AH20" s="861">
        <v>370593.06099999999</v>
      </c>
      <c r="AI20" s="861"/>
      <c r="AJ20" s="157">
        <f>SUM($D20:AI20)</f>
        <v>6044412.9346362622</v>
      </c>
      <c r="AP20" s="148"/>
      <c r="AQ20" s="146"/>
      <c r="AR20" s="146"/>
      <c r="AS20" s="146"/>
    </row>
    <row r="21" spans="1:45">
      <c r="A21" s="727" t="s">
        <v>128</v>
      </c>
      <c r="B21" s="723"/>
      <c r="C21" s="860"/>
      <c r="D21" s="308">
        <v>672329.82199614693</v>
      </c>
      <c r="E21" s="308">
        <v>295915.47170639993</v>
      </c>
      <c r="F21" s="308">
        <v>353436</v>
      </c>
      <c r="G21" s="308">
        <v>362128</v>
      </c>
      <c r="H21" s="308">
        <v>361115.39500000002</v>
      </c>
      <c r="I21" s="308">
        <v>361810</v>
      </c>
      <c r="J21" s="308">
        <v>366362</v>
      </c>
      <c r="K21" s="308">
        <v>394273.66666666669</v>
      </c>
      <c r="L21" s="308">
        <v>438987</v>
      </c>
      <c r="M21" s="308">
        <v>366308.52</v>
      </c>
      <c r="N21" s="308">
        <v>431843.86</v>
      </c>
      <c r="O21" s="308">
        <v>416107.51399999997</v>
      </c>
      <c r="P21" s="308">
        <v>397897.46299999999</v>
      </c>
      <c r="Q21" s="308">
        <v>356554.74639999995</v>
      </c>
      <c r="R21" s="308">
        <v>415843</v>
      </c>
      <c r="S21" s="308">
        <v>306758</v>
      </c>
      <c r="T21" s="308">
        <v>256548</v>
      </c>
      <c r="U21" s="308">
        <v>241624</v>
      </c>
      <c r="V21" s="308">
        <v>210150</v>
      </c>
      <c r="W21" s="308">
        <v>136605</v>
      </c>
      <c r="X21" s="308">
        <v>143111</v>
      </c>
      <c r="Y21" s="308">
        <v>134420</v>
      </c>
      <c r="Z21" s="308">
        <v>115657</v>
      </c>
      <c r="AA21" s="308">
        <v>128592</v>
      </c>
      <c r="AB21" s="308">
        <v>152546</v>
      </c>
      <c r="AC21" s="308">
        <v>121021</v>
      </c>
      <c r="AD21" s="308">
        <v>104507.18800000001</v>
      </c>
      <c r="AE21" s="308">
        <v>106240</v>
      </c>
      <c r="AF21" s="308">
        <v>132272</v>
      </c>
      <c r="AG21" s="308">
        <v>178579.08500000002</v>
      </c>
      <c r="AH21" s="308">
        <v>188241.03399999999</v>
      </c>
      <c r="AI21" s="308"/>
      <c r="AJ21" s="159">
        <f>SUM($D21:AI21)</f>
        <v>8647783.7657692134</v>
      </c>
      <c r="AP21" s="148"/>
      <c r="AQ21" s="146"/>
      <c r="AR21" s="146"/>
      <c r="AS21" s="146"/>
    </row>
    <row r="22" spans="1:45">
      <c r="A22" s="727" t="s">
        <v>129</v>
      </c>
      <c r="B22" s="723"/>
      <c r="C22" s="860"/>
      <c r="D22" s="861">
        <v>139325.64620005919</v>
      </c>
      <c r="E22" s="861">
        <v>0</v>
      </c>
      <c r="F22" s="861">
        <v>0</v>
      </c>
      <c r="G22" s="861">
        <v>0</v>
      </c>
      <c r="H22" s="861">
        <v>0</v>
      </c>
      <c r="I22" s="861">
        <v>0</v>
      </c>
      <c r="J22" s="861">
        <v>0</v>
      </c>
      <c r="K22" s="861">
        <v>0</v>
      </c>
      <c r="L22" s="861">
        <v>0</v>
      </c>
      <c r="M22" s="861">
        <v>0</v>
      </c>
      <c r="N22" s="861">
        <v>0</v>
      </c>
      <c r="O22" s="861">
        <v>0</v>
      </c>
      <c r="P22" s="861">
        <v>0</v>
      </c>
      <c r="Q22" s="861">
        <v>0</v>
      </c>
      <c r="R22" s="861">
        <v>0</v>
      </c>
      <c r="S22" s="861">
        <v>0</v>
      </c>
      <c r="T22" s="861">
        <v>0</v>
      </c>
      <c r="U22" s="861">
        <v>0</v>
      </c>
      <c r="V22" s="861">
        <v>0</v>
      </c>
      <c r="W22" s="861">
        <v>0</v>
      </c>
      <c r="X22" s="861">
        <v>0</v>
      </c>
      <c r="Y22" s="861">
        <v>0</v>
      </c>
      <c r="Z22" s="861">
        <v>0</v>
      </c>
      <c r="AA22" s="861">
        <v>0</v>
      </c>
      <c r="AB22" s="861">
        <v>0</v>
      </c>
      <c r="AC22" s="861">
        <v>0</v>
      </c>
      <c r="AD22" s="861">
        <v>0</v>
      </c>
      <c r="AE22" s="861">
        <v>0</v>
      </c>
      <c r="AF22" s="861">
        <v>0</v>
      </c>
      <c r="AG22" s="861">
        <v>0</v>
      </c>
      <c r="AH22" s="861">
        <v>0</v>
      </c>
      <c r="AI22" s="861"/>
      <c r="AJ22" s="157">
        <f>SUM($D22:AI22)</f>
        <v>139325.64620005919</v>
      </c>
      <c r="AP22" s="148"/>
      <c r="AQ22" s="146"/>
      <c r="AR22" s="146"/>
      <c r="AS22" s="146"/>
    </row>
    <row r="23" spans="1:45">
      <c r="A23" s="727" t="s">
        <v>130</v>
      </c>
      <c r="B23" s="723"/>
      <c r="C23" s="860"/>
      <c r="D23" s="308">
        <v>2970586.4937310684</v>
      </c>
      <c r="E23" s="308">
        <v>323758.01826199994</v>
      </c>
      <c r="F23" s="308">
        <v>377067</v>
      </c>
      <c r="G23" s="308">
        <v>411825</v>
      </c>
      <c r="H23" s="308">
        <v>411156</v>
      </c>
      <c r="I23" s="308">
        <v>436073.66666666669</v>
      </c>
      <c r="J23" s="308">
        <v>454501</v>
      </c>
      <c r="K23" s="308">
        <v>421288</v>
      </c>
      <c r="L23" s="308">
        <v>371890</v>
      </c>
      <c r="M23" s="308">
        <v>393805</v>
      </c>
      <c r="N23" s="308">
        <v>357684.25</v>
      </c>
      <c r="O23" s="308">
        <v>217643.14</v>
      </c>
      <c r="P23" s="308">
        <v>1001.8203303976907</v>
      </c>
      <c r="Q23" s="308">
        <v>1101.357</v>
      </c>
      <c r="R23" s="308">
        <v>556.20399999999995</v>
      </c>
      <c r="S23" s="308">
        <v>40078</v>
      </c>
      <c r="T23" s="308">
        <v>415653</v>
      </c>
      <c r="U23" s="308">
        <v>673664</v>
      </c>
      <c r="V23" s="308">
        <v>620834</v>
      </c>
      <c r="W23" s="308">
        <v>592224</v>
      </c>
      <c r="X23" s="308">
        <v>614195</v>
      </c>
      <c r="Y23" s="308">
        <v>693780</v>
      </c>
      <c r="Z23" s="308">
        <v>577978</v>
      </c>
      <c r="AA23" s="308">
        <v>490199</v>
      </c>
      <c r="AB23" s="308">
        <v>626459</v>
      </c>
      <c r="AC23" s="308">
        <v>616684</v>
      </c>
      <c r="AD23" s="308">
        <v>576272.47499999998</v>
      </c>
      <c r="AE23" s="308">
        <v>529590</v>
      </c>
      <c r="AF23" s="308">
        <v>454433</v>
      </c>
      <c r="AG23" s="308">
        <v>466430.35000000003</v>
      </c>
      <c r="AH23" s="308">
        <v>681646.58799999999</v>
      </c>
      <c r="AI23" s="308"/>
      <c r="AJ23" s="159">
        <f>SUM($D23:AI23)</f>
        <v>15820057.36299013</v>
      </c>
      <c r="AP23" s="148"/>
      <c r="AQ23" s="146"/>
      <c r="AR23" s="146"/>
      <c r="AS23" s="146"/>
    </row>
    <row r="24" spans="1:45">
      <c r="A24" s="727" t="s">
        <v>131</v>
      </c>
      <c r="B24" s="723"/>
      <c r="C24" s="860"/>
      <c r="D24" s="861">
        <v>1020489.292405149</v>
      </c>
      <c r="E24" s="861">
        <v>629254.41245519998</v>
      </c>
      <c r="F24" s="861">
        <v>566367</v>
      </c>
      <c r="G24" s="861">
        <v>511664</v>
      </c>
      <c r="H24" s="861">
        <v>516694</v>
      </c>
      <c r="I24" s="861">
        <v>546081.32890249998</v>
      </c>
      <c r="J24" s="861">
        <v>495668.20160650002</v>
      </c>
      <c r="K24" s="861">
        <v>448769.32451200002</v>
      </c>
      <c r="L24" s="861">
        <v>433547.892505</v>
      </c>
      <c r="M24" s="861">
        <v>359120.26</v>
      </c>
      <c r="N24" s="861">
        <v>254271</v>
      </c>
      <c r="O24" s="861">
        <v>228859</v>
      </c>
      <c r="P24" s="861">
        <v>227171</v>
      </c>
      <c r="Q24" s="861">
        <v>4607.54</v>
      </c>
      <c r="R24" s="861">
        <v>0</v>
      </c>
      <c r="S24" s="861">
        <v>0</v>
      </c>
      <c r="T24" s="861">
        <v>0</v>
      </c>
      <c r="U24" s="861">
        <v>0</v>
      </c>
      <c r="V24" s="861">
        <v>0</v>
      </c>
      <c r="W24" s="861">
        <v>0</v>
      </c>
      <c r="X24" s="861">
        <v>67226</v>
      </c>
      <c r="Y24" s="861">
        <v>671157</v>
      </c>
      <c r="Z24" s="861">
        <v>702732</v>
      </c>
      <c r="AA24" s="861">
        <v>717800</v>
      </c>
      <c r="AB24" s="861">
        <v>703890</v>
      </c>
      <c r="AC24" s="861">
        <v>702703</v>
      </c>
      <c r="AD24" s="861">
        <v>830402.87000000011</v>
      </c>
      <c r="AE24" s="861">
        <v>719554</v>
      </c>
      <c r="AF24" s="861">
        <v>865045</v>
      </c>
      <c r="AG24" s="861">
        <v>713846.64500000002</v>
      </c>
      <c r="AH24" s="861">
        <v>732486.55200000003</v>
      </c>
      <c r="AI24" s="861"/>
      <c r="AJ24" s="157">
        <f>SUM($D24:AI24)</f>
        <v>13669407.31938635</v>
      </c>
      <c r="AP24" s="148"/>
      <c r="AQ24" s="146"/>
      <c r="AR24" s="146"/>
      <c r="AS24" s="146"/>
    </row>
    <row r="25" spans="1:45">
      <c r="A25" s="727" t="s">
        <v>132</v>
      </c>
      <c r="B25" s="723"/>
      <c r="C25" s="860"/>
      <c r="D25" s="308">
        <v>28.453410740999999</v>
      </c>
      <c r="E25" s="308">
        <v>0</v>
      </c>
      <c r="F25" s="308">
        <v>0</v>
      </c>
      <c r="G25" s="308">
        <v>0</v>
      </c>
      <c r="H25" s="308">
        <v>0</v>
      </c>
      <c r="I25" s="308">
        <v>0</v>
      </c>
      <c r="J25" s="308">
        <v>0</v>
      </c>
      <c r="K25" s="308">
        <v>0</v>
      </c>
      <c r="L25" s="308">
        <v>0</v>
      </c>
      <c r="M25" s="308">
        <v>0</v>
      </c>
      <c r="N25" s="308">
        <v>0</v>
      </c>
      <c r="O25" s="308">
        <v>0</v>
      </c>
      <c r="P25" s="308">
        <v>0</v>
      </c>
      <c r="Q25" s="308">
        <v>0</v>
      </c>
      <c r="R25" s="308">
        <v>0</v>
      </c>
      <c r="S25" s="308">
        <v>0</v>
      </c>
      <c r="T25" s="308">
        <v>0</v>
      </c>
      <c r="U25" s="308">
        <v>0</v>
      </c>
      <c r="V25" s="308">
        <v>0</v>
      </c>
      <c r="W25" s="308">
        <v>0</v>
      </c>
      <c r="X25" s="308">
        <v>0</v>
      </c>
      <c r="Y25" s="308">
        <v>0</v>
      </c>
      <c r="Z25" s="308">
        <v>0</v>
      </c>
      <c r="AA25" s="308">
        <v>0</v>
      </c>
      <c r="AB25" s="308">
        <v>0</v>
      </c>
      <c r="AC25" s="308">
        <v>0</v>
      </c>
      <c r="AD25" s="308">
        <v>0</v>
      </c>
      <c r="AE25" s="308">
        <v>0</v>
      </c>
      <c r="AF25" s="308">
        <v>0</v>
      </c>
      <c r="AG25" s="308">
        <v>0</v>
      </c>
      <c r="AH25" s="308">
        <v>0</v>
      </c>
      <c r="AI25" s="308"/>
      <c r="AJ25" s="159">
        <f>SUM($D25:AI25)</f>
        <v>28.453410740999999</v>
      </c>
      <c r="AP25" s="148"/>
      <c r="AQ25" s="146"/>
      <c r="AR25" s="146"/>
      <c r="AS25" s="146"/>
    </row>
    <row r="26" spans="1:45">
      <c r="A26" s="727" t="s">
        <v>133</v>
      </c>
      <c r="B26" s="723"/>
      <c r="C26" s="860"/>
      <c r="D26" s="861">
        <v>35756.420680443392</v>
      </c>
      <c r="E26" s="861">
        <v>0</v>
      </c>
      <c r="F26" s="861">
        <v>0</v>
      </c>
      <c r="G26" s="861">
        <v>0</v>
      </c>
      <c r="H26" s="861">
        <v>0</v>
      </c>
      <c r="I26" s="861">
        <v>0</v>
      </c>
      <c r="J26" s="861">
        <v>0</v>
      </c>
      <c r="K26" s="861">
        <v>0</v>
      </c>
      <c r="L26" s="861">
        <v>0</v>
      </c>
      <c r="M26" s="861">
        <v>0</v>
      </c>
      <c r="N26" s="861">
        <v>0</v>
      </c>
      <c r="O26" s="861">
        <v>0</v>
      </c>
      <c r="P26" s="861">
        <v>0</v>
      </c>
      <c r="Q26" s="861">
        <v>0</v>
      </c>
      <c r="R26" s="861">
        <v>0</v>
      </c>
      <c r="S26" s="861">
        <v>0</v>
      </c>
      <c r="T26" s="861">
        <v>0</v>
      </c>
      <c r="U26" s="861">
        <v>6712</v>
      </c>
      <c r="V26" s="861">
        <v>18319</v>
      </c>
      <c r="W26" s="861">
        <v>5061</v>
      </c>
      <c r="X26" s="861">
        <v>289</v>
      </c>
      <c r="Y26" s="861">
        <v>0</v>
      </c>
      <c r="Z26" s="861">
        <v>0</v>
      </c>
      <c r="AA26" s="861">
        <v>0</v>
      </c>
      <c r="AB26" s="861">
        <v>0</v>
      </c>
      <c r="AC26" s="861">
        <v>0</v>
      </c>
      <c r="AD26" s="861">
        <v>0</v>
      </c>
      <c r="AE26" s="861">
        <v>0</v>
      </c>
      <c r="AF26" s="861">
        <v>0</v>
      </c>
      <c r="AG26" s="861">
        <v>0</v>
      </c>
      <c r="AH26" s="861">
        <v>28.762</v>
      </c>
      <c r="AI26" s="861"/>
      <c r="AJ26" s="157">
        <f>SUM($D26:AI26)</f>
        <v>66166.182680443395</v>
      </c>
      <c r="AP26" s="148"/>
      <c r="AQ26" s="146"/>
      <c r="AR26" s="146"/>
      <c r="AS26" s="146"/>
    </row>
    <row r="27" spans="1:45">
      <c r="A27" s="727" t="s">
        <v>134</v>
      </c>
      <c r="B27" s="723"/>
      <c r="C27" s="860"/>
      <c r="D27" s="308">
        <v>505939.06644402235</v>
      </c>
      <c r="E27" s="308">
        <v>87450.030751999991</v>
      </c>
      <c r="F27" s="308">
        <v>78497</v>
      </c>
      <c r="G27" s="308">
        <v>68252</v>
      </c>
      <c r="H27" s="308">
        <v>70003</v>
      </c>
      <c r="I27" s="308">
        <v>87470.165901</v>
      </c>
      <c r="J27" s="308">
        <v>97401</v>
      </c>
      <c r="K27" s="308">
        <v>73090</v>
      </c>
      <c r="L27" s="308">
        <v>122916</v>
      </c>
      <c r="M27" s="308">
        <v>88028</v>
      </c>
      <c r="N27" s="308">
        <v>97415</v>
      </c>
      <c r="O27" s="308">
        <v>154148</v>
      </c>
      <c r="P27" s="308">
        <v>77966</v>
      </c>
      <c r="Q27" s="308">
        <v>116838.7656</v>
      </c>
      <c r="R27" s="308">
        <v>129900</v>
      </c>
      <c r="S27" s="308">
        <v>89966</v>
      </c>
      <c r="T27" s="308">
        <v>76166</v>
      </c>
      <c r="U27" s="308">
        <v>86262</v>
      </c>
      <c r="V27" s="308">
        <v>101973</v>
      </c>
      <c r="W27" s="308">
        <v>52528</v>
      </c>
      <c r="X27" s="308">
        <v>56094</v>
      </c>
      <c r="Y27" s="308">
        <v>30629</v>
      </c>
      <c r="Z27" s="308">
        <v>12496</v>
      </c>
      <c r="AA27" s="308">
        <v>32044</v>
      </c>
      <c r="AB27" s="308">
        <v>30960</v>
      </c>
      <c r="AC27" s="308">
        <v>54576</v>
      </c>
      <c r="AD27" s="308">
        <v>54347.745999999999</v>
      </c>
      <c r="AE27" s="308">
        <v>86035</v>
      </c>
      <c r="AF27" s="308">
        <v>128011</v>
      </c>
      <c r="AG27" s="308">
        <v>160365.378</v>
      </c>
      <c r="AH27" s="308">
        <v>232120.55500000002</v>
      </c>
      <c r="AI27" s="308"/>
      <c r="AJ27" s="159">
        <f>SUM($D27:AI27)</f>
        <v>3139887.7076970222</v>
      </c>
      <c r="AP27" s="148"/>
      <c r="AQ27" s="146"/>
      <c r="AR27" s="146"/>
      <c r="AS27" s="146"/>
    </row>
    <row r="28" spans="1:45">
      <c r="A28" s="727" t="s">
        <v>135</v>
      </c>
      <c r="B28" s="723"/>
      <c r="C28" s="156"/>
      <c r="D28" s="861">
        <v>3669931.2699145852</v>
      </c>
      <c r="E28" s="861">
        <v>534634.76521139988</v>
      </c>
      <c r="F28" s="861">
        <v>507540</v>
      </c>
      <c r="G28" s="861">
        <v>470912</v>
      </c>
      <c r="H28" s="861">
        <v>523753.86</v>
      </c>
      <c r="I28" s="861">
        <v>493073</v>
      </c>
      <c r="J28" s="861">
        <v>478281</v>
      </c>
      <c r="K28" s="861">
        <v>480094</v>
      </c>
      <c r="L28" s="861">
        <v>484458</v>
      </c>
      <c r="M28" s="861">
        <v>466438.023935</v>
      </c>
      <c r="N28" s="861">
        <v>481532.74201099999</v>
      </c>
      <c r="O28" s="861">
        <v>422311.63256100006</v>
      </c>
      <c r="P28" s="861">
        <v>313445.68091700005</v>
      </c>
      <c r="Q28" s="861">
        <v>220544.07199999999</v>
      </c>
      <c r="R28" s="861">
        <v>243353.43035000001</v>
      </c>
      <c r="S28" s="861">
        <v>200080</v>
      </c>
      <c r="T28" s="861">
        <v>194870</v>
      </c>
      <c r="U28" s="861">
        <v>169417</v>
      </c>
      <c r="V28" s="861">
        <v>161537</v>
      </c>
      <c r="W28" s="861">
        <v>152597</v>
      </c>
      <c r="X28" s="861">
        <v>141615</v>
      </c>
      <c r="Y28" s="861">
        <v>163467</v>
      </c>
      <c r="Z28" s="861">
        <v>171060</v>
      </c>
      <c r="AA28" s="861">
        <v>172955</v>
      </c>
      <c r="AB28" s="861">
        <v>77896</v>
      </c>
      <c r="AC28" s="861">
        <v>103026</v>
      </c>
      <c r="AD28" s="861">
        <v>145332.22899999999</v>
      </c>
      <c r="AE28" s="861">
        <v>204582</v>
      </c>
      <c r="AF28" s="861">
        <v>176854</v>
      </c>
      <c r="AG28" s="861">
        <v>171755.73800000001</v>
      </c>
      <c r="AH28" s="861">
        <v>140091.71100000001</v>
      </c>
      <c r="AI28" s="861"/>
      <c r="AJ28" s="157">
        <f>SUM($D28:AI28)</f>
        <v>12337439.154899986</v>
      </c>
      <c r="AP28" s="148"/>
      <c r="AQ28" s="146"/>
      <c r="AR28" s="146"/>
      <c r="AS28" s="146"/>
    </row>
    <row r="29" spans="1:45" ht="15.75" thickBot="1">
      <c r="A29" s="727" t="s">
        <v>136</v>
      </c>
      <c r="B29" s="723"/>
      <c r="C29" s="860"/>
      <c r="D29" s="308">
        <v>14654.9854659586</v>
      </c>
      <c r="E29" s="308">
        <v>79263.068185536191</v>
      </c>
      <c r="F29" s="308">
        <v>38823</v>
      </c>
      <c r="G29" s="308">
        <v>29321</v>
      </c>
      <c r="H29" s="308">
        <v>16766</v>
      </c>
      <c r="I29" s="308">
        <v>33772</v>
      </c>
      <c r="J29" s="308">
        <v>43166</v>
      </c>
      <c r="K29" s="308">
        <v>48243.403487999996</v>
      </c>
      <c r="L29" s="308">
        <v>42793.107495000004</v>
      </c>
      <c r="M29" s="308">
        <v>34641</v>
      </c>
      <c r="N29" s="308">
        <v>7071</v>
      </c>
      <c r="O29" s="308">
        <v>4287</v>
      </c>
      <c r="P29" s="308">
        <v>23187</v>
      </c>
      <c r="Q29" s="308">
        <v>18266.466699999997</v>
      </c>
      <c r="R29" s="308">
        <v>8751</v>
      </c>
      <c r="S29" s="308">
        <v>17354</v>
      </c>
      <c r="T29" s="308"/>
      <c r="U29" s="308"/>
      <c r="V29" s="308"/>
      <c r="W29" s="308"/>
      <c r="X29" s="308"/>
      <c r="Y29" s="308"/>
      <c r="Z29" s="308"/>
      <c r="AA29" s="308"/>
      <c r="AB29" s="308"/>
      <c r="AC29" s="308"/>
      <c r="AD29" s="308"/>
      <c r="AE29" s="308"/>
      <c r="AF29" s="308"/>
      <c r="AG29" s="308"/>
      <c r="AH29" s="308"/>
      <c r="AI29" s="308"/>
      <c r="AJ29" s="160">
        <f>SUM($D29:AI29)</f>
        <v>460360.03133449476</v>
      </c>
      <c r="AP29" s="148"/>
      <c r="AQ29" s="146"/>
      <c r="AR29" s="146"/>
      <c r="AS29" s="146"/>
    </row>
    <row r="30" spans="1:45" ht="21" customHeight="1">
      <c r="A30" s="724" t="s">
        <v>137</v>
      </c>
      <c r="B30" s="729" t="s">
        <v>138</v>
      </c>
      <c r="C30" s="152"/>
      <c r="D30" s="725">
        <f t="shared" ref="D30:X30" si="0">SUM(D9:D29)</f>
        <v>86259853.098416209</v>
      </c>
      <c r="E30" s="725">
        <f t="shared" si="0"/>
        <v>6036109.7696703998</v>
      </c>
      <c r="F30" s="725">
        <f t="shared" si="0"/>
        <v>5928931</v>
      </c>
      <c r="G30" s="725">
        <f t="shared" si="0"/>
        <v>5865905</v>
      </c>
      <c r="H30" s="725">
        <f t="shared" si="0"/>
        <v>5856379.7649999997</v>
      </c>
      <c r="I30" s="725">
        <f t="shared" si="0"/>
        <v>6163580.8748034993</v>
      </c>
      <c r="J30" s="725">
        <f t="shared" si="0"/>
        <v>6100687.5349398339</v>
      </c>
      <c r="K30" s="725">
        <f t="shared" si="0"/>
        <v>7111233.3946666671</v>
      </c>
      <c r="L30" s="725">
        <f t="shared" si="0"/>
        <v>7662659.333333334</v>
      </c>
      <c r="M30" s="725">
        <f t="shared" si="0"/>
        <v>7439013.5129350005</v>
      </c>
      <c r="N30" s="725">
        <f t="shared" si="0"/>
        <v>6808273.9720110008</v>
      </c>
      <c r="O30" s="725">
        <f t="shared" si="0"/>
        <v>6413937.5335609997</v>
      </c>
      <c r="P30" s="725">
        <f t="shared" si="0"/>
        <v>6179491.7001413656</v>
      </c>
      <c r="Q30" s="725">
        <f t="shared" si="0"/>
        <v>6071947.1767999986</v>
      </c>
      <c r="R30" s="725">
        <f t="shared" si="0"/>
        <v>6028203.1953500006</v>
      </c>
      <c r="S30" s="725">
        <f t="shared" si="0"/>
        <v>5286277.4800000004</v>
      </c>
      <c r="T30" s="725">
        <f t="shared" si="0"/>
        <v>5378341</v>
      </c>
      <c r="U30" s="725">
        <f t="shared" si="0"/>
        <v>5239568</v>
      </c>
      <c r="V30" s="725">
        <f t="shared" si="0"/>
        <v>4869187</v>
      </c>
      <c r="W30" s="725">
        <f t="shared" si="0"/>
        <v>4246279</v>
      </c>
      <c r="X30" s="725">
        <f t="shared" si="0"/>
        <v>4707758</v>
      </c>
      <c r="Y30" s="725">
        <f>SUM(Y9:Y29)</f>
        <v>5880348</v>
      </c>
      <c r="Z30" s="725">
        <f>SUM(Z9:Z29)</f>
        <v>5774528</v>
      </c>
      <c r="AA30" s="725">
        <f>SUM(AA9:AA29)</f>
        <v>5828492</v>
      </c>
      <c r="AB30" s="725">
        <f>SUM(AB9:AB29)</f>
        <v>6026789</v>
      </c>
      <c r="AC30" s="725">
        <f>SUM(AC9:AC29)</f>
        <v>6260914</v>
      </c>
      <c r="AD30" s="725">
        <f t="shared" ref="AD30:AF30" si="1">SUM(AD9:AD29)</f>
        <v>6252346.2589999996</v>
      </c>
      <c r="AE30" s="725">
        <f t="shared" si="1"/>
        <v>6342591</v>
      </c>
      <c r="AF30" s="725">
        <f t="shared" si="1"/>
        <v>6782988</v>
      </c>
      <c r="AG30" s="725">
        <f>SUM(AG9:AG29)</f>
        <v>6781780.4329999993</v>
      </c>
      <c r="AH30" s="725">
        <f t="shared" ref="AH30" si="2">SUM(AH9:AH29)</f>
        <v>7035435.6469999999</v>
      </c>
      <c r="AI30" s="725"/>
      <c r="AJ30" s="1384">
        <f>SUM(D30:AI30)</f>
        <v>268619829.6806283</v>
      </c>
      <c r="AK30" s="145"/>
      <c r="AP30" s="148"/>
      <c r="AQ30" s="146"/>
      <c r="AR30" s="146"/>
      <c r="AS30" s="146"/>
    </row>
    <row r="31" spans="1:45" ht="15.75" thickBot="1">
      <c r="A31" s="1385"/>
      <c r="B31" s="1386" t="s">
        <v>139</v>
      </c>
      <c r="C31" s="1387"/>
      <c r="D31" s="1388">
        <f t="shared" ref="D31:AB31" si="3">D30/32.1507466</f>
        <v>2682981.3370000003</v>
      </c>
      <c r="E31" s="1388">
        <f t="shared" si="3"/>
        <v>187744</v>
      </c>
      <c r="F31" s="1388">
        <f t="shared" si="3"/>
        <v>184410.36762735707</v>
      </c>
      <c r="G31" s="1388">
        <f t="shared" si="3"/>
        <v>182450.03990047312</v>
      </c>
      <c r="H31" s="1388">
        <f t="shared" si="3"/>
        <v>182153.77197492516</v>
      </c>
      <c r="I31" s="1388">
        <f t="shared" si="3"/>
        <v>191708.79455730895</v>
      </c>
      <c r="J31" s="1388">
        <f t="shared" si="3"/>
        <v>189752.59302189376</v>
      </c>
      <c r="K31" s="1388">
        <f t="shared" si="3"/>
        <v>221184.08269457318</v>
      </c>
      <c r="L31" s="1388">
        <f t="shared" si="3"/>
        <v>238335.34656807422</v>
      </c>
      <c r="M31" s="1388">
        <f t="shared" si="3"/>
        <v>231379.18398868537</v>
      </c>
      <c r="N31" s="1388">
        <f t="shared" si="3"/>
        <v>211760.99132985613</v>
      </c>
      <c r="O31" s="1388">
        <f t="shared" si="3"/>
        <v>199495.75707710005</v>
      </c>
      <c r="P31" s="1388">
        <f t="shared" si="3"/>
        <v>192203.67654359125</v>
      </c>
      <c r="Q31" s="1388">
        <f t="shared" si="3"/>
        <v>188858.66796013998</v>
      </c>
      <c r="R31" s="1388">
        <f t="shared" si="3"/>
        <v>187498.07804929797</v>
      </c>
      <c r="S31" s="1388">
        <f t="shared" si="3"/>
        <v>164421.60879710334</v>
      </c>
      <c r="T31" s="1388">
        <f t="shared" si="3"/>
        <v>167285.10435275553</v>
      </c>
      <c r="U31" s="1388">
        <f t="shared" si="3"/>
        <v>162968.7815710009</v>
      </c>
      <c r="V31" s="1388">
        <f t="shared" si="3"/>
        <v>151448.64474158123</v>
      </c>
      <c r="W31" s="1388">
        <f t="shared" si="3"/>
        <v>132074.04023395214</v>
      </c>
      <c r="X31" s="1388">
        <f t="shared" si="3"/>
        <v>146427.6415901334</v>
      </c>
      <c r="Y31" s="1388">
        <f t="shared" si="3"/>
        <v>182899.26741545717</v>
      </c>
      <c r="Z31" s="1388">
        <f t="shared" si="3"/>
        <v>179607.89750369283</v>
      </c>
      <c r="AA31" s="1388">
        <f t="shared" si="3"/>
        <v>181286.36552409022</v>
      </c>
      <c r="AB31" s="1388">
        <f t="shared" si="3"/>
        <v>187454.09165708147</v>
      </c>
      <c r="AC31" s="1388">
        <f>AC30/32.1507466</f>
        <v>194736.19315577575</v>
      </c>
      <c r="AD31" s="1388">
        <f t="shared" ref="AD31:AG31" si="4">AD30/32.1507466</f>
        <v>194469.70662261386</v>
      </c>
      <c r="AE31" s="1388">
        <f t="shared" si="4"/>
        <v>197276.63182789044</v>
      </c>
      <c r="AF31" s="1388">
        <f t="shared" si="4"/>
        <v>210974.50968681395</v>
      </c>
      <c r="AG31" s="1388">
        <f t="shared" si="4"/>
        <v>210936.95015468163</v>
      </c>
      <c r="AH31" s="1388">
        <f t="shared" ref="AH31" si="5">AH30/32.1507466</f>
        <v>218826.50921083122</v>
      </c>
      <c r="AI31" s="1388"/>
      <c r="AJ31" s="1389">
        <f>AJ30/32.1507466</f>
        <v>8355010.6323387315</v>
      </c>
    </row>
    <row r="32" spans="1:45">
      <c r="A32" s="153"/>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row>
    <row r="33" spans="4:36">
      <c r="G33" s="147"/>
      <c r="H33" s="147"/>
      <c r="I33" s="147"/>
      <c r="J33" s="147"/>
      <c r="K33" s="147"/>
      <c r="L33" s="147"/>
      <c r="M33" s="147"/>
      <c r="N33" s="147"/>
      <c r="O33" s="147"/>
      <c r="P33" s="147"/>
      <c r="Q33" s="147"/>
      <c r="R33" s="147"/>
      <c r="S33" s="1247"/>
      <c r="T33" s="1247"/>
      <c r="U33" s="1246"/>
      <c r="V33" s="1246"/>
      <c r="W33" s="1246"/>
      <c r="X33" s="1246"/>
      <c r="Y33" s="1246"/>
      <c r="Z33" s="1246"/>
      <c r="AA33" s="1246"/>
      <c r="AB33" s="1246"/>
      <c r="AC33" s="1246"/>
      <c r="AD33" s="1246"/>
      <c r="AE33" s="1246"/>
      <c r="AF33" s="1246"/>
      <c r="AG33" s="1246"/>
      <c r="AH33" s="1246"/>
      <c r="AI33" s="1246"/>
      <c r="AJ33" s="1246"/>
    </row>
    <row r="34" spans="4:36">
      <c r="G34" s="147"/>
      <c r="H34" s="147"/>
      <c r="I34" s="147"/>
      <c r="J34" s="147"/>
      <c r="K34" s="147"/>
      <c r="L34" s="147"/>
      <c r="M34" s="147"/>
      <c r="N34" s="147"/>
      <c r="O34" s="147"/>
      <c r="P34" s="147"/>
      <c r="Q34" s="147"/>
      <c r="R34" s="147"/>
      <c r="S34" s="1247"/>
      <c r="T34" s="1247"/>
      <c r="U34" s="1246"/>
      <c r="V34" s="1246"/>
      <c r="W34" s="1246"/>
      <c r="X34" s="1246"/>
      <c r="Y34" s="1246"/>
      <c r="Z34" s="1246"/>
      <c r="AA34" s="1246"/>
      <c r="AB34" s="1246"/>
      <c r="AC34" s="1246"/>
      <c r="AD34" s="1246"/>
      <c r="AE34" s="1246"/>
      <c r="AF34" s="1246"/>
      <c r="AG34" s="1246"/>
      <c r="AH34" s="1246"/>
      <c r="AI34" s="1246"/>
      <c r="AJ34" s="1246"/>
    </row>
    <row r="35" spans="4:36">
      <c r="G35" s="147"/>
      <c r="H35" s="147"/>
      <c r="I35" s="147"/>
      <c r="J35" s="147"/>
      <c r="K35" s="147"/>
      <c r="L35" s="147"/>
      <c r="M35" s="147"/>
      <c r="N35" s="147"/>
      <c r="O35" s="147"/>
      <c r="P35" s="147"/>
      <c r="Q35" s="147"/>
      <c r="R35" s="147"/>
      <c r="S35" s="1247"/>
      <c r="T35" s="1247"/>
      <c r="U35" s="1246"/>
      <c r="V35" s="1246"/>
      <c r="W35" s="1246"/>
      <c r="X35" s="1246"/>
      <c r="Y35" s="1246"/>
      <c r="Z35" s="1246"/>
      <c r="AA35" s="1246"/>
      <c r="AB35" s="1246"/>
      <c r="AC35" s="1246"/>
      <c r="AD35" s="1246"/>
      <c r="AE35" s="1246"/>
      <c r="AF35" s="1246"/>
      <c r="AG35" s="1246"/>
      <c r="AH35" s="1246"/>
      <c r="AI35" s="1246"/>
      <c r="AJ35" s="1246"/>
    </row>
    <row r="36" spans="4:36">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row>
    <row r="37" spans="4:36">
      <c r="G37" s="147"/>
      <c r="H37" s="147"/>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c r="AI37" s="147"/>
      <c r="AJ37" s="147"/>
    </row>
    <row r="38" spans="4:36">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row>
    <row r="39" spans="4:36">
      <c r="G39" s="147"/>
      <c r="H39" s="147"/>
      <c r="I39" s="147"/>
      <c r="J39" s="147"/>
      <c r="K39" s="147"/>
      <c r="L39" s="147"/>
      <c r="M39" s="147"/>
      <c r="N39" s="147"/>
      <c r="O39" s="147"/>
      <c r="Q39" s="147"/>
      <c r="R39" s="147"/>
      <c r="S39" s="147"/>
      <c r="T39" s="147"/>
      <c r="U39" s="147"/>
      <c r="V39" s="147"/>
      <c r="W39" s="147"/>
      <c r="X39" s="147"/>
      <c r="Y39" s="147"/>
      <c r="Z39" s="147"/>
      <c r="AA39" s="147"/>
      <c r="AB39" s="147"/>
      <c r="AC39" s="147"/>
      <c r="AD39" s="147"/>
      <c r="AE39" s="147"/>
      <c r="AF39" s="147"/>
      <c r="AG39" s="147"/>
      <c r="AH39" s="147"/>
      <c r="AI39" s="147"/>
      <c r="AJ39" s="147"/>
    </row>
    <row r="40" spans="4:36">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row>
    <row r="41" spans="4:36">
      <c r="G41" s="147"/>
      <c r="H41" s="147"/>
      <c r="I41" s="147"/>
      <c r="J41" s="147"/>
      <c r="K41" s="147"/>
      <c r="L41" s="147"/>
      <c r="M41" s="147"/>
      <c r="N41" s="147"/>
      <c r="O41" s="147"/>
      <c r="Q41" s="147"/>
      <c r="R41" s="147"/>
      <c r="S41" s="147"/>
      <c r="T41" s="147"/>
      <c r="U41" s="147"/>
      <c r="V41" s="147"/>
      <c r="W41" s="147"/>
      <c r="X41" s="147"/>
      <c r="Y41" s="147"/>
      <c r="Z41" s="147"/>
      <c r="AA41" s="147"/>
      <c r="AB41" s="147"/>
      <c r="AC41" s="147"/>
      <c r="AD41" s="147"/>
      <c r="AE41" s="147"/>
      <c r="AF41" s="147"/>
      <c r="AG41" s="147"/>
      <c r="AH41" s="147"/>
      <c r="AI41" s="147"/>
      <c r="AJ41" s="147"/>
    </row>
    <row r="42" spans="4:36">
      <c r="G42" s="147"/>
      <c r="H42" s="147"/>
      <c r="I42" s="147"/>
      <c r="J42" s="147"/>
      <c r="K42" s="147"/>
      <c r="L42" s="147"/>
      <c r="M42" s="147"/>
      <c r="N42" s="147"/>
      <c r="O42" s="147"/>
      <c r="Q42" s="147"/>
      <c r="R42" s="147"/>
      <c r="S42" s="147"/>
      <c r="T42" s="147"/>
      <c r="U42" s="147"/>
      <c r="V42" s="147"/>
      <c r="W42" s="147"/>
      <c r="X42" s="147"/>
      <c r="Y42" s="147"/>
      <c r="Z42" s="147"/>
      <c r="AA42" s="147"/>
      <c r="AB42" s="147"/>
      <c r="AC42" s="147"/>
      <c r="AD42" s="147"/>
      <c r="AE42" s="147"/>
      <c r="AF42" s="147"/>
      <c r="AG42" s="147"/>
      <c r="AH42" s="147"/>
      <c r="AI42" s="147"/>
      <c r="AJ42" s="147"/>
    </row>
    <row r="43" spans="4:36">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row>
    <row r="44" spans="4:36">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row>
    <row r="45" spans="4:36">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c r="AG45" s="147"/>
      <c r="AH45" s="147"/>
      <c r="AI45" s="147"/>
      <c r="AJ45" s="147"/>
    </row>
    <row r="46" spans="4:36">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row>
    <row r="47" spans="4:36">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row>
    <row r="48" spans="4:36">
      <c r="D48" s="147"/>
      <c r="E48" s="147"/>
      <c r="F48" s="147"/>
      <c r="G48" s="147"/>
      <c r="H48" s="147"/>
      <c r="I48" s="147"/>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147"/>
    </row>
    <row r="49" spans="4:36">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row>
    <row r="50" spans="4:36">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row>
    <row r="51" spans="4:36">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row>
    <row r="52" spans="4:36">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row>
    <row r="53" spans="4:36">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row>
    <row r="54" spans="4:36">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row>
    <row r="55" spans="4:36">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row>
    <row r="56" spans="4:36">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row>
    <row r="57" spans="4:36">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row>
    <row r="58" spans="4:36">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row>
    <row r="59" spans="4:36">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47"/>
      <c r="AJ59" s="147"/>
    </row>
    <row r="60" spans="4:36">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7"/>
      <c r="AI60" s="147"/>
      <c r="AJ60" s="147"/>
    </row>
    <row r="61" spans="4:36">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7"/>
      <c r="AI61" s="147"/>
      <c r="AJ61" s="147"/>
    </row>
    <row r="62" spans="4:36">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row>
    <row r="63" spans="4:36">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row>
    <row r="64" spans="4:36">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row>
    <row r="65" spans="4:36">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row>
    <row r="66" spans="4:36">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row>
    <row r="67" spans="4:36">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row>
    <row r="68" spans="4:36">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row>
    <row r="69" spans="4:36">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7"/>
      <c r="AI69" s="147"/>
      <c r="AJ69" s="147"/>
    </row>
    <row r="70" spans="4:36">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row>
    <row r="71" spans="4:36">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row>
    <row r="72" spans="4:36">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7"/>
      <c r="AI72" s="147"/>
      <c r="AJ72" s="147"/>
    </row>
    <row r="73" spans="4:36">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row>
    <row r="74" spans="4:36">
      <c r="D74" s="147"/>
      <c r="E74" s="147"/>
      <c r="F74" s="147"/>
      <c r="G74" s="147"/>
      <c r="H74" s="147"/>
      <c r="I74" s="147"/>
      <c r="J74" s="147"/>
      <c r="K74" s="147"/>
      <c r="L74" s="147"/>
      <c r="M74" s="147"/>
      <c r="N74" s="147"/>
      <c r="O74" s="147"/>
      <c r="P74" s="147"/>
      <c r="Q74" s="147"/>
      <c r="R74" s="147"/>
      <c r="S74" s="147"/>
      <c r="T74" s="147"/>
      <c r="U74" s="147"/>
      <c r="V74" s="147"/>
      <c r="W74" s="147"/>
      <c r="X74" s="147"/>
      <c r="Y74" s="147"/>
      <c r="Z74" s="147"/>
      <c r="AA74" s="147"/>
      <c r="AB74" s="147"/>
      <c r="AC74" s="147"/>
      <c r="AD74" s="147"/>
      <c r="AE74" s="147"/>
      <c r="AF74" s="147"/>
      <c r="AG74" s="147"/>
      <c r="AH74" s="147"/>
      <c r="AI74" s="147"/>
      <c r="AJ74" s="147"/>
    </row>
    <row r="75" spans="4:36">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47"/>
      <c r="AI75" s="147"/>
      <c r="AJ75" s="147"/>
    </row>
    <row r="76" spans="4:36">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c r="AC76" s="147"/>
      <c r="AD76" s="147"/>
      <c r="AE76" s="147"/>
      <c r="AF76" s="147"/>
      <c r="AG76" s="147"/>
      <c r="AH76" s="147"/>
      <c r="AI76" s="147"/>
      <c r="AJ76" s="147"/>
    </row>
    <row r="77" spans="4:36">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7"/>
      <c r="AI77" s="147"/>
      <c r="AJ77" s="147"/>
    </row>
    <row r="78" spans="4:36">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7"/>
      <c r="AI78" s="147"/>
      <c r="AJ78" s="147"/>
    </row>
    <row r="79" spans="4:36">
      <c r="D79" s="147"/>
      <c r="E79" s="147"/>
      <c r="F79" s="147"/>
      <c r="G79" s="147"/>
      <c r="H79" s="147"/>
      <c r="I79" s="147"/>
      <c r="J79" s="147"/>
      <c r="K79" s="147"/>
      <c r="L79" s="147"/>
      <c r="M79" s="147"/>
      <c r="N79" s="147"/>
      <c r="O79" s="147"/>
      <c r="P79" s="147"/>
      <c r="Q79" s="147"/>
      <c r="R79" s="147"/>
      <c r="S79" s="147"/>
      <c r="T79" s="147"/>
      <c r="U79" s="147"/>
      <c r="V79" s="147"/>
      <c r="W79" s="147"/>
      <c r="X79" s="147"/>
      <c r="Y79" s="147"/>
      <c r="Z79" s="147"/>
      <c r="AA79" s="147"/>
      <c r="AB79" s="147"/>
      <c r="AC79" s="147"/>
      <c r="AD79" s="147"/>
      <c r="AE79" s="147"/>
      <c r="AF79" s="147"/>
      <c r="AG79" s="147"/>
      <c r="AH79" s="147"/>
      <c r="AI79" s="147"/>
      <c r="AJ79" s="147"/>
    </row>
    <row r="80" spans="4:36">
      <c r="D80" s="147"/>
      <c r="E80" s="147"/>
      <c r="F80" s="147"/>
      <c r="G80" s="147"/>
      <c r="H80" s="147"/>
      <c r="I80" s="147"/>
      <c r="J80" s="147"/>
      <c r="K80" s="147"/>
      <c r="L80" s="147"/>
      <c r="M80" s="147"/>
      <c r="N80" s="147"/>
      <c r="O80" s="147"/>
      <c r="P80" s="147"/>
      <c r="Q80" s="147"/>
      <c r="R80" s="147"/>
      <c r="S80" s="147"/>
      <c r="T80" s="147"/>
      <c r="U80" s="147"/>
      <c r="V80" s="147"/>
      <c r="W80" s="147"/>
      <c r="X80" s="147"/>
      <c r="Y80" s="147"/>
      <c r="Z80" s="147"/>
      <c r="AA80" s="147"/>
      <c r="AB80" s="147"/>
      <c r="AC80" s="147"/>
      <c r="AD80" s="147"/>
      <c r="AE80" s="147"/>
      <c r="AF80" s="147"/>
      <c r="AG80" s="147"/>
      <c r="AH80" s="147"/>
      <c r="AI80" s="147"/>
      <c r="AJ80" s="147"/>
    </row>
    <row r="81" spans="4:36">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147"/>
    </row>
    <row r="82" spans="4:36">
      <c r="D82" s="147"/>
      <c r="E82" s="147"/>
      <c r="F82" s="147"/>
      <c r="G82" s="147"/>
      <c r="H82" s="147"/>
      <c r="I82" s="147"/>
      <c r="J82" s="147"/>
      <c r="K82" s="147"/>
      <c r="L82" s="147"/>
      <c r="M82" s="147"/>
      <c r="N82" s="147"/>
      <c r="O82" s="147"/>
      <c r="P82" s="147"/>
      <c r="Q82" s="147"/>
      <c r="R82" s="147"/>
      <c r="S82" s="147"/>
      <c r="T82" s="147"/>
      <c r="U82" s="147"/>
      <c r="V82" s="147"/>
      <c r="W82" s="147"/>
      <c r="X82" s="147"/>
      <c r="Y82" s="147"/>
      <c r="Z82" s="147"/>
      <c r="AA82" s="147"/>
      <c r="AB82" s="147"/>
      <c r="AC82" s="147"/>
      <c r="AD82" s="147"/>
      <c r="AE82" s="147"/>
      <c r="AF82" s="147"/>
      <c r="AG82" s="147"/>
      <c r="AH82" s="147"/>
      <c r="AI82" s="147"/>
      <c r="AJ82" s="147"/>
    </row>
    <row r="83" spans="4:36">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7"/>
      <c r="AI83" s="147"/>
      <c r="AJ83" s="147"/>
    </row>
    <row r="84" spans="4:36">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7"/>
      <c r="AI84" s="147"/>
      <c r="AJ84" s="147"/>
    </row>
    <row r="85" spans="4:36">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row>
    <row r="86" spans="4:36">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7"/>
      <c r="AI86" s="147"/>
      <c r="AJ86" s="147"/>
    </row>
    <row r="87" spans="4:36">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row>
    <row r="88" spans="4:36">
      <c r="D88" s="147"/>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row>
    <row r="89" spans="4:36">
      <c r="D89" s="147"/>
      <c r="E89" s="147"/>
      <c r="F89" s="147"/>
      <c r="G89" s="147"/>
      <c r="H89" s="147"/>
      <c r="I89" s="147"/>
      <c r="J89" s="147"/>
      <c r="K89" s="147"/>
      <c r="L89" s="147"/>
      <c r="M89" s="147"/>
      <c r="N89" s="147"/>
      <c r="O89" s="147"/>
      <c r="P89" s="147"/>
      <c r="Q89" s="147"/>
      <c r="R89" s="147"/>
      <c r="S89" s="147"/>
      <c r="T89" s="147"/>
      <c r="U89" s="147"/>
      <c r="V89" s="147"/>
      <c r="W89" s="147"/>
      <c r="X89" s="147"/>
      <c r="Y89" s="147"/>
      <c r="Z89" s="147"/>
      <c r="AA89" s="147"/>
      <c r="AB89" s="147"/>
      <c r="AC89" s="147"/>
      <c r="AD89" s="147"/>
      <c r="AE89" s="147"/>
      <c r="AF89" s="147"/>
      <c r="AG89" s="147"/>
      <c r="AH89" s="147"/>
      <c r="AI89" s="147"/>
      <c r="AJ89" s="147"/>
    </row>
    <row r="90" spans="4:36">
      <c r="D90" s="147"/>
      <c r="E90" s="147"/>
      <c r="F90" s="147"/>
      <c r="G90" s="147"/>
      <c r="H90" s="147"/>
      <c r="I90" s="147"/>
      <c r="J90" s="147"/>
      <c r="K90" s="147"/>
      <c r="L90" s="147"/>
      <c r="M90" s="147"/>
      <c r="N90" s="147"/>
      <c r="O90" s="147"/>
      <c r="P90" s="147"/>
      <c r="Q90" s="147"/>
      <c r="R90" s="147"/>
      <c r="S90" s="147"/>
      <c r="T90" s="147"/>
      <c r="U90" s="147"/>
      <c r="V90" s="147"/>
      <c r="W90" s="147"/>
      <c r="X90" s="147"/>
      <c r="Y90" s="147"/>
      <c r="Z90" s="147"/>
      <c r="AA90" s="147"/>
      <c r="AB90" s="147"/>
      <c r="AC90" s="147"/>
      <c r="AD90" s="147"/>
      <c r="AE90" s="147"/>
      <c r="AF90" s="147"/>
      <c r="AG90" s="147"/>
      <c r="AH90" s="147"/>
      <c r="AI90" s="147"/>
      <c r="AJ90" s="147"/>
    </row>
    <row r="91" spans="4:36">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row>
    <row r="92" spans="4:36">
      <c r="D92" s="147"/>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c r="AC92" s="147"/>
      <c r="AD92" s="147"/>
      <c r="AE92" s="147"/>
      <c r="AF92" s="147"/>
      <c r="AG92" s="147"/>
      <c r="AH92" s="147"/>
      <c r="AI92" s="147"/>
      <c r="AJ92" s="147"/>
    </row>
    <row r="93" spans="4:36">
      <c r="D93" s="147"/>
      <c r="E93" s="147"/>
      <c r="F93" s="147"/>
      <c r="G93" s="147"/>
      <c r="H93" s="147"/>
      <c r="I93" s="147"/>
      <c r="J93" s="147"/>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7"/>
      <c r="AI93" s="147"/>
      <c r="AJ93" s="147"/>
    </row>
    <row r="94" spans="4:36">
      <c r="D94" s="147"/>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c r="AC94" s="147"/>
      <c r="AD94" s="147"/>
      <c r="AE94" s="147"/>
      <c r="AF94" s="147"/>
      <c r="AG94" s="147"/>
      <c r="AH94" s="147"/>
      <c r="AI94" s="147"/>
      <c r="AJ94" s="147"/>
    </row>
    <row r="95" spans="4:36">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c r="AC95" s="147"/>
      <c r="AD95" s="147"/>
      <c r="AE95" s="147"/>
      <c r="AF95" s="147"/>
      <c r="AG95" s="147"/>
      <c r="AH95" s="147"/>
      <c r="AI95" s="147"/>
      <c r="AJ95" s="147"/>
    </row>
    <row r="96" spans="4:36">
      <c r="D96" s="147"/>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7"/>
      <c r="AI96" s="147"/>
      <c r="AJ96" s="147"/>
    </row>
    <row r="97" spans="4:36">
      <c r="D97" s="147"/>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c r="AC97" s="147"/>
      <c r="AD97" s="147"/>
      <c r="AE97" s="147"/>
      <c r="AF97" s="147"/>
      <c r="AG97" s="147"/>
      <c r="AH97" s="147"/>
      <c r="AI97" s="147"/>
      <c r="AJ97" s="147"/>
    </row>
    <row r="98" spans="4:36">
      <c r="D98" s="147"/>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7"/>
      <c r="AI98" s="147"/>
      <c r="AJ98" s="147"/>
    </row>
    <row r="99" spans="4:36">
      <c r="D99" s="147"/>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7"/>
      <c r="AI99" s="147"/>
      <c r="AJ99" s="147"/>
    </row>
    <row r="100" spans="4:36">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c r="AH100" s="147"/>
      <c r="AI100" s="147"/>
      <c r="AJ100" s="147"/>
    </row>
    <row r="101" spans="4:36">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c r="AC101" s="147"/>
      <c r="AD101" s="147"/>
      <c r="AE101" s="147"/>
      <c r="AF101" s="147"/>
      <c r="AG101" s="147"/>
      <c r="AH101" s="147"/>
      <c r="AI101" s="147"/>
      <c r="AJ101" s="147"/>
    </row>
    <row r="102" spans="4:36">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row>
    <row r="103" spans="4:36">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7"/>
      <c r="AI103" s="147"/>
      <c r="AJ103" s="147"/>
    </row>
    <row r="104" spans="4:36">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c r="AC104" s="147"/>
      <c r="AD104" s="147"/>
      <c r="AE104" s="147"/>
      <c r="AF104" s="147"/>
      <c r="AG104" s="147"/>
      <c r="AH104" s="147"/>
      <c r="AI104" s="147"/>
      <c r="AJ104" s="147"/>
    </row>
    <row r="105" spans="4:36">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c r="AC105" s="147"/>
      <c r="AD105" s="147"/>
      <c r="AE105" s="147"/>
      <c r="AF105" s="147"/>
      <c r="AG105" s="147"/>
      <c r="AH105" s="147"/>
      <c r="AI105" s="147"/>
      <c r="AJ105" s="147"/>
    </row>
    <row r="106" spans="4:36">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c r="AC106" s="147"/>
      <c r="AD106" s="147"/>
      <c r="AE106" s="147"/>
      <c r="AF106" s="147"/>
      <c r="AG106" s="147"/>
      <c r="AH106" s="147"/>
      <c r="AI106" s="147"/>
      <c r="AJ106" s="147"/>
    </row>
    <row r="107" spans="4:36">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7"/>
      <c r="AI107" s="147"/>
      <c r="AJ107" s="147"/>
    </row>
    <row r="108" spans="4:36">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7"/>
      <c r="AI108" s="147"/>
      <c r="AJ108" s="147"/>
    </row>
    <row r="109" spans="4:36">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c r="AC109" s="147"/>
      <c r="AD109" s="147"/>
      <c r="AE109" s="147"/>
      <c r="AF109" s="147"/>
      <c r="AG109" s="147"/>
      <c r="AH109" s="147"/>
      <c r="AI109" s="147"/>
      <c r="AJ109" s="147"/>
    </row>
    <row r="110" spans="4:36">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row>
    <row r="111" spans="4:36">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row>
    <row r="112" spans="4:36">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c r="AG112" s="147"/>
      <c r="AH112" s="147"/>
      <c r="AI112" s="147"/>
      <c r="AJ112" s="147"/>
    </row>
    <row r="113" spans="4:36">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7"/>
      <c r="AI113" s="147"/>
      <c r="AJ113" s="147"/>
    </row>
    <row r="114" spans="4:36">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7"/>
      <c r="AC114" s="147"/>
      <c r="AD114" s="147"/>
      <c r="AE114" s="147"/>
      <c r="AF114" s="147"/>
      <c r="AG114" s="147"/>
      <c r="AH114" s="147"/>
      <c r="AI114" s="147"/>
      <c r="AJ114" s="147"/>
    </row>
    <row r="115" spans="4:36">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row>
    <row r="116" spans="4:36">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row>
    <row r="117" spans="4:36">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c r="AC117" s="147"/>
      <c r="AD117" s="147"/>
      <c r="AE117" s="147"/>
      <c r="AF117" s="147"/>
      <c r="AG117" s="147"/>
      <c r="AH117" s="147"/>
      <c r="AI117" s="147"/>
      <c r="AJ117" s="147"/>
    </row>
    <row r="118" spans="4:36">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7"/>
      <c r="AI118" s="147"/>
      <c r="AJ118" s="147"/>
    </row>
    <row r="119" spans="4:36">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c r="AC119" s="147"/>
      <c r="AD119" s="147"/>
      <c r="AE119" s="147"/>
      <c r="AF119" s="147"/>
      <c r="AG119" s="147"/>
      <c r="AH119" s="147"/>
      <c r="AI119" s="147"/>
      <c r="AJ119" s="147"/>
    </row>
    <row r="120" spans="4:36">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row>
    <row r="121" spans="4:36">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c r="AC121" s="147"/>
      <c r="AD121" s="147"/>
      <c r="AE121" s="147"/>
      <c r="AF121" s="147"/>
      <c r="AG121" s="147"/>
      <c r="AH121" s="147"/>
      <c r="AI121" s="147"/>
      <c r="AJ121" s="147"/>
    </row>
    <row r="122" spans="4:36">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c r="AG122" s="147"/>
      <c r="AH122" s="147"/>
      <c r="AI122" s="147"/>
      <c r="AJ122" s="147"/>
    </row>
    <row r="123" spans="4:36">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7"/>
      <c r="AI123" s="147"/>
      <c r="AJ123" s="147"/>
    </row>
    <row r="124" spans="4:36">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c r="AG124" s="147"/>
      <c r="AH124" s="147"/>
      <c r="AI124" s="147"/>
      <c r="AJ124" s="147"/>
    </row>
    <row r="125" spans="4:36">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147"/>
      <c r="AH125" s="147"/>
      <c r="AI125" s="147"/>
      <c r="AJ125" s="147"/>
    </row>
    <row r="126" spans="4:36">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c r="AC126" s="147"/>
      <c r="AD126" s="147"/>
      <c r="AE126" s="147"/>
      <c r="AF126" s="147"/>
      <c r="AG126" s="147"/>
      <c r="AH126" s="147"/>
      <c r="AI126" s="147"/>
      <c r="AJ126" s="147"/>
    </row>
    <row r="127" spans="4:36">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7"/>
      <c r="AC127" s="147"/>
      <c r="AD127" s="147"/>
      <c r="AE127" s="147"/>
      <c r="AF127" s="147"/>
      <c r="AG127" s="147"/>
      <c r="AH127" s="147"/>
      <c r="AI127" s="147"/>
      <c r="AJ127" s="147"/>
    </row>
    <row r="128" spans="4:36">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row>
    <row r="129" spans="4:36">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c r="AC129" s="147"/>
      <c r="AD129" s="147"/>
      <c r="AE129" s="147"/>
      <c r="AF129" s="147"/>
      <c r="AG129" s="147"/>
      <c r="AH129" s="147"/>
      <c r="AI129" s="147"/>
      <c r="AJ129" s="147"/>
    </row>
    <row r="130" spans="4:36">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c r="AA130" s="147"/>
      <c r="AB130" s="147"/>
      <c r="AC130" s="147"/>
      <c r="AD130" s="147"/>
      <c r="AE130" s="147"/>
      <c r="AF130" s="147"/>
      <c r="AG130" s="147"/>
      <c r="AH130" s="147"/>
      <c r="AI130" s="147"/>
      <c r="AJ130" s="147"/>
    </row>
    <row r="131" spans="4:36">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147"/>
      <c r="AD131" s="147"/>
      <c r="AE131" s="147"/>
      <c r="AF131" s="147"/>
      <c r="AG131" s="147"/>
      <c r="AH131" s="147"/>
      <c r="AI131" s="147"/>
      <c r="AJ131" s="147"/>
    </row>
    <row r="132" spans="4:36">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c r="AC132" s="147"/>
      <c r="AD132" s="147"/>
      <c r="AE132" s="147"/>
      <c r="AF132" s="147"/>
      <c r="AG132" s="147"/>
      <c r="AH132" s="147"/>
      <c r="AI132" s="147"/>
      <c r="AJ132" s="147"/>
    </row>
    <row r="133" spans="4:36">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7"/>
      <c r="AI133" s="147"/>
      <c r="AJ133" s="147"/>
    </row>
    <row r="134" spans="4:36">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c r="AA134" s="147"/>
      <c r="AB134" s="147"/>
      <c r="AC134" s="147"/>
      <c r="AD134" s="147"/>
      <c r="AE134" s="147"/>
      <c r="AF134" s="147"/>
      <c r="AG134" s="147"/>
      <c r="AH134" s="147"/>
      <c r="AI134" s="147"/>
      <c r="AJ134" s="147"/>
    </row>
    <row r="135" spans="4:36">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7"/>
      <c r="AC135" s="147"/>
      <c r="AD135" s="147"/>
      <c r="AE135" s="147"/>
      <c r="AF135" s="147"/>
      <c r="AG135" s="147"/>
      <c r="AH135" s="147"/>
      <c r="AI135" s="147"/>
      <c r="AJ135" s="147"/>
    </row>
    <row r="136" spans="4:36">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7"/>
      <c r="AC136" s="147"/>
      <c r="AD136" s="147"/>
      <c r="AE136" s="147"/>
      <c r="AF136" s="147"/>
      <c r="AG136" s="147"/>
      <c r="AH136" s="147"/>
      <c r="AI136" s="147"/>
      <c r="AJ136" s="147"/>
    </row>
    <row r="137" spans="4:36">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c r="AA137" s="147"/>
      <c r="AB137" s="147"/>
      <c r="AC137" s="147"/>
      <c r="AD137" s="147"/>
      <c r="AE137" s="147"/>
      <c r="AF137" s="147"/>
      <c r="AG137" s="147"/>
      <c r="AH137" s="147"/>
      <c r="AI137" s="147"/>
      <c r="AJ137" s="147"/>
    </row>
    <row r="138" spans="4:36">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7"/>
      <c r="AI138" s="147"/>
      <c r="AJ138" s="147"/>
    </row>
    <row r="139" spans="4:36">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c r="AC139" s="147"/>
      <c r="AD139" s="147"/>
      <c r="AE139" s="147"/>
      <c r="AF139" s="147"/>
      <c r="AG139" s="147"/>
      <c r="AH139" s="147"/>
      <c r="AI139" s="147"/>
      <c r="AJ139" s="147"/>
    </row>
    <row r="140" spans="4:36">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c r="AA140" s="147"/>
      <c r="AB140" s="147"/>
      <c r="AC140" s="147"/>
      <c r="AD140" s="147"/>
      <c r="AE140" s="147"/>
      <c r="AF140" s="147"/>
      <c r="AG140" s="147"/>
      <c r="AH140" s="147"/>
      <c r="AI140" s="147"/>
      <c r="AJ140" s="147"/>
    </row>
    <row r="141" spans="4:36">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c r="AA141" s="147"/>
      <c r="AB141" s="147"/>
      <c r="AC141" s="147"/>
      <c r="AD141" s="147"/>
      <c r="AE141" s="147"/>
      <c r="AF141" s="147"/>
      <c r="AG141" s="147"/>
      <c r="AH141" s="147"/>
      <c r="AI141" s="147"/>
      <c r="AJ141" s="147"/>
    </row>
    <row r="142" spans="4:36">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c r="AA142" s="147"/>
      <c r="AB142" s="147"/>
      <c r="AC142" s="147"/>
      <c r="AD142" s="147"/>
      <c r="AE142" s="147"/>
      <c r="AF142" s="147"/>
      <c r="AG142" s="147"/>
      <c r="AH142" s="147"/>
      <c r="AI142" s="147"/>
      <c r="AJ142" s="147"/>
    </row>
    <row r="143" spans="4:36">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7"/>
      <c r="AI143" s="147"/>
      <c r="AJ143" s="147"/>
    </row>
    <row r="144" spans="4:36">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c r="AC144" s="147"/>
      <c r="AD144" s="147"/>
      <c r="AE144" s="147"/>
      <c r="AF144" s="147"/>
      <c r="AG144" s="147"/>
      <c r="AH144" s="147"/>
      <c r="AI144" s="147"/>
      <c r="AJ144" s="147"/>
    </row>
    <row r="145" spans="4:36">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c r="AA145" s="147"/>
      <c r="AB145" s="147"/>
      <c r="AC145" s="147"/>
      <c r="AD145" s="147"/>
      <c r="AE145" s="147"/>
      <c r="AF145" s="147"/>
      <c r="AG145" s="147"/>
      <c r="AH145" s="147"/>
      <c r="AI145" s="147"/>
      <c r="AJ145" s="147"/>
    </row>
    <row r="146" spans="4:36">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7"/>
      <c r="AC146" s="147"/>
      <c r="AD146" s="147"/>
      <c r="AE146" s="147"/>
      <c r="AF146" s="147"/>
      <c r="AG146" s="147"/>
      <c r="AH146" s="147"/>
      <c r="AI146" s="147"/>
      <c r="AJ146" s="147"/>
    </row>
    <row r="147" spans="4:36">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c r="AA147" s="147"/>
      <c r="AB147" s="147"/>
      <c r="AC147" s="147"/>
      <c r="AD147" s="147"/>
      <c r="AE147" s="147"/>
      <c r="AF147" s="147"/>
      <c r="AG147" s="147"/>
      <c r="AH147" s="147"/>
      <c r="AI147" s="147"/>
      <c r="AJ147" s="147"/>
    </row>
    <row r="148" spans="4:36">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7"/>
      <c r="AI148" s="147"/>
      <c r="AJ148" s="147"/>
    </row>
    <row r="149" spans="4:36">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c r="AC149" s="147"/>
      <c r="AD149" s="147"/>
      <c r="AE149" s="147"/>
      <c r="AF149" s="147"/>
      <c r="AG149" s="147"/>
      <c r="AH149" s="147"/>
      <c r="AI149" s="147"/>
      <c r="AJ149" s="147"/>
    </row>
    <row r="150" spans="4:36">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c r="AA150" s="147"/>
      <c r="AB150" s="147"/>
      <c r="AC150" s="147"/>
      <c r="AD150" s="147"/>
      <c r="AE150" s="147"/>
      <c r="AF150" s="147"/>
      <c r="AG150" s="147"/>
      <c r="AH150" s="147"/>
      <c r="AI150" s="147"/>
      <c r="AJ150" s="147"/>
    </row>
    <row r="151" spans="4:36">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c r="AC151" s="147"/>
      <c r="AD151" s="147"/>
      <c r="AE151" s="147"/>
      <c r="AF151" s="147"/>
      <c r="AG151" s="147"/>
      <c r="AH151" s="147"/>
      <c r="AI151" s="147"/>
      <c r="AJ151" s="147"/>
    </row>
    <row r="152" spans="4:36">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7"/>
      <c r="AC152" s="147"/>
      <c r="AD152" s="147"/>
      <c r="AE152" s="147"/>
      <c r="AF152" s="147"/>
      <c r="AG152" s="147"/>
      <c r="AH152" s="147"/>
      <c r="AI152" s="147"/>
      <c r="AJ152" s="147"/>
    </row>
    <row r="153" spans="4:36">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7"/>
      <c r="AI153" s="147"/>
      <c r="AJ153" s="147"/>
    </row>
    <row r="154" spans="4:36">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7"/>
      <c r="AC154" s="147"/>
      <c r="AD154" s="147"/>
      <c r="AE154" s="147"/>
      <c r="AF154" s="147"/>
      <c r="AG154" s="147"/>
      <c r="AH154" s="147"/>
      <c r="AI154" s="147"/>
      <c r="AJ154" s="147"/>
    </row>
    <row r="155" spans="4:36">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7"/>
      <c r="AC155" s="147"/>
      <c r="AD155" s="147"/>
      <c r="AE155" s="147"/>
      <c r="AF155" s="147"/>
      <c r="AG155" s="147"/>
      <c r="AH155" s="147"/>
      <c r="AI155" s="147"/>
      <c r="AJ155" s="147"/>
    </row>
    <row r="156" spans="4:36">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c r="AC156" s="147"/>
      <c r="AD156" s="147"/>
      <c r="AE156" s="147"/>
      <c r="AF156" s="147"/>
      <c r="AG156" s="147"/>
      <c r="AH156" s="147"/>
      <c r="AI156" s="147"/>
      <c r="AJ156" s="147"/>
    </row>
    <row r="157" spans="4:36">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c r="AC157" s="147"/>
      <c r="AD157" s="147"/>
      <c r="AE157" s="147"/>
      <c r="AF157" s="147"/>
      <c r="AG157" s="147"/>
      <c r="AH157" s="147"/>
      <c r="AI157" s="147"/>
      <c r="AJ157" s="147"/>
    </row>
    <row r="158" spans="4:36">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7"/>
      <c r="AI158" s="147"/>
      <c r="AJ158" s="147"/>
    </row>
    <row r="159" spans="4:36">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c r="AC159" s="147"/>
      <c r="AD159" s="147"/>
      <c r="AE159" s="147"/>
      <c r="AF159" s="147"/>
      <c r="AG159" s="147"/>
      <c r="AH159" s="147"/>
      <c r="AI159" s="147"/>
      <c r="AJ159" s="147"/>
    </row>
    <row r="160" spans="4:36">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c r="AC160" s="147"/>
      <c r="AD160" s="147"/>
      <c r="AE160" s="147"/>
      <c r="AF160" s="147"/>
      <c r="AG160" s="147"/>
      <c r="AH160" s="147"/>
      <c r="AI160" s="147"/>
      <c r="AJ160" s="147"/>
    </row>
    <row r="161" spans="4:36">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c r="AC161" s="147"/>
      <c r="AD161" s="147"/>
      <c r="AE161" s="147"/>
      <c r="AF161" s="147"/>
      <c r="AG161" s="147"/>
      <c r="AH161" s="147"/>
      <c r="AI161" s="147"/>
      <c r="AJ161" s="147"/>
    </row>
    <row r="162" spans="4:36">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c r="AC162" s="147"/>
      <c r="AD162" s="147"/>
      <c r="AE162" s="147"/>
      <c r="AF162" s="147"/>
      <c r="AG162" s="147"/>
      <c r="AH162" s="147"/>
      <c r="AI162" s="147"/>
      <c r="AJ162" s="147"/>
    </row>
    <row r="163" spans="4:36">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7"/>
      <c r="AI163" s="147"/>
      <c r="AJ163" s="147"/>
    </row>
    <row r="164" spans="4:36">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c r="AC164" s="147"/>
      <c r="AD164" s="147"/>
      <c r="AE164" s="147"/>
      <c r="AF164" s="147"/>
      <c r="AG164" s="147"/>
      <c r="AH164" s="147"/>
      <c r="AI164" s="147"/>
      <c r="AJ164" s="147"/>
    </row>
    <row r="165" spans="4:36">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c r="AC165" s="147"/>
      <c r="AD165" s="147"/>
      <c r="AE165" s="147"/>
      <c r="AF165" s="147"/>
      <c r="AG165" s="147"/>
      <c r="AH165" s="147"/>
      <c r="AI165" s="147"/>
      <c r="AJ165" s="147"/>
    </row>
    <row r="166" spans="4:36">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c r="AC166" s="147"/>
      <c r="AD166" s="147"/>
      <c r="AE166" s="147"/>
      <c r="AF166" s="147"/>
      <c r="AG166" s="147"/>
      <c r="AH166" s="147"/>
      <c r="AI166" s="147"/>
      <c r="AJ166" s="147"/>
    </row>
    <row r="167" spans="4:36">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c r="AA167" s="147"/>
      <c r="AB167" s="147"/>
      <c r="AC167" s="147"/>
      <c r="AD167" s="147"/>
      <c r="AE167" s="147"/>
      <c r="AF167" s="147"/>
      <c r="AG167" s="147"/>
      <c r="AH167" s="147"/>
      <c r="AI167" s="147"/>
      <c r="AJ167" s="147"/>
    </row>
    <row r="168" spans="4:36">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7"/>
      <c r="AI168" s="147"/>
      <c r="AJ168" s="147"/>
    </row>
    <row r="169" spans="4:36">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c r="AC169" s="147"/>
      <c r="AD169" s="147"/>
      <c r="AE169" s="147"/>
      <c r="AF169" s="147"/>
      <c r="AG169" s="147"/>
      <c r="AH169" s="147"/>
      <c r="AI169" s="147"/>
      <c r="AJ169" s="147"/>
    </row>
    <row r="170" spans="4:36">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7"/>
      <c r="AC170" s="147"/>
      <c r="AD170" s="147"/>
      <c r="AE170" s="147"/>
      <c r="AF170" s="147"/>
      <c r="AG170" s="147"/>
      <c r="AH170" s="147"/>
      <c r="AI170" s="147"/>
      <c r="AJ170" s="147"/>
    </row>
    <row r="171" spans="4:36">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147"/>
      <c r="AC171" s="147"/>
      <c r="AD171" s="147"/>
      <c r="AE171" s="147"/>
      <c r="AF171" s="147"/>
      <c r="AG171" s="147"/>
      <c r="AH171" s="147"/>
      <c r="AI171" s="147"/>
      <c r="AJ171" s="147"/>
    </row>
    <row r="172" spans="4:36">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c r="AA172" s="147"/>
      <c r="AB172" s="147"/>
      <c r="AC172" s="147"/>
      <c r="AD172" s="147"/>
      <c r="AE172" s="147"/>
      <c r="AF172" s="147"/>
      <c r="AG172" s="147"/>
      <c r="AH172" s="147"/>
      <c r="AI172" s="147"/>
      <c r="AJ172" s="147"/>
    </row>
    <row r="173" spans="4:36">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7"/>
      <c r="AI173" s="147"/>
      <c r="AJ173" s="147"/>
    </row>
    <row r="174" spans="4:36">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7"/>
      <c r="AC174" s="147"/>
      <c r="AD174" s="147"/>
      <c r="AE174" s="147"/>
      <c r="AF174" s="147"/>
      <c r="AG174" s="147"/>
      <c r="AH174" s="147"/>
      <c r="AI174" s="147"/>
      <c r="AJ174" s="147"/>
    </row>
    <row r="175" spans="4:36">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7"/>
      <c r="AB175" s="147"/>
      <c r="AC175" s="147"/>
      <c r="AD175" s="147"/>
      <c r="AE175" s="147"/>
      <c r="AF175" s="147"/>
      <c r="AG175" s="147"/>
      <c r="AH175" s="147"/>
      <c r="AI175" s="147"/>
      <c r="AJ175" s="147"/>
    </row>
    <row r="176" spans="4:36">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c r="AC176" s="147"/>
      <c r="AD176" s="147"/>
      <c r="AE176" s="147"/>
      <c r="AF176" s="147"/>
      <c r="AG176" s="147"/>
      <c r="AH176" s="147"/>
      <c r="AI176" s="147"/>
      <c r="AJ176" s="147"/>
    </row>
    <row r="177" spans="4:36">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c r="AC177" s="147"/>
      <c r="AD177" s="147"/>
      <c r="AE177" s="147"/>
      <c r="AF177" s="147"/>
      <c r="AG177" s="147"/>
      <c r="AH177" s="147"/>
      <c r="AI177" s="147"/>
      <c r="AJ177" s="147"/>
    </row>
    <row r="178" spans="4:36">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7"/>
      <c r="AI178" s="147"/>
      <c r="AJ178" s="147"/>
    </row>
    <row r="179" spans="4:36">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c r="AC179" s="147"/>
      <c r="AD179" s="147"/>
      <c r="AE179" s="147"/>
      <c r="AF179" s="147"/>
      <c r="AG179" s="147"/>
      <c r="AH179" s="147"/>
      <c r="AI179" s="147"/>
      <c r="AJ179" s="147"/>
    </row>
    <row r="180" spans="4:36">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c r="AC180" s="147"/>
      <c r="AD180" s="147"/>
      <c r="AE180" s="147"/>
      <c r="AF180" s="147"/>
      <c r="AG180" s="147"/>
      <c r="AH180" s="147"/>
      <c r="AI180" s="147"/>
      <c r="AJ180" s="147"/>
    </row>
    <row r="181" spans="4:36">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c r="AA181" s="147"/>
      <c r="AB181" s="147"/>
      <c r="AC181" s="147"/>
      <c r="AD181" s="147"/>
      <c r="AE181" s="147"/>
      <c r="AF181" s="147"/>
      <c r="AG181" s="147"/>
      <c r="AH181" s="147"/>
      <c r="AI181" s="147"/>
      <c r="AJ181" s="147"/>
    </row>
    <row r="182" spans="4:36">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c r="AC182" s="147"/>
      <c r="AD182" s="147"/>
      <c r="AE182" s="147"/>
      <c r="AF182" s="147"/>
      <c r="AG182" s="147"/>
      <c r="AH182" s="147"/>
      <c r="AI182" s="147"/>
      <c r="AJ182" s="147"/>
    </row>
    <row r="183" spans="4:36">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7"/>
      <c r="AI183" s="147"/>
      <c r="AJ183" s="147"/>
    </row>
    <row r="184" spans="4:36">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c r="AC184" s="147"/>
      <c r="AD184" s="147"/>
      <c r="AE184" s="147"/>
      <c r="AF184" s="147"/>
      <c r="AG184" s="147"/>
      <c r="AH184" s="147"/>
      <c r="AI184" s="147"/>
      <c r="AJ184" s="147"/>
    </row>
    <row r="185" spans="4:36">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c r="AA185" s="147"/>
      <c r="AB185" s="147"/>
      <c r="AC185" s="147"/>
      <c r="AD185" s="147"/>
      <c r="AE185" s="147"/>
      <c r="AF185" s="147"/>
      <c r="AG185" s="147"/>
      <c r="AH185" s="147"/>
      <c r="AI185" s="147"/>
      <c r="AJ185" s="147"/>
    </row>
    <row r="186" spans="4:36">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c r="AA186" s="147"/>
      <c r="AB186" s="147"/>
      <c r="AC186" s="147"/>
      <c r="AD186" s="147"/>
      <c r="AE186" s="147"/>
      <c r="AF186" s="147"/>
      <c r="AG186" s="147"/>
      <c r="AH186" s="147"/>
      <c r="AI186" s="147"/>
      <c r="AJ186" s="147"/>
    </row>
    <row r="187" spans="4:36">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c r="AA187" s="147"/>
      <c r="AB187" s="147"/>
      <c r="AC187" s="147"/>
      <c r="AD187" s="147"/>
      <c r="AE187" s="147"/>
      <c r="AF187" s="147"/>
      <c r="AG187" s="147"/>
      <c r="AH187" s="147"/>
      <c r="AI187" s="147"/>
      <c r="AJ187" s="147"/>
    </row>
    <row r="188" spans="4:36">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7"/>
      <c r="AI188" s="147"/>
      <c r="AJ188" s="147"/>
    </row>
    <row r="189" spans="4:36">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c r="AA189" s="147"/>
      <c r="AB189" s="147"/>
      <c r="AC189" s="147"/>
      <c r="AD189" s="147"/>
      <c r="AE189" s="147"/>
      <c r="AF189" s="147"/>
      <c r="AG189" s="147"/>
      <c r="AH189" s="147"/>
      <c r="AI189" s="147"/>
      <c r="AJ189" s="147"/>
    </row>
    <row r="190" spans="4:36">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c r="AA190" s="147"/>
      <c r="AB190" s="147"/>
      <c r="AC190" s="147"/>
      <c r="AD190" s="147"/>
      <c r="AE190" s="147"/>
      <c r="AF190" s="147"/>
      <c r="AG190" s="147"/>
      <c r="AH190" s="147"/>
      <c r="AI190" s="147"/>
      <c r="AJ190" s="147"/>
    </row>
    <row r="191" spans="4:36">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c r="AA191" s="147"/>
      <c r="AB191" s="147"/>
      <c r="AC191" s="147"/>
      <c r="AD191" s="147"/>
      <c r="AE191" s="147"/>
      <c r="AF191" s="147"/>
      <c r="AG191" s="147"/>
      <c r="AH191" s="147"/>
      <c r="AI191" s="147"/>
      <c r="AJ191" s="147"/>
    </row>
    <row r="192" spans="4:36">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7"/>
      <c r="AC192" s="147"/>
      <c r="AD192" s="147"/>
      <c r="AE192" s="147"/>
      <c r="AF192" s="147"/>
      <c r="AG192" s="147"/>
      <c r="AH192" s="147"/>
      <c r="AI192" s="147"/>
      <c r="AJ192" s="147"/>
    </row>
    <row r="193" spans="4:36">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7"/>
      <c r="AI193" s="147"/>
      <c r="AJ193" s="147"/>
    </row>
    <row r="194" spans="4:36">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7"/>
      <c r="AB194" s="147"/>
      <c r="AC194" s="147"/>
      <c r="AD194" s="147"/>
      <c r="AE194" s="147"/>
      <c r="AF194" s="147"/>
      <c r="AG194" s="147"/>
      <c r="AH194" s="147"/>
      <c r="AI194" s="147"/>
      <c r="AJ194" s="147"/>
    </row>
    <row r="195" spans="4:36">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c r="AA195" s="147"/>
      <c r="AB195" s="147"/>
      <c r="AC195" s="147"/>
      <c r="AD195" s="147"/>
      <c r="AE195" s="147"/>
      <c r="AF195" s="147"/>
      <c r="AG195" s="147"/>
      <c r="AH195" s="147"/>
      <c r="AI195" s="147"/>
      <c r="AJ195" s="147"/>
    </row>
    <row r="196" spans="4:36">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c r="AA196" s="147"/>
      <c r="AB196" s="147"/>
      <c r="AC196" s="147"/>
      <c r="AD196" s="147"/>
      <c r="AE196" s="147"/>
      <c r="AF196" s="147"/>
      <c r="AG196" s="147"/>
      <c r="AH196" s="147"/>
      <c r="AI196" s="147"/>
      <c r="AJ196" s="147"/>
    </row>
    <row r="197" spans="4:36">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c r="AA197" s="147"/>
      <c r="AB197" s="147"/>
      <c r="AC197" s="147"/>
      <c r="AD197" s="147"/>
      <c r="AE197" s="147"/>
      <c r="AF197" s="147"/>
      <c r="AG197" s="147"/>
      <c r="AH197" s="147"/>
      <c r="AI197" s="147"/>
      <c r="AJ197" s="147"/>
    </row>
    <row r="198" spans="4:36">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7"/>
      <c r="AI198" s="147"/>
      <c r="AJ198" s="147"/>
    </row>
    <row r="199" spans="4:36">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c r="AA199" s="147"/>
      <c r="AB199" s="147"/>
      <c r="AC199" s="147"/>
      <c r="AD199" s="147"/>
      <c r="AE199" s="147"/>
      <c r="AF199" s="147"/>
      <c r="AG199" s="147"/>
      <c r="AH199" s="147"/>
      <c r="AI199" s="147"/>
      <c r="AJ199" s="147"/>
    </row>
    <row r="200" spans="4:36">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c r="AC200" s="147"/>
      <c r="AD200" s="147"/>
      <c r="AE200" s="147"/>
      <c r="AF200" s="147"/>
      <c r="AG200" s="147"/>
      <c r="AH200" s="147"/>
      <c r="AI200" s="147"/>
      <c r="AJ200" s="147"/>
    </row>
    <row r="201" spans="4:36">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c r="AA201" s="147"/>
      <c r="AB201" s="147"/>
      <c r="AC201" s="147"/>
      <c r="AD201" s="147"/>
      <c r="AE201" s="147"/>
      <c r="AF201" s="147"/>
      <c r="AG201" s="147"/>
      <c r="AH201" s="147"/>
      <c r="AI201" s="147"/>
      <c r="AJ201" s="147"/>
    </row>
    <row r="202" spans="4:36">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7"/>
      <c r="AB202" s="147"/>
      <c r="AC202" s="147"/>
      <c r="AD202" s="147"/>
      <c r="AE202" s="147"/>
      <c r="AF202" s="147"/>
      <c r="AG202" s="147"/>
      <c r="AH202" s="147"/>
      <c r="AI202" s="147"/>
      <c r="AJ202" s="147"/>
    </row>
    <row r="203" spans="4:36">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7"/>
      <c r="AI203" s="147"/>
      <c r="AJ203" s="147"/>
    </row>
    <row r="204" spans="4:36">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c r="AC204" s="147"/>
      <c r="AD204" s="147"/>
      <c r="AE204" s="147"/>
      <c r="AF204" s="147"/>
      <c r="AG204" s="147"/>
      <c r="AH204" s="147"/>
      <c r="AI204" s="147"/>
      <c r="AJ204" s="147"/>
    </row>
    <row r="205" spans="4:36">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c r="AA205" s="147"/>
      <c r="AB205" s="147"/>
      <c r="AC205" s="147"/>
      <c r="AD205" s="147"/>
      <c r="AE205" s="147"/>
      <c r="AF205" s="147"/>
      <c r="AG205" s="147"/>
      <c r="AH205" s="147"/>
      <c r="AI205" s="147"/>
      <c r="AJ205" s="147"/>
    </row>
    <row r="206" spans="4:36">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c r="AA206" s="147"/>
      <c r="AB206" s="147"/>
      <c r="AC206" s="147"/>
      <c r="AD206" s="147"/>
      <c r="AE206" s="147"/>
      <c r="AF206" s="147"/>
      <c r="AG206" s="147"/>
      <c r="AH206" s="147"/>
      <c r="AI206" s="147"/>
      <c r="AJ206" s="147"/>
    </row>
    <row r="207" spans="4:36">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c r="AC207" s="147"/>
      <c r="AD207" s="147"/>
      <c r="AE207" s="147"/>
      <c r="AF207" s="147"/>
      <c r="AG207" s="147"/>
      <c r="AH207" s="147"/>
      <c r="AI207" s="147"/>
      <c r="AJ207" s="147"/>
    </row>
    <row r="208" spans="4:36">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7"/>
      <c r="AI208" s="147"/>
      <c r="AJ208" s="147"/>
    </row>
    <row r="209" spans="4:36">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c r="AC209" s="147"/>
      <c r="AD209" s="147"/>
      <c r="AE209" s="147"/>
      <c r="AF209" s="147"/>
      <c r="AG209" s="147"/>
      <c r="AH209" s="147"/>
      <c r="AI209" s="147"/>
      <c r="AJ209" s="147"/>
    </row>
    <row r="210" spans="4:36">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c r="AC210" s="147"/>
      <c r="AD210" s="147"/>
      <c r="AE210" s="147"/>
      <c r="AF210" s="147"/>
      <c r="AG210" s="147"/>
      <c r="AH210" s="147"/>
      <c r="AI210" s="147"/>
      <c r="AJ210" s="147"/>
    </row>
    <row r="211" spans="4:36">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c r="AA211" s="147"/>
      <c r="AB211" s="147"/>
      <c r="AC211" s="147"/>
      <c r="AD211" s="147"/>
      <c r="AE211" s="147"/>
      <c r="AF211" s="147"/>
      <c r="AG211" s="147"/>
      <c r="AH211" s="147"/>
      <c r="AI211" s="147"/>
      <c r="AJ211" s="147"/>
    </row>
    <row r="212" spans="4:36">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c r="AC212" s="147"/>
      <c r="AD212" s="147"/>
      <c r="AE212" s="147"/>
      <c r="AF212" s="147"/>
      <c r="AG212" s="147"/>
      <c r="AH212" s="147"/>
      <c r="AI212" s="147"/>
      <c r="AJ212" s="147"/>
    </row>
    <row r="213" spans="4:36">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7"/>
      <c r="AI213" s="147"/>
      <c r="AJ213" s="147"/>
    </row>
    <row r="214" spans="4:36">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c r="AC214" s="147"/>
      <c r="AD214" s="147"/>
      <c r="AE214" s="147"/>
      <c r="AF214" s="147"/>
      <c r="AG214" s="147"/>
      <c r="AH214" s="147"/>
      <c r="AI214" s="147"/>
      <c r="AJ214" s="147"/>
    </row>
    <row r="215" spans="4:36">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c r="AC215" s="147"/>
      <c r="AD215" s="147"/>
      <c r="AE215" s="147"/>
      <c r="AF215" s="147"/>
      <c r="AG215" s="147"/>
      <c r="AH215" s="147"/>
      <c r="AI215" s="147"/>
      <c r="AJ215" s="147"/>
    </row>
    <row r="216" spans="4:36">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c r="AC216" s="147"/>
      <c r="AD216" s="147"/>
      <c r="AE216" s="147"/>
      <c r="AF216" s="147"/>
      <c r="AG216" s="147"/>
      <c r="AH216" s="147"/>
      <c r="AI216" s="147"/>
      <c r="AJ216" s="147"/>
    </row>
    <row r="217" spans="4:36">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7"/>
      <c r="AB217" s="147"/>
      <c r="AC217" s="147"/>
      <c r="AD217" s="147"/>
      <c r="AE217" s="147"/>
      <c r="AF217" s="147"/>
      <c r="AG217" s="147"/>
      <c r="AH217" s="147"/>
      <c r="AI217" s="147"/>
      <c r="AJ217" s="147"/>
    </row>
    <row r="218" spans="4:36">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row>
    <row r="219" spans="4:36">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row>
    <row r="220" spans="4:36">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c r="AA220" s="147"/>
      <c r="AB220" s="147"/>
      <c r="AC220" s="147"/>
      <c r="AD220" s="147"/>
      <c r="AE220" s="147"/>
      <c r="AF220" s="147"/>
      <c r="AG220" s="147"/>
      <c r="AH220" s="147"/>
      <c r="AI220" s="147"/>
      <c r="AJ220" s="147"/>
    </row>
    <row r="221" spans="4:36">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c r="AC221" s="147"/>
      <c r="AD221" s="147"/>
      <c r="AE221" s="147"/>
      <c r="AF221" s="147"/>
      <c r="AG221" s="147"/>
      <c r="AH221" s="147"/>
      <c r="AI221" s="147"/>
      <c r="AJ221" s="147"/>
    </row>
    <row r="222" spans="4:36">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c r="AA222" s="147"/>
      <c r="AB222" s="147"/>
      <c r="AC222" s="147"/>
      <c r="AD222" s="147"/>
      <c r="AE222" s="147"/>
      <c r="AF222" s="147"/>
      <c r="AG222" s="147"/>
      <c r="AH222" s="147"/>
      <c r="AI222" s="147"/>
      <c r="AJ222" s="147"/>
    </row>
    <row r="223" spans="4:36">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7"/>
      <c r="AI223" s="147"/>
      <c r="AJ223" s="147"/>
    </row>
    <row r="224" spans="4:36">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c r="AC224" s="147"/>
      <c r="AD224" s="147"/>
      <c r="AE224" s="147"/>
      <c r="AF224" s="147"/>
      <c r="AG224" s="147"/>
      <c r="AH224" s="147"/>
      <c r="AI224" s="147"/>
      <c r="AJ224" s="147"/>
    </row>
    <row r="225" spans="4:36">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c r="AA225" s="147"/>
      <c r="AB225" s="147"/>
      <c r="AC225" s="147"/>
      <c r="AD225" s="147"/>
      <c r="AE225" s="147"/>
      <c r="AF225" s="147"/>
      <c r="AG225" s="147"/>
      <c r="AH225" s="147"/>
      <c r="AI225" s="147"/>
      <c r="AJ225" s="147"/>
    </row>
    <row r="226" spans="4:36">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c r="AC226" s="147"/>
      <c r="AD226" s="147"/>
      <c r="AE226" s="147"/>
      <c r="AF226" s="147"/>
      <c r="AG226" s="147"/>
      <c r="AH226" s="147"/>
      <c r="AI226" s="147"/>
      <c r="AJ226" s="147"/>
    </row>
  </sheetData>
  <mergeCells count="2">
    <mergeCell ref="A6:B6"/>
    <mergeCell ref="A7:B7"/>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39997558519241921"/>
  </sheetPr>
  <dimension ref="A1:AB362"/>
  <sheetViews>
    <sheetView topLeftCell="C1" workbookViewId="0"/>
  </sheetViews>
  <sheetFormatPr defaultRowHeight="15"/>
  <cols>
    <col min="1" max="2" width="9.140625" style="798" hidden="1" customWidth="1"/>
    <col min="3" max="3" width="7.85546875" style="86" bestFit="1" customWidth="1"/>
    <col min="4" max="4" width="13.140625" style="86" bestFit="1" customWidth="1"/>
    <col min="5" max="5" width="11.5703125" style="86" bestFit="1" customWidth="1"/>
    <col min="6" max="7" width="11.5703125" style="98" hidden="1" customWidth="1"/>
    <col min="8" max="18" width="9.140625" style="86"/>
    <col min="19" max="21" width="15.140625" style="86" customWidth="1"/>
    <col min="22" max="16384" width="9.140625" style="86"/>
  </cols>
  <sheetData>
    <row r="1" spans="1:21">
      <c r="C1" s="350" t="s">
        <v>429</v>
      </c>
      <c r="L1" s="455"/>
    </row>
    <row r="2" spans="1:21">
      <c r="C2" s="350" t="s">
        <v>446</v>
      </c>
    </row>
    <row r="5" spans="1:21">
      <c r="C5" s="1947" t="s">
        <v>2</v>
      </c>
      <c r="D5" s="1947"/>
      <c r="E5" s="1947"/>
      <c r="F5" s="305"/>
      <c r="G5" s="305"/>
    </row>
    <row r="6" spans="1:21" ht="15.75" thickBot="1">
      <c r="C6" s="1992" t="s">
        <v>48</v>
      </c>
      <c r="D6" s="1992"/>
      <c r="E6" s="1992"/>
      <c r="F6" s="306"/>
      <c r="G6" s="306"/>
    </row>
    <row r="7" spans="1:21" ht="15.75" thickBot="1">
      <c r="C7" s="113" t="s">
        <v>6</v>
      </c>
      <c r="D7" s="112" t="s">
        <v>7</v>
      </c>
      <c r="E7" s="111" t="s">
        <v>804</v>
      </c>
      <c r="F7" s="297"/>
      <c r="G7" s="297"/>
      <c r="S7" s="1972" t="s">
        <v>87</v>
      </c>
      <c r="T7" s="1972"/>
      <c r="U7" s="1972"/>
    </row>
    <row r="8" spans="1:21" ht="15.75" thickBot="1">
      <c r="A8" s="798">
        <f>IF(OR(MONTH(C8)=1,MONTH(C8)=2,MONTH(C8)=3),1,IF(OR(MONTH(C8)=4,MONTH(C8)=5,MONTH(C8)=6),2,IF(OR(MONTH(C8)=7,MONTH(C8)=8,MONTH(C8)=9),3,4)))</f>
        <v>1</v>
      </c>
      <c r="B8" s="798">
        <f>YEAR(C8)</f>
        <v>1999</v>
      </c>
      <c r="C8" s="110">
        <v>36220</v>
      </c>
      <c r="D8" s="25">
        <v>31.82</v>
      </c>
      <c r="E8" s="73">
        <v>891.76</v>
      </c>
      <c r="F8" s="300">
        <f t="shared" ref="F8:F71" si="0">YEAR(C8)</f>
        <v>1999</v>
      </c>
      <c r="G8" s="302" t="str">
        <f>IF(MONTH(C8)=3,"1",IF(MONTH(C8)=6,"2",IF(MONTH(C8)=9,"3","4")))</f>
        <v>1</v>
      </c>
      <c r="S8" s="1971" t="s">
        <v>51</v>
      </c>
      <c r="T8" s="1971"/>
      <c r="U8" s="1971"/>
    </row>
    <row r="9" spans="1:21" ht="15.75" thickBot="1">
      <c r="A9" s="798">
        <f t="shared" ref="A9:A72" si="1">IF(OR(MONTH(C9)=1,MONTH(C9)=2,MONTH(C9)=3),1,IF(OR(MONTH(C9)=4,MONTH(C9)=5,MONTH(C9)=6),2,IF(OR(MONTH(C9)=7,MONTH(C9)=8,MONTH(C9)=9),3,4)))</f>
        <v>2</v>
      </c>
      <c r="B9" s="798">
        <f t="shared" ref="B9:B72" si="2">YEAR(C9)</f>
        <v>1999</v>
      </c>
      <c r="C9" s="110">
        <v>36312</v>
      </c>
      <c r="D9" s="109">
        <v>35.439</v>
      </c>
      <c r="E9" s="108">
        <v>846.16</v>
      </c>
      <c r="F9" s="300">
        <f t="shared" si="0"/>
        <v>1999</v>
      </c>
      <c r="G9" s="302" t="str">
        <f t="shared" ref="G9:G72" si="3">IF(MONTH(C9)=3,"1",IF(MONTH(C9)=6,"2",IF(MONTH(C9)=9,"3","4")))</f>
        <v>2</v>
      </c>
      <c r="S9" s="116" t="s">
        <v>6</v>
      </c>
      <c r="T9" s="1704" t="s">
        <v>7</v>
      </c>
      <c r="U9" s="1693" t="s">
        <v>804</v>
      </c>
    </row>
    <row r="10" spans="1:21">
      <c r="A10" s="798">
        <f t="shared" si="1"/>
        <v>3</v>
      </c>
      <c r="B10" s="798">
        <f t="shared" si="2"/>
        <v>1999</v>
      </c>
      <c r="C10" s="110">
        <v>36404</v>
      </c>
      <c r="D10" s="25">
        <v>38.18</v>
      </c>
      <c r="E10" s="73">
        <v>882.23</v>
      </c>
      <c r="F10" s="300">
        <f t="shared" si="0"/>
        <v>1999</v>
      </c>
      <c r="G10" s="302" t="str">
        <f t="shared" si="3"/>
        <v>3</v>
      </c>
      <c r="S10" s="1854">
        <f>LARGE(C$8:C$738,10)</f>
        <v>42979</v>
      </c>
      <c r="T10" s="560">
        <f t="shared" ref="T10:T19" si="4">SUMIF($C$8:$C$738,$S10,D$8:D$738)</f>
        <v>216.23917943100005</v>
      </c>
      <c r="U10" s="1701">
        <f t="shared" ref="U10:U19" si="5">SUMIF($C$8:$C$738,$S10,E$8:E$738)</f>
        <v>15795.866168</v>
      </c>
    </row>
    <row r="11" spans="1:21">
      <c r="A11" s="798">
        <f t="shared" si="1"/>
        <v>4</v>
      </c>
      <c r="B11" s="798">
        <f t="shared" si="2"/>
        <v>1999</v>
      </c>
      <c r="C11" s="110">
        <v>36495</v>
      </c>
      <c r="D11" s="109">
        <v>37.567</v>
      </c>
      <c r="E11" s="108">
        <v>896.91</v>
      </c>
      <c r="F11" s="300">
        <f t="shared" si="0"/>
        <v>1999</v>
      </c>
      <c r="G11" s="302" t="str">
        <f t="shared" si="3"/>
        <v>4</v>
      </c>
      <c r="S11" s="1855">
        <f>LARGE(C$8:C$738,9)</f>
        <v>43070</v>
      </c>
      <c r="T11" s="521">
        <f t="shared" si="4"/>
        <v>210.987711461</v>
      </c>
      <c r="U11" s="511">
        <f t="shared" si="5"/>
        <v>15113.749841000001</v>
      </c>
    </row>
    <row r="12" spans="1:21">
      <c r="A12" s="798">
        <f t="shared" si="1"/>
        <v>1</v>
      </c>
      <c r="B12" s="798">
        <f t="shared" si="2"/>
        <v>2000</v>
      </c>
      <c r="C12" s="110">
        <v>36586</v>
      </c>
      <c r="D12" s="25">
        <v>34.799999999999997</v>
      </c>
      <c r="E12" s="73">
        <v>843.83</v>
      </c>
      <c r="F12" s="300">
        <f t="shared" si="0"/>
        <v>2000</v>
      </c>
      <c r="G12" s="302" t="str">
        <f t="shared" si="3"/>
        <v>1</v>
      </c>
      <c r="S12" s="1855">
        <f>LARGE(C$8:C$738,8)</f>
        <v>43160</v>
      </c>
      <c r="T12" s="1401">
        <f t="shared" si="4"/>
        <v>196.12663024499997</v>
      </c>
      <c r="U12" s="1702">
        <f t="shared" si="5"/>
        <v>15473.545389999999</v>
      </c>
    </row>
    <row r="13" spans="1:21">
      <c r="A13" s="798">
        <f t="shared" si="1"/>
        <v>2</v>
      </c>
      <c r="B13" s="798">
        <f t="shared" si="2"/>
        <v>2000</v>
      </c>
      <c r="C13" s="110">
        <v>36678</v>
      </c>
      <c r="D13" s="109">
        <v>40.612000000000002</v>
      </c>
      <c r="E13" s="108">
        <v>1099.06</v>
      </c>
      <c r="F13" s="300">
        <f t="shared" si="0"/>
        <v>2000</v>
      </c>
      <c r="G13" s="302" t="str">
        <f t="shared" si="3"/>
        <v>2</v>
      </c>
      <c r="S13" s="1855">
        <f>LARGE(C$8:C$738,7)</f>
        <v>43252</v>
      </c>
      <c r="T13" s="521">
        <f t="shared" si="4"/>
        <v>216.07066898799999</v>
      </c>
      <c r="U13" s="511">
        <f t="shared" si="5"/>
        <v>15691.011538999999</v>
      </c>
    </row>
    <row r="14" spans="1:21">
      <c r="A14" s="798">
        <f t="shared" si="1"/>
        <v>3</v>
      </c>
      <c r="B14" s="798">
        <f t="shared" si="2"/>
        <v>2000</v>
      </c>
      <c r="C14" s="110">
        <v>36770</v>
      </c>
      <c r="D14" s="25">
        <v>42.546999999999997</v>
      </c>
      <c r="E14" s="73">
        <v>1188.4100000000001</v>
      </c>
      <c r="F14" s="300">
        <f t="shared" si="0"/>
        <v>2000</v>
      </c>
      <c r="G14" s="302" t="str">
        <f t="shared" si="3"/>
        <v>3</v>
      </c>
      <c r="S14" s="1855">
        <f>LARGE(C$8:C$738,6)</f>
        <v>43344</v>
      </c>
      <c r="T14" s="1401">
        <f t="shared" si="4"/>
        <v>200.76104890500002</v>
      </c>
      <c r="U14" s="1702">
        <f t="shared" si="5"/>
        <v>16129.191709999999</v>
      </c>
    </row>
    <row r="15" spans="1:21">
      <c r="A15" s="798">
        <f t="shared" si="1"/>
        <v>4</v>
      </c>
      <c r="B15" s="798">
        <f t="shared" si="2"/>
        <v>2000</v>
      </c>
      <c r="C15" s="110">
        <v>36861</v>
      </c>
      <c r="D15" s="109">
        <v>40.906999999999996</v>
      </c>
      <c r="E15" s="108">
        <v>1233.8900000000001</v>
      </c>
      <c r="F15" s="300">
        <f t="shared" si="0"/>
        <v>2000</v>
      </c>
      <c r="G15" s="302" t="str">
        <f t="shared" si="3"/>
        <v>4</v>
      </c>
      <c r="S15" s="1855">
        <f>LARGE(C$8:C$738,5)</f>
        <v>43435</v>
      </c>
      <c r="T15" s="521">
        <f t="shared" si="4"/>
        <v>200.619472019</v>
      </c>
      <c r="U15" s="511">
        <f t="shared" si="5"/>
        <v>17942.251768999999</v>
      </c>
    </row>
    <row r="16" spans="1:21">
      <c r="A16" s="798">
        <f t="shared" si="1"/>
        <v>1</v>
      </c>
      <c r="B16" s="798">
        <f t="shared" si="2"/>
        <v>2001</v>
      </c>
      <c r="C16" s="110">
        <v>36951</v>
      </c>
      <c r="D16" s="25">
        <v>38.255000000000003</v>
      </c>
      <c r="E16" s="73">
        <v>1206.4000000000001</v>
      </c>
      <c r="F16" s="300">
        <f t="shared" si="0"/>
        <v>2001</v>
      </c>
      <c r="G16" s="302" t="str">
        <f t="shared" si="3"/>
        <v>1</v>
      </c>
      <c r="S16" s="1855">
        <f>LARGE(C$8:C$738,4)</f>
        <v>43525</v>
      </c>
      <c r="T16" s="1401">
        <f t="shared" si="4"/>
        <v>182.084543002</v>
      </c>
      <c r="U16" s="1702">
        <f t="shared" si="5"/>
        <v>19132.98691</v>
      </c>
    </row>
    <row r="17" spans="1:21">
      <c r="A17" s="798">
        <f t="shared" si="1"/>
        <v>2</v>
      </c>
      <c r="B17" s="798">
        <f t="shared" si="2"/>
        <v>2001</v>
      </c>
      <c r="C17" s="110">
        <v>37043</v>
      </c>
      <c r="D17" s="109">
        <v>40.061</v>
      </c>
      <c r="E17" s="108">
        <v>1284</v>
      </c>
      <c r="F17" s="300">
        <f t="shared" si="0"/>
        <v>2001</v>
      </c>
      <c r="G17" s="302" t="str">
        <f t="shared" si="3"/>
        <v>2</v>
      </c>
      <c r="S17" s="1855">
        <f>LARGE(C$8:C$738,3)</f>
        <v>43617</v>
      </c>
      <c r="T17" s="521">
        <f t="shared" si="4"/>
        <v>211.18708263799999</v>
      </c>
      <c r="U17" s="511">
        <f t="shared" si="5"/>
        <v>27340.203566</v>
      </c>
    </row>
    <row r="18" spans="1:21">
      <c r="A18" s="798">
        <f t="shared" si="1"/>
        <v>3</v>
      </c>
      <c r="B18" s="798">
        <f t="shared" si="2"/>
        <v>2001</v>
      </c>
      <c r="C18" s="110">
        <v>37135</v>
      </c>
      <c r="D18" s="25">
        <v>44.878</v>
      </c>
      <c r="E18" s="73">
        <v>1479.86</v>
      </c>
      <c r="F18" s="300">
        <f t="shared" si="0"/>
        <v>2001</v>
      </c>
      <c r="G18" s="302" t="str">
        <f t="shared" si="3"/>
        <v>3</v>
      </c>
      <c r="S18" s="1855">
        <f>LARGE(C$8:C$738,2)</f>
        <v>43709</v>
      </c>
      <c r="T18" s="1401">
        <f t="shared" si="4"/>
        <v>206.07564458099998</v>
      </c>
      <c r="U18" s="1702">
        <f t="shared" si="5"/>
        <v>27549.539171</v>
      </c>
    </row>
    <row r="19" spans="1:21" ht="15.75" thickBot="1">
      <c r="A19" s="798">
        <f t="shared" si="1"/>
        <v>4</v>
      </c>
      <c r="B19" s="798">
        <f t="shared" si="2"/>
        <v>2001</v>
      </c>
      <c r="C19" s="110">
        <v>37226</v>
      </c>
      <c r="D19" s="109">
        <v>42.820999999999998</v>
      </c>
      <c r="E19" s="108">
        <v>1399.45</v>
      </c>
      <c r="F19" s="300">
        <f t="shared" si="0"/>
        <v>2001</v>
      </c>
      <c r="G19" s="302" t="str">
        <f t="shared" si="3"/>
        <v>4</v>
      </c>
      <c r="S19" s="1856">
        <f>LARGE(C$8:C$738,1)</f>
        <v>43800</v>
      </c>
      <c r="T19" s="1690">
        <f t="shared" si="4"/>
        <v>210.96552251599999</v>
      </c>
      <c r="U19" s="1703">
        <f t="shared" si="5"/>
        <v>23652.898744999999</v>
      </c>
    </row>
    <row r="20" spans="1:21">
      <c r="A20" s="798">
        <f t="shared" si="1"/>
        <v>1</v>
      </c>
      <c r="B20" s="798">
        <f t="shared" si="2"/>
        <v>2002</v>
      </c>
      <c r="C20" s="110">
        <v>37316</v>
      </c>
      <c r="D20" s="25">
        <v>36.344999999999999</v>
      </c>
      <c r="E20" s="73">
        <v>1139.8</v>
      </c>
      <c r="F20" s="300">
        <f t="shared" si="0"/>
        <v>2002</v>
      </c>
      <c r="G20" s="302" t="str">
        <f t="shared" si="3"/>
        <v>1</v>
      </c>
      <c r="S20" s="3"/>
    </row>
    <row r="21" spans="1:21">
      <c r="A21" s="798">
        <f t="shared" si="1"/>
        <v>2</v>
      </c>
      <c r="B21" s="798">
        <f t="shared" si="2"/>
        <v>2002</v>
      </c>
      <c r="C21" s="110">
        <v>37408</v>
      </c>
      <c r="D21" s="109">
        <v>40.590000000000003</v>
      </c>
      <c r="E21" s="108">
        <v>1188.51</v>
      </c>
      <c r="F21" s="300">
        <f t="shared" si="0"/>
        <v>2002</v>
      </c>
      <c r="G21" s="302" t="str">
        <f t="shared" si="3"/>
        <v>2</v>
      </c>
      <c r="S21" s="3"/>
    </row>
    <row r="22" spans="1:21">
      <c r="A22" s="798">
        <f t="shared" si="1"/>
        <v>3</v>
      </c>
      <c r="B22" s="798">
        <f t="shared" si="2"/>
        <v>2002</v>
      </c>
      <c r="C22" s="110">
        <v>37500</v>
      </c>
      <c r="D22" s="25">
        <v>47.561999999999998</v>
      </c>
      <c r="E22" s="73">
        <v>1387.45</v>
      </c>
      <c r="F22" s="300">
        <f t="shared" si="0"/>
        <v>2002</v>
      </c>
      <c r="G22" s="302" t="str">
        <f t="shared" si="3"/>
        <v>3</v>
      </c>
      <c r="S22" s="3"/>
    </row>
    <row r="23" spans="1:21">
      <c r="A23" s="798">
        <f t="shared" si="1"/>
        <v>4</v>
      </c>
      <c r="B23" s="798">
        <f t="shared" si="2"/>
        <v>2002</v>
      </c>
      <c r="C23" s="110">
        <v>37591</v>
      </c>
      <c r="D23" s="109">
        <v>47.27</v>
      </c>
      <c r="E23" s="108">
        <v>1348.87</v>
      </c>
      <c r="F23" s="300">
        <f t="shared" si="0"/>
        <v>2002</v>
      </c>
      <c r="G23" s="302" t="str">
        <f t="shared" si="3"/>
        <v>4</v>
      </c>
      <c r="S23" s="3"/>
    </row>
    <row r="24" spans="1:21">
      <c r="A24" s="798">
        <f t="shared" si="1"/>
        <v>1</v>
      </c>
      <c r="B24" s="798">
        <f t="shared" si="2"/>
        <v>2003</v>
      </c>
      <c r="C24" s="110">
        <v>37681</v>
      </c>
      <c r="D24" s="25">
        <v>45.606999999999999</v>
      </c>
      <c r="E24" s="73">
        <v>1215.81</v>
      </c>
      <c r="F24" s="300">
        <f t="shared" si="0"/>
        <v>2003</v>
      </c>
      <c r="G24" s="302" t="str">
        <f t="shared" si="3"/>
        <v>1</v>
      </c>
      <c r="S24" s="3"/>
    </row>
    <row r="25" spans="1:21">
      <c r="A25" s="798">
        <f t="shared" si="1"/>
        <v>2</v>
      </c>
      <c r="B25" s="798">
        <f t="shared" si="2"/>
        <v>2003</v>
      </c>
      <c r="C25" s="110">
        <v>37773</v>
      </c>
      <c r="D25" s="109">
        <v>47.893999999999998</v>
      </c>
      <c r="E25" s="108">
        <v>1246.04</v>
      </c>
      <c r="F25" s="300">
        <f t="shared" si="0"/>
        <v>2003</v>
      </c>
      <c r="G25" s="302" t="str">
        <f t="shared" si="3"/>
        <v>2</v>
      </c>
      <c r="S25" s="3"/>
    </row>
    <row r="26" spans="1:21">
      <c r="A26" s="798">
        <f t="shared" si="1"/>
        <v>3</v>
      </c>
      <c r="B26" s="798">
        <f t="shared" si="2"/>
        <v>2003</v>
      </c>
      <c r="C26" s="110">
        <v>37865</v>
      </c>
      <c r="D26" s="25">
        <v>49.100225399999999</v>
      </c>
      <c r="E26" s="73">
        <v>1298.5731617599999</v>
      </c>
      <c r="F26" s="300">
        <f t="shared" si="0"/>
        <v>2003</v>
      </c>
      <c r="G26" s="302" t="str">
        <f t="shared" si="3"/>
        <v>3</v>
      </c>
      <c r="S26" s="3"/>
    </row>
    <row r="27" spans="1:21">
      <c r="A27" s="798">
        <f t="shared" si="1"/>
        <v>4</v>
      </c>
      <c r="B27" s="798">
        <f t="shared" si="2"/>
        <v>2003</v>
      </c>
      <c r="C27" s="110">
        <v>37956</v>
      </c>
      <c r="D27" s="109">
        <v>51.992777760000003</v>
      </c>
      <c r="E27" s="108">
        <v>1296.3779992100001</v>
      </c>
      <c r="F27" s="300">
        <f t="shared" si="0"/>
        <v>2003</v>
      </c>
      <c r="G27" s="302" t="str">
        <f t="shared" si="3"/>
        <v>4</v>
      </c>
    </row>
    <row r="28" spans="1:21">
      <c r="A28" s="798">
        <f t="shared" si="1"/>
        <v>1</v>
      </c>
      <c r="B28" s="798">
        <f t="shared" si="2"/>
        <v>2004</v>
      </c>
      <c r="C28" s="110">
        <v>38047</v>
      </c>
      <c r="D28" s="25">
        <v>49.918986199999999</v>
      </c>
      <c r="E28" s="73">
        <v>1223.62471413</v>
      </c>
      <c r="F28" s="300">
        <f t="shared" si="0"/>
        <v>2004</v>
      </c>
      <c r="G28" s="302" t="str">
        <f t="shared" si="3"/>
        <v>1</v>
      </c>
    </row>
    <row r="29" spans="1:21">
      <c r="A29" s="798">
        <f t="shared" si="1"/>
        <v>2</v>
      </c>
      <c r="B29" s="798">
        <f t="shared" si="2"/>
        <v>2004</v>
      </c>
      <c r="C29" s="110">
        <v>38139</v>
      </c>
      <c r="D29" s="109">
        <v>49.924693769999998</v>
      </c>
      <c r="E29" s="108">
        <v>1541.8841010599999</v>
      </c>
      <c r="F29" s="300">
        <f t="shared" si="0"/>
        <v>2004</v>
      </c>
      <c r="G29" s="302" t="str">
        <f t="shared" si="3"/>
        <v>2</v>
      </c>
    </row>
    <row r="30" spans="1:21">
      <c r="A30" s="798">
        <f t="shared" si="1"/>
        <v>3</v>
      </c>
      <c r="B30" s="798">
        <f t="shared" si="2"/>
        <v>2004</v>
      </c>
      <c r="C30" s="110">
        <v>38231</v>
      </c>
      <c r="D30" s="25">
        <v>54.938313600000001</v>
      </c>
      <c r="E30" s="73">
        <v>1690.3767697599999</v>
      </c>
      <c r="F30" s="300">
        <f t="shared" si="0"/>
        <v>2004</v>
      </c>
      <c r="G30" s="302" t="str">
        <f t="shared" si="3"/>
        <v>3</v>
      </c>
    </row>
    <row r="31" spans="1:21">
      <c r="A31" s="798">
        <f t="shared" si="1"/>
        <v>4</v>
      </c>
      <c r="B31" s="798">
        <f t="shared" si="2"/>
        <v>2004</v>
      </c>
      <c r="C31" s="110">
        <v>38322</v>
      </c>
      <c r="D31" s="109">
        <v>58.749635499999997</v>
      </c>
      <c r="E31" s="108">
        <v>1737.0907341899999</v>
      </c>
      <c r="F31" s="300">
        <f t="shared" si="0"/>
        <v>2004</v>
      </c>
      <c r="G31" s="302" t="str">
        <f t="shared" si="3"/>
        <v>4</v>
      </c>
    </row>
    <row r="32" spans="1:21" ht="15.75" thickBot="1">
      <c r="A32" s="798">
        <f t="shared" si="1"/>
        <v>1</v>
      </c>
      <c r="B32" s="798">
        <f t="shared" si="2"/>
        <v>2005</v>
      </c>
      <c r="C32" s="110">
        <v>38412</v>
      </c>
      <c r="D32" s="25">
        <v>57.198419289999997</v>
      </c>
      <c r="E32" s="73">
        <v>1771.794298</v>
      </c>
      <c r="F32" s="300">
        <f t="shared" si="0"/>
        <v>2005</v>
      </c>
      <c r="G32" s="302" t="str">
        <f t="shared" si="3"/>
        <v>1</v>
      </c>
    </row>
    <row r="33" spans="1:28" ht="15.75" thickBot="1">
      <c r="A33" s="798">
        <f t="shared" si="1"/>
        <v>2</v>
      </c>
      <c r="B33" s="798">
        <f t="shared" si="2"/>
        <v>2005</v>
      </c>
      <c r="C33" s="110">
        <v>38504</v>
      </c>
      <c r="D33" s="109">
        <v>59.228280230000003</v>
      </c>
      <c r="E33" s="108">
        <v>3087.9183412000002</v>
      </c>
      <c r="F33" s="300">
        <f t="shared" si="0"/>
        <v>2005</v>
      </c>
      <c r="G33" s="302" t="str">
        <f t="shared" si="3"/>
        <v>2</v>
      </c>
      <c r="S33" s="113" t="s">
        <v>447</v>
      </c>
      <c r="T33" s="2002" t="s">
        <v>429</v>
      </c>
      <c r="U33" s="2003"/>
    </row>
    <row r="34" spans="1:28" ht="15.75" thickBot="1">
      <c r="A34" s="798">
        <f t="shared" si="1"/>
        <v>3</v>
      </c>
      <c r="B34" s="798">
        <f t="shared" si="2"/>
        <v>2005</v>
      </c>
      <c r="C34" s="110">
        <v>38596</v>
      </c>
      <c r="D34" s="25">
        <v>59.310883619999998</v>
      </c>
      <c r="E34" s="73">
        <v>3043.2077460300002</v>
      </c>
      <c r="F34" s="300">
        <f t="shared" si="0"/>
        <v>2005</v>
      </c>
      <c r="G34" s="302" t="str">
        <f t="shared" si="3"/>
        <v>3</v>
      </c>
      <c r="S34" s="1958" t="str">
        <f>CONCATENATE(C5," Quantity and Value by ",T33)</f>
        <v>Iron Ore Quantity and Value by Calendar Year</v>
      </c>
      <c r="T34" s="1959"/>
      <c r="U34" s="1960"/>
    </row>
    <row r="35" spans="1:28" ht="15.75" thickBot="1">
      <c r="A35" s="798">
        <f t="shared" si="1"/>
        <v>4</v>
      </c>
      <c r="B35" s="798">
        <f t="shared" si="2"/>
        <v>2005</v>
      </c>
      <c r="C35" s="110">
        <v>38687</v>
      </c>
      <c r="D35" s="109">
        <v>64.764090550000006</v>
      </c>
      <c r="E35" s="108">
        <v>3405.7975597599998</v>
      </c>
      <c r="F35" s="300">
        <f t="shared" si="0"/>
        <v>2005</v>
      </c>
      <c r="G35" s="302" t="str">
        <f t="shared" si="3"/>
        <v>4</v>
      </c>
      <c r="S35" s="361" t="str">
        <f>T33</f>
        <v>Calendar Year</v>
      </c>
      <c r="T35" s="362" t="str">
        <f>D7</f>
        <v>Quantity (Mt)</v>
      </c>
      <c r="U35" s="363" t="str">
        <f>E7</f>
        <v>Value ($ Million)</v>
      </c>
    </row>
    <row r="36" spans="1:28">
      <c r="A36" s="798">
        <f t="shared" si="1"/>
        <v>1</v>
      </c>
      <c r="B36" s="798">
        <f t="shared" si="2"/>
        <v>2006</v>
      </c>
      <c r="C36" s="110">
        <v>38777</v>
      </c>
      <c r="D36" s="25">
        <v>54.599854749999999</v>
      </c>
      <c r="E36" s="73">
        <v>2862.9376372400002</v>
      </c>
      <c r="F36" s="300">
        <f t="shared" si="0"/>
        <v>2006</v>
      </c>
      <c r="G36" s="302" t="str">
        <f t="shared" si="3"/>
        <v>1</v>
      </c>
      <c r="S36" s="364">
        <f>IF($T$33="Calendar Year",YEAR(MIN($C$8:$C$200)),CONCATENATE(YEAR(MIN($C$8:$C$200)),"-",((YEAR(MIN($C$8:$C$200))+1))))</f>
        <v>1999</v>
      </c>
      <c r="T36" s="1417">
        <f>IF($T$33="Calendar Year",SUMIF($F$8:$F$200,$S36,$D$8:$D$200),SUMIFS($D$8:$D$200,$F$8:$F$200,LEFT($S36,4),$G$8:$G$200,3)+SUMIFS($D$8:$D$200,$F$8:$F$200,LEFT($S36,4),$G$8:$G$200,4)+SUMIFS($D$8:$D$200,$F$8:$F$200,LEFT($S36,4)+1,$G$8:$G$200,1)+SUMIFS($D$8:$D$200,$F$8:$F$200,LEFT($S36,4)+1,$G$8:$G$200,2))</f>
        <v>143.006</v>
      </c>
      <c r="U36" s="1418">
        <f>IF($T$33="Calendar Year",SUMIF($F$8:$F$200,$S36,$E$8:$E$200),SUMIFS($E$8:$E$200,$F$8:$F$200,LEFT($S36,4),$G$8:$G$200,3)+SUMIFS($E$8:$E$200,$F$8:$F$200,LEFT($S36,4),$G$8:$G$200,4)+SUMIFS($E$8:$E$200,$F$8:$F$200,LEFT($S36,4)+1,$G$8:$G$200,1)+SUMIFS($E$8:$E$200,$F$8:$F$200,LEFT($S36,4)+1,$G$8:$G$200,2))</f>
        <v>3517.06</v>
      </c>
      <c r="AA36" s="1097"/>
      <c r="AB36" s="1097"/>
    </row>
    <row r="37" spans="1:28">
      <c r="A37" s="798">
        <f t="shared" si="1"/>
        <v>2</v>
      </c>
      <c r="B37" s="798">
        <f t="shared" si="2"/>
        <v>2006</v>
      </c>
      <c r="C37" s="110">
        <v>38869</v>
      </c>
      <c r="D37" s="109">
        <v>61.893562467999999</v>
      </c>
      <c r="E37" s="108">
        <v>3728.8830937900002</v>
      </c>
      <c r="F37" s="300">
        <f t="shared" si="0"/>
        <v>2006</v>
      </c>
      <c r="G37" s="302" t="str">
        <f t="shared" si="3"/>
        <v>2</v>
      </c>
      <c r="S37" s="365">
        <f>IFERROR(IF(YEAR(MAX('Data - Monthly Commodity Prices'!$C$9:$C4984))=VALUE(RIGHT(S36,4)),"",IF($T$33="Calendar Year",S36+1,CONCATENATE(LEFT(S36,4)+1,"-",RIGHT(S36,4)+1))),"")</f>
        <v>2000</v>
      </c>
      <c r="T37" s="357">
        <f>IF(S37="","",IF($T$33="Calendar Year",SUMIF($F$8:$F$200,$S37,$D$8:$D$200),SUMIFS($D$8:$D$200,$F$8:$F$200,LEFT($S37,4),$G$8:$G$200,3)+SUMIFS($D$8:$D$200,$F$8:$F$200,LEFT($S37,4),$G$8:$G$200,4)+SUMIFS($D$8:$D$200,$F$8:$F$200,LEFT($S37,4)+1,$G$8:$G$200,1)+SUMIFS($D$8:$D$200,$F$8:$F$200,LEFT($S37,4)+1,$G$8:$G$200,2)))</f>
        <v>158.86599999999999</v>
      </c>
      <c r="U37" s="1195">
        <f t="shared" ref="U37:U52" si="6">IF(S37="","",IF($T$33="Calendar Year",SUMIF($F$8:$F$200,$S37,$E$8:$E$200),SUMIFS($E$8:$E$200,$F$8:$F$200,LEFT($S37,4),$G$8:$G$200,3)+SUMIFS($E$8:$E$200,$F$8:$F$200,LEFT($S37,4),$G$8:$G$200,4)+SUMIFS($E$8:$E$200,$F$8:$F$200,LEFT($S37,4)+1,$G$8:$G$200,1)+SUMIFS($E$8:$E$200,$F$8:$F$200,LEFT($S37,4)+1,$G$8:$G$200,2)))</f>
        <v>4365.1900000000005</v>
      </c>
      <c r="AA37" s="1097"/>
      <c r="AB37" s="1097"/>
    </row>
    <row r="38" spans="1:28">
      <c r="A38" s="798">
        <f t="shared" si="1"/>
        <v>3</v>
      </c>
      <c r="B38" s="798">
        <f t="shared" si="2"/>
        <v>2006</v>
      </c>
      <c r="C38" s="110">
        <v>38961</v>
      </c>
      <c r="D38" s="25">
        <v>64.795758108000001</v>
      </c>
      <c r="E38" s="73">
        <v>3954.9073160200001</v>
      </c>
      <c r="F38" s="300">
        <f t="shared" si="0"/>
        <v>2006</v>
      </c>
      <c r="G38" s="302" t="str">
        <f t="shared" si="3"/>
        <v>3</v>
      </c>
      <c r="S38" s="365">
        <f>IFERROR(IF(YEAR(MAX('Data - Monthly Commodity Prices'!$C$9:$C4985))=VALUE(RIGHT(S37,4)),"",IF($T$33="Calendar Year",S37+1,CONCATENATE(LEFT(S37,4)+1,"-",RIGHT(S37,4)+1))),"")</f>
        <v>2001</v>
      </c>
      <c r="T38" s="1415">
        <f t="shared" ref="T38:T60" si="7">IF(S38="","",IF($T$33="Calendar Year",SUMIF($F$8:$F$200,$S38,$D$8:$D$200),SUMIFS($D$8:$D$200,$F$8:$F$200,LEFT($S38,4),$G$8:$G$200,3)+SUMIFS($D$8:$D$200,$F$8:$F$200,LEFT($S38,4),$G$8:$G$200,4)+SUMIFS($D$8:$D$200,$F$8:$F$200,LEFT($S38,4)+1,$G$8:$G$200,1)+SUMIFS($D$8:$D$200,$F$8:$F$200,LEFT($S38,4)+1,$G$8:$G$200,2)))</f>
        <v>166.01499999999999</v>
      </c>
      <c r="U38" s="1416">
        <f t="shared" si="6"/>
        <v>5369.71</v>
      </c>
      <c r="AA38" s="1097"/>
      <c r="AB38" s="1097"/>
    </row>
    <row r="39" spans="1:28">
      <c r="A39" s="798">
        <f t="shared" si="1"/>
        <v>4</v>
      </c>
      <c r="B39" s="798">
        <f t="shared" si="2"/>
        <v>2006</v>
      </c>
      <c r="C39" s="110">
        <v>39052</v>
      </c>
      <c r="D39" s="109">
        <v>69.036591036000004</v>
      </c>
      <c r="E39" s="108">
        <v>4233.3646986200001</v>
      </c>
      <c r="F39" s="300">
        <f t="shared" si="0"/>
        <v>2006</v>
      </c>
      <c r="G39" s="302" t="str">
        <f t="shared" si="3"/>
        <v>4</v>
      </c>
      <c r="S39" s="365">
        <f>IFERROR(IF(YEAR(MAX('Data - Monthly Commodity Prices'!$C$9:$C4986))=VALUE(RIGHT(S38,4)),"",IF($T$33="Calendar Year",S38+1,CONCATENATE(LEFT(S38,4)+1,"-",RIGHT(S38,4)+1))),"")</f>
        <v>2002</v>
      </c>
      <c r="T39" s="357">
        <f t="shared" si="7"/>
        <v>171.767</v>
      </c>
      <c r="U39" s="1195">
        <f t="shared" si="6"/>
        <v>5064.63</v>
      </c>
      <c r="AA39" s="1097"/>
      <c r="AB39" s="1097"/>
    </row>
    <row r="40" spans="1:28">
      <c r="A40" s="798">
        <f t="shared" si="1"/>
        <v>1</v>
      </c>
      <c r="B40" s="798">
        <f t="shared" si="2"/>
        <v>2007</v>
      </c>
      <c r="C40" s="110">
        <v>39142</v>
      </c>
      <c r="D40" s="25">
        <v>58.234962271999997</v>
      </c>
      <c r="E40" s="73">
        <v>3517.6331391799999</v>
      </c>
      <c r="F40" s="300">
        <f t="shared" si="0"/>
        <v>2007</v>
      </c>
      <c r="G40" s="302" t="str">
        <f t="shared" si="3"/>
        <v>1</v>
      </c>
      <c r="S40" s="365">
        <f>IFERROR(IF(YEAR(MAX('Data - Monthly Commodity Prices'!$C$9:$C4987))=VALUE(RIGHT(S39,4)),"",IF($T$33="Calendar Year",S39+1,CONCATENATE(LEFT(S39,4)+1,"-",RIGHT(S39,4)+1))),"")</f>
        <v>2003</v>
      </c>
      <c r="T40" s="1415">
        <f t="shared" si="7"/>
        <v>194.59400316</v>
      </c>
      <c r="U40" s="1416">
        <f t="shared" si="6"/>
        <v>5056.8011609699997</v>
      </c>
      <c r="AA40" s="1097"/>
      <c r="AB40" s="1097"/>
    </row>
    <row r="41" spans="1:28">
      <c r="A41" s="798">
        <f t="shared" si="1"/>
        <v>2</v>
      </c>
      <c r="B41" s="798">
        <f t="shared" si="2"/>
        <v>2007</v>
      </c>
      <c r="C41" s="110">
        <v>39234</v>
      </c>
      <c r="D41" s="109">
        <v>66.929610177000001</v>
      </c>
      <c r="E41" s="108">
        <v>4073.28629654</v>
      </c>
      <c r="F41" s="300">
        <f t="shared" si="0"/>
        <v>2007</v>
      </c>
      <c r="G41" s="302" t="str">
        <f t="shared" si="3"/>
        <v>2</v>
      </c>
      <c r="S41" s="365">
        <f>IFERROR(IF(YEAR(MAX('Data - Monthly Commodity Prices'!$C$9:$C4988))=VALUE(RIGHT(S40,4)),"",IF($T$33="Calendar Year",S40+1,CONCATENATE(LEFT(S40,4)+1,"-",RIGHT(S40,4)+1))),"")</f>
        <v>2004</v>
      </c>
      <c r="T41" s="357">
        <f t="shared" si="7"/>
        <v>213.53162907000001</v>
      </c>
      <c r="U41" s="1195">
        <f t="shared" si="6"/>
        <v>6192.9763191399998</v>
      </c>
      <c r="AA41" s="1097"/>
      <c r="AB41" s="1097"/>
    </row>
    <row r="42" spans="1:28">
      <c r="A42" s="798">
        <f t="shared" si="1"/>
        <v>3</v>
      </c>
      <c r="B42" s="798">
        <f t="shared" si="2"/>
        <v>2007</v>
      </c>
      <c r="C42" s="110">
        <v>39326</v>
      </c>
      <c r="D42" s="25">
        <v>66.547036129999995</v>
      </c>
      <c r="E42" s="73">
        <v>4027.29191631</v>
      </c>
      <c r="F42" s="300">
        <f t="shared" si="0"/>
        <v>2007</v>
      </c>
      <c r="G42" s="302" t="str">
        <f t="shared" si="3"/>
        <v>3</v>
      </c>
      <c r="S42" s="365">
        <f>IFERROR(IF(YEAR(MAX('Data - Monthly Commodity Prices'!$C$9:$C4989))=VALUE(RIGHT(S41,4)),"",IF($T$33="Calendar Year",S41+1,CONCATENATE(LEFT(S41,4)+1,"-",RIGHT(S41,4)+1))),"")</f>
        <v>2005</v>
      </c>
      <c r="T42" s="1415">
        <f t="shared" si="7"/>
        <v>240.50167369000002</v>
      </c>
      <c r="U42" s="1416">
        <f t="shared" si="6"/>
        <v>11308.71794499</v>
      </c>
      <c r="AA42" s="1097"/>
      <c r="AB42" s="1097"/>
    </row>
    <row r="43" spans="1:28">
      <c r="A43" s="798">
        <f t="shared" si="1"/>
        <v>4</v>
      </c>
      <c r="B43" s="798">
        <f t="shared" si="2"/>
        <v>2007</v>
      </c>
      <c r="C43" s="110">
        <v>39417</v>
      </c>
      <c r="D43" s="109">
        <v>72.737543471999999</v>
      </c>
      <c r="E43" s="108">
        <v>4517.69260141</v>
      </c>
      <c r="F43" s="300">
        <f t="shared" si="0"/>
        <v>2007</v>
      </c>
      <c r="G43" s="302" t="str">
        <f t="shared" si="3"/>
        <v>4</v>
      </c>
      <c r="S43" s="365">
        <f>IFERROR(IF(YEAR(MAX('Data - Monthly Commodity Prices'!$C$9:$C4990))=VALUE(RIGHT(S42,4)),"",IF($T$33="Calendar Year",S42+1,CONCATENATE(LEFT(S42,4)+1,"-",RIGHT(S42,4)+1))),"")</f>
        <v>2006</v>
      </c>
      <c r="T43" s="357">
        <f t="shared" si="7"/>
        <v>250.325766362</v>
      </c>
      <c r="U43" s="1195">
        <f t="shared" si="6"/>
        <v>14780.092745670001</v>
      </c>
      <c r="AA43" s="1097"/>
      <c r="AB43" s="1097"/>
    </row>
    <row r="44" spans="1:28">
      <c r="A44" s="798">
        <f t="shared" si="1"/>
        <v>1</v>
      </c>
      <c r="B44" s="798">
        <f t="shared" si="2"/>
        <v>2008</v>
      </c>
      <c r="C44" s="110">
        <v>39508</v>
      </c>
      <c r="D44" s="25">
        <v>73.459152786000004</v>
      </c>
      <c r="E44" s="73">
        <v>5322.6792588799999</v>
      </c>
      <c r="F44" s="300">
        <f t="shared" si="0"/>
        <v>2008</v>
      </c>
      <c r="G44" s="302" t="str">
        <f t="shared" si="3"/>
        <v>1</v>
      </c>
      <c r="S44" s="365">
        <f>IFERROR(IF(YEAR(MAX('Data - Monthly Commodity Prices'!$C$9:$C4991))=VALUE(RIGHT(S43,4)),"",IF($T$33="Calendar Year",S43+1,CONCATENATE(LEFT(S43,4)+1,"-",RIGHT(S43,4)+1))),"")</f>
        <v>2007</v>
      </c>
      <c r="T44" s="1415">
        <f t="shared" si="7"/>
        <v>264.44915205099994</v>
      </c>
      <c r="U44" s="1416">
        <f t="shared" si="6"/>
        <v>16135.90395344</v>
      </c>
      <c r="AA44" s="1097"/>
      <c r="AB44" s="1097"/>
    </row>
    <row r="45" spans="1:28">
      <c r="A45" s="798">
        <f t="shared" si="1"/>
        <v>2</v>
      </c>
      <c r="B45" s="798">
        <f t="shared" si="2"/>
        <v>2008</v>
      </c>
      <c r="C45" s="110">
        <v>39600</v>
      </c>
      <c r="D45" s="109">
        <v>78.422382924000004</v>
      </c>
      <c r="E45" s="108">
        <v>8092.7429333399996</v>
      </c>
      <c r="F45" s="300">
        <f t="shared" si="0"/>
        <v>2008</v>
      </c>
      <c r="G45" s="302" t="str">
        <f t="shared" si="3"/>
        <v>2</v>
      </c>
      <c r="S45" s="365">
        <f>IFERROR(IF(YEAR(MAX('Data - Monthly Commodity Prices'!$C$9:$C4992))=VALUE(RIGHT(S44,4)),"",IF($T$33="Calendar Year",S44+1,CONCATENATE(LEFT(S44,4)+1,"-",RIGHT(S44,4)+1))),"")</f>
        <v>2008</v>
      </c>
      <c r="T45" s="357">
        <f t="shared" si="7"/>
        <v>305.88447268200002</v>
      </c>
      <c r="U45" s="1195">
        <f t="shared" si="6"/>
        <v>31909.855018219998</v>
      </c>
      <c r="AA45" s="1097"/>
      <c r="AB45" s="1097"/>
    </row>
    <row r="46" spans="1:28">
      <c r="A46" s="798">
        <f t="shared" si="1"/>
        <v>3</v>
      </c>
      <c r="B46" s="798">
        <f t="shared" si="2"/>
        <v>2008</v>
      </c>
      <c r="C46" s="110">
        <v>39692</v>
      </c>
      <c r="D46" s="25">
        <v>86.950802327000005</v>
      </c>
      <c r="E46" s="73">
        <v>9861.1783441700009</v>
      </c>
      <c r="F46" s="300">
        <f t="shared" si="0"/>
        <v>2008</v>
      </c>
      <c r="G46" s="302" t="str">
        <f t="shared" si="3"/>
        <v>3</v>
      </c>
      <c r="S46" s="365">
        <f>IFERROR(IF(YEAR(MAX('Data - Monthly Commodity Prices'!$C$9:$C4993))=VALUE(RIGHT(S45,4)),"",IF($T$33="Calendar Year",S45+1,CONCATENATE(LEFT(S45,4)+1,"-",RIGHT(S45,4)+1))),"")</f>
        <v>2009</v>
      </c>
      <c r="T46" s="1415">
        <f t="shared" si="7"/>
        <v>356.06964630899995</v>
      </c>
      <c r="U46" s="1416">
        <f t="shared" si="6"/>
        <v>28133.427135669997</v>
      </c>
      <c r="AA46" s="1097"/>
      <c r="AB46" s="1097"/>
    </row>
    <row r="47" spans="1:28">
      <c r="A47" s="798">
        <f t="shared" si="1"/>
        <v>4</v>
      </c>
      <c r="B47" s="798">
        <f t="shared" si="2"/>
        <v>2008</v>
      </c>
      <c r="C47" s="110">
        <v>39783</v>
      </c>
      <c r="D47" s="109">
        <v>67.052134644999995</v>
      </c>
      <c r="E47" s="108">
        <v>8633.2544818299993</v>
      </c>
      <c r="F47" s="300">
        <f t="shared" si="0"/>
        <v>2008</v>
      </c>
      <c r="G47" s="302" t="str">
        <f t="shared" si="3"/>
        <v>4</v>
      </c>
      <c r="S47" s="365">
        <f>IFERROR(IF(YEAR(MAX('Data - Monthly Commodity Prices'!$C$9:$C4994))=VALUE(RIGHT(S46,4)),"",IF($T$33="Calendar Year",S46+1,CONCATENATE(LEFT(S46,4)+1,"-",RIGHT(S46,4)+1))),"")</f>
        <v>2010</v>
      </c>
      <c r="T47" s="357">
        <f t="shared" si="7"/>
        <v>393.85115706600004</v>
      </c>
      <c r="U47" s="1195">
        <f t="shared" si="6"/>
        <v>50262.149327229999</v>
      </c>
      <c r="AA47" s="1097"/>
      <c r="AB47" s="1097"/>
    </row>
    <row r="48" spans="1:28">
      <c r="A48" s="798">
        <f t="shared" si="1"/>
        <v>1</v>
      </c>
      <c r="B48" s="798">
        <f t="shared" si="2"/>
        <v>2009</v>
      </c>
      <c r="C48" s="110">
        <v>39873</v>
      </c>
      <c r="D48" s="25">
        <v>74.655362797999999</v>
      </c>
      <c r="E48" s="73">
        <v>8405.6447132600006</v>
      </c>
      <c r="F48" s="300">
        <f t="shared" si="0"/>
        <v>2009</v>
      </c>
      <c r="G48" s="302" t="str">
        <f t="shared" si="3"/>
        <v>1</v>
      </c>
      <c r="S48" s="365">
        <f>IFERROR(IF(YEAR(MAX('Data - Monthly Commodity Prices'!$C$9:$C4995))=VALUE(RIGHT(S47,4)),"",IF($T$33="Calendar Year",S47+1,CONCATENATE(LEFT(S47,4)+1,"-",RIGHT(S47,4)+1))),"")</f>
        <v>2011</v>
      </c>
      <c r="T48" s="1415">
        <f t="shared" si="7"/>
        <v>426.67287969500001</v>
      </c>
      <c r="U48" s="1416">
        <f t="shared" si="6"/>
        <v>62863.290517729998</v>
      </c>
      <c r="AA48" s="1097"/>
      <c r="AB48" s="1097"/>
    </row>
    <row r="49" spans="1:28">
      <c r="A49" s="798">
        <f t="shared" si="1"/>
        <v>2</v>
      </c>
      <c r="B49" s="798">
        <f t="shared" si="2"/>
        <v>2009</v>
      </c>
      <c r="C49" s="110">
        <v>39965</v>
      </c>
      <c r="D49" s="109">
        <v>87.887633027999996</v>
      </c>
      <c r="E49" s="108">
        <v>6721.7997574299998</v>
      </c>
      <c r="F49" s="300">
        <f t="shared" si="0"/>
        <v>2009</v>
      </c>
      <c r="G49" s="302" t="str">
        <f t="shared" si="3"/>
        <v>2</v>
      </c>
      <c r="S49" s="365">
        <f>IFERROR(IF(YEAR(MAX('Data - Monthly Commodity Prices'!$C$9:$C4996))=VALUE(RIGHT(S48,4)),"",IF($T$33="Calendar Year",S48+1,CONCATENATE(LEFT(S48,4)+1,"-",RIGHT(S48,4)+1))),"")</f>
        <v>2012</v>
      </c>
      <c r="T49" s="357">
        <f t="shared" si="7"/>
        <v>478.32621689000001</v>
      </c>
      <c r="U49" s="1195">
        <f t="shared" si="6"/>
        <v>52823.916640019997</v>
      </c>
      <c r="AA49" s="1097"/>
      <c r="AB49" s="1097"/>
    </row>
    <row r="50" spans="1:28">
      <c r="A50" s="798">
        <f t="shared" si="1"/>
        <v>3</v>
      </c>
      <c r="B50" s="798">
        <f t="shared" si="2"/>
        <v>2009</v>
      </c>
      <c r="C50" s="110">
        <v>40057</v>
      </c>
      <c r="D50" s="25">
        <v>95.559004707</v>
      </c>
      <c r="E50" s="73">
        <v>6885.2803868600004</v>
      </c>
      <c r="F50" s="300">
        <f t="shared" si="0"/>
        <v>2009</v>
      </c>
      <c r="G50" s="302" t="str">
        <f t="shared" si="3"/>
        <v>3</v>
      </c>
      <c r="S50" s="365">
        <f>IFERROR(IF(YEAR(MAX('Data - Monthly Commodity Prices'!$C$9:$C4997))=VALUE(RIGHT(S49,4)),"",IF($T$33="Calendar Year",S49+1,CONCATENATE(LEFT(S49,4)+1,"-",RIGHT(S49,4)+1))),"")</f>
        <v>2013</v>
      </c>
      <c r="T50" s="1415">
        <f t="shared" si="7"/>
        <v>554.93783338100002</v>
      </c>
      <c r="U50" s="1416">
        <f t="shared" si="6"/>
        <v>70384.424735239998</v>
      </c>
      <c r="AA50" s="1097"/>
      <c r="AB50" s="1097"/>
    </row>
    <row r="51" spans="1:28">
      <c r="A51" s="798">
        <f t="shared" si="1"/>
        <v>4</v>
      </c>
      <c r="B51" s="798">
        <f t="shared" si="2"/>
        <v>2009</v>
      </c>
      <c r="C51" s="110">
        <v>40148</v>
      </c>
      <c r="D51" s="109">
        <v>97.967645775999998</v>
      </c>
      <c r="E51" s="108">
        <v>6120.7022781200003</v>
      </c>
      <c r="F51" s="300">
        <f t="shared" si="0"/>
        <v>2009</v>
      </c>
      <c r="G51" s="302" t="str">
        <f t="shared" si="3"/>
        <v>4</v>
      </c>
      <c r="S51" s="365">
        <f>IFERROR(IF(YEAR(MAX('Data - Monthly Commodity Prices'!$C$9:$C4998))=VALUE(RIGHT(S50,4)),"",IF($T$33="Calendar Year",S50+1,CONCATENATE(LEFT(S50,4)+1,"-",RIGHT(S50,4)+1))),"")</f>
        <v>2014</v>
      </c>
      <c r="T51" s="357">
        <f t="shared" si="7"/>
        <v>686.23425861200008</v>
      </c>
      <c r="U51" s="1195">
        <f t="shared" si="6"/>
        <v>65053.440010000006</v>
      </c>
      <c r="AA51" s="1097"/>
      <c r="AB51" s="1097"/>
    </row>
    <row r="52" spans="1:28">
      <c r="A52" s="798">
        <f t="shared" si="1"/>
        <v>1</v>
      </c>
      <c r="B52" s="798">
        <f t="shared" si="2"/>
        <v>2010</v>
      </c>
      <c r="C52" s="110">
        <v>40238</v>
      </c>
      <c r="D52" s="25">
        <v>93.986817368999994</v>
      </c>
      <c r="E52" s="73">
        <v>7923.4848495799997</v>
      </c>
      <c r="F52" s="300">
        <f t="shared" si="0"/>
        <v>2010</v>
      </c>
      <c r="G52" s="302" t="str">
        <f t="shared" si="3"/>
        <v>1</v>
      </c>
      <c r="S52" s="365">
        <f>IFERROR(IF(YEAR(MAX('Data - Monthly Commodity Prices'!$C$9:$C4999))=VALUE(RIGHT(S51,4)),"",IF($T$33="Calendar Year",S51+1,CONCATENATE(LEFT(S51,4)+1,"-",RIGHT(S51,4)+1))),"")</f>
        <v>2015</v>
      </c>
      <c r="T52" s="1415">
        <f t="shared" si="7"/>
        <v>742.39410678800004</v>
      </c>
      <c r="U52" s="1416">
        <f t="shared" si="6"/>
        <v>49630.774950999999</v>
      </c>
      <c r="AA52" s="1097"/>
      <c r="AB52" s="1097"/>
    </row>
    <row r="53" spans="1:28">
      <c r="A53" s="798">
        <f t="shared" si="1"/>
        <v>2</v>
      </c>
      <c r="B53" s="798">
        <f t="shared" si="2"/>
        <v>2010</v>
      </c>
      <c r="C53" s="110">
        <v>40330</v>
      </c>
      <c r="D53" s="109">
        <v>97.451399953999996</v>
      </c>
      <c r="E53" s="108">
        <v>14284.953068790001</v>
      </c>
      <c r="F53" s="300">
        <f t="shared" si="0"/>
        <v>2010</v>
      </c>
      <c r="G53" s="302" t="str">
        <f t="shared" si="3"/>
        <v>2</v>
      </c>
      <c r="S53" s="365">
        <f>IFERROR(IF(YEAR(MAX('Data - Monthly Commodity Prices'!$C$9:$C5000))=VALUE(RIGHT(S52,4)),"",IF($T$33="Calendar Year",S52+1,CONCATENATE(LEFT(S52,4)+1,"-",RIGHT(S52,4)+1))),"")</f>
        <v>2016</v>
      </c>
      <c r="T53" s="357">
        <f t="shared" si="7"/>
        <v>769.27752114500004</v>
      </c>
      <c r="U53" s="1195">
        <f>IF(S53="","",IF($T$33="Calendar Year",SUMIF($F$8:$F$200,$S53,$E$8:$E$200),SUMIFS($E$8:$E$200,$F$8:$F$200,LEFT($S53,4),$G$8:$G$200,3)+SUMIFS($E$8:$E$200,$F$8:$F$200,LEFT($S53,4),$G$8:$G$200,4)+SUMIFS($E$8:$E$200,$F$8:$F$200,LEFT($S53,4)+1,$G$8:$G$200,1)+SUMIFS($E$8:$E$200,$F$8:$F$200,LEFT($S53,4)+1,$G$8:$G$200,2)))</f>
        <v>55609.172696999995</v>
      </c>
      <c r="W53" s="1181"/>
      <c r="X53" s="1181"/>
      <c r="AB53" s="1097"/>
    </row>
    <row r="54" spans="1:28">
      <c r="A54" s="798">
        <f t="shared" si="1"/>
        <v>3</v>
      </c>
      <c r="B54" s="798">
        <f t="shared" si="2"/>
        <v>2010</v>
      </c>
      <c r="C54" s="110">
        <v>40422</v>
      </c>
      <c r="D54" s="25">
        <v>97.011669995999995</v>
      </c>
      <c r="E54" s="73">
        <v>14189.22551518</v>
      </c>
      <c r="F54" s="300">
        <f t="shared" si="0"/>
        <v>2010</v>
      </c>
      <c r="G54" s="302" t="str">
        <f t="shared" si="3"/>
        <v>3</v>
      </c>
      <c r="S54" s="365">
        <f>IFERROR(IF(YEAR(MAX('Data - Monthly Commodity Prices'!$C$9:$C5001))=VALUE(RIGHT(S53,4)),"",IF($T$33="Calendar Year",S53+1,CONCATENATE(LEFT(S53,4)+1,"-",RIGHT(S53,4)+1))),"")</f>
        <v>2017</v>
      </c>
      <c r="T54" s="1415">
        <f t="shared" si="7"/>
        <v>814.119534714</v>
      </c>
      <c r="U54" s="1416">
        <f t="shared" ref="U54:U60" si="8">IF(S54="","",IF($T$33="Calendar Year",SUMIF($F$8:$F$200,$S54,$E$8:$E$200),SUMIFS($E$8:$E$200,$F$8:$F$200,LEFT($S54,4),$G$8:$G$200,3)+SUMIFS($E$8:$E$200,$F$8:$F$200,LEFT($S54,4),$G$8:$G$200,4)+SUMIFS($E$8:$E$200,$F$8:$F$200,LEFT($S54,4)+1,$G$8:$G$200,1)+SUMIFS($E$8:$E$200,$F$8:$F$200,LEFT($S54,4)+1,$G$8:$G$200,2)))</f>
        <v>63829.415271999998</v>
      </c>
    </row>
    <row r="55" spans="1:28">
      <c r="A55" s="798">
        <f t="shared" si="1"/>
        <v>4</v>
      </c>
      <c r="B55" s="798">
        <f t="shared" si="2"/>
        <v>2010</v>
      </c>
      <c r="C55" s="110">
        <v>40513</v>
      </c>
      <c r="D55" s="109">
        <v>105.401269747</v>
      </c>
      <c r="E55" s="108">
        <v>13864.485893679999</v>
      </c>
      <c r="F55" s="300">
        <f t="shared" si="0"/>
        <v>2010</v>
      </c>
      <c r="G55" s="302" t="str">
        <f t="shared" si="3"/>
        <v>4</v>
      </c>
      <c r="S55" s="365">
        <f>IFERROR(IF(YEAR(MAX('Data - Monthly Commodity Prices'!$C$9:$C5002))=VALUE(RIGHT(S54,4)),"",IF($T$33="Calendar Year",S54+1,CONCATENATE(LEFT(S54,4)+1,"-",RIGHT(S54,4)+1))),"")</f>
        <v>2018</v>
      </c>
      <c r="T55" s="357">
        <f t="shared" si="7"/>
        <v>813.57782015700002</v>
      </c>
      <c r="U55" s="1195">
        <f t="shared" si="8"/>
        <v>65236.000407999993</v>
      </c>
    </row>
    <row r="56" spans="1:28">
      <c r="A56" s="798">
        <f t="shared" si="1"/>
        <v>1</v>
      </c>
      <c r="B56" s="798">
        <f t="shared" si="2"/>
        <v>2011</v>
      </c>
      <c r="C56" s="110">
        <v>40603</v>
      </c>
      <c r="D56" s="25">
        <v>92.160356540999999</v>
      </c>
      <c r="E56" s="73">
        <v>13502.716071020001</v>
      </c>
      <c r="F56" s="300">
        <f t="shared" si="0"/>
        <v>2011</v>
      </c>
      <c r="G56" s="302" t="str">
        <f t="shared" si="3"/>
        <v>1</v>
      </c>
      <c r="S56" s="365">
        <f>IFERROR(IF(YEAR(MAX('Data - Monthly Commodity Prices'!$C$9:$C5003))=VALUE(RIGHT(S55,4)),"",IF($T$33="Calendar Year",S55+1,CONCATENATE(LEFT(S55,4)+1,"-",RIGHT(S55,4)+1))),"")</f>
        <v>2019</v>
      </c>
      <c r="T56" s="1415">
        <f t="shared" si="7"/>
        <v>810.312792737</v>
      </c>
      <c r="U56" s="1416">
        <f t="shared" si="8"/>
        <v>97675.628391999999</v>
      </c>
    </row>
    <row r="57" spans="1:28">
      <c r="A57" s="798">
        <f t="shared" si="1"/>
        <v>2</v>
      </c>
      <c r="B57" s="798">
        <f t="shared" si="2"/>
        <v>2011</v>
      </c>
      <c r="C57" s="110">
        <v>40695</v>
      </c>
      <c r="D57" s="109">
        <v>103.030917184</v>
      </c>
      <c r="E57" s="108">
        <v>15976.673848820001</v>
      </c>
      <c r="F57" s="300">
        <f t="shared" si="0"/>
        <v>2011</v>
      </c>
      <c r="G57" s="302" t="str">
        <f t="shared" si="3"/>
        <v>2</v>
      </c>
      <c r="S57" s="365" t="str">
        <f>IFERROR(IF(YEAR(MAX('Data - Monthly Commodity Prices'!$C$9:$C5004))=VALUE(RIGHT(S56,4)),"",IF($T$33="Calendar Year",S56+1,CONCATENATE(LEFT(S56,4)+1,"-",RIGHT(S56,4)+1))),"")</f>
        <v/>
      </c>
      <c r="T57" s="357" t="str">
        <f t="shared" si="7"/>
        <v/>
      </c>
      <c r="U57" s="1195" t="str">
        <f t="shared" si="8"/>
        <v/>
      </c>
    </row>
    <row r="58" spans="1:28">
      <c r="A58" s="798">
        <f t="shared" si="1"/>
        <v>3</v>
      </c>
      <c r="B58" s="798">
        <f t="shared" si="2"/>
        <v>2011</v>
      </c>
      <c r="C58" s="110">
        <v>40787</v>
      </c>
      <c r="D58" s="25">
        <v>112.872409969</v>
      </c>
      <c r="E58" s="73">
        <v>17693.954844650001</v>
      </c>
      <c r="F58" s="300">
        <f t="shared" si="0"/>
        <v>2011</v>
      </c>
      <c r="G58" s="302" t="str">
        <f t="shared" si="3"/>
        <v>3</v>
      </c>
      <c r="S58" s="365" t="str">
        <f>IFERROR(IF(YEAR(MAX('Data - Monthly Commodity Prices'!$C$9:$C5005))=VALUE(RIGHT(S57,4)),"",IF($T$33="Calendar Year",S57+1,CONCATENATE(LEFT(S57,4)+1,"-",RIGHT(S57,4)+1))),"")</f>
        <v/>
      </c>
      <c r="T58" s="1415" t="str">
        <f t="shared" si="7"/>
        <v/>
      </c>
      <c r="U58" s="1416" t="str">
        <f t="shared" si="8"/>
        <v/>
      </c>
    </row>
    <row r="59" spans="1:28">
      <c r="A59" s="798">
        <f t="shared" si="1"/>
        <v>4</v>
      </c>
      <c r="B59" s="798">
        <f t="shared" si="2"/>
        <v>2011</v>
      </c>
      <c r="C59" s="110">
        <v>40878</v>
      </c>
      <c r="D59" s="109">
        <v>118.609196001</v>
      </c>
      <c r="E59" s="108">
        <v>15689.945753239999</v>
      </c>
      <c r="F59" s="300">
        <f t="shared" si="0"/>
        <v>2011</v>
      </c>
      <c r="G59" s="302" t="str">
        <f t="shared" si="3"/>
        <v>4</v>
      </c>
      <c r="S59" s="365" t="str">
        <f>IFERROR(IF(YEAR(MAX('Data - Monthly Commodity Prices'!$C$9:$C5006))=VALUE(RIGHT(S58,4)),"",IF($T$33="Calendar Year",S58+1,CONCATENATE(LEFT(S58,4)+1,"-",RIGHT(S58,4)+1))),"")</f>
        <v/>
      </c>
      <c r="T59" s="357" t="str">
        <f t="shared" si="7"/>
        <v/>
      </c>
      <c r="U59" s="1195" t="str">
        <f t="shared" si="8"/>
        <v/>
      </c>
    </row>
    <row r="60" spans="1:28" ht="15.75" thickBot="1">
      <c r="A60" s="798">
        <f t="shared" si="1"/>
        <v>1</v>
      </c>
      <c r="B60" s="798">
        <f t="shared" si="2"/>
        <v>2012</v>
      </c>
      <c r="C60" s="110">
        <v>40969</v>
      </c>
      <c r="D60" s="25">
        <v>103.279320281</v>
      </c>
      <c r="E60" s="73">
        <v>12545.06644411</v>
      </c>
      <c r="F60" s="300">
        <f t="shared" si="0"/>
        <v>2012</v>
      </c>
      <c r="G60" s="302" t="str">
        <f t="shared" si="3"/>
        <v>1</v>
      </c>
      <c r="S60" s="366" t="str">
        <f>IFERROR(IF(YEAR(MAX('Data - Monthly Commodity Prices'!$C$9:$C5007))=VALUE(RIGHT(S59,4)),"",IF($T$33="Calendar Year",S59+1,CONCATENATE(LEFT(S59,4)+1,"-",RIGHT(S59,4)+1))),"")</f>
        <v/>
      </c>
      <c r="T60" s="1419" t="str">
        <f t="shared" si="7"/>
        <v/>
      </c>
      <c r="U60" s="1420" t="str">
        <f t="shared" si="8"/>
        <v/>
      </c>
    </row>
    <row r="61" spans="1:28">
      <c r="A61" s="798">
        <f t="shared" si="1"/>
        <v>2</v>
      </c>
      <c r="B61" s="798">
        <f t="shared" si="2"/>
        <v>2012</v>
      </c>
      <c r="C61" s="110">
        <v>41061</v>
      </c>
      <c r="D61" s="109">
        <v>119.624137316</v>
      </c>
      <c r="E61" s="108">
        <v>15043.75994937</v>
      </c>
      <c r="F61" s="300">
        <f t="shared" si="0"/>
        <v>2012</v>
      </c>
      <c r="G61" s="302" t="str">
        <f t="shared" si="3"/>
        <v>2</v>
      </c>
    </row>
    <row r="62" spans="1:28">
      <c r="A62" s="798">
        <f t="shared" si="1"/>
        <v>3</v>
      </c>
      <c r="B62" s="798">
        <f t="shared" si="2"/>
        <v>2012</v>
      </c>
      <c r="C62" s="110">
        <v>41153</v>
      </c>
      <c r="D62" s="25">
        <v>123.919282607</v>
      </c>
      <c r="E62" s="73">
        <v>12464.5617174</v>
      </c>
      <c r="F62" s="300">
        <f t="shared" si="0"/>
        <v>2012</v>
      </c>
      <c r="G62" s="302" t="str">
        <f t="shared" si="3"/>
        <v>3</v>
      </c>
      <c r="H62" s="1097"/>
    </row>
    <row r="63" spans="1:28">
      <c r="A63" s="798">
        <f t="shared" si="1"/>
        <v>4</v>
      </c>
      <c r="B63" s="798">
        <f t="shared" si="2"/>
        <v>2012</v>
      </c>
      <c r="C63" s="110">
        <v>41244</v>
      </c>
      <c r="D63" s="109">
        <v>131.503476686</v>
      </c>
      <c r="E63" s="108">
        <v>12770.52852914</v>
      </c>
      <c r="F63" s="300">
        <f t="shared" si="0"/>
        <v>2012</v>
      </c>
      <c r="G63" s="302" t="str">
        <f t="shared" si="3"/>
        <v>4</v>
      </c>
      <c r="H63" s="1097"/>
    </row>
    <row r="64" spans="1:28">
      <c r="A64" s="798">
        <f t="shared" si="1"/>
        <v>1</v>
      </c>
      <c r="B64" s="798">
        <f t="shared" si="2"/>
        <v>2013</v>
      </c>
      <c r="C64" s="110">
        <v>41334</v>
      </c>
      <c r="D64" s="25">
        <v>119.44340823899999</v>
      </c>
      <c r="E64" s="73">
        <v>14667.79807929</v>
      </c>
      <c r="F64" s="300">
        <f t="shared" si="0"/>
        <v>2013</v>
      </c>
      <c r="G64" s="302" t="str">
        <f t="shared" si="3"/>
        <v>1</v>
      </c>
      <c r="H64" s="1097"/>
    </row>
    <row r="65" spans="1:21">
      <c r="A65" s="798">
        <f t="shared" si="1"/>
        <v>2</v>
      </c>
      <c r="B65" s="798">
        <f t="shared" si="2"/>
        <v>2013</v>
      </c>
      <c r="C65" s="110">
        <v>41426</v>
      </c>
      <c r="D65" s="109">
        <v>136.89424895299999</v>
      </c>
      <c r="E65" s="108">
        <v>16301.434551660001</v>
      </c>
      <c r="F65" s="300">
        <f t="shared" si="0"/>
        <v>2013</v>
      </c>
      <c r="G65" s="302" t="str">
        <f t="shared" si="3"/>
        <v>2</v>
      </c>
      <c r="H65" s="1097"/>
    </row>
    <row r="66" spans="1:21">
      <c r="A66" s="798">
        <f t="shared" si="1"/>
        <v>3</v>
      </c>
      <c r="B66" s="798">
        <f t="shared" si="2"/>
        <v>2013</v>
      </c>
      <c r="C66" s="110">
        <v>41518</v>
      </c>
      <c r="D66" s="25">
        <v>144.90508703099999</v>
      </c>
      <c r="E66" s="73">
        <v>19699.531845810001</v>
      </c>
      <c r="F66" s="300">
        <f t="shared" si="0"/>
        <v>2013</v>
      </c>
      <c r="G66" s="302" t="str">
        <f t="shared" si="3"/>
        <v>3</v>
      </c>
      <c r="H66" s="1097"/>
    </row>
    <row r="67" spans="1:21">
      <c r="A67" s="798">
        <f t="shared" si="1"/>
        <v>4</v>
      </c>
      <c r="B67" s="798">
        <f t="shared" si="2"/>
        <v>2013</v>
      </c>
      <c r="C67" s="110">
        <v>41609</v>
      </c>
      <c r="D67" s="109">
        <v>153.695089158</v>
      </c>
      <c r="E67" s="108">
        <v>19715.660258479998</v>
      </c>
      <c r="F67" s="300">
        <f t="shared" si="0"/>
        <v>2013</v>
      </c>
      <c r="G67" s="302" t="str">
        <f t="shared" si="3"/>
        <v>4</v>
      </c>
      <c r="H67" s="1097"/>
      <c r="U67" s="1097"/>
    </row>
    <row r="68" spans="1:21">
      <c r="A68" s="798">
        <f t="shared" si="1"/>
        <v>1</v>
      </c>
      <c r="B68" s="798">
        <f t="shared" si="2"/>
        <v>2014</v>
      </c>
      <c r="C68" s="110">
        <v>41699</v>
      </c>
      <c r="D68" s="25">
        <v>151.54441827499997</v>
      </c>
      <c r="E68" s="73">
        <v>18725.050092000001</v>
      </c>
      <c r="F68" s="300">
        <f t="shared" si="0"/>
        <v>2014</v>
      </c>
      <c r="G68" s="302" t="str">
        <f t="shared" si="3"/>
        <v>1</v>
      </c>
      <c r="H68" s="1097"/>
    </row>
    <row r="69" spans="1:21">
      <c r="A69" s="798">
        <f t="shared" si="1"/>
        <v>2</v>
      </c>
      <c r="B69" s="798">
        <f t="shared" si="2"/>
        <v>2014</v>
      </c>
      <c r="C69" s="110">
        <v>41791</v>
      </c>
      <c r="D69" s="109">
        <v>173.36272031000001</v>
      </c>
      <c r="E69" s="108">
        <v>17025.473489</v>
      </c>
      <c r="F69" s="300">
        <f t="shared" si="0"/>
        <v>2014</v>
      </c>
      <c r="G69" s="302" t="str">
        <f t="shared" si="3"/>
        <v>2</v>
      </c>
      <c r="H69" s="1097"/>
    </row>
    <row r="70" spans="1:21">
      <c r="A70" s="798">
        <f t="shared" si="1"/>
        <v>3</v>
      </c>
      <c r="B70" s="798">
        <f t="shared" si="2"/>
        <v>2014</v>
      </c>
      <c r="C70" s="110">
        <v>41883</v>
      </c>
      <c r="D70" s="25">
        <v>179.09842233000001</v>
      </c>
      <c r="E70" s="73">
        <v>15191.018254000001</v>
      </c>
      <c r="F70" s="300">
        <f t="shared" si="0"/>
        <v>2014</v>
      </c>
      <c r="G70" s="302" t="str">
        <f t="shared" si="3"/>
        <v>3</v>
      </c>
      <c r="H70" s="1097"/>
    </row>
    <row r="71" spans="1:21">
      <c r="A71" s="798">
        <f t="shared" si="1"/>
        <v>4</v>
      </c>
      <c r="B71" s="798">
        <f t="shared" si="2"/>
        <v>2014</v>
      </c>
      <c r="C71" s="110">
        <v>41974</v>
      </c>
      <c r="D71" s="289">
        <v>182.22869769700003</v>
      </c>
      <c r="E71" s="288">
        <v>14111.898175</v>
      </c>
      <c r="F71" s="300">
        <f t="shared" si="0"/>
        <v>2014</v>
      </c>
      <c r="G71" s="302" t="str">
        <f t="shared" si="3"/>
        <v>4</v>
      </c>
      <c r="H71" s="1097"/>
    </row>
    <row r="72" spans="1:21">
      <c r="A72" s="798">
        <f t="shared" si="1"/>
        <v>1</v>
      </c>
      <c r="B72" s="798">
        <f t="shared" si="2"/>
        <v>2015</v>
      </c>
      <c r="C72" s="291">
        <v>42064</v>
      </c>
      <c r="D72" s="285">
        <v>173.61729233200001</v>
      </c>
      <c r="E72" s="292">
        <v>12906.699777</v>
      </c>
      <c r="F72" s="300">
        <f>YEAR(C72)</f>
        <v>2015</v>
      </c>
      <c r="G72" s="302" t="str">
        <f t="shared" si="3"/>
        <v>1</v>
      </c>
      <c r="H72" s="1097"/>
    </row>
    <row r="73" spans="1:21">
      <c r="A73" s="798">
        <f t="shared" ref="A73:A136" si="9">IF(OR(MONTH(C73)=1,MONTH(C73)=2,MONTH(C73)=3),1,IF(OR(MONTH(C73)=4,MONTH(C73)=5,MONTH(C73)=6),2,IF(OR(MONTH(C73)=7,MONTH(C73)=8,MONTH(C73)=9),3,4)))</f>
        <v>2</v>
      </c>
      <c r="B73" s="798">
        <f t="shared" ref="B73:B136" si="10">YEAR(C73)</f>
        <v>2015</v>
      </c>
      <c r="C73" s="291">
        <v>42156</v>
      </c>
      <c r="D73" s="289">
        <v>183.86199558800001</v>
      </c>
      <c r="E73" s="288">
        <v>12166.051084000001</v>
      </c>
      <c r="F73" s="300">
        <f>YEAR(C73)</f>
        <v>2015</v>
      </c>
      <c r="G73" s="302" t="str">
        <f>IF(MONTH(C73)=3,"1",IF(MONTH(C73)=6,"2",IF(MONTH(C73)=9,"3","4")))</f>
        <v>2</v>
      </c>
      <c r="H73" s="1097"/>
      <c r="P73" s="961"/>
      <c r="S73" s="1215"/>
      <c r="T73" s="961"/>
    </row>
    <row r="74" spans="1:21">
      <c r="A74" s="798">
        <f t="shared" si="9"/>
        <v>3</v>
      </c>
      <c r="B74" s="798">
        <f t="shared" si="10"/>
        <v>2015</v>
      </c>
      <c r="C74" s="291">
        <v>42248</v>
      </c>
      <c r="D74" s="285">
        <v>192.81670973400003</v>
      </c>
      <c r="E74" s="292">
        <v>13113.917823</v>
      </c>
      <c r="F74" s="300">
        <f>YEAR(C74)</f>
        <v>2015</v>
      </c>
      <c r="G74" s="302" t="str">
        <f>IF(MONTH(C74)=3,"1",IF(MONTH(C74)=6,"2",IF(MONTH(C74)=9,"3","4")))</f>
        <v>3</v>
      </c>
      <c r="H74" s="1097"/>
    </row>
    <row r="75" spans="1:21">
      <c r="A75" s="798">
        <f t="shared" si="9"/>
        <v>4</v>
      </c>
      <c r="B75" s="798">
        <f t="shared" si="10"/>
        <v>2015</v>
      </c>
      <c r="C75" s="291">
        <v>42339</v>
      </c>
      <c r="D75" s="289">
        <v>192.09810913399997</v>
      </c>
      <c r="E75" s="288">
        <v>11444.106266999999</v>
      </c>
      <c r="F75" s="300">
        <f>YEAR(C75)</f>
        <v>2015</v>
      </c>
      <c r="G75" s="302" t="str">
        <f>IF(MONTH(C75)=3,"1",IF(MONTH(C75)=6,"2",IF(MONTH(C75)=9,"3","4")))</f>
        <v>4</v>
      </c>
      <c r="H75" s="1097"/>
    </row>
    <row r="76" spans="1:21">
      <c r="A76" s="798">
        <f t="shared" si="9"/>
        <v>1</v>
      </c>
      <c r="B76" s="798">
        <f t="shared" si="10"/>
        <v>2016</v>
      </c>
      <c r="C76" s="291">
        <v>42430</v>
      </c>
      <c r="D76" s="285">
        <v>181.94836504599996</v>
      </c>
      <c r="E76" s="292">
        <v>10837.407257000001</v>
      </c>
      <c r="F76" s="300">
        <f t="shared" ref="F76:F139" si="11">YEAR(C76)</f>
        <v>2016</v>
      </c>
      <c r="G76" s="302" t="str">
        <f t="shared" ref="G76:G139" si="12">IF(MONTH(C76)=3,"1",IF(MONTH(C76)=6,"2",IF(MONTH(C76)=9,"3","4")))</f>
        <v>1</v>
      </c>
      <c r="H76" s="1097"/>
    </row>
    <row r="77" spans="1:21">
      <c r="A77" s="798">
        <f t="shared" si="9"/>
        <v>2</v>
      </c>
      <c r="B77" s="798">
        <f t="shared" si="10"/>
        <v>2016</v>
      </c>
      <c r="C77" s="291">
        <v>42522</v>
      </c>
      <c r="D77" s="289">
        <v>181.237237045</v>
      </c>
      <c r="E77" s="288">
        <v>13372.315251</v>
      </c>
      <c r="F77" s="300">
        <f t="shared" si="11"/>
        <v>2016</v>
      </c>
      <c r="G77" s="302" t="str">
        <f t="shared" si="12"/>
        <v>2</v>
      </c>
      <c r="H77" s="1097"/>
    </row>
    <row r="78" spans="1:21">
      <c r="A78" s="798">
        <f t="shared" si="9"/>
        <v>3</v>
      </c>
      <c r="B78" s="798">
        <f t="shared" si="10"/>
        <v>2016</v>
      </c>
      <c r="C78" s="291">
        <v>42614</v>
      </c>
      <c r="D78" s="285">
        <v>197.84951752600003</v>
      </c>
      <c r="E78" s="292">
        <v>14228.356486000001</v>
      </c>
      <c r="F78" s="300">
        <f t="shared" si="11"/>
        <v>2016</v>
      </c>
      <c r="G78" s="302" t="str">
        <f t="shared" si="12"/>
        <v>3</v>
      </c>
      <c r="H78" s="1097"/>
    </row>
    <row r="79" spans="1:21">
      <c r="A79" s="798">
        <f t="shared" si="9"/>
        <v>4</v>
      </c>
      <c r="B79" s="798">
        <f t="shared" si="10"/>
        <v>2016</v>
      </c>
      <c r="C79" s="291">
        <v>42705</v>
      </c>
      <c r="D79" s="289">
        <v>208.24240152800002</v>
      </c>
      <c r="E79" s="288">
        <v>17171.093702999999</v>
      </c>
      <c r="F79" s="300">
        <f t="shared" si="11"/>
        <v>2016</v>
      </c>
      <c r="G79" s="302" t="str">
        <f t="shared" si="12"/>
        <v>4</v>
      </c>
    </row>
    <row r="80" spans="1:21">
      <c r="A80" s="798">
        <f t="shared" si="9"/>
        <v>1</v>
      </c>
      <c r="B80" s="798">
        <f t="shared" si="10"/>
        <v>2017</v>
      </c>
      <c r="C80" s="291">
        <v>42795</v>
      </c>
      <c r="D80" s="285">
        <v>185.802517739</v>
      </c>
      <c r="E80" s="292">
        <v>17547.901107999998</v>
      </c>
      <c r="F80" s="300">
        <f t="shared" si="11"/>
        <v>2017</v>
      </c>
      <c r="G80" s="302" t="str">
        <f t="shared" si="12"/>
        <v>1</v>
      </c>
    </row>
    <row r="81" spans="1:9">
      <c r="A81" s="798">
        <f t="shared" si="9"/>
        <v>2</v>
      </c>
      <c r="B81" s="798">
        <f t="shared" si="10"/>
        <v>2017</v>
      </c>
      <c r="C81" s="291">
        <v>42887</v>
      </c>
      <c r="D81" s="289">
        <v>201.09012608299997</v>
      </c>
      <c r="E81" s="288">
        <v>15371.898155000001</v>
      </c>
      <c r="F81" s="300">
        <f t="shared" si="11"/>
        <v>2017</v>
      </c>
      <c r="G81" s="302" t="str">
        <f t="shared" si="12"/>
        <v>2</v>
      </c>
    </row>
    <row r="82" spans="1:9">
      <c r="A82" s="798">
        <f t="shared" si="9"/>
        <v>3</v>
      </c>
      <c r="B82" s="798">
        <f t="shared" si="10"/>
        <v>2017</v>
      </c>
      <c r="C82" s="291">
        <v>42979</v>
      </c>
      <c r="D82" s="285">
        <v>216.23917943100005</v>
      </c>
      <c r="E82" s="292">
        <v>15795.866168</v>
      </c>
      <c r="F82" s="300">
        <f t="shared" si="11"/>
        <v>2017</v>
      </c>
      <c r="G82" s="302" t="str">
        <f t="shared" si="12"/>
        <v>3</v>
      </c>
    </row>
    <row r="83" spans="1:9">
      <c r="A83" s="798">
        <f t="shared" si="9"/>
        <v>4</v>
      </c>
      <c r="B83" s="798">
        <f t="shared" si="10"/>
        <v>2017</v>
      </c>
      <c r="C83" s="291">
        <v>43070</v>
      </c>
      <c r="D83" s="289">
        <v>210.987711461</v>
      </c>
      <c r="E83" s="288">
        <v>15113.749841000001</v>
      </c>
      <c r="F83" s="300">
        <f t="shared" si="11"/>
        <v>2017</v>
      </c>
      <c r="G83" s="302" t="str">
        <f t="shared" si="12"/>
        <v>4</v>
      </c>
    </row>
    <row r="84" spans="1:9">
      <c r="A84" s="798">
        <f t="shared" si="9"/>
        <v>1</v>
      </c>
      <c r="B84" s="798">
        <f t="shared" si="10"/>
        <v>2018</v>
      </c>
      <c r="C84" s="291">
        <v>43160</v>
      </c>
      <c r="D84" s="285">
        <v>196.12663024499997</v>
      </c>
      <c r="E84" s="292">
        <v>15473.545389999999</v>
      </c>
      <c r="F84" s="300">
        <f t="shared" si="11"/>
        <v>2018</v>
      </c>
      <c r="G84" s="302" t="str">
        <f t="shared" si="12"/>
        <v>1</v>
      </c>
    </row>
    <row r="85" spans="1:9">
      <c r="A85" s="798">
        <f t="shared" si="9"/>
        <v>2</v>
      </c>
      <c r="B85" s="798">
        <f t="shared" si="10"/>
        <v>2018</v>
      </c>
      <c r="C85" s="291">
        <v>43252</v>
      </c>
      <c r="D85" s="289">
        <v>216.07066898799999</v>
      </c>
      <c r="E85" s="288">
        <v>15691.011538999999</v>
      </c>
      <c r="F85" s="300">
        <f t="shared" si="11"/>
        <v>2018</v>
      </c>
      <c r="G85" s="302" t="str">
        <f t="shared" si="12"/>
        <v>2</v>
      </c>
    </row>
    <row r="86" spans="1:9">
      <c r="A86" s="798">
        <f t="shared" si="9"/>
        <v>3</v>
      </c>
      <c r="B86" s="798">
        <f t="shared" si="10"/>
        <v>2018</v>
      </c>
      <c r="C86" s="291">
        <v>43344</v>
      </c>
      <c r="D86" s="285">
        <v>200.76104890500002</v>
      </c>
      <c r="E86" s="1528">
        <v>16129.191709999999</v>
      </c>
      <c r="F86" s="300">
        <f t="shared" si="11"/>
        <v>2018</v>
      </c>
      <c r="G86" s="302" t="str">
        <f t="shared" si="12"/>
        <v>3</v>
      </c>
    </row>
    <row r="87" spans="1:9">
      <c r="A87" s="798">
        <f t="shared" si="9"/>
        <v>4</v>
      </c>
      <c r="B87" s="798">
        <f t="shared" si="10"/>
        <v>2018</v>
      </c>
      <c r="C87" s="291">
        <v>43435</v>
      </c>
      <c r="D87" s="289">
        <v>200.619472019</v>
      </c>
      <c r="E87" s="288">
        <v>17942.251768999999</v>
      </c>
      <c r="F87" s="300">
        <f t="shared" si="11"/>
        <v>2018</v>
      </c>
      <c r="G87" s="302" t="str">
        <f t="shared" si="12"/>
        <v>4</v>
      </c>
    </row>
    <row r="88" spans="1:9">
      <c r="A88" s="798">
        <f t="shared" si="9"/>
        <v>1</v>
      </c>
      <c r="B88" s="798">
        <f t="shared" si="10"/>
        <v>2019</v>
      </c>
      <c r="C88" s="291">
        <v>43525</v>
      </c>
      <c r="D88" s="285">
        <v>182.084543002</v>
      </c>
      <c r="E88" s="1528">
        <v>19132.98691</v>
      </c>
      <c r="F88" s="300">
        <f t="shared" si="11"/>
        <v>2019</v>
      </c>
      <c r="G88" s="302" t="str">
        <f t="shared" si="12"/>
        <v>1</v>
      </c>
      <c r="I88" s="1536"/>
    </row>
    <row r="89" spans="1:9">
      <c r="A89" s="798">
        <f t="shared" si="9"/>
        <v>2</v>
      </c>
      <c r="B89" s="798">
        <f t="shared" si="10"/>
        <v>2019</v>
      </c>
      <c r="C89" s="291">
        <v>43617</v>
      </c>
      <c r="D89" s="289">
        <v>211.18708263799999</v>
      </c>
      <c r="E89" s="288">
        <v>27340.203566</v>
      </c>
      <c r="F89" s="300">
        <f t="shared" si="11"/>
        <v>2019</v>
      </c>
      <c r="G89" s="302" t="str">
        <f t="shared" si="12"/>
        <v>2</v>
      </c>
    </row>
    <row r="90" spans="1:9">
      <c r="A90" s="798">
        <f t="shared" si="9"/>
        <v>3</v>
      </c>
      <c r="B90" s="798">
        <f t="shared" si="10"/>
        <v>2019</v>
      </c>
      <c r="C90" s="291">
        <v>43709</v>
      </c>
      <c r="D90" s="285">
        <v>206.07564458099998</v>
      </c>
      <c r="E90" s="1528">
        <v>27549.539171</v>
      </c>
      <c r="F90" s="300">
        <f t="shared" si="11"/>
        <v>2019</v>
      </c>
      <c r="G90" s="302" t="str">
        <f t="shared" si="12"/>
        <v>3</v>
      </c>
    </row>
    <row r="91" spans="1:9" ht="15.75" thickBot="1">
      <c r="A91" s="798">
        <f t="shared" si="9"/>
        <v>4</v>
      </c>
      <c r="B91" s="798">
        <f t="shared" si="10"/>
        <v>2019</v>
      </c>
      <c r="C91" s="290">
        <v>43800</v>
      </c>
      <c r="D91" s="287">
        <v>210.96552251599999</v>
      </c>
      <c r="E91" s="286">
        <v>23652.898744999999</v>
      </c>
      <c r="F91" s="300">
        <f t="shared" si="11"/>
        <v>2019</v>
      </c>
      <c r="G91" s="302" t="str">
        <f t="shared" si="12"/>
        <v>4</v>
      </c>
    </row>
    <row r="92" spans="1:9">
      <c r="A92" s="798">
        <f t="shared" si="9"/>
        <v>1</v>
      </c>
      <c r="B92" s="798">
        <f t="shared" si="10"/>
        <v>1900</v>
      </c>
      <c r="E92" s="71"/>
      <c r="F92" s="300">
        <f t="shared" si="11"/>
        <v>1900</v>
      </c>
      <c r="G92" s="302" t="str">
        <f t="shared" si="12"/>
        <v>4</v>
      </c>
    </row>
    <row r="93" spans="1:9">
      <c r="A93" s="798">
        <f t="shared" si="9"/>
        <v>1</v>
      </c>
      <c r="B93" s="798">
        <f t="shared" si="10"/>
        <v>1900</v>
      </c>
      <c r="E93" s="71"/>
      <c r="F93" s="300">
        <f t="shared" si="11"/>
        <v>1900</v>
      </c>
      <c r="G93" s="302" t="str">
        <f t="shared" si="12"/>
        <v>4</v>
      </c>
    </row>
    <row r="94" spans="1:9">
      <c r="A94" s="798">
        <f t="shared" si="9"/>
        <v>1</v>
      </c>
      <c r="B94" s="798">
        <f t="shared" si="10"/>
        <v>1900</v>
      </c>
      <c r="E94" s="71"/>
      <c r="F94" s="300">
        <f t="shared" si="11"/>
        <v>1900</v>
      </c>
      <c r="G94" s="302" t="str">
        <f t="shared" si="12"/>
        <v>4</v>
      </c>
    </row>
    <row r="95" spans="1:9">
      <c r="A95" s="798">
        <f t="shared" si="9"/>
        <v>1</v>
      </c>
      <c r="B95" s="798">
        <f t="shared" si="10"/>
        <v>1900</v>
      </c>
      <c r="E95" s="71"/>
      <c r="F95" s="300">
        <f t="shared" si="11"/>
        <v>1900</v>
      </c>
      <c r="G95" s="302" t="str">
        <f t="shared" si="12"/>
        <v>4</v>
      </c>
    </row>
    <row r="96" spans="1:9">
      <c r="A96" s="798">
        <f t="shared" si="9"/>
        <v>1</v>
      </c>
      <c r="B96" s="798">
        <f t="shared" si="10"/>
        <v>1900</v>
      </c>
      <c r="E96" s="71"/>
      <c r="F96" s="300">
        <f t="shared" si="11"/>
        <v>1900</v>
      </c>
      <c r="G96" s="302" t="str">
        <f t="shared" si="12"/>
        <v>4</v>
      </c>
    </row>
    <row r="97" spans="1:7">
      <c r="A97" s="798">
        <f t="shared" si="9"/>
        <v>1</v>
      </c>
      <c r="B97" s="798">
        <f t="shared" si="10"/>
        <v>1900</v>
      </c>
      <c r="E97" s="71"/>
      <c r="F97" s="300">
        <f t="shared" si="11"/>
        <v>1900</v>
      </c>
      <c r="G97" s="302" t="str">
        <f t="shared" si="12"/>
        <v>4</v>
      </c>
    </row>
    <row r="98" spans="1:7">
      <c r="A98" s="798">
        <f t="shared" si="9"/>
        <v>1</v>
      </c>
      <c r="B98" s="798">
        <f t="shared" si="10"/>
        <v>1900</v>
      </c>
      <c r="E98" s="71"/>
      <c r="F98" s="300">
        <f t="shared" si="11"/>
        <v>1900</v>
      </c>
      <c r="G98" s="302" t="str">
        <f t="shared" si="12"/>
        <v>4</v>
      </c>
    </row>
    <row r="99" spans="1:7">
      <c r="A99" s="798">
        <f t="shared" si="9"/>
        <v>1</v>
      </c>
      <c r="B99" s="798">
        <f t="shared" si="10"/>
        <v>1900</v>
      </c>
      <c r="E99" s="71"/>
      <c r="F99" s="300">
        <f t="shared" si="11"/>
        <v>1900</v>
      </c>
      <c r="G99" s="302" t="str">
        <f t="shared" si="12"/>
        <v>4</v>
      </c>
    </row>
    <row r="100" spans="1:7">
      <c r="A100" s="798">
        <f t="shared" si="9"/>
        <v>1</v>
      </c>
      <c r="B100" s="798">
        <f t="shared" si="10"/>
        <v>1900</v>
      </c>
      <c r="E100" s="71"/>
      <c r="F100" s="300">
        <f t="shared" si="11"/>
        <v>1900</v>
      </c>
      <c r="G100" s="302" t="str">
        <f t="shared" si="12"/>
        <v>4</v>
      </c>
    </row>
    <row r="101" spans="1:7">
      <c r="A101" s="798">
        <f t="shared" si="9"/>
        <v>1</v>
      </c>
      <c r="B101" s="798">
        <f t="shared" si="10"/>
        <v>1900</v>
      </c>
      <c r="E101" s="71"/>
      <c r="F101" s="300">
        <f t="shared" si="11"/>
        <v>1900</v>
      </c>
      <c r="G101" s="302" t="str">
        <f t="shared" si="12"/>
        <v>4</v>
      </c>
    </row>
    <row r="102" spans="1:7">
      <c r="A102" s="798">
        <f t="shared" si="9"/>
        <v>1</v>
      </c>
      <c r="B102" s="798">
        <f t="shared" si="10"/>
        <v>1900</v>
      </c>
      <c r="E102" s="71"/>
      <c r="F102" s="300">
        <f t="shared" si="11"/>
        <v>1900</v>
      </c>
      <c r="G102" s="302" t="str">
        <f t="shared" si="12"/>
        <v>4</v>
      </c>
    </row>
    <row r="103" spans="1:7">
      <c r="A103" s="798">
        <f t="shared" si="9"/>
        <v>1</v>
      </c>
      <c r="B103" s="798">
        <f t="shared" si="10"/>
        <v>1900</v>
      </c>
      <c r="E103" s="71"/>
      <c r="F103" s="300">
        <f t="shared" si="11"/>
        <v>1900</v>
      </c>
      <c r="G103" s="302" t="str">
        <f t="shared" si="12"/>
        <v>4</v>
      </c>
    </row>
    <row r="104" spans="1:7">
      <c r="A104" s="798">
        <f t="shared" si="9"/>
        <v>1</v>
      </c>
      <c r="B104" s="798">
        <f t="shared" si="10"/>
        <v>1900</v>
      </c>
      <c r="E104" s="71"/>
      <c r="F104" s="300">
        <f t="shared" si="11"/>
        <v>1900</v>
      </c>
      <c r="G104" s="302" t="str">
        <f t="shared" si="12"/>
        <v>4</v>
      </c>
    </row>
    <row r="105" spans="1:7">
      <c r="A105" s="798">
        <f t="shared" si="9"/>
        <v>1</v>
      </c>
      <c r="B105" s="798">
        <f t="shared" si="10"/>
        <v>1900</v>
      </c>
      <c r="E105" s="71"/>
      <c r="F105" s="300">
        <f t="shared" si="11"/>
        <v>1900</v>
      </c>
      <c r="G105" s="302" t="str">
        <f t="shared" si="12"/>
        <v>4</v>
      </c>
    </row>
    <row r="106" spans="1:7">
      <c r="A106" s="798">
        <f t="shared" si="9"/>
        <v>1</v>
      </c>
      <c r="B106" s="798">
        <f t="shared" si="10"/>
        <v>1900</v>
      </c>
      <c r="E106" s="71"/>
      <c r="F106" s="300">
        <f t="shared" si="11"/>
        <v>1900</v>
      </c>
      <c r="G106" s="302" t="str">
        <f t="shared" si="12"/>
        <v>4</v>
      </c>
    </row>
    <row r="107" spans="1:7">
      <c r="A107" s="798">
        <f t="shared" si="9"/>
        <v>1</v>
      </c>
      <c r="B107" s="798">
        <f t="shared" si="10"/>
        <v>1900</v>
      </c>
      <c r="E107" s="71"/>
      <c r="F107" s="300">
        <f t="shared" si="11"/>
        <v>1900</v>
      </c>
      <c r="G107" s="302" t="str">
        <f t="shared" si="12"/>
        <v>4</v>
      </c>
    </row>
    <row r="108" spans="1:7">
      <c r="A108" s="798">
        <f t="shared" si="9"/>
        <v>1</v>
      </c>
      <c r="B108" s="798">
        <f t="shared" si="10"/>
        <v>1900</v>
      </c>
      <c r="E108" s="71"/>
      <c r="F108" s="300">
        <f t="shared" si="11"/>
        <v>1900</v>
      </c>
      <c r="G108" s="302" t="str">
        <f t="shared" si="12"/>
        <v>4</v>
      </c>
    </row>
    <row r="109" spans="1:7">
      <c r="A109" s="798">
        <f t="shared" si="9"/>
        <v>1</v>
      </c>
      <c r="B109" s="798">
        <f t="shared" si="10"/>
        <v>1900</v>
      </c>
      <c r="E109" s="71"/>
      <c r="F109" s="300">
        <f t="shared" si="11"/>
        <v>1900</v>
      </c>
      <c r="G109" s="302" t="str">
        <f t="shared" si="12"/>
        <v>4</v>
      </c>
    </row>
    <row r="110" spans="1:7">
      <c r="A110" s="798">
        <f t="shared" si="9"/>
        <v>1</v>
      </c>
      <c r="B110" s="798">
        <f t="shared" si="10"/>
        <v>1900</v>
      </c>
      <c r="E110" s="71"/>
      <c r="F110" s="300">
        <f t="shared" si="11"/>
        <v>1900</v>
      </c>
      <c r="G110" s="302" t="str">
        <f t="shared" si="12"/>
        <v>4</v>
      </c>
    </row>
    <row r="111" spans="1:7">
      <c r="A111" s="798">
        <f t="shared" si="9"/>
        <v>1</v>
      </c>
      <c r="B111" s="798">
        <f t="shared" si="10"/>
        <v>1900</v>
      </c>
      <c r="E111" s="71"/>
      <c r="F111" s="300">
        <f t="shared" si="11"/>
        <v>1900</v>
      </c>
      <c r="G111" s="302" t="str">
        <f t="shared" si="12"/>
        <v>4</v>
      </c>
    </row>
    <row r="112" spans="1:7">
      <c r="A112" s="798">
        <f t="shared" si="9"/>
        <v>1</v>
      </c>
      <c r="B112" s="798">
        <f t="shared" si="10"/>
        <v>1900</v>
      </c>
      <c r="E112" s="71"/>
      <c r="F112" s="300">
        <f t="shared" si="11"/>
        <v>1900</v>
      </c>
      <c r="G112" s="302" t="str">
        <f t="shared" si="12"/>
        <v>4</v>
      </c>
    </row>
    <row r="113" spans="1:7">
      <c r="A113" s="798">
        <f t="shared" si="9"/>
        <v>1</v>
      </c>
      <c r="B113" s="798">
        <f t="shared" si="10"/>
        <v>1900</v>
      </c>
      <c r="E113" s="71"/>
      <c r="F113" s="300">
        <f t="shared" si="11"/>
        <v>1900</v>
      </c>
      <c r="G113" s="302" t="str">
        <f t="shared" si="12"/>
        <v>4</v>
      </c>
    </row>
    <row r="114" spans="1:7">
      <c r="A114" s="798">
        <f t="shared" si="9"/>
        <v>1</v>
      </c>
      <c r="B114" s="798">
        <f t="shared" si="10"/>
        <v>1900</v>
      </c>
      <c r="E114" s="71"/>
      <c r="F114" s="300">
        <f t="shared" si="11"/>
        <v>1900</v>
      </c>
      <c r="G114" s="302" t="str">
        <f t="shared" si="12"/>
        <v>4</v>
      </c>
    </row>
    <row r="115" spans="1:7">
      <c r="A115" s="798">
        <f t="shared" si="9"/>
        <v>1</v>
      </c>
      <c r="B115" s="798">
        <f t="shared" si="10"/>
        <v>1900</v>
      </c>
      <c r="E115" s="71"/>
      <c r="F115" s="300">
        <f t="shared" si="11"/>
        <v>1900</v>
      </c>
      <c r="G115" s="302" t="str">
        <f t="shared" si="12"/>
        <v>4</v>
      </c>
    </row>
    <row r="116" spans="1:7">
      <c r="A116" s="798">
        <f t="shared" si="9"/>
        <v>1</v>
      </c>
      <c r="B116" s="798">
        <f t="shared" si="10"/>
        <v>1900</v>
      </c>
      <c r="E116" s="71"/>
      <c r="F116" s="300">
        <f t="shared" si="11"/>
        <v>1900</v>
      </c>
      <c r="G116" s="302" t="str">
        <f t="shared" si="12"/>
        <v>4</v>
      </c>
    </row>
    <row r="117" spans="1:7">
      <c r="A117" s="798">
        <f t="shared" si="9"/>
        <v>1</v>
      </c>
      <c r="B117" s="798">
        <f t="shared" si="10"/>
        <v>1900</v>
      </c>
      <c r="E117" s="71"/>
      <c r="F117" s="300">
        <f t="shared" si="11"/>
        <v>1900</v>
      </c>
      <c r="G117" s="302" t="str">
        <f t="shared" si="12"/>
        <v>4</v>
      </c>
    </row>
    <row r="118" spans="1:7">
      <c r="A118" s="798">
        <f t="shared" si="9"/>
        <v>1</v>
      </c>
      <c r="B118" s="798">
        <f t="shared" si="10"/>
        <v>1900</v>
      </c>
      <c r="E118" s="71"/>
      <c r="F118" s="300">
        <f t="shared" si="11"/>
        <v>1900</v>
      </c>
      <c r="G118" s="302" t="str">
        <f t="shared" si="12"/>
        <v>4</v>
      </c>
    </row>
    <row r="119" spans="1:7">
      <c r="A119" s="798">
        <f t="shared" si="9"/>
        <v>1</v>
      </c>
      <c r="B119" s="798">
        <f t="shared" si="10"/>
        <v>1900</v>
      </c>
      <c r="E119" s="71"/>
      <c r="F119" s="300">
        <f t="shared" si="11"/>
        <v>1900</v>
      </c>
      <c r="G119" s="302" t="str">
        <f t="shared" si="12"/>
        <v>4</v>
      </c>
    </row>
    <row r="120" spans="1:7">
      <c r="A120" s="798">
        <f t="shared" si="9"/>
        <v>1</v>
      </c>
      <c r="B120" s="798">
        <f t="shared" si="10"/>
        <v>1900</v>
      </c>
      <c r="E120" s="71"/>
      <c r="F120" s="300">
        <f t="shared" si="11"/>
        <v>1900</v>
      </c>
      <c r="G120" s="302" t="str">
        <f t="shared" si="12"/>
        <v>4</v>
      </c>
    </row>
    <row r="121" spans="1:7">
      <c r="A121" s="798">
        <f t="shared" si="9"/>
        <v>1</v>
      </c>
      <c r="B121" s="798">
        <f t="shared" si="10"/>
        <v>1900</v>
      </c>
      <c r="E121" s="71"/>
      <c r="F121" s="300">
        <f t="shared" si="11"/>
        <v>1900</v>
      </c>
      <c r="G121" s="302" t="str">
        <f t="shared" si="12"/>
        <v>4</v>
      </c>
    </row>
    <row r="122" spans="1:7">
      <c r="A122" s="798">
        <f t="shared" si="9"/>
        <v>1</v>
      </c>
      <c r="B122" s="798">
        <f t="shared" si="10"/>
        <v>1900</v>
      </c>
      <c r="E122" s="71"/>
      <c r="F122" s="300">
        <f t="shared" si="11"/>
        <v>1900</v>
      </c>
      <c r="G122" s="302" t="str">
        <f t="shared" si="12"/>
        <v>4</v>
      </c>
    </row>
    <row r="123" spans="1:7">
      <c r="A123" s="798">
        <f t="shared" si="9"/>
        <v>1</v>
      </c>
      <c r="B123" s="798">
        <f t="shared" si="10"/>
        <v>1900</v>
      </c>
      <c r="E123" s="71"/>
      <c r="F123" s="300">
        <f t="shared" si="11"/>
        <v>1900</v>
      </c>
      <c r="G123" s="302" t="str">
        <f t="shared" si="12"/>
        <v>4</v>
      </c>
    </row>
    <row r="124" spans="1:7">
      <c r="A124" s="798">
        <f t="shared" si="9"/>
        <v>1</v>
      </c>
      <c r="B124" s="798">
        <f t="shared" si="10"/>
        <v>1900</v>
      </c>
      <c r="E124" s="71"/>
      <c r="F124" s="300">
        <f t="shared" si="11"/>
        <v>1900</v>
      </c>
      <c r="G124" s="302" t="str">
        <f t="shared" si="12"/>
        <v>4</v>
      </c>
    </row>
    <row r="125" spans="1:7">
      <c r="A125" s="798">
        <f t="shared" si="9"/>
        <v>1</v>
      </c>
      <c r="B125" s="798">
        <f t="shared" si="10"/>
        <v>1900</v>
      </c>
      <c r="E125" s="71"/>
      <c r="F125" s="300">
        <f t="shared" si="11"/>
        <v>1900</v>
      </c>
      <c r="G125" s="302" t="str">
        <f t="shared" si="12"/>
        <v>4</v>
      </c>
    </row>
    <row r="126" spans="1:7">
      <c r="A126" s="798">
        <f t="shared" si="9"/>
        <v>1</v>
      </c>
      <c r="B126" s="798">
        <f t="shared" si="10"/>
        <v>1900</v>
      </c>
      <c r="E126" s="71"/>
      <c r="F126" s="300">
        <f t="shared" si="11"/>
        <v>1900</v>
      </c>
      <c r="G126" s="302" t="str">
        <f t="shared" si="12"/>
        <v>4</v>
      </c>
    </row>
    <row r="127" spans="1:7">
      <c r="A127" s="798">
        <f t="shared" si="9"/>
        <v>1</v>
      </c>
      <c r="B127" s="798">
        <f t="shared" si="10"/>
        <v>1900</v>
      </c>
      <c r="E127" s="71"/>
      <c r="F127" s="300">
        <f t="shared" si="11"/>
        <v>1900</v>
      </c>
      <c r="G127" s="302" t="str">
        <f t="shared" si="12"/>
        <v>4</v>
      </c>
    </row>
    <row r="128" spans="1:7">
      <c r="A128" s="798">
        <f t="shared" si="9"/>
        <v>1</v>
      </c>
      <c r="B128" s="798">
        <f t="shared" si="10"/>
        <v>1900</v>
      </c>
      <c r="E128" s="71"/>
      <c r="F128" s="300">
        <f t="shared" si="11"/>
        <v>1900</v>
      </c>
      <c r="G128" s="302" t="str">
        <f t="shared" si="12"/>
        <v>4</v>
      </c>
    </row>
    <row r="129" spans="1:7">
      <c r="A129" s="798">
        <f t="shared" si="9"/>
        <v>1</v>
      </c>
      <c r="B129" s="798">
        <f t="shared" si="10"/>
        <v>1900</v>
      </c>
      <c r="E129" s="71"/>
      <c r="F129" s="300">
        <f t="shared" si="11"/>
        <v>1900</v>
      </c>
      <c r="G129" s="302" t="str">
        <f t="shared" si="12"/>
        <v>4</v>
      </c>
    </row>
    <row r="130" spans="1:7">
      <c r="A130" s="798">
        <f t="shared" si="9"/>
        <v>1</v>
      </c>
      <c r="B130" s="798">
        <f t="shared" si="10"/>
        <v>1900</v>
      </c>
      <c r="E130" s="71"/>
      <c r="F130" s="300">
        <f t="shared" si="11"/>
        <v>1900</v>
      </c>
      <c r="G130" s="302" t="str">
        <f t="shared" si="12"/>
        <v>4</v>
      </c>
    </row>
    <row r="131" spans="1:7">
      <c r="A131" s="798">
        <f t="shared" si="9"/>
        <v>1</v>
      </c>
      <c r="B131" s="798">
        <f t="shared" si="10"/>
        <v>1900</v>
      </c>
      <c r="E131" s="71"/>
      <c r="F131" s="300">
        <f t="shared" si="11"/>
        <v>1900</v>
      </c>
      <c r="G131" s="302" t="str">
        <f t="shared" si="12"/>
        <v>4</v>
      </c>
    </row>
    <row r="132" spans="1:7">
      <c r="A132" s="798">
        <f t="shared" si="9"/>
        <v>1</v>
      </c>
      <c r="B132" s="798">
        <f t="shared" si="10"/>
        <v>1900</v>
      </c>
      <c r="E132" s="71"/>
      <c r="F132" s="300">
        <f t="shared" si="11"/>
        <v>1900</v>
      </c>
      <c r="G132" s="302" t="str">
        <f t="shared" si="12"/>
        <v>4</v>
      </c>
    </row>
    <row r="133" spans="1:7">
      <c r="A133" s="798">
        <f t="shared" si="9"/>
        <v>1</v>
      </c>
      <c r="B133" s="798">
        <f t="shared" si="10"/>
        <v>1900</v>
      </c>
      <c r="E133" s="71"/>
      <c r="F133" s="300">
        <f t="shared" si="11"/>
        <v>1900</v>
      </c>
      <c r="G133" s="302" t="str">
        <f t="shared" si="12"/>
        <v>4</v>
      </c>
    </row>
    <row r="134" spans="1:7">
      <c r="A134" s="798">
        <f t="shared" si="9"/>
        <v>1</v>
      </c>
      <c r="B134" s="798">
        <f t="shared" si="10"/>
        <v>1900</v>
      </c>
      <c r="E134" s="71"/>
      <c r="F134" s="300">
        <f t="shared" si="11"/>
        <v>1900</v>
      </c>
      <c r="G134" s="302" t="str">
        <f t="shared" si="12"/>
        <v>4</v>
      </c>
    </row>
    <row r="135" spans="1:7">
      <c r="A135" s="798">
        <f t="shared" si="9"/>
        <v>1</v>
      </c>
      <c r="B135" s="798">
        <f t="shared" si="10"/>
        <v>1900</v>
      </c>
      <c r="E135" s="71"/>
      <c r="F135" s="300">
        <f t="shared" si="11"/>
        <v>1900</v>
      </c>
      <c r="G135" s="302" t="str">
        <f t="shared" si="12"/>
        <v>4</v>
      </c>
    </row>
    <row r="136" spans="1:7">
      <c r="A136" s="798">
        <f t="shared" si="9"/>
        <v>1</v>
      </c>
      <c r="B136" s="798">
        <f t="shared" si="10"/>
        <v>1900</v>
      </c>
      <c r="E136" s="71"/>
      <c r="F136" s="300">
        <f t="shared" si="11"/>
        <v>1900</v>
      </c>
      <c r="G136" s="302" t="str">
        <f t="shared" si="12"/>
        <v>4</v>
      </c>
    </row>
    <row r="137" spans="1:7">
      <c r="A137" s="798">
        <f t="shared" ref="A137:A200" si="13">IF(OR(MONTH(C137)=1,MONTH(C137)=2,MONTH(C137)=3),1,IF(OR(MONTH(C137)=4,MONTH(C137)=5,MONTH(C137)=6),2,IF(OR(MONTH(C137)=7,MONTH(C137)=8,MONTH(C137)=9),3,4)))</f>
        <v>1</v>
      </c>
      <c r="B137" s="798">
        <f t="shared" ref="B137:B200" si="14">YEAR(C137)</f>
        <v>1900</v>
      </c>
      <c r="E137" s="71"/>
      <c r="F137" s="300">
        <f t="shared" si="11"/>
        <v>1900</v>
      </c>
      <c r="G137" s="302" t="str">
        <f t="shared" si="12"/>
        <v>4</v>
      </c>
    </row>
    <row r="138" spans="1:7">
      <c r="A138" s="798">
        <f t="shared" si="13"/>
        <v>1</v>
      </c>
      <c r="B138" s="798">
        <f t="shared" si="14"/>
        <v>1900</v>
      </c>
      <c r="E138" s="71"/>
      <c r="F138" s="300">
        <f t="shared" si="11"/>
        <v>1900</v>
      </c>
      <c r="G138" s="302" t="str">
        <f t="shared" si="12"/>
        <v>4</v>
      </c>
    </row>
    <row r="139" spans="1:7">
      <c r="A139" s="798">
        <f t="shared" si="13"/>
        <v>1</v>
      </c>
      <c r="B139" s="798">
        <f t="shared" si="14"/>
        <v>1900</v>
      </c>
      <c r="E139" s="71"/>
      <c r="F139" s="300">
        <f t="shared" si="11"/>
        <v>1900</v>
      </c>
      <c r="G139" s="302" t="str">
        <f t="shared" si="12"/>
        <v>4</v>
      </c>
    </row>
    <row r="140" spans="1:7">
      <c r="A140" s="798">
        <f t="shared" si="13"/>
        <v>1</v>
      </c>
      <c r="B140" s="798">
        <f t="shared" si="14"/>
        <v>1900</v>
      </c>
      <c r="E140" s="71"/>
      <c r="F140" s="300">
        <f t="shared" ref="F140:F203" si="15">YEAR(C140)</f>
        <v>1900</v>
      </c>
      <c r="G140" s="302" t="str">
        <f t="shared" ref="G140:G203" si="16">IF(MONTH(C140)=3,"1",IF(MONTH(C140)=6,"2",IF(MONTH(C140)=9,"3","4")))</f>
        <v>4</v>
      </c>
    </row>
    <row r="141" spans="1:7">
      <c r="A141" s="798">
        <f t="shared" si="13"/>
        <v>1</v>
      </c>
      <c r="B141" s="798">
        <f t="shared" si="14"/>
        <v>1900</v>
      </c>
      <c r="E141" s="71"/>
      <c r="F141" s="300">
        <f t="shared" si="15"/>
        <v>1900</v>
      </c>
      <c r="G141" s="302" t="str">
        <f t="shared" si="16"/>
        <v>4</v>
      </c>
    </row>
    <row r="142" spans="1:7">
      <c r="A142" s="798">
        <f t="shared" si="13"/>
        <v>1</v>
      </c>
      <c r="B142" s="798">
        <f t="shared" si="14"/>
        <v>1900</v>
      </c>
      <c r="E142" s="71"/>
      <c r="F142" s="300">
        <f t="shared" si="15"/>
        <v>1900</v>
      </c>
      <c r="G142" s="302" t="str">
        <f t="shared" si="16"/>
        <v>4</v>
      </c>
    </row>
    <row r="143" spans="1:7">
      <c r="A143" s="798">
        <f t="shared" si="13"/>
        <v>1</v>
      </c>
      <c r="B143" s="798">
        <f t="shared" si="14"/>
        <v>1900</v>
      </c>
      <c r="E143" s="71"/>
      <c r="F143" s="300">
        <f t="shared" si="15"/>
        <v>1900</v>
      </c>
      <c r="G143" s="302" t="str">
        <f t="shared" si="16"/>
        <v>4</v>
      </c>
    </row>
    <row r="144" spans="1:7">
      <c r="A144" s="798">
        <f t="shared" si="13"/>
        <v>1</v>
      </c>
      <c r="B144" s="798">
        <f t="shared" si="14"/>
        <v>1900</v>
      </c>
      <c r="E144" s="71"/>
      <c r="F144" s="300">
        <f t="shared" si="15"/>
        <v>1900</v>
      </c>
      <c r="G144" s="302" t="str">
        <f t="shared" si="16"/>
        <v>4</v>
      </c>
    </row>
    <row r="145" spans="1:7">
      <c r="A145" s="798">
        <f t="shared" si="13"/>
        <v>1</v>
      </c>
      <c r="B145" s="798">
        <f t="shared" si="14"/>
        <v>1900</v>
      </c>
      <c r="E145" s="71"/>
      <c r="F145" s="300">
        <f t="shared" si="15"/>
        <v>1900</v>
      </c>
      <c r="G145" s="302" t="str">
        <f t="shared" si="16"/>
        <v>4</v>
      </c>
    </row>
    <row r="146" spans="1:7">
      <c r="A146" s="798">
        <f t="shared" si="13"/>
        <v>1</v>
      </c>
      <c r="B146" s="798">
        <f t="shared" si="14"/>
        <v>1900</v>
      </c>
      <c r="E146" s="71"/>
      <c r="F146" s="300">
        <f t="shared" si="15"/>
        <v>1900</v>
      </c>
      <c r="G146" s="302" t="str">
        <f t="shared" si="16"/>
        <v>4</v>
      </c>
    </row>
    <row r="147" spans="1:7">
      <c r="A147" s="798">
        <f t="shared" si="13"/>
        <v>1</v>
      </c>
      <c r="B147" s="798">
        <f t="shared" si="14"/>
        <v>1900</v>
      </c>
      <c r="E147" s="71"/>
      <c r="F147" s="300">
        <f t="shared" si="15"/>
        <v>1900</v>
      </c>
      <c r="G147" s="302" t="str">
        <f t="shared" si="16"/>
        <v>4</v>
      </c>
    </row>
    <row r="148" spans="1:7">
      <c r="A148" s="798">
        <f t="shared" si="13"/>
        <v>1</v>
      </c>
      <c r="B148" s="798">
        <f t="shared" si="14"/>
        <v>1900</v>
      </c>
      <c r="E148" s="71"/>
      <c r="F148" s="300">
        <f t="shared" si="15"/>
        <v>1900</v>
      </c>
      <c r="G148" s="302" t="str">
        <f t="shared" si="16"/>
        <v>4</v>
      </c>
    </row>
    <row r="149" spans="1:7">
      <c r="A149" s="798">
        <f t="shared" si="13"/>
        <v>1</v>
      </c>
      <c r="B149" s="798">
        <f t="shared" si="14"/>
        <v>1900</v>
      </c>
      <c r="E149" s="71"/>
      <c r="F149" s="300">
        <f t="shared" si="15"/>
        <v>1900</v>
      </c>
      <c r="G149" s="302" t="str">
        <f t="shared" si="16"/>
        <v>4</v>
      </c>
    </row>
    <row r="150" spans="1:7">
      <c r="A150" s="798">
        <f t="shared" si="13"/>
        <v>1</v>
      </c>
      <c r="B150" s="798">
        <f t="shared" si="14"/>
        <v>1900</v>
      </c>
      <c r="E150" s="71"/>
      <c r="F150" s="300">
        <f t="shared" si="15"/>
        <v>1900</v>
      </c>
      <c r="G150" s="302" t="str">
        <f t="shared" si="16"/>
        <v>4</v>
      </c>
    </row>
    <row r="151" spans="1:7">
      <c r="A151" s="798">
        <f t="shared" si="13"/>
        <v>1</v>
      </c>
      <c r="B151" s="798">
        <f t="shared" si="14"/>
        <v>1900</v>
      </c>
      <c r="E151" s="71"/>
      <c r="F151" s="300">
        <f t="shared" si="15"/>
        <v>1900</v>
      </c>
      <c r="G151" s="302" t="str">
        <f t="shared" si="16"/>
        <v>4</v>
      </c>
    </row>
    <row r="152" spans="1:7">
      <c r="A152" s="798">
        <f t="shared" si="13"/>
        <v>1</v>
      </c>
      <c r="B152" s="798">
        <f t="shared" si="14"/>
        <v>1900</v>
      </c>
      <c r="E152" s="71"/>
      <c r="F152" s="300">
        <f t="shared" si="15"/>
        <v>1900</v>
      </c>
      <c r="G152" s="302" t="str">
        <f t="shared" si="16"/>
        <v>4</v>
      </c>
    </row>
    <row r="153" spans="1:7">
      <c r="A153" s="798">
        <f t="shared" si="13"/>
        <v>1</v>
      </c>
      <c r="B153" s="798">
        <f t="shared" si="14"/>
        <v>1900</v>
      </c>
      <c r="E153" s="71"/>
      <c r="F153" s="300">
        <f t="shared" si="15"/>
        <v>1900</v>
      </c>
      <c r="G153" s="302" t="str">
        <f t="shared" si="16"/>
        <v>4</v>
      </c>
    </row>
    <row r="154" spans="1:7">
      <c r="A154" s="798">
        <f t="shared" si="13"/>
        <v>1</v>
      </c>
      <c r="B154" s="798">
        <f t="shared" si="14"/>
        <v>1900</v>
      </c>
      <c r="E154" s="71"/>
      <c r="F154" s="300">
        <f t="shared" si="15"/>
        <v>1900</v>
      </c>
      <c r="G154" s="302" t="str">
        <f t="shared" si="16"/>
        <v>4</v>
      </c>
    </row>
    <row r="155" spans="1:7">
      <c r="A155" s="798">
        <f t="shared" si="13"/>
        <v>1</v>
      </c>
      <c r="B155" s="798">
        <f t="shared" si="14"/>
        <v>1900</v>
      </c>
      <c r="E155" s="71"/>
      <c r="F155" s="300">
        <f t="shared" si="15"/>
        <v>1900</v>
      </c>
      <c r="G155" s="302" t="str">
        <f t="shared" si="16"/>
        <v>4</v>
      </c>
    </row>
    <row r="156" spans="1:7">
      <c r="A156" s="798">
        <f t="shared" si="13"/>
        <v>1</v>
      </c>
      <c r="B156" s="798">
        <f t="shared" si="14"/>
        <v>1900</v>
      </c>
      <c r="E156" s="71"/>
      <c r="F156" s="300">
        <f t="shared" si="15"/>
        <v>1900</v>
      </c>
      <c r="G156" s="302" t="str">
        <f t="shared" si="16"/>
        <v>4</v>
      </c>
    </row>
    <row r="157" spans="1:7">
      <c r="A157" s="798">
        <f t="shared" si="13"/>
        <v>1</v>
      </c>
      <c r="B157" s="798">
        <f t="shared" si="14"/>
        <v>1900</v>
      </c>
      <c r="E157" s="71"/>
      <c r="F157" s="300">
        <f t="shared" si="15"/>
        <v>1900</v>
      </c>
      <c r="G157" s="302" t="str">
        <f t="shared" si="16"/>
        <v>4</v>
      </c>
    </row>
    <row r="158" spans="1:7">
      <c r="A158" s="798">
        <f t="shared" si="13"/>
        <v>1</v>
      </c>
      <c r="B158" s="798">
        <f t="shared" si="14"/>
        <v>1900</v>
      </c>
      <c r="E158" s="71"/>
      <c r="F158" s="300">
        <f t="shared" si="15"/>
        <v>1900</v>
      </c>
      <c r="G158" s="302" t="str">
        <f t="shared" si="16"/>
        <v>4</v>
      </c>
    </row>
    <row r="159" spans="1:7">
      <c r="A159" s="798">
        <f t="shared" si="13"/>
        <v>1</v>
      </c>
      <c r="B159" s="798">
        <f t="shared" si="14"/>
        <v>1900</v>
      </c>
      <c r="E159" s="71"/>
      <c r="F159" s="300">
        <f t="shared" si="15"/>
        <v>1900</v>
      </c>
      <c r="G159" s="302" t="str">
        <f t="shared" si="16"/>
        <v>4</v>
      </c>
    </row>
    <row r="160" spans="1:7">
      <c r="A160" s="798">
        <f t="shared" si="13"/>
        <v>1</v>
      </c>
      <c r="B160" s="798">
        <f t="shared" si="14"/>
        <v>1900</v>
      </c>
      <c r="E160" s="71"/>
      <c r="F160" s="300">
        <f t="shared" si="15"/>
        <v>1900</v>
      </c>
      <c r="G160" s="302" t="str">
        <f t="shared" si="16"/>
        <v>4</v>
      </c>
    </row>
    <row r="161" spans="1:7">
      <c r="A161" s="798">
        <f t="shared" si="13"/>
        <v>1</v>
      </c>
      <c r="B161" s="798">
        <f t="shared" si="14"/>
        <v>1900</v>
      </c>
      <c r="E161" s="71"/>
      <c r="F161" s="300">
        <f t="shared" si="15"/>
        <v>1900</v>
      </c>
      <c r="G161" s="302" t="str">
        <f t="shared" si="16"/>
        <v>4</v>
      </c>
    </row>
    <row r="162" spans="1:7">
      <c r="A162" s="798">
        <f t="shared" si="13"/>
        <v>1</v>
      </c>
      <c r="B162" s="798">
        <f t="shared" si="14"/>
        <v>1900</v>
      </c>
      <c r="E162" s="71"/>
      <c r="F162" s="300">
        <f t="shared" si="15"/>
        <v>1900</v>
      </c>
      <c r="G162" s="302" t="str">
        <f t="shared" si="16"/>
        <v>4</v>
      </c>
    </row>
    <row r="163" spans="1:7">
      <c r="A163" s="798">
        <f t="shared" si="13"/>
        <v>1</v>
      </c>
      <c r="B163" s="798">
        <f t="shared" si="14"/>
        <v>1900</v>
      </c>
      <c r="E163" s="71"/>
      <c r="F163" s="300">
        <f t="shared" si="15"/>
        <v>1900</v>
      </c>
      <c r="G163" s="302" t="str">
        <f t="shared" si="16"/>
        <v>4</v>
      </c>
    </row>
    <row r="164" spans="1:7">
      <c r="A164" s="798">
        <f t="shared" si="13"/>
        <v>1</v>
      </c>
      <c r="B164" s="798">
        <f t="shared" si="14"/>
        <v>1900</v>
      </c>
      <c r="E164" s="71"/>
      <c r="F164" s="300">
        <f t="shared" si="15"/>
        <v>1900</v>
      </c>
      <c r="G164" s="302" t="str">
        <f t="shared" si="16"/>
        <v>4</v>
      </c>
    </row>
    <row r="165" spans="1:7">
      <c r="A165" s="798">
        <f t="shared" si="13"/>
        <v>1</v>
      </c>
      <c r="B165" s="798">
        <f t="shared" si="14"/>
        <v>1900</v>
      </c>
      <c r="E165" s="71"/>
      <c r="F165" s="300">
        <f t="shared" si="15"/>
        <v>1900</v>
      </c>
      <c r="G165" s="302" t="str">
        <f t="shared" si="16"/>
        <v>4</v>
      </c>
    </row>
    <row r="166" spans="1:7">
      <c r="A166" s="798">
        <f t="shared" si="13"/>
        <v>1</v>
      </c>
      <c r="B166" s="798">
        <f t="shared" si="14"/>
        <v>1900</v>
      </c>
      <c r="E166" s="71"/>
      <c r="F166" s="300">
        <f t="shared" si="15"/>
        <v>1900</v>
      </c>
      <c r="G166" s="302" t="str">
        <f t="shared" si="16"/>
        <v>4</v>
      </c>
    </row>
    <row r="167" spans="1:7">
      <c r="A167" s="798">
        <f t="shared" si="13"/>
        <v>1</v>
      </c>
      <c r="B167" s="798">
        <f t="shared" si="14"/>
        <v>1900</v>
      </c>
      <c r="E167" s="71"/>
      <c r="F167" s="300">
        <f t="shared" si="15"/>
        <v>1900</v>
      </c>
      <c r="G167" s="302" t="str">
        <f t="shared" si="16"/>
        <v>4</v>
      </c>
    </row>
    <row r="168" spans="1:7">
      <c r="A168" s="798">
        <f t="shared" si="13"/>
        <v>1</v>
      </c>
      <c r="B168" s="798">
        <f t="shared" si="14"/>
        <v>1900</v>
      </c>
      <c r="E168" s="71"/>
      <c r="F168" s="300">
        <f t="shared" si="15"/>
        <v>1900</v>
      </c>
      <c r="G168" s="302" t="str">
        <f t="shared" si="16"/>
        <v>4</v>
      </c>
    </row>
    <row r="169" spans="1:7">
      <c r="A169" s="798">
        <f t="shared" si="13"/>
        <v>1</v>
      </c>
      <c r="B169" s="798">
        <f t="shared" si="14"/>
        <v>1900</v>
      </c>
      <c r="E169" s="71"/>
      <c r="F169" s="300">
        <f t="shared" si="15"/>
        <v>1900</v>
      </c>
      <c r="G169" s="302" t="str">
        <f t="shared" si="16"/>
        <v>4</v>
      </c>
    </row>
    <row r="170" spans="1:7">
      <c r="A170" s="798">
        <f t="shared" si="13"/>
        <v>1</v>
      </c>
      <c r="B170" s="798">
        <f t="shared" si="14"/>
        <v>1900</v>
      </c>
      <c r="E170" s="71"/>
      <c r="F170" s="300">
        <f t="shared" si="15"/>
        <v>1900</v>
      </c>
      <c r="G170" s="302" t="str">
        <f t="shared" si="16"/>
        <v>4</v>
      </c>
    </row>
    <row r="171" spans="1:7">
      <c r="A171" s="798">
        <f t="shared" si="13"/>
        <v>1</v>
      </c>
      <c r="B171" s="798">
        <f t="shared" si="14"/>
        <v>1900</v>
      </c>
      <c r="E171" s="71"/>
      <c r="F171" s="300">
        <f t="shared" si="15"/>
        <v>1900</v>
      </c>
      <c r="G171" s="302" t="str">
        <f t="shared" si="16"/>
        <v>4</v>
      </c>
    </row>
    <row r="172" spans="1:7">
      <c r="A172" s="798">
        <f t="shared" si="13"/>
        <v>1</v>
      </c>
      <c r="B172" s="798">
        <f t="shared" si="14"/>
        <v>1900</v>
      </c>
      <c r="E172" s="71"/>
      <c r="F172" s="300">
        <f t="shared" si="15"/>
        <v>1900</v>
      </c>
      <c r="G172" s="302" t="str">
        <f t="shared" si="16"/>
        <v>4</v>
      </c>
    </row>
    <row r="173" spans="1:7">
      <c r="A173" s="798">
        <f t="shared" si="13"/>
        <v>1</v>
      </c>
      <c r="B173" s="798">
        <f t="shared" si="14"/>
        <v>1900</v>
      </c>
      <c r="E173" s="71"/>
      <c r="F173" s="300">
        <f t="shared" si="15"/>
        <v>1900</v>
      </c>
      <c r="G173" s="302" t="str">
        <f t="shared" si="16"/>
        <v>4</v>
      </c>
    </row>
    <row r="174" spans="1:7">
      <c r="A174" s="798">
        <f t="shared" si="13"/>
        <v>1</v>
      </c>
      <c r="B174" s="798">
        <f t="shared" si="14"/>
        <v>1900</v>
      </c>
      <c r="E174" s="71"/>
      <c r="F174" s="300">
        <f t="shared" si="15"/>
        <v>1900</v>
      </c>
      <c r="G174" s="302" t="str">
        <f t="shared" si="16"/>
        <v>4</v>
      </c>
    </row>
    <row r="175" spans="1:7">
      <c r="A175" s="798">
        <f t="shared" si="13"/>
        <v>1</v>
      </c>
      <c r="B175" s="798">
        <f t="shared" si="14"/>
        <v>1900</v>
      </c>
      <c r="E175" s="71"/>
      <c r="F175" s="300">
        <f t="shared" si="15"/>
        <v>1900</v>
      </c>
      <c r="G175" s="302" t="str">
        <f t="shared" si="16"/>
        <v>4</v>
      </c>
    </row>
    <row r="176" spans="1:7">
      <c r="A176" s="798">
        <f t="shared" si="13"/>
        <v>1</v>
      </c>
      <c r="B176" s="798">
        <f t="shared" si="14"/>
        <v>1900</v>
      </c>
      <c r="E176" s="71"/>
      <c r="F176" s="300">
        <f t="shared" si="15"/>
        <v>1900</v>
      </c>
      <c r="G176" s="302" t="str">
        <f t="shared" si="16"/>
        <v>4</v>
      </c>
    </row>
    <row r="177" spans="1:7">
      <c r="A177" s="798">
        <f t="shared" si="13"/>
        <v>1</v>
      </c>
      <c r="B177" s="798">
        <f t="shared" si="14"/>
        <v>1900</v>
      </c>
      <c r="E177" s="71"/>
      <c r="F177" s="300">
        <f t="shared" si="15"/>
        <v>1900</v>
      </c>
      <c r="G177" s="302" t="str">
        <f t="shared" si="16"/>
        <v>4</v>
      </c>
    </row>
    <row r="178" spans="1:7">
      <c r="A178" s="798">
        <f t="shared" si="13"/>
        <v>1</v>
      </c>
      <c r="B178" s="798">
        <f t="shared" si="14"/>
        <v>1900</v>
      </c>
      <c r="E178" s="71"/>
      <c r="F178" s="300">
        <f t="shared" si="15"/>
        <v>1900</v>
      </c>
      <c r="G178" s="302" t="str">
        <f t="shared" si="16"/>
        <v>4</v>
      </c>
    </row>
    <row r="179" spans="1:7">
      <c r="A179" s="798">
        <f t="shared" si="13"/>
        <v>1</v>
      </c>
      <c r="B179" s="798">
        <f t="shared" si="14"/>
        <v>1900</v>
      </c>
      <c r="E179" s="71"/>
      <c r="F179" s="300">
        <f t="shared" si="15"/>
        <v>1900</v>
      </c>
      <c r="G179" s="302" t="str">
        <f t="shared" si="16"/>
        <v>4</v>
      </c>
    </row>
    <row r="180" spans="1:7">
      <c r="A180" s="798">
        <f t="shared" si="13"/>
        <v>1</v>
      </c>
      <c r="B180" s="798">
        <f t="shared" si="14"/>
        <v>1900</v>
      </c>
      <c r="E180" s="71"/>
      <c r="F180" s="300">
        <f t="shared" si="15"/>
        <v>1900</v>
      </c>
      <c r="G180" s="302" t="str">
        <f t="shared" si="16"/>
        <v>4</v>
      </c>
    </row>
    <row r="181" spans="1:7">
      <c r="A181" s="798">
        <f t="shared" si="13"/>
        <v>1</v>
      </c>
      <c r="B181" s="798">
        <f t="shared" si="14"/>
        <v>1900</v>
      </c>
      <c r="E181" s="71"/>
      <c r="F181" s="300">
        <f t="shared" si="15"/>
        <v>1900</v>
      </c>
      <c r="G181" s="302" t="str">
        <f t="shared" si="16"/>
        <v>4</v>
      </c>
    </row>
    <row r="182" spans="1:7">
      <c r="A182" s="798">
        <f t="shared" si="13"/>
        <v>1</v>
      </c>
      <c r="B182" s="798">
        <f t="shared" si="14"/>
        <v>1900</v>
      </c>
      <c r="E182" s="71"/>
      <c r="F182" s="300">
        <f t="shared" si="15"/>
        <v>1900</v>
      </c>
      <c r="G182" s="302" t="str">
        <f t="shared" si="16"/>
        <v>4</v>
      </c>
    </row>
    <row r="183" spans="1:7">
      <c r="A183" s="798">
        <f t="shared" si="13"/>
        <v>1</v>
      </c>
      <c r="B183" s="798">
        <f t="shared" si="14"/>
        <v>1900</v>
      </c>
      <c r="E183" s="71"/>
      <c r="F183" s="300">
        <f t="shared" si="15"/>
        <v>1900</v>
      </c>
      <c r="G183" s="302" t="str">
        <f t="shared" si="16"/>
        <v>4</v>
      </c>
    </row>
    <row r="184" spans="1:7">
      <c r="A184" s="798">
        <f t="shared" si="13"/>
        <v>1</v>
      </c>
      <c r="B184" s="798">
        <f t="shared" si="14"/>
        <v>1900</v>
      </c>
      <c r="E184" s="71"/>
      <c r="F184" s="300">
        <f t="shared" si="15"/>
        <v>1900</v>
      </c>
      <c r="G184" s="302" t="str">
        <f t="shared" si="16"/>
        <v>4</v>
      </c>
    </row>
    <row r="185" spans="1:7">
      <c r="A185" s="798">
        <f t="shared" si="13"/>
        <v>1</v>
      </c>
      <c r="B185" s="798">
        <f t="shared" si="14"/>
        <v>1900</v>
      </c>
      <c r="E185" s="71"/>
      <c r="F185" s="300">
        <f t="shared" si="15"/>
        <v>1900</v>
      </c>
      <c r="G185" s="302" t="str">
        <f t="shared" si="16"/>
        <v>4</v>
      </c>
    </row>
    <row r="186" spans="1:7">
      <c r="A186" s="798">
        <f t="shared" si="13"/>
        <v>1</v>
      </c>
      <c r="B186" s="798">
        <f t="shared" si="14"/>
        <v>1900</v>
      </c>
      <c r="E186" s="71"/>
      <c r="F186" s="300">
        <f t="shared" si="15"/>
        <v>1900</v>
      </c>
      <c r="G186" s="302" t="str">
        <f t="shared" si="16"/>
        <v>4</v>
      </c>
    </row>
    <row r="187" spans="1:7">
      <c r="A187" s="798">
        <f t="shared" si="13"/>
        <v>1</v>
      </c>
      <c r="B187" s="798">
        <f t="shared" si="14"/>
        <v>1900</v>
      </c>
      <c r="E187" s="71"/>
      <c r="F187" s="300">
        <f t="shared" si="15"/>
        <v>1900</v>
      </c>
      <c r="G187" s="302" t="str">
        <f t="shared" si="16"/>
        <v>4</v>
      </c>
    </row>
    <row r="188" spans="1:7">
      <c r="A188" s="798">
        <f t="shared" si="13"/>
        <v>1</v>
      </c>
      <c r="B188" s="798">
        <f t="shared" si="14"/>
        <v>1900</v>
      </c>
      <c r="E188" s="71"/>
      <c r="F188" s="300">
        <f t="shared" si="15"/>
        <v>1900</v>
      </c>
      <c r="G188" s="302" t="str">
        <f t="shared" si="16"/>
        <v>4</v>
      </c>
    </row>
    <row r="189" spans="1:7">
      <c r="A189" s="798">
        <f t="shared" si="13"/>
        <v>1</v>
      </c>
      <c r="B189" s="798">
        <f t="shared" si="14"/>
        <v>1900</v>
      </c>
      <c r="E189" s="71"/>
      <c r="F189" s="300">
        <f t="shared" si="15"/>
        <v>1900</v>
      </c>
      <c r="G189" s="302" t="str">
        <f t="shared" si="16"/>
        <v>4</v>
      </c>
    </row>
    <row r="190" spans="1:7">
      <c r="A190" s="798">
        <f t="shared" si="13"/>
        <v>1</v>
      </c>
      <c r="B190" s="798">
        <f t="shared" si="14"/>
        <v>1900</v>
      </c>
      <c r="E190" s="71"/>
      <c r="F190" s="300">
        <f t="shared" si="15"/>
        <v>1900</v>
      </c>
      <c r="G190" s="302" t="str">
        <f t="shared" si="16"/>
        <v>4</v>
      </c>
    </row>
    <row r="191" spans="1:7">
      <c r="A191" s="798">
        <f t="shared" si="13"/>
        <v>1</v>
      </c>
      <c r="B191" s="798">
        <f t="shared" si="14"/>
        <v>1900</v>
      </c>
      <c r="E191" s="71"/>
      <c r="F191" s="300">
        <f t="shared" si="15"/>
        <v>1900</v>
      </c>
      <c r="G191" s="302" t="str">
        <f t="shared" si="16"/>
        <v>4</v>
      </c>
    </row>
    <row r="192" spans="1:7">
      <c r="A192" s="798">
        <f t="shared" si="13"/>
        <v>1</v>
      </c>
      <c r="B192" s="798">
        <f t="shared" si="14"/>
        <v>1900</v>
      </c>
      <c r="E192" s="71"/>
      <c r="F192" s="300">
        <f t="shared" si="15"/>
        <v>1900</v>
      </c>
      <c r="G192" s="302" t="str">
        <f t="shared" si="16"/>
        <v>4</v>
      </c>
    </row>
    <row r="193" spans="1:7">
      <c r="A193" s="798">
        <f t="shared" si="13"/>
        <v>1</v>
      </c>
      <c r="B193" s="798">
        <f t="shared" si="14"/>
        <v>1900</v>
      </c>
      <c r="E193" s="71"/>
      <c r="F193" s="300">
        <f t="shared" si="15"/>
        <v>1900</v>
      </c>
      <c r="G193" s="302" t="str">
        <f t="shared" si="16"/>
        <v>4</v>
      </c>
    </row>
    <row r="194" spans="1:7">
      <c r="A194" s="798">
        <f t="shared" si="13"/>
        <v>1</v>
      </c>
      <c r="B194" s="798">
        <f t="shared" si="14"/>
        <v>1900</v>
      </c>
      <c r="E194" s="71"/>
      <c r="F194" s="300">
        <f t="shared" si="15"/>
        <v>1900</v>
      </c>
      <c r="G194" s="302" t="str">
        <f t="shared" si="16"/>
        <v>4</v>
      </c>
    </row>
    <row r="195" spans="1:7">
      <c r="A195" s="798">
        <f t="shared" si="13"/>
        <v>1</v>
      </c>
      <c r="B195" s="798">
        <f t="shared" si="14"/>
        <v>1900</v>
      </c>
      <c r="E195" s="71"/>
      <c r="F195" s="300">
        <f t="shared" si="15"/>
        <v>1900</v>
      </c>
      <c r="G195" s="302" t="str">
        <f t="shared" si="16"/>
        <v>4</v>
      </c>
    </row>
    <row r="196" spans="1:7">
      <c r="A196" s="798">
        <f t="shared" si="13"/>
        <v>1</v>
      </c>
      <c r="B196" s="798">
        <f t="shared" si="14"/>
        <v>1900</v>
      </c>
      <c r="E196" s="71"/>
      <c r="F196" s="300">
        <f t="shared" si="15"/>
        <v>1900</v>
      </c>
      <c r="G196" s="302" t="str">
        <f t="shared" si="16"/>
        <v>4</v>
      </c>
    </row>
    <row r="197" spans="1:7">
      <c r="A197" s="798">
        <f t="shared" si="13"/>
        <v>1</v>
      </c>
      <c r="B197" s="798">
        <f t="shared" si="14"/>
        <v>1900</v>
      </c>
      <c r="E197" s="71"/>
      <c r="F197" s="300">
        <f t="shared" si="15"/>
        <v>1900</v>
      </c>
      <c r="G197" s="302" t="str">
        <f t="shared" si="16"/>
        <v>4</v>
      </c>
    </row>
    <row r="198" spans="1:7">
      <c r="A198" s="798">
        <f t="shared" si="13"/>
        <v>1</v>
      </c>
      <c r="B198" s="798">
        <f t="shared" si="14"/>
        <v>1900</v>
      </c>
      <c r="E198" s="71"/>
      <c r="F198" s="300">
        <f t="shared" si="15"/>
        <v>1900</v>
      </c>
      <c r="G198" s="302" t="str">
        <f t="shared" si="16"/>
        <v>4</v>
      </c>
    </row>
    <row r="199" spans="1:7">
      <c r="A199" s="798">
        <f t="shared" si="13"/>
        <v>1</v>
      </c>
      <c r="B199" s="798">
        <f t="shared" si="14"/>
        <v>1900</v>
      </c>
      <c r="E199" s="71"/>
      <c r="F199" s="300">
        <f t="shared" si="15"/>
        <v>1900</v>
      </c>
      <c r="G199" s="302" t="str">
        <f t="shared" si="16"/>
        <v>4</v>
      </c>
    </row>
    <row r="200" spans="1:7">
      <c r="A200" s="798">
        <f t="shared" si="13"/>
        <v>1</v>
      </c>
      <c r="B200" s="798">
        <f t="shared" si="14"/>
        <v>1900</v>
      </c>
      <c r="E200" s="71"/>
      <c r="F200" s="300">
        <f t="shared" si="15"/>
        <v>1900</v>
      </c>
      <c r="G200" s="302" t="str">
        <f t="shared" si="16"/>
        <v>4</v>
      </c>
    </row>
    <row r="201" spans="1:7">
      <c r="A201" s="798">
        <f t="shared" ref="A201:A250" si="17">IF(OR(MONTH(C201)=1,MONTH(C201)=2,MONTH(C201)=3),1,IF(OR(MONTH(C201)=4,MONTH(C201)=5,MONTH(C201)=6),2,IF(OR(MONTH(C201)=7,MONTH(C201)=8,MONTH(C201)=9),3,4)))</f>
        <v>1</v>
      </c>
      <c r="B201" s="798">
        <f t="shared" ref="B201:B250" si="18">YEAR(C201)</f>
        <v>1900</v>
      </c>
      <c r="E201" s="71"/>
      <c r="F201" s="300">
        <f t="shared" si="15"/>
        <v>1900</v>
      </c>
      <c r="G201" s="302" t="str">
        <f t="shared" si="16"/>
        <v>4</v>
      </c>
    </row>
    <row r="202" spans="1:7">
      <c r="A202" s="798">
        <f t="shared" si="17"/>
        <v>1</v>
      </c>
      <c r="B202" s="798">
        <f t="shared" si="18"/>
        <v>1900</v>
      </c>
      <c r="E202" s="71"/>
      <c r="F202" s="300">
        <f t="shared" si="15"/>
        <v>1900</v>
      </c>
      <c r="G202" s="302" t="str">
        <f t="shared" si="16"/>
        <v>4</v>
      </c>
    </row>
    <row r="203" spans="1:7">
      <c r="A203" s="798">
        <f t="shared" si="17"/>
        <v>1</v>
      </c>
      <c r="B203" s="798">
        <f t="shared" si="18"/>
        <v>1900</v>
      </c>
      <c r="E203" s="71"/>
      <c r="F203" s="300">
        <f t="shared" si="15"/>
        <v>1900</v>
      </c>
      <c r="G203" s="302" t="str">
        <f t="shared" si="16"/>
        <v>4</v>
      </c>
    </row>
    <row r="204" spans="1:7">
      <c r="A204" s="798">
        <f t="shared" si="17"/>
        <v>1</v>
      </c>
      <c r="B204" s="798">
        <f t="shared" si="18"/>
        <v>1900</v>
      </c>
      <c r="E204" s="71"/>
      <c r="F204" s="300">
        <f t="shared" ref="F204:F250" si="19">YEAR(C204)</f>
        <v>1900</v>
      </c>
      <c r="G204" s="302" t="str">
        <f t="shared" ref="G204:G250" si="20">IF(MONTH(C204)=3,"1",IF(MONTH(C204)=6,"2",IF(MONTH(C204)=9,"3","4")))</f>
        <v>4</v>
      </c>
    </row>
    <row r="205" spans="1:7">
      <c r="A205" s="798">
        <f t="shared" si="17"/>
        <v>1</v>
      </c>
      <c r="B205" s="798">
        <f t="shared" si="18"/>
        <v>1900</v>
      </c>
      <c r="E205" s="71"/>
      <c r="F205" s="300">
        <f t="shared" si="19"/>
        <v>1900</v>
      </c>
      <c r="G205" s="302" t="str">
        <f t="shared" si="20"/>
        <v>4</v>
      </c>
    </row>
    <row r="206" spans="1:7">
      <c r="A206" s="798">
        <f t="shared" si="17"/>
        <v>1</v>
      </c>
      <c r="B206" s="798">
        <f t="shared" si="18"/>
        <v>1900</v>
      </c>
      <c r="E206" s="71"/>
      <c r="F206" s="300">
        <f t="shared" si="19"/>
        <v>1900</v>
      </c>
      <c r="G206" s="302" t="str">
        <f t="shared" si="20"/>
        <v>4</v>
      </c>
    </row>
    <row r="207" spans="1:7">
      <c r="A207" s="798">
        <f t="shared" si="17"/>
        <v>1</v>
      </c>
      <c r="B207" s="798">
        <f t="shared" si="18"/>
        <v>1900</v>
      </c>
      <c r="E207" s="71"/>
      <c r="F207" s="300">
        <f t="shared" si="19"/>
        <v>1900</v>
      </c>
      <c r="G207" s="302" t="str">
        <f t="shared" si="20"/>
        <v>4</v>
      </c>
    </row>
    <row r="208" spans="1:7">
      <c r="A208" s="798">
        <f t="shared" si="17"/>
        <v>1</v>
      </c>
      <c r="B208" s="798">
        <f t="shared" si="18"/>
        <v>1900</v>
      </c>
      <c r="E208" s="71"/>
      <c r="F208" s="300">
        <f t="shared" si="19"/>
        <v>1900</v>
      </c>
      <c r="G208" s="302" t="str">
        <f t="shared" si="20"/>
        <v>4</v>
      </c>
    </row>
    <row r="209" spans="1:7">
      <c r="A209" s="798">
        <f t="shared" si="17"/>
        <v>1</v>
      </c>
      <c r="B209" s="798">
        <f t="shared" si="18"/>
        <v>1900</v>
      </c>
      <c r="E209" s="71"/>
      <c r="F209" s="300">
        <f t="shared" si="19"/>
        <v>1900</v>
      </c>
      <c r="G209" s="302" t="str">
        <f t="shared" si="20"/>
        <v>4</v>
      </c>
    </row>
    <row r="210" spans="1:7">
      <c r="A210" s="798">
        <f t="shared" si="17"/>
        <v>1</v>
      </c>
      <c r="B210" s="798">
        <f t="shared" si="18"/>
        <v>1900</v>
      </c>
      <c r="E210" s="71"/>
      <c r="F210" s="300">
        <f t="shared" si="19"/>
        <v>1900</v>
      </c>
      <c r="G210" s="302" t="str">
        <f t="shared" si="20"/>
        <v>4</v>
      </c>
    </row>
    <row r="211" spans="1:7">
      <c r="A211" s="798">
        <f t="shared" si="17"/>
        <v>1</v>
      </c>
      <c r="B211" s="798">
        <f t="shared" si="18"/>
        <v>1900</v>
      </c>
      <c r="E211" s="71"/>
      <c r="F211" s="300">
        <f t="shared" si="19"/>
        <v>1900</v>
      </c>
      <c r="G211" s="302" t="str">
        <f t="shared" si="20"/>
        <v>4</v>
      </c>
    </row>
    <row r="212" spans="1:7">
      <c r="A212" s="798">
        <f t="shared" si="17"/>
        <v>1</v>
      </c>
      <c r="B212" s="798">
        <f t="shared" si="18"/>
        <v>1900</v>
      </c>
      <c r="E212" s="71"/>
      <c r="F212" s="300">
        <f t="shared" si="19"/>
        <v>1900</v>
      </c>
      <c r="G212" s="302" t="str">
        <f t="shared" si="20"/>
        <v>4</v>
      </c>
    </row>
    <row r="213" spans="1:7">
      <c r="A213" s="798">
        <f t="shared" si="17"/>
        <v>1</v>
      </c>
      <c r="B213" s="798">
        <f t="shared" si="18"/>
        <v>1900</v>
      </c>
      <c r="E213" s="71"/>
      <c r="F213" s="300">
        <f t="shared" si="19"/>
        <v>1900</v>
      </c>
      <c r="G213" s="302" t="str">
        <f t="shared" si="20"/>
        <v>4</v>
      </c>
    </row>
    <row r="214" spans="1:7">
      <c r="A214" s="798">
        <f t="shared" si="17"/>
        <v>1</v>
      </c>
      <c r="B214" s="798">
        <f t="shared" si="18"/>
        <v>1900</v>
      </c>
      <c r="E214" s="71"/>
      <c r="F214" s="300">
        <f t="shared" si="19"/>
        <v>1900</v>
      </c>
      <c r="G214" s="302" t="str">
        <f t="shared" si="20"/>
        <v>4</v>
      </c>
    </row>
    <row r="215" spans="1:7">
      <c r="A215" s="798">
        <f t="shared" si="17"/>
        <v>1</v>
      </c>
      <c r="B215" s="798">
        <f t="shared" si="18"/>
        <v>1900</v>
      </c>
      <c r="E215" s="71"/>
      <c r="F215" s="300">
        <f t="shared" si="19"/>
        <v>1900</v>
      </c>
      <c r="G215" s="302" t="str">
        <f t="shared" si="20"/>
        <v>4</v>
      </c>
    </row>
    <row r="216" spans="1:7">
      <c r="A216" s="798">
        <f t="shared" si="17"/>
        <v>1</v>
      </c>
      <c r="B216" s="798">
        <f t="shared" si="18"/>
        <v>1900</v>
      </c>
      <c r="E216" s="71"/>
      <c r="F216" s="300">
        <f t="shared" si="19"/>
        <v>1900</v>
      </c>
      <c r="G216" s="302" t="str">
        <f t="shared" si="20"/>
        <v>4</v>
      </c>
    </row>
    <row r="217" spans="1:7">
      <c r="A217" s="798">
        <f t="shared" si="17"/>
        <v>1</v>
      </c>
      <c r="B217" s="798">
        <f t="shared" si="18"/>
        <v>1900</v>
      </c>
      <c r="E217" s="71"/>
      <c r="F217" s="300">
        <f t="shared" si="19"/>
        <v>1900</v>
      </c>
      <c r="G217" s="302" t="str">
        <f t="shared" si="20"/>
        <v>4</v>
      </c>
    </row>
    <row r="218" spans="1:7">
      <c r="A218" s="798">
        <f t="shared" si="17"/>
        <v>1</v>
      </c>
      <c r="B218" s="798">
        <f t="shared" si="18"/>
        <v>1900</v>
      </c>
      <c r="E218" s="71"/>
      <c r="F218" s="300">
        <f t="shared" si="19"/>
        <v>1900</v>
      </c>
      <c r="G218" s="302" t="str">
        <f t="shared" si="20"/>
        <v>4</v>
      </c>
    </row>
    <row r="219" spans="1:7">
      <c r="A219" s="798">
        <f t="shared" si="17"/>
        <v>1</v>
      </c>
      <c r="B219" s="798">
        <f t="shared" si="18"/>
        <v>1900</v>
      </c>
      <c r="E219" s="71"/>
      <c r="F219" s="300">
        <f t="shared" si="19"/>
        <v>1900</v>
      </c>
      <c r="G219" s="302" t="str">
        <f t="shared" si="20"/>
        <v>4</v>
      </c>
    </row>
    <row r="220" spans="1:7">
      <c r="A220" s="798">
        <f t="shared" si="17"/>
        <v>1</v>
      </c>
      <c r="B220" s="798">
        <f t="shared" si="18"/>
        <v>1900</v>
      </c>
      <c r="E220" s="71"/>
      <c r="F220" s="300">
        <f t="shared" si="19"/>
        <v>1900</v>
      </c>
      <c r="G220" s="302" t="str">
        <f t="shared" si="20"/>
        <v>4</v>
      </c>
    </row>
    <row r="221" spans="1:7">
      <c r="A221" s="798">
        <f t="shared" si="17"/>
        <v>1</v>
      </c>
      <c r="B221" s="798">
        <f t="shared" si="18"/>
        <v>1900</v>
      </c>
      <c r="E221" s="71"/>
      <c r="F221" s="300">
        <f t="shared" si="19"/>
        <v>1900</v>
      </c>
      <c r="G221" s="302" t="str">
        <f t="shared" si="20"/>
        <v>4</v>
      </c>
    </row>
    <row r="222" spans="1:7">
      <c r="A222" s="798">
        <f t="shared" si="17"/>
        <v>1</v>
      </c>
      <c r="B222" s="798">
        <f t="shared" si="18"/>
        <v>1900</v>
      </c>
      <c r="E222" s="71"/>
      <c r="F222" s="300">
        <f t="shared" si="19"/>
        <v>1900</v>
      </c>
      <c r="G222" s="302" t="str">
        <f t="shared" si="20"/>
        <v>4</v>
      </c>
    </row>
    <row r="223" spans="1:7">
      <c r="A223" s="798">
        <f t="shared" si="17"/>
        <v>1</v>
      </c>
      <c r="B223" s="798">
        <f t="shared" si="18"/>
        <v>1900</v>
      </c>
      <c r="E223" s="71"/>
      <c r="F223" s="300">
        <f t="shared" si="19"/>
        <v>1900</v>
      </c>
      <c r="G223" s="302" t="str">
        <f t="shared" si="20"/>
        <v>4</v>
      </c>
    </row>
    <row r="224" spans="1:7">
      <c r="A224" s="798">
        <f t="shared" si="17"/>
        <v>1</v>
      </c>
      <c r="B224" s="798">
        <f t="shared" si="18"/>
        <v>1900</v>
      </c>
      <c r="E224" s="71"/>
      <c r="F224" s="300">
        <f t="shared" si="19"/>
        <v>1900</v>
      </c>
      <c r="G224" s="302" t="str">
        <f t="shared" si="20"/>
        <v>4</v>
      </c>
    </row>
    <row r="225" spans="1:7">
      <c r="A225" s="798">
        <f t="shared" si="17"/>
        <v>1</v>
      </c>
      <c r="B225" s="798">
        <f t="shared" si="18"/>
        <v>1900</v>
      </c>
      <c r="E225" s="71"/>
      <c r="F225" s="300">
        <f t="shared" si="19"/>
        <v>1900</v>
      </c>
      <c r="G225" s="302" t="str">
        <f t="shared" si="20"/>
        <v>4</v>
      </c>
    </row>
    <row r="226" spans="1:7">
      <c r="A226" s="798">
        <f t="shared" si="17"/>
        <v>1</v>
      </c>
      <c r="B226" s="798">
        <f t="shared" si="18"/>
        <v>1900</v>
      </c>
      <c r="E226" s="71"/>
      <c r="F226" s="300">
        <f t="shared" si="19"/>
        <v>1900</v>
      </c>
      <c r="G226" s="302" t="str">
        <f t="shared" si="20"/>
        <v>4</v>
      </c>
    </row>
    <row r="227" spans="1:7">
      <c r="A227" s="798">
        <f t="shared" si="17"/>
        <v>1</v>
      </c>
      <c r="B227" s="798">
        <f t="shared" si="18"/>
        <v>1900</v>
      </c>
      <c r="E227" s="71"/>
      <c r="F227" s="300">
        <f t="shared" si="19"/>
        <v>1900</v>
      </c>
      <c r="G227" s="302" t="str">
        <f t="shared" si="20"/>
        <v>4</v>
      </c>
    </row>
    <row r="228" spans="1:7">
      <c r="A228" s="798">
        <f t="shared" si="17"/>
        <v>1</v>
      </c>
      <c r="B228" s="798">
        <f t="shared" si="18"/>
        <v>1900</v>
      </c>
      <c r="E228" s="71"/>
      <c r="F228" s="300">
        <f t="shared" si="19"/>
        <v>1900</v>
      </c>
      <c r="G228" s="302" t="str">
        <f t="shared" si="20"/>
        <v>4</v>
      </c>
    </row>
    <row r="229" spans="1:7">
      <c r="A229" s="798">
        <f t="shared" si="17"/>
        <v>1</v>
      </c>
      <c r="B229" s="798">
        <f t="shared" si="18"/>
        <v>1900</v>
      </c>
      <c r="E229" s="71"/>
      <c r="F229" s="300">
        <f t="shared" si="19"/>
        <v>1900</v>
      </c>
      <c r="G229" s="302" t="str">
        <f t="shared" si="20"/>
        <v>4</v>
      </c>
    </row>
    <row r="230" spans="1:7">
      <c r="A230" s="798">
        <f t="shared" si="17"/>
        <v>1</v>
      </c>
      <c r="B230" s="798">
        <f t="shared" si="18"/>
        <v>1900</v>
      </c>
      <c r="E230" s="71"/>
      <c r="F230" s="300">
        <f t="shared" si="19"/>
        <v>1900</v>
      </c>
      <c r="G230" s="302" t="str">
        <f t="shared" si="20"/>
        <v>4</v>
      </c>
    </row>
    <row r="231" spans="1:7">
      <c r="A231" s="798">
        <f t="shared" si="17"/>
        <v>1</v>
      </c>
      <c r="B231" s="798">
        <f t="shared" si="18"/>
        <v>1900</v>
      </c>
      <c r="E231" s="71"/>
      <c r="F231" s="300">
        <f t="shared" si="19"/>
        <v>1900</v>
      </c>
      <c r="G231" s="302" t="str">
        <f t="shared" si="20"/>
        <v>4</v>
      </c>
    </row>
    <row r="232" spans="1:7">
      <c r="A232" s="798">
        <f t="shared" si="17"/>
        <v>1</v>
      </c>
      <c r="B232" s="798">
        <f t="shared" si="18"/>
        <v>1900</v>
      </c>
      <c r="E232" s="71"/>
      <c r="F232" s="300">
        <f t="shared" si="19"/>
        <v>1900</v>
      </c>
      <c r="G232" s="302" t="str">
        <f t="shared" si="20"/>
        <v>4</v>
      </c>
    </row>
    <row r="233" spans="1:7">
      <c r="A233" s="798">
        <f t="shared" si="17"/>
        <v>1</v>
      </c>
      <c r="B233" s="798">
        <f t="shared" si="18"/>
        <v>1900</v>
      </c>
      <c r="E233" s="71"/>
      <c r="F233" s="300">
        <f t="shared" si="19"/>
        <v>1900</v>
      </c>
      <c r="G233" s="302" t="str">
        <f t="shared" si="20"/>
        <v>4</v>
      </c>
    </row>
    <row r="234" spans="1:7">
      <c r="A234" s="798">
        <f t="shared" si="17"/>
        <v>1</v>
      </c>
      <c r="B234" s="798">
        <f t="shared" si="18"/>
        <v>1900</v>
      </c>
      <c r="E234" s="71"/>
      <c r="F234" s="300">
        <f t="shared" si="19"/>
        <v>1900</v>
      </c>
      <c r="G234" s="302" t="str">
        <f t="shared" si="20"/>
        <v>4</v>
      </c>
    </row>
    <row r="235" spans="1:7">
      <c r="A235" s="798">
        <f t="shared" si="17"/>
        <v>1</v>
      </c>
      <c r="B235" s="798">
        <f t="shared" si="18"/>
        <v>1900</v>
      </c>
      <c r="E235" s="71"/>
      <c r="F235" s="300">
        <f t="shared" si="19"/>
        <v>1900</v>
      </c>
      <c r="G235" s="302" t="str">
        <f t="shared" si="20"/>
        <v>4</v>
      </c>
    </row>
    <row r="236" spans="1:7">
      <c r="A236" s="798">
        <f t="shared" si="17"/>
        <v>1</v>
      </c>
      <c r="B236" s="798">
        <f t="shared" si="18"/>
        <v>1900</v>
      </c>
      <c r="E236" s="71"/>
      <c r="F236" s="300">
        <f t="shared" si="19"/>
        <v>1900</v>
      </c>
      <c r="G236" s="302" t="str">
        <f t="shared" si="20"/>
        <v>4</v>
      </c>
    </row>
    <row r="237" spans="1:7">
      <c r="A237" s="798">
        <f t="shared" si="17"/>
        <v>1</v>
      </c>
      <c r="B237" s="798">
        <f t="shared" si="18"/>
        <v>1900</v>
      </c>
      <c r="E237" s="71"/>
      <c r="F237" s="300">
        <f t="shared" si="19"/>
        <v>1900</v>
      </c>
      <c r="G237" s="302" t="str">
        <f t="shared" si="20"/>
        <v>4</v>
      </c>
    </row>
    <row r="238" spans="1:7">
      <c r="A238" s="798">
        <f t="shared" si="17"/>
        <v>1</v>
      </c>
      <c r="B238" s="798">
        <f t="shared" si="18"/>
        <v>1900</v>
      </c>
      <c r="E238" s="71"/>
      <c r="F238" s="300">
        <f t="shared" si="19"/>
        <v>1900</v>
      </c>
      <c r="G238" s="302" t="str">
        <f t="shared" si="20"/>
        <v>4</v>
      </c>
    </row>
    <row r="239" spans="1:7">
      <c r="A239" s="798">
        <f t="shared" si="17"/>
        <v>1</v>
      </c>
      <c r="B239" s="798">
        <f t="shared" si="18"/>
        <v>1900</v>
      </c>
      <c r="E239" s="71"/>
      <c r="F239" s="300">
        <f t="shared" si="19"/>
        <v>1900</v>
      </c>
      <c r="G239" s="302" t="str">
        <f t="shared" si="20"/>
        <v>4</v>
      </c>
    </row>
    <row r="240" spans="1:7">
      <c r="A240" s="798">
        <f t="shared" si="17"/>
        <v>1</v>
      </c>
      <c r="B240" s="798">
        <f t="shared" si="18"/>
        <v>1900</v>
      </c>
      <c r="E240" s="71"/>
      <c r="F240" s="300">
        <f t="shared" si="19"/>
        <v>1900</v>
      </c>
      <c r="G240" s="302" t="str">
        <f t="shared" si="20"/>
        <v>4</v>
      </c>
    </row>
    <row r="241" spans="1:7">
      <c r="A241" s="798">
        <f t="shared" si="17"/>
        <v>1</v>
      </c>
      <c r="B241" s="798">
        <f t="shared" si="18"/>
        <v>1900</v>
      </c>
      <c r="E241" s="71"/>
      <c r="F241" s="300">
        <f t="shared" si="19"/>
        <v>1900</v>
      </c>
      <c r="G241" s="302" t="str">
        <f t="shared" si="20"/>
        <v>4</v>
      </c>
    </row>
    <row r="242" spans="1:7">
      <c r="A242" s="798">
        <f t="shared" si="17"/>
        <v>1</v>
      </c>
      <c r="B242" s="798">
        <f t="shared" si="18"/>
        <v>1900</v>
      </c>
      <c r="E242" s="71"/>
      <c r="F242" s="300">
        <f t="shared" si="19"/>
        <v>1900</v>
      </c>
      <c r="G242" s="302" t="str">
        <f t="shared" si="20"/>
        <v>4</v>
      </c>
    </row>
    <row r="243" spans="1:7">
      <c r="A243" s="798">
        <f t="shared" si="17"/>
        <v>1</v>
      </c>
      <c r="B243" s="798">
        <f t="shared" si="18"/>
        <v>1900</v>
      </c>
      <c r="E243" s="71"/>
      <c r="F243" s="300">
        <f t="shared" si="19"/>
        <v>1900</v>
      </c>
      <c r="G243" s="302" t="str">
        <f t="shared" si="20"/>
        <v>4</v>
      </c>
    </row>
    <row r="244" spans="1:7">
      <c r="A244" s="798">
        <f t="shared" si="17"/>
        <v>1</v>
      </c>
      <c r="B244" s="798">
        <f t="shared" si="18"/>
        <v>1900</v>
      </c>
      <c r="E244" s="71"/>
      <c r="F244" s="300">
        <f t="shared" si="19"/>
        <v>1900</v>
      </c>
      <c r="G244" s="302" t="str">
        <f t="shared" si="20"/>
        <v>4</v>
      </c>
    </row>
    <row r="245" spans="1:7">
      <c r="A245" s="798">
        <f t="shared" si="17"/>
        <v>1</v>
      </c>
      <c r="B245" s="798">
        <f t="shared" si="18"/>
        <v>1900</v>
      </c>
      <c r="E245" s="71"/>
      <c r="F245" s="300">
        <f t="shared" si="19"/>
        <v>1900</v>
      </c>
      <c r="G245" s="302" t="str">
        <f t="shared" si="20"/>
        <v>4</v>
      </c>
    </row>
    <row r="246" spans="1:7">
      <c r="A246" s="798">
        <f t="shared" si="17"/>
        <v>1</v>
      </c>
      <c r="B246" s="798">
        <f t="shared" si="18"/>
        <v>1900</v>
      </c>
      <c r="E246" s="71"/>
      <c r="F246" s="300">
        <f t="shared" si="19"/>
        <v>1900</v>
      </c>
      <c r="G246" s="302" t="str">
        <f t="shared" si="20"/>
        <v>4</v>
      </c>
    </row>
    <row r="247" spans="1:7">
      <c r="A247" s="798">
        <f t="shared" si="17"/>
        <v>1</v>
      </c>
      <c r="B247" s="798">
        <f t="shared" si="18"/>
        <v>1900</v>
      </c>
      <c r="E247" s="71"/>
      <c r="F247" s="300">
        <f t="shared" si="19"/>
        <v>1900</v>
      </c>
      <c r="G247" s="302" t="str">
        <f t="shared" si="20"/>
        <v>4</v>
      </c>
    </row>
    <row r="248" spans="1:7">
      <c r="A248" s="798">
        <f t="shared" si="17"/>
        <v>1</v>
      </c>
      <c r="B248" s="798">
        <f t="shared" si="18"/>
        <v>1900</v>
      </c>
      <c r="E248" s="71"/>
      <c r="F248" s="300">
        <f t="shared" si="19"/>
        <v>1900</v>
      </c>
      <c r="G248" s="302" t="str">
        <f t="shared" si="20"/>
        <v>4</v>
      </c>
    </row>
    <row r="249" spans="1:7">
      <c r="A249" s="798">
        <f t="shared" si="17"/>
        <v>1</v>
      </c>
      <c r="B249" s="798">
        <f t="shared" si="18"/>
        <v>1900</v>
      </c>
      <c r="E249" s="71"/>
      <c r="F249" s="300">
        <f t="shared" si="19"/>
        <v>1900</v>
      </c>
      <c r="G249" s="302" t="str">
        <f t="shared" si="20"/>
        <v>4</v>
      </c>
    </row>
    <row r="250" spans="1:7">
      <c r="A250" s="798">
        <f t="shared" si="17"/>
        <v>1</v>
      </c>
      <c r="B250" s="798">
        <f t="shared" si="18"/>
        <v>1900</v>
      </c>
      <c r="E250" s="71"/>
      <c r="F250" s="300">
        <f t="shared" si="19"/>
        <v>1900</v>
      </c>
      <c r="G250" s="302" t="str">
        <f t="shared" si="20"/>
        <v>4</v>
      </c>
    </row>
    <row r="251" spans="1:7">
      <c r="E251" s="71"/>
      <c r="F251" s="303"/>
      <c r="G251" s="303"/>
    </row>
    <row r="252" spans="1:7">
      <c r="E252" s="71"/>
      <c r="F252" s="303"/>
      <c r="G252" s="303"/>
    </row>
    <row r="253" spans="1:7">
      <c r="E253" s="71"/>
      <c r="F253" s="303"/>
      <c r="G253" s="303"/>
    </row>
    <row r="254" spans="1:7">
      <c r="E254" s="71"/>
      <c r="F254" s="303"/>
      <c r="G254" s="303"/>
    </row>
    <row r="255" spans="1:7">
      <c r="E255" s="71"/>
      <c r="F255" s="303"/>
      <c r="G255" s="303"/>
    </row>
    <row r="256" spans="1:7">
      <c r="E256" s="71"/>
      <c r="F256" s="303"/>
      <c r="G256" s="303"/>
    </row>
    <row r="257" spans="5:7">
      <c r="E257" s="71"/>
      <c r="F257" s="303"/>
      <c r="G257" s="303"/>
    </row>
    <row r="258" spans="5:7">
      <c r="E258" s="71"/>
      <c r="F258" s="303"/>
      <c r="G258" s="303"/>
    </row>
    <row r="259" spans="5:7">
      <c r="E259" s="71"/>
      <c r="F259" s="303"/>
      <c r="G259" s="303"/>
    </row>
    <row r="260" spans="5:7">
      <c r="E260" s="71"/>
      <c r="F260" s="303"/>
      <c r="G260" s="303"/>
    </row>
    <row r="261" spans="5:7">
      <c r="E261" s="71"/>
      <c r="F261" s="303"/>
      <c r="G261" s="303"/>
    </row>
    <row r="262" spans="5:7">
      <c r="E262" s="71"/>
      <c r="F262" s="303"/>
      <c r="G262" s="303"/>
    </row>
    <row r="263" spans="5:7">
      <c r="E263" s="71"/>
      <c r="F263" s="303"/>
      <c r="G263" s="303"/>
    </row>
    <row r="264" spans="5:7">
      <c r="E264" s="71"/>
      <c r="F264" s="303"/>
      <c r="G264" s="303"/>
    </row>
    <row r="265" spans="5:7">
      <c r="E265" s="71"/>
      <c r="F265" s="303"/>
      <c r="G265" s="303"/>
    </row>
    <row r="266" spans="5:7">
      <c r="E266" s="71"/>
      <c r="F266" s="303"/>
      <c r="G266" s="303"/>
    </row>
    <row r="267" spans="5:7">
      <c r="E267" s="71"/>
      <c r="F267" s="303"/>
      <c r="G267" s="303"/>
    </row>
    <row r="268" spans="5:7">
      <c r="E268" s="71"/>
      <c r="F268" s="303"/>
      <c r="G268" s="303"/>
    </row>
    <row r="269" spans="5:7">
      <c r="E269" s="71"/>
      <c r="F269" s="303"/>
      <c r="G269" s="303"/>
    </row>
    <row r="270" spans="5:7">
      <c r="E270" s="71"/>
      <c r="F270" s="303"/>
      <c r="G270" s="303"/>
    </row>
    <row r="271" spans="5:7">
      <c r="E271" s="71"/>
      <c r="F271" s="303"/>
      <c r="G271" s="303"/>
    </row>
    <row r="272" spans="5:7">
      <c r="E272" s="71"/>
      <c r="F272" s="303"/>
      <c r="G272" s="303"/>
    </row>
    <row r="273" spans="5:7">
      <c r="E273" s="71"/>
      <c r="F273" s="303"/>
      <c r="G273" s="303"/>
    </row>
    <row r="274" spans="5:7">
      <c r="E274" s="71"/>
      <c r="F274" s="303"/>
      <c r="G274" s="303"/>
    </row>
    <row r="275" spans="5:7">
      <c r="E275" s="71"/>
      <c r="F275" s="303"/>
      <c r="G275" s="303"/>
    </row>
    <row r="276" spans="5:7">
      <c r="E276" s="71"/>
      <c r="F276" s="303"/>
      <c r="G276" s="303"/>
    </row>
    <row r="277" spans="5:7">
      <c r="E277" s="71"/>
      <c r="F277" s="303"/>
      <c r="G277" s="303"/>
    </row>
    <row r="278" spans="5:7">
      <c r="E278" s="71"/>
      <c r="F278" s="303"/>
      <c r="G278" s="303"/>
    </row>
    <row r="279" spans="5:7">
      <c r="E279" s="71"/>
      <c r="F279" s="303"/>
      <c r="G279" s="303"/>
    </row>
    <row r="280" spans="5:7">
      <c r="E280" s="71"/>
      <c r="F280" s="303"/>
      <c r="G280" s="303"/>
    </row>
    <row r="281" spans="5:7">
      <c r="E281" s="71"/>
      <c r="F281" s="303"/>
      <c r="G281" s="303"/>
    </row>
    <row r="282" spans="5:7">
      <c r="E282" s="71"/>
      <c r="F282" s="303"/>
      <c r="G282" s="303"/>
    </row>
    <row r="283" spans="5:7">
      <c r="E283" s="71"/>
      <c r="F283" s="303"/>
      <c r="G283" s="303"/>
    </row>
    <row r="284" spans="5:7">
      <c r="E284" s="71"/>
      <c r="F284" s="303"/>
      <c r="G284" s="303"/>
    </row>
    <row r="285" spans="5:7">
      <c r="E285" s="71"/>
      <c r="F285" s="303"/>
      <c r="G285" s="303"/>
    </row>
    <row r="286" spans="5:7">
      <c r="E286" s="71"/>
      <c r="F286" s="303"/>
      <c r="G286" s="303"/>
    </row>
    <row r="287" spans="5:7">
      <c r="E287" s="71"/>
      <c r="F287" s="303"/>
      <c r="G287" s="303"/>
    </row>
    <row r="288" spans="5:7">
      <c r="E288" s="71"/>
      <c r="F288" s="303"/>
      <c r="G288" s="303"/>
    </row>
    <row r="289" spans="5:7">
      <c r="E289" s="71"/>
      <c r="F289" s="303"/>
      <c r="G289" s="303"/>
    </row>
    <row r="290" spans="5:7">
      <c r="E290" s="71"/>
      <c r="F290" s="303"/>
      <c r="G290" s="303"/>
    </row>
    <row r="291" spans="5:7">
      <c r="E291" s="71"/>
      <c r="F291" s="303"/>
      <c r="G291" s="303"/>
    </row>
    <row r="292" spans="5:7">
      <c r="E292" s="71"/>
      <c r="F292" s="303"/>
      <c r="G292" s="303"/>
    </row>
    <row r="293" spans="5:7">
      <c r="E293" s="71"/>
      <c r="F293" s="303"/>
      <c r="G293" s="303"/>
    </row>
    <row r="294" spans="5:7">
      <c r="E294" s="71"/>
      <c r="F294" s="303"/>
      <c r="G294" s="303"/>
    </row>
    <row r="295" spans="5:7">
      <c r="E295" s="71"/>
      <c r="F295" s="303"/>
      <c r="G295" s="303"/>
    </row>
    <row r="296" spans="5:7">
      <c r="E296" s="71"/>
      <c r="F296" s="303"/>
      <c r="G296" s="303"/>
    </row>
    <row r="297" spans="5:7">
      <c r="E297" s="71"/>
      <c r="F297" s="303"/>
      <c r="G297" s="303"/>
    </row>
    <row r="298" spans="5:7">
      <c r="E298" s="71"/>
      <c r="F298" s="303"/>
      <c r="G298" s="303"/>
    </row>
    <row r="299" spans="5:7">
      <c r="E299" s="71"/>
      <c r="F299" s="303"/>
      <c r="G299" s="303"/>
    </row>
    <row r="300" spans="5:7">
      <c r="E300" s="71"/>
      <c r="F300" s="303"/>
      <c r="G300" s="303"/>
    </row>
    <row r="301" spans="5:7">
      <c r="E301" s="71"/>
      <c r="F301" s="303"/>
      <c r="G301" s="303"/>
    </row>
    <row r="302" spans="5:7">
      <c r="E302" s="71"/>
      <c r="F302" s="303"/>
      <c r="G302" s="303"/>
    </row>
    <row r="303" spans="5:7">
      <c r="E303" s="71"/>
      <c r="F303" s="303"/>
      <c r="G303" s="303"/>
    </row>
    <row r="304" spans="5:7">
      <c r="E304" s="71"/>
      <c r="F304" s="303"/>
      <c r="G304" s="303"/>
    </row>
    <row r="305" spans="5:7">
      <c r="E305" s="71"/>
      <c r="F305" s="303"/>
      <c r="G305" s="303"/>
    </row>
    <row r="306" spans="5:7">
      <c r="E306" s="71"/>
      <c r="F306" s="303"/>
      <c r="G306" s="303"/>
    </row>
    <row r="307" spans="5:7">
      <c r="E307" s="71"/>
      <c r="F307" s="303"/>
      <c r="G307" s="303"/>
    </row>
    <row r="308" spans="5:7">
      <c r="E308" s="71"/>
      <c r="F308" s="303"/>
      <c r="G308" s="303"/>
    </row>
    <row r="309" spans="5:7">
      <c r="E309" s="71"/>
      <c r="F309" s="303"/>
      <c r="G309" s="303"/>
    </row>
    <row r="310" spans="5:7">
      <c r="E310" s="71"/>
      <c r="F310" s="303"/>
      <c r="G310" s="303"/>
    </row>
    <row r="311" spans="5:7">
      <c r="E311" s="71"/>
      <c r="F311" s="303"/>
      <c r="G311" s="303"/>
    </row>
    <row r="312" spans="5:7">
      <c r="E312" s="71"/>
      <c r="F312" s="303"/>
      <c r="G312" s="303"/>
    </row>
    <row r="313" spans="5:7">
      <c r="E313" s="71"/>
      <c r="F313" s="303"/>
      <c r="G313" s="303"/>
    </row>
    <row r="314" spans="5:7">
      <c r="E314" s="71"/>
      <c r="F314" s="303"/>
      <c r="G314" s="303"/>
    </row>
    <row r="315" spans="5:7">
      <c r="E315" s="71"/>
      <c r="F315" s="303"/>
      <c r="G315" s="303"/>
    </row>
    <row r="316" spans="5:7">
      <c r="E316" s="71"/>
      <c r="F316" s="303"/>
      <c r="G316" s="303"/>
    </row>
    <row r="317" spans="5:7">
      <c r="E317" s="71"/>
      <c r="F317" s="303"/>
      <c r="G317" s="303"/>
    </row>
    <row r="318" spans="5:7">
      <c r="E318" s="71"/>
      <c r="F318" s="303"/>
      <c r="G318" s="303"/>
    </row>
    <row r="319" spans="5:7">
      <c r="E319" s="71"/>
      <c r="F319" s="303"/>
      <c r="G319" s="303"/>
    </row>
    <row r="320" spans="5:7">
      <c r="E320" s="71"/>
      <c r="F320" s="303"/>
      <c r="G320" s="303"/>
    </row>
    <row r="321" spans="5:7">
      <c r="E321" s="71"/>
      <c r="F321" s="303"/>
      <c r="G321" s="303"/>
    </row>
    <row r="322" spans="5:7">
      <c r="E322" s="71"/>
      <c r="F322" s="303"/>
      <c r="G322" s="303"/>
    </row>
    <row r="323" spans="5:7">
      <c r="E323" s="71"/>
      <c r="F323" s="303"/>
      <c r="G323" s="303"/>
    </row>
    <row r="324" spans="5:7">
      <c r="E324" s="71"/>
      <c r="F324" s="303"/>
      <c r="G324" s="303"/>
    </row>
    <row r="325" spans="5:7">
      <c r="E325" s="71"/>
      <c r="F325" s="303"/>
      <c r="G325" s="303"/>
    </row>
    <row r="326" spans="5:7">
      <c r="E326" s="71"/>
      <c r="F326" s="303"/>
      <c r="G326" s="303"/>
    </row>
    <row r="327" spans="5:7">
      <c r="E327" s="71"/>
      <c r="F327" s="303"/>
      <c r="G327" s="303"/>
    </row>
    <row r="328" spans="5:7">
      <c r="E328" s="71"/>
      <c r="F328" s="303"/>
      <c r="G328" s="303"/>
    </row>
    <row r="329" spans="5:7">
      <c r="E329" s="71"/>
      <c r="F329" s="303"/>
      <c r="G329" s="303"/>
    </row>
    <row r="330" spans="5:7">
      <c r="E330" s="71"/>
      <c r="F330" s="303"/>
      <c r="G330" s="303"/>
    </row>
    <row r="331" spans="5:7">
      <c r="E331" s="71"/>
      <c r="F331" s="303"/>
      <c r="G331" s="303"/>
    </row>
    <row r="332" spans="5:7">
      <c r="E332" s="71"/>
      <c r="F332" s="303"/>
      <c r="G332" s="303"/>
    </row>
    <row r="333" spans="5:7">
      <c r="E333" s="71"/>
      <c r="F333" s="303"/>
      <c r="G333" s="303"/>
    </row>
    <row r="334" spans="5:7">
      <c r="E334" s="71"/>
      <c r="F334" s="303"/>
      <c r="G334" s="303"/>
    </row>
    <row r="335" spans="5:7">
      <c r="E335" s="71"/>
      <c r="F335" s="303"/>
      <c r="G335" s="303"/>
    </row>
    <row r="336" spans="5:7">
      <c r="E336" s="71"/>
      <c r="F336" s="303"/>
      <c r="G336" s="303"/>
    </row>
    <row r="337" spans="5:7">
      <c r="E337" s="71"/>
      <c r="F337" s="303"/>
      <c r="G337" s="303"/>
    </row>
    <row r="338" spans="5:7">
      <c r="E338" s="71"/>
      <c r="F338" s="303"/>
      <c r="G338" s="303"/>
    </row>
    <row r="339" spans="5:7">
      <c r="E339" s="71"/>
      <c r="F339" s="303"/>
      <c r="G339" s="303"/>
    </row>
    <row r="340" spans="5:7">
      <c r="E340" s="71"/>
      <c r="F340" s="303"/>
      <c r="G340" s="303"/>
    </row>
    <row r="341" spans="5:7">
      <c r="E341" s="71"/>
      <c r="F341" s="303"/>
      <c r="G341" s="303"/>
    </row>
    <row r="342" spans="5:7">
      <c r="E342" s="71"/>
      <c r="F342" s="303"/>
      <c r="G342" s="303"/>
    </row>
    <row r="343" spans="5:7">
      <c r="E343" s="71"/>
      <c r="F343" s="303"/>
      <c r="G343" s="303"/>
    </row>
    <row r="344" spans="5:7">
      <c r="E344" s="71"/>
      <c r="F344" s="303"/>
      <c r="G344" s="303"/>
    </row>
    <row r="345" spans="5:7">
      <c r="E345" s="71"/>
      <c r="F345" s="303"/>
      <c r="G345" s="303"/>
    </row>
    <row r="346" spans="5:7">
      <c r="E346" s="71"/>
      <c r="F346" s="303"/>
      <c r="G346" s="303"/>
    </row>
    <row r="347" spans="5:7">
      <c r="E347" s="71"/>
      <c r="F347" s="303"/>
      <c r="G347" s="303"/>
    </row>
    <row r="348" spans="5:7">
      <c r="E348" s="71"/>
      <c r="F348" s="303"/>
      <c r="G348" s="303"/>
    </row>
    <row r="349" spans="5:7">
      <c r="E349" s="71"/>
      <c r="F349" s="303"/>
      <c r="G349" s="303"/>
    </row>
    <row r="350" spans="5:7">
      <c r="E350" s="71"/>
      <c r="F350" s="303"/>
      <c r="G350" s="303"/>
    </row>
    <row r="351" spans="5:7">
      <c r="E351" s="71"/>
      <c r="F351" s="303"/>
      <c r="G351" s="303"/>
    </row>
    <row r="352" spans="5:7">
      <c r="E352" s="71"/>
      <c r="F352" s="303"/>
      <c r="G352" s="303"/>
    </row>
    <row r="353" spans="5:7">
      <c r="E353" s="71"/>
      <c r="F353" s="303"/>
      <c r="G353" s="303"/>
    </row>
    <row r="354" spans="5:7">
      <c r="E354" s="71"/>
      <c r="F354" s="303"/>
      <c r="G354" s="303"/>
    </row>
    <row r="355" spans="5:7">
      <c r="E355" s="71"/>
      <c r="F355" s="303"/>
      <c r="G355" s="303"/>
    </row>
    <row r="356" spans="5:7">
      <c r="E356" s="71"/>
      <c r="F356" s="303"/>
      <c r="G356" s="303"/>
    </row>
    <row r="357" spans="5:7">
      <c r="E357" s="71"/>
      <c r="F357" s="303"/>
      <c r="G357" s="303"/>
    </row>
    <row r="358" spans="5:7">
      <c r="E358" s="71"/>
      <c r="F358" s="303"/>
      <c r="G358" s="303"/>
    </row>
    <row r="359" spans="5:7">
      <c r="E359" s="71"/>
      <c r="F359" s="303"/>
      <c r="G359" s="303"/>
    </row>
    <row r="360" spans="5:7">
      <c r="E360" s="71"/>
      <c r="F360" s="303"/>
      <c r="G360" s="303"/>
    </row>
    <row r="361" spans="5:7">
      <c r="E361" s="71"/>
      <c r="F361" s="303"/>
      <c r="G361" s="303"/>
    </row>
    <row r="362" spans="5:7">
      <c r="E362" s="71"/>
      <c r="F362" s="303"/>
      <c r="G362" s="303"/>
    </row>
  </sheetData>
  <mergeCells count="6">
    <mergeCell ref="C5:E5"/>
    <mergeCell ref="C6:E6"/>
    <mergeCell ref="S7:U7"/>
    <mergeCell ref="S8:U8"/>
    <mergeCell ref="S34:U34"/>
    <mergeCell ref="T33:U33"/>
  </mergeCells>
  <dataValidations count="1">
    <dataValidation type="list" allowBlank="1" showInputMessage="1" showErrorMessage="1" promptTitle="Select a Period:" prompt="Select Financial or Calendar years." sqref="T33:U33">
      <formula1>C1:C2</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tint="0.39997558519241921"/>
  </sheetPr>
  <dimension ref="A1:Y71"/>
  <sheetViews>
    <sheetView zoomScaleNormal="100" workbookViewId="0"/>
  </sheetViews>
  <sheetFormatPr defaultRowHeight="15"/>
  <cols>
    <col min="1" max="1" width="9.140625" style="86"/>
    <col min="2" max="5" width="26.140625" style="86" bestFit="1" customWidth="1"/>
    <col min="6" max="6" width="9.140625" style="86"/>
    <col min="7" max="8" width="9.140625" style="798" hidden="1" customWidth="1"/>
    <col min="9" max="9" width="15.5703125" style="86" customWidth="1"/>
    <col min="10" max="10" width="19.7109375" style="86" customWidth="1"/>
    <col min="11" max="11" width="9.140625" style="798" hidden="1" customWidth="1"/>
    <col min="12" max="16384" width="9.140625" style="86"/>
  </cols>
  <sheetData>
    <row r="1" spans="1:25">
      <c r="Y1" s="807" t="s">
        <v>545</v>
      </c>
    </row>
    <row r="2" spans="1:25">
      <c r="Y2" s="807" t="s">
        <v>546</v>
      </c>
    </row>
    <row r="4" spans="1:25">
      <c r="I4" s="808" t="str">
        <f>IF('Data Sources'!J4=12,IF(I6="Historic Calendar Year","","Please Note: Most recent financial year is based on only the first half. Second half financial year average price data not yet available."),IF(I6="Historic Calendar Year","Please Note: Most recent calendar year is based on only the first half. Second half calendar year price data not yet available.",""))</f>
        <v/>
      </c>
    </row>
    <row r="5" spans="1:25">
      <c r="A5" s="1937" t="s">
        <v>88</v>
      </c>
      <c r="B5" s="1937"/>
      <c r="C5" s="1937"/>
      <c r="D5" s="1937"/>
      <c r="E5" s="1937"/>
      <c r="F5" s="24"/>
      <c r="I5" s="1937" t="s">
        <v>852</v>
      </c>
      <c r="J5" s="1937"/>
    </row>
    <row r="6" spans="1:25" ht="15.75" thickBot="1">
      <c r="A6" s="2004" t="s">
        <v>54</v>
      </c>
      <c r="B6" s="2004"/>
      <c r="C6" s="2004"/>
      <c r="D6" s="2004"/>
      <c r="E6" s="2004"/>
      <c r="F6" s="24"/>
      <c r="G6" s="410"/>
      <c r="H6" s="410"/>
      <c r="I6" s="1966" t="str">
        <f>I32</f>
        <v>Historic Calendar Year</v>
      </c>
      <c r="J6" s="1966"/>
    </row>
    <row r="7" spans="1:25" ht="15.75" thickBot="1">
      <c r="A7" s="1857"/>
      <c r="B7" s="1343" t="s">
        <v>853</v>
      </c>
      <c r="C7" s="1343" t="s">
        <v>854</v>
      </c>
      <c r="D7" s="1343" t="s">
        <v>853</v>
      </c>
      <c r="E7" s="1343" t="s">
        <v>854</v>
      </c>
      <c r="F7" s="24"/>
      <c r="G7" s="410"/>
      <c r="H7" s="410"/>
      <c r="I7" s="116" t="s">
        <v>49</v>
      </c>
      <c r="J7" s="105" t="s">
        <v>55</v>
      </c>
    </row>
    <row r="8" spans="1:25" ht="15.75" thickBot="1">
      <c r="A8" s="1344" t="s">
        <v>52</v>
      </c>
      <c r="B8" s="1345" t="s">
        <v>89</v>
      </c>
      <c r="C8" s="1345" t="s">
        <v>89</v>
      </c>
      <c r="D8" s="1345" t="s">
        <v>90</v>
      </c>
      <c r="E8" s="1346" t="s">
        <v>90</v>
      </c>
      <c r="F8" s="24"/>
      <c r="G8" s="410">
        <v>1999</v>
      </c>
      <c r="H8" s="410">
        <v>2000</v>
      </c>
      <c r="I8" s="1861">
        <f>IF($I$6="Historic Calendar Year",1999,CONCATENATE(G8,"-",RIGHT(H8,2)))</f>
        <v>1999</v>
      </c>
      <c r="J8" s="809">
        <f t="array" ref="J8">IFERROR(IF(I6="Historic Calendar Year",SUMIF('Iron Ore - Q&amp;V'!$B$8:$B$250,'Iron Ore - Prices'!I8,'Iron Ore - Q&amp;V'!$E$8:$E$250)/SUMIF('Iron Ore - Q&amp;V'!$B$8:$B$250,'Iron Ore - Prices'!I8,'Iron Ore - Q&amp;V'!$D$8:$D$250),K8),"NA")</f>
        <v>24.593793267415354</v>
      </c>
      <c r="K8" s="798">
        <f>(SUMIFS('Iron Ore - Q&amp;V'!$E$8:$E$250,'Iron Ore - Q&amp;V'!$B$8:$B$250,'Iron Ore - Prices'!G8,'Iron Ore - Q&amp;V'!$A$8:$A$250,3)+
SUMIFS('Iron Ore - Q&amp;V'!$E$8:$E$250,'Iron Ore - Q&amp;V'!$B$8:$B$250,'Iron Ore - Prices'!G8,'Iron Ore - Q&amp;V'!$A$8:$A$250,4)+
SUMIFS('Iron Ore - Q&amp;V'!$E$8:$E$250,'Iron Ore - Q&amp;V'!$B$8:$B$250,'Iron Ore - Prices'!H8,'Iron Ore - Q&amp;V'!$A$8:$A$250,1)+
SUMIFS('Iron Ore - Q&amp;V'!$E$8:$E$250,'Iron Ore - Q&amp;V'!$B$8:$B$250,'Iron Ore - Prices'!H8,'Iron Ore - Q&amp;V'!$A$8:$A$250,2))
/(SUMIFS('Iron Ore - Q&amp;V'!$D$8:$D$250,'Iron Ore - Q&amp;V'!$B$8:$B$250,'Iron Ore - Prices'!G8,'Iron Ore - Q&amp;V'!$A$8:$A$250,3)+
SUMIFS('Iron Ore - Q&amp;V'!$D$8:$D$250,'Iron Ore - Q&amp;V'!$B$8:$B$250,'Iron Ore - Prices'!G8,'Iron Ore - Q&amp;V'!$A$8:$A$250,4)+
SUMIFS('Iron Ore - Q&amp;V'!$D$8:$D$250,'Iron Ore - Q&amp;V'!$B$8:$B$250,'Iron Ore - Prices'!H8,'Iron Ore - Q&amp;V'!$A$8:$A$250,1)+
SUMIFS('Iron Ore - Q&amp;V'!$D$8:$D$250,'Iron Ore - Q&amp;V'!$B$8:$B$250,'Iron Ore - Prices'!H8,'Iron Ore - Q&amp;V'!$A$8:$A$250,2))</f>
        <v>24.623277476035167</v>
      </c>
    </row>
    <row r="9" spans="1:25">
      <c r="A9" s="1858">
        <f>LARGE('Data - Monthly Commodity Prices'!C$159:C$902,60)</f>
        <v>42005</v>
      </c>
      <c r="B9" s="103">
        <f>SUMIF('Data - Monthly Commodity Prices'!$C$159:$C$902,$A9,'Data - Monthly Commodity Prices'!G$159:G$902)</f>
        <v>66.55</v>
      </c>
      <c r="C9" s="114">
        <f>SUMIF('Data - Monthly Commodity Prices'!$C$159:$C$902,$A9,'Data - Monthly Commodity Prices'!H$159:H$902)</f>
        <v>82.568238213399496</v>
      </c>
      <c r="D9" s="103">
        <f>SUMIF('Data - Monthly Commodity Prices'!$C$159:$C$902,$A9,'Data - Monthly Commodity Prices'!I$159:I$902)</f>
        <v>58.93</v>
      </c>
      <c r="E9" s="104">
        <f>SUMIF('Data - Monthly Commodity Prices'!$C$159:$C$902,$A9,'Data - Monthly Commodity Prices'!J$159:J$902)</f>
        <v>73.114143920595524</v>
      </c>
      <c r="F9" s="24"/>
      <c r="G9" s="410">
        <f>G8+1</f>
        <v>2000</v>
      </c>
      <c r="H9" s="410">
        <f>H8+1</f>
        <v>2001</v>
      </c>
      <c r="I9" s="1862">
        <f t="shared" ref="I9:I29" si="0">IF($I$6="Historic Calendar Year",I8+1,CONCATENATE(G9,"-",RIGHT(H9,2)))</f>
        <v>2000</v>
      </c>
      <c r="J9" s="30">
        <f t="array" ref="J9">IFERROR(IF($I$6="Historic Calendar Year",SUMIF('Iron Ore - Q&amp;V'!$B$8:$B$250,'Iron Ore - Prices'!I9,'Iron Ore - Q&amp;V'!$E$8:$E$250)/SUMIF('Iron Ore - Q&amp;V'!$B$8:$B$250,'Iron Ore - Prices'!I9,'Iron Ore - Q&amp;V'!$D$8:$D$250),K9),"NA")</f>
        <v>27.477182027620767</v>
      </c>
      <c r="K9" s="798">
        <f>(SUMIFS('Iron Ore - Q&amp;V'!$E$8:$E$250,'Iron Ore - Q&amp;V'!$B$8:$B$250,'Iron Ore - Prices'!G9,'Iron Ore - Q&amp;V'!$A$8:$A$250,3)+
SUMIFS('Iron Ore - Q&amp;V'!$E$8:$E$250,'Iron Ore - Q&amp;V'!$B$8:$B$250,'Iron Ore - Prices'!G9,'Iron Ore - Q&amp;V'!$A$8:$A$250,4)+
SUMIFS('Iron Ore - Q&amp;V'!$E$8:$E$250,'Iron Ore - Q&amp;V'!$B$8:$B$250,'Iron Ore - Prices'!H9,'Iron Ore - Q&amp;V'!$A$8:$A$250,1)+
SUMIFS('Iron Ore - Q&amp;V'!$E$8:$E$250,'Iron Ore - Q&amp;V'!$B$8:$B$250,'Iron Ore - Prices'!H9,'Iron Ore - Q&amp;V'!$A$8:$A$250,2))
/(SUMIFS('Iron Ore - Q&amp;V'!$D$8:$D$250,'Iron Ore - Q&amp;V'!$B$8:$B$250,'Iron Ore - Prices'!G9,'Iron Ore - Q&amp;V'!$A$8:$A$250,3)+
SUMIFS('Iron Ore - Q&amp;V'!$D$8:$D$250,'Iron Ore - Q&amp;V'!$B$8:$B$250,'Iron Ore - Prices'!G9,'Iron Ore - Q&amp;V'!$A$8:$A$250,4)+
SUMIFS('Iron Ore - Q&amp;V'!$D$8:$D$250,'Iron Ore - Q&amp;V'!$B$8:$B$250,'Iron Ore - Prices'!H9,'Iron Ore - Q&amp;V'!$A$8:$A$250,1)+
SUMIFS('Iron Ore - Q&amp;V'!$D$8:$D$250,'Iron Ore - Q&amp;V'!$B$8:$B$250,'Iron Ore - Prices'!H9,'Iron Ore - Q&amp;V'!$A$8:$A$250,2))</f>
        <v>30.368424306113621</v>
      </c>
    </row>
    <row r="10" spans="1:25">
      <c r="A10" s="1859">
        <f>LARGE('Data - Monthly Commodity Prices'!C$159:C$902,59)</f>
        <v>42036</v>
      </c>
      <c r="B10" s="75">
        <f>SUMIF('Data - Monthly Commodity Prices'!$C$159:$C$902,$A10,'Data - Monthly Commodity Prices'!G$159:G$902)</f>
        <v>61.43</v>
      </c>
      <c r="C10" s="84">
        <f>SUMIF('Data - Monthly Commodity Prices'!$C$159:$C$902,$A10,'Data - Monthly Commodity Prices'!H$159:H$902)</f>
        <v>78.82715257282176</v>
      </c>
      <c r="D10" s="75">
        <f>SUMIF('Data - Monthly Commodity Prices'!$C$159:$C$902,$A10,'Data - Monthly Commodity Prices'!I$159:I$902)</f>
        <v>53.16</v>
      </c>
      <c r="E10" s="61">
        <f>SUMIF('Data - Monthly Commodity Prices'!$C$159:$C$902,$A10,'Data - Monthly Commodity Prices'!J$159:J$902)</f>
        <v>68.215064801745157</v>
      </c>
      <c r="F10" s="24"/>
      <c r="G10" s="410">
        <f t="shared" ref="G10:H29" si="1">G9+1</f>
        <v>2001</v>
      </c>
      <c r="H10" s="410">
        <f t="shared" si="1"/>
        <v>2002</v>
      </c>
      <c r="I10" s="1863">
        <f t="shared" si="0"/>
        <v>2001</v>
      </c>
      <c r="J10" s="277">
        <f t="array" ref="J10">IFERROR(IF($I$6="Historic Calendar Year",SUMIF('Iron Ore - Q&amp;V'!$B$8:$B$250,'Iron Ore - Prices'!I10,'Iron Ore - Q&amp;V'!$E$8:$E$250)/SUMIF('Iron Ore - Q&amp;V'!$B$8:$B$250,'Iron Ore - Prices'!I10,'Iron Ore - Q&amp;V'!$D$8:$D$250),K10),"NA")</f>
        <v>32.344727886034399</v>
      </c>
      <c r="K10" s="798">
        <f>(SUMIFS('Iron Ore - Q&amp;V'!$E$8:$E$250,'Iron Ore - Q&amp;V'!$B$8:$B$250,'Iron Ore - Prices'!G10,'Iron Ore - Q&amp;V'!$A$8:$A$250,3)+
SUMIFS('Iron Ore - Q&amp;V'!$E$8:$E$250,'Iron Ore - Q&amp;V'!$B$8:$B$250,'Iron Ore - Prices'!G10,'Iron Ore - Q&amp;V'!$A$8:$A$250,4)+
SUMIFS('Iron Ore - Q&amp;V'!$E$8:$E$250,'Iron Ore - Q&amp;V'!$B$8:$B$250,'Iron Ore - Prices'!H10,'Iron Ore - Q&amp;V'!$A$8:$A$250,1)+
SUMIFS('Iron Ore - Q&amp;V'!$E$8:$E$250,'Iron Ore - Q&amp;V'!$B$8:$B$250,'Iron Ore - Prices'!H10,'Iron Ore - Q&amp;V'!$A$8:$A$250,2))
/(SUMIFS('Iron Ore - Q&amp;V'!$D$8:$D$250,'Iron Ore - Q&amp;V'!$B$8:$B$250,'Iron Ore - Prices'!G10,'Iron Ore - Q&amp;V'!$A$8:$A$250,3)+
SUMIFS('Iron Ore - Q&amp;V'!$D$8:$D$250,'Iron Ore - Q&amp;V'!$B$8:$B$250,'Iron Ore - Prices'!G10,'Iron Ore - Q&amp;V'!$A$8:$A$250,4)+
SUMIFS('Iron Ore - Q&amp;V'!$D$8:$D$250,'Iron Ore - Q&amp;V'!$B$8:$B$250,'Iron Ore - Prices'!H10,'Iron Ore - Q&amp;V'!$A$8:$A$250,1)+
SUMIFS('Iron Ore - Q&amp;V'!$D$8:$D$250,'Iron Ore - Q&amp;V'!$B$8:$B$250,'Iron Ore - Prices'!H10,'Iron Ore - Q&amp;V'!$A$8:$A$250,2))</f>
        <v>31.631497746516512</v>
      </c>
    </row>
    <row r="11" spans="1:25">
      <c r="A11" s="1858">
        <f>LARGE('Data - Monthly Commodity Prices'!C$159:C$902,58)</f>
        <v>42064</v>
      </c>
      <c r="B11" s="102">
        <f>SUMIF('Data - Monthly Commodity Prices'!$C$159:$C$902,$A11,'Data - Monthly Commodity Prices'!G$159:G$902)</f>
        <v>56.38</v>
      </c>
      <c r="C11" s="114">
        <f>SUMIF('Data - Monthly Commodity Prices'!$C$159:$C$902,$A11,'Data - Monthly Commodity Prices'!H$159:H$902)</f>
        <v>72.9366106080207</v>
      </c>
      <c r="D11" s="102">
        <f>SUMIF('Data - Monthly Commodity Prices'!$C$159:$C$902,$A11,'Data - Monthly Commodity Prices'!I$159:I$902)</f>
        <v>48.32</v>
      </c>
      <c r="E11" s="104">
        <f>SUMIF('Data - Monthly Commodity Prices'!$C$159:$C$902,$A11,'Data - Monthly Commodity Prices'!J$159:J$902)</f>
        <v>62.509702457956017</v>
      </c>
      <c r="F11" s="24"/>
      <c r="G11" s="410">
        <f t="shared" si="1"/>
        <v>2002</v>
      </c>
      <c r="H11" s="410">
        <f t="shared" si="1"/>
        <v>2003</v>
      </c>
      <c r="I11" s="1862">
        <f t="shared" si="0"/>
        <v>2002</v>
      </c>
      <c r="J11" s="30">
        <f t="array" ref="J11">IFERROR(IF($I$6="Historic Calendar Year",SUMIF('Iron Ore - Q&amp;V'!$B$8:$B$250,'Iron Ore - Prices'!I11,'Iron Ore - Q&amp;V'!$E$8:$E$250)/SUMIF('Iron Ore - Q&amp;V'!$B$8:$B$250,'Iron Ore - Prices'!I11,'Iron Ore - Q&amp;V'!$D$8:$D$250),K11),"NA")</f>
        <v>29.485465776313262</v>
      </c>
      <c r="K11" s="798">
        <f>(SUMIFS('Iron Ore - Q&amp;V'!$E$8:$E$250,'Iron Ore - Q&amp;V'!$B$8:$B$250,'Iron Ore - Prices'!G11,'Iron Ore - Q&amp;V'!$A$8:$A$250,3)+
SUMIFS('Iron Ore - Q&amp;V'!$E$8:$E$250,'Iron Ore - Q&amp;V'!$B$8:$B$250,'Iron Ore - Prices'!G11,'Iron Ore - Q&amp;V'!$A$8:$A$250,4)+
SUMIFS('Iron Ore - Q&amp;V'!$E$8:$E$250,'Iron Ore - Q&amp;V'!$B$8:$B$250,'Iron Ore - Prices'!H11,'Iron Ore - Q&amp;V'!$A$8:$A$250,1)+
SUMIFS('Iron Ore - Q&amp;V'!$E$8:$E$250,'Iron Ore - Q&amp;V'!$B$8:$B$250,'Iron Ore - Prices'!H11,'Iron Ore - Q&amp;V'!$A$8:$A$250,2))
/(SUMIFS('Iron Ore - Q&amp;V'!$D$8:$D$250,'Iron Ore - Q&amp;V'!$B$8:$B$250,'Iron Ore - Prices'!G11,'Iron Ore - Q&amp;V'!$A$8:$A$250,3)+
SUMIFS('Iron Ore - Q&amp;V'!$D$8:$D$250,'Iron Ore - Q&amp;V'!$B$8:$B$250,'Iron Ore - Prices'!G11,'Iron Ore - Q&amp;V'!$A$8:$A$250,4)+
SUMIFS('Iron Ore - Q&amp;V'!$D$8:$D$250,'Iron Ore - Q&amp;V'!$B$8:$B$250,'Iron Ore - Prices'!H11,'Iron Ore - Q&amp;V'!$A$8:$A$250,1)+
SUMIFS('Iron Ore - Q&amp;V'!$D$8:$D$250,'Iron Ore - Q&amp;V'!$B$8:$B$250,'Iron Ore - Prices'!H11,'Iron Ore - Q&amp;V'!$A$8:$A$250,2))</f>
        <v>27.60095150610886</v>
      </c>
    </row>
    <row r="12" spans="1:25">
      <c r="A12" s="1859">
        <f>LARGE('Data - Monthly Commodity Prices'!C$159:C$902,57)</f>
        <v>42095</v>
      </c>
      <c r="B12" s="75">
        <f>SUMIF('Data - Monthly Commodity Prices'!$C$159:$C$902,$A12,'Data - Monthly Commodity Prices'!G$159:G$902)</f>
        <v>48.78</v>
      </c>
      <c r="C12" s="84">
        <f>SUMIF('Data - Monthly Commodity Prices'!$C$159:$C$902,$A12,'Data - Monthly Commodity Prices'!H$159:H$902)</f>
        <v>63.063994828700714</v>
      </c>
      <c r="D12" s="75">
        <f>SUMIF('Data - Monthly Commodity Prices'!$C$159:$C$902,$A12,'Data - Monthly Commodity Prices'!I$159:I$902)</f>
        <v>42.41</v>
      </c>
      <c r="E12" s="61">
        <f>SUMIF('Data - Monthly Commodity Prices'!$C$159:$C$902,$A12,'Data - Monthly Commodity Prices'!J$159:J$902)</f>
        <v>54.828700711053649</v>
      </c>
      <c r="F12" s="24"/>
      <c r="G12" s="410">
        <f t="shared" si="1"/>
        <v>2003</v>
      </c>
      <c r="H12" s="410">
        <f t="shared" si="1"/>
        <v>2004</v>
      </c>
      <c r="I12" s="1863">
        <f t="shared" si="0"/>
        <v>2003</v>
      </c>
      <c r="J12" s="277">
        <f t="array" ref="J12">IFERROR(IF($I$6="Historic Calendar Year",SUMIF('Iron Ore - Q&amp;V'!$B$8:$B$250,'Iron Ore - Prices'!I12,'Iron Ore - Q&amp;V'!$E$8:$E$250)/SUMIF('Iron Ore - Q&amp;V'!$B$8:$B$250,'Iron Ore - Prices'!I12,'Iron Ore - Q&amp;V'!$D$8:$D$250),K12),"NA")</f>
        <v>25.986418280383351</v>
      </c>
      <c r="K12" s="798">
        <f>(SUMIFS('Iron Ore - Q&amp;V'!$E$8:$E$250,'Iron Ore - Q&amp;V'!$B$8:$B$250,'Iron Ore - Prices'!G12,'Iron Ore - Q&amp;V'!$A$8:$A$250,3)+
SUMIFS('Iron Ore - Q&amp;V'!$E$8:$E$250,'Iron Ore - Q&amp;V'!$B$8:$B$250,'Iron Ore - Prices'!G12,'Iron Ore - Q&amp;V'!$A$8:$A$250,4)+
SUMIFS('Iron Ore - Q&amp;V'!$E$8:$E$250,'Iron Ore - Q&amp;V'!$B$8:$B$250,'Iron Ore - Prices'!H12,'Iron Ore - Q&amp;V'!$A$8:$A$250,1)+
SUMIFS('Iron Ore - Q&amp;V'!$E$8:$E$250,'Iron Ore - Q&amp;V'!$B$8:$B$250,'Iron Ore - Prices'!H12,'Iron Ore - Q&amp;V'!$A$8:$A$250,2))
/(SUMIFS('Iron Ore - Q&amp;V'!$D$8:$D$250,'Iron Ore - Q&amp;V'!$B$8:$B$250,'Iron Ore - Prices'!G12,'Iron Ore - Q&amp;V'!$A$8:$A$250,3)+
SUMIFS('Iron Ore - Q&amp;V'!$D$8:$D$250,'Iron Ore - Q&amp;V'!$B$8:$B$250,'Iron Ore - Prices'!G12,'Iron Ore - Q&amp;V'!$A$8:$A$250,4)+
SUMIFS('Iron Ore - Q&amp;V'!$D$8:$D$250,'Iron Ore - Q&amp;V'!$B$8:$B$250,'Iron Ore - Prices'!H12,'Iron Ore - Q&amp;V'!$A$8:$A$250,1)+
SUMIFS('Iron Ore - Q&amp;V'!$D$8:$D$250,'Iron Ore - Q&amp;V'!$B$8:$B$250,'Iron Ore - Prices'!H12,'Iron Ore - Q&amp;V'!$A$8:$A$250,2))</f>
        <v>26.677358721463236</v>
      </c>
    </row>
    <row r="13" spans="1:25">
      <c r="A13" s="1858">
        <f>LARGE('Data - Monthly Commodity Prices'!C$159:C$902,56)</f>
        <v>42125</v>
      </c>
      <c r="B13" s="102">
        <f>SUMIF('Data - Monthly Commodity Prices'!$C$159:$C$902,$A13,'Data - Monthly Commodity Prices'!G$159:G$902)</f>
        <v>58.41</v>
      </c>
      <c r="C13" s="114">
        <f>SUMIF('Data - Monthly Commodity Prices'!$C$159:$C$902,$A13,'Data - Monthly Commodity Prices'!H$159:H$902)</f>
        <v>74.067968551864055</v>
      </c>
      <c r="D13" s="102">
        <f>SUMIF('Data - Monthly Commodity Prices'!$C$159:$C$902,$A13,'Data - Monthly Commodity Prices'!I$159:I$902)</f>
        <v>52.11</v>
      </c>
      <c r="E13" s="104">
        <f>SUMIF('Data - Monthly Commodity Prices'!$C$159:$C$902,$A13,'Data - Monthly Commodity Prices'!J$159:J$902)</f>
        <v>66.079127567841752</v>
      </c>
      <c r="F13" s="24"/>
      <c r="G13" s="410">
        <f t="shared" si="1"/>
        <v>2004</v>
      </c>
      <c r="H13" s="410">
        <f t="shared" si="1"/>
        <v>2005</v>
      </c>
      <c r="I13" s="1862">
        <f t="shared" si="0"/>
        <v>2004</v>
      </c>
      <c r="J13" s="30">
        <f t="array" ref="J13">IFERROR(IF($I$6="Historic Calendar Year",SUMIF('Iron Ore - Q&amp;V'!$B$8:$B$250,'Iron Ore - Prices'!I13,'Iron Ore - Q&amp;V'!$E$8:$E$250)/SUMIF('Iron Ore - Q&amp;V'!$B$8:$B$250,'Iron Ore - Prices'!I13,'Iron Ore - Q&amp;V'!$D$8:$D$250),K13),"NA")</f>
        <v>29.002618235586148</v>
      </c>
      <c r="K13" s="798">
        <f>(SUMIFS('Iron Ore - Q&amp;V'!$E$8:$E$250,'Iron Ore - Q&amp;V'!$B$8:$B$250,'Iron Ore - Prices'!G13,'Iron Ore - Q&amp;V'!$A$8:$A$250,3)+
SUMIFS('Iron Ore - Q&amp;V'!$E$8:$E$250,'Iron Ore - Q&amp;V'!$B$8:$B$250,'Iron Ore - Prices'!G13,'Iron Ore - Q&amp;V'!$A$8:$A$250,4)+
SUMIFS('Iron Ore - Q&amp;V'!$E$8:$E$250,'Iron Ore - Q&amp;V'!$B$8:$B$250,'Iron Ore - Prices'!H13,'Iron Ore - Q&amp;V'!$A$8:$A$250,1)+
SUMIFS('Iron Ore - Q&amp;V'!$E$8:$E$250,'Iron Ore - Q&amp;V'!$B$8:$B$250,'Iron Ore - Prices'!H13,'Iron Ore - Q&amp;V'!$A$8:$A$250,2))
/(SUMIFS('Iron Ore - Q&amp;V'!$D$8:$D$250,'Iron Ore - Q&amp;V'!$B$8:$B$250,'Iron Ore - Prices'!G13,'Iron Ore - Q&amp;V'!$A$8:$A$250,3)+
SUMIFS('Iron Ore - Q&amp;V'!$D$8:$D$250,'Iron Ore - Q&amp;V'!$B$8:$B$250,'Iron Ore - Prices'!G13,'Iron Ore - Q&amp;V'!$A$8:$A$250,4)+
SUMIFS('Iron Ore - Q&amp;V'!$D$8:$D$250,'Iron Ore - Q&amp;V'!$B$8:$B$250,'Iron Ore - Prices'!H13,'Iron Ore - Q&amp;V'!$A$8:$A$250,1)+
SUMIFS('Iron Ore - Q&amp;V'!$D$8:$D$250,'Iron Ore - Q&amp;V'!$B$8:$B$250,'Iron Ore - Prices'!H13,'Iron Ore - Q&amp;V'!$A$8:$A$250,2))</f>
        <v>36.013266399372256</v>
      </c>
    </row>
    <row r="14" spans="1:25">
      <c r="A14" s="1859">
        <f>LARGE('Data - Monthly Commodity Prices'!C$159:C$902,55)</f>
        <v>42156</v>
      </c>
      <c r="B14" s="75">
        <f>SUMIF('Data - Monthly Commodity Prices'!$C$159:$C$902,$A14,'Data - Monthly Commodity Prices'!G$159:G$902)</f>
        <v>61.3</v>
      </c>
      <c r="C14" s="84">
        <f>SUMIF('Data - Monthly Commodity Prices'!$C$159:$C$902,$A14,'Data - Monthly Commodity Prices'!H$159:H$902)</f>
        <v>79.373300530881778</v>
      </c>
      <c r="D14" s="75">
        <f>SUMIF('Data - Monthly Commodity Prices'!$C$159:$C$902,$A14,'Data - Monthly Commodity Prices'!I$159:I$902)</f>
        <v>55.76</v>
      </c>
      <c r="E14" s="61">
        <f>SUMIF('Data - Monthly Commodity Prices'!$C$159:$C$902,$A14,'Data - Monthly Commodity Prices'!J$159:J$902)</f>
        <v>72.199922309983165</v>
      </c>
      <c r="F14" s="24"/>
      <c r="G14" s="410">
        <f t="shared" si="1"/>
        <v>2005</v>
      </c>
      <c r="H14" s="410">
        <f t="shared" si="1"/>
        <v>2006</v>
      </c>
      <c r="I14" s="1863">
        <f t="shared" si="0"/>
        <v>2005</v>
      </c>
      <c r="J14" s="277">
        <f t="array" ref="J14">IFERROR(IF($I$6="Historic Calendar Year",SUMIF('Iron Ore - Q&amp;V'!$B$8:$B$250,'Iron Ore - Prices'!I14,'Iron Ore - Q&amp;V'!$E$8:$E$250)/SUMIF('Iron Ore - Q&amp;V'!$B$8:$B$250,'Iron Ore - Prices'!I14,'Iron Ore - Q&amp;V'!$D$8:$D$250),K14),"NA")</f>
        <v>47.02136900538423</v>
      </c>
      <c r="K14" s="798">
        <f>(SUMIFS('Iron Ore - Q&amp;V'!$E$8:$E$250,'Iron Ore - Q&amp;V'!$B$8:$B$250,'Iron Ore - Prices'!G14,'Iron Ore - Q&amp;V'!$A$8:$A$250,3)+
SUMIFS('Iron Ore - Q&amp;V'!$E$8:$E$250,'Iron Ore - Q&amp;V'!$B$8:$B$250,'Iron Ore - Prices'!G14,'Iron Ore - Q&amp;V'!$A$8:$A$250,4)+
SUMIFS('Iron Ore - Q&amp;V'!$E$8:$E$250,'Iron Ore - Q&amp;V'!$B$8:$B$250,'Iron Ore - Prices'!H14,'Iron Ore - Q&amp;V'!$A$8:$A$250,1)+
SUMIFS('Iron Ore - Q&amp;V'!$E$8:$E$250,'Iron Ore - Q&amp;V'!$B$8:$B$250,'Iron Ore - Prices'!H14,'Iron Ore - Q&amp;V'!$A$8:$A$250,2))
/(SUMIFS('Iron Ore - Q&amp;V'!$D$8:$D$250,'Iron Ore - Q&amp;V'!$B$8:$B$250,'Iron Ore - Prices'!G14,'Iron Ore - Q&amp;V'!$A$8:$A$250,3)+
SUMIFS('Iron Ore - Q&amp;V'!$D$8:$D$250,'Iron Ore - Q&amp;V'!$B$8:$B$250,'Iron Ore - Prices'!G14,'Iron Ore - Q&amp;V'!$A$8:$A$250,4)+
SUMIFS('Iron Ore - Q&amp;V'!$D$8:$D$250,'Iron Ore - Q&amp;V'!$B$8:$B$250,'Iron Ore - Prices'!H14,'Iron Ore - Q&amp;V'!$A$8:$A$250,1)+
SUMIFS('Iron Ore - Q&amp;V'!$D$8:$D$250,'Iron Ore - Q&amp;V'!$B$8:$B$250,'Iron Ore - Prices'!H14,'Iron Ore - Q&amp;V'!$A$8:$A$250,2))</f>
        <v>54.208393553196039</v>
      </c>
    </row>
    <row r="15" spans="1:25">
      <c r="A15" s="1858">
        <f>LARGE('Data - Monthly Commodity Prices'!C$159:C$902,54)</f>
        <v>42186</v>
      </c>
      <c r="B15" s="102">
        <f>SUMIF('Data - Monthly Commodity Prices'!$C$159:$C$902,$A15,'Data - Monthly Commodity Prices'!G$159:G$902)</f>
        <v>51.08</v>
      </c>
      <c r="C15" s="114">
        <f>SUMIF('Data - Monthly Commodity Prices'!$C$159:$C$902,$A15,'Data - Monthly Commodity Prices'!H$159:H$902)</f>
        <v>68.943177216898363</v>
      </c>
      <c r="D15" s="102">
        <f>SUMIF('Data - Monthly Commodity Prices'!$C$159:$C$902,$A15,'Data - Monthly Commodity Prices'!I$159:I$902)</f>
        <v>46.39</v>
      </c>
      <c r="E15" s="104">
        <f>SUMIF('Data - Monthly Commodity Prices'!$C$159:$C$902,$A15,'Data - Monthly Commodity Prices'!J$159:J$902)</f>
        <v>62.613038196787691</v>
      </c>
      <c r="F15" s="24"/>
      <c r="G15" s="410">
        <f t="shared" si="1"/>
        <v>2006</v>
      </c>
      <c r="H15" s="410">
        <f t="shared" si="1"/>
        <v>2007</v>
      </c>
      <c r="I15" s="1862">
        <f t="shared" si="0"/>
        <v>2006</v>
      </c>
      <c r="J15" s="30">
        <f t="array" ref="J15">IFERROR(IF($I$6="Historic Calendar Year",SUMIF('Iron Ore - Q&amp;V'!$B$8:$B$250,'Iron Ore - Prices'!I15,'Iron Ore - Q&amp;V'!$E$8:$E$250)/SUMIF('Iron Ore - Q&amp;V'!$B$8:$B$250,'Iron Ore - Prices'!I15,'Iron Ore - Q&amp;V'!$D$8:$D$250),K15),"NA")</f>
        <v>59.043433524522918</v>
      </c>
      <c r="K15" s="798">
        <f>(SUMIFS('Iron Ore - Q&amp;V'!$E$8:$E$250,'Iron Ore - Q&amp;V'!$B$8:$B$250,'Iron Ore - Prices'!G15,'Iron Ore - Q&amp;V'!$A$8:$A$250,3)+
SUMIFS('Iron Ore - Q&amp;V'!$E$8:$E$250,'Iron Ore - Q&amp;V'!$B$8:$B$250,'Iron Ore - Prices'!G15,'Iron Ore - Q&amp;V'!$A$8:$A$250,4)+
SUMIFS('Iron Ore - Q&amp;V'!$E$8:$E$250,'Iron Ore - Q&amp;V'!$B$8:$B$250,'Iron Ore - Prices'!H15,'Iron Ore - Q&amp;V'!$A$8:$A$250,1)+
SUMIFS('Iron Ore - Q&amp;V'!$E$8:$E$250,'Iron Ore - Q&amp;V'!$B$8:$B$250,'Iron Ore - Prices'!H15,'Iron Ore - Q&amp;V'!$A$8:$A$250,2))
/(SUMIFS('Iron Ore - Q&amp;V'!$D$8:$D$250,'Iron Ore - Q&amp;V'!$B$8:$B$250,'Iron Ore - Prices'!G15,'Iron Ore - Q&amp;V'!$A$8:$A$250,3)+
SUMIFS('Iron Ore - Q&amp;V'!$D$8:$D$250,'Iron Ore - Q&amp;V'!$B$8:$B$250,'Iron Ore - Prices'!G15,'Iron Ore - Q&amp;V'!$A$8:$A$250,4)+
SUMIFS('Iron Ore - Q&amp;V'!$D$8:$D$250,'Iron Ore - Q&amp;V'!$B$8:$B$250,'Iron Ore - Prices'!H15,'Iron Ore - Q&amp;V'!$A$8:$A$250,1)+
SUMIFS('Iron Ore - Q&amp;V'!$D$8:$D$250,'Iron Ore - Q&amp;V'!$B$8:$B$250,'Iron Ore - Prices'!H15,'Iron Ore - Q&amp;V'!$A$8:$A$250,2))</f>
        <v>60.924243243153931</v>
      </c>
    </row>
    <row r="16" spans="1:25">
      <c r="A16" s="1859">
        <f>LARGE('Data - Monthly Commodity Prices'!C$159:C$902,53)</f>
        <v>42217</v>
      </c>
      <c r="B16" s="75">
        <f>SUMIF('Data - Monthly Commodity Prices'!$C$159:$C$902,$A16,'Data - Monthly Commodity Prices'!G$159:G$902)</f>
        <v>54.36</v>
      </c>
      <c r="C16" s="84">
        <f>SUMIF('Data - Monthly Commodity Prices'!$C$159:$C$902,$A16,'Data - Monthly Commodity Prices'!H$159:H$902)</f>
        <v>74.506578947368411</v>
      </c>
      <c r="D16" s="75">
        <f>SUMIF('Data - Monthly Commodity Prices'!$C$159:$C$902,$A16,'Data - Monthly Commodity Prices'!I$159:I$902)</f>
        <v>49.56</v>
      </c>
      <c r="E16" s="61">
        <f>SUMIF('Data - Monthly Commodity Prices'!$C$159:$C$902,$A16,'Data - Monthly Commodity Prices'!J$159:J$902)</f>
        <v>67.92763157894737</v>
      </c>
      <c r="F16" s="24"/>
      <c r="G16" s="410">
        <f t="shared" si="1"/>
        <v>2007</v>
      </c>
      <c r="H16" s="410">
        <f t="shared" si="1"/>
        <v>2008</v>
      </c>
      <c r="I16" s="1863">
        <f t="shared" si="0"/>
        <v>2007</v>
      </c>
      <c r="J16" s="277">
        <f t="array" ref="J16">IFERROR(IF($I$6="Historic Calendar Year",SUMIF('Iron Ore - Q&amp;V'!$B$8:$B$250,'Iron Ore - Prices'!I16,'Iron Ore - Q&amp;V'!$E$8:$E$250)/SUMIF('Iron Ore - Q&amp;V'!$B$8:$B$250,'Iron Ore - Prices'!I16,'Iron Ore - Q&amp;V'!$D$8:$D$250),K16),"NA")</f>
        <v>61.017037976087494</v>
      </c>
      <c r="K16" s="798">
        <f>(SUMIFS('Iron Ore - Q&amp;V'!$E$8:$E$250,'Iron Ore - Q&amp;V'!$B$8:$B$250,'Iron Ore - Prices'!G16,'Iron Ore - Q&amp;V'!$A$8:$A$250,3)+
SUMIFS('Iron Ore - Q&amp;V'!$E$8:$E$250,'Iron Ore - Q&amp;V'!$B$8:$B$250,'Iron Ore - Prices'!G16,'Iron Ore - Q&amp;V'!$A$8:$A$250,4)+
SUMIFS('Iron Ore - Q&amp;V'!$E$8:$E$250,'Iron Ore - Q&amp;V'!$B$8:$B$250,'Iron Ore - Prices'!H16,'Iron Ore - Q&amp;V'!$A$8:$A$250,1)+
SUMIFS('Iron Ore - Q&amp;V'!$E$8:$E$250,'Iron Ore - Q&amp;V'!$B$8:$B$250,'Iron Ore - Prices'!H16,'Iron Ore - Q&amp;V'!$A$8:$A$250,2))
/(SUMIFS('Iron Ore - Q&amp;V'!$D$8:$D$250,'Iron Ore - Q&amp;V'!$B$8:$B$250,'Iron Ore - Prices'!G16,'Iron Ore - Q&amp;V'!$A$8:$A$250,3)+
SUMIFS('Iron Ore - Q&amp;V'!$D$8:$D$250,'Iron Ore - Q&amp;V'!$B$8:$B$250,'Iron Ore - Prices'!G16,'Iron Ore - Q&amp;V'!$A$8:$A$250,4)+
SUMIFS('Iron Ore - Q&amp;V'!$D$8:$D$250,'Iron Ore - Q&amp;V'!$B$8:$B$250,'Iron Ore - Prices'!H16,'Iron Ore - Q&amp;V'!$A$8:$A$250,1)+
SUMIFS('Iron Ore - Q&amp;V'!$D$8:$D$250,'Iron Ore - Q&amp;V'!$B$8:$B$250,'Iron Ore - Prices'!H16,'Iron Ore - Q&amp;V'!$A$8:$A$250,2))</f>
        <v>75.422260885021785</v>
      </c>
    </row>
    <row r="17" spans="1:11">
      <c r="A17" s="1858">
        <f>LARGE('Data - Monthly Commodity Prices'!C$159:C$902,52)</f>
        <v>42248</v>
      </c>
      <c r="B17" s="102">
        <f>SUMIF('Data - Monthly Commodity Prices'!$C$159:$C$902,$A17,'Data - Monthly Commodity Prices'!G$159:G$902)</f>
        <v>55.79</v>
      </c>
      <c r="C17" s="114">
        <f>SUMIF('Data - Monthly Commodity Prices'!$C$159:$C$902,$A17,'Data - Monthly Commodity Prices'!H$159:H$902)</f>
        <v>79.078667611622961</v>
      </c>
      <c r="D17" s="102">
        <f>SUMIF('Data - Monthly Commodity Prices'!$C$159:$C$902,$A17,'Data - Monthly Commodity Prices'!I$159:I$902)</f>
        <v>51.41</v>
      </c>
      <c r="E17" s="104">
        <f>SUMIF('Data - Monthly Commodity Prices'!$C$159:$C$902,$A17,'Data - Monthly Commodity Prices'!J$159:J$902)</f>
        <v>72.870304748405374</v>
      </c>
      <c r="F17" s="24"/>
      <c r="G17" s="410">
        <f t="shared" si="1"/>
        <v>2008</v>
      </c>
      <c r="H17" s="410">
        <f t="shared" si="1"/>
        <v>2009</v>
      </c>
      <c r="I17" s="1862">
        <f t="shared" si="0"/>
        <v>2008</v>
      </c>
      <c r="J17" s="30">
        <f t="array" ref="J17">IFERROR(IF($I$6="Historic Calendar Year",SUMIF('Iron Ore - Q&amp;V'!$B$8:$B$250,'Iron Ore - Prices'!I17,'Iron Ore - Q&amp;V'!$E$8:$E$250)/SUMIF('Iron Ore - Q&amp;V'!$B$8:$B$250,'Iron Ore - Prices'!I17,'Iron Ore - Q&amp;V'!$D$8:$D$250),K17),"NA")</f>
        <v>104.31995693810107</v>
      </c>
      <c r="K17" s="798">
        <f>(SUMIFS('Iron Ore - Q&amp;V'!$E$8:$E$250,'Iron Ore - Q&amp;V'!$B$8:$B$250,'Iron Ore - Prices'!G17,'Iron Ore - Q&amp;V'!$A$8:$A$250,3)+
SUMIFS('Iron Ore - Q&amp;V'!$E$8:$E$250,'Iron Ore - Q&amp;V'!$B$8:$B$250,'Iron Ore - Prices'!G17,'Iron Ore - Q&amp;V'!$A$8:$A$250,4)+
SUMIFS('Iron Ore - Q&amp;V'!$E$8:$E$250,'Iron Ore - Q&amp;V'!$B$8:$B$250,'Iron Ore - Prices'!H17,'Iron Ore - Q&amp;V'!$A$8:$A$250,1)+
SUMIFS('Iron Ore - Q&amp;V'!$E$8:$E$250,'Iron Ore - Q&amp;V'!$B$8:$B$250,'Iron Ore - Prices'!H17,'Iron Ore - Q&amp;V'!$A$8:$A$250,2))
/(SUMIFS('Iron Ore - Q&amp;V'!$D$8:$D$250,'Iron Ore - Q&amp;V'!$B$8:$B$250,'Iron Ore - Prices'!G17,'Iron Ore - Q&amp;V'!$A$8:$A$250,3)+
SUMIFS('Iron Ore - Q&amp;V'!$D$8:$D$250,'Iron Ore - Q&amp;V'!$B$8:$B$250,'Iron Ore - Prices'!G17,'Iron Ore - Q&amp;V'!$A$8:$A$250,4)+
SUMIFS('Iron Ore - Q&amp;V'!$D$8:$D$250,'Iron Ore - Q&amp;V'!$B$8:$B$250,'Iron Ore - Prices'!H17,'Iron Ore - Q&amp;V'!$A$8:$A$250,1)+
SUMIFS('Iron Ore - Q&amp;V'!$D$8:$D$250,'Iron Ore - Q&amp;V'!$B$8:$B$250,'Iron Ore - Prices'!H17,'Iron Ore - Q&amp;V'!$A$8:$A$250,2))</f>
        <v>106.21484534487891</v>
      </c>
    </row>
    <row r="18" spans="1:11">
      <c r="A18" s="1859">
        <f>LARGE('Data - Monthly Commodity Prices'!C$159:C$902,51)</f>
        <v>42278</v>
      </c>
      <c r="B18" s="75">
        <f>SUMIF('Data - Monthly Commodity Prices'!$C$159:$C$902,$A18,'Data - Monthly Commodity Prices'!G$159:G$902)</f>
        <v>52.83</v>
      </c>
      <c r="C18" s="84">
        <f>SUMIF('Data - Monthly Commodity Prices'!$C$159:$C$902,$A18,'Data - Monthly Commodity Prices'!H$159:H$902)</f>
        <v>73.313905079100749</v>
      </c>
      <c r="D18" s="75">
        <f>SUMIF('Data - Monthly Commodity Prices'!$C$159:$C$902,$A18,'Data - Monthly Commodity Prices'!I$159:I$902)</f>
        <v>48.2</v>
      </c>
      <c r="E18" s="61">
        <f>SUMIF('Data - Monthly Commodity Prices'!$C$159:$C$902,$A18,'Data - Monthly Commodity Prices'!J$159:J$902)</f>
        <v>66.888703857896203</v>
      </c>
      <c r="F18" s="24"/>
      <c r="G18" s="410">
        <f t="shared" si="1"/>
        <v>2009</v>
      </c>
      <c r="H18" s="410">
        <f t="shared" si="1"/>
        <v>2010</v>
      </c>
      <c r="I18" s="1863">
        <f t="shared" si="0"/>
        <v>2009</v>
      </c>
      <c r="J18" s="277">
        <f t="array" ref="J18">IFERROR(IF($I$6="Historic Calendar Year",SUMIF('Iron Ore - Q&amp;V'!$B$8:$B$250,'Iron Ore - Prices'!I18,'Iron Ore - Q&amp;V'!$E$8:$E$250)/SUMIF('Iron Ore - Q&amp;V'!$B$8:$B$250,'Iron Ore - Prices'!I18,'Iron Ore - Q&amp;V'!$D$8:$D$250),K18),"NA")</f>
        <v>79.011023341359447</v>
      </c>
      <c r="K18" s="798">
        <f>(SUMIFS('Iron Ore - Q&amp;V'!$E$8:$E$250,'Iron Ore - Q&amp;V'!$B$8:$B$250,'Iron Ore - Prices'!G18,'Iron Ore - Q&amp;V'!$A$8:$A$250,3)+
SUMIFS('Iron Ore - Q&amp;V'!$E$8:$E$250,'Iron Ore - Q&amp;V'!$B$8:$B$250,'Iron Ore - Prices'!G18,'Iron Ore - Q&amp;V'!$A$8:$A$250,4)+
SUMIFS('Iron Ore - Q&amp;V'!$E$8:$E$250,'Iron Ore - Q&amp;V'!$B$8:$B$250,'Iron Ore - Prices'!H18,'Iron Ore - Q&amp;V'!$A$8:$A$250,1)+
SUMIFS('Iron Ore - Q&amp;V'!$E$8:$E$250,'Iron Ore - Q&amp;V'!$B$8:$B$250,'Iron Ore - Prices'!H18,'Iron Ore - Q&amp;V'!$A$8:$A$250,2))
/(SUMIFS('Iron Ore - Q&amp;V'!$D$8:$D$250,'Iron Ore - Q&amp;V'!$B$8:$B$250,'Iron Ore - Prices'!G18,'Iron Ore - Q&amp;V'!$A$8:$A$250,3)+
SUMIFS('Iron Ore - Q&amp;V'!$D$8:$D$250,'Iron Ore - Q&amp;V'!$B$8:$B$250,'Iron Ore - Prices'!G18,'Iron Ore - Q&amp;V'!$A$8:$A$250,4)+
SUMIFS('Iron Ore - Q&amp;V'!$D$8:$D$250,'Iron Ore - Q&amp;V'!$B$8:$B$250,'Iron Ore - Prices'!H18,'Iron Ore - Q&amp;V'!$A$8:$A$250,1)+
SUMIFS('Iron Ore - Q&amp;V'!$D$8:$D$250,'Iron Ore - Q&amp;V'!$B$8:$B$250,'Iron Ore - Prices'!H18,'Iron Ore - Q&amp;V'!$A$8:$A$250,2))</f>
        <v>91.474374750207161</v>
      </c>
    </row>
    <row r="19" spans="1:11">
      <c r="A19" s="1858">
        <f>LARGE('Data - Monthly Commodity Prices'!C$159:C$902,50)</f>
        <v>42309</v>
      </c>
      <c r="B19" s="102">
        <f>SUMIF('Data - Monthly Commodity Prices'!$C$159:$C$902,$A19,'Data - Monthly Commodity Prices'!G$159:G$902)</f>
        <v>45.73</v>
      </c>
      <c r="C19" s="114">
        <f>SUMIF('Data - Monthly Commodity Prices'!$C$159:$C$902,$A19,'Data - Monthly Commodity Prices'!H$159:H$902)</f>
        <v>63.958041958041953</v>
      </c>
      <c r="D19" s="102">
        <f>SUMIF('Data - Monthly Commodity Prices'!$C$159:$C$902,$A19,'Data - Monthly Commodity Prices'!I$159:I$902)</f>
        <v>42.04</v>
      </c>
      <c r="E19" s="104">
        <f>SUMIF('Data - Monthly Commodity Prices'!$C$159:$C$902,$A19,'Data - Monthly Commodity Prices'!J$159:J$902)</f>
        <v>58.7972027972028</v>
      </c>
      <c r="F19" s="24"/>
      <c r="G19" s="410">
        <f t="shared" si="1"/>
        <v>2010</v>
      </c>
      <c r="H19" s="410">
        <f t="shared" si="1"/>
        <v>2011</v>
      </c>
      <c r="I19" s="1862">
        <f t="shared" si="0"/>
        <v>2010</v>
      </c>
      <c r="J19" s="30">
        <f t="array" ref="J19">IFERROR(IF($I$6="Historic Calendar Year",SUMIF('Iron Ore - Q&amp;V'!$B$8:$B$250,'Iron Ore - Prices'!I19,'Iron Ore - Q&amp;V'!$E$8:$E$250)/SUMIF('Iron Ore - Q&amp;V'!$B$8:$B$250,'Iron Ore - Prices'!I19,'Iron Ore - Q&amp;V'!$D$8:$D$250),K19),"NA")</f>
        <v>127.6171173436651</v>
      </c>
      <c r="K19" s="798">
        <f>(SUMIFS('Iron Ore - Q&amp;V'!$E$8:$E$250,'Iron Ore - Q&amp;V'!$B$8:$B$250,'Iron Ore - Prices'!G19,'Iron Ore - Q&amp;V'!$A$8:$A$250,3)+
SUMIFS('Iron Ore - Q&amp;V'!$E$8:$E$250,'Iron Ore - Q&amp;V'!$B$8:$B$250,'Iron Ore - Prices'!G19,'Iron Ore - Q&amp;V'!$A$8:$A$250,4)+
SUMIFS('Iron Ore - Q&amp;V'!$E$8:$E$250,'Iron Ore - Q&amp;V'!$B$8:$B$250,'Iron Ore - Prices'!H19,'Iron Ore - Q&amp;V'!$A$8:$A$250,1)+
SUMIFS('Iron Ore - Q&amp;V'!$E$8:$E$250,'Iron Ore - Q&amp;V'!$B$8:$B$250,'Iron Ore - Prices'!H19,'Iron Ore - Q&amp;V'!$A$8:$A$250,2))
/(SUMIFS('Iron Ore - Q&amp;V'!$D$8:$D$250,'Iron Ore - Q&amp;V'!$B$8:$B$250,'Iron Ore - Prices'!G19,'Iron Ore - Q&amp;V'!$A$8:$A$250,3)+
SUMIFS('Iron Ore - Q&amp;V'!$D$8:$D$250,'Iron Ore - Q&amp;V'!$B$8:$B$250,'Iron Ore - Prices'!G19,'Iron Ore - Q&amp;V'!$A$8:$A$250,4)+
SUMIFS('Iron Ore - Q&amp;V'!$D$8:$D$250,'Iron Ore - Q&amp;V'!$B$8:$B$250,'Iron Ore - Prices'!H19,'Iron Ore - Q&amp;V'!$A$8:$A$250,1)+
SUMIFS('Iron Ore - Q&amp;V'!$D$8:$D$250,'Iron Ore - Q&amp;V'!$B$8:$B$250,'Iron Ore - Prices'!H19,'Iron Ore - Q&amp;V'!$A$8:$A$250,2))</f>
        <v>144.69942565970916</v>
      </c>
    </row>
    <row r="20" spans="1:11">
      <c r="A20" s="1859">
        <f>LARGE('Data - Monthly Commodity Prices'!C$159:C$902,49)</f>
        <v>42339</v>
      </c>
      <c r="B20" s="75">
        <f>SUMIF('Data - Monthly Commodity Prices'!$C$159:$C$902,$A20,'Data - Monthly Commodity Prices'!G$159:G$902)</f>
        <v>38.97</v>
      </c>
      <c r="C20" s="84">
        <f>SUMIF('Data - Monthly Commodity Prices'!$C$159:$C$902,$A20,'Data - Monthly Commodity Prices'!H$159:H$902)</f>
        <v>53.736900165471596</v>
      </c>
      <c r="D20" s="75">
        <f>SUMIF('Data - Monthly Commodity Prices'!$C$159:$C$902,$A20,'Data - Monthly Commodity Prices'!I$159:I$902)</f>
        <v>35.659999999999997</v>
      </c>
      <c r="E20" s="61">
        <f>SUMIF('Data - Monthly Commodity Prices'!$C$159:$C$902,$A20,'Data - Monthly Commodity Prices'!J$159:J$902)</f>
        <v>49.172642029784882</v>
      </c>
      <c r="F20" s="24"/>
      <c r="G20" s="410">
        <f>G19+1</f>
        <v>2011</v>
      </c>
      <c r="H20" s="410">
        <f>H19+1</f>
        <v>2012</v>
      </c>
      <c r="I20" s="1863">
        <f t="shared" si="0"/>
        <v>2011</v>
      </c>
      <c r="J20" s="277">
        <f>IFERROR(IF($I$6="Historic Calendar Year",AVERAGEIF('Data - Monthly Commodity Prices'!$A$9:$A$566,I20,'Data - Monthly Commodity Prices'!$H$9:$H$1300),K20),"NA")</f>
        <v>162.58758075113141</v>
      </c>
      <c r="K20" s="798">
        <f>(SUMIFS('Data - Monthly Commodity Prices'!$H$9:$H$1300,'Data - Monthly Commodity Prices'!$A$9:$A$1300,$G20,'Data - Monthly Commodity Prices'!$B$9:$B$1300,3)+
SUMIFS('Data - Monthly Commodity Prices'!$H$9:$H$1300,'Data - Monthly Commodity Prices'!$A$9:$A$1300,$G20,'Data - Monthly Commodity Prices'!$B$9:$B$1300,4)+
SUMIFS('Data - Monthly Commodity Prices'!$H$9:$H$1300,'Data - Monthly Commodity Prices'!$A$9:$A$1300,$H20,'Data - Monthly Commodity Prices'!$B$9:$B$1300,1)+
SUMIFS('Data - Monthly Commodity Prices'!$H$9:$H$1300,'Data - Monthly Commodity Prices'!$A$9:$A$1300,$H20,'Data - Monthly Commodity Prices'!$B$9:$B$1300,2))/
(COUNTIFS('Data - Monthly Commodity Prices'!$A$9:$A$1300,$G20,'Data - Monthly Commodity Prices'!$B$9:$B$1300,3)+
COUNTIFS('Data - Monthly Commodity Prices'!$A$9:$A$1300,$G20,'Data - Monthly Commodity Prices'!$B$9:$B$1300,4)+
COUNTIFS('Data - Monthly Commodity Prices'!$A$9:$A$1300,$H20,'Data - Monthly Commodity Prices'!$B$9:$B$1300,1)+
COUNTIFS('Data - Monthly Commodity Prices'!$A$9:$A$1300,$H20,'Data - Monthly Commodity Prices'!$B$9:$B$1300,2))</f>
        <v>144.48246275190232</v>
      </c>
    </row>
    <row r="21" spans="1:11">
      <c r="A21" s="1858">
        <f>LARGE('Data - Monthly Commodity Prices'!C$159:C$902,48)</f>
        <v>42370</v>
      </c>
      <c r="B21" s="102">
        <f>SUMIF('Data - Monthly Commodity Prices'!$C$159:$C$902,$A21,'Data - Monthly Commodity Prices'!G$159:G$902)</f>
        <v>40.97</v>
      </c>
      <c r="C21" s="114">
        <f>SUMIF('Data - Monthly Commodity Prices'!$C$159:$C$902,$A21,'Data - Monthly Commodity Prices'!H$159:H$902)</f>
        <v>58.4</v>
      </c>
      <c r="D21" s="102">
        <f>SUMIF('Data - Monthly Commodity Prices'!$C$159:$C$902,$A21,'Data - Monthly Commodity Prices'!I$159:I$902)</f>
        <v>36.630000000000003</v>
      </c>
      <c r="E21" s="104">
        <f>SUMIF('Data - Monthly Commodity Prices'!$C$159:$C$902,$A21,'Data - Monthly Commodity Prices'!J$159:J$902)</f>
        <v>52.22</v>
      </c>
      <c r="F21" s="24"/>
      <c r="G21" s="410">
        <f>G20+1</f>
        <v>2012</v>
      </c>
      <c r="H21" s="410">
        <f>H20+1</f>
        <v>2013</v>
      </c>
      <c r="I21" s="1862">
        <f t="shared" si="0"/>
        <v>2012</v>
      </c>
      <c r="J21" s="30">
        <f>IFERROR(IF($I$6="Historic Calendar Year",AVERAGEIF('Data - Monthly Commodity Prices'!$A$9:$A$566,I21,'Data - Monthly Commodity Prices'!$H$9:$H$1300),K21),"NA")</f>
        <v>124.10477008029886</v>
      </c>
      <c r="K21" s="798">
        <f>(SUMIFS('Data - Monthly Commodity Prices'!$H$9:$H$1300,'Data - Monthly Commodity Prices'!$A$9:$A$1300,$G21,'Data - Monthly Commodity Prices'!$B$9:$B$1300,3)+
SUMIFS('Data - Monthly Commodity Prices'!$H$9:$H$1300,'Data - Monthly Commodity Prices'!$A$9:$A$1300,$G21,'Data - Monthly Commodity Prices'!$B$9:$B$1300,4)+
SUMIFS('Data - Monthly Commodity Prices'!$H$9:$H$1300,'Data - Monthly Commodity Prices'!$A$9:$A$1300,$H21,'Data - Monthly Commodity Prices'!$B$9:$B$1300,1)+
SUMIFS('Data - Monthly Commodity Prices'!$H$9:$H$1300,'Data - Monthly Commodity Prices'!$A$9:$A$1300,$H21,'Data - Monthly Commodity Prices'!$B$9:$B$1300,2))/
(COUNTIFS('Data - Monthly Commodity Prices'!$A$9:$A$1300,$G21,'Data - Monthly Commodity Prices'!$B$9:$B$1300,3)+
COUNTIFS('Data - Monthly Commodity Prices'!$A$9:$A$1300,$G21,'Data - Monthly Commodity Prices'!$B$9:$B$1300,4)+
COUNTIFS('Data - Monthly Commodity Prices'!$A$9:$A$1300,$H21,'Data - Monthly Commodity Prices'!$B$9:$B$1300,1)+
COUNTIFS('Data - Monthly Commodity Prices'!$A$9:$A$1300,$H21,'Data - Monthly Commodity Prices'!$B$9:$B$1300,2))</f>
        <v>123.34821690074573</v>
      </c>
    </row>
    <row r="22" spans="1:11">
      <c r="A22" s="1859">
        <f>LARGE('Data - Monthly Commodity Prices'!C$159:C$902,47)</f>
        <v>42401</v>
      </c>
      <c r="B22" s="75">
        <f>SUMIF('Data - Monthly Commodity Prices'!$C$159:$C$902,$A22,'Data - Monthly Commodity Prices'!G$159:G$902)</f>
        <v>45.57</v>
      </c>
      <c r="C22" s="84">
        <f>SUMIF('Data - Monthly Commodity Prices'!$C$159:$C$902,$A22,'Data - Monthly Commodity Prices'!H$159:H$902)</f>
        <v>63.82</v>
      </c>
      <c r="D22" s="75">
        <f>SUMIF('Data - Monthly Commodity Prices'!$C$159:$C$902,$A22,'Data - Monthly Commodity Prices'!I$159:I$902)</f>
        <v>40.479999999999997</v>
      </c>
      <c r="E22" s="61">
        <f>SUMIF('Data - Monthly Commodity Prices'!$C$159:$C$902,$A22,'Data - Monthly Commodity Prices'!J$159:J$902)</f>
        <v>56.69</v>
      </c>
      <c r="F22" s="24"/>
      <c r="G22" s="410">
        <f t="shared" si="1"/>
        <v>2013</v>
      </c>
      <c r="H22" s="410">
        <f t="shared" si="1"/>
        <v>2014</v>
      </c>
      <c r="I22" s="1863">
        <f t="shared" si="0"/>
        <v>2013</v>
      </c>
      <c r="J22" s="277">
        <f>IFERROR(IF($I$6="Historic Calendar Year",AVERAGEIF('Data - Monthly Commodity Prices'!$A$9:$A$566,I22,'Data - Monthly Commodity Prices'!$H$9:$H$1300),K22),"NA")</f>
        <v>139.87724804092917</v>
      </c>
      <c r="K22" s="798">
        <f>(SUMIFS('Data - Monthly Commodity Prices'!$H$9:$H$1300,'Data - Monthly Commodity Prices'!$A$9:$A$1300,$G22,'Data - Monthly Commodity Prices'!$B$9:$B$1300,3)+
SUMIFS('Data - Monthly Commodity Prices'!$H$9:$H$1300,'Data - Monthly Commodity Prices'!$A$9:$A$1300,$G22,'Data - Monthly Commodity Prices'!$B$9:$B$1300,4)+
SUMIFS('Data - Monthly Commodity Prices'!$H$9:$H$1300,'Data - Monthly Commodity Prices'!$A$9:$A$1300,$H22,'Data - Monthly Commodity Prices'!$B$9:$B$1300,1)+
SUMIFS('Data - Monthly Commodity Prices'!$H$9:$H$1300,'Data - Monthly Commodity Prices'!$A$9:$A$1300,$H22,'Data - Monthly Commodity Prices'!$B$9:$B$1300,2))/
(COUNTIFS('Data - Monthly Commodity Prices'!$A$9:$A$1300,$G22,'Data - Monthly Commodity Prices'!$B$9:$B$1300,3)+
COUNTIFS('Data - Monthly Commodity Prices'!$A$9:$A$1300,$G22,'Data - Monthly Commodity Prices'!$B$9:$B$1300,4)+
COUNTIFS('Data - Monthly Commodity Prices'!$A$9:$A$1300,$H22,'Data - Monthly Commodity Prices'!$B$9:$B$1300,1)+
COUNTIFS('Data - Monthly Commodity Prices'!$A$9:$A$1300,$H22,'Data - Monthly Commodity Prices'!$B$9:$B$1300,2))</f>
        <v>133.64998236387473</v>
      </c>
    </row>
    <row r="23" spans="1:11">
      <c r="A23" s="1858">
        <f>LARGE('Data - Monthly Commodity Prices'!C$159:C$902,46)</f>
        <v>42430</v>
      </c>
      <c r="B23" s="102">
        <f>SUMIF('Data - Monthly Commodity Prices'!$C$159:$C$902,$A23,'Data - Monthly Commodity Prices'!G$159:G$902)</f>
        <v>55.22</v>
      </c>
      <c r="C23" s="114">
        <f>SUMIF('Data - Monthly Commodity Prices'!$C$159:$C$902,$A23,'Data - Monthly Commodity Prices'!H$159:H$902)</f>
        <v>73.53</v>
      </c>
      <c r="D23" s="102">
        <f>SUMIF('Data - Monthly Commodity Prices'!$C$159:$C$902,$A23,'Data - Monthly Commodity Prices'!I$159:I$902)</f>
        <v>49.94</v>
      </c>
      <c r="E23" s="104">
        <f>SUMIF('Data - Monthly Commodity Prices'!$C$159:$C$902,$A23,'Data - Monthly Commodity Prices'!J$159:J$902)</f>
        <v>66.5</v>
      </c>
      <c r="F23" s="24"/>
      <c r="G23" s="410">
        <f t="shared" si="1"/>
        <v>2014</v>
      </c>
      <c r="H23" s="410">
        <f t="shared" si="1"/>
        <v>2015</v>
      </c>
      <c r="I23" s="1862">
        <f t="shared" si="0"/>
        <v>2014</v>
      </c>
      <c r="J23" s="30">
        <f>IFERROR(IF($I$6="Historic Calendar Year",AVERAGEIF('Data - Monthly Commodity Prices'!$A$9:$A$566,I23,'Data - Monthly Commodity Prices'!$H$9:$H$1300),K23),"NA")</f>
        <v>106.88603516746586</v>
      </c>
      <c r="K23" s="798">
        <f>(SUMIFS('Data - Monthly Commodity Prices'!$H$9:$H$1300,'Data - Monthly Commodity Prices'!$A$9:$A$1300,$G23,'Data - Monthly Commodity Prices'!$B$9:$B$1300,3)+
SUMIFS('Data - Monthly Commodity Prices'!$H$9:$H$1300,'Data - Monthly Commodity Prices'!$A$9:$A$1300,$G23,'Data - Monthly Commodity Prices'!$B$9:$B$1300,4)+
SUMIFS('Data - Monthly Commodity Prices'!$H$9:$H$1300,'Data - Monthly Commodity Prices'!$A$9:$A$1300,$H23,'Data - Monthly Commodity Prices'!$B$9:$B$1300,1)+
SUMIFS('Data - Monthly Commodity Prices'!$H$9:$H$1300,'Data - Monthly Commodity Prices'!$A$9:$A$1300,$H23,'Data - Monthly Commodity Prices'!$B$9:$B$1300,2))/
(COUNTIFS('Data - Monthly Commodity Prices'!$A$9:$A$1300,$G23,'Data - Monthly Commodity Prices'!$B$9:$B$1300,3)+
COUNTIFS('Data - Monthly Commodity Prices'!$A$9:$A$1300,$G23,'Data - Monthly Commodity Prices'!$B$9:$B$1300,4)+
COUNTIFS('Data - Monthly Commodity Prices'!$A$9:$A$1300,$H23,'Data - Monthly Commodity Prices'!$B$9:$B$1300,1)+
COUNTIFS('Data - Monthly Commodity Prices'!$A$9:$A$1300,$H23,'Data - Monthly Commodity Prices'!$B$9:$B$1300,2))</f>
        <v>83.414401601815328</v>
      </c>
    </row>
    <row r="24" spans="1:11">
      <c r="A24" s="1859">
        <f>LARGE('Data - Monthly Commodity Prices'!C$159:C$902,45)</f>
        <v>42461</v>
      </c>
      <c r="B24" s="75">
        <f>SUMIF('Data - Monthly Commodity Prices'!$C$159:$C$902,$A24,'Data - Monthly Commodity Prices'!G$159:G$902)</f>
        <v>58.05</v>
      </c>
      <c r="C24" s="84">
        <f>SUMIF('Data - Monthly Commodity Prices'!$C$159:$C$902,$A24,'Data - Monthly Commodity Prices'!H$159:H$902)</f>
        <v>75.75</v>
      </c>
      <c r="D24" s="75">
        <f>SUMIF('Data - Monthly Commodity Prices'!$C$159:$C$902,$A24,'Data - Monthly Commodity Prices'!I$159:I$902)</f>
        <v>51.85</v>
      </c>
      <c r="E24" s="61">
        <f>SUMIF('Data - Monthly Commodity Prices'!$C$159:$C$902,$A24,'Data - Monthly Commodity Prices'!J$159:J$902)</f>
        <v>67.66</v>
      </c>
      <c r="F24" s="24"/>
      <c r="G24" s="410">
        <f t="shared" si="1"/>
        <v>2015</v>
      </c>
      <c r="H24" s="410">
        <f t="shared" si="1"/>
        <v>2016</v>
      </c>
      <c r="I24" s="1863">
        <f t="shared" si="0"/>
        <v>2015</v>
      </c>
      <c r="J24" s="277">
        <f>IFERROR(IF($I$6="Historic Calendar Year",AVERAGEIF('Data - Monthly Commodity Prices'!$A$9:$A$566,I24,'Data - Monthly Commodity Prices'!$H$9:$H$1300),K24),"NA")</f>
        <v>72.031211357016048</v>
      </c>
      <c r="K24" s="798">
        <f>(SUMIFS('Data - Monthly Commodity Prices'!$H$9:$H$1300,'Data - Monthly Commodity Prices'!$A$9:$A$1300,$G24,'Data - Monthly Commodity Prices'!$B$9:$B$1300,3)+
SUMIFS('Data - Monthly Commodity Prices'!$H$9:$H$1300,'Data - Monthly Commodity Prices'!$A$9:$A$1300,$G24,'Data - Monthly Commodity Prices'!$B$9:$B$1300,4)+
SUMIFS('Data - Monthly Commodity Prices'!$H$9:$H$1300,'Data - Monthly Commodity Prices'!$A$9:$A$1300,$H24,'Data - Monthly Commodity Prices'!$B$9:$B$1300,1)+
SUMIFS('Data - Monthly Commodity Prices'!$H$9:$H$1300,'Data - Monthly Commodity Prices'!$A$9:$A$1300,$H24,'Data - Monthly Commodity Prices'!$B$9:$B$1300,2))/
(COUNTIFS('Data - Monthly Commodity Prices'!$A$9:$A$1300,$G24,'Data - Monthly Commodity Prices'!$B$9:$B$1300,3)+
COUNTIFS('Data - Monthly Commodity Prices'!$A$9:$A$1300,$G24,'Data - Monthly Commodity Prices'!$B$9:$B$1300,4)+
COUNTIFS('Data - Monthly Commodity Prices'!$A$9:$A$1300,$H24,'Data - Monthly Commodity Prices'!$B$9:$B$1300,1)+
COUNTIFS('Data - Monthly Commodity Prices'!$A$9:$A$1300,$H24,'Data - Monthly Commodity Prices'!$B$9:$B$1300,2))</f>
        <v>69.123105914875339</v>
      </c>
    </row>
    <row r="25" spans="1:11">
      <c r="A25" s="1858">
        <f>LARGE('Data - Monthly Commodity Prices'!C$159:C$902,44)</f>
        <v>42491</v>
      </c>
      <c r="B25" s="102">
        <f>SUMIF('Data - Monthly Commodity Prices'!$C$159:$C$902,$A25,'Data - Monthly Commodity Prices'!G$159:G$902)</f>
        <v>53.64</v>
      </c>
      <c r="C25" s="114">
        <f>SUMIF('Data - Monthly Commodity Prices'!$C$159:$C$902,$A25,'Data - Monthly Commodity Prices'!H$159:H$902)</f>
        <v>73.260000000000005</v>
      </c>
      <c r="D25" s="102">
        <f>SUMIF('Data - Monthly Commodity Prices'!$C$159:$C$902,$A25,'Data - Monthly Commodity Prices'!I$159:I$902)</f>
        <v>46.19</v>
      </c>
      <c r="E25" s="104">
        <f>SUMIF('Data - Monthly Commodity Prices'!$C$159:$C$902,$A25,'Data - Monthly Commodity Prices'!J$159:J$902)</f>
        <v>63.08</v>
      </c>
      <c r="F25" s="24"/>
      <c r="G25" s="410">
        <f t="shared" si="1"/>
        <v>2016</v>
      </c>
      <c r="H25" s="410">
        <f t="shared" si="1"/>
        <v>2017</v>
      </c>
      <c r="I25" s="1862">
        <f t="shared" si="0"/>
        <v>2016</v>
      </c>
      <c r="J25" s="30">
        <f>IFERROR(IF($I$6="Historic Calendar Year",AVERAGEIF('Data - Monthly Commodity Prices'!$A$9:$A$566,I25,'Data - Monthly Commodity Prices'!$H$9:$H$1300),K25),"NA")</f>
        <v>77.489999999999995</v>
      </c>
      <c r="K25" s="798">
        <f>(SUMIFS('Data - Monthly Commodity Prices'!$H$9:$H$1300,'Data - Monthly Commodity Prices'!$A$9:$A$1300,$G25,'Data - Monthly Commodity Prices'!$B$9:$B$1300,3)+
SUMIFS('Data - Monthly Commodity Prices'!$H$9:$H$1300,'Data - Monthly Commodity Prices'!$A$9:$A$1300,$G25,'Data - Monthly Commodity Prices'!$B$9:$B$1300,4)+
SUMIFS('Data - Monthly Commodity Prices'!$H$9:$H$1300,'Data - Monthly Commodity Prices'!$A$9:$A$1300,$H25,'Data - Monthly Commodity Prices'!$B$9:$B$1300,1)+
SUMIFS('Data - Monthly Commodity Prices'!$H$9:$H$1300,'Data - Monthly Commodity Prices'!$A$9:$A$1300,$H25,'Data - Monthly Commodity Prices'!$B$9:$B$1300,2))/
(COUNTIFS('Data - Monthly Commodity Prices'!$A$9:$A$1300,$G25,'Data - Monthly Commodity Prices'!$B$9:$B$1300,3)+
COUNTIFS('Data - Monthly Commodity Prices'!$A$9:$A$1300,$G25,'Data - Monthly Commodity Prices'!$B$9:$B$1300,4)+
COUNTIFS('Data - Monthly Commodity Prices'!$A$9:$A$1300,$H25,'Data - Monthly Commodity Prices'!$B$9:$B$1300,1)+
COUNTIFS('Data - Monthly Commodity Prices'!$A$9:$A$1300,$H25,'Data - Monthly Commodity Prices'!$B$9:$B$1300,2))</f>
        <v>92.123588292049817</v>
      </c>
    </row>
    <row r="26" spans="1:11">
      <c r="A26" s="1859">
        <f>LARGE('Data - Monthly Commodity Prices'!C$159:C$902,43)</f>
        <v>42522</v>
      </c>
      <c r="B26" s="75">
        <f>SUMIF('Data - Monthly Commodity Prices'!$C$159:$C$902,$A26,'Data - Monthly Commodity Prices'!G$159:G$902)</f>
        <v>52.72</v>
      </c>
      <c r="C26" s="84">
        <f>SUMIF('Data - Monthly Commodity Prices'!$C$159:$C$902,$A26,'Data - Monthly Commodity Prices'!H$159:H$902)</f>
        <v>71.180000000000007</v>
      </c>
      <c r="D26" s="75">
        <f>SUMIF('Data - Monthly Commodity Prices'!$C$159:$C$902,$A26,'Data - Monthly Commodity Prices'!I$159:I$902)</f>
        <v>43.6</v>
      </c>
      <c r="E26" s="61">
        <f>SUMIF('Data - Monthly Commodity Prices'!$C$159:$C$902,$A26,'Data - Monthly Commodity Prices'!J$159:J$902)</f>
        <v>58.86</v>
      </c>
      <c r="F26" s="24"/>
      <c r="G26" s="410">
        <f t="shared" si="1"/>
        <v>2017</v>
      </c>
      <c r="H26" s="410">
        <f t="shared" si="1"/>
        <v>2018</v>
      </c>
      <c r="I26" s="1863">
        <f t="shared" si="0"/>
        <v>2017</v>
      </c>
      <c r="J26" s="277">
        <f>IFERROR(IF($I$6="Historic Calendar Year",AVERAGEIF('Data - Monthly Commodity Prices'!$A$9:$A$1000,I26,'Data - Monthly Commodity Prices'!$H$9:$H$1300),K26),"NA")</f>
        <v>93.28703937731278</v>
      </c>
      <c r="K26" s="798">
        <f>(SUMIFS('Data - Monthly Commodity Prices'!$H$9:$H$1300,'Data - Monthly Commodity Prices'!$A$9:$A$1300,$G26,'Data - Monthly Commodity Prices'!$B$9:$B$1300,3)+
SUMIFS('Data - Monthly Commodity Prices'!$H$9:$H$1300,'Data - Monthly Commodity Prices'!$A$9:$A$1300,$G26,'Data - Monthly Commodity Prices'!$B$9:$B$1300,4)+
SUMIFS('Data - Monthly Commodity Prices'!$H$9:$H$1300,'Data - Monthly Commodity Prices'!$A$9:$A$1300,$H26,'Data - Monthly Commodity Prices'!$B$9:$B$1300,1)+
SUMIFS('Data - Monthly Commodity Prices'!$H$9:$H$1300,'Data - Monthly Commodity Prices'!$A$9:$A$1300,$H26,'Data - Monthly Commodity Prices'!$B$9:$B$1300,2))/
(COUNTIFS('Data - Monthly Commodity Prices'!$A$9:$A$1300,$G26,'Data - Monthly Commodity Prices'!$B$9:$B$1300,3)+
COUNTIFS('Data - Monthly Commodity Prices'!$A$9:$A$1300,$G26,'Data - Monthly Commodity Prices'!$B$9:$B$1300,4)+
COUNTIFS('Data - Monthly Commodity Prices'!$A$9:$A$1300,$H26,'Data - Monthly Commodity Prices'!$B$9:$B$1300,1)+
COUNTIFS('Data - Monthly Commodity Prices'!$A$9:$A$1300,$H26,'Data - Monthly Commodity Prices'!$B$9:$B$1300,2))</f>
        <v>89.226263157397099</v>
      </c>
    </row>
    <row r="27" spans="1:11">
      <c r="A27" s="1858">
        <f>LARGE('Data - Monthly Commodity Prices'!C$159:C$902,42)</f>
        <v>42552</v>
      </c>
      <c r="B27" s="102">
        <f>SUMIF('Data - Monthly Commodity Prices'!$C$159:$C$902,$A27,'Data - Monthly Commodity Prices'!G$159:G$902)</f>
        <v>56.83</v>
      </c>
      <c r="C27" s="114">
        <f>SUMIF('Data - Monthly Commodity Prices'!$C$159:$C$902,$A27,'Data - Monthly Commodity Prices'!H$159:H$902)</f>
        <v>75.47</v>
      </c>
      <c r="D27" s="102">
        <f>SUMIF('Data - Monthly Commodity Prices'!$C$159:$C$902,$A27,'Data - Monthly Commodity Prices'!I$159:I$902)</f>
        <v>47.22</v>
      </c>
      <c r="E27" s="104">
        <f>SUMIF('Data - Monthly Commodity Prices'!$C$159:$C$902,$A27,'Data - Monthly Commodity Prices'!J$159:J$902)</f>
        <v>62.71</v>
      </c>
      <c r="F27" s="24"/>
      <c r="G27" s="410">
        <f t="shared" si="1"/>
        <v>2018</v>
      </c>
      <c r="H27" s="410">
        <f t="shared" si="1"/>
        <v>2019</v>
      </c>
      <c r="I27" s="1862">
        <f t="shared" si="0"/>
        <v>2018</v>
      </c>
      <c r="J27" s="30">
        <f>IFERROR(IF($I$6="Historic Calendar Year",AVERAGEIF('Data - Monthly Commodity Prices'!$A$9:$A$1000,I27,'Data - Monthly Commodity Prices'!$H$9:$H$1300),K27),"NA")</f>
        <v>92.846522982264503</v>
      </c>
      <c r="K27" s="798">
        <f>(SUMIFS('Data - Monthly Commodity Prices'!$H$9:$H$1300,'Data - Monthly Commodity Prices'!$A$9:$A$1300,$G27,'Data - Monthly Commodity Prices'!$B$9:$B$1300,3)+
SUMIFS('Data - Monthly Commodity Prices'!$H$9:$H$1300,'Data - Monthly Commodity Prices'!$A$9:$A$1300,$G27,'Data - Monthly Commodity Prices'!$B$9:$B$1300,4)+
SUMIFS('Data - Monthly Commodity Prices'!$H$9:$H$1300,'Data - Monthly Commodity Prices'!$A$9:$A$1300,$H27,'Data - Monthly Commodity Prices'!$B$9:$B$1300,1)+
SUMIFS('Data - Monthly Commodity Prices'!$H$9:$H$1300,'Data - Monthly Commodity Prices'!$A$9:$A$1300,$H27,'Data - Monthly Commodity Prices'!$B$9:$B$1300,2))/
(COUNTIFS('Data - Monthly Commodity Prices'!$A$9:$A$1300,$G27,'Data - Monthly Commodity Prices'!$B$9:$B$1300,3)+
COUNTIFS('Data - Monthly Commodity Prices'!$A$9:$A$1300,$G27,'Data - Monthly Commodity Prices'!$B$9:$B$1300,4)+
COUNTIFS('Data - Monthly Commodity Prices'!$A$9:$A$1300,$H27,'Data - Monthly Commodity Prices'!$B$9:$B$1300,1)+
COUNTIFS('Data - Monthly Commodity Prices'!$A$9:$A$1300,$H27,'Data - Monthly Commodity Prices'!$B$9:$B$1300,2))</f>
        <v>112.62549445974389</v>
      </c>
    </row>
    <row r="28" spans="1:11">
      <c r="A28" s="1859">
        <f>LARGE('Data - Monthly Commodity Prices'!C$159:C$902,41)</f>
        <v>42583</v>
      </c>
      <c r="B28" s="75">
        <f>SUMIF('Data - Monthly Commodity Prices'!$C$159:$C$902,$A28,'Data - Monthly Commodity Prices'!G$159:G$902)</f>
        <v>60.63</v>
      </c>
      <c r="C28" s="84">
        <f>SUMIF('Data - Monthly Commodity Prices'!$C$159:$C$902,$A28,'Data - Monthly Commodity Prices'!H$159:H$902)</f>
        <v>79.540000000000006</v>
      </c>
      <c r="D28" s="75">
        <f>SUMIF('Data - Monthly Commodity Prices'!$C$159:$C$902,$A28,'Data - Monthly Commodity Prices'!I$159:I$902)</f>
        <v>50.47</v>
      </c>
      <c r="E28" s="61">
        <f>SUMIF('Data - Monthly Commodity Prices'!$C$159:$C$902,$A28,'Data - Monthly Commodity Prices'!J$159:J$902)</f>
        <v>66.209999999999994</v>
      </c>
      <c r="F28" s="24"/>
      <c r="G28" s="410">
        <f t="shared" si="1"/>
        <v>2019</v>
      </c>
      <c r="H28" s="410">
        <f t="shared" si="1"/>
        <v>2020</v>
      </c>
      <c r="I28" s="1863">
        <f t="shared" si="0"/>
        <v>2019</v>
      </c>
      <c r="J28" s="277">
        <f>IFERROR(IF($I$6="Historic Calendar Year",AVERAGEIF('Data - Monthly Commodity Prices'!$A$9:$A$1000,I28,'Data - Monthly Commodity Prices'!$H$9:$H$1300),K28),"NA")</f>
        <v>134.21428413801101</v>
      </c>
      <c r="K28" s="798">
        <f>(SUMIFS('Data - Monthly Commodity Prices'!$H$9:$H$1300,'Data - Monthly Commodity Prices'!$A$9:$A$1300,$G28,'Data - Monthly Commodity Prices'!$B$9:$B$1300,3)+
SUMIFS('Data - Monthly Commodity Prices'!$H$9:$H$1300,'Data - Monthly Commodity Prices'!$A$9:$A$1300,$G28,'Data - Monthly Commodity Prices'!$B$9:$B$1300,4)+
SUMIFS('Data - Monthly Commodity Prices'!$H$9:$H$1300,'Data - Monthly Commodity Prices'!$A$9:$A$1300,$H28,'Data - Monthly Commodity Prices'!$B$9:$B$1300,1)+
SUMIFS('Data - Monthly Commodity Prices'!$H$9:$H$1300,'Data - Monthly Commodity Prices'!$A$9:$A$1300,$H28,'Data - Monthly Commodity Prices'!$B$9:$B$1300,2))/
(COUNTIFS('Data - Monthly Commodity Prices'!$A$9:$A$1300,$G28,'Data - Monthly Commodity Prices'!$B$9:$B$1300,3)+
COUNTIFS('Data - Monthly Commodity Prices'!$A$9:$A$1300,$G28,'Data - Monthly Commodity Prices'!$B$9:$B$1300,4)+
COUNTIFS('Data - Monthly Commodity Prices'!$A$9:$A$1300,$H28,'Data - Monthly Commodity Prices'!$B$9:$B$1300,1)+
COUNTIFS('Data - Monthly Commodity Prices'!$A$9:$A$1300,$H28,'Data - Monthly Commodity Prices'!$B$9:$B$1300,2))</f>
        <v>138.40166784346164</v>
      </c>
    </row>
    <row r="29" spans="1:11" ht="15.75" thickBot="1">
      <c r="A29" s="1858">
        <f>LARGE('Data - Monthly Commodity Prices'!C$159:C$902,40)</f>
        <v>42614</v>
      </c>
      <c r="B29" s="102">
        <f>SUMIF('Data - Monthly Commodity Prices'!$C$159:$C$902,$A29,'Data - Monthly Commodity Prices'!G$159:G$902)</f>
        <v>57.11</v>
      </c>
      <c r="C29" s="114">
        <f>SUMIF('Data - Monthly Commodity Prices'!$C$159:$C$902,$A29,'Data - Monthly Commodity Prices'!H$159:H$902)</f>
        <v>75.22</v>
      </c>
      <c r="D29" s="102">
        <f>SUMIF('Data - Monthly Commodity Prices'!$C$159:$C$902,$A29,'Data - Monthly Commodity Prices'!I$159:I$902)</f>
        <v>47.81</v>
      </c>
      <c r="E29" s="104">
        <f>SUMIF('Data - Monthly Commodity Prices'!$C$159:$C$902,$A29,'Data - Monthly Commodity Prices'!J$159:J$902)</f>
        <v>62.97</v>
      </c>
      <c r="F29" s="24"/>
      <c r="G29" s="410">
        <f t="shared" si="1"/>
        <v>2020</v>
      </c>
      <c r="H29" s="410">
        <f t="shared" si="1"/>
        <v>2021</v>
      </c>
      <c r="I29" s="1864">
        <f t="shared" si="0"/>
        <v>2020</v>
      </c>
      <c r="J29" s="1603" t="str">
        <f>IFERROR(IF($I$6="Historic Calendar Year",AVERAGEIF('Data - Monthly Commodity Prices'!$A$9:$A$1000,I29,'Data - Monthly Commodity Prices'!$H$9:$H$1300),K29),"N/A")</f>
        <v>N/A</v>
      </c>
      <c r="K29" s="798" t="e">
        <f>(SUMIFS('Data - Monthly Commodity Prices'!$H$9:$H$1300,'Data - Monthly Commodity Prices'!$A$9:$A$1300,$G29,'Data - Monthly Commodity Prices'!$B$9:$B$1300,3)+
SUMIFS('Data - Monthly Commodity Prices'!$H$9:$H$1300,'Data - Monthly Commodity Prices'!$A$9:$A$1300,$G29,'Data - Monthly Commodity Prices'!$B$9:$B$1300,4)+
SUMIFS('Data - Monthly Commodity Prices'!$H$9:$H$1300,'Data - Monthly Commodity Prices'!$A$9:$A$1300,$H29,'Data - Monthly Commodity Prices'!$B$9:$B$1300,1)+
SUMIFS('Data - Monthly Commodity Prices'!$H$9:$H$1300,'Data - Monthly Commodity Prices'!$A$9:$A$1300,$H29,'Data - Monthly Commodity Prices'!$B$9:$B$1300,2))/
(COUNTIFS('Data - Monthly Commodity Prices'!$A$9:$A$1300,$G29,'Data - Monthly Commodity Prices'!$B$9:$B$1300,3)+
COUNTIFS('Data - Monthly Commodity Prices'!$A$9:$A$1300,$G29,'Data - Monthly Commodity Prices'!$B$9:$B$1300,4)+
COUNTIFS('Data - Monthly Commodity Prices'!$A$9:$A$1300,$H29,'Data - Monthly Commodity Prices'!$B$9:$B$1300,1)+
COUNTIFS('Data - Monthly Commodity Prices'!$A$9:$A$1300,$H29,'Data - Monthly Commodity Prices'!$B$9:$B$1300,2))</f>
        <v>#DIV/0!</v>
      </c>
    </row>
    <row r="30" spans="1:11" ht="15.75" thickBot="1">
      <c r="A30" s="1859">
        <f>LARGE('Data - Monthly Commodity Prices'!C$159:C$902,39)</f>
        <v>42644</v>
      </c>
      <c r="B30" s="75">
        <f>SUMIF('Data - Monthly Commodity Prices'!$C$159:$C$902,$A30,'Data - Monthly Commodity Prices'!G$159:G$902)</f>
        <v>58.54</v>
      </c>
      <c r="C30" s="84">
        <f>SUMIF('Data - Monthly Commodity Prices'!$C$159:$C$902,$A30,'Data - Monthly Commodity Prices'!H$159:H$902)</f>
        <v>76.86</v>
      </c>
      <c r="D30" s="75">
        <f>SUMIF('Data - Monthly Commodity Prices'!$C$159:$C$902,$A30,'Data - Monthly Commodity Prices'!I$159:I$902)</f>
        <v>50.38</v>
      </c>
      <c r="E30" s="61">
        <f>SUMIF('Data - Monthly Commodity Prices'!$C$159:$C$902,$A30,'Data - Monthly Commodity Prices'!J$159:J$902)</f>
        <v>66.150000000000006</v>
      </c>
      <c r="F30" s="24"/>
      <c r="G30" s="410"/>
      <c r="H30" s="410"/>
      <c r="I30" s="24"/>
      <c r="J30" s="24"/>
    </row>
    <row r="31" spans="1:11" ht="15.75" thickBot="1">
      <c r="A31" s="1858">
        <f>LARGE('Data - Monthly Commodity Prices'!C$159:C$902,38)</f>
        <v>42675</v>
      </c>
      <c r="B31" s="102">
        <f>SUMIF('Data - Monthly Commodity Prices'!$C$159:$C$902,$A31,'Data - Monthly Commodity Prices'!G$159:G$902)</f>
        <v>73.67</v>
      </c>
      <c r="C31" s="114">
        <f>SUMIF('Data - Monthly Commodity Prices'!$C$159:$C$902,$A31,'Data - Monthly Commodity Prices'!H$159:H$902)</f>
        <v>97.85</v>
      </c>
      <c r="D31" s="102">
        <f>SUMIF('Data - Monthly Commodity Prices'!$C$159:$C$902,$A31,'Data - Monthly Commodity Prices'!I$159:I$902)</f>
        <v>62.16</v>
      </c>
      <c r="E31" s="104">
        <f>SUMIF('Data - Monthly Commodity Prices'!$C$159:$C$902,$A31,'Data - Monthly Commodity Prices'!J$159:J$902)</f>
        <v>82.56</v>
      </c>
      <c r="F31" s="24"/>
      <c r="G31" s="410"/>
      <c r="H31" s="410"/>
      <c r="I31" s="2005" t="s">
        <v>617</v>
      </c>
      <c r="J31" s="2006"/>
    </row>
    <row r="32" spans="1:11" ht="15.75" thickBot="1">
      <c r="A32" s="1859">
        <f>LARGE('Data - Monthly Commodity Prices'!C$159:C$902,37)</f>
        <v>42705</v>
      </c>
      <c r="B32" s="75">
        <f>SUMIF('Data - Monthly Commodity Prices'!$C$159:$C$902,$A32,'Data - Monthly Commodity Prices'!G$159:G$902)</f>
        <v>80</v>
      </c>
      <c r="C32" s="84">
        <f>SUMIF('Data - Monthly Commodity Prices'!$C$159:$C$902,$A32,'Data - Monthly Commodity Prices'!H$159:H$902)</f>
        <v>109</v>
      </c>
      <c r="D32" s="75">
        <f>SUMIF('Data - Monthly Commodity Prices'!$C$159:$C$902,$A32,'Data - Monthly Commodity Prices'!I$159:I$902)</f>
        <v>69</v>
      </c>
      <c r="E32" s="61">
        <f>SUMIF('Data - Monthly Commodity Prices'!$C$159:$C$902,$A32,'Data - Monthly Commodity Prices'!J$159:J$902)</f>
        <v>94</v>
      </c>
      <c r="F32" s="24"/>
      <c r="G32" s="410"/>
      <c r="H32" s="410"/>
      <c r="I32" s="1963" t="s">
        <v>545</v>
      </c>
      <c r="J32" s="1964"/>
    </row>
    <row r="33" spans="1:10">
      <c r="A33" s="1858">
        <f>LARGE('Data - Monthly Commodity Prices'!C$159:C$902,36)</f>
        <v>42736</v>
      </c>
      <c r="B33" s="102">
        <f>SUMIF('Data - Monthly Commodity Prices'!$C$159:$C$902,$A33,'Data - Monthly Commodity Prices'!G$159:G$902)</f>
        <v>81</v>
      </c>
      <c r="C33" s="114">
        <f>SUMIF('Data - Monthly Commodity Prices'!$C$159:$C$902,$A33,'Data - Monthly Commodity Prices'!H$159:H$902)</f>
        <v>108</v>
      </c>
      <c r="D33" s="102">
        <f>SUMIF('Data - Monthly Commodity Prices'!$C$159:$C$902,$A33,'Data - Monthly Commodity Prices'!I$159:I$902)</f>
        <v>69</v>
      </c>
      <c r="E33" s="104">
        <f>SUMIF('Data - Monthly Commodity Prices'!$C$159:$C$902,$A33,'Data - Monthly Commodity Prices'!J$159:J$902)</f>
        <v>93</v>
      </c>
      <c r="F33" s="24"/>
      <c r="G33" s="410"/>
      <c r="H33" s="410"/>
      <c r="I33" s="1965" t="s">
        <v>618</v>
      </c>
      <c r="J33" s="1965"/>
    </row>
    <row r="34" spans="1:10">
      <c r="A34" s="1859">
        <f>LARGE('Data - Monthly Commodity Prices'!C$159:C$902,35)</f>
        <v>42767</v>
      </c>
      <c r="B34" s="75">
        <f>SUMIF('Data - Monthly Commodity Prices'!$C$159:$C$902,$A34,'Data - Monthly Commodity Prices'!G$159:G$902)</f>
        <v>89</v>
      </c>
      <c r="C34" s="84">
        <f>SUMIF('Data - Monthly Commodity Prices'!$C$159:$C$902,$A34,'Data - Monthly Commodity Prices'!H$159:H$902)</f>
        <v>116</v>
      </c>
      <c r="D34" s="75">
        <f>SUMIF('Data - Monthly Commodity Prices'!$C$159:$C$902,$A34,'Data - Monthly Commodity Prices'!I$159:I$902)</f>
        <v>76</v>
      </c>
      <c r="E34" s="61">
        <f>SUMIF('Data - Monthly Commodity Prices'!$C$159:$C$902,$A34,'Data - Monthly Commodity Prices'!J$159:J$902)</f>
        <v>99</v>
      </c>
      <c r="F34" s="24"/>
      <c r="G34" s="410"/>
      <c r="H34" s="410"/>
      <c r="I34" s="24"/>
      <c r="J34" s="24"/>
    </row>
    <row r="35" spans="1:10">
      <c r="A35" s="1858">
        <f>LARGE('Data - Monthly Commodity Prices'!C$159:C$902,34)</f>
        <v>42795</v>
      </c>
      <c r="B35" s="102">
        <f>SUMIF('Data - Monthly Commodity Prices'!$C$159:$C$902,$A35,'Data - Monthly Commodity Prices'!G$159:G$902)</f>
        <v>88</v>
      </c>
      <c r="C35" s="114">
        <f>SUMIF('Data - Monthly Commodity Prices'!$C$159:$C$902,$A35,'Data - Monthly Commodity Prices'!H$159:H$902)</f>
        <v>115</v>
      </c>
      <c r="D35" s="102">
        <f>SUMIF('Data - Monthly Commodity Prices'!$C$159:$C$902,$A35,'Data - Monthly Commodity Prices'!I$159:I$902)</f>
        <v>75</v>
      </c>
      <c r="E35" s="104">
        <f>SUMIF('Data - Monthly Commodity Prices'!$C$159:$C$902,$A35,'Data - Monthly Commodity Prices'!J$159:J$902)</f>
        <v>98</v>
      </c>
      <c r="F35" s="24"/>
      <c r="G35" s="410"/>
      <c r="H35" s="410"/>
      <c r="I35" s="24"/>
      <c r="J35" s="24"/>
    </row>
    <row r="36" spans="1:10">
      <c r="A36" s="1859">
        <f>LARGE('Data - Monthly Commodity Prices'!C$159:C$902,33)</f>
        <v>42826</v>
      </c>
      <c r="B36" s="75">
        <f>SUMIF('Data - Monthly Commodity Prices'!$C$159:$C$902,$A36,'Data - Monthly Commodity Prices'!G$159:G$902)</f>
        <v>71</v>
      </c>
      <c r="C36" s="84">
        <f>SUMIF('Data - Monthly Commodity Prices'!$C$159:$C$902,$A36,'Data - Monthly Commodity Prices'!H$159:H$902)</f>
        <v>94</v>
      </c>
      <c r="D36" s="75">
        <f>SUMIF('Data - Monthly Commodity Prices'!$C$159:$C$902,$A36,'Data - Monthly Commodity Prices'!I$159:I$902)</f>
        <v>59</v>
      </c>
      <c r="E36" s="61">
        <f>SUMIF('Data - Monthly Commodity Prices'!$C$159:$C$902,$A36,'Data - Monthly Commodity Prices'!J$159:J$902)</f>
        <v>78</v>
      </c>
      <c r="F36" s="24"/>
      <c r="G36" s="410"/>
      <c r="H36" s="410"/>
      <c r="I36" s="24"/>
      <c r="J36" s="24"/>
    </row>
    <row r="37" spans="1:10">
      <c r="A37" s="1858">
        <f>LARGE('Data - Monthly Commodity Prices'!C$159:C$902,32)</f>
        <v>42856</v>
      </c>
      <c r="B37" s="102">
        <f>SUMIF('Data - Monthly Commodity Prices'!$C$159:$C$902,$A37,'Data - Monthly Commodity Prices'!G$159:G$902)</f>
        <v>61.68</v>
      </c>
      <c r="C37" s="114">
        <f>SUMIF('Data - Monthly Commodity Prices'!$C$159:$C$902,$A37,'Data - Monthly Commodity Prices'!H$159:H$902)</f>
        <v>82.947821409359861</v>
      </c>
      <c r="D37" s="102">
        <f>SUMIF('Data - Monthly Commodity Prices'!$C$159:$C$902,$A37,'Data - Monthly Commodity Prices'!I$159:I$902)</f>
        <v>50.29</v>
      </c>
      <c r="E37" s="104">
        <f>SUMIF('Data - Monthly Commodity Prices'!$C$159:$C$902,$A37,'Data - Monthly Commodity Prices'!J$159:J$902)</f>
        <v>67.630446476600312</v>
      </c>
      <c r="F37" s="24"/>
      <c r="G37" s="410"/>
      <c r="H37" s="410"/>
      <c r="I37" s="24"/>
      <c r="J37" s="24"/>
    </row>
    <row r="38" spans="1:10">
      <c r="A38" s="1859">
        <f>LARGE('Data - Monthly Commodity Prices'!C$159:C$902,31)</f>
        <v>42887</v>
      </c>
      <c r="B38" s="75">
        <f>SUMIF('Data - Monthly Commodity Prices'!$C$159:$C$902,$A38,'Data - Monthly Commodity Prices'!G$159:G$902)</f>
        <v>57.15</v>
      </c>
      <c r="C38" s="84">
        <f>SUMIF('Data - Monthly Commodity Prices'!$C$159:$C$902,$A38,'Data - Monthly Commodity Prices'!H$159:H$902)</f>
        <v>75.595238095238088</v>
      </c>
      <c r="D38" s="75">
        <f>SUMIF('Data - Monthly Commodity Prices'!$C$159:$C$902,$A38,'Data - Monthly Commodity Prices'!I$159:I$902)</f>
        <v>45.33</v>
      </c>
      <c r="E38" s="61">
        <f>SUMIF('Data - Monthly Commodity Prices'!$C$159:$C$902,$A38,'Data - Monthly Commodity Prices'!J$159:J$902)</f>
        <v>59.960317460317455</v>
      </c>
      <c r="F38" s="24"/>
      <c r="G38" s="410"/>
      <c r="H38" s="410"/>
      <c r="I38" s="24"/>
      <c r="J38" s="24"/>
    </row>
    <row r="39" spans="1:10">
      <c r="A39" s="1858">
        <f>LARGE('Data - Monthly Commodity Prices'!C$159:C$902,30)</f>
        <v>42917</v>
      </c>
      <c r="B39" s="102">
        <f>SUMIF('Data - Monthly Commodity Prices'!$C$159:$C$902,$A39,'Data - Monthly Commodity Prices'!G$159:G$902)</f>
        <v>67.209999999999994</v>
      </c>
      <c r="C39" s="114">
        <f>SUMIF('Data - Monthly Commodity Prices'!$C$159:$C$902,$A39,'Data - Monthly Commodity Prices'!H$159:H$902)</f>
        <v>86.111467008327992</v>
      </c>
      <c r="D39" s="102">
        <f>SUMIF('Data - Monthly Commodity Prices'!$C$159:$C$902,$A39,'Data - Monthly Commodity Prices'!I$159:I$902)</f>
        <v>52.67</v>
      </c>
      <c r="E39" s="104">
        <f>SUMIF('Data - Monthly Commodity Prices'!$C$159:$C$902,$A39,'Data - Monthly Commodity Prices'!J$159:J$902)</f>
        <v>67.482383087764262</v>
      </c>
      <c r="F39" s="24"/>
      <c r="G39" s="410"/>
      <c r="H39" s="410"/>
      <c r="I39" s="24"/>
      <c r="J39" s="24"/>
    </row>
    <row r="40" spans="1:10">
      <c r="A40" s="1859">
        <f>LARGE('Data - Monthly Commodity Prices'!C$159:C$902,29)</f>
        <v>42948</v>
      </c>
      <c r="B40" s="75">
        <f>SUMIF('Data - Monthly Commodity Prices'!$C$159:$C$902,$A40,'Data - Monthly Commodity Prices'!G$159:G$902)</f>
        <v>75.849999999999994</v>
      </c>
      <c r="C40" s="84">
        <f>SUMIF('Data - Monthly Commodity Prices'!$C$159:$C$902,$A40,'Data - Monthly Commodity Prices'!H$159:H$902)</f>
        <v>95.818595250126322</v>
      </c>
      <c r="D40" s="75">
        <f>SUMIF('Data - Monthly Commodity Prices'!$C$159:$C$902,$A40,'Data - Monthly Commodity Prices'!I$159:I$902)</f>
        <v>60.32</v>
      </c>
      <c r="E40" s="61">
        <f>SUMIF('Data - Monthly Commodity Prices'!$C$159:$C$902,$A40,'Data - Monthly Commodity Prices'!J$159:J$902)</f>
        <v>76.200101061141993</v>
      </c>
      <c r="F40" s="24"/>
      <c r="G40" s="410"/>
      <c r="H40" s="410"/>
      <c r="I40" s="24"/>
      <c r="J40" s="24"/>
    </row>
    <row r="41" spans="1:10">
      <c r="A41" s="1858">
        <f>LARGE('Data - Monthly Commodity Prices'!C$159:C$902,28)</f>
        <v>42979</v>
      </c>
      <c r="B41" s="102">
        <f>SUMIF('Data - Monthly Commodity Prices'!$C$159:$C$902,$A41,'Data - Monthly Commodity Prices'!G$159:G$902)</f>
        <v>70.599999999999994</v>
      </c>
      <c r="C41" s="114">
        <f>SUMIF('Data - Monthly Commodity Prices'!$C$159:$C$902,$A41,'Data - Monthly Commodity Prices'!H$159:H$902)</f>
        <v>88.615539098782477</v>
      </c>
      <c r="D41" s="102">
        <f>SUMIF('Data - Monthly Commodity Prices'!$C$159:$C$902,$A41,'Data - Monthly Commodity Prices'!I$159:I$902)</f>
        <v>55.71</v>
      </c>
      <c r="E41" s="104">
        <f>SUMIF('Data - Monthly Commodity Prices'!$C$159:$C$902,$A41,'Data - Monthly Commodity Prices'!J$159:J$902)</f>
        <v>69.925944521149745</v>
      </c>
      <c r="F41" s="24"/>
      <c r="G41" s="410"/>
      <c r="H41" s="410"/>
      <c r="I41" s="24"/>
      <c r="J41" s="24"/>
    </row>
    <row r="42" spans="1:10">
      <c r="A42" s="1859">
        <f>LARGE('Data - Monthly Commodity Prices'!C$159:C$902,27)</f>
        <v>43009</v>
      </c>
      <c r="B42" s="75">
        <f>SUMIF('Data - Monthly Commodity Prices'!$C$159:$C$902,$A42,'Data - Monthly Commodity Prices'!G$159:G$902)</f>
        <v>61.96</v>
      </c>
      <c r="C42" s="84">
        <f>SUMIF('Data - Monthly Commodity Prices'!$C$159:$C$902,$A42,'Data - Monthly Commodity Prices'!H$159:H$902)</f>
        <v>79.568511621933993</v>
      </c>
      <c r="D42" s="75">
        <f>SUMIF('Data - Monthly Commodity Prices'!$C$159:$C$902,$A42,'Data - Monthly Commodity Prices'!I$159:I$902)</f>
        <v>47.34</v>
      </c>
      <c r="E42" s="61">
        <f>SUMIF('Data - Monthly Commodity Prices'!$C$159:$C$902,$A42,'Data - Monthly Commodity Prices'!J$159:J$902)</f>
        <v>60.793630409657126</v>
      </c>
      <c r="F42" s="24"/>
      <c r="G42" s="410"/>
      <c r="H42" s="410"/>
      <c r="I42" s="24"/>
      <c r="J42" s="24"/>
    </row>
    <row r="43" spans="1:10">
      <c r="A43" s="1858">
        <f>LARGE('Data - Monthly Commodity Prices'!C$159:C$902,26)</f>
        <v>43040</v>
      </c>
      <c r="B43" s="102">
        <f>SUMIF('Data - Monthly Commodity Prices'!$C$159:$C$902,$A43,'Data - Monthly Commodity Prices'!G$159:G$902)</f>
        <v>64.17</v>
      </c>
      <c r="C43" s="114">
        <f>SUMIF('Data - Monthly Commodity Prices'!$C$159:$C$902,$A43,'Data - Monthly Commodity Prices'!H$159:H$902)</f>
        <v>84.179456906729641</v>
      </c>
      <c r="D43" s="102">
        <f>SUMIF('Data - Monthly Commodity Prices'!$C$159:$C$902,$A43,'Data - Monthly Commodity Prices'!I$159:I$902)</f>
        <v>50.06</v>
      </c>
      <c r="E43" s="104">
        <f>SUMIF('Data - Monthly Commodity Prices'!$C$159:$C$902,$A43,'Data - Monthly Commodity Prices'!J$159:J$902)</f>
        <v>65.669683851502043</v>
      </c>
      <c r="F43" s="24"/>
      <c r="G43" s="410"/>
      <c r="H43" s="410"/>
      <c r="I43" s="24"/>
      <c r="J43" s="24"/>
    </row>
    <row r="44" spans="1:10">
      <c r="A44" s="1859">
        <f>LARGE('Data - Monthly Commodity Prices'!C$159:C$902,25)</f>
        <v>43070</v>
      </c>
      <c r="B44" s="75">
        <f>SUMIF('Data - Monthly Commodity Prices'!$C$159:$C$902,$A44,'Data - Monthly Commodity Prices'!G$159:G$902)</f>
        <v>71.61</v>
      </c>
      <c r="C44" s="84">
        <f>SUMIF('Data - Monthly Commodity Prices'!$C$159:$C$902,$A44,'Data - Monthly Commodity Prices'!H$159:H$902)</f>
        <v>93.607843137254903</v>
      </c>
      <c r="D44" s="75">
        <f>SUMIF('Data - Monthly Commodity Prices'!$C$159:$C$902,$A44,'Data - Monthly Commodity Prices'!I$159:I$902)</f>
        <v>56.33</v>
      </c>
      <c r="E44" s="61">
        <f>SUMIF('Data - Monthly Commodity Prices'!$C$159:$C$902,$A44,'Data - Monthly Commodity Prices'!J$159:J$902)</f>
        <v>73.633986928104576</v>
      </c>
      <c r="F44" s="24"/>
      <c r="G44" s="410"/>
      <c r="H44" s="410"/>
      <c r="I44" s="24"/>
      <c r="J44" s="24"/>
    </row>
    <row r="45" spans="1:10">
      <c r="A45" s="1858">
        <f>LARGE('Data - Monthly Commodity Prices'!C$159:C$902,24)</f>
        <v>43101</v>
      </c>
      <c r="B45" s="102">
        <f>SUMIF('Data - Monthly Commodity Prices'!$C$159:$C$902,$A45,'Data - Monthly Commodity Prices'!G$159:G$902)</f>
        <v>75.78</v>
      </c>
      <c r="C45" s="114">
        <f>SUMIF('Data - Monthly Commodity Prices'!$C$159:$C$902,$A45,'Data - Monthly Commodity Prices'!H$159:H$902)</f>
        <v>95.236898328515778</v>
      </c>
      <c r="D45" s="102">
        <f>SUMIF('Data - Monthly Commodity Prices'!$C$159:$C$902,$A45,'Data - Monthly Commodity Prices'!I$159:I$902)</f>
        <v>60.75</v>
      </c>
      <c r="E45" s="104">
        <f>SUMIF('Data - Monthly Commodity Prices'!$C$159:$C$902,$A45,'Data - Monthly Commodity Prices'!J$159:J$902)</f>
        <v>76.347869800175943</v>
      </c>
      <c r="F45" s="24"/>
      <c r="G45" s="410"/>
      <c r="H45" s="410"/>
      <c r="I45" s="24"/>
      <c r="J45" s="24"/>
    </row>
    <row r="46" spans="1:10">
      <c r="A46" s="1859">
        <f>LARGE('Data - Monthly Commodity Prices'!C$159:C$902,23)</f>
        <v>43132</v>
      </c>
      <c r="B46" s="75">
        <f>SUMIF('Data - Monthly Commodity Prices'!$C$159:$C$902,$A46,'Data - Monthly Commodity Prices'!G$159:G$902)</f>
        <v>77.48</v>
      </c>
      <c r="C46" s="84">
        <f>SUMIF('Data - Monthly Commodity Prices'!$C$159:$C$902,$A46,'Data - Monthly Commodity Prices'!H$159:H$902)</f>
        <v>98.474834773767157</v>
      </c>
      <c r="D46" s="75">
        <f>SUMIF('Data - Monthly Commodity Prices'!$C$159:$C$902,$A46,'Data - Monthly Commodity Prices'!I$159:I$902)</f>
        <v>62.98</v>
      </c>
      <c r="E46" s="61">
        <f>SUMIF('Data - Monthly Commodity Prices'!$C$159:$C$902,$A46,'Data - Monthly Commodity Prices'!J$159:J$902)</f>
        <v>80.045754956786979</v>
      </c>
      <c r="F46" s="24"/>
      <c r="G46" s="410"/>
      <c r="H46" s="410"/>
      <c r="I46" s="24"/>
      <c r="J46" s="24"/>
    </row>
    <row r="47" spans="1:10">
      <c r="A47" s="1858">
        <f>LARGE('Data - Monthly Commodity Prices'!C$159:C$902,22)</f>
        <v>43160</v>
      </c>
      <c r="B47" s="102">
        <f>SUMIF('Data - Monthly Commodity Prices'!$C$159:$C$902,$A47,'Data - Monthly Commodity Prices'!G$159:G$902)</f>
        <v>70.010000000000005</v>
      </c>
      <c r="C47" s="114">
        <f>SUMIF('Data - Monthly Commodity Prices'!$C$159:$C$902,$A47,'Data - Monthly Commodity Prices'!H$159:H$902)</f>
        <v>90.230699832452643</v>
      </c>
      <c r="D47" s="102">
        <f>SUMIF('Data - Monthly Commodity Prices'!$C$159:$C$902,$A47,'Data - Monthly Commodity Prices'!I$159:I$902)</f>
        <v>57.18</v>
      </c>
      <c r="E47" s="104">
        <f>SUMIF('Data - Monthly Commodity Prices'!$C$159:$C$902,$A47,'Data - Monthly Commodity Prices'!J$159:J$902)</f>
        <v>73.695063796881044</v>
      </c>
      <c r="F47" s="24"/>
      <c r="G47" s="410"/>
      <c r="H47" s="410"/>
      <c r="I47" s="24"/>
      <c r="J47" s="24"/>
    </row>
    <row r="48" spans="1:10">
      <c r="A48" s="1859">
        <f>LARGE('Data - Monthly Commodity Prices'!C$159:C$902,21)</f>
        <v>43191</v>
      </c>
      <c r="B48" s="75">
        <f>SUMIF('Data - Monthly Commodity Prices'!$C$159:$C$902,$A48,'Data - Monthly Commodity Prices'!G$159:G$902)</f>
        <v>65.430000000000007</v>
      </c>
      <c r="C48" s="84">
        <f>SUMIF('Data - Monthly Commodity Prices'!$C$159:$C$902,$A48,'Data - Monthly Commodity Prices'!H$159:H$902)</f>
        <v>85.162046075751675</v>
      </c>
      <c r="D48" s="75">
        <f>SUMIF('Data - Monthly Commodity Prices'!$C$159:$C$902,$A48,'Data - Monthly Commodity Prices'!I$159:I$902)</f>
        <v>52.55</v>
      </c>
      <c r="E48" s="61">
        <f>SUMIF('Data - Monthly Commodity Prices'!$C$159:$C$902,$A48,'Data - Monthly Commodity Prices'!J$159:J$902)</f>
        <v>68.397761291162311</v>
      </c>
      <c r="F48" s="24"/>
      <c r="G48" s="410"/>
      <c r="H48" s="410"/>
      <c r="I48" s="24"/>
      <c r="J48" s="24"/>
    </row>
    <row r="49" spans="1:10">
      <c r="A49" s="1858">
        <f>LARGE('Data - Monthly Commodity Prices'!C$159:C$902,20)</f>
        <v>43221</v>
      </c>
      <c r="B49" s="102">
        <f>SUMIF('Data - Monthly Commodity Prices'!$C$159:$C$902,$A49,'Data - Monthly Commodity Prices'!G$159:G$902)</f>
        <v>66</v>
      </c>
      <c r="C49" s="114">
        <f>SUMIF('Data - Monthly Commodity Prices'!$C$159:$C$902,$A49,'Data - Monthly Commodity Prices'!H$159:H$902)</f>
        <v>87.672688629117957</v>
      </c>
      <c r="D49" s="102">
        <f>SUMIF('Data - Monthly Commodity Prices'!$C$159:$C$902,$A49,'Data - Monthly Commodity Prices'!I$159:I$902)</f>
        <v>53.95</v>
      </c>
      <c r="E49" s="104">
        <f>SUMIF('Data - Monthly Commodity Prices'!$C$159:$C$902,$A49,'Data - Monthly Commodity Prices'!J$159:J$902)</f>
        <v>71.665781083953249</v>
      </c>
      <c r="F49" s="24"/>
      <c r="G49" s="410"/>
      <c r="H49" s="410"/>
      <c r="I49" s="24"/>
      <c r="J49" s="24"/>
    </row>
    <row r="50" spans="1:10">
      <c r="A50" s="1859">
        <f>LARGE('Data - Monthly Commodity Prices'!C$159:C$902,19)</f>
        <v>43252</v>
      </c>
      <c r="B50" s="75">
        <f>SUMIF('Data - Monthly Commodity Prices'!$C$159:$C$902,$A50,'Data - Monthly Commodity Prices'!G$159:G$902)</f>
        <v>64.45</v>
      </c>
      <c r="C50" s="84">
        <f>SUMIF('Data - Monthly Commodity Prices'!$C$159:$C$902,$A50,'Data - Monthly Commodity Prices'!H$159:H$902)</f>
        <v>86.036577226004539</v>
      </c>
      <c r="D50" s="75">
        <f>SUMIF('Data - Monthly Commodity Prices'!$C$159:$C$902,$A50,'Data - Monthly Commodity Prices'!I$159:I$902)</f>
        <v>53.44</v>
      </c>
      <c r="E50" s="61">
        <f>SUMIF('Data - Monthly Commodity Prices'!$C$159:$C$902,$A50,'Data - Monthly Commodity Prices'!J$159:J$902)</f>
        <v>71.338940061407015</v>
      </c>
      <c r="F50" s="24"/>
      <c r="G50" s="410"/>
      <c r="H50" s="410"/>
      <c r="I50" s="24"/>
      <c r="J50" s="24"/>
    </row>
    <row r="51" spans="1:10">
      <c r="A51" s="1858">
        <f>LARGE('Data - Monthly Commodity Prices'!C$159:C$902,18)</f>
        <v>43282</v>
      </c>
      <c r="B51" s="102">
        <f>SUMIF('Data - Monthly Commodity Prices'!$C$159:$C$902,$A51,'Data - Monthly Commodity Prices'!G$159:G$902)</f>
        <v>64.09</v>
      </c>
      <c r="C51" s="114">
        <f>SUMIF('Data - Monthly Commodity Prices'!$C$159:$C$902,$A51,'Data - Monthly Commodity Prices'!H$159:H$902)</f>
        <v>86.549628629304522</v>
      </c>
      <c r="D51" s="102">
        <f>SUMIF('Data - Monthly Commodity Prices'!$C$159:$C$902,$A51,'Data - Monthly Commodity Prices'!I$159:I$902)</f>
        <v>53.85</v>
      </c>
      <c r="E51" s="104">
        <f>SUMIF('Data - Monthly Commodity Prices'!$C$159:$C$902,$A51,'Data - Monthly Commodity Prices'!J$159:J$902)</f>
        <v>72.721134368669809</v>
      </c>
      <c r="F51" s="24"/>
      <c r="G51" s="410"/>
      <c r="H51" s="410"/>
      <c r="I51" s="24"/>
      <c r="J51" s="24"/>
    </row>
    <row r="52" spans="1:10">
      <c r="A52" s="1859">
        <f>LARGE('Data - Monthly Commodity Prices'!C$159:C$902,17)</f>
        <v>43313</v>
      </c>
      <c r="B52" s="75">
        <f>SUMIF('Data - Monthly Commodity Prices'!$C$159:$C$902,$A52,'Data - Monthly Commodity Prices'!G$159:G$902)</f>
        <v>66.81</v>
      </c>
      <c r="C52" s="84">
        <f>SUMIF('Data - Monthly Commodity Prices'!$C$159:$C$902,$A52,'Data - Monthly Commodity Prices'!H$159:H$902)</f>
        <v>91.195741195741192</v>
      </c>
      <c r="D52" s="75">
        <f>SUMIF('Data - Monthly Commodity Prices'!$C$159:$C$902,$A52,'Data - Monthly Commodity Prices'!I$159:I$902)</f>
        <v>55.25</v>
      </c>
      <c r="E52" s="61">
        <f>SUMIF('Data - Monthly Commodity Prices'!$C$159:$C$902,$A52,'Data - Monthly Commodity Prices'!J$159:J$902)</f>
        <v>75.416325416325407</v>
      </c>
      <c r="F52" s="24"/>
      <c r="G52" s="410"/>
      <c r="H52" s="410"/>
      <c r="I52" s="24"/>
      <c r="J52" s="24"/>
    </row>
    <row r="53" spans="1:10">
      <c r="A53" s="1858">
        <f>LARGE('Data - Monthly Commodity Prices'!C$159:C$902,16)</f>
        <v>43344</v>
      </c>
      <c r="B53" s="102">
        <f>SUMIF('Data - Monthly Commodity Prices'!$C$159:$C$902,$A53,'Data - Monthly Commodity Prices'!G$159:G$902)</f>
        <v>68.34</v>
      </c>
      <c r="C53" s="114">
        <f>SUMIF('Data - Monthly Commodity Prices'!$C$159:$C$902,$A53,'Data - Monthly Commodity Prices'!H$159:H$902)</f>
        <v>94.863964464186566</v>
      </c>
      <c r="D53" s="102">
        <f>SUMIF('Data - Monthly Commodity Prices'!$C$159:$C$902,$A53,'Data - Monthly Commodity Prices'!I$159:I$902)</f>
        <v>55.74</v>
      </c>
      <c r="E53" s="104">
        <f>SUMIF('Data - Monthly Commodity Prices'!$C$159:$C$902,$A53,'Data - Monthly Commodity Prices'!J$159:J$902)</f>
        <v>77.373681288173231</v>
      </c>
      <c r="F53" s="24"/>
      <c r="G53" s="410"/>
      <c r="H53" s="410"/>
      <c r="I53" s="24"/>
      <c r="J53" s="24"/>
    </row>
    <row r="54" spans="1:10">
      <c r="A54" s="1859">
        <f>LARGE('Data - Monthly Commodity Prices'!C$159:C$902,15)</f>
        <v>43374</v>
      </c>
      <c r="B54" s="75">
        <f>SUMIF('Data - Monthly Commodity Prices'!$C$159:$C$902,$A54,'Data - Monthly Commodity Prices'!G$159:G$902)</f>
        <v>72.56</v>
      </c>
      <c r="C54" s="84">
        <f>SUMIF('Data - Monthly Commodity Prices'!$C$159:$C$902,$A54,'Data - Monthly Commodity Prices'!H$159:H$902)</f>
        <v>102.16840326668543</v>
      </c>
      <c r="D54" s="75">
        <f>SUMIF('Data - Monthly Commodity Prices'!$C$159:$C$902,$A54,'Data - Monthly Commodity Prices'!I$159:I$902)</f>
        <v>59.87</v>
      </c>
      <c r="E54" s="61">
        <f>SUMIF('Data - Monthly Commodity Prices'!$C$159:$C$902,$A54,'Data - Monthly Commodity Prices'!J$159:J$902)</f>
        <v>84.300197127569689</v>
      </c>
      <c r="F54" s="24"/>
      <c r="G54" s="410"/>
      <c r="H54" s="410"/>
      <c r="I54" s="24"/>
      <c r="J54" s="24"/>
    </row>
    <row r="55" spans="1:10">
      <c r="A55" s="1858">
        <f>LARGE('Data - Monthly Commodity Prices'!C$159:C$902,14)</f>
        <v>43405</v>
      </c>
      <c r="B55" s="102">
        <f>SUMIF('Data - Monthly Commodity Prices'!$C$159:$C$902,$A55,'Data - Monthly Commodity Prices'!G$159:G$902)</f>
        <v>72.290000000000006</v>
      </c>
      <c r="C55" s="114">
        <f>SUMIF('Data - Monthly Commodity Prices'!$C$159:$C$902,$A55,'Data - Monthly Commodity Prices'!H$159:H$902)</f>
        <v>99.724099875844956</v>
      </c>
      <c r="D55" s="102">
        <f>SUMIF('Data - Monthly Commodity Prices'!$C$159:$C$902,$A55,'Data - Monthly Commodity Prices'!I$159:I$902)</f>
        <v>63.24</v>
      </c>
      <c r="E55" s="104">
        <f>SUMIF('Data - Monthly Commodity Prices'!$C$159:$C$902,$A55,'Data - Monthly Commodity Prices'!J$159:J$902)</f>
        <v>87.239619257828664</v>
      </c>
      <c r="F55" s="24"/>
      <c r="G55" s="410"/>
      <c r="H55" s="410"/>
    </row>
    <row r="56" spans="1:10">
      <c r="A56" s="1859">
        <f>LARGE('Data - Monthly Commodity Prices'!C$159:C$902,13)</f>
        <v>43435</v>
      </c>
      <c r="B56" s="75">
        <f>SUMIF('Data - Monthly Commodity Prices'!$C$159:$C$902,$A56,'Data - Monthly Commodity Prices'!G$159:G$902)</f>
        <v>69.319999999999993</v>
      </c>
      <c r="C56" s="84">
        <f>SUMIF('Data - Monthly Commodity Prices'!$C$159:$C$902,$A56,'Data - Monthly Commodity Prices'!H$159:H$902)</f>
        <v>96.842693489801619</v>
      </c>
      <c r="D56" s="75">
        <f>SUMIF('Data - Monthly Commodity Prices'!$C$159:$C$902,$A56,'Data - Monthly Commodity Prices'!I$159:I$902)</f>
        <v>60.98</v>
      </c>
      <c r="E56" s="61">
        <f>SUMIF('Data - Monthly Commodity Prices'!$C$159:$C$902,$A56,'Data - Monthly Commodity Prices'!J$159:J$902)</f>
        <v>85.191394244202286</v>
      </c>
      <c r="F56" s="24"/>
      <c r="G56" s="410"/>
      <c r="H56" s="410"/>
    </row>
    <row r="57" spans="1:10">
      <c r="A57" s="1858">
        <f>LARGE('Data - Monthly Commodity Prices'!C$159:C$902,12)</f>
        <v>43466</v>
      </c>
      <c r="B57" s="102">
        <f>SUMIF('Data - Monthly Commodity Prices'!$C$159:$C$902,$A57,'Data - Monthly Commodity Prices'!G$159:G$902)</f>
        <v>76.11</v>
      </c>
      <c r="C57" s="114">
        <f>SUMIF('Data - Monthly Commodity Prices'!$C$159:$C$902,$A57,'Data - Monthly Commodity Prices'!H$159:H$902)</f>
        <v>106.43266675989372</v>
      </c>
      <c r="D57" s="102">
        <f>SUMIF('Data - Monthly Commodity Prices'!$C$159:$C$902,$A57,'Data - Monthly Commodity Prices'!I$159:I$902)</f>
        <v>66.88</v>
      </c>
      <c r="E57" s="104">
        <f>SUMIF('Data - Monthly Commodity Prices'!$C$159:$C$902,$A57,'Data - Monthly Commodity Prices'!J$159:J$902)</f>
        <v>93.525381065585236</v>
      </c>
      <c r="F57" s="24"/>
      <c r="G57" s="410"/>
      <c r="H57" s="410"/>
    </row>
    <row r="58" spans="1:10">
      <c r="A58" s="1859">
        <f>LARGE('Data - Monthly Commodity Prices'!C$159:C$902,11)</f>
        <v>43497</v>
      </c>
      <c r="B58" s="75">
        <f>SUMIF('Data - Monthly Commodity Prices'!$C$159:$C$902,$A58,'Data - Monthly Commodity Prices'!G$159:G$902)</f>
        <v>87.12</v>
      </c>
      <c r="C58" s="84">
        <f>SUMIF('Data - Monthly Commodity Prices'!$C$159:$C$902,$A58,'Data - Monthly Commodity Prices'!H$159:H$902)</f>
        <v>122.05099467637994</v>
      </c>
      <c r="D58" s="75">
        <f>SUMIF('Data - Monthly Commodity Prices'!$C$159:$C$902,$A58,'Data - Monthly Commodity Prices'!I$159:I$902)</f>
        <v>77.89</v>
      </c>
      <c r="E58" s="61">
        <f>SUMIF('Data - Monthly Commodity Prices'!$C$159:$C$902,$A58,'Data - Monthly Commodity Prices'!J$159:J$902)</f>
        <v>109.12020173718129</v>
      </c>
      <c r="F58" s="24"/>
      <c r="G58" s="410"/>
      <c r="H58" s="410"/>
    </row>
    <row r="59" spans="1:10">
      <c r="A59" s="1858">
        <f>LARGE('Data - Monthly Commodity Prices'!C$159:C$902,10)</f>
        <v>43525</v>
      </c>
      <c r="B59" s="102">
        <f>SUMIF('Data - Monthly Commodity Prices'!$C$159:$C$902,$A59,'Data - Monthly Commodity Prices'!G$159:G$902)</f>
        <v>85.75</v>
      </c>
      <c r="C59" s="114">
        <f>SUMIF('Data - Monthly Commodity Prices'!$C$159:$C$902,$A59,'Data - Monthly Commodity Prices'!H$159:H$902)</f>
        <v>121.06452068332626</v>
      </c>
      <c r="D59" s="102">
        <f>SUMIF('Data - Monthly Commodity Prices'!$C$159:$C$902,$A59,'Data - Monthly Commodity Prices'!I$159:I$902)</f>
        <v>76.75</v>
      </c>
      <c r="E59" s="104">
        <f>SUMIF('Data - Monthly Commodity Prices'!$C$159:$C$902,$A59,'Data - Monthly Commodity Prices'!J$159:J$902)</f>
        <v>108.35804037837075</v>
      </c>
      <c r="F59" s="24"/>
      <c r="G59" s="410"/>
      <c r="H59" s="410"/>
    </row>
    <row r="60" spans="1:10">
      <c r="A60" s="1859">
        <f>LARGE('Data - Monthly Commodity Prices'!C$159:C$902,9)</f>
        <v>43556</v>
      </c>
      <c r="B60" s="75">
        <f>SUMIF('Data - Monthly Commodity Prices'!$C$159:$C$902,$A60,'Data - Monthly Commodity Prices'!G$159:G$902)</f>
        <v>93.54</v>
      </c>
      <c r="C60" s="84">
        <f>SUMIF('Data - Monthly Commodity Prices'!$C$159:$C$902,$A60,'Data - Monthly Commodity Prices'!H$159:H$902)</f>
        <v>131.52418447694038</v>
      </c>
      <c r="D60" s="75">
        <f>SUMIF('Data - Monthly Commodity Prices'!$C$159:$C$902,$A60,'Data - Monthly Commodity Prices'!I$159:I$902)</f>
        <v>84.51</v>
      </c>
      <c r="E60" s="61">
        <f>SUMIF('Data - Monthly Commodity Prices'!$C$159:$C$902,$A60,'Data - Monthly Commodity Prices'!J$159:J$902)</f>
        <v>118.82733408323959</v>
      </c>
      <c r="F60" s="24"/>
      <c r="G60" s="410"/>
      <c r="H60" s="410"/>
    </row>
    <row r="61" spans="1:10">
      <c r="A61" s="1858">
        <f>LARGE('Data - Monthly Commodity Prices'!C$159:C$902,8)</f>
        <v>43586</v>
      </c>
      <c r="B61" s="102">
        <f>SUMIF('Data - Monthly Commodity Prices'!$C$159:$C$902,$A61,'Data - Monthly Commodity Prices'!G$159:G$902)</f>
        <v>99.06</v>
      </c>
      <c r="C61" s="114">
        <f>SUMIF('Data - Monthly Commodity Prices'!$C$159:$C$902,$A61,'Data - Monthly Commodity Prices'!H$159:H$902)</f>
        <v>142.65552995391704</v>
      </c>
      <c r="D61" s="102">
        <f>SUMIF('Data - Monthly Commodity Prices'!$C$159:$C$902,$A61,'Data - Monthly Commodity Prices'!I$159:I$902)</f>
        <v>91.09</v>
      </c>
      <c r="E61" s="104">
        <f>SUMIF('Data - Monthly Commodity Prices'!$C$159:$C$902,$A61,'Data - Monthly Commodity Prices'!J$159:J$902)</f>
        <v>131.17799539170508</v>
      </c>
      <c r="F61" s="24"/>
      <c r="G61" s="410"/>
      <c r="H61" s="410"/>
    </row>
    <row r="62" spans="1:10">
      <c r="A62" s="1859">
        <f>LARGE('Data - Monthly Commodity Prices'!C$159:C$902,7)</f>
        <v>43617</v>
      </c>
      <c r="B62" s="75">
        <f>SUMIF('Data - Monthly Commodity Prices'!$C$159:$C$902,$A62,'Data - Monthly Commodity Prices'!G$159:G$902)</f>
        <v>108.69</v>
      </c>
      <c r="C62" s="84">
        <f>SUMIF('Data - Monthly Commodity Prices'!$C$159:$C$902,$A62,'Data - Monthly Commodity Prices'!H$159:H$902)</f>
        <v>156.43350604490502</v>
      </c>
      <c r="D62" s="75">
        <f>SUMIF('Data - Monthly Commodity Prices'!$C$159:$C$902,$A62,'Data - Monthly Commodity Prices'!I$159:I$902)</f>
        <v>101.44</v>
      </c>
      <c r="E62" s="61">
        <f>SUMIF('Data - Monthly Commodity Prices'!$C$159:$C$902,$A62,'Data - Monthly Commodity Prices'!J$159:J$902)</f>
        <v>145.99884858952217</v>
      </c>
      <c r="F62" s="24"/>
      <c r="G62" s="410"/>
      <c r="H62" s="410"/>
    </row>
    <row r="63" spans="1:10">
      <c r="A63" s="1858">
        <f>LARGE('Data - Monthly Commodity Prices'!C$159:C$902,6)</f>
        <v>43647</v>
      </c>
      <c r="B63" s="102">
        <f>SUMIF('Data - Monthly Commodity Prices'!$C$159:$C$902,$A63,'Data - Monthly Commodity Prices'!G$159:G$902)</f>
        <v>119.96</v>
      </c>
      <c r="C63" s="114">
        <f>SUMIF('Data - Monthly Commodity Prices'!$C$159:$C$902,$A63,'Data - Monthly Commodity Prices'!H$159:H$902)</f>
        <v>171.88708984095143</v>
      </c>
      <c r="D63" s="102">
        <f>SUMIF('Data - Monthly Commodity Prices'!$C$159:$C$902,$A63,'Data - Monthly Commodity Prices'!I$159:I$902)</f>
        <v>110.77</v>
      </c>
      <c r="E63" s="104">
        <f>SUMIF('Data - Monthly Commodity Prices'!$C$159:$C$902,$A63,'Data - Monthly Commodity Prices'!J$159:J$902)</f>
        <v>158.71901418541339</v>
      </c>
      <c r="F63" s="24"/>
      <c r="G63" s="410"/>
      <c r="H63" s="410"/>
    </row>
    <row r="64" spans="1:10">
      <c r="A64" s="1859">
        <f>LARGE('Data - Monthly Commodity Prices'!C$159:C$902,5)</f>
        <v>43678</v>
      </c>
      <c r="B64" s="75">
        <f>SUMIF('Data - Monthly Commodity Prices'!$C$159:$C$902,$A64,'Data - Monthly Commodity Prices'!G$159:G$902)</f>
        <v>91.19</v>
      </c>
      <c r="C64" s="84">
        <f>SUMIF('Data - Monthly Commodity Prices'!$C$159:$C$902,$A64,'Data - Monthly Commodity Prices'!H$159:H$902)</f>
        <v>134.75690852667356</v>
      </c>
      <c r="D64" s="75">
        <f>SUMIF('Data - Monthly Commodity Prices'!$C$159:$C$902,$A64,'Data - Monthly Commodity Prices'!I$159:I$902)</f>
        <v>80.77</v>
      </c>
      <c r="E64" s="61">
        <f>SUMIF('Data - Monthly Commodity Prices'!$C$159:$C$902,$A64,'Data - Monthly Commodity Prices'!J$159:J$902)</f>
        <v>119.35865228313877</v>
      </c>
      <c r="F64" s="24"/>
      <c r="G64" s="410"/>
      <c r="H64" s="410"/>
    </row>
    <row r="65" spans="1:8">
      <c r="A65" s="1858">
        <f>LARGE('Data - Monthly Commodity Prices'!C$159:C$902,4)</f>
        <v>43709</v>
      </c>
      <c r="B65" s="102">
        <f>SUMIF('Data - Monthly Commodity Prices'!$C$159:$C$902,$A65,'Data - Monthly Commodity Prices'!G$159:G$902)</f>
        <v>93.3</v>
      </c>
      <c r="C65" s="114">
        <f>SUMIF('Data - Monthly Commodity Prices'!$C$159:$C$902,$A65,'Data - Monthly Commodity Prices'!H$159:H$902)</f>
        <v>135.84740827023879</v>
      </c>
      <c r="D65" s="102">
        <f>SUMIF('Data - Monthly Commodity Prices'!$C$159:$C$902,$A65,'Data - Monthly Commodity Prices'!I$159:I$902)</f>
        <v>80.64</v>
      </c>
      <c r="E65" s="104">
        <f>SUMIF('Data - Monthly Commodity Prices'!$C$159:$C$902,$A65,'Data - Monthly Commodity Prices'!J$159:J$902)</f>
        <v>117.41409435061153</v>
      </c>
      <c r="F65" s="24"/>
      <c r="G65" s="410"/>
      <c r="H65" s="410"/>
    </row>
    <row r="66" spans="1:8">
      <c r="A66" s="1859">
        <f>LARGE('Data - Monthly Commodity Prices'!C$159:C$902,3)</f>
        <v>43739</v>
      </c>
      <c r="B66" s="75">
        <f>SUMIF('Data - Monthly Commodity Prices'!$C$159:$C$902,$A66,'Data - Monthly Commodity Prices'!G$159:G$902)</f>
        <v>89.61</v>
      </c>
      <c r="C66" s="84">
        <f>SUMIF('Data - Monthly Commodity Prices'!$C$159:$C$902,$A66,'Data - Monthly Commodity Prices'!H$159:H$902)</f>
        <v>131.81818181818181</v>
      </c>
      <c r="D66" s="75">
        <f>SUMIF('Data - Monthly Commodity Prices'!$C$159:$C$902,$A66,'Data - Monthly Commodity Prices'!I$159:I$902)</f>
        <v>78.599999999999994</v>
      </c>
      <c r="E66" s="61">
        <f>SUMIF('Data - Monthly Commodity Prices'!$C$159:$C$902,$A66,'Data - Monthly Commodity Prices'!J$159:J$902)</f>
        <v>116.99029126213593</v>
      </c>
      <c r="F66" s="24"/>
      <c r="G66" s="410"/>
      <c r="H66" s="410"/>
    </row>
    <row r="67" spans="1:8">
      <c r="A67" s="1858">
        <f>LARGE('Data - Monthly Commodity Prices'!C$159:C$902,2)</f>
        <v>43770</v>
      </c>
      <c r="B67" s="102">
        <f>SUMIF('Data - Monthly Commodity Prices'!$C$159:$C$902,$A67,'Data - Monthly Commodity Prices'!G$159:G$902)</f>
        <v>84.25</v>
      </c>
      <c r="C67" s="114">
        <f>SUMIF('Data - Monthly Commodity Prices'!$C$159:$C$902,$A67,'Data - Monthly Commodity Prices'!H$159:H$902)</f>
        <v>123.42513917374744</v>
      </c>
      <c r="D67" s="102">
        <f>SUMIF('Data - Monthly Commodity Prices'!$C$159:$C$902,$A67,'Data - Monthly Commodity Prices'!I$159:I$902)</f>
        <v>75.55</v>
      </c>
      <c r="E67" s="104">
        <f>SUMIF('Data - Monthly Commodity Prices'!$C$159:$C$902,$A67,'Data - Monthly Commodity Prices'!J$159:J$902)</f>
        <v>110.67975388221505</v>
      </c>
      <c r="F67" s="24"/>
      <c r="G67" s="410"/>
      <c r="H67" s="410"/>
    </row>
    <row r="68" spans="1:8" ht="15.75" thickBot="1">
      <c r="A68" s="1860">
        <f>LARGE('Data - Monthly Commodity Prices'!C$159:C$902,1)</f>
        <v>43800</v>
      </c>
      <c r="B68" s="74">
        <f>SUMIF('Data - Monthly Commodity Prices'!$C$159:$C$902,$A68,'Data - Monthly Commodity Prices'!G$159:G$902)</f>
        <v>91.4</v>
      </c>
      <c r="C68" s="115">
        <f>SUMIF('Data - Monthly Commodity Prices'!$C$159:$C$902,$A68,'Data - Monthly Commodity Prices'!H$159:H$902)</f>
        <v>132.67527943097693</v>
      </c>
      <c r="D68" s="74">
        <f>SUMIF('Data - Monthly Commodity Prices'!$C$159:$C$902,$A68,'Data - Monthly Commodity Prices'!I$159:I$902)</f>
        <v>80.650000000000006</v>
      </c>
      <c r="E68" s="62">
        <f>SUMIF('Data - Monthly Commodity Prices'!$C$159:$C$902,$A68,'Data - Monthly Commodity Prices'!J$159:J$902)</f>
        <v>117.07069240818699</v>
      </c>
    </row>
    <row r="71" spans="1:8">
      <c r="A71" s="455"/>
    </row>
  </sheetData>
  <mergeCells count="7">
    <mergeCell ref="I32:J32"/>
    <mergeCell ref="I33:J33"/>
    <mergeCell ref="A5:E5"/>
    <mergeCell ref="I5:J5"/>
    <mergeCell ref="A6:E6"/>
    <mergeCell ref="I6:J6"/>
    <mergeCell ref="I31:J31"/>
  </mergeCells>
  <dataValidations count="1">
    <dataValidation type="list" allowBlank="1" showInputMessage="1" showErrorMessage="1" promptTitle="Select a Period:" prompt="Select Financial or Calendar years." sqref="I32:J32">
      <formula1>$Y$1:$Y$2</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A76"/>
  <sheetViews>
    <sheetView workbookViewId="0"/>
  </sheetViews>
  <sheetFormatPr defaultRowHeight="15"/>
  <cols>
    <col min="1" max="1" width="20.140625" style="1084" bestFit="1" customWidth="1"/>
    <col min="2" max="2" width="5.28515625" style="1084" bestFit="1" customWidth="1"/>
    <col min="3" max="4" width="15.140625" style="1084" bestFit="1" customWidth="1"/>
    <col min="5" max="12" width="15.42578125" style="1084" customWidth="1"/>
    <col min="13" max="13" width="19.140625" style="1084" customWidth="1"/>
    <col min="14" max="14" width="15.42578125" style="1084" customWidth="1"/>
    <col min="15" max="16" width="9.140625" style="1084"/>
    <col min="17" max="18" width="12" style="1084" bestFit="1" customWidth="1"/>
    <col min="19" max="19" width="14.85546875" style="1084" bestFit="1" customWidth="1"/>
    <col min="20" max="20" width="12" style="1084" bestFit="1" customWidth="1"/>
    <col min="21" max="21" width="17.28515625" style="1084" bestFit="1" customWidth="1"/>
    <col min="22" max="22" width="9.140625" style="1084"/>
    <col min="23" max="23" width="17.85546875" style="1084" customWidth="1"/>
    <col min="24" max="16384" width="9.140625" style="1084"/>
  </cols>
  <sheetData>
    <row r="1" spans="1:27">
      <c r="V1" s="1110" t="s">
        <v>2</v>
      </c>
      <c r="W1" s="1111" t="str">
        <f>"Western Australian Iron Ore Exports "&amp;B6&amp;CHAR(10)&amp;"Total Value: $"&amp;TEXT(C16,"#,###")</f>
        <v>Western Australian Iron Ore Exports 2019
Total Value: $95,807,277,000</v>
      </c>
      <c r="X1" s="1111" t="s">
        <v>429</v>
      </c>
      <c r="Y1" s="1111">
        <f>IF($B$5="Calendar Year",MAX('Data - Monthly Commodity Prices'!$AK$9:$AK$3501),CONCATENATE(MAX('Data - Monthly Commodity Prices'!$AW$9:$AW$3495),"-",VALUE(RIGHT(MAX('Data - Monthly Commodity Prices'!$AW$9:$AW$3495),2))+1))</f>
        <v>2019</v>
      </c>
      <c r="Z1" s="1110">
        <f t="array" ref="Z1">MIN(IF('Data - Monthly Commodity Prices'!$AJ$9:$AJ$3501=V1,'Data - Monthly Commodity Prices'!$AK$9:$AK$3501))</f>
        <v>2007</v>
      </c>
      <c r="AA1" s="1110"/>
    </row>
    <row r="2" spans="1:27">
      <c r="V2" s="1110"/>
      <c r="W2" s="1111" t="str">
        <f>IF($B$5=X1,IF(RIGHT(LEFT(B6,5),1)="-","Mismatch Error",""),IF(LEN(B6)=4,"Mismatch Error",""))</f>
        <v/>
      </c>
      <c r="X2" s="1111" t="s">
        <v>446</v>
      </c>
      <c r="Y2" s="1111">
        <f>IFERROR(IF($B$5=$X$1,IF($Z$1&lt;=(Y1-1),Y1-1,""),IF($Z$1=VALUE(LEFT(Y1,4)),"",CONCATENATE(VALUE(LEFT(Y1,4))-1,"-",RIGHT(LEFT(Y1,4),2)))),"")</f>
        <v>2018</v>
      </c>
      <c r="Z2" s="1110"/>
      <c r="AA2" s="1110"/>
    </row>
    <row r="3" spans="1:27">
      <c r="V3" s="1110"/>
      <c r="W3" s="1111"/>
      <c r="X3" s="1111"/>
      <c r="Y3" s="1111">
        <f t="shared" ref="Y3:Y25" si="0">IFERROR(IF($B$5=$X$1,IF($Z$1&lt;=(Y2-1),Y2-1,""),IF($Z$1=VALUE(LEFT(Y2,4)),"",CONCATENATE(VALUE(LEFT(Y2,4))-1,"-",RIGHT(LEFT(Y2,4),2)))),"")</f>
        <v>2017</v>
      </c>
      <c r="Z3" s="1110"/>
      <c r="AA3" s="1110"/>
    </row>
    <row r="4" spans="1:27" ht="26.25" customHeight="1" thickBot="1">
      <c r="V4" s="1110"/>
      <c r="W4" s="1111"/>
      <c r="X4" s="1111"/>
      <c r="Y4" s="1111">
        <f t="shared" si="0"/>
        <v>2016</v>
      </c>
      <c r="Z4" s="1110"/>
      <c r="AA4" s="1110"/>
    </row>
    <row r="5" spans="1:27" ht="15.75" thickBot="1">
      <c r="A5" s="113" t="s">
        <v>447</v>
      </c>
      <c r="B5" s="2007" t="s">
        <v>429</v>
      </c>
      <c r="C5" s="2002"/>
      <c r="D5" s="2003"/>
      <c r="E5" s="1040"/>
      <c r="V5" s="1110"/>
      <c r="W5" s="1111"/>
      <c r="X5" s="1111"/>
      <c r="Y5" s="1111">
        <f t="shared" si="0"/>
        <v>2015</v>
      </c>
      <c r="Z5" s="1110"/>
      <c r="AA5" s="1110"/>
    </row>
    <row r="6" spans="1:27" ht="15.75" thickBot="1">
      <c r="A6" s="113" t="s">
        <v>447</v>
      </c>
      <c r="B6" s="2007">
        <v>2019</v>
      </c>
      <c r="C6" s="2002"/>
      <c r="D6" s="2003"/>
      <c r="E6" s="1040"/>
      <c r="R6" s="1244"/>
      <c r="V6" s="1110"/>
      <c r="W6" s="1111"/>
      <c r="X6" s="1111"/>
      <c r="Y6" s="1111">
        <f t="shared" si="0"/>
        <v>2014</v>
      </c>
      <c r="Z6" s="1110"/>
      <c r="AA6" s="1110"/>
    </row>
    <row r="7" spans="1:27">
      <c r="R7" s="1244"/>
      <c r="V7" s="1110"/>
      <c r="W7" s="1111"/>
      <c r="X7" s="1111"/>
      <c r="Y7" s="1111">
        <f t="shared" si="0"/>
        <v>2013</v>
      </c>
      <c r="Z7" s="1110"/>
      <c r="AA7" s="1110"/>
    </row>
    <row r="8" spans="1:27">
      <c r="A8" s="1937" t="str">
        <f>IF($B$6="Click here to select an option","Select a year above for display.",CONCATENATE("Western Australian Iron Ore Exports ",B6))</f>
        <v>Western Australian Iron Ore Exports 2019</v>
      </c>
      <c r="B8" s="1937"/>
      <c r="C8" s="1937"/>
      <c r="D8" s="1937"/>
      <c r="R8" s="1244"/>
      <c r="V8" s="1110"/>
      <c r="W8" s="1111"/>
      <c r="X8" s="1111"/>
      <c r="Y8" s="1111">
        <f t="shared" si="0"/>
        <v>2012</v>
      </c>
      <c r="Z8" s="1110"/>
      <c r="AA8" s="1110"/>
    </row>
    <row r="9" spans="1:27" ht="15.75" thickBot="1">
      <c r="A9" s="1093" t="s">
        <v>43</v>
      </c>
      <c r="B9" s="1096" t="s">
        <v>44</v>
      </c>
      <c r="C9" s="1093" t="s">
        <v>46</v>
      </c>
      <c r="D9" s="1694" t="s">
        <v>47</v>
      </c>
      <c r="R9" s="1244"/>
      <c r="V9" s="1110"/>
      <c r="W9" s="1111"/>
      <c r="X9" s="1111"/>
      <c r="Y9" s="1111">
        <f t="shared" si="0"/>
        <v>2011</v>
      </c>
      <c r="Z9" s="1110"/>
      <c r="AA9" s="1110"/>
    </row>
    <row r="10" spans="1:27">
      <c r="A10" s="1095" t="str">
        <f t="array" ref="A10">IF($W$2="Mismatch Error","Mismatch Error",IF($B$5=$X$1,INDEX('Data - Monthly Commodity Prices'!$AJ$9:$AO$3501,MATCH(1,(('Data - Monthly Commodity Prices'!$AJ$9:$AJ$3501)="Iron Ore")*(('Data - Monthly Commodity Prices'!$AK$9:$AK$3501)=$B$6)*(('Data - Monthly Commodity Prices'!$AM$9:$AM$3501)=B10),0),3),INDEX('Data - Monthly Commodity Prices'!$AQ$9:$AV$3495,MATCH(1,(('Data - Monthly Commodity Prices'!$AQ$9:$AQ$3495)="Iron Ore")*(('Data - Monthly Commodity Prices'!$AR$9:$AR$3495)=$B$6)*(('Data - Monthly Commodity Prices'!$AT$9:$AT$3495)=B10),0),3)))</f>
        <v xml:space="preserve">  China</v>
      </c>
      <c r="B10" s="1098">
        <v>1</v>
      </c>
      <c r="C10" s="1099">
        <f t="array" ref="C10">IF($W$2="Mismatch Error","",IF($B$5=$X$1,INDEX('Data - Monthly Commodity Prices'!$AJ$9:$AO$3501,MATCH(1,(('Data - Monthly Commodity Prices'!$AJ$9:$AJ$3501)="Iron Ore")*(('Data - Monthly Commodity Prices'!$AK$9:$AK$3501)=$B$6)*(('Data - Monthly Commodity Prices'!$AM$9:$AM$3501)=B10),0),5),INDEX('Data - Monthly Commodity Prices'!$AQ$9:$AV$3495,MATCH(1,(('Data - Monthly Commodity Prices'!$AQ$9:$AQ$3495)="Iron Ore")*(('Data - Monthly Commodity Prices'!$AR$9:$AR$3495)=$B$6)*(('Data - Monthly Commodity Prices'!$AT$9:$AT$3495)=B10),0),5)))</f>
        <v>78719315000</v>
      </c>
      <c r="D10" s="223">
        <f t="shared" ref="D10:D15" si="1">IF($W$2="Mismatch Error","",C10/$C$16)</f>
        <v>0.82164233725168911</v>
      </c>
      <c r="R10" s="1244"/>
      <c r="V10" s="1110"/>
      <c r="W10" s="1111"/>
      <c r="X10" s="1111"/>
      <c r="Y10" s="1111">
        <f t="shared" si="0"/>
        <v>2010</v>
      </c>
      <c r="Z10" s="1110"/>
      <c r="AA10" s="1110"/>
    </row>
    <row r="11" spans="1:27">
      <c r="A11" s="1085" t="str">
        <f t="array" ref="A11">IF($W$2="Mismatch Error","",IF($B$5=$X$1,INDEX('Data - Monthly Commodity Prices'!$AJ$9:$AO$3501,MATCH(1,(('Data - Monthly Commodity Prices'!$AJ$9:$AJ$3501)="Iron Ore")*(('Data - Monthly Commodity Prices'!$AK$9:$AK$3501)=$B$6)*(('Data - Monthly Commodity Prices'!$AM$9:$AM$3501)=B11),0),3),INDEX('Data - Monthly Commodity Prices'!$AQ$9:$AV$3495,MATCH(1,(('Data - Monthly Commodity Prices'!$AQ$9:$AQ$3495)="Iron Ore")*(('Data - Monthly Commodity Prices'!$AR$9:$AR$3495)=$B$6)*(('Data - Monthly Commodity Prices'!$AT$9:$AT$3495)=B11),0),3)))</f>
        <v xml:space="preserve">  Japan</v>
      </c>
      <c r="B11" s="1086">
        <v>2</v>
      </c>
      <c r="C11" s="1087">
        <f t="array" ref="C11">IF($W$2="Mismatch Error","",IF($B$5=$X$1,INDEX('Data - Monthly Commodity Prices'!$AJ$9:$AO$3501,MATCH(1,(('Data - Monthly Commodity Prices'!$AJ$9:$AJ$3501)="Iron Ore")*(('Data - Monthly Commodity Prices'!$AK$9:$AK$3501)=$B$6)*(('Data - Monthly Commodity Prices'!$AM$9:$AM$3501)=B11),0),5),INDEX('Data - Monthly Commodity Prices'!$AQ$9:$AV$3495,MATCH(1,(('Data - Monthly Commodity Prices'!$AQ$9:$AQ$3495)="Iron Ore")*(('Data - Monthly Commodity Prices'!$AR$9:$AR$3495)=$B$6)*(('Data - Monthly Commodity Prices'!$AT$9:$AT$3495)=B11),0),5)))</f>
        <v>7159053000</v>
      </c>
      <c r="D11" s="1695">
        <f t="shared" si="1"/>
        <v>7.4723478468133486E-2</v>
      </c>
      <c r="E11" s="1083"/>
      <c r="R11" s="1244"/>
      <c r="V11" s="1110"/>
      <c r="W11" s="1111"/>
      <c r="X11" s="1111"/>
      <c r="Y11" s="1111">
        <f t="shared" si="0"/>
        <v>2009</v>
      </c>
      <c r="Z11" s="1110"/>
      <c r="AA11" s="1110"/>
    </row>
    <row r="12" spans="1:27">
      <c r="A12" s="1095" t="str">
        <f t="array" ref="A12">IF($W$2="Mismatch Error","",IF($B$5=$X$1,INDEX('Data - Monthly Commodity Prices'!$AJ$9:$AO$3501,MATCH(1,(('Data - Monthly Commodity Prices'!$AJ$9:$AJ$3501)="Iron Ore")*(('Data - Monthly Commodity Prices'!$AK$9:$AK$3501)=$B$6)*(('Data - Monthly Commodity Prices'!$AM$9:$AM$3501)=B12),0),3),INDEX('Data - Monthly Commodity Prices'!$AQ$9:$AV$3495,MATCH(1,(('Data - Monthly Commodity Prices'!$AQ$9:$AQ$3495)="Iron Ore")*(('Data - Monthly Commodity Prices'!$AR$9:$AR$3495)=$B$6)*(('Data - Monthly Commodity Prices'!$AT$9:$AT$3495)=B12),0),3)))</f>
        <v xml:space="preserve">  Korea, Republic of</v>
      </c>
      <c r="B12" s="1098">
        <v>3</v>
      </c>
      <c r="C12" s="1099">
        <f t="array" ref="C12">IF($W$2="Mismatch Error","",IF($B$5=$X$1,INDEX('Data - Monthly Commodity Prices'!$AJ$9:$AO$3501,MATCH(1,(('Data - Monthly Commodity Prices'!$AJ$9:$AJ$3501)="Iron Ore")*(('Data - Monthly Commodity Prices'!$AK$9:$AK$3501)=$B$6)*(('Data - Monthly Commodity Prices'!$AM$9:$AM$3501)=B12),0),5),INDEX('Data - Monthly Commodity Prices'!$AQ$9:$AV$3495,MATCH(1,(('Data - Monthly Commodity Prices'!$AQ$9:$AQ$3495)="Iron Ore")*(('Data - Monthly Commodity Prices'!$AR$9:$AR$3495)=$B$6)*(('Data - Monthly Commodity Prices'!$AT$9:$AT$3495)=B12),0),5)))</f>
        <v>5992212000</v>
      </c>
      <c r="D12" s="223">
        <f t="shared" si="1"/>
        <v>6.2544434907590582E-2</v>
      </c>
      <c r="E12" s="1083"/>
      <c r="R12" s="1244"/>
      <c r="V12" s="1110"/>
      <c r="W12" s="1111"/>
      <c r="X12" s="1111"/>
      <c r="Y12" s="1111">
        <f t="shared" si="0"/>
        <v>2008</v>
      </c>
      <c r="Z12" s="1110"/>
      <c r="AA12" s="1110"/>
    </row>
    <row r="13" spans="1:27">
      <c r="A13" s="1085" t="str">
        <f t="array" ref="A13">IF($W$2="Mismatch Error","",IF($B$5=$X$1,INDEX('Data - Monthly Commodity Prices'!$AJ$9:$AO$3501,MATCH(1,(('Data - Monthly Commodity Prices'!$AJ$9:$AJ$3501)="Iron Ore")*(('Data - Monthly Commodity Prices'!$AK$9:$AK$3501)=$B$6)*(('Data - Monthly Commodity Prices'!$AM$9:$AM$3501)=B13),0),3),INDEX('Data - Monthly Commodity Prices'!$AQ$9:$AV$3495,MATCH(1,(('Data - Monthly Commodity Prices'!$AQ$9:$AQ$3495)="Iron Ore")*(('Data - Monthly Commodity Prices'!$AR$9:$AR$3495)=$B$6)*(('Data - Monthly Commodity Prices'!$AT$9:$AT$3495)=B13),0),3)))</f>
        <v xml:space="preserve">  Taiwan</v>
      </c>
      <c r="B13" s="1086">
        <v>4</v>
      </c>
      <c r="C13" s="1087">
        <f t="array" ref="C13">IF($W$2="Mismatch Error","",IF($B$5=$X$1,INDEX('Data - Monthly Commodity Prices'!$AJ$9:$AO$3501,MATCH(1,(('Data - Monthly Commodity Prices'!$AJ$9:$AJ$3501)="Iron Ore")*(('Data - Monthly Commodity Prices'!$AK$9:$AK$3501)=$B$6)*(('Data - Monthly Commodity Prices'!$AM$9:$AM$3501)=B13),0),5),INDEX('Data - Monthly Commodity Prices'!$AQ$9:$AV$3495,MATCH(1,(('Data - Monthly Commodity Prices'!$AQ$9:$AQ$3495)="Iron Ore")*(('Data - Monthly Commodity Prices'!$AR$9:$AR$3495)=$B$6)*(('Data - Monthly Commodity Prices'!$AT$9:$AT$3495)=B13),0),5)))</f>
        <v>1892914000</v>
      </c>
      <c r="D13" s="1695">
        <f t="shared" si="1"/>
        <v>1.975751800147707E-2</v>
      </c>
      <c r="E13" s="1083"/>
      <c r="R13" s="1244"/>
      <c r="V13" s="1110"/>
      <c r="W13" s="1110"/>
      <c r="X13" s="1110"/>
      <c r="Y13" s="1111">
        <f t="shared" si="0"/>
        <v>2007</v>
      </c>
      <c r="Z13" s="1110"/>
      <c r="AA13" s="1110"/>
    </row>
    <row r="14" spans="1:27">
      <c r="A14" s="1095" t="str">
        <f t="array" ref="A14">IF($W$2="Mismatch Error","",IF($B$5=$X$1,INDEX('Data - Monthly Commodity Prices'!$AJ$9:$AO$3501,MATCH(1,(('Data - Monthly Commodity Prices'!$AJ$9:$AJ$3501)="Iron Ore")*(('Data - Monthly Commodity Prices'!$AK$9:$AK$3501)=$B$6)*(('Data - Monthly Commodity Prices'!$AM$9:$AM$3501)=B14),0),3),INDEX('Data - Monthly Commodity Prices'!$AQ$9:$AV$3495,MATCH(1,(('Data - Monthly Commodity Prices'!$AQ$9:$AQ$3495)="Iron Ore")*(('Data - Monthly Commodity Prices'!$AR$9:$AR$3495)=$B$6)*(('Data - Monthly Commodity Prices'!$AT$9:$AT$3495)=B14),0),3)))</f>
        <v xml:space="preserve">  Viet Nam</v>
      </c>
      <c r="B14" s="1098">
        <v>5</v>
      </c>
      <c r="C14" s="1099">
        <f t="array" ref="C14">IF($W$2="Mismatch Error","",IF($B$5=$X$1,INDEX('Data - Monthly Commodity Prices'!$AJ$9:$AO$3501,MATCH(1,(('Data - Monthly Commodity Prices'!$AJ$9:$AJ$3501)="Iron Ore")*(('Data - Monthly Commodity Prices'!$AK$9:$AK$3501)=$B$6)*(('Data - Monthly Commodity Prices'!$AM$9:$AM$3501)=B14),0),5),INDEX('Data - Monthly Commodity Prices'!$AQ$9:$AV$3495,MATCH(1,(('Data - Monthly Commodity Prices'!$AQ$9:$AQ$3495)="Iron Ore")*(('Data - Monthly Commodity Prices'!$AR$9:$AR$3495)=$B$6)*(('Data - Monthly Commodity Prices'!$AT$9:$AT$3495)=B14),0),5)))</f>
        <v>708598000</v>
      </c>
      <c r="D14" s="223">
        <f t="shared" si="1"/>
        <v>7.3960770224165747E-3</v>
      </c>
      <c r="E14" s="1083"/>
      <c r="R14" s="1244"/>
      <c r="S14" s="1094"/>
      <c r="T14" s="1181"/>
      <c r="U14" s="1004"/>
      <c r="V14" s="1110"/>
      <c r="W14" s="1110"/>
      <c r="X14" s="1110"/>
      <c r="Y14" s="1111" t="str">
        <f t="shared" si="0"/>
        <v/>
      </c>
      <c r="Z14" s="1110"/>
      <c r="AA14" s="1110"/>
    </row>
    <row r="15" spans="1:27" ht="15.75" thickBot="1">
      <c r="A15" s="454" t="str">
        <f>IF($W$2="Mismatch Error","","Other")</f>
        <v>Other</v>
      </c>
      <c r="B15" s="1089"/>
      <c r="C15" s="1090">
        <f>IF($W$2="Mismatch Error","",IF($B$5=$X$1,SUMIFS('Data - Monthly Commodity Prices'!$AN$9:$AN$3501,'Data - Monthly Commodity Prices'!$AJ$9:$AJ$3501,"Iron Ore",'Data - Monthly Commodity Prices'!$AK$9:$AK$3501,$B$6,'Data - Monthly Commodity Prices'!$AL$9:$AL$3501,"TOTAL")-SUM($C$10:$C$14),SUMIFS('Data - Monthly Commodity Prices'!$AU$9:$AU$3495,'Data - Monthly Commodity Prices'!$AQ$9:$AQ$3495,"Iron Ore",'Data - Monthly Commodity Prices'!$AR$9:$AR$3495,$B$6,'Data - Monthly Commodity Prices'!$AS$9:$AS$3495,"TOTAL")-SUM($C$10:$C$14)))</f>
        <v>1335185000</v>
      </c>
      <c r="D15" s="1696">
        <f t="shared" si="1"/>
        <v>1.3936154348693159E-2</v>
      </c>
      <c r="S15" s="1094"/>
      <c r="T15" s="1181"/>
      <c r="U15" s="1004"/>
      <c r="V15" s="1110"/>
      <c r="W15" s="1110"/>
      <c r="X15" s="1110"/>
      <c r="Y15" s="1111" t="str">
        <f t="shared" si="0"/>
        <v/>
      </c>
      <c r="Z15" s="1110"/>
      <c r="AA15" s="1110"/>
    </row>
    <row r="16" spans="1:27" ht="15.75" thickBot="1">
      <c r="A16" s="1697" t="str">
        <f>IF($W$2="Mismatch Error","","Grand Total")</f>
        <v>Grand Total</v>
      </c>
      <c r="B16" s="1698"/>
      <c r="C16" s="1699">
        <f>IF($W$2="Mismatch Error","",IF($B$5=$X$1,SUMIFS('Data - Monthly Commodity Prices'!$AN$9:$AN$3501,'Data - Monthly Commodity Prices'!$AJ$9:$AJ$3501,"Iron Ore",'Data - Monthly Commodity Prices'!$AK$9:$AK$3501,$B$6,'Data - Monthly Commodity Prices'!$AL$9:$AL$3501,"TOTAL"),SUMIFS('Data - Monthly Commodity Prices'!$AU$9:$AU$3495,'Data - Monthly Commodity Prices'!$AQ$9:$AQ$3495,"Iron Ore",'Data - Monthly Commodity Prices'!$AR$9:$AR$3495,$B$6,'Data - Monthly Commodity Prices'!$AS$9:$AS$3495,"TOTAL")))</f>
        <v>95807277000</v>
      </c>
      <c r="D16" s="1700"/>
      <c r="R16" s="1244"/>
      <c r="S16" s="1094"/>
      <c r="T16" s="1181"/>
      <c r="U16" s="1004"/>
      <c r="V16" s="1110"/>
      <c r="W16" s="1110"/>
      <c r="X16" s="1110"/>
      <c r="Y16" s="1111" t="str">
        <f t="shared" si="0"/>
        <v/>
      </c>
      <c r="Z16" s="1110"/>
      <c r="AA16" s="1110"/>
    </row>
    <row r="17" spans="1:27">
      <c r="R17" s="1244"/>
      <c r="S17" s="1094"/>
      <c r="T17" s="1181"/>
      <c r="U17" s="1004"/>
      <c r="V17" s="1110"/>
      <c r="W17" s="1110"/>
      <c r="X17" s="1110"/>
      <c r="Y17" s="1111" t="str">
        <f t="shared" si="0"/>
        <v/>
      </c>
      <c r="Z17" s="1110"/>
      <c r="AA17" s="1110"/>
    </row>
    <row r="18" spans="1:27">
      <c r="A18" s="1970" t="str">
        <f>IF(A10="Mismatch Error","You have selected an incompatible year or year type. Change one or the other to display data.","")</f>
        <v/>
      </c>
      <c r="B18" s="1970"/>
      <c r="C18" s="1970"/>
      <c r="D18" s="1970"/>
      <c r="R18" s="1244"/>
      <c r="S18" s="1094"/>
      <c r="T18" s="1181"/>
      <c r="U18" s="1004"/>
      <c r="V18" s="1110"/>
      <c r="W18" s="1110"/>
      <c r="X18" s="1110"/>
      <c r="Y18" s="1111" t="str">
        <f t="shared" si="0"/>
        <v/>
      </c>
      <c r="Z18" s="1110"/>
      <c r="AA18" s="1110"/>
    </row>
    <row r="19" spans="1:27">
      <c r="A19" s="1970"/>
      <c r="B19" s="1970"/>
      <c r="C19" s="1970"/>
      <c r="D19" s="1970"/>
      <c r="R19" s="1244"/>
      <c r="S19" s="1094"/>
      <c r="T19" s="1181"/>
      <c r="U19" s="1004"/>
      <c r="V19" s="1110"/>
      <c r="W19" s="1110"/>
      <c r="X19" s="1110"/>
      <c r="Y19" s="1111" t="str">
        <f t="shared" si="0"/>
        <v/>
      </c>
      <c r="Z19" s="1110"/>
      <c r="AA19" s="1110"/>
    </row>
    <row r="20" spans="1:27">
      <c r="A20" s="1970" t="str">
        <f>IF(OR(ISNA(A10),ISNA(A11),ISNA(A12),ISNA(A13),ISNA(A14),ISNA(#REF!),ISNA(#REF!),ISNA(#REF!),ISNA(#REF!),ISNA(#REF!),ISNA(C10),ISNA(C11),ISNA(C12),ISNA(C13),ISNA(C14),ISNA(#REF!),ISNA(#REF!),ISNA(#REF!),ISNA(#REF!),ISNA(#REF!)),"You have ecountered an NA Error. This is most likely caused by the accidental loss of an array formula in the table above. Click on the cell showing #N/A above, then click the formula bar and press Ctrl, Shift and Enter.","")</f>
        <v/>
      </c>
      <c r="B20" s="1970"/>
      <c r="C20" s="1970"/>
      <c r="D20" s="1970"/>
      <c r="R20" s="1244"/>
      <c r="S20" s="1094"/>
      <c r="T20" s="1181"/>
      <c r="U20" s="1004"/>
      <c r="V20" s="1110"/>
      <c r="W20" s="1110"/>
      <c r="X20" s="1110"/>
      <c r="Y20" s="1111" t="str">
        <f t="shared" si="0"/>
        <v/>
      </c>
      <c r="Z20" s="1110"/>
      <c r="AA20" s="1110"/>
    </row>
    <row r="21" spans="1:27">
      <c r="A21" s="1970"/>
      <c r="B21" s="1970"/>
      <c r="C21" s="1970"/>
      <c r="D21" s="1970"/>
      <c r="R21" s="1244"/>
      <c r="S21" s="1094"/>
      <c r="T21" s="1181"/>
      <c r="U21" s="1004"/>
      <c r="V21" s="1110"/>
      <c r="W21" s="1110"/>
      <c r="X21" s="1110"/>
      <c r="Y21" s="1111" t="str">
        <f t="shared" si="0"/>
        <v/>
      </c>
      <c r="Z21" s="1110"/>
      <c r="AA21" s="1110"/>
    </row>
    <row r="22" spans="1:27">
      <c r="A22" s="1970"/>
      <c r="B22" s="1970"/>
      <c r="C22" s="1970"/>
      <c r="D22" s="1970"/>
      <c r="R22" s="1244"/>
      <c r="S22" s="1094"/>
      <c r="T22" s="1181"/>
      <c r="U22" s="1004"/>
      <c r="V22" s="1110"/>
      <c r="W22" s="1110"/>
      <c r="X22" s="1110"/>
      <c r="Y22" s="1111" t="str">
        <f t="shared" si="0"/>
        <v/>
      </c>
      <c r="Z22" s="1110"/>
      <c r="AA22" s="1110"/>
    </row>
    <row r="23" spans="1:27">
      <c r="A23" s="1970"/>
      <c r="B23" s="1970"/>
      <c r="C23" s="1970"/>
      <c r="D23" s="1970"/>
      <c r="R23" s="1244"/>
      <c r="S23" s="1094"/>
      <c r="T23" s="1181"/>
      <c r="U23" s="1004"/>
      <c r="V23" s="1110"/>
      <c r="W23" s="1110"/>
      <c r="X23" s="1110"/>
      <c r="Y23" s="1111" t="str">
        <f t="shared" si="0"/>
        <v/>
      </c>
      <c r="Z23" s="1110"/>
      <c r="AA23" s="1110"/>
    </row>
    <row r="24" spans="1:27">
      <c r="V24" s="1110"/>
      <c r="W24" s="1110"/>
      <c r="X24" s="1110"/>
      <c r="Y24" s="1111" t="str">
        <f t="shared" si="0"/>
        <v/>
      </c>
      <c r="Z24" s="1110"/>
      <c r="AA24" s="1110"/>
    </row>
    <row r="25" spans="1:27" ht="15" customHeight="1">
      <c r="V25" s="1110"/>
      <c r="W25" s="1110"/>
      <c r="X25" s="1110"/>
      <c r="Y25" s="1111" t="str">
        <f t="shared" si="0"/>
        <v/>
      </c>
      <c r="Z25" s="1110"/>
      <c r="AA25" s="1110"/>
    </row>
    <row r="26" spans="1:27">
      <c r="V26" s="1110"/>
      <c r="W26" s="1110"/>
      <c r="X26" s="1110"/>
      <c r="Y26" s="1110"/>
      <c r="Z26" s="1110"/>
      <c r="AA26" s="1110"/>
    </row>
    <row r="27" spans="1:27">
      <c r="E27" s="1064"/>
      <c r="V27" s="1110"/>
      <c r="W27" s="1110"/>
      <c r="X27" s="1110"/>
      <c r="Y27" s="1110"/>
      <c r="Z27" s="1110"/>
      <c r="AA27" s="1110"/>
    </row>
    <row r="28" spans="1:27">
      <c r="E28" s="1064"/>
      <c r="V28" s="1110"/>
      <c r="W28" s="1110"/>
      <c r="X28" s="1110"/>
      <c r="Y28" s="1110"/>
      <c r="Z28" s="1110"/>
      <c r="AA28" s="1110"/>
    </row>
    <row r="29" spans="1:27">
      <c r="E29" s="1064"/>
      <c r="V29" s="1110"/>
      <c r="W29" s="1110"/>
      <c r="X29" s="1110"/>
      <c r="Y29" s="1110"/>
      <c r="Z29" s="1110"/>
      <c r="AA29" s="1110"/>
    </row>
    <row r="30" spans="1:27">
      <c r="E30" s="1064"/>
      <c r="V30" s="1110"/>
      <c r="W30" s="1110"/>
      <c r="X30" s="1110"/>
      <c r="Y30" s="1110"/>
      <c r="Z30" s="1110"/>
      <c r="AA30" s="1110"/>
    </row>
    <row r="31" spans="1:27">
      <c r="E31" s="1064"/>
      <c r="V31" s="1110"/>
      <c r="W31" s="1110"/>
      <c r="X31" s="1110"/>
      <c r="Y31" s="1110"/>
      <c r="Z31" s="1110"/>
      <c r="AA31" s="1110"/>
    </row>
    <row r="32" spans="1:27">
      <c r="E32" s="1064"/>
      <c r="M32" s="1245"/>
      <c r="N32" s="1244"/>
      <c r="V32" s="1110"/>
      <c r="W32" s="1110"/>
      <c r="X32" s="1110"/>
      <c r="Y32" s="1110"/>
      <c r="Z32" s="1110"/>
      <c r="AA32" s="1110"/>
    </row>
    <row r="33" spans="5:27">
      <c r="E33" s="1064"/>
      <c r="K33" s="1244"/>
      <c r="M33" s="1245"/>
      <c r="V33" s="1110"/>
      <c r="W33" s="1110"/>
      <c r="X33" s="1110"/>
      <c r="Y33" s="1110"/>
      <c r="Z33" s="1110"/>
      <c r="AA33" s="1110"/>
    </row>
    <row r="34" spans="5:27">
      <c r="E34" s="1064"/>
      <c r="K34" s="1244"/>
      <c r="M34" s="1245"/>
      <c r="V34" s="1110"/>
      <c r="W34" s="1110"/>
      <c r="X34" s="1110"/>
      <c r="Y34" s="1110"/>
      <c r="Z34" s="1110"/>
      <c r="AA34" s="1110"/>
    </row>
    <row r="35" spans="5:27">
      <c r="E35" s="1064"/>
      <c r="K35" s="1244"/>
      <c r="M35" s="1245"/>
      <c r="V35" s="1110"/>
      <c r="W35" s="1110"/>
      <c r="X35" s="1110"/>
      <c r="Y35" s="1110"/>
      <c r="Z35" s="1110"/>
      <c r="AA35" s="1110"/>
    </row>
    <row r="36" spans="5:27">
      <c r="E36" s="1064"/>
      <c r="K36" s="1244"/>
      <c r="M36" s="1245"/>
      <c r="W36" s="1026"/>
      <c r="X36" s="1026"/>
      <c r="Y36" s="1026"/>
    </row>
    <row r="37" spans="5:27">
      <c r="E37" s="1064"/>
      <c r="K37" s="1244"/>
      <c r="M37" s="1245"/>
      <c r="W37" s="1026"/>
      <c r="X37" s="1026"/>
      <c r="Y37" s="1026"/>
    </row>
    <row r="38" spans="5:27">
      <c r="E38" s="1064"/>
      <c r="M38" s="1245"/>
      <c r="W38" s="1026"/>
      <c r="X38" s="1026"/>
      <c r="Y38" s="1026"/>
    </row>
    <row r="39" spans="5:27">
      <c r="E39" s="1064"/>
      <c r="M39" s="1245"/>
    </row>
    <row r="40" spans="5:27">
      <c r="E40" s="1064"/>
      <c r="M40" s="1245"/>
    </row>
    <row r="41" spans="5:27">
      <c r="E41" s="1064"/>
      <c r="M41" s="1245"/>
    </row>
    <row r="42" spans="5:27">
      <c r="E42" s="1064"/>
    </row>
    <row r="43" spans="5:27">
      <c r="E43" s="1064"/>
    </row>
    <row r="44" spans="5:27">
      <c r="E44" s="1064"/>
    </row>
    <row r="45" spans="5:27">
      <c r="E45" s="1064"/>
    </row>
    <row r="46" spans="5:27">
      <c r="E46" s="1064"/>
    </row>
    <row r="47" spans="5:27">
      <c r="E47" s="1064"/>
    </row>
    <row r="48" spans="5:27">
      <c r="E48" s="1064"/>
    </row>
    <row r="49" spans="5:5">
      <c r="E49" s="1064"/>
    </row>
    <row r="50" spans="5:5">
      <c r="E50" s="1064"/>
    </row>
    <row r="51" spans="5:5">
      <c r="E51" s="1064"/>
    </row>
    <row r="52" spans="5:5">
      <c r="E52" s="1064"/>
    </row>
    <row r="53" spans="5:5">
      <c r="E53" s="1064"/>
    </row>
    <row r="54" spans="5:5">
      <c r="E54" s="1064"/>
    </row>
    <row r="55" spans="5:5">
      <c r="E55" s="1064"/>
    </row>
    <row r="56" spans="5:5">
      <c r="E56" s="1064"/>
    </row>
    <row r="57" spans="5:5">
      <c r="E57" s="1064"/>
    </row>
    <row r="58" spans="5:5">
      <c r="E58" s="1064"/>
    </row>
    <row r="59" spans="5:5">
      <c r="E59" s="1064"/>
    </row>
    <row r="62" spans="5:5">
      <c r="E62" s="1064"/>
    </row>
    <row r="63" spans="5:5">
      <c r="E63" s="1064"/>
    </row>
    <row r="64" spans="5:5">
      <c r="E64" s="1064"/>
    </row>
    <row r="65" spans="5:5">
      <c r="E65" s="1064"/>
    </row>
    <row r="66" spans="5:5">
      <c r="E66" s="1064"/>
    </row>
    <row r="67" spans="5:5">
      <c r="E67" s="1064"/>
    </row>
    <row r="68" spans="5:5">
      <c r="E68" s="1064"/>
    </row>
    <row r="69" spans="5:5">
      <c r="E69" s="1064"/>
    </row>
    <row r="70" spans="5:5">
      <c r="E70" s="1064"/>
    </row>
    <row r="71" spans="5:5">
      <c r="E71" s="1064"/>
    </row>
    <row r="72" spans="5:5">
      <c r="E72" s="1064"/>
    </row>
    <row r="73" spans="5:5">
      <c r="E73" s="1064"/>
    </row>
    <row r="74" spans="5:5">
      <c r="E74" s="1064"/>
    </row>
    <row r="75" spans="5:5">
      <c r="E75" s="1064"/>
    </row>
    <row r="76" spans="5:5">
      <c r="E76" s="1064"/>
    </row>
  </sheetData>
  <mergeCells count="5">
    <mergeCell ref="B5:D5"/>
    <mergeCell ref="B6:D6"/>
    <mergeCell ref="A8:D8"/>
    <mergeCell ref="A18:D19"/>
    <mergeCell ref="A20:D23"/>
  </mergeCells>
  <conditionalFormatting sqref="A10">
    <cfRule type="containsText" dxfId="3"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tint="0.39997558519241921"/>
  </sheetPr>
  <dimension ref="A2:M80"/>
  <sheetViews>
    <sheetView zoomScaleNormal="100" workbookViewId="0"/>
  </sheetViews>
  <sheetFormatPr defaultRowHeight="15"/>
  <cols>
    <col min="1" max="1" width="15.7109375" style="86" customWidth="1"/>
    <col min="2" max="2" width="21.85546875" style="86" bestFit="1" customWidth="1"/>
    <col min="3" max="3" width="20.140625" style="86" bestFit="1" customWidth="1"/>
    <col min="4" max="5" width="9.140625" style="86"/>
    <col min="6" max="6" width="21.85546875" style="86" bestFit="1" customWidth="1"/>
    <col min="7" max="7" width="20.140625" style="86" bestFit="1" customWidth="1"/>
    <col min="8" max="18" width="9.140625" style="86"/>
    <col min="19" max="21" width="19.140625" style="86" customWidth="1"/>
    <col min="22" max="16384" width="9.140625" style="86"/>
  </cols>
  <sheetData>
    <row r="2" spans="1:6">
      <c r="F2" s="537"/>
    </row>
    <row r="5" spans="1:6" ht="15.75" thickBot="1">
      <c r="A5" s="1947" t="s">
        <v>108</v>
      </c>
      <c r="B5" s="1947"/>
      <c r="C5" s="1947"/>
    </row>
    <row r="6" spans="1:6" ht="15.75" thickBot="1">
      <c r="A6" s="113"/>
      <c r="B6" s="112" t="s">
        <v>57</v>
      </c>
      <c r="C6" s="111" t="s">
        <v>58</v>
      </c>
    </row>
    <row r="7" spans="1:6">
      <c r="A7" s="120">
        <v>1950</v>
      </c>
      <c r="B7" s="35">
        <v>1.513401E-2</v>
      </c>
      <c r="C7" s="34">
        <v>2.403181</v>
      </c>
    </row>
    <row r="8" spans="1:6">
      <c r="A8" s="120">
        <v>1951</v>
      </c>
      <c r="B8" s="526">
        <v>3.6224089999999994E-2</v>
      </c>
      <c r="C8" s="527">
        <v>2.4560900000000001</v>
      </c>
    </row>
    <row r="9" spans="1:6">
      <c r="A9" s="120">
        <v>1952</v>
      </c>
      <c r="B9" s="35">
        <v>0.227379</v>
      </c>
      <c r="C9" s="34">
        <v>2.7460460000000002</v>
      </c>
    </row>
    <row r="10" spans="1:6">
      <c r="A10" s="120">
        <v>1953</v>
      </c>
      <c r="B10" s="526">
        <v>0.71873390000000004</v>
      </c>
      <c r="C10" s="527">
        <v>2.644549</v>
      </c>
    </row>
    <row r="11" spans="1:6">
      <c r="A11" s="120">
        <v>1954</v>
      </c>
      <c r="B11" s="35">
        <v>0.66220210000000002</v>
      </c>
      <c r="C11" s="34">
        <v>2.9250180000000001</v>
      </c>
    </row>
    <row r="12" spans="1:6">
      <c r="A12" s="120">
        <v>1955</v>
      </c>
      <c r="B12" s="526">
        <v>0.53711259999999994</v>
      </c>
      <c r="C12" s="527">
        <v>3.1059420000000002</v>
      </c>
    </row>
    <row r="13" spans="1:6">
      <c r="A13" s="120">
        <v>1956</v>
      </c>
      <c r="B13" s="35">
        <v>0.34229590000000004</v>
      </c>
      <c r="C13" s="34">
        <v>3.6605099999999999</v>
      </c>
    </row>
    <row r="14" spans="1:6">
      <c r="A14" s="120">
        <v>1957</v>
      </c>
      <c r="B14" s="526">
        <v>0.42291509999999999</v>
      </c>
      <c r="C14" s="527">
        <v>3.458961</v>
      </c>
    </row>
    <row r="15" spans="1:6">
      <c r="A15" s="120">
        <v>1958</v>
      </c>
      <c r="B15" s="35">
        <v>0.58212140000000001</v>
      </c>
      <c r="C15" s="34">
        <v>3.4155190000000002</v>
      </c>
    </row>
    <row r="16" spans="1:6">
      <c r="A16" s="120">
        <v>1959</v>
      </c>
      <c r="B16" s="526">
        <v>0.73875109999999999</v>
      </c>
      <c r="C16" s="527">
        <v>3.492232</v>
      </c>
    </row>
    <row r="17" spans="1:3">
      <c r="A17" s="100">
        <v>1960</v>
      </c>
      <c r="B17" s="35">
        <v>0.94336149999999996</v>
      </c>
      <c r="C17" s="34">
        <v>3.5111849999999998</v>
      </c>
    </row>
    <row r="18" spans="1:3">
      <c r="A18" s="100">
        <v>1961</v>
      </c>
      <c r="B18" s="526">
        <v>1.381364</v>
      </c>
      <c r="C18" s="527">
        <v>4.0803659999999997</v>
      </c>
    </row>
    <row r="19" spans="1:3">
      <c r="A19" s="100">
        <v>1962</v>
      </c>
      <c r="B19" s="35">
        <v>1.4537100000000001</v>
      </c>
      <c r="C19" s="34">
        <v>3.593019</v>
      </c>
    </row>
    <row r="20" spans="1:3">
      <c r="A20" s="100">
        <v>1963</v>
      </c>
      <c r="B20" s="526">
        <v>1.35453</v>
      </c>
      <c r="C20" s="527">
        <v>4.3329839999999997</v>
      </c>
    </row>
    <row r="21" spans="1:3">
      <c r="A21" s="100">
        <v>1964</v>
      </c>
      <c r="B21" s="35">
        <v>1.3795010000000001</v>
      </c>
      <c r="C21" s="34">
        <v>4.4646119999999998</v>
      </c>
    </row>
    <row r="22" spans="1:3">
      <c r="A22" s="100">
        <v>1965</v>
      </c>
      <c r="B22" s="526">
        <v>2.2768980000000001</v>
      </c>
      <c r="C22" s="527">
        <v>4.5258060000000002</v>
      </c>
    </row>
    <row r="23" spans="1:3">
      <c r="A23" s="100">
        <v>1966</v>
      </c>
      <c r="B23" s="35">
        <v>4.2331849999999998</v>
      </c>
      <c r="C23" s="34">
        <v>6.8346090000000004</v>
      </c>
    </row>
    <row r="24" spans="1:3">
      <c r="A24" s="100">
        <v>1967</v>
      </c>
      <c r="B24" s="526">
        <v>10.13655</v>
      </c>
      <c r="C24" s="527">
        <v>7.0214290000000004</v>
      </c>
    </row>
    <row r="25" spans="1:3">
      <c r="A25" s="100">
        <v>1968</v>
      </c>
      <c r="B25" s="35">
        <v>23.25123</v>
      </c>
      <c r="C25" s="34">
        <v>3.3736510000000002</v>
      </c>
    </row>
    <row r="26" spans="1:3">
      <c r="A26" s="100">
        <v>1969</v>
      </c>
      <c r="B26" s="526">
        <v>25.077760000000001</v>
      </c>
      <c r="C26" s="527">
        <v>13.497769999999999</v>
      </c>
    </row>
    <row r="27" spans="1:3">
      <c r="A27" s="100">
        <v>1970</v>
      </c>
      <c r="B27" s="35">
        <v>43.188070000000003</v>
      </c>
      <c r="C27" s="34">
        <v>8.0000599999999995</v>
      </c>
    </row>
    <row r="28" spans="1:3">
      <c r="A28" s="100">
        <v>1971</v>
      </c>
      <c r="B28" s="526">
        <v>52.025660000000002</v>
      </c>
      <c r="C28" s="527">
        <v>10.037330000000001</v>
      </c>
    </row>
    <row r="29" spans="1:3">
      <c r="A29" s="100">
        <v>1972</v>
      </c>
      <c r="B29" s="35">
        <v>56.121499999999997</v>
      </c>
      <c r="C29" s="34">
        <v>8.2794930000000004</v>
      </c>
    </row>
    <row r="30" spans="1:3">
      <c r="A30" s="100">
        <v>1973</v>
      </c>
      <c r="B30" s="526">
        <v>75.896479999999997</v>
      </c>
      <c r="C30" s="527">
        <v>8.9315189999999998</v>
      </c>
    </row>
    <row r="31" spans="1:3">
      <c r="A31" s="100">
        <v>1974</v>
      </c>
      <c r="B31" s="35">
        <v>87.000810000000001</v>
      </c>
      <c r="C31" s="34">
        <v>9.9491879999999995</v>
      </c>
    </row>
    <row r="32" spans="1:3">
      <c r="A32" s="100">
        <v>1975</v>
      </c>
      <c r="B32" s="526">
        <v>85.190029999999993</v>
      </c>
      <c r="C32" s="527">
        <v>12.46097</v>
      </c>
    </row>
    <row r="33" spans="1:7">
      <c r="A33" s="100">
        <v>1976</v>
      </c>
      <c r="B33" s="35">
        <v>85.572789999999998</v>
      </c>
      <c r="C33" s="34">
        <v>7.682334</v>
      </c>
    </row>
    <row r="34" spans="1:7">
      <c r="A34" s="100">
        <v>1977</v>
      </c>
      <c r="B34" s="526">
        <v>83.517189999999999</v>
      </c>
      <c r="C34" s="527">
        <v>12.406219999999999</v>
      </c>
    </row>
    <row r="35" spans="1:7">
      <c r="A35" s="100">
        <v>1978</v>
      </c>
      <c r="B35" s="35">
        <v>82.498580000000004</v>
      </c>
      <c r="C35" s="34">
        <v>10.635450000000001</v>
      </c>
    </row>
    <row r="36" spans="1:7">
      <c r="A36" s="100">
        <v>1979</v>
      </c>
      <c r="B36" s="526">
        <v>85.171980000000005</v>
      </c>
      <c r="C36" s="527">
        <v>6.5450290000000004</v>
      </c>
    </row>
    <row r="37" spans="1:7">
      <c r="A37" s="100">
        <v>1980</v>
      </c>
      <c r="B37" s="35">
        <v>84.971620000000001</v>
      </c>
      <c r="C37" s="34">
        <v>10.562340000000001</v>
      </c>
    </row>
    <row r="38" spans="1:7">
      <c r="A38" s="100">
        <v>1981</v>
      </c>
      <c r="B38" s="526">
        <v>75.302639999999997</v>
      </c>
      <c r="C38" s="527">
        <v>9.358727</v>
      </c>
    </row>
    <row r="39" spans="1:7">
      <c r="A39" s="100">
        <v>1982</v>
      </c>
      <c r="B39" s="35">
        <v>78.182389999999998</v>
      </c>
      <c r="C39" s="34">
        <v>9.5113850000000006</v>
      </c>
    </row>
    <row r="40" spans="1:7">
      <c r="A40" s="100">
        <v>1983</v>
      </c>
      <c r="B40" s="526">
        <v>74.983540000000005</v>
      </c>
      <c r="C40" s="527">
        <v>6.0537559999999999</v>
      </c>
    </row>
    <row r="41" spans="1:7">
      <c r="A41" s="100">
        <v>1984</v>
      </c>
      <c r="B41" s="35">
        <v>90.907129999999995</v>
      </c>
      <c r="C41" s="34">
        <v>4.13896</v>
      </c>
    </row>
    <row r="42" spans="1:7">
      <c r="A42" s="100">
        <v>1985</v>
      </c>
      <c r="B42" s="526">
        <v>88.768079999999998</v>
      </c>
      <c r="C42" s="527">
        <v>8.7090270000000007</v>
      </c>
    </row>
    <row r="43" spans="1:7">
      <c r="A43" s="100">
        <v>1986</v>
      </c>
      <c r="B43" s="35">
        <v>81.290940000000006</v>
      </c>
      <c r="C43" s="34">
        <v>1.2723880000000001</v>
      </c>
    </row>
    <row r="44" spans="1:7">
      <c r="A44" s="100">
        <v>1987</v>
      </c>
      <c r="B44" s="526">
        <v>89.122739999999993</v>
      </c>
      <c r="C44" s="527">
        <v>1.25919</v>
      </c>
    </row>
    <row r="45" spans="1:7">
      <c r="A45" s="100">
        <v>1988</v>
      </c>
      <c r="B45" s="35">
        <v>98.319090000000003</v>
      </c>
      <c r="C45" s="34">
        <v>1.6129899999999999</v>
      </c>
      <c r="E45" s="1972" t="s">
        <v>91</v>
      </c>
      <c r="F45" s="1972"/>
      <c r="G45" s="1972"/>
    </row>
    <row r="46" spans="1:7" ht="15.75" thickBot="1">
      <c r="A46" s="100">
        <v>1989</v>
      </c>
      <c r="B46" s="526">
        <v>106</v>
      </c>
      <c r="C46" s="527">
        <v>4.5</v>
      </c>
      <c r="E46" s="1971" t="s">
        <v>50</v>
      </c>
      <c r="F46" s="1971"/>
      <c r="G46" s="1971"/>
    </row>
    <row r="47" spans="1:7" ht="15.75" thickBot="1">
      <c r="A47" s="100">
        <v>1990</v>
      </c>
      <c r="B47" s="35">
        <v>105</v>
      </c>
      <c r="C47" s="34">
        <v>6.3490000000000002</v>
      </c>
      <c r="E47" s="1692" t="s">
        <v>49</v>
      </c>
      <c r="F47" s="1814" t="str">
        <f>B6</f>
        <v>Western Australia (Mt)</v>
      </c>
      <c r="G47" s="1693" t="str">
        <f>C6</f>
        <v>Rest of Australia (Mt)</v>
      </c>
    </row>
    <row r="48" spans="1:7">
      <c r="A48" s="100">
        <v>1991</v>
      </c>
      <c r="B48" s="526">
        <v>113.687</v>
      </c>
      <c r="C48" s="527">
        <v>3.4470000000000001</v>
      </c>
      <c r="E48" s="100">
        <f>LARGE(A$17:A$101,10)</f>
        <v>2010</v>
      </c>
      <c r="F48" s="560">
        <f t="shared" ref="F48:F57" si="0">SUMIF($A$17:$A$106,$E48,B$17:B$106)</f>
        <v>393.85115706600004</v>
      </c>
      <c r="G48" s="1687">
        <f t="shared" ref="G48:G57" si="1">SUMIF($A$17:$A$106,$E48,C$17:C$106)</f>
        <v>13.754</v>
      </c>
    </row>
    <row r="49" spans="1:13">
      <c r="A49" s="100">
        <v>1992</v>
      </c>
      <c r="B49" s="35">
        <v>108</v>
      </c>
      <c r="C49" s="34">
        <v>3.9369999999999998</v>
      </c>
      <c r="E49" s="100">
        <f>LARGE(A$17:A$101,9)</f>
        <v>2011</v>
      </c>
      <c r="F49" s="521">
        <f t="shared" si="0"/>
        <v>426.67287969500001</v>
      </c>
      <c r="G49" s="1688">
        <f t="shared" si="1"/>
        <v>14.381</v>
      </c>
    </row>
    <row r="50" spans="1:13">
      <c r="A50" s="100">
        <v>1993</v>
      </c>
      <c r="B50" s="526">
        <v>116</v>
      </c>
      <c r="C50" s="527">
        <v>4.1459999999999999</v>
      </c>
      <c r="E50" s="100">
        <f>LARGE(A$17:A$101,8)</f>
        <v>2012</v>
      </c>
      <c r="F50" s="1401">
        <f t="shared" si="0"/>
        <v>478.32621689000001</v>
      </c>
      <c r="G50" s="1689">
        <f t="shared" si="1"/>
        <v>14.849</v>
      </c>
    </row>
    <row r="51" spans="1:13">
      <c r="A51" s="100">
        <v>1994</v>
      </c>
      <c r="B51" s="35">
        <v>124.172</v>
      </c>
      <c r="C51" s="34">
        <v>4.2309999999999999</v>
      </c>
      <c r="E51" s="100">
        <f>LARGE(A$17:A$101,7)</f>
        <v>2013</v>
      </c>
      <c r="F51" s="521">
        <f t="shared" si="0"/>
        <v>554.93783338100002</v>
      </c>
      <c r="G51" s="1688">
        <f t="shared" si="1"/>
        <v>16.393000000000001</v>
      </c>
    </row>
    <row r="52" spans="1:13">
      <c r="A52" s="100">
        <v>1995</v>
      </c>
      <c r="B52" s="526">
        <v>135.9659</v>
      </c>
      <c r="C52" s="527">
        <v>6.9700949999999997</v>
      </c>
      <c r="E52" s="100">
        <f>LARGE(A$17:A$101,6)</f>
        <v>2014</v>
      </c>
      <c r="F52" s="1401">
        <f t="shared" si="0"/>
        <v>686.23425861200008</v>
      </c>
      <c r="G52" s="1689">
        <f t="shared" si="1"/>
        <v>15.496</v>
      </c>
    </row>
    <row r="53" spans="1:13">
      <c r="A53" s="100">
        <v>1996</v>
      </c>
      <c r="B53" s="35">
        <v>133.651298</v>
      </c>
      <c r="C53" s="34">
        <v>4.2309999999999901</v>
      </c>
      <c r="E53" s="100">
        <f>LARGE(A$17:A$101,5)</f>
        <v>2015</v>
      </c>
      <c r="F53" s="521">
        <f t="shared" si="0"/>
        <v>742.39410678800004</v>
      </c>
      <c r="G53" s="1688">
        <f t="shared" si="1"/>
        <v>12.045</v>
      </c>
    </row>
    <row r="54" spans="1:13">
      <c r="A54" s="100">
        <v>1997</v>
      </c>
      <c r="B54" s="526">
        <v>151.718593</v>
      </c>
      <c r="C54" s="527">
        <v>6.05</v>
      </c>
      <c r="E54" s="100">
        <f>LARGE(A$17:A$101,4)</f>
        <v>2016</v>
      </c>
      <c r="F54" s="1401">
        <f t="shared" si="0"/>
        <v>769.27752114500004</v>
      </c>
      <c r="G54" s="1689">
        <f t="shared" si="1"/>
        <v>11.536</v>
      </c>
      <c r="I54" s="431"/>
      <c r="J54" s="431"/>
      <c r="K54" s="431"/>
      <c r="L54" s="431"/>
      <c r="M54" s="431"/>
    </row>
    <row r="55" spans="1:13">
      <c r="A55" s="100">
        <v>1998</v>
      </c>
      <c r="B55" s="35">
        <v>143.75200000000001</v>
      </c>
      <c r="C55" s="34">
        <v>9.49</v>
      </c>
      <c r="E55" s="100">
        <f>LARGE(A$17:A$101,3)</f>
        <v>2017</v>
      </c>
      <c r="F55" s="521">
        <f t="shared" si="0"/>
        <v>814.119534714</v>
      </c>
      <c r="G55" s="1688">
        <f t="shared" si="1"/>
        <v>8.06</v>
      </c>
      <c r="I55" s="431"/>
      <c r="J55" s="431"/>
      <c r="K55" s="431"/>
      <c r="L55" s="431"/>
      <c r="M55" s="431"/>
    </row>
    <row r="56" spans="1:13">
      <c r="A56" s="100">
        <v>1999</v>
      </c>
      <c r="B56" s="526">
        <f>SUMIF('Iron Ore - Q&amp;V'!F$8:F$508, A56,'Iron Ore - Q&amp;V'!D$8:D$508)</f>
        <v>143.006</v>
      </c>
      <c r="C56" s="527">
        <v>8.5527019999999823</v>
      </c>
      <c r="E56" s="100">
        <f>LARGE(A$17:A$101,2)</f>
        <v>2018</v>
      </c>
      <c r="F56" s="1401">
        <f t="shared" si="0"/>
        <v>813.57782015700002</v>
      </c>
      <c r="G56" s="1689">
        <f t="shared" si="1"/>
        <v>8.6999999999999993</v>
      </c>
      <c r="I56" s="431"/>
      <c r="J56" s="431"/>
      <c r="K56" s="431"/>
      <c r="L56" s="431"/>
      <c r="M56" s="431"/>
    </row>
    <row r="57" spans="1:13" ht="15.75" thickBot="1">
      <c r="A57" s="100">
        <v>2000</v>
      </c>
      <c r="B57" s="35">
        <f>SUMIF('Iron Ore - Q&amp;V'!F$8:F$508, A57,'Iron Ore - Q&amp;V'!D$8:D$508)</f>
        <v>158.86599999999999</v>
      </c>
      <c r="C57" s="34">
        <v>4.9779999999999998</v>
      </c>
      <c r="E57" s="1813">
        <f>LARGE(A$17:A$101,1)</f>
        <v>2019</v>
      </c>
      <c r="F57" s="1690">
        <f t="shared" si="0"/>
        <v>810.312792737</v>
      </c>
      <c r="G57" s="1691">
        <f t="shared" si="1"/>
        <v>8.6720000000000006</v>
      </c>
      <c r="I57" s="1379">
        <f>SUM(F57+G57)</f>
        <v>818.98479273700002</v>
      </c>
      <c r="J57" s="431"/>
      <c r="K57" s="1378">
        <f>SUM(F57/I57)</f>
        <v>0.98941128079922136</v>
      </c>
      <c r="L57" s="431"/>
      <c r="M57" s="431"/>
    </row>
    <row r="58" spans="1:13">
      <c r="A58" s="100">
        <v>2001</v>
      </c>
      <c r="B58" s="526">
        <f>SUMIF('Iron Ore - Q&amp;V'!F$8:F$508, A58,'Iron Ore - Q&amp;V'!D$8:D$508)</f>
        <v>166.01499999999999</v>
      </c>
      <c r="C58" s="527">
        <v>5.202</v>
      </c>
      <c r="I58" s="431"/>
      <c r="J58" s="431"/>
      <c r="K58" s="431"/>
      <c r="L58" s="431"/>
      <c r="M58" s="431"/>
    </row>
    <row r="59" spans="1:13">
      <c r="A59" s="100">
        <v>2002</v>
      </c>
      <c r="B59" s="35">
        <f>SUMIF('Iron Ore - Q&amp;V'!F$8:F$508, A59,'Iron Ore - Q&amp;V'!D$8:D$508)</f>
        <v>171.767</v>
      </c>
      <c r="C59" s="34">
        <v>5.202</v>
      </c>
      <c r="I59" s="431"/>
      <c r="J59" s="431"/>
      <c r="K59" s="431"/>
      <c r="L59" s="431"/>
      <c r="M59" s="431"/>
    </row>
    <row r="60" spans="1:13">
      <c r="A60" s="100">
        <v>2003</v>
      </c>
      <c r="B60" s="526">
        <f>SUMIF('Iron Ore - Q&amp;V'!F$8:F$508, A60,'Iron Ore - Q&amp;V'!D$8:D$508)</f>
        <v>194.59400316</v>
      </c>
      <c r="C60" s="527">
        <v>5.7729999999999997</v>
      </c>
    </row>
    <row r="61" spans="1:13">
      <c r="A61" s="100">
        <v>2004</v>
      </c>
      <c r="B61" s="35">
        <f>SUMIF('Iron Ore - Q&amp;V'!F$8:F$508, A61,'Iron Ore - Q&amp;V'!D$8:D$508)</f>
        <v>213.53162907000001</v>
      </c>
      <c r="C61" s="34">
        <v>5.6210000000000004</v>
      </c>
    </row>
    <row r="62" spans="1:13">
      <c r="A62" s="100">
        <v>2005</v>
      </c>
      <c r="B62" s="526">
        <f>SUMIF('Iron Ore - Q&amp;V'!F$8:F$508, A62,'Iron Ore - Q&amp;V'!D$8:D$508)</f>
        <v>240.50167369000002</v>
      </c>
      <c r="C62" s="527">
        <v>5.508</v>
      </c>
    </row>
    <row r="63" spans="1:13">
      <c r="A63" s="100">
        <v>2006</v>
      </c>
      <c r="B63" s="35">
        <f>SUMIF('Iron Ore - Q&amp;V'!F$8:F$508, A63,'Iron Ore - Q&amp;V'!D$8:D$508)</f>
        <v>250.325766362</v>
      </c>
      <c r="C63" s="34">
        <v>5.5949999999999998</v>
      </c>
    </row>
    <row r="64" spans="1:13">
      <c r="A64" s="100">
        <v>2007</v>
      </c>
      <c r="B64" s="526">
        <f>SUMIF('Iron Ore - Q&amp;V'!F$8:F$508, A64,'Iron Ore - Q&amp;V'!D$8:D$508)</f>
        <v>264.44915205099994</v>
      </c>
      <c r="C64" s="527">
        <v>9.2279999999999998</v>
      </c>
    </row>
    <row r="65" spans="1:7">
      <c r="A65" s="100">
        <v>2008</v>
      </c>
      <c r="B65" s="35">
        <f>SUMIF('Iron Ore - Q&amp;V'!F$8:F$508, A65,'Iron Ore - Q&amp;V'!D$8:D$508)</f>
        <v>305.88447268200002</v>
      </c>
      <c r="C65" s="34">
        <v>11.244000000000002</v>
      </c>
    </row>
    <row r="66" spans="1:7">
      <c r="A66" s="100">
        <v>2009</v>
      </c>
      <c r="B66" s="526">
        <f>SUMIF('Iron Ore - Q&amp;V'!F$8:F$508, A66,'Iron Ore - Q&amp;V'!D$8:D$508)</f>
        <v>356.06964630899995</v>
      </c>
      <c r="C66" s="527">
        <v>12.558</v>
      </c>
    </row>
    <row r="67" spans="1:7">
      <c r="A67" s="100">
        <v>2010</v>
      </c>
      <c r="B67" s="35">
        <f>SUMIF('Iron Ore - Q&amp;V'!F$8:F$508, A67,'Iron Ore - Q&amp;V'!D$8:D$508)</f>
        <v>393.85115706600004</v>
      </c>
      <c r="C67" s="1661">
        <v>13.754</v>
      </c>
      <c r="D67" s="309"/>
    </row>
    <row r="68" spans="1:7">
      <c r="A68" s="100">
        <v>2011</v>
      </c>
      <c r="B68" s="526">
        <f>SUMIF('Iron Ore - Q&amp;V'!F$8:F$508, A68,'Iron Ore - Q&amp;V'!D$8:D$508)</f>
        <v>426.67287969500001</v>
      </c>
      <c r="C68" s="1660">
        <v>14.381</v>
      </c>
      <c r="D68" s="1664"/>
      <c r="E68" s="1213"/>
      <c r="F68" s="1213"/>
      <c r="G68" s="1213"/>
    </row>
    <row r="69" spans="1:7">
      <c r="A69" s="100">
        <v>2012</v>
      </c>
      <c r="B69" s="35">
        <f>SUMIF('Iron Ore - Q&amp;V'!F$8:F$508, A69,'Iron Ore - Q&amp;V'!D$8:D$508)</f>
        <v>478.32621689000001</v>
      </c>
      <c r="C69" s="1661">
        <v>14.849</v>
      </c>
      <c r="D69" s="1664"/>
      <c r="E69" s="1663"/>
      <c r="F69" s="1661"/>
      <c r="G69" s="1661"/>
    </row>
    <row r="70" spans="1:7">
      <c r="A70" s="100">
        <v>2013</v>
      </c>
      <c r="B70" s="526">
        <f>SUMIF('Iron Ore - Q&amp;V'!F$8:F$508, A70,'Iron Ore - Q&amp;V'!D$8:D$508)</f>
        <v>554.93783338100002</v>
      </c>
      <c r="C70" s="1660">
        <v>16.393000000000001</v>
      </c>
      <c r="D70" s="1664"/>
      <c r="E70" s="1663"/>
      <c r="F70" s="1661"/>
      <c r="G70" s="1661"/>
    </row>
    <row r="71" spans="1:7">
      <c r="A71" s="100">
        <v>2014</v>
      </c>
      <c r="B71" s="35">
        <f>SUMIF('Iron Ore - Q&amp;V'!F$8:F$508, A71,'Iron Ore - Q&amp;V'!D$8:D$508)</f>
        <v>686.23425861200008</v>
      </c>
      <c r="C71" s="1661">
        <v>15.496</v>
      </c>
      <c r="D71" s="1664"/>
      <c r="E71" s="1663"/>
      <c r="F71" s="1661"/>
      <c r="G71" s="1661"/>
    </row>
    <row r="72" spans="1:7">
      <c r="A72" s="100">
        <v>2015</v>
      </c>
      <c r="B72" s="526">
        <f>SUMIF('Iron Ore - Q&amp;V'!F$8:F$508, A72,'Iron Ore - Q&amp;V'!D$8:D$508)</f>
        <v>742.39410678800004</v>
      </c>
      <c r="C72" s="1660">
        <v>12.045</v>
      </c>
      <c r="D72" s="1664"/>
      <c r="E72" s="1663"/>
      <c r="F72" s="1661"/>
      <c r="G72" s="1661"/>
    </row>
    <row r="73" spans="1:7">
      <c r="A73" s="100">
        <v>2016</v>
      </c>
      <c r="B73" s="38">
        <f>SUMIF('Iron Ore - Q&amp;V'!F$8:F$508, A73,'Iron Ore - Q&amp;V'!D$8:D$508)</f>
        <v>769.27752114500004</v>
      </c>
      <c r="C73" s="1648">
        <v>11.536</v>
      </c>
      <c r="D73" s="1664"/>
      <c r="E73" s="1663"/>
      <c r="F73" s="1661"/>
      <c r="G73" s="1661"/>
    </row>
    <row r="74" spans="1:7">
      <c r="A74" s="100">
        <v>2017</v>
      </c>
      <c r="B74" s="526">
        <f>SUMIF('Iron Ore - Q&amp;V'!F$8:F$508, A74,'Iron Ore - Q&amp;V'!D$8:D$508)</f>
        <v>814.119534714</v>
      </c>
      <c r="C74" s="1660">
        <v>8.06</v>
      </c>
      <c r="D74" s="1664"/>
      <c r="E74" s="1663"/>
      <c r="F74" s="1661"/>
      <c r="G74" s="1661"/>
    </row>
    <row r="75" spans="1:7">
      <c r="A75" s="100">
        <v>2018</v>
      </c>
      <c r="B75" s="38">
        <f>SUMIF('Iron Ore - Q&amp;V'!F$8:F$508, A75,'Iron Ore - Q&amp;V'!D$8:D$508)</f>
        <v>813.57782015700002</v>
      </c>
      <c r="C75" s="1648">
        <v>8.6999999999999993</v>
      </c>
      <c r="D75" s="1664"/>
      <c r="E75" s="1663"/>
      <c r="F75" s="1661"/>
      <c r="G75" s="1661"/>
    </row>
    <row r="76" spans="1:7" ht="15.75" thickBot="1">
      <c r="A76" s="100">
        <v>2019</v>
      </c>
      <c r="B76" s="526">
        <f>SUMIF('Iron Ore - Q&amp;V'!F$8:F$508, A76,'Iron Ore - Q&amp;V'!D$8:D$508)</f>
        <v>810.312792737</v>
      </c>
      <c r="C76" s="1662">
        <v>8.6720000000000006</v>
      </c>
      <c r="D76" s="1664"/>
      <c r="E76" s="1663"/>
      <c r="F76" s="1661"/>
      <c r="G76" s="1661"/>
    </row>
    <row r="77" spans="1:7">
      <c r="A77" s="1639"/>
      <c r="B77" s="1639"/>
      <c r="C77" s="1639"/>
      <c r="D77" s="1213"/>
      <c r="E77" s="1213"/>
      <c r="F77" s="1213"/>
      <c r="G77" s="1213"/>
    </row>
    <row r="80" spans="1:7">
      <c r="C80" s="407"/>
    </row>
  </sheetData>
  <mergeCells count="3">
    <mergeCell ref="A5:C5"/>
    <mergeCell ref="E45:G45"/>
    <mergeCell ref="E46:G46"/>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tint="0.39997558519241921"/>
  </sheetPr>
  <dimension ref="A2:AW103"/>
  <sheetViews>
    <sheetView zoomScaleNormal="100" workbookViewId="0"/>
  </sheetViews>
  <sheetFormatPr defaultRowHeight="15"/>
  <cols>
    <col min="2" max="2" width="34" bestFit="1" customWidth="1"/>
    <col min="3" max="3" width="27.85546875" bestFit="1" customWidth="1"/>
    <col min="4" max="4" width="4.7109375" customWidth="1"/>
    <col min="5" max="6" width="12.7109375" customWidth="1"/>
    <col min="7" max="7" width="22" style="141" bestFit="1" customWidth="1"/>
    <col min="8" max="8" width="20" style="141" bestFit="1" customWidth="1"/>
    <col min="9" max="9" width="16.85546875" bestFit="1" customWidth="1"/>
    <col min="10" max="10" width="20.28515625" bestFit="1" customWidth="1"/>
    <col min="11" max="11" width="12.7109375" customWidth="1"/>
    <col min="12" max="12" width="3.42578125" customWidth="1"/>
    <col min="13" max="13" width="15.42578125" style="141" hidden="1" customWidth="1"/>
    <col min="14" max="14" width="20.28515625" style="24" customWidth="1"/>
    <col min="15" max="15" width="22" style="24" bestFit="1" customWidth="1"/>
    <col min="16" max="16" width="20.85546875" style="24" bestFit="1" customWidth="1"/>
    <col min="17" max="17" width="14.42578125" style="24" customWidth="1"/>
  </cols>
  <sheetData>
    <row r="2" spans="1:18">
      <c r="F2" s="537"/>
      <c r="M2"/>
      <c r="N2"/>
      <c r="O2"/>
      <c r="P2"/>
      <c r="Q2"/>
    </row>
    <row r="5" spans="1:18" ht="15.75" thickBot="1">
      <c r="A5" s="2008" t="s">
        <v>153</v>
      </c>
      <c r="B5" s="1966"/>
      <c r="C5" s="1966"/>
      <c r="N5" s="1966" t="s">
        <v>841</v>
      </c>
      <c r="O5" s="1966"/>
      <c r="P5" s="1966"/>
      <c r="Q5" s="1966"/>
    </row>
    <row r="6" spans="1:18" ht="15.75" thickBot="1">
      <c r="A6" s="200"/>
      <c r="B6" s="189" t="s">
        <v>808</v>
      </c>
      <c r="C6" s="111" t="s">
        <v>809</v>
      </c>
      <c r="M6" s="212" t="s">
        <v>169</v>
      </c>
      <c r="N6" s="209" t="s">
        <v>168</v>
      </c>
      <c r="O6" s="210" t="s">
        <v>810</v>
      </c>
      <c r="P6" s="211" t="s">
        <v>171</v>
      </c>
      <c r="Q6" s="212" t="s">
        <v>812</v>
      </c>
    </row>
    <row r="7" spans="1:18">
      <c r="A7" s="190">
        <v>1980</v>
      </c>
      <c r="B7" s="192">
        <v>37121</v>
      </c>
      <c r="C7" s="193">
        <v>7524</v>
      </c>
      <c r="M7" s="213">
        <f t="shared" ref="M7:M46" si="0">RANK(O7,O$7:O$87)</f>
        <v>1</v>
      </c>
      <c r="N7" s="204" t="s">
        <v>154</v>
      </c>
      <c r="O7" s="205">
        <v>664562989.81999993</v>
      </c>
      <c r="P7" s="206">
        <v>62163203.248000003</v>
      </c>
      <c r="Q7" s="1778">
        <v>93.539971680994753</v>
      </c>
      <c r="R7" s="1348"/>
    </row>
    <row r="8" spans="1:18">
      <c r="A8" s="191">
        <v>1981</v>
      </c>
      <c r="B8" s="194">
        <v>35604</v>
      </c>
      <c r="C8" s="195">
        <v>3336</v>
      </c>
      <c r="M8" s="214">
        <f t="shared" si="0"/>
        <v>2</v>
      </c>
      <c r="N8" s="204" t="s">
        <v>64</v>
      </c>
      <c r="O8" s="201">
        <v>227575119.30299997</v>
      </c>
      <c r="P8" s="207">
        <v>22264925.534999996</v>
      </c>
      <c r="Q8" s="1779">
        <v>97.835499782187711</v>
      </c>
      <c r="R8" s="1348"/>
    </row>
    <row r="9" spans="1:18">
      <c r="A9" s="191">
        <v>1982</v>
      </c>
      <c r="B9" s="196">
        <v>37160</v>
      </c>
      <c r="C9" s="197">
        <v>3452</v>
      </c>
      <c r="M9" s="215">
        <f t="shared" si="0"/>
        <v>3</v>
      </c>
      <c r="N9" s="204" t="s">
        <v>38</v>
      </c>
      <c r="O9" s="205">
        <v>42867864.696000002</v>
      </c>
      <c r="P9" s="208">
        <v>4387201.84</v>
      </c>
      <c r="Q9" s="1778">
        <v>102.34243928668016</v>
      </c>
      <c r="R9" s="1348"/>
    </row>
    <row r="10" spans="1:18">
      <c r="A10" s="191">
        <v>1983</v>
      </c>
      <c r="B10" s="194">
        <v>40021</v>
      </c>
      <c r="C10" s="195">
        <v>4385</v>
      </c>
      <c r="M10" s="214">
        <f t="shared" si="0"/>
        <v>4</v>
      </c>
      <c r="N10" s="204" t="s">
        <v>27</v>
      </c>
      <c r="O10" s="201">
        <v>23804675.555</v>
      </c>
      <c r="P10" s="207">
        <v>2243622.2419999996</v>
      </c>
      <c r="Q10" s="1779">
        <v>94.251326249592296</v>
      </c>
      <c r="R10" s="1348"/>
    </row>
    <row r="11" spans="1:18">
      <c r="A11" s="191">
        <v>1984</v>
      </c>
      <c r="B11" s="196">
        <v>43475</v>
      </c>
      <c r="C11" s="197">
        <v>5970</v>
      </c>
      <c r="M11" s="215">
        <f t="shared" si="0"/>
        <v>5</v>
      </c>
      <c r="N11" s="204" t="s">
        <v>82</v>
      </c>
      <c r="O11" s="205">
        <v>14988955.044</v>
      </c>
      <c r="P11" s="208">
        <v>1475971.4029999999</v>
      </c>
      <c r="Q11" s="1778">
        <v>98.470600429936141</v>
      </c>
      <c r="R11" s="1348"/>
    </row>
    <row r="12" spans="1:18">
      <c r="A12" s="191">
        <v>1985</v>
      </c>
      <c r="B12" s="194">
        <v>46794</v>
      </c>
      <c r="C12" s="195">
        <v>10114</v>
      </c>
      <c r="M12" s="214">
        <f t="shared" si="0"/>
        <v>6</v>
      </c>
      <c r="N12" s="204" t="s">
        <v>86</v>
      </c>
      <c r="O12" s="201">
        <v>13943568.265999999</v>
      </c>
      <c r="P12" s="207">
        <v>1585185.0970000001</v>
      </c>
      <c r="Q12" s="1779">
        <v>113.68575580938746</v>
      </c>
      <c r="R12" s="1348"/>
    </row>
    <row r="13" spans="1:18">
      <c r="A13" s="191">
        <v>1986</v>
      </c>
      <c r="B13" s="196">
        <v>52208</v>
      </c>
      <c r="C13" s="197">
        <v>12005</v>
      </c>
      <c r="M13" s="215">
        <f t="shared" si="0"/>
        <v>7</v>
      </c>
      <c r="N13" s="204" t="s">
        <v>155</v>
      </c>
      <c r="O13" s="205">
        <v>12723071.181</v>
      </c>
      <c r="P13" s="208">
        <v>1300329.7930000001</v>
      </c>
      <c r="Q13" s="1778">
        <v>102.20250869474407</v>
      </c>
      <c r="R13" s="1348"/>
    </row>
    <row r="14" spans="1:18">
      <c r="A14" s="191">
        <v>1987</v>
      </c>
      <c r="B14" s="194">
        <v>56280</v>
      </c>
      <c r="C14" s="195">
        <v>12098</v>
      </c>
      <c r="M14" s="214">
        <f t="shared" si="0"/>
        <v>8</v>
      </c>
      <c r="N14" s="204" t="s">
        <v>65</v>
      </c>
      <c r="O14" s="201">
        <v>11312751.192</v>
      </c>
      <c r="P14" s="207">
        <v>1258771.4410000001</v>
      </c>
      <c r="Q14" s="1779">
        <v>111.27014283582594</v>
      </c>
      <c r="R14" s="1348"/>
    </row>
    <row r="15" spans="1:18">
      <c r="A15" s="191">
        <v>1988</v>
      </c>
      <c r="B15" s="196">
        <v>59430</v>
      </c>
      <c r="C15" s="197">
        <v>10756</v>
      </c>
      <c r="M15" s="215">
        <f t="shared" si="0"/>
        <v>9</v>
      </c>
      <c r="N15" s="204" t="s">
        <v>36</v>
      </c>
      <c r="O15" s="205">
        <v>8400522.3110000007</v>
      </c>
      <c r="P15" s="208">
        <v>825545.26699999999</v>
      </c>
      <c r="Q15" s="1778">
        <v>98.273087843478024</v>
      </c>
      <c r="R15" s="1348"/>
    </row>
    <row r="16" spans="1:18">
      <c r="A16" s="191">
        <v>1989</v>
      </c>
      <c r="B16" s="194">
        <v>61587</v>
      </c>
      <c r="C16" s="195">
        <v>12414</v>
      </c>
      <c r="M16" s="214">
        <f t="shared" si="0"/>
        <v>10</v>
      </c>
      <c r="N16" s="204" t="s">
        <v>158</v>
      </c>
      <c r="O16" s="201">
        <v>8306509.1290000007</v>
      </c>
      <c r="P16" s="207">
        <v>426161.79499999998</v>
      </c>
      <c r="Q16" s="1779">
        <v>51.30455987969335</v>
      </c>
      <c r="R16" s="1348"/>
    </row>
    <row r="17" spans="1:18">
      <c r="A17" s="191">
        <v>1990</v>
      </c>
      <c r="B17" s="196">
        <v>66350</v>
      </c>
      <c r="C17" s="197">
        <v>14191</v>
      </c>
      <c r="M17" s="215">
        <f t="shared" si="0"/>
        <v>11</v>
      </c>
      <c r="N17" s="204" t="s">
        <v>78</v>
      </c>
      <c r="O17" s="205">
        <v>6791514.551</v>
      </c>
      <c r="P17" s="208">
        <v>721212.29700000002</v>
      </c>
      <c r="Q17" s="1778">
        <v>106.19314610668202</v>
      </c>
      <c r="R17" s="1348"/>
    </row>
    <row r="18" spans="1:18">
      <c r="A18" s="191">
        <v>1991</v>
      </c>
      <c r="B18" s="194">
        <v>71000</v>
      </c>
      <c r="C18" s="195">
        <v>19035</v>
      </c>
      <c r="K18" s="188"/>
      <c r="M18" s="214">
        <f t="shared" si="0"/>
        <v>12</v>
      </c>
      <c r="N18" s="204" t="s">
        <v>157</v>
      </c>
      <c r="O18" s="201">
        <v>6331511.0180000002</v>
      </c>
      <c r="P18" s="207">
        <v>589718.29799999995</v>
      </c>
      <c r="Q18" s="1779">
        <v>93.140215080330137</v>
      </c>
      <c r="R18" s="1348"/>
    </row>
    <row r="19" spans="1:18">
      <c r="A19" s="191">
        <v>1992</v>
      </c>
      <c r="B19" s="196">
        <v>80940</v>
      </c>
      <c r="C19" s="197">
        <v>25172</v>
      </c>
      <c r="K19" s="188"/>
      <c r="M19" s="215">
        <f t="shared" si="0"/>
        <v>13</v>
      </c>
      <c r="N19" s="204" t="s">
        <v>79</v>
      </c>
      <c r="O19" s="205">
        <v>4167495.87</v>
      </c>
      <c r="P19" s="208">
        <v>351923.65</v>
      </c>
      <c r="Q19" s="1778">
        <v>84.444870727610351</v>
      </c>
      <c r="R19" s="1348"/>
    </row>
    <row r="20" spans="1:18">
      <c r="A20" s="191">
        <v>1993</v>
      </c>
      <c r="B20" s="194">
        <v>89560</v>
      </c>
      <c r="C20" s="195">
        <v>33020</v>
      </c>
      <c r="K20" s="188"/>
      <c r="M20" s="214">
        <f t="shared" si="0"/>
        <v>14</v>
      </c>
      <c r="N20" s="204" t="s">
        <v>31</v>
      </c>
      <c r="O20" s="201">
        <v>3179460.196</v>
      </c>
      <c r="P20" s="207">
        <v>221333.89299999998</v>
      </c>
      <c r="Q20" s="1779">
        <v>69.613670043252839</v>
      </c>
      <c r="R20" s="1348"/>
    </row>
    <row r="21" spans="1:18">
      <c r="A21" s="191">
        <v>1994</v>
      </c>
      <c r="B21" s="196">
        <v>92610</v>
      </c>
      <c r="C21" s="197">
        <v>37343</v>
      </c>
      <c r="K21" s="188"/>
      <c r="M21" s="215">
        <f t="shared" si="0"/>
        <v>15</v>
      </c>
      <c r="N21" s="204" t="s">
        <v>40</v>
      </c>
      <c r="O21" s="205">
        <v>3176642.1510000001</v>
      </c>
      <c r="P21" s="208">
        <v>326143.61000000004</v>
      </c>
      <c r="Q21" s="1778">
        <v>102.66929496522947</v>
      </c>
      <c r="R21" s="1348"/>
    </row>
    <row r="22" spans="1:18">
      <c r="A22" s="191">
        <v>1995</v>
      </c>
      <c r="B22" s="194">
        <v>95360</v>
      </c>
      <c r="C22" s="195">
        <v>41150</v>
      </c>
      <c r="K22" s="188"/>
      <c r="M22" s="214">
        <f t="shared" si="0"/>
        <v>16</v>
      </c>
      <c r="N22" s="204" t="s">
        <v>161</v>
      </c>
      <c r="O22" s="201">
        <v>2767625.0700000003</v>
      </c>
      <c r="P22" s="207">
        <v>86573.483999999997</v>
      </c>
      <c r="Q22" s="1779">
        <v>31.280784719875367</v>
      </c>
      <c r="R22" s="1348"/>
    </row>
    <row r="23" spans="1:18">
      <c r="A23" s="191">
        <v>1996</v>
      </c>
      <c r="B23" s="196">
        <v>101237</v>
      </c>
      <c r="C23" s="197">
        <v>43874</v>
      </c>
      <c r="K23" s="188"/>
      <c r="M23" s="215">
        <f t="shared" si="0"/>
        <v>17</v>
      </c>
      <c r="N23" s="204" t="s">
        <v>34</v>
      </c>
      <c r="O23" s="205">
        <v>2111139.483</v>
      </c>
      <c r="P23" s="208">
        <v>132147.149</v>
      </c>
      <c r="Q23" s="1778">
        <v>62.595176711021701</v>
      </c>
      <c r="R23" s="1348"/>
    </row>
    <row r="24" spans="1:18">
      <c r="A24" s="191">
        <v>1997</v>
      </c>
      <c r="B24" s="194">
        <v>108911</v>
      </c>
      <c r="C24" s="195">
        <v>55106</v>
      </c>
      <c r="K24" s="188"/>
      <c r="M24" s="214">
        <f t="shared" si="0"/>
        <v>18</v>
      </c>
      <c r="N24" s="204" t="s">
        <v>643</v>
      </c>
      <c r="O24" s="201">
        <v>2026186.027</v>
      </c>
      <c r="P24" s="207">
        <v>136400.739</v>
      </c>
      <c r="Q24" s="1779">
        <v>67.318961429201494</v>
      </c>
      <c r="R24" s="1348"/>
    </row>
    <row r="25" spans="1:18">
      <c r="A25" s="191">
        <v>1998</v>
      </c>
      <c r="B25" s="196">
        <v>114588</v>
      </c>
      <c r="C25" s="197">
        <v>52030</v>
      </c>
      <c r="K25" s="188"/>
      <c r="M25" s="215">
        <f t="shared" si="0"/>
        <v>20</v>
      </c>
      <c r="N25" s="204" t="s">
        <v>28</v>
      </c>
      <c r="O25" s="205">
        <v>1334241.159</v>
      </c>
      <c r="P25" s="208">
        <v>108130.36799999999</v>
      </c>
      <c r="Q25" s="1778">
        <v>81.04259658804304</v>
      </c>
      <c r="R25" s="1348"/>
    </row>
    <row r="26" spans="1:18">
      <c r="A26" s="191">
        <v>1999</v>
      </c>
      <c r="B26" s="198">
        <v>123954</v>
      </c>
      <c r="C26" s="199">
        <v>55390</v>
      </c>
      <c r="K26" s="188"/>
      <c r="M26" s="214">
        <f t="shared" si="0"/>
        <v>21</v>
      </c>
      <c r="N26" s="204" t="s">
        <v>71</v>
      </c>
      <c r="O26" s="201">
        <v>1209412.8810000001</v>
      </c>
      <c r="P26" s="207">
        <v>128618.242</v>
      </c>
      <c r="Q26" s="1779">
        <v>106.34767003114133</v>
      </c>
      <c r="R26" s="1348"/>
    </row>
    <row r="27" spans="1:18">
      <c r="A27" s="191">
        <v>2000</v>
      </c>
      <c r="B27" s="196">
        <v>128500</v>
      </c>
      <c r="C27" s="197">
        <v>69990</v>
      </c>
      <c r="K27" s="188"/>
      <c r="M27" s="215">
        <f t="shared" si="0"/>
        <v>22</v>
      </c>
      <c r="N27" s="204" t="s">
        <v>160</v>
      </c>
      <c r="O27" s="205">
        <v>1086256.5549999999</v>
      </c>
      <c r="P27" s="208">
        <v>103474.33500000001</v>
      </c>
      <c r="Q27" s="1778">
        <v>95.257731264047479</v>
      </c>
      <c r="R27" s="1348"/>
    </row>
    <row r="28" spans="1:18">
      <c r="A28" s="191">
        <v>2001</v>
      </c>
      <c r="B28" s="198">
        <v>151634</v>
      </c>
      <c r="C28" s="199">
        <v>92480</v>
      </c>
      <c r="K28" s="188"/>
      <c r="M28" s="214">
        <f t="shared" si="0"/>
        <v>23</v>
      </c>
      <c r="N28" s="204" t="s">
        <v>80</v>
      </c>
      <c r="O28" s="201">
        <v>981131.15800000005</v>
      </c>
      <c r="P28" s="207">
        <v>83128.655999999988</v>
      </c>
      <c r="Q28" s="1779">
        <v>84.727363229860842</v>
      </c>
      <c r="R28" s="1348"/>
    </row>
    <row r="29" spans="1:18">
      <c r="A29" s="191">
        <v>2002</v>
      </c>
      <c r="B29" s="196">
        <v>182249</v>
      </c>
      <c r="C29" s="197">
        <v>114599</v>
      </c>
      <c r="K29" s="188"/>
      <c r="M29" s="215">
        <f t="shared" si="0"/>
        <v>24</v>
      </c>
      <c r="N29" s="204" t="s">
        <v>42</v>
      </c>
      <c r="O29" s="205">
        <v>978985.34499999997</v>
      </c>
      <c r="P29" s="208">
        <v>110187.963</v>
      </c>
      <c r="Q29" s="1778">
        <v>112.55323030397356</v>
      </c>
      <c r="R29" s="1348"/>
    </row>
    <row r="30" spans="1:18">
      <c r="A30" s="191">
        <v>2003</v>
      </c>
      <c r="B30" s="198">
        <v>222336</v>
      </c>
      <c r="C30" s="199">
        <v>148196</v>
      </c>
      <c r="K30" s="188"/>
      <c r="M30" s="214">
        <f t="shared" si="0"/>
        <v>25</v>
      </c>
      <c r="N30" s="204" t="s">
        <v>159</v>
      </c>
      <c r="O30" s="201">
        <v>936948.50300000003</v>
      </c>
      <c r="P30" s="207">
        <v>100814.10799999999</v>
      </c>
      <c r="Q30" s="1779">
        <v>107.59834470859919</v>
      </c>
      <c r="R30" s="1348"/>
    </row>
    <row r="31" spans="1:18">
      <c r="A31" s="191">
        <v>2004</v>
      </c>
      <c r="B31" s="196">
        <v>272798</v>
      </c>
      <c r="C31" s="197">
        <v>208089</v>
      </c>
      <c r="K31" s="188"/>
      <c r="M31" s="215">
        <f t="shared" si="0"/>
        <v>26</v>
      </c>
      <c r="N31" s="204" t="s">
        <v>840</v>
      </c>
      <c r="O31" s="205">
        <v>611143.95699999994</v>
      </c>
      <c r="P31" s="208">
        <v>53964.308000000005</v>
      </c>
      <c r="Q31" s="1778">
        <v>88.300485314297248</v>
      </c>
      <c r="R31" s="1348"/>
    </row>
    <row r="32" spans="1:18">
      <c r="A32" s="191">
        <v>2005</v>
      </c>
      <c r="B32" s="198">
        <v>355790</v>
      </c>
      <c r="C32" s="199">
        <v>275260</v>
      </c>
      <c r="K32" s="188"/>
      <c r="M32" s="214">
        <f t="shared" si="0"/>
        <v>27</v>
      </c>
      <c r="N32" s="204" t="s">
        <v>81</v>
      </c>
      <c r="O32" s="201">
        <v>361475.89500000002</v>
      </c>
      <c r="P32" s="207">
        <v>18394.181</v>
      </c>
      <c r="Q32" s="1779">
        <v>50.886328118780916</v>
      </c>
      <c r="R32" s="1348"/>
    </row>
    <row r="33" spans="1:18">
      <c r="A33" s="191">
        <v>2006</v>
      </c>
      <c r="B33" s="196">
        <v>421024</v>
      </c>
      <c r="C33" s="197">
        <v>327311.821</v>
      </c>
      <c r="K33" s="188"/>
      <c r="M33" s="215">
        <f t="shared" si="0"/>
        <v>28</v>
      </c>
      <c r="N33" s="204" t="s">
        <v>85</v>
      </c>
      <c r="O33" s="205">
        <v>314997.56599999999</v>
      </c>
      <c r="P33" s="208">
        <v>29604.032999999999</v>
      </c>
      <c r="Q33" s="1778">
        <v>93.981783338605226</v>
      </c>
      <c r="R33" s="1348"/>
    </row>
    <row r="34" spans="1:18">
      <c r="A34" s="191">
        <v>2007</v>
      </c>
      <c r="B34" s="198">
        <v>489712</v>
      </c>
      <c r="C34" s="199">
        <v>383672</v>
      </c>
      <c r="K34" s="188"/>
      <c r="M34" s="214">
        <f t="shared" si="0"/>
        <v>29</v>
      </c>
      <c r="N34" s="204" t="s">
        <v>373</v>
      </c>
      <c r="O34" s="201">
        <v>292824.28200000001</v>
      </c>
      <c r="P34" s="207">
        <v>21880.094000000001</v>
      </c>
      <c r="Q34" s="1779">
        <v>74.720900365769538</v>
      </c>
      <c r="R34" s="1348"/>
    </row>
    <row r="35" spans="1:18">
      <c r="A35" s="191">
        <v>2008</v>
      </c>
      <c r="B35" s="196">
        <v>512339</v>
      </c>
      <c r="C35" s="197">
        <v>444134</v>
      </c>
      <c r="K35" s="188"/>
      <c r="M35" s="215">
        <f t="shared" si="0"/>
        <v>30</v>
      </c>
      <c r="N35" s="204" t="s">
        <v>39</v>
      </c>
      <c r="O35" s="205">
        <v>180669.95699999999</v>
      </c>
      <c r="P35" s="208">
        <v>14925.843999999999</v>
      </c>
      <c r="Q35" s="1778">
        <v>82.613868115328103</v>
      </c>
      <c r="R35" s="1348"/>
    </row>
    <row r="36" spans="1:18">
      <c r="A36" s="191">
        <v>2009</v>
      </c>
      <c r="B36" s="198">
        <v>577070</v>
      </c>
      <c r="C36" s="199">
        <v>628190</v>
      </c>
      <c r="K36" s="188"/>
      <c r="M36" s="214">
        <f t="shared" si="0"/>
        <v>31</v>
      </c>
      <c r="N36" s="204" t="s">
        <v>166</v>
      </c>
      <c r="O36" s="201">
        <v>170590.10500000001</v>
      </c>
      <c r="P36" s="207">
        <v>18833.38</v>
      </c>
      <c r="Q36" s="1779">
        <v>110.40136237679202</v>
      </c>
      <c r="R36" s="1348"/>
    </row>
    <row r="37" spans="1:18" ht="15.75" thickBot="1">
      <c r="A37" s="191">
        <v>2010</v>
      </c>
      <c r="B37" s="196">
        <v>638743</v>
      </c>
      <c r="C37" s="197">
        <v>616354</v>
      </c>
      <c r="K37" s="188"/>
      <c r="M37" s="215">
        <f t="shared" si="0"/>
        <v>19</v>
      </c>
      <c r="N37" s="204" t="s">
        <v>167</v>
      </c>
      <c r="O37" s="205">
        <v>1406236.0199999809</v>
      </c>
      <c r="P37" s="208">
        <v>128832.78300003707</v>
      </c>
      <c r="Q37" s="1778">
        <v>91.615334245270446</v>
      </c>
      <c r="R37" s="1348"/>
    </row>
    <row r="38" spans="1:18">
      <c r="A38" s="191">
        <v>2011</v>
      </c>
      <c r="B38" s="198">
        <v>701968</v>
      </c>
      <c r="C38" s="199">
        <v>686700</v>
      </c>
      <c r="K38" s="188"/>
      <c r="M38" s="1780" t="e">
        <f t="shared" si="0"/>
        <v>#N/A</v>
      </c>
      <c r="N38" s="1183"/>
      <c r="O38" s="1182"/>
      <c r="P38" s="1182"/>
      <c r="Q38" s="1182"/>
      <c r="R38" s="1348"/>
    </row>
    <row r="39" spans="1:18">
      <c r="A39" s="191">
        <v>2012</v>
      </c>
      <c r="B39" s="196">
        <v>731040</v>
      </c>
      <c r="C39" s="197">
        <v>745493.19700000004</v>
      </c>
      <c r="K39" s="188"/>
      <c r="M39" s="1781" t="e">
        <f t="shared" si="0"/>
        <v>#N/A</v>
      </c>
      <c r="N39" s="1782"/>
      <c r="O39" s="201"/>
      <c r="P39" s="201"/>
      <c r="Q39" s="201"/>
      <c r="R39" s="1348"/>
    </row>
    <row r="40" spans="1:18">
      <c r="A40" s="191">
        <v>2013</v>
      </c>
      <c r="B40" s="198">
        <v>822000</v>
      </c>
      <c r="C40" s="199">
        <v>820115</v>
      </c>
      <c r="K40" s="188"/>
      <c r="M40" s="1780" t="e">
        <f t="shared" si="0"/>
        <v>#N/A</v>
      </c>
      <c r="N40" s="1782"/>
      <c r="O40" s="201"/>
      <c r="P40" s="201"/>
      <c r="Q40" s="201"/>
      <c r="R40" s="1348"/>
    </row>
    <row r="41" spans="1:18" s="141" customFormat="1">
      <c r="A41" s="191">
        <v>2014</v>
      </c>
      <c r="B41" s="196">
        <v>822698</v>
      </c>
      <c r="C41" s="197">
        <v>933097</v>
      </c>
      <c r="K41" s="188"/>
      <c r="M41" s="1781" t="e">
        <f t="shared" si="0"/>
        <v>#N/A</v>
      </c>
      <c r="N41" s="1782"/>
      <c r="O41" s="201"/>
      <c r="P41" s="201"/>
      <c r="Q41" s="201"/>
      <c r="R41" s="1348"/>
    </row>
    <row r="42" spans="1:18">
      <c r="A42" s="191">
        <v>2015</v>
      </c>
      <c r="B42" s="280">
        <v>803800</v>
      </c>
      <c r="C42" s="199">
        <v>953320</v>
      </c>
      <c r="K42" s="188"/>
      <c r="M42" s="1780" t="e">
        <f t="shared" si="0"/>
        <v>#N/A</v>
      </c>
      <c r="N42" s="1782"/>
      <c r="O42" s="201"/>
      <c r="P42" s="201"/>
      <c r="Q42" s="201"/>
      <c r="R42" s="1348"/>
    </row>
    <row r="43" spans="1:18">
      <c r="A43" s="1355">
        <v>2016</v>
      </c>
      <c r="B43" s="196">
        <v>808370</v>
      </c>
      <c r="C43" s="197">
        <v>1024722</v>
      </c>
      <c r="K43" s="188"/>
      <c r="M43" s="1781" t="e">
        <f t="shared" si="0"/>
        <v>#N/A</v>
      </c>
      <c r="N43" s="1782"/>
      <c r="O43" s="201"/>
      <c r="P43" s="201"/>
      <c r="Q43" s="201"/>
      <c r="R43" s="1348"/>
    </row>
    <row r="44" spans="1:18">
      <c r="A44" s="1355">
        <v>2017</v>
      </c>
      <c r="B44" s="1530">
        <v>831852</v>
      </c>
      <c r="C44" s="1531">
        <v>1074689.9701640001</v>
      </c>
      <c r="K44" s="188"/>
      <c r="M44" s="215" t="e">
        <f t="shared" si="0"/>
        <v>#N/A</v>
      </c>
      <c r="N44" s="1782"/>
      <c r="O44" s="202"/>
      <c r="P44" s="202"/>
      <c r="Q44" s="202"/>
    </row>
    <row r="45" spans="1:18">
      <c r="A45" s="1355">
        <v>2018</v>
      </c>
      <c r="B45" s="196">
        <v>920027</v>
      </c>
      <c r="C45" s="197">
        <v>1063004.6196299999</v>
      </c>
      <c r="K45" s="188"/>
      <c r="M45" s="215" t="e">
        <f t="shared" si="0"/>
        <v>#N/A</v>
      </c>
    </row>
    <row r="46" spans="1:18" ht="15.75" thickBot="1">
      <c r="A46" s="1357">
        <v>2019</v>
      </c>
      <c r="B46" s="1397">
        <v>996342</v>
      </c>
      <c r="C46" s="1398">
        <v>1068949.0834240001</v>
      </c>
      <c r="K46" s="188"/>
      <c r="M46" s="215" t="e">
        <f t="shared" si="0"/>
        <v>#N/A</v>
      </c>
    </row>
    <row r="47" spans="1:18">
      <c r="A47" s="188"/>
      <c r="K47" s="188"/>
      <c r="M47" s="1182"/>
    </row>
    <row r="48" spans="1:18">
      <c r="K48" s="188"/>
    </row>
    <row r="49" spans="1:49">
      <c r="K49" s="188"/>
    </row>
    <row r="50" spans="1:49">
      <c r="A50" s="188"/>
      <c r="K50" s="188"/>
    </row>
    <row r="51" spans="1:49">
      <c r="K51" s="188"/>
    </row>
    <row r="52" spans="1:49">
      <c r="K52" s="188"/>
    </row>
    <row r="53" spans="1:49" ht="15.75" thickBot="1">
      <c r="A53" s="141"/>
      <c r="B53" s="141"/>
      <c r="C53" s="141"/>
      <c r="D53" s="141"/>
      <c r="E53" s="1966" t="str">
        <f>"Major China Iron Ore Source Nations "&amp;RIGHT(N5,4)</f>
        <v>Major China Iron Ore Source Nations 2019</v>
      </c>
      <c r="F53" s="1966"/>
      <c r="G53" s="1966"/>
      <c r="H53" s="1966"/>
      <c r="I53" s="1966"/>
      <c r="J53" s="1966"/>
      <c r="K53" s="188"/>
      <c r="L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141"/>
      <c r="AR53" s="141"/>
      <c r="AS53" s="141"/>
      <c r="AT53" s="141"/>
      <c r="AU53" s="141"/>
      <c r="AV53" s="141"/>
    </row>
    <row r="54" spans="1:49" ht="15.75" thickBot="1">
      <c r="B54" s="141"/>
      <c r="E54" s="200" t="s">
        <v>43</v>
      </c>
      <c r="F54" s="221" t="s">
        <v>44</v>
      </c>
      <c r="G54" s="210" t="s">
        <v>810</v>
      </c>
      <c r="H54" s="221" t="s">
        <v>172</v>
      </c>
      <c r="I54" s="112" t="s">
        <v>811</v>
      </c>
      <c r="J54" s="111" t="s">
        <v>170</v>
      </c>
      <c r="K54" s="188"/>
    </row>
    <row r="55" spans="1:49">
      <c r="B55" s="141"/>
      <c r="E55" s="222" t="str">
        <f t="shared" ref="E55:E64" si="1">VLOOKUP(F55,M$7:Q$106,2,FALSE)</f>
        <v>Australia</v>
      </c>
      <c r="F55" s="53">
        <v>1</v>
      </c>
      <c r="G55" s="216">
        <f t="shared" ref="G55:G64" si="2">VLOOKUP(F55,M$7:Q$106,3,FALSE)</f>
        <v>664562989.81999993</v>
      </c>
      <c r="H55" s="218">
        <f t="shared" ref="H55:H64" si="3">VLOOKUP(F55,M$7:Q$106,4,FALSE)</f>
        <v>62163203.248000003</v>
      </c>
      <c r="I55" s="117">
        <f t="shared" ref="I55:I64" si="4">VLOOKUP(F55,M$7:Q$106,5,FALSE)</f>
        <v>93.539971680994753</v>
      </c>
      <c r="J55" s="223">
        <f ca="1">G55/(SUM(G$55:G$65))</f>
        <v>0.62172460160109211</v>
      </c>
    </row>
    <row r="56" spans="1:49">
      <c r="B56" s="141"/>
      <c r="E56" s="224" t="str">
        <f t="shared" si="1"/>
        <v>Brazil</v>
      </c>
      <c r="F56" s="11">
        <v>2</v>
      </c>
      <c r="G56" s="217">
        <f t="shared" si="2"/>
        <v>227575119.30299997</v>
      </c>
      <c r="H56" s="219">
        <f t="shared" si="3"/>
        <v>22264925.534999996</v>
      </c>
      <c r="I56" s="55">
        <f t="shared" si="4"/>
        <v>97.835499782187711</v>
      </c>
      <c r="J56" s="225">
        <f t="shared" ref="J56:J65" ca="1" si="5">G56/(SUM(G$55:G$65))</f>
        <v>0.21290540182097961</v>
      </c>
      <c r="K56" s="188"/>
    </row>
    <row r="57" spans="1:49">
      <c r="B57" s="141"/>
      <c r="E57" s="222" t="str">
        <f t="shared" si="1"/>
        <v>South Africa</v>
      </c>
      <c r="F57" s="53">
        <v>3</v>
      </c>
      <c r="G57" s="216">
        <f t="shared" si="2"/>
        <v>42867864.696000002</v>
      </c>
      <c r="H57" s="218">
        <f t="shared" si="3"/>
        <v>4387201.84</v>
      </c>
      <c r="I57" s="117">
        <f t="shared" si="4"/>
        <v>102.34243928668016</v>
      </c>
      <c r="J57" s="223">
        <f t="shared" ca="1" si="5"/>
        <v>4.0104559699944996E-2</v>
      </c>
    </row>
    <row r="58" spans="1:49">
      <c r="B58" s="141"/>
      <c r="E58" s="224" t="str">
        <f t="shared" si="1"/>
        <v>India</v>
      </c>
      <c r="F58" s="11">
        <v>4</v>
      </c>
      <c r="G58" s="217">
        <f t="shared" si="2"/>
        <v>23804675.555</v>
      </c>
      <c r="H58" s="219">
        <f t="shared" si="3"/>
        <v>2243622.2419999996</v>
      </c>
      <c r="I58" s="55">
        <f t="shared" si="4"/>
        <v>94.251326249592296</v>
      </c>
      <c r="J58" s="225">
        <f t="shared" ca="1" si="5"/>
        <v>2.227020260289287E-2</v>
      </c>
    </row>
    <row r="59" spans="1:49">
      <c r="B59" s="141"/>
      <c r="E59" s="222" t="str">
        <f t="shared" si="1"/>
        <v>Peru</v>
      </c>
      <c r="F59" s="53">
        <v>5</v>
      </c>
      <c r="G59" s="216">
        <f t="shared" si="2"/>
        <v>14988955.044</v>
      </c>
      <c r="H59" s="218">
        <f t="shared" si="3"/>
        <v>1475971.4029999999</v>
      </c>
      <c r="I59" s="117">
        <f t="shared" si="4"/>
        <v>98.470600429936141</v>
      </c>
      <c r="J59" s="223">
        <f t="shared" ca="1" si="5"/>
        <v>1.402275216330009E-2</v>
      </c>
    </row>
    <row r="60" spans="1:49">
      <c r="B60" s="141"/>
      <c r="E60" s="224" t="str">
        <f t="shared" si="1"/>
        <v>Ukraine</v>
      </c>
      <c r="F60" s="11">
        <v>6</v>
      </c>
      <c r="G60" s="217">
        <f t="shared" si="2"/>
        <v>13943568.265999999</v>
      </c>
      <c r="H60" s="219">
        <f t="shared" si="3"/>
        <v>1585185.0970000001</v>
      </c>
      <c r="I60" s="55">
        <f t="shared" si="4"/>
        <v>113.68575580938746</v>
      </c>
      <c r="J60" s="225">
        <f t="shared" ca="1" si="5"/>
        <v>1.3044752051907881E-2</v>
      </c>
    </row>
    <row r="61" spans="1:49">
      <c r="B61" s="141"/>
      <c r="E61" s="222" t="str">
        <f t="shared" si="1"/>
        <v>Iran</v>
      </c>
      <c r="F61" s="53">
        <v>7</v>
      </c>
      <c r="G61" s="216">
        <f t="shared" si="2"/>
        <v>12723071.181</v>
      </c>
      <c r="H61" s="218">
        <f t="shared" si="3"/>
        <v>1300329.7930000001</v>
      </c>
      <c r="I61" s="117">
        <f t="shared" si="4"/>
        <v>102.20250869474407</v>
      </c>
      <c r="J61" s="223">
        <f t="shared" ca="1" si="5"/>
        <v>1.1902929417258235E-2</v>
      </c>
    </row>
    <row r="62" spans="1:49">
      <c r="B62" s="141"/>
      <c r="E62" s="224" t="str">
        <f t="shared" si="1"/>
        <v>Canada</v>
      </c>
      <c r="F62" s="11">
        <v>8</v>
      </c>
      <c r="G62" s="217">
        <f t="shared" si="2"/>
        <v>11312751.192</v>
      </c>
      <c r="H62" s="219">
        <f t="shared" si="3"/>
        <v>1258771.4410000001</v>
      </c>
      <c r="I62" s="55">
        <f t="shared" si="4"/>
        <v>111.27014283582594</v>
      </c>
      <c r="J62" s="225">
        <f t="shared" ca="1" si="5"/>
        <v>1.0583520050918746E-2</v>
      </c>
    </row>
    <row r="63" spans="1:49">
      <c r="B63" s="141"/>
      <c r="E63" s="222" t="str">
        <f t="shared" si="1"/>
        <v>Russian Federation</v>
      </c>
      <c r="F63" s="53">
        <v>9</v>
      </c>
      <c r="G63" s="216">
        <f t="shared" si="2"/>
        <v>8400522.3110000007</v>
      </c>
      <c r="H63" s="218">
        <f t="shared" si="3"/>
        <v>825545.26699999999</v>
      </c>
      <c r="I63" s="117">
        <f t="shared" si="4"/>
        <v>98.273087843478024</v>
      </c>
      <c r="J63" s="223">
        <f t="shared" ca="1" si="5"/>
        <v>7.8590163265970982E-3</v>
      </c>
    </row>
    <row r="64" spans="1:49">
      <c r="D64" s="203"/>
      <c r="E64" s="224" t="str">
        <f t="shared" si="1"/>
        <v>Mongolia</v>
      </c>
      <c r="F64" s="11">
        <v>10</v>
      </c>
      <c r="G64" s="217">
        <f t="shared" si="2"/>
        <v>8306509.1290000007</v>
      </c>
      <c r="H64" s="219">
        <f t="shared" si="3"/>
        <v>426161.79499999998</v>
      </c>
      <c r="I64" s="55">
        <f t="shared" si="4"/>
        <v>51.30455987969335</v>
      </c>
      <c r="J64" s="225">
        <f t="shared" ca="1" si="5"/>
        <v>7.7710633273787213E-3</v>
      </c>
      <c r="K64" s="141"/>
      <c r="L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41"/>
      <c r="AN64" s="141"/>
      <c r="AO64" s="141"/>
      <c r="AP64" s="141"/>
      <c r="AQ64" s="141"/>
      <c r="AR64" s="141"/>
      <c r="AS64" s="141"/>
      <c r="AT64" s="141"/>
      <c r="AU64" s="141"/>
      <c r="AV64" s="141"/>
      <c r="AW64" s="141"/>
    </row>
    <row r="65" spans="4:49" ht="15.75" thickBot="1">
      <c r="D65" s="203"/>
      <c r="E65" s="226" t="s">
        <v>173</v>
      </c>
      <c r="F65" s="127"/>
      <c r="G65" s="227">
        <f ca="1">SUMIF(M7:M107,"&gt;10",O7:O104)</f>
        <v>40416487.748999983</v>
      </c>
      <c r="H65" s="220">
        <f ca="1">SUMIF(M7:M107,"&gt;10",P7:P104)</f>
        <v>3486241.4150000373</v>
      </c>
      <c r="I65" s="126">
        <f ca="1">AVERAGEIF(M7:M107,"&gt;10",Q7:Q104)</f>
        <v>85.585862751605347</v>
      </c>
      <c r="J65" s="228">
        <f t="shared" ca="1" si="5"/>
        <v>3.7811200937729703E-2</v>
      </c>
      <c r="K65" s="141"/>
      <c r="L65" s="141"/>
      <c r="R65" s="141"/>
      <c r="S65" s="141"/>
      <c r="T65" s="141"/>
      <c r="U65" s="141"/>
      <c r="V65" s="141"/>
      <c r="W65" s="141"/>
      <c r="X65" s="141"/>
      <c r="Y65" s="141"/>
      <c r="Z65" s="141"/>
      <c r="AA65" s="141"/>
      <c r="AB65" s="141"/>
      <c r="AC65" s="141"/>
      <c r="AD65" s="141"/>
      <c r="AE65" s="141"/>
      <c r="AF65" s="141"/>
      <c r="AG65" s="141"/>
      <c r="AH65" s="141"/>
      <c r="AI65" s="141"/>
      <c r="AJ65" s="141"/>
      <c r="AK65" s="141"/>
      <c r="AL65" s="141"/>
      <c r="AM65" s="141"/>
      <c r="AN65" s="141"/>
      <c r="AO65" s="141"/>
      <c r="AP65" s="141"/>
      <c r="AQ65" s="141"/>
      <c r="AR65" s="141"/>
      <c r="AS65" s="141"/>
      <c r="AT65" s="141"/>
      <c r="AU65" s="141"/>
      <c r="AV65" s="141"/>
      <c r="AW65" s="141"/>
    </row>
    <row r="66" spans="4:49">
      <c r="D66" s="203"/>
      <c r="E66" s="201"/>
      <c r="F66" s="201"/>
      <c r="G66" s="201"/>
      <c r="H66" s="201"/>
      <c r="I66" s="202"/>
      <c r="J66" s="141"/>
      <c r="K66" s="141"/>
      <c r="L66" s="141"/>
      <c r="R66" s="141"/>
      <c r="S66" s="141"/>
      <c r="T66" s="141"/>
      <c r="U66" s="141"/>
      <c r="V66" s="141"/>
      <c r="W66" s="141"/>
      <c r="X66" s="141"/>
      <c r="Y66" s="141"/>
      <c r="Z66" s="141"/>
      <c r="AA66" s="141"/>
      <c r="AB66" s="141"/>
      <c r="AC66" s="141"/>
      <c r="AD66" s="141"/>
      <c r="AE66" s="141"/>
      <c r="AF66" s="141"/>
      <c r="AG66" s="141"/>
      <c r="AH66" s="141"/>
      <c r="AI66" s="141"/>
      <c r="AJ66" s="141"/>
      <c r="AK66" s="141"/>
      <c r="AL66" s="141"/>
      <c r="AM66" s="141"/>
      <c r="AN66" s="141"/>
      <c r="AO66" s="141"/>
      <c r="AP66" s="141"/>
      <c r="AQ66" s="141"/>
      <c r="AR66" s="141"/>
      <c r="AS66" s="141"/>
      <c r="AT66" s="141"/>
      <c r="AU66" s="141"/>
      <c r="AV66" s="141"/>
      <c r="AW66" s="141"/>
    </row>
    <row r="67" spans="4:49">
      <c r="D67" s="203"/>
      <c r="E67" s="201"/>
      <c r="F67" s="201"/>
      <c r="G67" s="201"/>
      <c r="H67" s="201"/>
      <c r="I67" s="202"/>
      <c r="J67" s="141"/>
      <c r="K67" s="141"/>
      <c r="L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row>
    <row r="68" spans="4:49">
      <c r="D68" s="203"/>
      <c r="E68" s="201"/>
      <c r="F68" s="201"/>
      <c r="G68" s="201"/>
      <c r="H68" s="201"/>
      <c r="I68" s="202"/>
      <c r="J68" s="141"/>
      <c r="K68" s="141"/>
      <c r="L68" s="141"/>
      <c r="R68" s="141"/>
      <c r="S68" s="141"/>
      <c r="T68" s="141"/>
      <c r="U68" s="141"/>
      <c r="V68" s="141"/>
      <c r="W68" s="141"/>
      <c r="X68" s="141"/>
      <c r="Y68" s="141"/>
      <c r="Z68" s="141"/>
      <c r="AA68" s="141"/>
      <c r="AB68" s="141"/>
      <c r="AC68" s="141"/>
      <c r="AD68" s="141"/>
      <c r="AE68" s="141"/>
      <c r="AF68" s="141"/>
      <c r="AG68" s="141"/>
      <c r="AH68" s="141"/>
      <c r="AI68" s="141"/>
      <c r="AJ68" s="141"/>
      <c r="AK68" s="141"/>
      <c r="AL68" s="141"/>
      <c r="AM68" s="141"/>
      <c r="AN68" s="141"/>
      <c r="AO68" s="141"/>
      <c r="AP68" s="141"/>
      <c r="AQ68" s="141"/>
      <c r="AR68" s="141"/>
      <c r="AS68" s="141"/>
      <c r="AT68" s="141"/>
      <c r="AU68" s="141"/>
      <c r="AV68" s="141"/>
      <c r="AW68" s="141"/>
    </row>
    <row r="69" spans="4:49">
      <c r="D69" s="203"/>
      <c r="E69" s="201"/>
      <c r="F69" s="201"/>
      <c r="G69" s="201"/>
      <c r="H69" s="201"/>
      <c r="I69" s="202"/>
      <c r="J69" s="141"/>
      <c r="K69" s="141"/>
      <c r="L69" s="141"/>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row>
    <row r="70" spans="4:49">
      <c r="D70" s="203"/>
      <c r="E70" s="201"/>
      <c r="F70" s="201"/>
      <c r="G70" s="201"/>
      <c r="H70" s="201"/>
      <c r="I70" s="202"/>
      <c r="J70" s="141"/>
      <c r="K70" s="141"/>
      <c r="L70" s="141"/>
      <c r="R70" s="141"/>
      <c r="S70" s="141"/>
      <c r="T70" s="141"/>
      <c r="U70" s="141"/>
      <c r="V70" s="141"/>
      <c r="W70" s="141"/>
      <c r="X70" s="141"/>
      <c r="Y70" s="141"/>
      <c r="Z70" s="141"/>
      <c r="AA70" s="141"/>
      <c r="AB70" s="141"/>
      <c r="AC70" s="141"/>
      <c r="AD70" s="141"/>
      <c r="AE70" s="141"/>
      <c r="AF70" s="141"/>
      <c r="AG70" s="141"/>
      <c r="AH70" s="141"/>
      <c r="AI70" s="141"/>
      <c r="AJ70" s="141"/>
      <c r="AK70" s="141"/>
      <c r="AL70" s="141"/>
      <c r="AM70" s="141"/>
      <c r="AN70" s="141"/>
      <c r="AO70" s="141"/>
      <c r="AP70" s="141"/>
      <c r="AQ70" s="141"/>
      <c r="AR70" s="141"/>
      <c r="AS70" s="141"/>
      <c r="AT70" s="141"/>
      <c r="AU70" s="141"/>
      <c r="AV70" s="141"/>
      <c r="AW70" s="141"/>
    </row>
    <row r="71" spans="4:49">
      <c r="D71" s="203"/>
      <c r="E71" s="201"/>
      <c r="F71" s="201"/>
      <c r="G71" s="201"/>
      <c r="H71" s="201"/>
      <c r="I71" s="202"/>
      <c r="J71" s="141"/>
      <c r="K71" s="141"/>
      <c r="L71" s="141"/>
      <c r="R71" s="141"/>
      <c r="S71" s="141"/>
      <c r="T71" s="141"/>
      <c r="U71" s="141"/>
      <c r="V71" s="141"/>
      <c r="W71" s="141"/>
      <c r="X71" s="141"/>
      <c r="Y71" s="141"/>
      <c r="Z71" s="14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row>
    <row r="72" spans="4:49">
      <c r="D72" s="203"/>
      <c r="E72" s="201"/>
      <c r="F72" s="201"/>
      <c r="G72" s="201"/>
      <c r="H72" s="201"/>
      <c r="I72" s="202"/>
      <c r="J72" s="141"/>
      <c r="K72" s="141"/>
      <c r="L72" s="141"/>
      <c r="R72" s="141"/>
      <c r="S72" s="141"/>
      <c r="T72" s="141"/>
      <c r="U72" s="141"/>
      <c r="V72" s="141"/>
      <c r="W72" s="141"/>
      <c r="X72" s="141"/>
      <c r="Y72" s="141"/>
      <c r="Z72" s="141"/>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row>
    <row r="73" spans="4:49">
      <c r="D73" s="203"/>
      <c r="E73" s="201"/>
      <c r="F73" s="201"/>
      <c r="G73" s="201"/>
      <c r="H73" s="201"/>
      <c r="I73" s="202"/>
      <c r="J73" s="141"/>
      <c r="K73" s="141"/>
      <c r="L73" s="141"/>
      <c r="R73" s="141"/>
      <c r="S73" s="141"/>
      <c r="T73" s="141"/>
      <c r="U73" s="141"/>
      <c r="V73" s="141"/>
      <c r="W73" s="141"/>
      <c r="X73" s="141"/>
      <c r="Y73" s="14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row>
    <row r="74" spans="4:49">
      <c r="D74" s="203"/>
      <c r="E74" s="201"/>
      <c r="F74" s="201"/>
      <c r="G74" s="201"/>
      <c r="H74" s="201"/>
      <c r="I74" s="202"/>
      <c r="J74" s="141"/>
      <c r="K74" s="141"/>
      <c r="L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row>
    <row r="75" spans="4:49">
      <c r="D75" s="203"/>
      <c r="E75" s="201"/>
      <c r="F75" s="201"/>
      <c r="G75" s="201"/>
      <c r="H75" s="201"/>
      <c r="I75" s="202"/>
      <c r="J75" s="141"/>
      <c r="K75" s="141"/>
      <c r="L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row>
    <row r="76" spans="4:49">
      <c r="D76" s="203"/>
      <c r="E76" s="201"/>
      <c r="F76" s="201"/>
      <c r="G76" s="201"/>
      <c r="H76" s="201"/>
      <c r="I76" s="202"/>
      <c r="J76" s="141"/>
      <c r="K76" s="141"/>
      <c r="L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row>
    <row r="77" spans="4:49">
      <c r="D77" s="203"/>
      <c r="E77" s="201"/>
      <c r="F77" s="201"/>
      <c r="G77" s="201"/>
      <c r="H77" s="201"/>
      <c r="I77" s="202"/>
      <c r="J77" s="141"/>
      <c r="K77" s="141"/>
      <c r="L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row>
    <row r="78" spans="4:49">
      <c r="D78" s="203"/>
      <c r="E78" s="201"/>
      <c r="F78" s="201"/>
      <c r="G78" s="201"/>
      <c r="H78" s="201"/>
      <c r="I78" s="202"/>
    </row>
    <row r="79" spans="4:49">
      <c r="D79" s="203"/>
      <c r="E79" s="201"/>
      <c r="F79" s="201"/>
      <c r="G79" s="201"/>
      <c r="H79" s="201"/>
      <c r="I79" s="202"/>
    </row>
    <row r="80" spans="4:49">
      <c r="D80" s="203"/>
      <c r="E80" s="201"/>
      <c r="F80" s="201"/>
      <c r="G80" s="201"/>
      <c r="H80" s="201"/>
      <c r="I80" s="202"/>
    </row>
    <row r="81" spans="4:9">
      <c r="D81" s="203"/>
      <c r="E81" s="201"/>
      <c r="F81" s="201"/>
      <c r="G81" s="201"/>
      <c r="H81" s="201"/>
      <c r="I81" s="202"/>
    </row>
    <row r="82" spans="4:9">
      <c r="D82" s="203"/>
      <c r="E82" s="201"/>
      <c r="F82" s="201"/>
      <c r="G82" s="201"/>
      <c r="H82" s="201"/>
      <c r="I82" s="202"/>
    </row>
    <row r="83" spans="4:9">
      <c r="D83" s="203"/>
      <c r="E83" s="202"/>
      <c r="F83" s="201"/>
      <c r="G83" s="201"/>
      <c r="H83" s="201"/>
      <c r="I83" s="202"/>
    </row>
    <row r="84" spans="4:9">
      <c r="D84" s="203"/>
      <c r="E84" s="202"/>
      <c r="F84" s="201"/>
      <c r="G84" s="201"/>
      <c r="H84" s="201"/>
      <c r="I84" s="202"/>
    </row>
    <row r="85" spans="4:9">
      <c r="D85" s="203"/>
      <c r="E85" s="202"/>
      <c r="F85" s="201"/>
      <c r="G85" s="201"/>
      <c r="H85" s="201"/>
      <c r="I85" s="202"/>
    </row>
    <row r="86" spans="4:9">
      <c r="D86" s="203"/>
      <c r="E86" s="202"/>
      <c r="F86" s="201"/>
      <c r="G86" s="201"/>
      <c r="H86" s="201"/>
      <c r="I86" s="202"/>
    </row>
    <row r="87" spans="4:9">
      <c r="D87" s="203"/>
      <c r="E87" s="202"/>
      <c r="F87" s="201"/>
      <c r="G87" s="201"/>
      <c r="H87" s="201"/>
      <c r="I87" s="202"/>
    </row>
    <row r="88" spans="4:9">
      <c r="D88" s="203"/>
      <c r="E88" s="202"/>
      <c r="F88" s="201"/>
      <c r="G88" s="201"/>
      <c r="H88" s="201"/>
      <c r="I88" s="202"/>
    </row>
    <row r="89" spans="4:9">
      <c r="D89" s="203"/>
      <c r="E89" s="202"/>
      <c r="F89" s="201"/>
      <c r="G89" s="201"/>
      <c r="H89" s="201"/>
      <c r="I89" s="202"/>
    </row>
    <row r="90" spans="4:9">
      <c r="D90" s="203"/>
      <c r="E90" s="202"/>
      <c r="F90" s="201"/>
      <c r="G90" s="201"/>
      <c r="H90" s="201"/>
      <c r="I90" s="202"/>
    </row>
    <row r="91" spans="4:9">
      <c r="D91" s="203"/>
      <c r="E91" s="202"/>
      <c r="F91" s="201"/>
      <c r="G91" s="201"/>
      <c r="H91" s="201"/>
      <c r="I91" s="202"/>
    </row>
    <row r="92" spans="4:9">
      <c r="D92" s="203"/>
      <c r="E92" s="202"/>
      <c r="F92" s="201"/>
      <c r="G92" s="201"/>
      <c r="H92" s="201"/>
      <c r="I92" s="202"/>
    </row>
    <row r="93" spans="4:9">
      <c r="D93" s="203"/>
      <c r="E93" s="202"/>
      <c r="F93" s="201"/>
      <c r="G93" s="201"/>
      <c r="H93" s="201"/>
      <c r="I93" s="202"/>
    </row>
    <row r="94" spans="4:9">
      <c r="D94" s="203"/>
      <c r="E94" s="202"/>
      <c r="F94" s="201"/>
      <c r="G94" s="201"/>
      <c r="H94" s="201"/>
      <c r="I94" s="202"/>
    </row>
    <row r="95" spans="4:9">
      <c r="D95" s="203"/>
      <c r="E95" s="202"/>
      <c r="F95" s="201"/>
      <c r="G95" s="201"/>
      <c r="H95" s="201"/>
      <c r="I95" s="202"/>
    </row>
    <row r="96" spans="4:9">
      <c r="D96" s="203"/>
      <c r="E96" s="202"/>
      <c r="F96" s="201"/>
      <c r="G96" s="201"/>
      <c r="H96" s="201"/>
      <c r="I96" s="202"/>
    </row>
    <row r="97" spans="4:9">
      <c r="D97" s="203"/>
      <c r="E97" s="202"/>
      <c r="F97" s="201"/>
      <c r="G97" s="201"/>
      <c r="H97" s="201"/>
      <c r="I97" s="202"/>
    </row>
    <row r="98" spans="4:9">
      <c r="D98" s="203"/>
      <c r="E98" s="202"/>
      <c r="F98" s="201"/>
      <c r="G98" s="201"/>
      <c r="H98" s="201"/>
      <c r="I98" s="202"/>
    </row>
    <row r="99" spans="4:9">
      <c r="D99" s="203"/>
      <c r="E99" s="202"/>
      <c r="F99" s="201"/>
      <c r="G99" s="201"/>
      <c r="H99" s="201"/>
      <c r="I99" s="202"/>
    </row>
    <row r="100" spans="4:9">
      <c r="D100" s="203"/>
      <c r="E100" s="202"/>
      <c r="F100" s="201"/>
      <c r="G100" s="201"/>
      <c r="H100" s="201"/>
      <c r="I100" s="202"/>
    </row>
    <row r="101" spans="4:9">
      <c r="D101" s="203"/>
      <c r="E101" s="202"/>
      <c r="F101" s="201"/>
      <c r="G101" s="201"/>
      <c r="H101" s="201"/>
      <c r="I101" s="202"/>
    </row>
    <row r="102" spans="4:9">
      <c r="D102" s="203"/>
      <c r="E102" s="202"/>
      <c r="F102" s="201"/>
      <c r="G102" s="201"/>
      <c r="H102" s="201"/>
      <c r="I102" s="202"/>
    </row>
    <row r="103" spans="4:9">
      <c r="D103" s="203"/>
      <c r="E103" s="202"/>
      <c r="F103" s="202"/>
      <c r="G103" s="202"/>
      <c r="H103" s="202"/>
      <c r="I103" s="202"/>
    </row>
  </sheetData>
  <mergeCells count="3">
    <mergeCell ref="A5:C5"/>
    <mergeCell ref="N5:Q5"/>
    <mergeCell ref="E53:J53"/>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tint="0.39997558519241921"/>
  </sheetPr>
  <dimension ref="A2:Q104"/>
  <sheetViews>
    <sheetView zoomScaleNormal="100" workbookViewId="0"/>
  </sheetViews>
  <sheetFormatPr defaultRowHeight="15"/>
  <cols>
    <col min="1" max="1" width="9.140625" style="948"/>
    <col min="2" max="2" width="34" style="948" bestFit="1" customWidth="1"/>
    <col min="3" max="3" width="27.85546875" style="948" bestFit="1" customWidth="1"/>
    <col min="4" max="4" width="4.7109375" style="948" customWidth="1"/>
    <col min="5" max="6" width="12.7109375" style="948" customWidth="1"/>
    <col min="7" max="7" width="22" style="948" bestFit="1" customWidth="1"/>
    <col min="8" max="8" width="20" style="948" bestFit="1" customWidth="1"/>
    <col min="9" max="9" width="16.85546875" style="948" bestFit="1" customWidth="1"/>
    <col min="10" max="10" width="20.28515625" style="948" bestFit="1" customWidth="1"/>
    <col min="11" max="11" width="12.7109375" style="948" customWidth="1"/>
    <col min="12" max="12" width="3.42578125" style="948" customWidth="1"/>
    <col min="13" max="13" width="12.7109375" style="948" hidden="1" customWidth="1"/>
    <col min="14" max="14" width="20.140625" style="900" bestFit="1" customWidth="1"/>
    <col min="15" max="15" width="22" style="900" bestFit="1" customWidth="1"/>
    <col min="16" max="16" width="20.85546875" style="900" bestFit="1" customWidth="1"/>
    <col min="17" max="17" width="10.5703125" style="900" bestFit="1" customWidth="1"/>
    <col min="18" max="16384" width="9.140625" style="948"/>
  </cols>
  <sheetData>
    <row r="2" spans="1:17">
      <c r="E2" s="537"/>
      <c r="F2" s="1504"/>
      <c r="N2" s="948"/>
      <c r="O2" s="948"/>
      <c r="P2" s="948"/>
      <c r="Q2" s="948"/>
    </row>
    <row r="3" spans="1:17">
      <c r="F3" s="630"/>
    </row>
    <row r="5" spans="1:17" ht="15.75" thickBot="1">
      <c r="A5" s="2008" t="s">
        <v>153</v>
      </c>
      <c r="B5" s="1966"/>
      <c r="C5" s="1966"/>
      <c r="N5" s="1966" t="s">
        <v>842</v>
      </c>
      <c r="O5" s="1966"/>
      <c r="P5" s="1966"/>
      <c r="Q5" s="1966"/>
    </row>
    <row r="6" spans="1:17" ht="15.75" thickBot="1">
      <c r="A6" s="200"/>
      <c r="B6" s="189" t="s">
        <v>808</v>
      </c>
      <c r="C6" s="111" t="s">
        <v>809</v>
      </c>
      <c r="M6" s="212" t="s">
        <v>169</v>
      </c>
      <c r="N6" s="1356" t="s">
        <v>168</v>
      </c>
      <c r="O6" s="1349" t="s">
        <v>810</v>
      </c>
      <c r="P6" s="1349" t="s">
        <v>171</v>
      </c>
      <c r="Q6" s="1352" t="s">
        <v>812</v>
      </c>
    </row>
    <row r="7" spans="1:17">
      <c r="A7" s="190" t="s">
        <v>592</v>
      </c>
      <c r="B7" s="192">
        <v>68599</v>
      </c>
      <c r="C7" s="193"/>
      <c r="M7" s="213">
        <f t="shared" ref="M7:M48" si="0">RANK(O7,O$7:O$88)</f>
        <v>1</v>
      </c>
      <c r="N7" s="1355" t="s">
        <v>154</v>
      </c>
      <c r="O7" s="1350">
        <v>657057734.76699996</v>
      </c>
      <c r="P7" s="1350">
        <v>50874554.945</v>
      </c>
      <c r="Q7" s="1354">
        <v>77.427830543750758</v>
      </c>
    </row>
    <row r="8" spans="1:17">
      <c r="A8" s="191" t="s">
        <v>593</v>
      </c>
      <c r="B8" s="194">
        <v>75768</v>
      </c>
      <c r="C8" s="195"/>
      <c r="M8" s="214">
        <f t="shared" si="0"/>
        <v>2</v>
      </c>
      <c r="N8" s="1355" t="s">
        <v>64</v>
      </c>
      <c r="O8" s="1353">
        <v>225543808.62199998</v>
      </c>
      <c r="P8" s="1353">
        <v>19028656.686999999</v>
      </c>
      <c r="Q8" s="1351">
        <v>84.367896433331339</v>
      </c>
    </row>
    <row r="9" spans="1:17">
      <c r="A9" s="191" t="s">
        <v>594</v>
      </c>
      <c r="B9" s="196">
        <v>85059</v>
      </c>
      <c r="C9" s="197"/>
      <c r="M9" s="215">
        <f t="shared" si="0"/>
        <v>3</v>
      </c>
      <c r="N9" s="1355" t="s">
        <v>38</v>
      </c>
      <c r="O9" s="1350">
        <v>39836655.158</v>
      </c>
      <c r="P9" s="1350">
        <v>3650456.1030000001</v>
      </c>
      <c r="Q9" s="1354">
        <v>91.635607671416537</v>
      </c>
    </row>
    <row r="10" spans="1:17">
      <c r="A10" s="191" t="s">
        <v>595</v>
      </c>
      <c r="B10" s="194">
        <v>92194</v>
      </c>
      <c r="C10" s="195"/>
      <c r="M10" s="214">
        <f t="shared" si="0"/>
        <v>4</v>
      </c>
      <c r="N10" s="1355" t="s">
        <v>82</v>
      </c>
      <c r="O10" s="1353">
        <v>13634014.868000001</v>
      </c>
      <c r="P10" s="1353">
        <v>1158888.183</v>
      </c>
      <c r="Q10" s="1351">
        <v>84.999774037212816</v>
      </c>
    </row>
    <row r="11" spans="1:17">
      <c r="A11" s="191" t="s">
        <v>596</v>
      </c>
      <c r="B11" s="196">
        <v>93482</v>
      </c>
      <c r="C11" s="197"/>
      <c r="M11" s="215">
        <f t="shared" si="0"/>
        <v>5</v>
      </c>
      <c r="N11" s="1355" t="s">
        <v>27</v>
      </c>
      <c r="O11" s="1350">
        <v>13580356.34</v>
      </c>
      <c r="P11" s="1350">
        <v>1377123.67</v>
      </c>
      <c r="Q11" s="1354">
        <v>101.40556223431174</v>
      </c>
    </row>
    <row r="12" spans="1:17">
      <c r="A12" s="191" t="s">
        <v>597</v>
      </c>
      <c r="B12" s="194">
        <v>95740</v>
      </c>
      <c r="C12" s="195"/>
      <c r="M12" s="214">
        <f t="shared" si="0"/>
        <v>6</v>
      </c>
      <c r="N12" s="1355" t="s">
        <v>155</v>
      </c>
      <c r="O12" s="1353">
        <v>12151985.484999999</v>
      </c>
      <c r="P12" s="1353">
        <v>1108174.8599999999</v>
      </c>
      <c r="Q12" s="1351">
        <v>91.192905173224034</v>
      </c>
    </row>
    <row r="13" spans="1:17">
      <c r="A13" s="191" t="s">
        <v>598</v>
      </c>
      <c r="B13" s="196">
        <v>103514</v>
      </c>
      <c r="C13" s="197"/>
      <c r="M13" s="215">
        <f t="shared" si="0"/>
        <v>7</v>
      </c>
      <c r="N13" s="1355" t="s">
        <v>86</v>
      </c>
      <c r="O13" s="1350">
        <v>9742684.5879999995</v>
      </c>
      <c r="P13" s="1350">
        <v>1089158.9140000001</v>
      </c>
      <c r="Q13" s="1354">
        <v>111.79248431602825</v>
      </c>
    </row>
    <row r="14" spans="1:17">
      <c r="A14" s="191" t="s">
        <v>599</v>
      </c>
      <c r="B14" s="194">
        <v>110778</v>
      </c>
      <c r="C14" s="195">
        <v>57166</v>
      </c>
      <c r="M14" s="214">
        <f t="shared" si="0"/>
        <v>8</v>
      </c>
      <c r="N14" s="1355" t="s">
        <v>65</v>
      </c>
      <c r="O14" s="1353">
        <v>9033299.1519999988</v>
      </c>
      <c r="P14" s="1353">
        <v>931739.24</v>
      </c>
      <c r="Q14" s="1351">
        <v>103.14495560503055</v>
      </c>
    </row>
    <row r="15" spans="1:17">
      <c r="A15" s="191" t="s">
        <v>600</v>
      </c>
      <c r="B15" s="196">
        <v>118218</v>
      </c>
      <c r="C15" s="197">
        <v>51360</v>
      </c>
      <c r="M15" s="215">
        <f t="shared" si="0"/>
        <v>9</v>
      </c>
      <c r="N15" s="1355" t="s">
        <v>78</v>
      </c>
      <c r="O15" s="1350">
        <v>8302490.1370000001</v>
      </c>
      <c r="P15" s="1350">
        <v>830356.19400000002</v>
      </c>
      <c r="Q15" s="1354">
        <v>100.0129094161187</v>
      </c>
    </row>
    <row r="16" spans="1:17">
      <c r="A16" s="191" t="s">
        <v>601</v>
      </c>
      <c r="B16" s="194">
        <v>125495</v>
      </c>
      <c r="C16" s="195">
        <v>65820</v>
      </c>
      <c r="M16" s="214">
        <f t="shared" si="0"/>
        <v>10</v>
      </c>
      <c r="N16" s="1355" t="s">
        <v>158</v>
      </c>
      <c r="O16" s="1353">
        <v>8296712.5820000004</v>
      </c>
      <c r="P16" s="1353">
        <v>399696.42299999995</v>
      </c>
      <c r="Q16" s="1351">
        <v>48.175276538704608</v>
      </c>
    </row>
    <row r="17" spans="1:17">
      <c r="A17" s="191" t="s">
        <v>602</v>
      </c>
      <c r="B17" s="196">
        <v>133533</v>
      </c>
      <c r="C17" s="197">
        <v>77830</v>
      </c>
      <c r="M17" s="215">
        <f t="shared" si="0"/>
        <v>11</v>
      </c>
      <c r="N17" s="1355" t="s">
        <v>157</v>
      </c>
      <c r="O17" s="1350">
        <v>7293831.9040000001</v>
      </c>
      <c r="P17" s="1350">
        <v>591265.52</v>
      </c>
      <c r="Q17" s="1354">
        <v>81.063771112649974</v>
      </c>
    </row>
    <row r="18" spans="1:17">
      <c r="A18" s="191" t="s">
        <v>603</v>
      </c>
      <c r="B18" s="194">
        <v>162240</v>
      </c>
      <c r="C18" s="195">
        <v>101486</v>
      </c>
      <c r="M18" s="214">
        <f t="shared" si="0"/>
        <v>12</v>
      </c>
      <c r="N18" s="1355" t="s">
        <v>36</v>
      </c>
      <c r="O18" s="1353">
        <v>4254046.8470000001</v>
      </c>
      <c r="P18" s="1353">
        <v>365313.51299999998</v>
      </c>
      <c r="Q18" s="1351">
        <v>85.874351209278061</v>
      </c>
    </row>
    <row r="19" spans="1:17">
      <c r="A19" s="191" t="s">
        <v>604</v>
      </c>
      <c r="B19" s="196">
        <v>197475</v>
      </c>
      <c r="C19" s="197">
        <v>136012</v>
      </c>
      <c r="M19" s="215">
        <f t="shared" si="0"/>
        <v>13</v>
      </c>
      <c r="N19" s="1355" t="s">
        <v>40</v>
      </c>
      <c r="O19" s="1350">
        <v>3897511.7929999996</v>
      </c>
      <c r="P19" s="1350">
        <v>386162.68100000004</v>
      </c>
      <c r="Q19" s="1354">
        <v>99.079284812827268</v>
      </c>
    </row>
    <row r="20" spans="1:17">
      <c r="A20" s="191" t="s">
        <v>605</v>
      </c>
      <c r="B20" s="194">
        <v>245395</v>
      </c>
      <c r="C20" s="195">
        <v>173468.54</v>
      </c>
      <c r="M20" s="214">
        <f t="shared" si="0"/>
        <v>14</v>
      </c>
      <c r="N20" s="1355" t="s">
        <v>79</v>
      </c>
      <c r="O20" s="1353">
        <v>3589765.6809999999</v>
      </c>
      <c r="P20" s="1353">
        <v>278841.16800000001</v>
      </c>
      <c r="Q20" s="1351">
        <v>77.6767044924011</v>
      </c>
    </row>
    <row r="21" spans="1:17">
      <c r="A21" s="191" t="s">
        <v>582</v>
      </c>
      <c r="B21" s="196">
        <v>317055</v>
      </c>
      <c r="C21" s="197">
        <v>241353.51899999997</v>
      </c>
      <c r="M21" s="215">
        <f t="shared" si="0"/>
        <v>15</v>
      </c>
      <c r="N21" s="1355" t="s">
        <v>31</v>
      </c>
      <c r="O21" s="1350">
        <v>2876384.284</v>
      </c>
      <c r="P21" s="1350">
        <v>187791.26</v>
      </c>
      <c r="Q21" s="1354">
        <v>65.287263960033528</v>
      </c>
    </row>
    <row r="22" spans="1:17">
      <c r="A22" s="191" t="s">
        <v>606</v>
      </c>
      <c r="B22" s="194">
        <v>386601</v>
      </c>
      <c r="C22" s="195">
        <v>305706.255</v>
      </c>
      <c r="M22" s="214">
        <f t="shared" si="0"/>
        <v>16</v>
      </c>
      <c r="N22" s="1355" t="s">
        <v>161</v>
      </c>
      <c r="O22" s="1353">
        <v>2695222.94</v>
      </c>
      <c r="P22" s="1353">
        <v>83796.661999999997</v>
      </c>
      <c r="Q22" s="1351">
        <v>31.090809133585068</v>
      </c>
    </row>
    <row r="23" spans="1:17">
      <c r="A23" s="191" t="s">
        <v>607</v>
      </c>
      <c r="B23" s="196">
        <v>464094</v>
      </c>
      <c r="C23" s="197">
        <v>353941.50699999998</v>
      </c>
      <c r="M23" s="215">
        <f t="shared" si="0"/>
        <v>17</v>
      </c>
      <c r="N23" s="1355" t="s">
        <v>34</v>
      </c>
      <c r="O23" s="1350">
        <v>2275789.9050000003</v>
      </c>
      <c r="P23" s="1350">
        <v>118954.429</v>
      </c>
      <c r="Q23" s="1354">
        <v>52.269512549753571</v>
      </c>
    </row>
    <row r="24" spans="1:17">
      <c r="A24" s="191" t="s">
        <v>608</v>
      </c>
      <c r="B24" s="194">
        <v>515959</v>
      </c>
      <c r="C24" s="195">
        <v>425804</v>
      </c>
      <c r="M24" s="214">
        <f t="shared" si="0"/>
        <v>18</v>
      </c>
      <c r="N24" s="1355" t="s">
        <v>159</v>
      </c>
      <c r="O24" s="1353">
        <v>1494844.8159999999</v>
      </c>
      <c r="P24" s="1353">
        <v>134626.67800000001</v>
      </c>
      <c r="Q24" s="1351">
        <v>90.060638107066239</v>
      </c>
    </row>
    <row r="25" spans="1:17">
      <c r="A25" s="191" t="s">
        <v>609</v>
      </c>
      <c r="B25" s="196">
        <v>502098</v>
      </c>
      <c r="C25" s="197">
        <v>511080</v>
      </c>
      <c r="M25" s="215">
        <f t="shared" si="0"/>
        <v>19</v>
      </c>
      <c r="N25" s="1355" t="s">
        <v>643</v>
      </c>
      <c r="O25" s="1350">
        <v>1407897.345</v>
      </c>
      <c r="P25" s="1350">
        <v>89630.032000000007</v>
      </c>
      <c r="Q25" s="1354">
        <v>63.662334699551558</v>
      </c>
    </row>
    <row r="26" spans="1:17">
      <c r="A26" s="191" t="s">
        <v>610</v>
      </c>
      <c r="B26" s="280">
        <v>622958</v>
      </c>
      <c r="C26" s="199">
        <v>640420</v>
      </c>
      <c r="M26" s="214">
        <f t="shared" si="0"/>
        <v>20</v>
      </c>
      <c r="N26" s="1355" t="s">
        <v>160</v>
      </c>
      <c r="O26" s="1353">
        <v>1395525.0529999998</v>
      </c>
      <c r="P26" s="1353">
        <v>110123.50900000001</v>
      </c>
      <c r="Q26" s="1351">
        <v>78.911882494165468</v>
      </c>
    </row>
    <row r="27" spans="1:17">
      <c r="A27" s="191" t="s">
        <v>611</v>
      </c>
      <c r="B27" s="196">
        <v>656143</v>
      </c>
      <c r="C27" s="197">
        <v>641204</v>
      </c>
      <c r="M27" s="215">
        <f t="shared" si="0"/>
        <v>21</v>
      </c>
      <c r="N27" s="1355" t="s">
        <v>42</v>
      </c>
      <c r="O27" s="1350">
        <v>1134318.287</v>
      </c>
      <c r="P27" s="1350">
        <v>134304.92600000001</v>
      </c>
      <c r="Q27" s="1354">
        <v>118.40144652450623</v>
      </c>
    </row>
    <row r="28" spans="1:17">
      <c r="A28" s="191" t="s">
        <v>612</v>
      </c>
      <c r="B28" s="280">
        <v>687691</v>
      </c>
      <c r="C28" s="199">
        <v>719450</v>
      </c>
      <c r="M28" s="214">
        <f t="shared" si="0"/>
        <v>22</v>
      </c>
      <c r="N28" s="1355" t="s">
        <v>28</v>
      </c>
      <c r="O28" s="1353">
        <v>688632.66999999993</v>
      </c>
      <c r="P28" s="1353">
        <v>53874.990999999995</v>
      </c>
      <c r="Q28" s="1351">
        <v>78.234729990373538</v>
      </c>
    </row>
    <row r="29" spans="1:17">
      <c r="A29" s="191" t="s">
        <v>613</v>
      </c>
      <c r="B29" s="196">
        <v>752285</v>
      </c>
      <c r="C29" s="197">
        <v>762985.19699999993</v>
      </c>
      <c r="M29" s="215">
        <f t="shared" si="0"/>
        <v>24</v>
      </c>
      <c r="N29" s="1355" t="s">
        <v>840</v>
      </c>
      <c r="O29" s="1350">
        <v>344590.69</v>
      </c>
      <c r="P29" s="1350">
        <v>30068.726000000002</v>
      </c>
      <c r="Q29" s="1354">
        <v>87.259252419152702</v>
      </c>
    </row>
    <row r="30" spans="1:17">
      <c r="A30" s="191" t="s">
        <v>614</v>
      </c>
      <c r="B30" s="280">
        <v>814148</v>
      </c>
      <c r="C30" s="199">
        <v>892986</v>
      </c>
      <c r="M30" s="214">
        <f t="shared" si="0"/>
        <v>25</v>
      </c>
      <c r="N30" s="1355" t="s">
        <v>80</v>
      </c>
      <c r="O30" s="1353">
        <v>334199.28700000001</v>
      </c>
      <c r="P30" s="1353">
        <v>28191.172999999999</v>
      </c>
      <c r="Q30" s="1351">
        <v>84.354378051081824</v>
      </c>
    </row>
    <row r="31" spans="1:17">
      <c r="A31" s="191" t="s">
        <v>615</v>
      </c>
      <c r="B31" s="196">
        <v>814817</v>
      </c>
      <c r="C31" s="197">
        <v>928784</v>
      </c>
      <c r="M31" s="215">
        <f t="shared" si="0"/>
        <v>26</v>
      </c>
      <c r="N31" s="1355" t="s">
        <v>85</v>
      </c>
      <c r="O31" s="1350">
        <v>289943.77599999995</v>
      </c>
      <c r="P31" s="1350">
        <v>27086.141</v>
      </c>
      <c r="Q31" s="1354">
        <v>93.418597818081821</v>
      </c>
    </row>
    <row r="32" spans="1:17">
      <c r="A32" s="191" t="s">
        <v>616</v>
      </c>
      <c r="B32" s="280">
        <v>793820</v>
      </c>
      <c r="C32" s="199">
        <v>994144</v>
      </c>
      <c r="M32" s="214">
        <f t="shared" si="0"/>
        <v>27</v>
      </c>
      <c r="N32" s="1355" t="s">
        <v>71</v>
      </c>
      <c r="O32" s="1353">
        <v>242630.75</v>
      </c>
      <c r="P32" s="1353">
        <v>21953.035</v>
      </c>
      <c r="Q32" s="1351">
        <v>90.479195238031451</v>
      </c>
    </row>
    <row r="33" spans="1:17">
      <c r="A33" s="1355" t="s">
        <v>669</v>
      </c>
      <c r="B33" s="196">
        <v>824621.35867446393</v>
      </c>
      <c r="C33" s="197">
        <v>1069907.3536100001</v>
      </c>
      <c r="M33" s="215">
        <f t="shared" si="0"/>
        <v>28</v>
      </c>
      <c r="N33" s="1355" t="s">
        <v>81</v>
      </c>
      <c r="O33" s="1350">
        <v>200649.50699999998</v>
      </c>
      <c r="P33" s="1350">
        <v>11991.789000000001</v>
      </c>
      <c r="Q33" s="1354">
        <v>59.764856536627335</v>
      </c>
    </row>
    <row r="34" spans="1:17">
      <c r="A34" s="1355" t="s">
        <v>704</v>
      </c>
      <c r="B34" s="280">
        <v>872113.3</v>
      </c>
      <c r="C34" s="199">
        <v>1064958.34779</v>
      </c>
      <c r="M34" s="214">
        <f t="shared" si="0"/>
        <v>29</v>
      </c>
      <c r="N34" s="1355" t="s">
        <v>843</v>
      </c>
      <c r="O34" s="1353">
        <v>163029.59299999999</v>
      </c>
      <c r="P34" s="1353">
        <v>11432.946</v>
      </c>
      <c r="Q34" s="1351">
        <v>70.128041109689832</v>
      </c>
    </row>
    <row r="35" spans="1:17" ht="15.75" thickBot="1">
      <c r="A35" s="1357" t="s">
        <v>730</v>
      </c>
      <c r="B35" s="1548">
        <v>968251.5</v>
      </c>
      <c r="C35" s="1549">
        <v>1032526.294388</v>
      </c>
      <c r="M35" s="215">
        <f t="shared" si="0"/>
        <v>30</v>
      </c>
      <c r="N35" s="1355" t="s">
        <v>37</v>
      </c>
      <c r="O35" s="1350">
        <v>104772.6</v>
      </c>
      <c r="P35" s="1350">
        <v>7605.6270000000004</v>
      </c>
      <c r="Q35" s="1354">
        <v>72.591755859833583</v>
      </c>
    </row>
    <row r="36" spans="1:17" s="1535" customFormat="1">
      <c r="M36" s="215"/>
      <c r="N36" s="1355" t="s">
        <v>25</v>
      </c>
      <c r="O36" s="1353">
        <v>95594.530999999988</v>
      </c>
      <c r="P36" s="1353">
        <v>8050.3090000000002</v>
      </c>
      <c r="Q36" s="1351">
        <v>84.213070724725895</v>
      </c>
    </row>
    <row r="37" spans="1:17" ht="15.75" thickBot="1">
      <c r="A37" s="1348"/>
      <c r="M37" s="214">
        <f t="shared" si="0"/>
        <v>23</v>
      </c>
      <c r="N37" s="1355" t="s">
        <v>167</v>
      </c>
      <c r="O37" s="1350">
        <v>565261.24700021744</v>
      </c>
      <c r="P37" s="1350">
        <v>45355.351999998093</v>
      </c>
      <c r="Q37" s="1354">
        <v>80.237858584316939</v>
      </c>
    </row>
    <row r="38" spans="1:17">
      <c r="M38" s="1781" t="e">
        <f t="shared" si="0"/>
        <v>#N/A</v>
      </c>
      <c r="N38" s="1783"/>
      <c r="O38" s="1784"/>
      <c r="P38" s="1784"/>
      <c r="Q38" s="1668"/>
    </row>
    <row r="39" spans="1:17">
      <c r="M39" s="1780" t="e">
        <f t="shared" si="0"/>
        <v>#N/A</v>
      </c>
      <c r="N39" s="297"/>
      <c r="O39" s="1402"/>
      <c r="P39" s="1402"/>
      <c r="Q39" s="1565"/>
    </row>
    <row r="40" spans="1:17">
      <c r="M40" s="1781" t="e">
        <f t="shared" si="0"/>
        <v>#N/A</v>
      </c>
      <c r="N40" s="297"/>
      <c r="O40" s="1402"/>
      <c r="P40" s="1402"/>
      <c r="Q40" s="1565"/>
    </row>
    <row r="41" spans="1:17">
      <c r="M41" s="1780" t="e">
        <f t="shared" si="0"/>
        <v>#N/A</v>
      </c>
      <c r="N41" s="297"/>
      <c r="O41" s="1402"/>
      <c r="P41" s="1402"/>
      <c r="Q41" s="1565"/>
    </row>
    <row r="42" spans="1:17">
      <c r="M42" s="1781" t="e">
        <f t="shared" si="0"/>
        <v>#N/A</v>
      </c>
      <c r="N42" s="297"/>
      <c r="O42" s="1402"/>
      <c r="P42" s="1402"/>
      <c r="Q42" s="1565"/>
    </row>
    <row r="43" spans="1:17">
      <c r="M43" s="1780" t="e">
        <f t="shared" si="0"/>
        <v>#N/A</v>
      </c>
      <c r="N43" s="297"/>
      <c r="O43" s="1402"/>
      <c r="P43" s="1402"/>
      <c r="Q43" s="1565"/>
    </row>
    <row r="44" spans="1:17">
      <c r="M44" s="1781" t="e">
        <f t="shared" si="0"/>
        <v>#N/A</v>
      </c>
      <c r="N44" s="297"/>
      <c r="O44" s="1402"/>
      <c r="P44" s="1402"/>
      <c r="Q44" s="1565"/>
    </row>
    <row r="45" spans="1:17">
      <c r="M45" s="1780" t="e">
        <f t="shared" si="0"/>
        <v>#N/A</v>
      </c>
      <c r="N45" s="297"/>
      <c r="O45" s="1402"/>
      <c r="P45" s="1402"/>
      <c r="Q45" s="1565"/>
    </row>
    <row r="46" spans="1:17">
      <c r="M46" s="1781" t="e">
        <f t="shared" si="0"/>
        <v>#N/A</v>
      </c>
      <c r="N46" s="297"/>
      <c r="O46" s="1402"/>
      <c r="P46" s="1402"/>
      <c r="Q46" s="1565"/>
    </row>
    <row r="47" spans="1:17">
      <c r="M47" s="1780" t="e">
        <f t="shared" si="0"/>
        <v>#N/A</v>
      </c>
      <c r="N47" s="297"/>
      <c r="O47" s="1402"/>
      <c r="P47" s="1402"/>
      <c r="Q47" s="1565"/>
    </row>
    <row r="48" spans="1:17">
      <c r="M48" s="1781" t="e">
        <f t="shared" si="0"/>
        <v>#N/A</v>
      </c>
      <c r="N48" s="297"/>
      <c r="O48" s="1402"/>
      <c r="P48" s="1402"/>
      <c r="Q48" s="1565"/>
    </row>
    <row r="49" spans="5:14">
      <c r="M49" s="214" t="e">
        <f>RANK(#REF!,O$7:O$88)</f>
        <v>#REF!</v>
      </c>
    </row>
    <row r="50" spans="5:14">
      <c r="M50" s="215" t="e">
        <f>RANK(#REF!,O$7:O$88)</f>
        <v>#REF!</v>
      </c>
    </row>
    <row r="51" spans="5:14" ht="15.75" thickBot="1">
      <c r="M51" s="963" t="e">
        <f>RANK(#REF!,O$7:O$88)</f>
        <v>#REF!</v>
      </c>
      <c r="N51" s="948"/>
    </row>
    <row r="54" spans="5:14" ht="15.75" thickBot="1">
      <c r="E54" s="1966" t="str">
        <f>"Major China Iron Ore Source Nations "&amp;RIGHT(N5,7)</f>
        <v>Major China Iron Ore Source Nations 18-2019</v>
      </c>
      <c r="F54" s="1966"/>
      <c r="G54" s="1966"/>
      <c r="H54" s="1966"/>
      <c r="I54" s="1966"/>
      <c r="J54" s="1966"/>
    </row>
    <row r="55" spans="5:14" ht="15.75" thickBot="1">
      <c r="E55" s="200" t="s">
        <v>43</v>
      </c>
      <c r="F55" s="221" t="s">
        <v>44</v>
      </c>
      <c r="G55" s="210" t="s">
        <v>810</v>
      </c>
      <c r="H55" s="221" t="s">
        <v>172</v>
      </c>
      <c r="I55" s="112" t="s">
        <v>811</v>
      </c>
      <c r="J55" s="111" t="s">
        <v>170</v>
      </c>
    </row>
    <row r="56" spans="5:14">
      <c r="E56" s="222" t="str">
        <f>VLOOKUP(F56,M$7:Q$107,2,FALSE)</f>
        <v>Australia</v>
      </c>
      <c r="F56" s="53">
        <v>1</v>
      </c>
      <c r="G56" s="216">
        <f>VLOOKUP(F56,M$7:Q$107,3,FALSE)</f>
        <v>657057734.76699996</v>
      </c>
      <c r="H56" s="218">
        <f>VLOOKUP(F56,M$7:Q$107,4,FALSE)</f>
        <v>50874554.945</v>
      </c>
      <c r="I56" s="117">
        <f t="shared" ref="I56:I65" si="1">VLOOKUP(F56,M$7:Q$107,5,FALSE)</f>
        <v>77.427830543750758</v>
      </c>
      <c r="J56" s="223">
        <f ca="1">G56/(SUM(G$56:G$66))</f>
        <v>0.63641954581871185</v>
      </c>
    </row>
    <row r="57" spans="5:14">
      <c r="E57" s="224" t="str">
        <f t="shared" ref="E57:E65" si="2">VLOOKUP(F57,M$7:Q$107,2,FALSE)</f>
        <v>Brazil</v>
      </c>
      <c r="F57" s="11">
        <v>2</v>
      </c>
      <c r="G57" s="217">
        <f t="shared" ref="G57:G65" si="3">VLOOKUP(F57,M$7:Q$107,3,FALSE)</f>
        <v>225543808.62199998</v>
      </c>
      <c r="H57" s="219">
        <f t="shared" ref="H57:H65" si="4">VLOOKUP(F57,M$7:Q$107,4,FALSE)</f>
        <v>19028656.686999999</v>
      </c>
      <c r="I57" s="55">
        <f t="shared" si="1"/>
        <v>84.367896433331339</v>
      </c>
      <c r="J57" s="225">
        <f t="shared" ref="J57:J66" ca="1" si="5">G57/(SUM(G$56:G$66))</f>
        <v>0.21845947570548993</v>
      </c>
    </row>
    <row r="58" spans="5:14">
      <c r="E58" s="222" t="str">
        <f t="shared" si="2"/>
        <v>South Africa</v>
      </c>
      <c r="F58" s="53">
        <v>3</v>
      </c>
      <c r="G58" s="216">
        <f t="shared" si="3"/>
        <v>39836655.158</v>
      </c>
      <c r="H58" s="218">
        <f t="shared" si="4"/>
        <v>3650456.1030000001</v>
      </c>
      <c r="I58" s="117">
        <f t="shared" si="1"/>
        <v>91.635607671416537</v>
      </c>
      <c r="J58" s="223">
        <f t="shared" ca="1" si="5"/>
        <v>3.8585385486073605E-2</v>
      </c>
    </row>
    <row r="59" spans="5:14">
      <c r="E59" s="224" t="str">
        <f t="shared" si="2"/>
        <v>Peru</v>
      </c>
      <c r="F59" s="11">
        <v>4</v>
      </c>
      <c r="G59" s="217">
        <f t="shared" si="3"/>
        <v>13634014.868000001</v>
      </c>
      <c r="H59" s="219">
        <f t="shared" si="4"/>
        <v>1158888.183</v>
      </c>
      <c r="I59" s="55">
        <f t="shared" si="1"/>
        <v>84.999774037212816</v>
      </c>
      <c r="J59" s="225">
        <f t="shared" ca="1" si="5"/>
        <v>1.3205770346885984E-2</v>
      </c>
    </row>
    <row r="60" spans="5:14">
      <c r="E60" s="222" t="str">
        <f t="shared" si="2"/>
        <v>India</v>
      </c>
      <c r="F60" s="53">
        <v>5</v>
      </c>
      <c r="G60" s="216">
        <f t="shared" si="3"/>
        <v>13580356.34</v>
      </c>
      <c r="H60" s="218">
        <f t="shared" si="4"/>
        <v>1377123.67</v>
      </c>
      <c r="I60" s="117">
        <f t="shared" si="1"/>
        <v>101.40556223431174</v>
      </c>
      <c r="J60" s="223">
        <f t="shared" ca="1" si="5"/>
        <v>1.315379723369956E-2</v>
      </c>
    </row>
    <row r="61" spans="5:14">
      <c r="E61" s="224" t="str">
        <f t="shared" si="2"/>
        <v>Iran</v>
      </c>
      <c r="F61" s="11">
        <v>6</v>
      </c>
      <c r="G61" s="217">
        <f t="shared" si="3"/>
        <v>12151985.484999999</v>
      </c>
      <c r="H61" s="219">
        <f t="shared" si="4"/>
        <v>1108174.8599999999</v>
      </c>
      <c r="I61" s="55">
        <f t="shared" si="1"/>
        <v>91.192905173224034</v>
      </c>
      <c r="J61" s="225">
        <f t="shared" ca="1" si="5"/>
        <v>1.1770291519209886E-2</v>
      </c>
    </row>
    <row r="62" spans="5:14">
      <c r="E62" s="222" t="str">
        <f t="shared" si="2"/>
        <v>Ukraine</v>
      </c>
      <c r="F62" s="53">
        <v>7</v>
      </c>
      <c r="G62" s="216">
        <f t="shared" si="3"/>
        <v>9742684.5879999995</v>
      </c>
      <c r="H62" s="218">
        <f t="shared" si="4"/>
        <v>1089158.9140000001</v>
      </c>
      <c r="I62" s="117">
        <f t="shared" si="1"/>
        <v>111.79248431602825</v>
      </c>
      <c r="J62" s="223">
        <f t="shared" ca="1" si="5"/>
        <v>9.4366667835493433E-3</v>
      </c>
    </row>
    <row r="63" spans="5:14">
      <c r="E63" s="224" t="str">
        <f t="shared" si="2"/>
        <v>Canada</v>
      </c>
      <c r="F63" s="11">
        <v>8</v>
      </c>
      <c r="G63" s="217">
        <f t="shared" si="3"/>
        <v>9033299.1519999988</v>
      </c>
      <c r="H63" s="219">
        <f t="shared" si="4"/>
        <v>931739.24</v>
      </c>
      <c r="I63" s="55">
        <f t="shared" si="1"/>
        <v>103.14495560503055</v>
      </c>
      <c r="J63" s="225">
        <f t="shared" ca="1" si="5"/>
        <v>8.7495631500313174E-3</v>
      </c>
    </row>
    <row r="64" spans="5:14">
      <c r="E64" s="222" t="str">
        <f t="shared" si="2"/>
        <v>Chile</v>
      </c>
      <c r="F64" s="53">
        <v>9</v>
      </c>
      <c r="G64" s="216">
        <f t="shared" si="3"/>
        <v>8302490.1370000001</v>
      </c>
      <c r="H64" s="218">
        <f t="shared" si="4"/>
        <v>830356.19400000002</v>
      </c>
      <c r="I64" s="117">
        <f t="shared" si="1"/>
        <v>100.0129094161187</v>
      </c>
      <c r="J64" s="223">
        <f t="shared" ca="1" si="5"/>
        <v>8.0417088523089871E-3</v>
      </c>
    </row>
    <row r="65" spans="4:10">
      <c r="D65" s="203"/>
      <c r="E65" s="224" t="str">
        <f t="shared" si="2"/>
        <v>Mongolia</v>
      </c>
      <c r="F65" s="11">
        <v>10</v>
      </c>
      <c r="G65" s="217">
        <f t="shared" si="3"/>
        <v>8296712.5820000004</v>
      </c>
      <c r="H65" s="219">
        <f t="shared" si="4"/>
        <v>399696.42299999995</v>
      </c>
      <c r="I65" s="55">
        <f t="shared" si="1"/>
        <v>48.175276538704608</v>
      </c>
      <c r="J65" s="225">
        <f t="shared" ca="1" si="5"/>
        <v>8.0361127703598937E-3</v>
      </c>
    </row>
    <row r="66" spans="4:10" ht="15.75" thickBot="1">
      <c r="D66" s="203"/>
      <c r="E66" s="226" t="s">
        <v>173</v>
      </c>
      <c r="F66" s="127"/>
      <c r="G66" s="227">
        <f ca="1">SUMIF(M7:M108,"&gt;10",O7:O105)</f>
        <v>35248848.975000225</v>
      </c>
      <c r="H66" s="220">
        <f ca="1">SUMIF(M7:M108,"&gt;10",P7:P105)</f>
        <v>2718370.157999998</v>
      </c>
      <c r="I66" s="126">
        <f ca="1">AVERAGEIF(M7:M108,"&gt;10",Q7:Q105)</f>
        <v>77.992333235150355</v>
      </c>
      <c r="J66" s="228">
        <f t="shared" ca="1" si="5"/>
        <v>3.4141682333679584E-2</v>
      </c>
    </row>
    <row r="67" spans="4:10">
      <c r="D67" s="203"/>
      <c r="E67" s="201"/>
      <c r="F67" s="201"/>
      <c r="G67" s="201"/>
      <c r="H67" s="201"/>
      <c r="I67" s="202"/>
    </row>
    <row r="68" spans="4:10">
      <c r="D68" s="203"/>
      <c r="E68" s="201"/>
      <c r="F68" s="201"/>
      <c r="G68" s="201"/>
      <c r="H68" s="201"/>
      <c r="I68" s="202"/>
    </row>
    <row r="69" spans="4:10">
      <c r="D69" s="203"/>
      <c r="E69" s="201"/>
      <c r="F69" s="201"/>
      <c r="G69" s="201"/>
      <c r="H69" s="201"/>
      <c r="I69" s="202"/>
    </row>
    <row r="70" spans="4:10">
      <c r="D70" s="203"/>
      <c r="E70" s="201"/>
      <c r="F70" s="201"/>
      <c r="G70" s="201"/>
      <c r="H70" s="201"/>
      <c r="I70" s="202"/>
    </row>
    <row r="71" spans="4:10">
      <c r="D71" s="203"/>
      <c r="E71" s="201"/>
      <c r="F71" s="201"/>
      <c r="G71" s="201"/>
      <c r="H71" s="201"/>
      <c r="I71" s="202"/>
    </row>
    <row r="72" spans="4:10">
      <c r="D72" s="203"/>
      <c r="E72" s="201"/>
      <c r="F72" s="201"/>
      <c r="G72" s="201"/>
      <c r="H72" s="201"/>
      <c r="I72" s="202"/>
    </row>
    <row r="73" spans="4:10">
      <c r="D73" s="203"/>
      <c r="E73" s="201"/>
      <c r="F73" s="201"/>
      <c r="G73" s="201"/>
      <c r="H73" s="201"/>
      <c r="I73" s="202"/>
    </row>
    <row r="74" spans="4:10">
      <c r="D74" s="203"/>
      <c r="E74" s="201"/>
      <c r="F74" s="201"/>
      <c r="G74" s="201"/>
      <c r="H74" s="201"/>
      <c r="I74" s="202"/>
    </row>
    <row r="75" spans="4:10">
      <c r="D75" s="203"/>
      <c r="E75" s="201"/>
      <c r="F75" s="201"/>
      <c r="G75" s="201"/>
      <c r="H75" s="201"/>
      <c r="I75" s="202"/>
    </row>
    <row r="76" spans="4:10">
      <c r="D76" s="203"/>
      <c r="E76" s="201"/>
      <c r="F76" s="201"/>
      <c r="G76" s="201"/>
      <c r="H76" s="201"/>
      <c r="I76" s="202"/>
    </row>
    <row r="77" spans="4:10">
      <c r="D77" s="203"/>
      <c r="E77" s="201"/>
      <c r="F77" s="201"/>
      <c r="G77" s="201"/>
      <c r="H77" s="201"/>
      <c r="I77" s="202"/>
    </row>
    <row r="78" spans="4:10">
      <c r="D78" s="203"/>
      <c r="E78" s="201"/>
      <c r="F78" s="201"/>
      <c r="G78" s="201"/>
      <c r="H78" s="201"/>
      <c r="I78" s="202"/>
    </row>
    <row r="79" spans="4:10">
      <c r="D79" s="203"/>
      <c r="E79" s="201"/>
      <c r="F79" s="201"/>
      <c r="G79" s="201"/>
      <c r="H79" s="201"/>
      <c r="I79" s="202"/>
    </row>
    <row r="80" spans="4:10">
      <c r="D80" s="203"/>
      <c r="E80" s="201"/>
      <c r="F80" s="201"/>
      <c r="G80" s="201"/>
      <c r="H80" s="201"/>
      <c r="I80" s="202"/>
    </row>
    <row r="81" spans="4:9">
      <c r="D81" s="203"/>
      <c r="E81" s="201"/>
      <c r="F81" s="201"/>
      <c r="G81" s="201"/>
      <c r="H81" s="201"/>
      <c r="I81" s="202"/>
    </row>
    <row r="82" spans="4:9">
      <c r="D82" s="203"/>
      <c r="E82" s="201"/>
      <c r="F82" s="201"/>
      <c r="G82" s="201"/>
      <c r="H82" s="201"/>
      <c r="I82" s="202"/>
    </row>
    <row r="83" spans="4:9">
      <c r="D83" s="203"/>
      <c r="E83" s="201"/>
      <c r="F83" s="201"/>
      <c r="G83" s="201"/>
      <c r="H83" s="201"/>
      <c r="I83" s="202"/>
    </row>
    <row r="84" spans="4:9">
      <c r="D84" s="203"/>
      <c r="E84" s="202"/>
      <c r="F84" s="201"/>
      <c r="G84" s="201"/>
      <c r="H84" s="201"/>
      <c r="I84" s="202"/>
    </row>
    <row r="85" spans="4:9">
      <c r="D85" s="203"/>
      <c r="E85" s="202"/>
      <c r="F85" s="201"/>
      <c r="G85" s="201"/>
      <c r="H85" s="201"/>
      <c r="I85" s="202"/>
    </row>
    <row r="86" spans="4:9">
      <c r="D86" s="203"/>
      <c r="E86" s="202"/>
      <c r="F86" s="201"/>
      <c r="G86" s="201"/>
      <c r="H86" s="201"/>
      <c r="I86" s="202"/>
    </row>
    <row r="87" spans="4:9">
      <c r="D87" s="203"/>
      <c r="E87" s="202"/>
      <c r="F87" s="201"/>
      <c r="G87" s="201"/>
      <c r="H87" s="201"/>
      <c r="I87" s="202"/>
    </row>
    <row r="88" spans="4:9">
      <c r="D88" s="203"/>
      <c r="E88" s="202"/>
      <c r="F88" s="201"/>
      <c r="G88" s="201"/>
      <c r="H88" s="201"/>
      <c r="I88" s="202"/>
    </row>
    <row r="89" spans="4:9">
      <c r="D89" s="203"/>
      <c r="E89" s="202"/>
      <c r="F89" s="201"/>
      <c r="G89" s="201"/>
      <c r="H89" s="201"/>
      <c r="I89" s="202"/>
    </row>
    <row r="90" spans="4:9">
      <c r="D90" s="203"/>
      <c r="E90" s="202"/>
      <c r="F90" s="201"/>
      <c r="G90" s="201"/>
      <c r="H90" s="201"/>
      <c r="I90" s="202"/>
    </row>
    <row r="91" spans="4:9">
      <c r="D91" s="203"/>
      <c r="E91" s="202"/>
      <c r="F91" s="201"/>
      <c r="G91" s="201"/>
      <c r="H91" s="201"/>
      <c r="I91" s="202"/>
    </row>
    <row r="92" spans="4:9">
      <c r="D92" s="203"/>
      <c r="E92" s="202"/>
      <c r="F92" s="201"/>
      <c r="G92" s="201"/>
      <c r="H92" s="201"/>
      <c r="I92" s="202"/>
    </row>
    <row r="93" spans="4:9">
      <c r="D93" s="203"/>
      <c r="E93" s="202"/>
      <c r="F93" s="201"/>
      <c r="G93" s="201"/>
      <c r="H93" s="201"/>
      <c r="I93" s="202"/>
    </row>
    <row r="94" spans="4:9">
      <c r="D94" s="203"/>
      <c r="E94" s="202"/>
      <c r="F94" s="201"/>
      <c r="G94" s="201"/>
      <c r="H94" s="201"/>
      <c r="I94" s="202"/>
    </row>
    <row r="95" spans="4:9">
      <c r="D95" s="203"/>
      <c r="E95" s="202"/>
      <c r="F95" s="201"/>
      <c r="G95" s="201"/>
      <c r="H95" s="201"/>
      <c r="I95" s="202"/>
    </row>
    <row r="96" spans="4:9">
      <c r="D96" s="203"/>
      <c r="E96" s="202"/>
      <c r="F96" s="201"/>
      <c r="G96" s="201"/>
      <c r="H96" s="201"/>
      <c r="I96" s="202"/>
    </row>
    <row r="97" spans="4:9">
      <c r="D97" s="203"/>
      <c r="E97" s="202"/>
      <c r="F97" s="201"/>
      <c r="G97" s="201"/>
      <c r="H97" s="201"/>
      <c r="I97" s="202"/>
    </row>
    <row r="98" spans="4:9">
      <c r="D98" s="203"/>
      <c r="E98" s="202"/>
      <c r="F98" s="201"/>
      <c r="G98" s="201"/>
      <c r="H98" s="201"/>
      <c r="I98" s="202"/>
    </row>
    <row r="99" spans="4:9">
      <c r="D99" s="203"/>
      <c r="E99" s="202"/>
      <c r="F99" s="201"/>
      <c r="G99" s="201"/>
      <c r="H99" s="201"/>
      <c r="I99" s="202"/>
    </row>
    <row r="100" spans="4:9">
      <c r="D100" s="203"/>
      <c r="E100" s="202"/>
      <c r="F100" s="201"/>
      <c r="G100" s="201"/>
      <c r="H100" s="201"/>
      <c r="I100" s="202"/>
    </row>
    <row r="101" spans="4:9">
      <c r="D101" s="203"/>
      <c r="E101" s="202"/>
      <c r="F101" s="201"/>
      <c r="G101" s="201"/>
      <c r="H101" s="201"/>
      <c r="I101" s="202"/>
    </row>
    <row r="102" spans="4:9">
      <c r="D102" s="203"/>
      <c r="E102" s="202"/>
      <c r="F102" s="201"/>
      <c r="G102" s="201"/>
      <c r="H102" s="201"/>
      <c r="I102" s="202"/>
    </row>
    <row r="103" spans="4:9">
      <c r="D103" s="203"/>
      <c r="E103" s="202"/>
      <c r="F103" s="201"/>
      <c r="G103" s="201"/>
      <c r="H103" s="201"/>
      <c r="I103" s="202"/>
    </row>
    <row r="104" spans="4:9">
      <c r="D104" s="203"/>
      <c r="E104" s="202"/>
      <c r="F104" s="202"/>
      <c r="G104" s="202"/>
      <c r="H104" s="202"/>
      <c r="I104" s="202"/>
    </row>
  </sheetData>
  <mergeCells count="3">
    <mergeCell ref="A5:C5"/>
    <mergeCell ref="E54:J54"/>
    <mergeCell ref="N5:Q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4:J47"/>
  <sheetViews>
    <sheetView workbookViewId="0"/>
  </sheetViews>
  <sheetFormatPr defaultRowHeight="15"/>
  <cols>
    <col min="1" max="1" width="50.140625" style="410" bestFit="1" customWidth="1"/>
    <col min="2" max="2" width="2.28515625" style="410" customWidth="1"/>
    <col min="3" max="3" width="138.7109375" style="410" bestFit="1" customWidth="1"/>
    <col min="4" max="4" width="92" style="410" customWidth="1"/>
    <col min="5" max="16384" width="9.140625" style="410"/>
  </cols>
  <sheetData>
    <row r="4" spans="1:10">
      <c r="J4" s="431">
        <f>COUNTIF('Data - Monthly Commodity Prices'!A9:A5000,MAX('Data - Monthly Commodity Prices'!A9:A5000))</f>
        <v>12</v>
      </c>
    </row>
    <row r="5" spans="1:10">
      <c r="A5" s="559" t="s">
        <v>628</v>
      </c>
      <c r="B5" s="559"/>
      <c r="C5" s="9" t="s">
        <v>21</v>
      </c>
      <c r="D5" s="9" t="s">
        <v>753</v>
      </c>
    </row>
    <row r="6" spans="1:10">
      <c r="A6" s="9" t="s">
        <v>751</v>
      </c>
      <c r="D6" s="557"/>
    </row>
    <row r="7" spans="1:10">
      <c r="A7" s="551" t="s">
        <v>0</v>
      </c>
      <c r="B7" s="551" t="s">
        <v>8</v>
      </c>
      <c r="C7" s="445" t="s">
        <v>797</v>
      </c>
      <c r="D7" s="1562" t="s">
        <v>752</v>
      </c>
    </row>
    <row r="8" spans="1:10">
      <c r="A8" s="545" t="s">
        <v>350</v>
      </c>
      <c r="B8" s="545" t="s">
        <v>8</v>
      </c>
      <c r="C8" s="446" t="s">
        <v>792</v>
      </c>
      <c r="D8" s="442" t="s">
        <v>684</v>
      </c>
    </row>
    <row r="9" spans="1:10">
      <c r="A9" s="545"/>
      <c r="B9" s="545" t="s">
        <v>8</v>
      </c>
      <c r="C9" s="446" t="s">
        <v>793</v>
      </c>
      <c r="D9" s="442" t="s">
        <v>684</v>
      </c>
    </row>
    <row r="10" spans="1:10">
      <c r="A10" s="545"/>
      <c r="B10" s="545" t="s">
        <v>8</v>
      </c>
      <c r="C10" s="446" t="s">
        <v>794</v>
      </c>
      <c r="D10" s="442" t="s">
        <v>684</v>
      </c>
    </row>
    <row r="11" spans="1:10" s="900" customFormat="1">
      <c r="A11" s="1616" t="s">
        <v>531</v>
      </c>
      <c r="B11" s="1616" t="s">
        <v>8</v>
      </c>
      <c r="C11" s="1616" t="s">
        <v>796</v>
      </c>
      <c r="D11" s="1617" t="s">
        <v>684</v>
      </c>
    </row>
    <row r="12" spans="1:10">
      <c r="A12" s="539" t="s">
        <v>799</v>
      </c>
      <c r="B12" s="539" t="s">
        <v>8</v>
      </c>
      <c r="C12" s="410" t="s">
        <v>801</v>
      </c>
      <c r="D12" s="1566" t="s">
        <v>800</v>
      </c>
    </row>
    <row r="13" spans="1:10">
      <c r="A13" s="542" t="s">
        <v>1</v>
      </c>
      <c r="B13" s="542" t="s">
        <v>8</v>
      </c>
      <c r="C13" s="448" t="s">
        <v>795</v>
      </c>
      <c r="D13" s="443" t="s">
        <v>480</v>
      </c>
    </row>
    <row r="14" spans="1:10">
      <c r="A14" s="542"/>
      <c r="B14" s="542" t="s">
        <v>8</v>
      </c>
      <c r="C14" s="448" t="s">
        <v>848</v>
      </c>
      <c r="D14" s="448"/>
    </row>
    <row r="15" spans="1:10">
      <c r="A15" s="450" t="s">
        <v>2</v>
      </c>
      <c r="B15" s="556" t="s">
        <v>8</v>
      </c>
      <c r="C15" s="450" t="s">
        <v>839</v>
      </c>
      <c r="D15" s="444" t="s">
        <v>684</v>
      </c>
    </row>
    <row r="16" spans="1:10" s="900" customFormat="1">
      <c r="A16" s="1557" t="s">
        <v>732</v>
      </c>
      <c r="B16" s="1557" t="s">
        <v>8</v>
      </c>
      <c r="C16" s="1557" t="s">
        <v>741</v>
      </c>
      <c r="D16" s="1558" t="s">
        <v>742</v>
      </c>
    </row>
    <row r="17" spans="1:4" s="900" customFormat="1">
      <c r="A17" s="1557"/>
      <c r="B17" s="1557" t="s">
        <v>8</v>
      </c>
      <c r="C17" s="1557" t="s">
        <v>859</v>
      </c>
      <c r="D17" s="1558" t="s">
        <v>742</v>
      </c>
    </row>
    <row r="18" spans="1:4">
      <c r="A18" s="558" t="s">
        <v>538</v>
      </c>
      <c r="B18" s="558" t="s">
        <v>8</v>
      </c>
      <c r="C18" s="449" t="s">
        <v>746</v>
      </c>
      <c r="D18" s="1559" t="s">
        <v>752</v>
      </c>
    </row>
    <row r="19" spans="1:4">
      <c r="A19" s="550" t="s">
        <v>3</v>
      </c>
      <c r="B19" s="550" t="s">
        <v>8</v>
      </c>
      <c r="C19" s="543" t="s">
        <v>796</v>
      </c>
      <c r="D19" s="555" t="s">
        <v>684</v>
      </c>
    </row>
    <row r="20" spans="1:4" s="900" customFormat="1">
      <c r="A20" s="658" t="s">
        <v>798</v>
      </c>
      <c r="B20" s="658" t="s">
        <v>8</v>
      </c>
      <c r="C20" s="452" t="s">
        <v>761</v>
      </c>
      <c r="D20" s="547"/>
    </row>
    <row r="21" spans="1:4" s="900" customFormat="1" ht="15" customHeight="1">
      <c r="A21" s="658" t="s">
        <v>738</v>
      </c>
      <c r="B21" s="658" t="s">
        <v>8</v>
      </c>
      <c r="C21" s="452" t="s">
        <v>469</v>
      </c>
      <c r="D21" s="547" t="s">
        <v>470</v>
      </c>
    </row>
    <row r="22" spans="1:4" ht="15" customHeight="1">
      <c r="A22" s="540" t="s">
        <v>739</v>
      </c>
      <c r="B22" s="540" t="s">
        <v>8</v>
      </c>
      <c r="C22" s="452" t="s">
        <v>428</v>
      </c>
      <c r="D22" s="452"/>
    </row>
    <row r="23" spans="1:4">
      <c r="A23" s="544" t="s">
        <v>5</v>
      </c>
      <c r="B23" s="544" t="s">
        <v>8</v>
      </c>
      <c r="C23" s="553" t="s">
        <v>788</v>
      </c>
      <c r="D23" s="549" t="s">
        <v>481</v>
      </c>
    </row>
    <row r="24" spans="1:4" s="900" customFormat="1">
      <c r="B24" s="541"/>
    </row>
    <row r="25" spans="1:4">
      <c r="A25" s="9" t="s">
        <v>45</v>
      </c>
      <c r="B25" s="539"/>
    </row>
    <row r="26" spans="1:4">
      <c r="A26" s="410" t="s">
        <v>759</v>
      </c>
      <c r="B26" s="410" t="s">
        <v>8</v>
      </c>
      <c r="C26" s="410" t="s">
        <v>761</v>
      </c>
    </row>
    <row r="27" spans="1:4" s="900" customFormat="1">
      <c r="A27" s="900" t="s">
        <v>760</v>
      </c>
      <c r="B27" s="541" t="s">
        <v>8</v>
      </c>
      <c r="C27" s="900" t="s">
        <v>819</v>
      </c>
    </row>
    <row r="28" spans="1:4" s="900" customFormat="1">
      <c r="A28" s="554" t="s">
        <v>754</v>
      </c>
      <c r="B28" s="554" t="s">
        <v>8</v>
      </c>
      <c r="C28" s="548" t="s">
        <v>761</v>
      </c>
      <c r="D28" s="1739"/>
    </row>
    <row r="29" spans="1:4">
      <c r="A29" s="554" t="s">
        <v>479</v>
      </c>
      <c r="B29" s="554" t="s">
        <v>8</v>
      </c>
      <c r="C29" s="548" t="s">
        <v>847</v>
      </c>
      <c r="D29" s="1740" t="s">
        <v>789</v>
      </c>
    </row>
    <row r="30" spans="1:4" s="900" customFormat="1">
      <c r="A30" s="545" t="s">
        <v>755</v>
      </c>
      <c r="B30" s="545" t="s">
        <v>8</v>
      </c>
      <c r="C30" s="545" t="s">
        <v>761</v>
      </c>
      <c r="D30" s="1741"/>
    </row>
    <row r="31" spans="1:4">
      <c r="A31" s="545" t="s">
        <v>478</v>
      </c>
      <c r="B31" s="545" t="s">
        <v>8</v>
      </c>
      <c r="C31" s="446" t="s">
        <v>847</v>
      </c>
      <c r="D31" s="1742" t="s">
        <v>789</v>
      </c>
    </row>
    <row r="32" spans="1:4" s="900" customFormat="1">
      <c r="A32" s="448" t="s">
        <v>756</v>
      </c>
      <c r="B32" s="542" t="s">
        <v>8</v>
      </c>
      <c r="C32" s="448" t="s">
        <v>746</v>
      </c>
      <c r="D32" s="1743" t="s">
        <v>790</v>
      </c>
    </row>
    <row r="33" spans="1:4">
      <c r="A33" s="448" t="s">
        <v>477</v>
      </c>
      <c r="B33" s="542" t="s">
        <v>8</v>
      </c>
      <c r="C33" s="448" t="s">
        <v>847</v>
      </c>
      <c r="D33" s="1744" t="s">
        <v>789</v>
      </c>
    </row>
    <row r="34" spans="1:4" s="900" customFormat="1">
      <c r="A34" s="450" t="s">
        <v>758</v>
      </c>
      <c r="B34" s="450" t="s">
        <v>8</v>
      </c>
      <c r="C34" s="450" t="s">
        <v>746</v>
      </c>
      <c r="D34" s="1745" t="s">
        <v>790</v>
      </c>
    </row>
    <row r="35" spans="1:4">
      <c r="A35" s="450" t="s">
        <v>476</v>
      </c>
      <c r="B35" s="556" t="s">
        <v>8</v>
      </c>
      <c r="C35" s="450" t="s">
        <v>847</v>
      </c>
      <c r="D35" s="1746" t="s">
        <v>789</v>
      </c>
    </row>
    <row r="36" spans="1:4">
      <c r="A36" s="450" t="s">
        <v>472</v>
      </c>
      <c r="B36" s="556" t="s">
        <v>8</v>
      </c>
      <c r="C36" s="450" t="s">
        <v>474</v>
      </c>
      <c r="D36" s="1747" t="s">
        <v>475</v>
      </c>
    </row>
    <row r="37" spans="1:4">
      <c r="A37" s="450" t="s">
        <v>473</v>
      </c>
      <c r="B37" s="556" t="s">
        <v>8</v>
      </c>
      <c r="C37" s="450" t="s">
        <v>743</v>
      </c>
      <c r="D37" s="1745" t="s">
        <v>745</v>
      </c>
    </row>
    <row r="38" spans="1:4" s="900" customFormat="1">
      <c r="A38" s="552" t="s">
        <v>833</v>
      </c>
      <c r="B38" s="546" t="s">
        <v>8</v>
      </c>
      <c r="C38" s="552" t="s">
        <v>761</v>
      </c>
      <c r="D38" s="1748"/>
    </row>
    <row r="39" spans="1:4">
      <c r="A39" s="552" t="s">
        <v>834</v>
      </c>
      <c r="B39" s="546" t="s">
        <v>8</v>
      </c>
      <c r="C39" s="552" t="s">
        <v>847</v>
      </c>
      <c r="D39" s="1749" t="s">
        <v>789</v>
      </c>
    </row>
    <row r="40" spans="1:4" s="900" customFormat="1">
      <c r="A40" s="550" t="s">
        <v>757</v>
      </c>
      <c r="B40" s="550" t="s">
        <v>8</v>
      </c>
      <c r="C40" s="1560" t="s">
        <v>786</v>
      </c>
      <c r="D40" s="1750"/>
    </row>
    <row r="41" spans="1:4" s="900" customFormat="1">
      <c r="A41" s="550" t="s">
        <v>750</v>
      </c>
      <c r="B41" s="550" t="s">
        <v>8</v>
      </c>
      <c r="C41" s="550" t="s">
        <v>847</v>
      </c>
      <c r="D41" s="1751" t="s">
        <v>789</v>
      </c>
    </row>
    <row r="42" spans="1:4" s="900" customFormat="1">
      <c r="A42" s="452" t="s">
        <v>785</v>
      </c>
      <c r="B42" s="452" t="s">
        <v>8</v>
      </c>
      <c r="C42" s="452" t="s">
        <v>761</v>
      </c>
      <c r="D42" s="1752"/>
    </row>
    <row r="43" spans="1:4">
      <c r="A43" s="452" t="s">
        <v>749</v>
      </c>
      <c r="B43" s="540" t="s">
        <v>8</v>
      </c>
      <c r="C43" s="452" t="s">
        <v>469</v>
      </c>
      <c r="D43" s="1753" t="s">
        <v>470</v>
      </c>
    </row>
    <row r="44" spans="1:4">
      <c r="A44" s="452" t="s">
        <v>471</v>
      </c>
      <c r="B44" s="540" t="s">
        <v>8</v>
      </c>
      <c r="C44" s="452" t="s">
        <v>469</v>
      </c>
      <c r="D44" s="1753" t="s">
        <v>470</v>
      </c>
    </row>
    <row r="45" spans="1:4">
      <c r="A45" s="540" t="s">
        <v>747</v>
      </c>
      <c r="B45" s="540" t="s">
        <v>8</v>
      </c>
      <c r="C45" s="452" t="s">
        <v>744</v>
      </c>
      <c r="D45" s="1754" t="s">
        <v>791</v>
      </c>
    </row>
    <row r="46" spans="1:4">
      <c r="A46" s="658" t="s">
        <v>748</v>
      </c>
      <c r="B46" s="540" t="s">
        <v>8</v>
      </c>
      <c r="C46" s="452" t="s">
        <v>744</v>
      </c>
      <c r="D46" s="1754" t="s">
        <v>791</v>
      </c>
    </row>
    <row r="47" spans="1:4">
      <c r="B47" s="539"/>
    </row>
  </sheetData>
  <hyperlinks>
    <hyperlink ref="D45" r:id="rId1"/>
    <hyperlink ref="D43" r:id="rId2"/>
    <hyperlink ref="D44" r:id="rId3"/>
    <hyperlink ref="D36" r:id="rId4"/>
    <hyperlink ref="D13" r:id="rId5"/>
    <hyperlink ref="D15" r:id="rId6"/>
    <hyperlink ref="D19" r:id="rId7"/>
    <hyperlink ref="D23" r:id="rId8"/>
    <hyperlink ref="D21" r:id="rId9"/>
    <hyperlink ref="D18" r:id="rId10"/>
    <hyperlink ref="D34" r:id="rId11"/>
    <hyperlink ref="D7" r:id="rId12"/>
    <hyperlink ref="D29" r:id="rId13" display="http://www.industry.gov.au/Office-of-the-Chief-Economist/Pages/default.aspx"/>
    <hyperlink ref="D31" r:id="rId14" display="http://www.industry.gov.au/Office-of-the-Chief-Economist/Pages/default.aspx"/>
    <hyperlink ref="D33" r:id="rId15" display="http://www.industry.gov.au/Office-of-the-Chief-Economist/Pages/default.aspx"/>
    <hyperlink ref="D39" r:id="rId16" display="http://www.industry.gov.au/Office-of-the-Chief-Economist/Pages/default.aspx"/>
    <hyperlink ref="D41" r:id="rId17" display="http://www.industry.gov.au/Office-of-the-Chief-Economist/Pages/default.aspx"/>
    <hyperlink ref="D35" r:id="rId18" display="http://www.industry.gov.au/Office-of-the-Chief-Economist/Pages/default.aspx"/>
    <hyperlink ref="D32" r:id="rId19" display="ABS Stat"/>
    <hyperlink ref="D46" r:id="rId20"/>
    <hyperlink ref="D12" r:id="rId21"/>
    <hyperlink ref="D37" r:id="rId22"/>
    <hyperlink ref="D17" r:id="rId23"/>
    <hyperlink ref="D16" r:id="rId24"/>
  </hyperlinks>
  <pageMargins left="0.7" right="0.7" top="0.75" bottom="0.75" header="0.3" footer="0.3"/>
  <pageSetup paperSize="9" orientation="portrait" r:id="rId25"/>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71"/>
  </sheetPr>
  <dimension ref="A1:W253"/>
  <sheetViews>
    <sheetView workbookViewId="0"/>
  </sheetViews>
  <sheetFormatPr defaultRowHeight="15"/>
  <cols>
    <col min="1" max="1" width="13.28515625" bestFit="1" customWidth="1"/>
    <col min="2" max="2" width="12.5703125" customWidth="1"/>
    <col min="3" max="3" width="15.7109375" customWidth="1"/>
    <col min="4" max="5" width="12.5703125" hidden="1" customWidth="1"/>
    <col min="6" max="6" width="14" customWidth="1"/>
    <col min="7" max="7" width="16" style="1244" bestFit="1" customWidth="1"/>
    <col min="8" max="9" width="18.42578125" customWidth="1"/>
    <col min="16" max="16" width="13.42578125" style="1244" bestFit="1" customWidth="1"/>
    <col min="17" max="17" width="22.28515625" customWidth="1"/>
    <col min="18" max="18" width="20.28515625" customWidth="1"/>
  </cols>
  <sheetData>
    <row r="1" spans="1:18">
      <c r="A1" s="431" t="s">
        <v>429</v>
      </c>
      <c r="B1" s="431" t="str">
        <f>B7</f>
        <v>Spodumene Concentrate</v>
      </c>
      <c r="C1" s="431" t="str">
        <f>IF($Q$23=B1,"B","F")</f>
        <v>F</v>
      </c>
      <c r="D1" s="1083"/>
      <c r="E1" s="1083"/>
      <c r="F1" s="1244"/>
      <c r="H1" s="1244"/>
      <c r="I1" s="1244"/>
      <c r="J1" s="1244"/>
      <c r="K1" s="1244"/>
      <c r="L1" s="1244"/>
      <c r="M1" s="1244"/>
      <c r="N1" s="1244"/>
      <c r="Q1" s="455"/>
      <c r="R1" s="1244"/>
    </row>
    <row r="2" spans="1:18">
      <c r="A2" s="431" t="s">
        <v>446</v>
      </c>
      <c r="B2" s="431" t="e">
        <f>#REF!</f>
        <v>#REF!</v>
      </c>
      <c r="C2" s="431" t="str">
        <f>IF($Q$23=B1,"C","G")</f>
        <v>G</v>
      </c>
      <c r="D2" s="1083"/>
      <c r="E2" s="1083"/>
      <c r="F2" s="1244"/>
      <c r="H2" s="1244"/>
      <c r="I2" s="1244"/>
      <c r="J2" s="1244"/>
      <c r="K2" s="1244"/>
      <c r="L2" s="1244"/>
      <c r="M2" s="1244"/>
      <c r="N2" s="1244"/>
      <c r="Q2" s="1244"/>
      <c r="R2" s="1244"/>
    </row>
    <row r="3" spans="1:18">
      <c r="A3" s="1244"/>
      <c r="B3" s="1244"/>
      <c r="C3" s="1244"/>
      <c r="D3" s="1083"/>
      <c r="E3" s="1083"/>
      <c r="F3" s="1244"/>
      <c r="H3" s="1244"/>
      <c r="I3" s="1244"/>
      <c r="J3" s="1244"/>
      <c r="K3" s="1244"/>
      <c r="L3" s="1244"/>
      <c r="M3" s="1244"/>
      <c r="N3" s="1244"/>
      <c r="Q3" s="1244"/>
      <c r="R3" s="1244"/>
    </row>
    <row r="4" spans="1:18">
      <c r="A4" s="1244"/>
      <c r="B4" s="1244"/>
      <c r="C4" s="1244"/>
      <c r="D4" s="1083"/>
      <c r="E4" s="1083"/>
      <c r="F4" s="1244"/>
      <c r="H4" s="1244"/>
      <c r="I4" s="1244"/>
      <c r="J4" s="1244"/>
      <c r="K4" s="1244"/>
      <c r="L4" s="1244"/>
      <c r="M4" s="1244"/>
      <c r="N4" s="1244"/>
      <c r="Q4" s="1244"/>
      <c r="R4" s="1244"/>
    </row>
    <row r="5" spans="1:18">
      <c r="A5" s="1947" t="s">
        <v>732</v>
      </c>
      <c r="B5" s="1947"/>
      <c r="C5" s="1947"/>
      <c r="D5" s="1947"/>
      <c r="E5" s="1947"/>
      <c r="F5" s="1244"/>
      <c r="H5" s="1244"/>
      <c r="I5" s="1244"/>
      <c r="J5" s="1244"/>
      <c r="K5" s="1244"/>
      <c r="L5" s="1244"/>
      <c r="M5" s="1244"/>
      <c r="N5" s="1244"/>
      <c r="Q5" s="1244"/>
      <c r="R5" s="1244"/>
    </row>
    <row r="6" spans="1:18" ht="15.75" thickBot="1">
      <c r="A6" s="1992" t="s">
        <v>48</v>
      </c>
      <c r="B6" s="1992"/>
      <c r="C6" s="1992"/>
      <c r="D6" s="1992"/>
      <c r="E6" s="1992"/>
      <c r="F6" s="1244"/>
      <c r="H6" s="1244"/>
      <c r="I6" s="1244"/>
      <c r="J6" s="1244"/>
      <c r="K6" s="1244"/>
      <c r="L6" s="1244"/>
      <c r="M6" s="1244"/>
      <c r="N6" s="1244"/>
      <c r="Q6" s="1244"/>
      <c r="R6" s="1244"/>
    </row>
    <row r="7" spans="1:18" ht="15.75" thickBot="1">
      <c r="A7" s="1315"/>
      <c r="B7" s="2009" t="s">
        <v>670</v>
      </c>
      <c r="C7" s="2010"/>
      <c r="D7" s="1319"/>
      <c r="E7" s="1320"/>
      <c r="F7" s="1244"/>
      <c r="G7"/>
      <c r="P7" s="2011" t="str">
        <f>CONCATENATE("Western Australian ",B7," Quantity and Value")</f>
        <v>Western Australian Spodumene Concentrate Quantity and Value</v>
      </c>
      <c r="Q7" s="2011"/>
      <c r="R7" s="2011"/>
    </row>
    <row r="8" spans="1:18" s="1244" customFormat="1" ht="15.75" thickBot="1">
      <c r="A8" s="1318" t="s">
        <v>6</v>
      </c>
      <c r="B8" s="1316" t="s">
        <v>56</v>
      </c>
      <c r="C8" s="1317" t="s">
        <v>804</v>
      </c>
      <c r="D8" s="1321"/>
      <c r="E8" s="1322"/>
      <c r="P8" s="2004" t="s">
        <v>51</v>
      </c>
      <c r="Q8" s="2004"/>
      <c r="R8" s="2004"/>
    </row>
    <row r="9" spans="1:18" ht="15.75" thickBot="1">
      <c r="A9" s="1312">
        <v>37865</v>
      </c>
      <c r="B9" s="285">
        <v>31.434999999999999</v>
      </c>
      <c r="C9" s="292">
        <v>5.4547929999999996</v>
      </c>
      <c r="D9" s="764">
        <f>YEAR(A9)</f>
        <v>2003</v>
      </c>
      <c r="E9" s="764" t="str">
        <f>IF(MONTH(A9)=3,"1",IF(MONTH(A9)=6,"2",IF(MONTH(A9)=9,"3","4")))</f>
        <v>3</v>
      </c>
      <c r="F9" s="1244"/>
      <c r="G9" s="1245"/>
      <c r="P9" s="1372" t="s">
        <v>6</v>
      </c>
      <c r="Q9" s="1373" t="str">
        <f>B8</f>
        <v>Quantity (Kt)</v>
      </c>
      <c r="R9" s="1374" t="str">
        <f>C8</f>
        <v>Value ($ Million)</v>
      </c>
    </row>
    <row r="10" spans="1:18">
      <c r="A10" s="1312">
        <v>37956</v>
      </c>
      <c r="B10" s="1313">
        <v>24.138999999999999</v>
      </c>
      <c r="C10" s="1314">
        <v>4.6638279999999996</v>
      </c>
      <c r="D10" s="764">
        <f t="shared" ref="D10:D75" si="0">YEAR(A10)</f>
        <v>2003</v>
      </c>
      <c r="E10" s="764" t="str">
        <f t="shared" ref="E10:E75" si="1">IF(MONTH(A10)=3,"1",IF(MONTH(A10)=6,"2",IF(MONTH(A10)=9,"3","4")))</f>
        <v>4</v>
      </c>
      <c r="F10" s="1244"/>
      <c r="G10" s="1245"/>
      <c r="P10" s="1792">
        <f>LARGE($A$9:$A$252,10)</f>
        <v>42979</v>
      </c>
      <c r="Q10" s="1370">
        <f>SUMIF($A$9:$A$741,$P10,$B$9:$B$741)</f>
        <v>443.59343750000005</v>
      </c>
      <c r="R10" s="1375">
        <f>SUMIF($A$9:$A$741,$P10,$C$9:$C$741)</f>
        <v>305.88752999999997</v>
      </c>
    </row>
    <row r="11" spans="1:18">
      <c r="A11" s="1312">
        <v>38047</v>
      </c>
      <c r="B11" s="285">
        <v>32.378</v>
      </c>
      <c r="C11" s="292">
        <v>6.9491319999999996</v>
      </c>
      <c r="D11" s="764">
        <f t="shared" si="0"/>
        <v>2004</v>
      </c>
      <c r="E11" s="764" t="str">
        <f t="shared" si="1"/>
        <v>1</v>
      </c>
      <c r="F11" s="1244"/>
      <c r="G11" s="1245"/>
      <c r="P11" s="1312">
        <f>LARGE($A$9:$A$252,9)</f>
        <v>43070</v>
      </c>
      <c r="Q11" s="1604">
        <f t="shared" ref="Q11:Q19" si="2">SUMIF($A$9:$A$741,$P11,$B$9:$B$741)</f>
        <v>621.07889750000004</v>
      </c>
      <c r="R11" s="1605">
        <f t="shared" ref="R11:R19" si="3">SUMIF($A$9:$A$741,$P11,$C$9:$C$741)</f>
        <v>448.23720900000001</v>
      </c>
    </row>
    <row r="12" spans="1:18">
      <c r="A12" s="1312">
        <v>38139</v>
      </c>
      <c r="B12" s="1313">
        <v>18.420999999999999</v>
      </c>
      <c r="C12" s="1314">
        <v>4.3138500000000004</v>
      </c>
      <c r="D12" s="764">
        <f t="shared" si="0"/>
        <v>2004</v>
      </c>
      <c r="E12" s="764" t="str">
        <f t="shared" si="1"/>
        <v>2</v>
      </c>
      <c r="F12" s="1244"/>
      <c r="G12" s="1245"/>
      <c r="P12" s="1312">
        <f>LARGE($A$9:$A$252,8)</f>
        <v>43160</v>
      </c>
      <c r="Q12" s="1370">
        <f t="shared" si="2"/>
        <v>535.00334250000003</v>
      </c>
      <c r="R12" s="1375">
        <f t="shared" si="3"/>
        <v>448.96411000000001</v>
      </c>
    </row>
    <row r="13" spans="1:18">
      <c r="A13" s="1312">
        <v>38231</v>
      </c>
      <c r="B13" s="285">
        <v>9.7319999999999993</v>
      </c>
      <c r="C13" s="292">
        <v>2.6784500000000002</v>
      </c>
      <c r="D13" s="764">
        <f t="shared" si="0"/>
        <v>2004</v>
      </c>
      <c r="E13" s="764" t="str">
        <f t="shared" si="1"/>
        <v>3</v>
      </c>
      <c r="F13" s="1244"/>
      <c r="G13" s="1245"/>
      <c r="P13" s="1312">
        <f>LARGE($A$9:$A$252,7)</f>
        <v>43252</v>
      </c>
      <c r="Q13" s="1604">
        <f t="shared" si="2"/>
        <v>538.55783999999994</v>
      </c>
      <c r="R13" s="1605">
        <f t="shared" si="3"/>
        <v>495.61739299999999</v>
      </c>
    </row>
    <row r="14" spans="1:18">
      <c r="A14" s="1312">
        <v>38322</v>
      </c>
      <c r="B14" s="1313">
        <v>49.725000000000001</v>
      </c>
      <c r="C14" s="1314">
        <v>10.257918999999999</v>
      </c>
      <c r="D14" s="764">
        <f t="shared" si="0"/>
        <v>2004</v>
      </c>
      <c r="E14" s="764" t="str">
        <f t="shared" si="1"/>
        <v>4</v>
      </c>
      <c r="F14" s="1244"/>
      <c r="G14" s="1245"/>
      <c r="P14" s="1312">
        <f>LARGE($A$9:$A$252,6)</f>
        <v>43344</v>
      </c>
      <c r="Q14" s="1370">
        <f t="shared" si="2"/>
        <v>472.02602750000005</v>
      </c>
      <c r="R14" s="1375">
        <f t="shared" si="3"/>
        <v>461.06052900000003</v>
      </c>
    </row>
    <row r="15" spans="1:18">
      <c r="A15" s="1312">
        <v>38412</v>
      </c>
      <c r="B15" s="285">
        <v>18.204000000000001</v>
      </c>
      <c r="C15" s="292">
        <v>4.2521890000000004</v>
      </c>
      <c r="D15" s="764">
        <f t="shared" si="0"/>
        <v>2005</v>
      </c>
      <c r="E15" s="764" t="str">
        <f t="shared" si="1"/>
        <v>1</v>
      </c>
      <c r="F15" s="1244"/>
      <c r="G15" s="1245"/>
      <c r="P15" s="1312">
        <f>LARGE($A$9:$A$252,5)</f>
        <v>43435</v>
      </c>
      <c r="Q15" s="1604">
        <f t="shared" si="2"/>
        <v>420.35648999999995</v>
      </c>
      <c r="R15" s="1605">
        <f t="shared" si="3"/>
        <v>457.31553700000001</v>
      </c>
    </row>
    <row r="16" spans="1:18">
      <c r="A16" s="1312">
        <v>38504</v>
      </c>
      <c r="B16" s="1313">
        <v>31.143000000000001</v>
      </c>
      <c r="C16" s="1314">
        <v>6.2776129999999997</v>
      </c>
      <c r="D16" s="764">
        <f t="shared" si="0"/>
        <v>2005</v>
      </c>
      <c r="E16" s="764" t="str">
        <f t="shared" si="1"/>
        <v>2</v>
      </c>
      <c r="F16" s="1244"/>
      <c r="G16" t="str">
        <f>B7&amp;CHAR(10)&amp;"Quantity and Value by Quarter"</f>
        <v>Spodumene Concentrate
Quantity and Value by Quarter</v>
      </c>
      <c r="H16" s="1245"/>
      <c r="P16" s="1312">
        <f>LARGE($A$9:$A$252,4)</f>
        <v>43525</v>
      </c>
      <c r="Q16" s="1370">
        <f>SUMIF($A$9:$A$741,$P16,$B$9:$B$741)</f>
        <v>405.89135299999998</v>
      </c>
      <c r="R16" s="1375">
        <f>SUMIF($A$9:$A$741,$P16,$C$9:$C$741)</f>
        <v>391.29296499999998</v>
      </c>
    </row>
    <row r="17" spans="1:18">
      <c r="A17" s="1312">
        <v>38596</v>
      </c>
      <c r="B17" s="285">
        <v>45.238</v>
      </c>
      <c r="C17" s="292">
        <v>8.3987689999999997</v>
      </c>
      <c r="D17" s="764">
        <f t="shared" si="0"/>
        <v>2005</v>
      </c>
      <c r="E17" s="764" t="str">
        <f t="shared" si="1"/>
        <v>3</v>
      </c>
      <c r="F17" s="1244"/>
      <c r="G17" s="1245"/>
      <c r="P17" s="1312">
        <f>LARGE($A$9:$A$252,3)</f>
        <v>43617</v>
      </c>
      <c r="Q17" s="1604">
        <f t="shared" si="2"/>
        <v>389.71409500000004</v>
      </c>
      <c r="R17" s="1605">
        <f t="shared" si="3"/>
        <v>343.62799699999999</v>
      </c>
    </row>
    <row r="18" spans="1:18">
      <c r="A18" s="1312">
        <v>38687</v>
      </c>
      <c r="B18" s="1313">
        <v>79.05</v>
      </c>
      <c r="C18" s="1314">
        <v>11.389708000000001</v>
      </c>
      <c r="D18" s="764">
        <f t="shared" si="0"/>
        <v>2005</v>
      </c>
      <c r="E18" s="764" t="str">
        <f t="shared" si="1"/>
        <v>4</v>
      </c>
      <c r="F18" s="1244"/>
      <c r="G18" s="1245"/>
      <c r="P18" s="1312">
        <f>LARGE($A$9:$A$252,2)</f>
        <v>43709</v>
      </c>
      <c r="Q18" s="1370">
        <f t="shared" si="2"/>
        <v>411.5684205</v>
      </c>
      <c r="R18" s="1375">
        <f t="shared" si="3"/>
        <v>316.54083400000002</v>
      </c>
    </row>
    <row r="19" spans="1:18" ht="15.75" thickBot="1">
      <c r="A19" s="1312">
        <v>38777</v>
      </c>
      <c r="B19" s="285">
        <v>45.436</v>
      </c>
      <c r="C19" s="292">
        <v>10.884611</v>
      </c>
      <c r="D19" s="764">
        <f t="shared" si="0"/>
        <v>2006</v>
      </c>
      <c r="E19" s="764" t="str">
        <f t="shared" si="1"/>
        <v>1</v>
      </c>
      <c r="F19" s="1244"/>
      <c r="G19" s="1245"/>
      <c r="P19" s="1796">
        <f>LARGE($A$9:$A$252,1)</f>
        <v>43800</v>
      </c>
      <c r="Q19" s="1606">
        <f t="shared" si="2"/>
        <v>409.589652</v>
      </c>
      <c r="R19" s="1607">
        <f t="shared" si="3"/>
        <v>294.32722100000001</v>
      </c>
    </row>
    <row r="20" spans="1:18">
      <c r="A20" s="1312">
        <v>38869</v>
      </c>
      <c r="B20" s="1313">
        <v>23.504999999999999</v>
      </c>
      <c r="C20" s="1314">
        <v>5.963374</v>
      </c>
      <c r="D20" s="764">
        <f t="shared" si="0"/>
        <v>2006</v>
      </c>
      <c r="E20" s="764" t="str">
        <f t="shared" si="1"/>
        <v>2</v>
      </c>
      <c r="F20" s="1244"/>
      <c r="G20" s="1245"/>
      <c r="P20"/>
    </row>
    <row r="21" spans="1:18">
      <c r="A21" s="1312">
        <v>38961</v>
      </c>
      <c r="B21" s="285">
        <v>87.096000000000004</v>
      </c>
      <c r="C21" s="292">
        <v>17.803229999999999</v>
      </c>
      <c r="D21" s="764">
        <f t="shared" si="0"/>
        <v>2006</v>
      </c>
      <c r="E21" s="764" t="str">
        <f t="shared" si="1"/>
        <v>3</v>
      </c>
      <c r="F21" s="1244"/>
      <c r="G21" s="1245"/>
      <c r="P21"/>
    </row>
    <row r="22" spans="1:18">
      <c r="A22" s="1312">
        <v>39052</v>
      </c>
      <c r="B22" s="1313">
        <v>66.063999999999993</v>
      </c>
      <c r="C22" s="1314">
        <v>17.133371</v>
      </c>
      <c r="D22" s="764">
        <f t="shared" si="0"/>
        <v>2006</v>
      </c>
      <c r="E22" s="764" t="str">
        <f t="shared" si="1"/>
        <v>4</v>
      </c>
      <c r="F22" s="1244"/>
      <c r="G22" s="1245"/>
      <c r="P22"/>
    </row>
    <row r="23" spans="1:18" ht="15.75" thickBot="1">
      <c r="A23" s="1312">
        <v>39142</v>
      </c>
      <c r="B23" s="285">
        <v>67.822999999999993</v>
      </c>
      <c r="C23" s="292">
        <v>18.376117000000001</v>
      </c>
      <c r="D23" s="764">
        <f t="shared" si="0"/>
        <v>2007</v>
      </c>
      <c r="E23" s="764" t="str">
        <f t="shared" si="1"/>
        <v>1</v>
      </c>
      <c r="F23" s="1244"/>
      <c r="G23" s="1245"/>
      <c r="P23" s="1608"/>
      <c r="Q23" s="1609"/>
      <c r="R23" s="1609"/>
    </row>
    <row r="24" spans="1:18" ht="15.75" thickBot="1">
      <c r="A24" s="1312">
        <v>39234</v>
      </c>
      <c r="B24" s="1313">
        <v>69.448999999999998</v>
      </c>
      <c r="C24" s="1314">
        <v>18.888226</v>
      </c>
      <c r="D24" s="764">
        <f t="shared" si="0"/>
        <v>2007</v>
      </c>
      <c r="E24" s="764" t="str">
        <f t="shared" si="1"/>
        <v>2</v>
      </c>
      <c r="F24" s="1244"/>
      <c r="G24" s="1245"/>
      <c r="P24" s="1372" t="s">
        <v>447</v>
      </c>
      <c r="Q24" s="2012" t="s">
        <v>429</v>
      </c>
      <c r="R24" s="2013"/>
    </row>
    <row r="25" spans="1:18" ht="15.75" thickBot="1">
      <c r="A25" s="1312">
        <v>39326</v>
      </c>
      <c r="B25" s="285">
        <v>44.738</v>
      </c>
      <c r="C25" s="292">
        <v>12.719006</v>
      </c>
      <c r="D25" s="764">
        <f t="shared" si="0"/>
        <v>2007</v>
      </c>
      <c r="E25" s="764" t="str">
        <f t="shared" si="1"/>
        <v>3</v>
      </c>
      <c r="F25" s="1244"/>
      <c r="G25" s="1245"/>
      <c r="P25" s="1958" t="str">
        <f>CONCATENATE(B7," Quantity and Value by ",Q24)</f>
        <v>Spodumene Concentrate Quantity and Value by Calendar Year</v>
      </c>
      <c r="Q25" s="1959"/>
      <c r="R25" s="1960"/>
    </row>
    <row r="26" spans="1:18" ht="15.75" thickBot="1">
      <c r="A26" s="1312">
        <v>39417</v>
      </c>
      <c r="B26" s="1313">
        <v>63.268999999999998</v>
      </c>
      <c r="C26" s="1314">
        <v>17.921375999999999</v>
      </c>
      <c r="D26" s="764">
        <f t="shared" si="0"/>
        <v>2007</v>
      </c>
      <c r="E26" s="764" t="str">
        <f t="shared" si="1"/>
        <v>4</v>
      </c>
      <c r="F26" s="1244"/>
      <c r="G26" s="1245"/>
      <c r="P26" s="1318" t="str">
        <f>Q24</f>
        <v>Calendar Year</v>
      </c>
      <c r="Q26" s="1316" t="str">
        <f>Q9</f>
        <v>Quantity (Kt)</v>
      </c>
      <c r="R26" s="1317" t="str">
        <f>R9</f>
        <v>Value ($ Million)</v>
      </c>
    </row>
    <row r="27" spans="1:18">
      <c r="A27" s="1312">
        <v>39508</v>
      </c>
      <c r="B27" s="285">
        <v>59.527999999999999</v>
      </c>
      <c r="C27" s="292">
        <v>16.824276000000001</v>
      </c>
      <c r="D27" s="764">
        <f t="shared" si="0"/>
        <v>2008</v>
      </c>
      <c r="E27" s="764" t="str">
        <f t="shared" si="1"/>
        <v>1</v>
      </c>
      <c r="F27" s="1244"/>
      <c r="G27" s="1245"/>
      <c r="P27" s="1325">
        <f>IF($Q$24="Calendar Year",YEAR(MIN($A$9:$A$203)),CONCATENATE(YEAR(MIN($A$9:$A$203)),"-",((YEAR(MIN($A$9:$A$203))+1))))</f>
        <v>2003</v>
      </c>
      <c r="Q27" s="1613">
        <f>IF($P27="","",IF($Q$24="Calendar Year",SUMIF($D$9:$D$200,$P27,$B$9:$B$200),SUMIFS($B$9:$B$200,$D$9:$D$200,LEFT($P27,4),$E$9:$E$200,3)+SUMIFS($B$9:$B$200,$D$9:$D$200,LEFT($P27,4),$E$9:$E$200,4)+SUMIFS($B$9:$B$200,$D$9:$D$200,LEFT($P27,4)+1,$E$9:$E$200,1)+SUMIFS($B$9:$B$200,$D$9:$D$200,LEFT($P27,4)+1,$E$9:$E$200,2)))</f>
        <v>55.573999999999998</v>
      </c>
      <c r="R27" s="1610">
        <f>IF($P27="","",IF($Q$24="Calendar Year",SUMIF($D$9:$D$200,$P27,$C$9:$C$200),SUMIFS($C$9:$C$200,$D$9:$D$200,LEFT($P27,4),$E$9:$E$200,3)+SUMIFS($C$9:$C$200,$D$9:$D$200,LEFT($P27,4),$E$9:$E$200,4)+SUMIFS($C$9:$C$200,$D$9:$D$200,LEFT($P27,4)+1,$E$9:$E$200,1)+SUMIFS($C$9:$C$200,$D$9:$D$200,LEFT($P27,4)+1,$E$9:$E$200,2)))</f>
        <v>10.118620999999999</v>
      </c>
    </row>
    <row r="28" spans="1:18">
      <c r="A28" s="1312">
        <v>39600</v>
      </c>
      <c r="B28" s="1313">
        <v>78.48</v>
      </c>
      <c r="C28" s="1314">
        <v>22.511177</v>
      </c>
      <c r="D28" s="302">
        <f t="shared" si="0"/>
        <v>2008</v>
      </c>
      <c r="E28" s="302" t="str">
        <f t="shared" si="1"/>
        <v>2</v>
      </c>
      <c r="F28" s="1244"/>
      <c r="G28" s="1245"/>
      <c r="P28" s="1325">
        <f>IFERROR(IF(YEAR(MAX('Data - Monthly Commodity Prices'!$C$9:$C4975))=VALUE(RIGHT(P27,4)),"",IF($Q$24="Calendar Year",P27+1,CONCATENATE(LEFT(P27,4)+1,"-",RIGHT(P27,4)+1))),"")</f>
        <v>2004</v>
      </c>
      <c r="Q28" s="285">
        <f t="shared" ref="Q28:Q51" si="4">IF($P28="","",IF($Q$24="Calendar Year",SUMIF($D$9:$D$200,$P28,$B$9:$B$200),SUMIFS($B$9:$B$200,$D$9:$D$200,LEFT($P28,4),$E$9:$E$200,3)+SUMIFS($B$9:$B$200,$D$9:$D$200,LEFT($P28,4),$E$9:$E$200,4)+SUMIFS($B$9:$B$200,$D$9:$D$200,LEFT($P28,4)+1,$E$9:$E$200,1)+SUMIFS($B$9:$B$200,$D$9:$D$200,LEFT($P28,4)+1,$E$9:$E$200,2)))</f>
        <v>110.256</v>
      </c>
      <c r="R28" s="1611">
        <f t="shared" ref="R28:R51" si="5">IF($P28="","",IF($Q$24="Calendar Year",SUMIF($D$9:$D$200,$P28,$C$9:$C$200),SUMIFS($C$9:$C$200,$D$9:$D$200,LEFT($P28,4),$E$9:$E$200,3)+SUMIFS($C$9:$C$200,$D$9:$D$200,LEFT($P28,4),$E$9:$E$200,4)+SUMIFS($C$9:$C$200,$D$9:$D$200,LEFT($P28,4)+1,$E$9:$E$200,1)+SUMIFS($C$9:$C$200,$D$9:$D$200,LEFT($P28,4)+1,$E$9:$E$200,2)))</f>
        <v>24.199351</v>
      </c>
    </row>
    <row r="29" spans="1:18">
      <c r="A29" s="1312">
        <v>39692</v>
      </c>
      <c r="B29" s="285">
        <v>49.969000000000001</v>
      </c>
      <c r="C29" s="292">
        <v>16.469846329999999</v>
      </c>
      <c r="D29" s="302">
        <f t="shared" si="0"/>
        <v>2008</v>
      </c>
      <c r="E29" s="302" t="str">
        <f t="shared" si="1"/>
        <v>3</v>
      </c>
      <c r="F29" s="1244"/>
      <c r="G29" s="1245"/>
      <c r="P29" s="1325">
        <f>IFERROR(IF(YEAR(MAX('Data - Monthly Commodity Prices'!$C$9:$C4976))=VALUE(RIGHT(P28,4)),"",IF($Q$24="Calendar Year",P28+1,CONCATENATE(LEFT(P28,4)+1,"-",RIGHT(P28,4)+1))),"")</f>
        <v>2005</v>
      </c>
      <c r="Q29" s="285">
        <f t="shared" si="4"/>
        <v>173.63499999999999</v>
      </c>
      <c r="R29" s="1611">
        <f t="shared" si="5"/>
        <v>30.318278999999997</v>
      </c>
    </row>
    <row r="30" spans="1:18">
      <c r="A30" s="1312">
        <v>39783</v>
      </c>
      <c r="B30" s="1313">
        <v>51.551000000000002</v>
      </c>
      <c r="C30" s="1314">
        <v>17.532228</v>
      </c>
      <c r="D30" s="302">
        <f t="shared" si="0"/>
        <v>2008</v>
      </c>
      <c r="E30" s="302" t="str">
        <f t="shared" si="1"/>
        <v>4</v>
      </c>
      <c r="F30" s="1244"/>
      <c r="G30" s="1245"/>
      <c r="P30" s="1325">
        <f>IFERROR(IF(YEAR(MAX('Data - Monthly Commodity Prices'!$C$9:$C4977))=VALUE(RIGHT(P29,4)),"",IF($Q$24="Calendar Year",P29+1,CONCATENATE(LEFT(P29,4)+1,"-",RIGHT(P29,4)+1))),"")</f>
        <v>2006</v>
      </c>
      <c r="Q30" s="285">
        <f t="shared" si="4"/>
        <v>222.101</v>
      </c>
      <c r="R30" s="1611">
        <f t="shared" si="5"/>
        <v>51.784586000000004</v>
      </c>
    </row>
    <row r="31" spans="1:18">
      <c r="A31" s="1312">
        <v>39873</v>
      </c>
      <c r="B31" s="285">
        <v>39.302999999999997</v>
      </c>
      <c r="C31" s="292">
        <v>15.850790999999999</v>
      </c>
      <c r="D31" s="302">
        <f t="shared" si="0"/>
        <v>2009</v>
      </c>
      <c r="E31" s="302" t="str">
        <f t="shared" si="1"/>
        <v>1</v>
      </c>
      <c r="F31" s="1244"/>
      <c r="G31" s="1245"/>
      <c r="P31" s="1325">
        <f>IFERROR(IF(YEAR(MAX('Data - Monthly Commodity Prices'!$C$9:$C4978))=VALUE(RIGHT(P30,4)),"",IF($Q$24="Calendar Year",P30+1,CONCATENATE(LEFT(P30,4)+1,"-",RIGHT(P30,4)+1))),"")</f>
        <v>2007</v>
      </c>
      <c r="Q31" s="285">
        <f t="shared" si="4"/>
        <v>245.279</v>
      </c>
      <c r="R31" s="1611">
        <f t="shared" si="5"/>
        <v>67.904724999999999</v>
      </c>
    </row>
    <row r="32" spans="1:18">
      <c r="A32" s="1312">
        <v>39965</v>
      </c>
      <c r="B32" s="1313">
        <v>82.933149999999998</v>
      </c>
      <c r="C32" s="1314">
        <v>30.210339000000001</v>
      </c>
      <c r="D32" s="302">
        <f t="shared" si="0"/>
        <v>2009</v>
      </c>
      <c r="E32" s="302" t="str">
        <f t="shared" si="1"/>
        <v>2</v>
      </c>
      <c r="F32" s="1244"/>
      <c r="G32" s="1245"/>
      <c r="P32" s="1325">
        <f>IFERROR(IF(YEAR(MAX('Data - Monthly Commodity Prices'!$C$9:$C4979))=VALUE(RIGHT(P31,4)),"",IF($Q$24="Calendar Year",P31+1,CONCATENATE(LEFT(P31,4)+1,"-",RIGHT(P31,4)+1))),"")</f>
        <v>2008</v>
      </c>
      <c r="Q32" s="285">
        <f t="shared" si="4"/>
        <v>239.52800000000002</v>
      </c>
      <c r="R32" s="1611">
        <f t="shared" si="5"/>
        <v>73.33752733</v>
      </c>
    </row>
    <row r="33" spans="1:23">
      <c r="A33" s="1312">
        <v>40057</v>
      </c>
      <c r="B33" s="285">
        <v>26.47</v>
      </c>
      <c r="C33" s="292">
        <v>10.037209000000001</v>
      </c>
      <c r="D33" s="302">
        <f t="shared" si="0"/>
        <v>2009</v>
      </c>
      <c r="E33" s="302" t="str">
        <f t="shared" si="1"/>
        <v>3</v>
      </c>
      <c r="F33" s="1244"/>
      <c r="G33" s="1245"/>
      <c r="P33" s="1325">
        <f>IFERROR(IF(YEAR(MAX('Data - Monthly Commodity Prices'!$C$9:$C4980))=VALUE(RIGHT(P32,4)),"",IF($Q$24="Calendar Year",P32+1,CONCATENATE(LEFT(P32,4)+1,"-",RIGHT(P32,4)+1))),"")</f>
        <v>2009</v>
      </c>
      <c r="Q33" s="285">
        <f t="shared" si="4"/>
        <v>197.48214999999999</v>
      </c>
      <c r="R33" s="1611">
        <f t="shared" si="5"/>
        <v>71.703547</v>
      </c>
    </row>
    <row r="34" spans="1:23">
      <c r="A34" s="1312">
        <v>40148</v>
      </c>
      <c r="B34" s="1313">
        <v>48.776000000000003</v>
      </c>
      <c r="C34" s="1314">
        <v>15.605207999999999</v>
      </c>
      <c r="D34" s="784">
        <f t="shared" si="0"/>
        <v>2009</v>
      </c>
      <c r="E34" s="784" t="str">
        <f t="shared" si="1"/>
        <v>4</v>
      </c>
      <c r="F34" s="1244"/>
      <c r="G34" s="1245"/>
      <c r="P34" s="1325">
        <f>IFERROR(IF(YEAR(MAX('Data - Monthly Commodity Prices'!$C$9:$C4981))=VALUE(RIGHT(P33,4)),"",IF($Q$24="Calendar Year",P33+1,CONCATENATE(LEFT(P33,4)+1,"-",RIGHT(P33,4)+1))),"")</f>
        <v>2010</v>
      </c>
      <c r="Q34" s="285">
        <f t="shared" si="4"/>
        <v>326.86499999999995</v>
      </c>
      <c r="R34" s="1611">
        <f t="shared" si="5"/>
        <v>92.182259810000005</v>
      </c>
    </row>
    <row r="35" spans="1:23">
      <c r="A35" s="1312">
        <v>40238</v>
      </c>
      <c r="B35" s="285">
        <v>77.483000000000004</v>
      </c>
      <c r="C35" s="292">
        <v>21.716777</v>
      </c>
      <c r="D35" s="302">
        <f t="shared" si="0"/>
        <v>2010</v>
      </c>
      <c r="E35" s="302" t="str">
        <f t="shared" si="1"/>
        <v>1</v>
      </c>
      <c r="F35" s="1244"/>
      <c r="G35" s="1245"/>
      <c r="P35" s="1325">
        <f>IFERROR(IF(YEAR(MAX('Data - Monthly Commodity Prices'!$C$9:$C4982))=VALUE(RIGHT(P34,4)),"",IF($Q$24="Calendar Year",P34+1,CONCATENATE(LEFT(P34,4)+1,"-",RIGHT(P34,4)+1))),"")</f>
        <v>2011</v>
      </c>
      <c r="Q35" s="285">
        <f t="shared" si="4"/>
        <v>401.53584999999998</v>
      </c>
      <c r="R35" s="1611">
        <f t="shared" si="5"/>
        <v>117.3272889</v>
      </c>
    </row>
    <row r="36" spans="1:23">
      <c r="A36" s="1312">
        <v>40330</v>
      </c>
      <c r="B36" s="1313">
        <v>94.692999999999998</v>
      </c>
      <c r="C36" s="1314">
        <v>26.077617</v>
      </c>
      <c r="D36" s="302">
        <f t="shared" si="0"/>
        <v>2010</v>
      </c>
      <c r="E36" s="302" t="str">
        <f t="shared" si="1"/>
        <v>2</v>
      </c>
      <c r="F36" s="1244"/>
      <c r="G36" s="1245"/>
      <c r="P36" s="1325">
        <f>IFERROR(IF(YEAR(MAX('Data - Monthly Commodity Prices'!$C$9:$C4983))=VALUE(RIGHT(P35,4)),"",IF($Q$24="Calendar Year",P35+1,CONCATENATE(LEFT(P35,4)+1,"-",RIGHT(P35,4)+1))),"")</f>
        <v>2012</v>
      </c>
      <c r="Q36" s="285">
        <f t="shared" si="4"/>
        <v>500.89855</v>
      </c>
      <c r="R36" s="1611">
        <f t="shared" si="5"/>
        <v>162.18938188999999</v>
      </c>
    </row>
    <row r="37" spans="1:23">
      <c r="A37" s="1312">
        <v>40422</v>
      </c>
      <c r="B37" s="285">
        <v>101.34699999999999</v>
      </c>
      <c r="C37" s="292">
        <v>27.66628781</v>
      </c>
      <c r="D37" s="302">
        <f t="shared" si="0"/>
        <v>2010</v>
      </c>
      <c r="E37" s="302" t="str">
        <f t="shared" si="1"/>
        <v>3</v>
      </c>
      <c r="F37" s="1244"/>
      <c r="G37" s="1245"/>
      <c r="P37" s="1325">
        <f>IFERROR(IF(YEAR(MAX('Data - Monthly Commodity Prices'!$C$9:$C4984))=VALUE(RIGHT(P36,4)),"",IF($Q$24="Calendar Year",P36+1,CONCATENATE(LEFT(P36,4)+1,"-",RIGHT(P36,4)+1))),"")</f>
        <v>2013</v>
      </c>
      <c r="Q37" s="285">
        <f t="shared" si="4"/>
        <v>405.11900000000003</v>
      </c>
      <c r="R37" s="1611">
        <f t="shared" si="5"/>
        <v>169.28654441999998</v>
      </c>
    </row>
    <row r="38" spans="1:23">
      <c r="A38" s="1312">
        <v>40513</v>
      </c>
      <c r="B38" s="1313">
        <v>53.341999999999999</v>
      </c>
      <c r="C38" s="1314">
        <v>16.721578000000001</v>
      </c>
      <c r="D38" s="302">
        <f t="shared" si="0"/>
        <v>2010</v>
      </c>
      <c r="E38" s="302" t="str">
        <f t="shared" si="1"/>
        <v>4</v>
      </c>
      <c r="F38" s="1244"/>
      <c r="G38" s="1245"/>
      <c r="I38" s="431"/>
      <c r="J38" s="431"/>
      <c r="K38" s="431"/>
      <c r="L38" s="431"/>
      <c r="M38" s="431"/>
      <c r="N38" s="431"/>
      <c r="O38" s="431"/>
      <c r="P38" s="1325">
        <f>IFERROR(IF(YEAR(MAX('Data - Monthly Commodity Prices'!$C$9:$C4985))=VALUE(RIGHT(P37,4)),"",IF($Q$24="Calendar Year",P37+1,CONCATENATE(LEFT(P37,4)+1,"-",RIGHT(P37,4)+1))),"")</f>
        <v>2014</v>
      </c>
      <c r="Q38" s="285">
        <f t="shared" si="4"/>
        <v>444.54599999999999</v>
      </c>
      <c r="R38" s="1611">
        <f t="shared" si="5"/>
        <v>201.517762</v>
      </c>
      <c r="S38" s="431"/>
      <c r="T38" s="431"/>
      <c r="U38" s="431"/>
      <c r="V38" s="431"/>
      <c r="W38" s="431"/>
    </row>
    <row r="39" spans="1:23">
      <c r="A39" s="1312">
        <v>40603</v>
      </c>
      <c r="B39" s="285">
        <v>101.30500000000001</v>
      </c>
      <c r="C39" s="292">
        <v>29.212876999999999</v>
      </c>
      <c r="D39" s="302">
        <f t="shared" si="0"/>
        <v>2011</v>
      </c>
      <c r="E39" s="302" t="str">
        <f t="shared" si="1"/>
        <v>1</v>
      </c>
      <c r="F39" s="1244"/>
      <c r="G39" s="1245"/>
      <c r="I39" s="431"/>
      <c r="J39" s="431"/>
      <c r="K39" s="431"/>
      <c r="L39" s="431"/>
      <c r="M39" s="431"/>
      <c r="N39" s="431"/>
      <c r="O39" s="431"/>
      <c r="P39" s="1325">
        <f>IFERROR(IF(YEAR(MAX('Data - Monthly Commodity Prices'!$C$9:$C4986))=VALUE(RIGHT(P38,4)),"",IF($Q$24="Calendar Year",P38+1,CONCATENATE(LEFT(P38,4)+1,"-",RIGHT(P38,4)+1))),"")</f>
        <v>2015</v>
      </c>
      <c r="Q39" s="285">
        <f t="shared" si="4"/>
        <v>439.51400000000001</v>
      </c>
      <c r="R39" s="1611">
        <f t="shared" si="5"/>
        <v>240.17827200000002</v>
      </c>
      <c r="S39" s="431"/>
      <c r="T39" s="431"/>
      <c r="U39" s="431"/>
      <c r="V39" s="431"/>
      <c r="W39" s="431"/>
    </row>
    <row r="40" spans="1:23">
      <c r="A40" s="1312">
        <v>40695</v>
      </c>
      <c r="B40" s="1313">
        <v>96.423699999999997</v>
      </c>
      <c r="C40" s="1314">
        <v>29.716937160000001</v>
      </c>
      <c r="D40" s="302">
        <f t="shared" si="0"/>
        <v>2011</v>
      </c>
      <c r="E40" s="302" t="str">
        <f t="shared" si="1"/>
        <v>2</v>
      </c>
      <c r="F40" s="1244"/>
      <c r="G40" s="1245"/>
      <c r="I40" s="431"/>
      <c r="J40" s="431"/>
      <c r="K40" s="431"/>
      <c r="L40" s="431"/>
      <c r="M40" s="431"/>
      <c r="N40" s="431"/>
      <c r="O40" s="431"/>
      <c r="P40" s="1325">
        <f>IFERROR(IF(YEAR(MAX('Data - Monthly Commodity Prices'!$C$9:$C4987))=VALUE(RIGHT(P39,4)),"",IF($Q$24="Calendar Year",P39+1,CONCATENATE(LEFT(P39,4)+1,"-",RIGHT(P39,4)+1))),"")</f>
        <v>2016</v>
      </c>
      <c r="Q40" s="285">
        <f t="shared" si="4"/>
        <v>522.18100000000004</v>
      </c>
      <c r="R40" s="1611">
        <f t="shared" si="5"/>
        <v>293.85964200000001</v>
      </c>
      <c r="S40" s="431"/>
      <c r="T40" s="431"/>
      <c r="U40" s="431"/>
      <c r="V40" s="431"/>
      <c r="W40" s="431"/>
    </row>
    <row r="41" spans="1:23">
      <c r="A41" s="1312">
        <v>40787</v>
      </c>
      <c r="B41" s="285">
        <v>108.71615</v>
      </c>
      <c r="C41" s="292">
        <v>31.224095949999999</v>
      </c>
      <c r="D41" s="302">
        <f t="shared" si="0"/>
        <v>2011</v>
      </c>
      <c r="E41" s="302" t="str">
        <f t="shared" si="1"/>
        <v>3</v>
      </c>
      <c r="F41" s="1244"/>
      <c r="G41" s="1245"/>
      <c r="I41" s="431"/>
      <c r="J41" s="431"/>
      <c r="K41" s="431"/>
      <c r="L41" s="431"/>
      <c r="M41" s="431"/>
      <c r="N41" s="431"/>
      <c r="O41" s="431"/>
      <c r="P41" s="1325">
        <f>IFERROR(IF(YEAR(MAX('Data - Monthly Commodity Prices'!$C$9:$C4988))=VALUE(RIGHT(P40,4)),"",IF($Q$24="Calendar Year",P40+1,CONCATENATE(LEFT(P40,4)+1,"-",RIGHT(P40,4)+1))),"")</f>
        <v>2017</v>
      </c>
      <c r="Q41" s="285">
        <f t="shared" si="4"/>
        <v>1706.61861</v>
      </c>
      <c r="R41" s="1611">
        <f t="shared" si="5"/>
        <v>1198.5285669999998</v>
      </c>
      <c r="S41" s="431"/>
      <c r="T41" s="431"/>
      <c r="U41" s="431"/>
      <c r="V41" s="431"/>
      <c r="W41" s="431"/>
    </row>
    <row r="42" spans="1:23">
      <c r="A42" s="1312">
        <v>40878</v>
      </c>
      <c r="B42" s="1313">
        <v>95.090999999999994</v>
      </c>
      <c r="C42" s="1314">
        <v>27.173378789999997</v>
      </c>
      <c r="D42" s="302">
        <f t="shared" si="0"/>
        <v>2011</v>
      </c>
      <c r="E42" s="302" t="str">
        <f t="shared" si="1"/>
        <v>4</v>
      </c>
      <c r="F42" s="1244"/>
      <c r="G42" s="1245"/>
      <c r="I42" s="431"/>
      <c r="J42" s="431"/>
      <c r="K42" s="431"/>
      <c r="L42" s="431"/>
      <c r="M42" s="431"/>
      <c r="N42" s="431"/>
      <c r="O42" s="431"/>
      <c r="P42" s="1325">
        <f>IFERROR(IF(YEAR(MAX('Data - Monthly Commodity Prices'!$C$9:$C4989))=VALUE(RIGHT(P41,4)),"",IF($Q$24="Calendar Year",P41+1,CONCATENATE(LEFT(P41,4)+1,"-",RIGHT(P41,4)+1))),"")</f>
        <v>2018</v>
      </c>
      <c r="Q42" s="285">
        <f t="shared" si="4"/>
        <v>1965.9437</v>
      </c>
      <c r="R42" s="1611">
        <f t="shared" si="5"/>
        <v>1862.9575689999999</v>
      </c>
      <c r="S42" s="431"/>
      <c r="T42" s="431"/>
      <c r="U42" s="431"/>
      <c r="V42" s="431"/>
      <c r="W42" s="431"/>
    </row>
    <row r="43" spans="1:23">
      <c r="A43" s="1312">
        <v>40969</v>
      </c>
      <c r="B43" s="285">
        <v>143.05491000000001</v>
      </c>
      <c r="C43" s="292">
        <v>44.613789560000001</v>
      </c>
      <c r="D43" s="302">
        <f t="shared" si="0"/>
        <v>2012</v>
      </c>
      <c r="E43" s="302" t="str">
        <f t="shared" si="1"/>
        <v>1</v>
      </c>
      <c r="F43" s="1244"/>
      <c r="G43" s="1245"/>
      <c r="I43" s="431"/>
      <c r="J43" s="431"/>
      <c r="K43" s="431"/>
      <c r="L43" s="431"/>
      <c r="M43" s="431"/>
      <c r="N43" s="431"/>
      <c r="O43" s="431"/>
      <c r="P43" s="1325">
        <f>IFERROR(IF(YEAR(MAX('Data - Monthly Commodity Prices'!$C$9:$C4990))=VALUE(RIGHT(P42,4)),"",IF($Q$24="Calendar Year",P42+1,CONCATENATE(LEFT(P42,4)+1,"-",RIGHT(P42,4)+1))),"")</f>
        <v>2019</v>
      </c>
      <c r="Q43" s="285">
        <f t="shared" si="4"/>
        <v>1616.7635205000001</v>
      </c>
      <c r="R43" s="1611">
        <f t="shared" si="5"/>
        <v>1345.7890170000001</v>
      </c>
      <c r="S43" s="431"/>
      <c r="T43" s="431"/>
      <c r="U43" s="431"/>
      <c r="V43" s="431"/>
      <c r="W43" s="431"/>
    </row>
    <row r="44" spans="1:23">
      <c r="A44" s="1312">
        <v>41061</v>
      </c>
      <c r="B44" s="1313">
        <v>114.25875000000001</v>
      </c>
      <c r="C44" s="1314">
        <v>35.402556759999996</v>
      </c>
      <c r="D44" s="302">
        <f t="shared" si="0"/>
        <v>2012</v>
      </c>
      <c r="E44" s="302" t="str">
        <f t="shared" si="1"/>
        <v>2</v>
      </c>
      <c r="F44" s="1244"/>
      <c r="G44" s="1245"/>
      <c r="I44" s="431"/>
      <c r="J44" s="431"/>
      <c r="K44" s="431"/>
      <c r="L44" s="431"/>
      <c r="M44" s="431" t="str">
        <f>B7&amp;CHAR(10)&amp;"Quantity and Value by "&amp;Q24</f>
        <v>Spodumene Concentrate
Quantity and Value by Calendar Year</v>
      </c>
      <c r="N44" s="431"/>
      <c r="O44" s="431"/>
      <c r="P44" s="1325" t="str">
        <f>IFERROR(IF(YEAR(MAX('Data - Monthly Commodity Prices'!$C$9:$C4991))=VALUE(RIGHT(P43,4)),"",IF($Q$24="Calendar Year",P43+1,CONCATENATE(LEFT(P43,4)+1,"-",RIGHT(P43,4)+1))),"")</f>
        <v/>
      </c>
      <c r="Q44" s="285" t="str">
        <f t="shared" si="4"/>
        <v/>
      </c>
      <c r="R44" s="1611" t="str">
        <f t="shared" si="5"/>
        <v/>
      </c>
      <c r="S44" s="431"/>
      <c r="T44" s="431"/>
      <c r="U44" s="431"/>
      <c r="V44" s="431"/>
      <c r="W44" s="431"/>
    </row>
    <row r="45" spans="1:23">
      <c r="A45" s="1312">
        <v>41153</v>
      </c>
      <c r="B45" s="285">
        <v>124.63388999999999</v>
      </c>
      <c r="C45" s="292">
        <v>40.680747100000005</v>
      </c>
      <c r="D45" s="302">
        <f t="shared" si="0"/>
        <v>2012</v>
      </c>
      <c r="E45" s="302" t="str">
        <f t="shared" si="1"/>
        <v>3</v>
      </c>
      <c r="F45" s="1244"/>
      <c r="G45" s="1245"/>
      <c r="I45" s="431"/>
      <c r="J45" s="431"/>
      <c r="K45" s="431"/>
      <c r="L45" s="431"/>
      <c r="M45" s="431"/>
      <c r="N45" s="431"/>
      <c r="O45" s="431"/>
      <c r="P45" s="1325" t="str">
        <f>IFERROR(IF(YEAR(MAX('Data - Monthly Commodity Prices'!$C$9:$C4992))=VALUE(RIGHT(P44,4)),"",IF($Q$24="Calendar Year",P44+1,CONCATENATE(LEFT(P44,4)+1,"-",RIGHT(P44,4)+1))),"")</f>
        <v/>
      </c>
      <c r="Q45" s="285" t="str">
        <f t="shared" si="4"/>
        <v/>
      </c>
      <c r="R45" s="1611" t="str">
        <f t="shared" si="5"/>
        <v/>
      </c>
      <c r="S45" s="431"/>
      <c r="T45" s="431"/>
      <c r="U45" s="431"/>
      <c r="V45" s="431"/>
      <c r="W45" s="431"/>
    </row>
    <row r="46" spans="1:23">
      <c r="A46" s="1312">
        <v>41244</v>
      </c>
      <c r="B46" s="1313">
        <v>118.95099999999999</v>
      </c>
      <c r="C46" s="1314">
        <v>41.492288469999998</v>
      </c>
      <c r="D46" s="302">
        <f t="shared" si="0"/>
        <v>2012</v>
      </c>
      <c r="E46" s="302" t="str">
        <f t="shared" si="1"/>
        <v>4</v>
      </c>
      <c r="F46" s="1244"/>
      <c r="G46" s="1245"/>
      <c r="I46" s="431"/>
      <c r="J46" s="431"/>
      <c r="K46" s="431"/>
      <c r="L46" s="431"/>
      <c r="M46" s="431"/>
      <c r="N46" s="431"/>
      <c r="O46" s="431"/>
      <c r="P46" s="1325" t="str">
        <f>IFERROR(IF(YEAR(MAX('Data - Monthly Commodity Prices'!$C$9:$C4993))=VALUE(RIGHT(P45,4)),"",IF($Q$24="Calendar Year",P45+1,CONCATENATE(LEFT(P45,4)+1,"-",RIGHT(P45,4)+1))),"")</f>
        <v/>
      </c>
      <c r="Q46" s="285" t="str">
        <f t="shared" si="4"/>
        <v/>
      </c>
      <c r="R46" s="1611" t="str">
        <f t="shared" si="5"/>
        <v/>
      </c>
      <c r="S46" s="431"/>
      <c r="T46" s="431"/>
      <c r="U46" s="431"/>
      <c r="V46" s="431"/>
      <c r="W46" s="431"/>
    </row>
    <row r="47" spans="1:23">
      <c r="A47" s="1312">
        <v>41334</v>
      </c>
      <c r="B47" s="285">
        <v>87.549000000000007</v>
      </c>
      <c r="C47" s="292">
        <v>32.08433471</v>
      </c>
      <c r="D47" s="302">
        <f t="shared" si="0"/>
        <v>2013</v>
      </c>
      <c r="E47" s="302" t="str">
        <f t="shared" si="1"/>
        <v>1</v>
      </c>
      <c r="F47" s="1244"/>
      <c r="G47" s="1245"/>
      <c r="I47" s="431"/>
      <c r="J47" s="431"/>
      <c r="K47" s="431"/>
      <c r="L47" s="431"/>
      <c r="M47" s="431"/>
      <c r="N47" s="431"/>
      <c r="O47" s="431"/>
      <c r="P47" s="1325" t="str">
        <f>IFERROR(IF(YEAR(MAX('Data - Monthly Commodity Prices'!$C$9:$C4994))=VALUE(RIGHT(P46,4)),"",IF($Q$24="Calendar Year",P46+1,CONCATENATE(LEFT(P46,4)+1,"-",RIGHT(P46,4)+1))),"")</f>
        <v/>
      </c>
      <c r="Q47" s="285" t="str">
        <f t="shared" si="4"/>
        <v/>
      </c>
      <c r="R47" s="1611" t="str">
        <f t="shared" si="5"/>
        <v/>
      </c>
      <c r="S47" s="431"/>
      <c r="T47" s="431"/>
      <c r="U47" s="431"/>
      <c r="V47" s="431"/>
      <c r="W47" s="431"/>
    </row>
    <row r="48" spans="1:23">
      <c r="A48" s="1312">
        <v>41426</v>
      </c>
      <c r="B48" s="1313">
        <v>154.745</v>
      </c>
      <c r="C48" s="1314">
        <v>64.529314069999998</v>
      </c>
      <c r="D48" s="302">
        <f t="shared" si="0"/>
        <v>2013</v>
      </c>
      <c r="E48" s="302" t="str">
        <f t="shared" si="1"/>
        <v>2</v>
      </c>
      <c r="F48" s="1244"/>
      <c r="G48" s="1245"/>
      <c r="I48" s="431"/>
      <c r="J48" s="431"/>
      <c r="K48" s="431"/>
      <c r="L48" s="431"/>
      <c r="M48" s="431"/>
      <c r="N48" s="431"/>
      <c r="O48" s="431"/>
      <c r="P48" s="1325" t="str">
        <f>IFERROR(IF(YEAR(MAX('Data - Monthly Commodity Prices'!$C$9:$C4995))=VALUE(RIGHT(P47,4)),"",IF($Q$24="Calendar Year",P47+1,CONCATENATE(LEFT(P47,4)+1,"-",RIGHT(P47,4)+1))),"")</f>
        <v/>
      </c>
      <c r="Q48" s="285" t="str">
        <f t="shared" si="4"/>
        <v/>
      </c>
      <c r="R48" s="1611" t="str">
        <f t="shared" si="5"/>
        <v/>
      </c>
      <c r="S48" s="431"/>
      <c r="T48" s="431"/>
      <c r="U48" s="431"/>
      <c r="V48" s="431"/>
      <c r="W48" s="431"/>
    </row>
    <row r="49" spans="1:23">
      <c r="A49" s="1312">
        <v>41518</v>
      </c>
      <c r="B49" s="285">
        <v>69.808999999999997</v>
      </c>
      <c r="C49" s="292">
        <v>31.50990835</v>
      </c>
      <c r="D49" s="302">
        <f t="shared" si="0"/>
        <v>2013</v>
      </c>
      <c r="E49" s="302" t="str">
        <f t="shared" si="1"/>
        <v>3</v>
      </c>
      <c r="F49" s="1244"/>
      <c r="G49" s="1245"/>
      <c r="I49" s="431"/>
      <c r="J49" s="431"/>
      <c r="K49" s="431"/>
      <c r="L49" s="431"/>
      <c r="M49" s="431"/>
      <c r="N49" s="431"/>
      <c r="O49" s="431"/>
      <c r="P49" s="1325" t="str">
        <f>IFERROR(IF(YEAR(MAX('Data - Monthly Commodity Prices'!$C$9:$C4996))=VALUE(RIGHT(P48,4)),"",IF($Q$24="Calendar Year",P48+1,CONCATENATE(LEFT(P48,4)+1,"-",RIGHT(P48,4)+1))),"")</f>
        <v/>
      </c>
      <c r="Q49" s="285" t="str">
        <f t="shared" si="4"/>
        <v/>
      </c>
      <c r="R49" s="1611" t="str">
        <f t="shared" si="5"/>
        <v/>
      </c>
      <c r="S49" s="431"/>
      <c r="T49" s="431"/>
      <c r="U49" s="431"/>
      <c r="V49" s="431"/>
      <c r="W49" s="431"/>
    </row>
    <row r="50" spans="1:23">
      <c r="A50" s="1312">
        <v>41609</v>
      </c>
      <c r="B50" s="1313">
        <v>93.016000000000005</v>
      </c>
      <c r="C50" s="1314">
        <v>41.162987289999997</v>
      </c>
      <c r="D50" s="302">
        <f t="shared" si="0"/>
        <v>2013</v>
      </c>
      <c r="E50" s="302" t="str">
        <f t="shared" si="1"/>
        <v>4</v>
      </c>
      <c r="F50" s="1244"/>
      <c r="G50" s="1245"/>
      <c r="I50" s="431"/>
      <c r="J50" s="431"/>
      <c r="K50" s="431"/>
      <c r="L50" s="431"/>
      <c r="M50" s="431"/>
      <c r="N50" s="431"/>
      <c r="O50" s="431"/>
      <c r="P50" s="1325" t="str">
        <f>IFERROR(IF(YEAR(MAX('Data - Monthly Commodity Prices'!$C$9:$C4997))=VALUE(RIGHT(P49,4)),"",IF($Q$24="Calendar Year",P49+1,CONCATENATE(LEFT(P49,4)+1,"-",RIGHT(P49,4)+1))),"")</f>
        <v/>
      </c>
      <c r="Q50" s="285" t="str">
        <f t="shared" si="4"/>
        <v/>
      </c>
      <c r="R50" s="1611" t="str">
        <f t="shared" si="5"/>
        <v/>
      </c>
      <c r="S50" s="431"/>
      <c r="T50" s="431"/>
      <c r="U50" s="431"/>
      <c r="V50" s="431"/>
      <c r="W50" s="431"/>
    </row>
    <row r="51" spans="1:23" ht="15.75" thickBot="1">
      <c r="A51" s="1312">
        <v>41699</v>
      </c>
      <c r="B51" s="285">
        <v>68.242000000000004</v>
      </c>
      <c r="C51" s="292">
        <v>32.743884000000001</v>
      </c>
      <c r="D51" s="302">
        <f t="shared" si="0"/>
        <v>2014</v>
      </c>
      <c r="E51" s="302" t="str">
        <f t="shared" si="1"/>
        <v>1</v>
      </c>
      <c r="F51" s="1244"/>
      <c r="G51" s="1245"/>
      <c r="P51" s="1326" t="str">
        <f>IFERROR(IF(YEAR(MAX('Data - Monthly Commodity Prices'!$C$9:$C4998))=VALUE(RIGHT(P50,4)),"",IF($Q$24="Calendar Year",P50+1,CONCATENATE(LEFT(P50,4)+1,"-",RIGHT(P50,4)+1))),"")</f>
        <v/>
      </c>
      <c r="Q51" s="1324" t="str">
        <f t="shared" si="4"/>
        <v/>
      </c>
      <c r="R51" s="1612" t="str">
        <f t="shared" si="5"/>
        <v/>
      </c>
    </row>
    <row r="52" spans="1:23">
      <c r="A52" s="1312">
        <v>41791</v>
      </c>
      <c r="B52" s="1313">
        <v>110.998</v>
      </c>
      <c r="C52" s="1314">
        <v>45.147598000000002</v>
      </c>
      <c r="D52" s="302">
        <f t="shared" si="0"/>
        <v>2014</v>
      </c>
      <c r="E52" s="302" t="str">
        <f t="shared" si="1"/>
        <v>2</v>
      </c>
      <c r="F52" s="1244"/>
      <c r="G52" s="1245"/>
      <c r="P52"/>
    </row>
    <row r="53" spans="1:23">
      <c r="A53" s="1312">
        <v>41883</v>
      </c>
      <c r="B53" s="285">
        <v>98.152000000000001</v>
      </c>
      <c r="C53" s="292">
        <v>41.524011999999999</v>
      </c>
      <c r="D53" s="302">
        <f t="shared" si="0"/>
        <v>2014</v>
      </c>
      <c r="E53" s="302" t="str">
        <f t="shared" si="1"/>
        <v>3</v>
      </c>
      <c r="F53" s="1244"/>
      <c r="P53" s="1245"/>
    </row>
    <row r="54" spans="1:23">
      <c r="A54" s="1312">
        <v>41974</v>
      </c>
      <c r="B54" s="1313">
        <v>167.154</v>
      </c>
      <c r="C54" s="1314">
        <v>82.102267999999995</v>
      </c>
      <c r="D54" s="302">
        <f t="shared" si="0"/>
        <v>2014</v>
      </c>
      <c r="E54" s="302" t="str">
        <f t="shared" si="1"/>
        <v>4</v>
      </c>
      <c r="F54" s="1244"/>
      <c r="P54"/>
      <c r="Q54" s="1245"/>
    </row>
    <row r="55" spans="1:23">
      <c r="A55" s="1312">
        <v>42064</v>
      </c>
      <c r="B55" s="285">
        <v>117.108</v>
      </c>
      <c r="C55" s="292">
        <v>63.922114000000001</v>
      </c>
      <c r="D55" s="302">
        <f t="shared" si="0"/>
        <v>2015</v>
      </c>
      <c r="E55" s="302" t="str">
        <f t="shared" si="1"/>
        <v>1</v>
      </c>
      <c r="F55" s="1244"/>
      <c r="P55" s="339"/>
      <c r="Q55" s="1335"/>
    </row>
    <row r="56" spans="1:23">
      <c r="A56" s="1312">
        <v>42156</v>
      </c>
      <c r="B56" s="1634">
        <v>106.66</v>
      </c>
      <c r="C56" s="1635">
        <v>58.325992999999997</v>
      </c>
      <c r="D56" s="302">
        <f t="shared" si="0"/>
        <v>2015</v>
      </c>
      <c r="E56" s="302" t="str">
        <f t="shared" si="1"/>
        <v>2</v>
      </c>
      <c r="F56" s="1244"/>
      <c r="P56" s="1245"/>
      <c r="Q56" s="1347"/>
    </row>
    <row r="57" spans="1:23">
      <c r="A57" s="1312">
        <v>42248</v>
      </c>
      <c r="B57" s="1636">
        <v>169.30600000000001</v>
      </c>
      <c r="C57" s="61">
        <v>91.582151999999994</v>
      </c>
      <c r="D57" s="302">
        <f t="shared" si="0"/>
        <v>2015</v>
      </c>
      <c r="E57" s="302" t="str">
        <f t="shared" si="1"/>
        <v>3</v>
      </c>
      <c r="F57" s="1244"/>
      <c r="P57" s="1245"/>
      <c r="Q57" s="1371"/>
    </row>
    <row r="58" spans="1:23">
      <c r="A58" s="1312">
        <v>42339</v>
      </c>
      <c r="B58" s="1634">
        <v>46.44</v>
      </c>
      <c r="C58" s="1635">
        <v>26.348013000000002</v>
      </c>
      <c r="D58" s="302">
        <f t="shared" si="0"/>
        <v>2015</v>
      </c>
      <c r="E58" s="302" t="str">
        <f t="shared" si="1"/>
        <v>4</v>
      </c>
      <c r="F58" s="1348"/>
      <c r="G58" s="1245"/>
      <c r="H58" s="1094"/>
      <c r="P58"/>
      <c r="R58" s="1244"/>
    </row>
    <row r="59" spans="1:23">
      <c r="A59" s="1312">
        <v>42430</v>
      </c>
      <c r="B59" s="1636">
        <v>112.768</v>
      </c>
      <c r="C59" s="61">
        <v>67.054581999999996</v>
      </c>
      <c r="D59" s="302">
        <f t="shared" si="0"/>
        <v>2016</v>
      </c>
      <c r="E59" s="302" t="str">
        <f t="shared" si="1"/>
        <v>1</v>
      </c>
      <c r="F59" s="1348"/>
      <c r="G59"/>
      <c r="H59" s="1094"/>
      <c r="P59"/>
      <c r="R59" s="1244"/>
    </row>
    <row r="60" spans="1:23">
      <c r="A60" s="1312">
        <v>42522</v>
      </c>
      <c r="B60" s="1634">
        <v>137.303</v>
      </c>
      <c r="C60" s="1635">
        <v>75.736793000000006</v>
      </c>
      <c r="D60" s="302">
        <f t="shared" si="0"/>
        <v>2016</v>
      </c>
      <c r="E60" s="302" t="str">
        <f t="shared" si="1"/>
        <v>2</v>
      </c>
      <c r="F60" s="1348"/>
      <c r="G60"/>
      <c r="H60" s="1094"/>
      <c r="P60"/>
      <c r="R60" s="1244"/>
    </row>
    <row r="61" spans="1:23">
      <c r="A61" s="1312">
        <v>42614</v>
      </c>
      <c r="B61" s="1636">
        <v>122.422</v>
      </c>
      <c r="C61" s="61">
        <v>66.685486999999995</v>
      </c>
      <c r="D61" s="302">
        <f t="shared" si="0"/>
        <v>2016</v>
      </c>
      <c r="E61" s="302" t="str">
        <f t="shared" si="1"/>
        <v>3</v>
      </c>
      <c r="F61" s="1348"/>
      <c r="G61"/>
      <c r="P61"/>
    </row>
    <row r="62" spans="1:23">
      <c r="A62" s="1312">
        <v>42705</v>
      </c>
      <c r="B62" s="1634">
        <v>149.68799999999999</v>
      </c>
      <c r="C62" s="1635">
        <v>84.382779999999997</v>
      </c>
      <c r="D62" s="302">
        <f t="shared" si="0"/>
        <v>2016</v>
      </c>
      <c r="E62" s="302" t="str">
        <f t="shared" si="1"/>
        <v>4</v>
      </c>
      <c r="F62" s="1348"/>
      <c r="G62"/>
      <c r="P62"/>
    </row>
    <row r="63" spans="1:23">
      <c r="A63" s="1312">
        <v>42795</v>
      </c>
      <c r="B63" s="285">
        <v>197.61622999999997</v>
      </c>
      <c r="C63" s="292">
        <v>134.485433</v>
      </c>
      <c r="D63" s="302">
        <f t="shared" si="0"/>
        <v>2017</v>
      </c>
      <c r="E63" s="302" t="str">
        <f t="shared" si="1"/>
        <v>1</v>
      </c>
      <c r="F63" s="1348"/>
      <c r="G63"/>
      <c r="H63" s="1244"/>
      <c r="P63"/>
      <c r="Q63" s="9"/>
    </row>
    <row r="64" spans="1:23">
      <c r="A64" s="1312">
        <v>42887</v>
      </c>
      <c r="B64" s="1313">
        <v>444.33004500000004</v>
      </c>
      <c r="C64" s="1314">
        <v>309.91839499999998</v>
      </c>
      <c r="D64" s="302">
        <f t="shared" si="0"/>
        <v>2017</v>
      </c>
      <c r="E64" s="302" t="str">
        <f t="shared" si="1"/>
        <v>2</v>
      </c>
      <c r="F64" s="1348"/>
      <c r="G64"/>
      <c r="P64"/>
      <c r="Q64" s="9"/>
    </row>
    <row r="65" spans="1:17">
      <c r="A65" s="1312">
        <v>42979</v>
      </c>
      <c r="B65" s="285">
        <v>443.59343750000005</v>
      </c>
      <c r="C65" s="292">
        <v>305.88752999999997</v>
      </c>
      <c r="D65" s="302">
        <f t="shared" si="0"/>
        <v>2017</v>
      </c>
      <c r="E65" s="302" t="str">
        <f t="shared" si="1"/>
        <v>3</v>
      </c>
      <c r="F65" s="1348"/>
      <c r="G65"/>
      <c r="P65"/>
      <c r="Q65" s="9"/>
    </row>
    <row r="66" spans="1:17">
      <c r="A66" s="1312">
        <v>43070</v>
      </c>
      <c r="B66" s="1313">
        <v>621.07889750000004</v>
      </c>
      <c r="C66" s="1314">
        <v>448.23720900000001</v>
      </c>
      <c r="D66" s="302">
        <f t="shared" si="0"/>
        <v>2017</v>
      </c>
      <c r="E66" s="302" t="str">
        <f t="shared" si="1"/>
        <v>4</v>
      </c>
      <c r="F66" s="1244"/>
      <c r="G66"/>
      <c r="P66"/>
    </row>
    <row r="67" spans="1:17">
      <c r="A67" s="1312">
        <v>43160</v>
      </c>
      <c r="B67" s="285">
        <v>535.00334250000003</v>
      </c>
      <c r="C67" s="292">
        <v>448.96411000000001</v>
      </c>
      <c r="D67" s="302">
        <f t="shared" si="0"/>
        <v>2018</v>
      </c>
      <c r="E67" s="302" t="str">
        <f t="shared" si="1"/>
        <v>1</v>
      </c>
      <c r="F67" s="1244"/>
      <c r="G67"/>
      <c r="P67"/>
    </row>
    <row r="68" spans="1:17">
      <c r="A68" s="1312">
        <v>43252</v>
      </c>
      <c r="B68" s="1313">
        <v>538.55783999999994</v>
      </c>
      <c r="C68" s="1314">
        <v>495.61739299999999</v>
      </c>
      <c r="D68" s="302">
        <f t="shared" si="0"/>
        <v>2018</v>
      </c>
      <c r="E68" s="302" t="str">
        <f t="shared" si="1"/>
        <v>2</v>
      </c>
      <c r="F68" s="1244"/>
      <c r="G68"/>
      <c r="P68"/>
    </row>
    <row r="69" spans="1:17">
      <c r="A69" s="1312">
        <v>43344</v>
      </c>
      <c r="B69" s="285">
        <v>472.02602750000005</v>
      </c>
      <c r="C69" s="292">
        <v>461.06052900000003</v>
      </c>
      <c r="D69" s="302">
        <f t="shared" si="0"/>
        <v>2018</v>
      </c>
      <c r="E69" s="302" t="str">
        <f t="shared" si="1"/>
        <v>3</v>
      </c>
      <c r="F69" s="1244"/>
      <c r="G69"/>
      <c r="P69"/>
    </row>
    <row r="70" spans="1:17">
      <c r="A70" s="1312">
        <v>43435</v>
      </c>
      <c r="B70" s="1313">
        <v>420.35648999999995</v>
      </c>
      <c r="C70" s="1314">
        <v>457.31553700000001</v>
      </c>
      <c r="D70" s="302">
        <f t="shared" si="0"/>
        <v>2018</v>
      </c>
      <c r="E70" s="302" t="str">
        <f t="shared" si="1"/>
        <v>4</v>
      </c>
      <c r="F70" s="1244"/>
      <c r="G70"/>
      <c r="P70"/>
    </row>
    <row r="71" spans="1:17">
      <c r="A71" s="1312">
        <v>43525</v>
      </c>
      <c r="B71" s="285">
        <v>405.89135299999998</v>
      </c>
      <c r="C71" s="292">
        <v>391.29296499999998</v>
      </c>
      <c r="D71" s="302">
        <f t="shared" si="0"/>
        <v>2019</v>
      </c>
      <c r="E71" s="302" t="str">
        <f t="shared" si="1"/>
        <v>1</v>
      </c>
      <c r="F71" s="1244"/>
      <c r="G71"/>
      <c r="P71"/>
    </row>
    <row r="72" spans="1:17" s="1535" customFormat="1">
      <c r="A72" s="1312">
        <v>43617</v>
      </c>
      <c r="B72" s="1370">
        <v>389.71409500000004</v>
      </c>
      <c r="C72" s="1665">
        <v>343.62799699999999</v>
      </c>
      <c r="D72" s="302">
        <f t="shared" ref="D72:D74" si="6">YEAR(A72)</f>
        <v>2019</v>
      </c>
      <c r="E72" s="302" t="str">
        <f t="shared" ref="E72:E74" si="7">IF(MONTH(A72)=3,"1",IF(MONTH(A72)=6,"2",IF(MONTH(A72)=9,"3","4")))</f>
        <v>2</v>
      </c>
    </row>
    <row r="73" spans="1:17" s="1535" customFormat="1">
      <c r="A73" s="1657">
        <v>43709</v>
      </c>
      <c r="B73" s="285">
        <v>411.5684205</v>
      </c>
      <c r="C73" s="292">
        <v>316.54083400000002</v>
      </c>
      <c r="D73" s="302">
        <f t="shared" si="6"/>
        <v>2019</v>
      </c>
      <c r="E73" s="302" t="str">
        <f t="shared" si="7"/>
        <v>3</v>
      </c>
    </row>
    <row r="74" spans="1:17" ht="15.75" thickBot="1">
      <c r="A74" s="1312">
        <v>43800</v>
      </c>
      <c r="B74" s="1313">
        <v>409.589652</v>
      </c>
      <c r="C74" s="1314">
        <v>294.32722100000001</v>
      </c>
      <c r="D74" s="302">
        <f t="shared" si="6"/>
        <v>2019</v>
      </c>
      <c r="E74" s="302" t="str">
        <f t="shared" si="7"/>
        <v>4</v>
      </c>
    </row>
    <row r="75" spans="1:17">
      <c r="A75" s="1639"/>
      <c r="B75" s="1656"/>
      <c r="C75" s="1640"/>
      <c r="D75" s="302">
        <f t="shared" si="0"/>
        <v>1900</v>
      </c>
      <c r="E75" s="302" t="str">
        <f t="shared" si="1"/>
        <v>4</v>
      </c>
    </row>
    <row r="76" spans="1:17">
      <c r="B76" s="537"/>
      <c r="D76" s="302">
        <f t="shared" ref="D76:D139" si="8">YEAR(A76)</f>
        <v>1900</v>
      </c>
      <c r="E76" s="302" t="str">
        <f t="shared" ref="E76:E139" si="9">IF(MONTH(A76)=3,"1",IF(MONTH(A76)=6,"2",IF(MONTH(A76)=9,"3","4")))</f>
        <v>4</v>
      </c>
    </row>
    <row r="77" spans="1:17">
      <c r="D77" s="302">
        <f t="shared" si="8"/>
        <v>1900</v>
      </c>
      <c r="E77" s="302" t="str">
        <f t="shared" si="9"/>
        <v>4</v>
      </c>
    </row>
    <row r="78" spans="1:17">
      <c r="B78" s="1336"/>
      <c r="D78" s="302">
        <f t="shared" si="8"/>
        <v>1900</v>
      </c>
      <c r="E78" s="302" t="str">
        <f t="shared" si="9"/>
        <v>4</v>
      </c>
    </row>
    <row r="79" spans="1:17">
      <c r="D79" s="302">
        <f t="shared" si="8"/>
        <v>1900</v>
      </c>
      <c r="E79" s="302" t="str">
        <f t="shared" si="9"/>
        <v>4</v>
      </c>
    </row>
    <row r="80" spans="1:17">
      <c r="D80" s="302">
        <f t="shared" si="8"/>
        <v>1900</v>
      </c>
      <c r="E80" s="302" t="str">
        <f t="shared" si="9"/>
        <v>4</v>
      </c>
    </row>
    <row r="81" spans="4:5">
      <c r="D81" s="302">
        <f t="shared" si="8"/>
        <v>1900</v>
      </c>
      <c r="E81" s="302" t="str">
        <f t="shared" si="9"/>
        <v>4</v>
      </c>
    </row>
    <row r="82" spans="4:5">
      <c r="D82" s="302">
        <f t="shared" si="8"/>
        <v>1900</v>
      </c>
      <c r="E82" s="302" t="str">
        <f t="shared" si="9"/>
        <v>4</v>
      </c>
    </row>
    <row r="83" spans="4:5">
      <c r="D83" s="302">
        <f t="shared" si="8"/>
        <v>1900</v>
      </c>
      <c r="E83" s="302" t="str">
        <f t="shared" si="9"/>
        <v>4</v>
      </c>
    </row>
    <row r="84" spans="4:5">
      <c r="D84" s="302">
        <f t="shared" si="8"/>
        <v>1900</v>
      </c>
      <c r="E84" s="302" t="str">
        <f t="shared" si="9"/>
        <v>4</v>
      </c>
    </row>
    <row r="85" spans="4:5">
      <c r="D85" s="302">
        <f t="shared" si="8"/>
        <v>1900</v>
      </c>
      <c r="E85" s="302" t="str">
        <f t="shared" si="9"/>
        <v>4</v>
      </c>
    </row>
    <row r="86" spans="4:5">
      <c r="D86" s="302">
        <f t="shared" si="8"/>
        <v>1900</v>
      </c>
      <c r="E86" s="302" t="str">
        <f t="shared" si="9"/>
        <v>4</v>
      </c>
    </row>
    <row r="87" spans="4:5">
      <c r="D87" s="302">
        <f t="shared" si="8"/>
        <v>1900</v>
      </c>
      <c r="E87" s="302" t="str">
        <f t="shared" si="9"/>
        <v>4</v>
      </c>
    </row>
    <row r="88" spans="4:5">
      <c r="D88" s="302">
        <f t="shared" si="8"/>
        <v>1900</v>
      </c>
      <c r="E88" s="302" t="str">
        <f t="shared" si="9"/>
        <v>4</v>
      </c>
    </row>
    <row r="89" spans="4:5">
      <c r="D89" s="302">
        <f t="shared" si="8"/>
        <v>1900</v>
      </c>
      <c r="E89" s="302" t="str">
        <f t="shared" si="9"/>
        <v>4</v>
      </c>
    </row>
    <row r="90" spans="4:5">
      <c r="D90" s="302">
        <f t="shared" si="8"/>
        <v>1900</v>
      </c>
      <c r="E90" s="302" t="str">
        <f t="shared" si="9"/>
        <v>4</v>
      </c>
    </row>
    <row r="91" spans="4:5">
      <c r="D91" s="302">
        <f t="shared" si="8"/>
        <v>1900</v>
      </c>
      <c r="E91" s="302" t="str">
        <f t="shared" si="9"/>
        <v>4</v>
      </c>
    </row>
    <row r="92" spans="4:5">
      <c r="D92" s="302">
        <f t="shared" si="8"/>
        <v>1900</v>
      </c>
      <c r="E92" s="302" t="str">
        <f t="shared" si="9"/>
        <v>4</v>
      </c>
    </row>
    <row r="93" spans="4:5">
      <c r="D93" s="302">
        <f t="shared" si="8"/>
        <v>1900</v>
      </c>
      <c r="E93" s="302" t="str">
        <f t="shared" si="9"/>
        <v>4</v>
      </c>
    </row>
    <row r="94" spans="4:5">
      <c r="D94" s="302">
        <f t="shared" si="8"/>
        <v>1900</v>
      </c>
      <c r="E94" s="302" t="str">
        <f t="shared" si="9"/>
        <v>4</v>
      </c>
    </row>
    <row r="95" spans="4:5">
      <c r="D95" s="302">
        <f t="shared" si="8"/>
        <v>1900</v>
      </c>
      <c r="E95" s="302" t="str">
        <f t="shared" si="9"/>
        <v>4</v>
      </c>
    </row>
    <row r="96" spans="4:5">
      <c r="D96" s="302">
        <f t="shared" si="8"/>
        <v>1900</v>
      </c>
      <c r="E96" s="302" t="str">
        <f t="shared" si="9"/>
        <v>4</v>
      </c>
    </row>
    <row r="97" spans="4:5">
      <c r="D97" s="302">
        <f t="shared" si="8"/>
        <v>1900</v>
      </c>
      <c r="E97" s="302" t="str">
        <f t="shared" si="9"/>
        <v>4</v>
      </c>
    </row>
    <row r="98" spans="4:5">
      <c r="D98" s="302">
        <f t="shared" si="8"/>
        <v>1900</v>
      </c>
      <c r="E98" s="302" t="str">
        <f t="shared" si="9"/>
        <v>4</v>
      </c>
    </row>
    <row r="99" spans="4:5">
      <c r="D99" s="302">
        <f t="shared" si="8"/>
        <v>1900</v>
      </c>
      <c r="E99" s="302" t="str">
        <f t="shared" si="9"/>
        <v>4</v>
      </c>
    </row>
    <row r="100" spans="4:5">
      <c r="D100" s="302">
        <f t="shared" si="8"/>
        <v>1900</v>
      </c>
      <c r="E100" s="302" t="str">
        <f t="shared" si="9"/>
        <v>4</v>
      </c>
    </row>
    <row r="101" spans="4:5">
      <c r="D101" s="302">
        <f t="shared" si="8"/>
        <v>1900</v>
      </c>
      <c r="E101" s="302" t="str">
        <f t="shared" si="9"/>
        <v>4</v>
      </c>
    </row>
    <row r="102" spans="4:5">
      <c r="D102" s="302">
        <f t="shared" si="8"/>
        <v>1900</v>
      </c>
      <c r="E102" s="302" t="str">
        <f t="shared" si="9"/>
        <v>4</v>
      </c>
    </row>
    <row r="103" spans="4:5">
      <c r="D103" s="302">
        <f t="shared" si="8"/>
        <v>1900</v>
      </c>
      <c r="E103" s="302" t="str">
        <f t="shared" si="9"/>
        <v>4</v>
      </c>
    </row>
    <row r="104" spans="4:5">
      <c r="D104" s="302">
        <f t="shared" si="8"/>
        <v>1900</v>
      </c>
      <c r="E104" s="302" t="str">
        <f t="shared" si="9"/>
        <v>4</v>
      </c>
    </row>
    <row r="105" spans="4:5">
      <c r="D105" s="302">
        <f t="shared" si="8"/>
        <v>1900</v>
      </c>
      <c r="E105" s="302" t="str">
        <f t="shared" si="9"/>
        <v>4</v>
      </c>
    </row>
    <row r="106" spans="4:5">
      <c r="D106" s="302">
        <f t="shared" si="8"/>
        <v>1900</v>
      </c>
      <c r="E106" s="302" t="str">
        <f t="shared" si="9"/>
        <v>4</v>
      </c>
    </row>
    <row r="107" spans="4:5">
      <c r="D107" s="302">
        <f t="shared" si="8"/>
        <v>1900</v>
      </c>
      <c r="E107" s="302" t="str">
        <f t="shared" si="9"/>
        <v>4</v>
      </c>
    </row>
    <row r="108" spans="4:5">
      <c r="D108" s="302">
        <f t="shared" si="8"/>
        <v>1900</v>
      </c>
      <c r="E108" s="302" t="str">
        <f t="shared" si="9"/>
        <v>4</v>
      </c>
    </row>
    <row r="109" spans="4:5">
      <c r="D109" s="302">
        <f t="shared" si="8"/>
        <v>1900</v>
      </c>
      <c r="E109" s="302" t="str">
        <f t="shared" si="9"/>
        <v>4</v>
      </c>
    </row>
    <row r="110" spans="4:5">
      <c r="D110" s="302">
        <f t="shared" si="8"/>
        <v>1900</v>
      </c>
      <c r="E110" s="302" t="str">
        <f t="shared" si="9"/>
        <v>4</v>
      </c>
    </row>
    <row r="111" spans="4:5">
      <c r="D111" s="302">
        <f t="shared" si="8"/>
        <v>1900</v>
      </c>
      <c r="E111" s="302" t="str">
        <f t="shared" si="9"/>
        <v>4</v>
      </c>
    </row>
    <row r="112" spans="4:5">
      <c r="D112" s="302">
        <f t="shared" si="8"/>
        <v>1900</v>
      </c>
      <c r="E112" s="302" t="str">
        <f t="shared" si="9"/>
        <v>4</v>
      </c>
    </row>
    <row r="113" spans="4:5">
      <c r="D113" s="302">
        <f t="shared" si="8"/>
        <v>1900</v>
      </c>
      <c r="E113" s="302" t="str">
        <f t="shared" si="9"/>
        <v>4</v>
      </c>
    </row>
    <row r="114" spans="4:5">
      <c r="D114" s="302">
        <f t="shared" si="8"/>
        <v>1900</v>
      </c>
      <c r="E114" s="302" t="str">
        <f t="shared" si="9"/>
        <v>4</v>
      </c>
    </row>
    <row r="115" spans="4:5">
      <c r="D115" s="302">
        <f t="shared" si="8"/>
        <v>1900</v>
      </c>
      <c r="E115" s="302" t="str">
        <f t="shared" si="9"/>
        <v>4</v>
      </c>
    </row>
    <row r="116" spans="4:5">
      <c r="D116" s="302">
        <f t="shared" si="8"/>
        <v>1900</v>
      </c>
      <c r="E116" s="302" t="str">
        <f t="shared" si="9"/>
        <v>4</v>
      </c>
    </row>
    <row r="117" spans="4:5">
      <c r="D117" s="302">
        <f t="shared" si="8"/>
        <v>1900</v>
      </c>
      <c r="E117" s="302" t="str">
        <f t="shared" si="9"/>
        <v>4</v>
      </c>
    </row>
    <row r="118" spans="4:5">
      <c r="D118" s="302">
        <f t="shared" si="8"/>
        <v>1900</v>
      </c>
      <c r="E118" s="302" t="str">
        <f t="shared" si="9"/>
        <v>4</v>
      </c>
    </row>
    <row r="119" spans="4:5">
      <c r="D119" s="302">
        <f t="shared" si="8"/>
        <v>1900</v>
      </c>
      <c r="E119" s="302" t="str">
        <f t="shared" si="9"/>
        <v>4</v>
      </c>
    </row>
    <row r="120" spans="4:5">
      <c r="D120" s="302">
        <f t="shared" si="8"/>
        <v>1900</v>
      </c>
      <c r="E120" s="302" t="str">
        <f t="shared" si="9"/>
        <v>4</v>
      </c>
    </row>
    <row r="121" spans="4:5">
      <c r="D121" s="302">
        <f t="shared" si="8"/>
        <v>1900</v>
      </c>
      <c r="E121" s="302" t="str">
        <f t="shared" si="9"/>
        <v>4</v>
      </c>
    </row>
    <row r="122" spans="4:5">
      <c r="D122" s="302">
        <f t="shared" si="8"/>
        <v>1900</v>
      </c>
      <c r="E122" s="302" t="str">
        <f t="shared" si="9"/>
        <v>4</v>
      </c>
    </row>
    <row r="123" spans="4:5">
      <c r="D123" s="302">
        <f t="shared" si="8"/>
        <v>1900</v>
      </c>
      <c r="E123" s="302" t="str">
        <f t="shared" si="9"/>
        <v>4</v>
      </c>
    </row>
    <row r="124" spans="4:5">
      <c r="D124" s="302">
        <f t="shared" si="8"/>
        <v>1900</v>
      </c>
      <c r="E124" s="302" t="str">
        <f t="shared" si="9"/>
        <v>4</v>
      </c>
    </row>
    <row r="125" spans="4:5">
      <c r="D125" s="302">
        <f t="shared" si="8"/>
        <v>1900</v>
      </c>
      <c r="E125" s="302" t="str">
        <f t="shared" si="9"/>
        <v>4</v>
      </c>
    </row>
    <row r="126" spans="4:5">
      <c r="D126" s="302">
        <f t="shared" si="8"/>
        <v>1900</v>
      </c>
      <c r="E126" s="302" t="str">
        <f t="shared" si="9"/>
        <v>4</v>
      </c>
    </row>
    <row r="127" spans="4:5">
      <c r="D127" s="302">
        <f t="shared" si="8"/>
        <v>1900</v>
      </c>
      <c r="E127" s="302" t="str">
        <f t="shared" si="9"/>
        <v>4</v>
      </c>
    </row>
    <row r="128" spans="4:5">
      <c r="D128" s="302">
        <f t="shared" si="8"/>
        <v>1900</v>
      </c>
      <c r="E128" s="302" t="str">
        <f t="shared" si="9"/>
        <v>4</v>
      </c>
    </row>
    <row r="129" spans="4:5">
      <c r="D129" s="302">
        <f t="shared" si="8"/>
        <v>1900</v>
      </c>
      <c r="E129" s="302" t="str">
        <f t="shared" si="9"/>
        <v>4</v>
      </c>
    </row>
    <row r="130" spans="4:5">
      <c r="D130" s="302">
        <f t="shared" si="8"/>
        <v>1900</v>
      </c>
      <c r="E130" s="302" t="str">
        <f t="shared" si="9"/>
        <v>4</v>
      </c>
    </row>
    <row r="131" spans="4:5">
      <c r="D131" s="302">
        <f t="shared" si="8"/>
        <v>1900</v>
      </c>
      <c r="E131" s="302" t="str">
        <f t="shared" si="9"/>
        <v>4</v>
      </c>
    </row>
    <row r="132" spans="4:5">
      <c r="D132" s="302">
        <f t="shared" si="8"/>
        <v>1900</v>
      </c>
      <c r="E132" s="302" t="str">
        <f t="shared" si="9"/>
        <v>4</v>
      </c>
    </row>
    <row r="133" spans="4:5">
      <c r="D133" s="302">
        <f t="shared" si="8"/>
        <v>1900</v>
      </c>
      <c r="E133" s="302" t="str">
        <f t="shared" si="9"/>
        <v>4</v>
      </c>
    </row>
    <row r="134" spans="4:5">
      <c r="D134" s="302">
        <f t="shared" si="8"/>
        <v>1900</v>
      </c>
      <c r="E134" s="302" t="str">
        <f t="shared" si="9"/>
        <v>4</v>
      </c>
    </row>
    <row r="135" spans="4:5">
      <c r="D135" s="302">
        <f t="shared" si="8"/>
        <v>1900</v>
      </c>
      <c r="E135" s="302" t="str">
        <f t="shared" si="9"/>
        <v>4</v>
      </c>
    </row>
    <row r="136" spans="4:5">
      <c r="D136" s="302">
        <f t="shared" si="8"/>
        <v>1900</v>
      </c>
      <c r="E136" s="302" t="str">
        <f t="shared" si="9"/>
        <v>4</v>
      </c>
    </row>
    <row r="137" spans="4:5">
      <c r="D137" s="302">
        <f t="shared" si="8"/>
        <v>1900</v>
      </c>
      <c r="E137" s="302" t="str">
        <f t="shared" si="9"/>
        <v>4</v>
      </c>
    </row>
    <row r="138" spans="4:5">
      <c r="D138" s="302">
        <f t="shared" si="8"/>
        <v>1900</v>
      </c>
      <c r="E138" s="302" t="str">
        <f t="shared" si="9"/>
        <v>4</v>
      </c>
    </row>
    <row r="139" spans="4:5">
      <c r="D139" s="302">
        <f t="shared" si="8"/>
        <v>1900</v>
      </c>
      <c r="E139" s="302" t="str">
        <f t="shared" si="9"/>
        <v>4</v>
      </c>
    </row>
    <row r="140" spans="4:5">
      <c r="D140" s="302">
        <f t="shared" ref="D140:D203" si="10">YEAR(A140)</f>
        <v>1900</v>
      </c>
      <c r="E140" s="302" t="str">
        <f t="shared" ref="E140:E203" si="11">IF(MONTH(A140)=3,"1",IF(MONTH(A140)=6,"2",IF(MONTH(A140)=9,"3","4")))</f>
        <v>4</v>
      </c>
    </row>
    <row r="141" spans="4:5">
      <c r="D141" s="302">
        <f t="shared" si="10"/>
        <v>1900</v>
      </c>
      <c r="E141" s="302" t="str">
        <f t="shared" si="11"/>
        <v>4</v>
      </c>
    </row>
    <row r="142" spans="4:5">
      <c r="D142" s="302">
        <f t="shared" si="10"/>
        <v>1900</v>
      </c>
      <c r="E142" s="302" t="str">
        <f t="shared" si="11"/>
        <v>4</v>
      </c>
    </row>
    <row r="143" spans="4:5">
      <c r="D143" s="302">
        <f t="shared" si="10"/>
        <v>1900</v>
      </c>
      <c r="E143" s="302" t="str">
        <f t="shared" si="11"/>
        <v>4</v>
      </c>
    </row>
    <row r="144" spans="4:5">
      <c r="D144" s="302">
        <f t="shared" si="10"/>
        <v>1900</v>
      </c>
      <c r="E144" s="302" t="str">
        <f t="shared" si="11"/>
        <v>4</v>
      </c>
    </row>
    <row r="145" spans="4:5">
      <c r="D145" s="302">
        <f t="shared" si="10"/>
        <v>1900</v>
      </c>
      <c r="E145" s="302" t="str">
        <f t="shared" si="11"/>
        <v>4</v>
      </c>
    </row>
    <row r="146" spans="4:5">
      <c r="D146" s="302">
        <f t="shared" si="10"/>
        <v>1900</v>
      </c>
      <c r="E146" s="302" t="str">
        <f t="shared" si="11"/>
        <v>4</v>
      </c>
    </row>
    <row r="147" spans="4:5">
      <c r="D147" s="302">
        <f t="shared" si="10"/>
        <v>1900</v>
      </c>
      <c r="E147" s="302" t="str">
        <f t="shared" si="11"/>
        <v>4</v>
      </c>
    </row>
    <row r="148" spans="4:5">
      <c r="D148" s="302">
        <f t="shared" si="10"/>
        <v>1900</v>
      </c>
      <c r="E148" s="302" t="str">
        <f t="shared" si="11"/>
        <v>4</v>
      </c>
    </row>
    <row r="149" spans="4:5">
      <c r="D149" s="302">
        <f t="shared" si="10"/>
        <v>1900</v>
      </c>
      <c r="E149" s="302" t="str">
        <f t="shared" si="11"/>
        <v>4</v>
      </c>
    </row>
    <row r="150" spans="4:5">
      <c r="D150" s="302">
        <f t="shared" si="10"/>
        <v>1900</v>
      </c>
      <c r="E150" s="302" t="str">
        <f t="shared" si="11"/>
        <v>4</v>
      </c>
    </row>
    <row r="151" spans="4:5">
      <c r="D151" s="302">
        <f t="shared" si="10"/>
        <v>1900</v>
      </c>
      <c r="E151" s="302" t="str">
        <f t="shared" si="11"/>
        <v>4</v>
      </c>
    </row>
    <row r="152" spans="4:5">
      <c r="D152" s="302">
        <f t="shared" si="10"/>
        <v>1900</v>
      </c>
      <c r="E152" s="302" t="str">
        <f t="shared" si="11"/>
        <v>4</v>
      </c>
    </row>
    <row r="153" spans="4:5">
      <c r="D153" s="302">
        <f t="shared" si="10"/>
        <v>1900</v>
      </c>
      <c r="E153" s="302" t="str">
        <f t="shared" si="11"/>
        <v>4</v>
      </c>
    </row>
    <row r="154" spans="4:5">
      <c r="D154" s="302">
        <f t="shared" si="10"/>
        <v>1900</v>
      </c>
      <c r="E154" s="302" t="str">
        <f t="shared" si="11"/>
        <v>4</v>
      </c>
    </row>
    <row r="155" spans="4:5">
      <c r="D155" s="302">
        <f t="shared" si="10"/>
        <v>1900</v>
      </c>
      <c r="E155" s="302" t="str">
        <f t="shared" si="11"/>
        <v>4</v>
      </c>
    </row>
    <row r="156" spans="4:5">
      <c r="D156" s="302">
        <f t="shared" si="10"/>
        <v>1900</v>
      </c>
      <c r="E156" s="302" t="str">
        <f t="shared" si="11"/>
        <v>4</v>
      </c>
    </row>
    <row r="157" spans="4:5">
      <c r="D157" s="302">
        <f t="shared" si="10"/>
        <v>1900</v>
      </c>
      <c r="E157" s="302" t="str">
        <f t="shared" si="11"/>
        <v>4</v>
      </c>
    </row>
    <row r="158" spans="4:5">
      <c r="D158" s="302">
        <f t="shared" si="10"/>
        <v>1900</v>
      </c>
      <c r="E158" s="302" t="str">
        <f t="shared" si="11"/>
        <v>4</v>
      </c>
    </row>
    <row r="159" spans="4:5">
      <c r="D159" s="302">
        <f t="shared" si="10"/>
        <v>1900</v>
      </c>
      <c r="E159" s="302" t="str">
        <f t="shared" si="11"/>
        <v>4</v>
      </c>
    </row>
    <row r="160" spans="4:5">
      <c r="D160" s="302">
        <f t="shared" si="10"/>
        <v>1900</v>
      </c>
      <c r="E160" s="302" t="str">
        <f t="shared" si="11"/>
        <v>4</v>
      </c>
    </row>
    <row r="161" spans="4:5">
      <c r="D161" s="302">
        <f t="shared" si="10"/>
        <v>1900</v>
      </c>
      <c r="E161" s="302" t="str">
        <f t="shared" si="11"/>
        <v>4</v>
      </c>
    </row>
    <row r="162" spans="4:5">
      <c r="D162" s="302">
        <f t="shared" si="10"/>
        <v>1900</v>
      </c>
      <c r="E162" s="302" t="str">
        <f t="shared" si="11"/>
        <v>4</v>
      </c>
    </row>
    <row r="163" spans="4:5">
      <c r="D163" s="302">
        <f t="shared" si="10"/>
        <v>1900</v>
      </c>
      <c r="E163" s="302" t="str">
        <f t="shared" si="11"/>
        <v>4</v>
      </c>
    </row>
    <row r="164" spans="4:5">
      <c r="D164" s="302">
        <f t="shared" si="10"/>
        <v>1900</v>
      </c>
      <c r="E164" s="302" t="str">
        <f t="shared" si="11"/>
        <v>4</v>
      </c>
    </row>
    <row r="165" spans="4:5">
      <c r="D165" s="302">
        <f t="shared" si="10"/>
        <v>1900</v>
      </c>
      <c r="E165" s="302" t="str">
        <f t="shared" si="11"/>
        <v>4</v>
      </c>
    </row>
    <row r="166" spans="4:5">
      <c r="D166" s="302">
        <f t="shared" si="10"/>
        <v>1900</v>
      </c>
      <c r="E166" s="302" t="str">
        <f t="shared" si="11"/>
        <v>4</v>
      </c>
    </row>
    <row r="167" spans="4:5">
      <c r="D167" s="302">
        <f t="shared" si="10"/>
        <v>1900</v>
      </c>
      <c r="E167" s="302" t="str">
        <f t="shared" si="11"/>
        <v>4</v>
      </c>
    </row>
    <row r="168" spans="4:5">
      <c r="D168" s="302">
        <f t="shared" si="10"/>
        <v>1900</v>
      </c>
      <c r="E168" s="302" t="str">
        <f t="shared" si="11"/>
        <v>4</v>
      </c>
    </row>
    <row r="169" spans="4:5">
      <c r="D169" s="302">
        <f t="shared" si="10"/>
        <v>1900</v>
      </c>
      <c r="E169" s="302" t="str">
        <f t="shared" si="11"/>
        <v>4</v>
      </c>
    </row>
    <row r="170" spans="4:5">
      <c r="D170" s="302">
        <f t="shared" si="10"/>
        <v>1900</v>
      </c>
      <c r="E170" s="302" t="str">
        <f t="shared" si="11"/>
        <v>4</v>
      </c>
    </row>
    <row r="171" spans="4:5">
      <c r="D171" s="302">
        <f t="shared" si="10"/>
        <v>1900</v>
      </c>
      <c r="E171" s="302" t="str">
        <f t="shared" si="11"/>
        <v>4</v>
      </c>
    </row>
    <row r="172" spans="4:5">
      <c r="D172" s="302">
        <f t="shared" si="10"/>
        <v>1900</v>
      </c>
      <c r="E172" s="302" t="str">
        <f t="shared" si="11"/>
        <v>4</v>
      </c>
    </row>
    <row r="173" spans="4:5">
      <c r="D173" s="302">
        <f t="shared" si="10"/>
        <v>1900</v>
      </c>
      <c r="E173" s="302" t="str">
        <f t="shared" si="11"/>
        <v>4</v>
      </c>
    </row>
    <row r="174" spans="4:5">
      <c r="D174" s="302">
        <f t="shared" si="10"/>
        <v>1900</v>
      </c>
      <c r="E174" s="302" t="str">
        <f t="shared" si="11"/>
        <v>4</v>
      </c>
    </row>
    <row r="175" spans="4:5">
      <c r="D175" s="302">
        <f t="shared" si="10"/>
        <v>1900</v>
      </c>
      <c r="E175" s="302" t="str">
        <f t="shared" si="11"/>
        <v>4</v>
      </c>
    </row>
    <row r="176" spans="4:5">
      <c r="D176" s="302">
        <f t="shared" si="10"/>
        <v>1900</v>
      </c>
      <c r="E176" s="302" t="str">
        <f t="shared" si="11"/>
        <v>4</v>
      </c>
    </row>
    <row r="177" spans="4:5">
      <c r="D177" s="302">
        <f t="shared" si="10"/>
        <v>1900</v>
      </c>
      <c r="E177" s="302" t="str">
        <f t="shared" si="11"/>
        <v>4</v>
      </c>
    </row>
    <row r="178" spans="4:5">
      <c r="D178" s="302">
        <f t="shared" si="10"/>
        <v>1900</v>
      </c>
      <c r="E178" s="302" t="str">
        <f t="shared" si="11"/>
        <v>4</v>
      </c>
    </row>
    <row r="179" spans="4:5">
      <c r="D179" s="302">
        <f t="shared" si="10"/>
        <v>1900</v>
      </c>
      <c r="E179" s="302" t="str">
        <f t="shared" si="11"/>
        <v>4</v>
      </c>
    </row>
    <row r="180" spans="4:5">
      <c r="D180" s="302">
        <f t="shared" si="10"/>
        <v>1900</v>
      </c>
      <c r="E180" s="302" t="str">
        <f t="shared" si="11"/>
        <v>4</v>
      </c>
    </row>
    <row r="181" spans="4:5">
      <c r="D181" s="302">
        <f t="shared" si="10"/>
        <v>1900</v>
      </c>
      <c r="E181" s="302" t="str">
        <f t="shared" si="11"/>
        <v>4</v>
      </c>
    </row>
    <row r="182" spans="4:5">
      <c r="D182" s="302">
        <f t="shared" si="10"/>
        <v>1900</v>
      </c>
      <c r="E182" s="302" t="str">
        <f t="shared" si="11"/>
        <v>4</v>
      </c>
    </row>
    <row r="183" spans="4:5">
      <c r="D183" s="302">
        <f t="shared" si="10"/>
        <v>1900</v>
      </c>
      <c r="E183" s="302" t="str">
        <f t="shared" si="11"/>
        <v>4</v>
      </c>
    </row>
    <row r="184" spans="4:5">
      <c r="D184" s="302">
        <f t="shared" si="10"/>
        <v>1900</v>
      </c>
      <c r="E184" s="302" t="str">
        <f t="shared" si="11"/>
        <v>4</v>
      </c>
    </row>
    <row r="185" spans="4:5">
      <c r="D185" s="302">
        <f t="shared" si="10"/>
        <v>1900</v>
      </c>
      <c r="E185" s="302" t="str">
        <f t="shared" si="11"/>
        <v>4</v>
      </c>
    </row>
    <row r="186" spans="4:5">
      <c r="D186" s="302">
        <f t="shared" si="10"/>
        <v>1900</v>
      </c>
      <c r="E186" s="302" t="str">
        <f t="shared" si="11"/>
        <v>4</v>
      </c>
    </row>
    <row r="187" spans="4:5">
      <c r="D187" s="302">
        <f t="shared" si="10"/>
        <v>1900</v>
      </c>
      <c r="E187" s="302" t="str">
        <f t="shared" si="11"/>
        <v>4</v>
      </c>
    </row>
    <row r="188" spans="4:5">
      <c r="D188" s="302">
        <f t="shared" si="10"/>
        <v>1900</v>
      </c>
      <c r="E188" s="302" t="str">
        <f t="shared" si="11"/>
        <v>4</v>
      </c>
    </row>
    <row r="189" spans="4:5">
      <c r="D189" s="302">
        <f t="shared" si="10"/>
        <v>1900</v>
      </c>
      <c r="E189" s="302" t="str">
        <f t="shared" si="11"/>
        <v>4</v>
      </c>
    </row>
    <row r="190" spans="4:5">
      <c r="D190" s="302">
        <f t="shared" si="10"/>
        <v>1900</v>
      </c>
      <c r="E190" s="302" t="str">
        <f t="shared" si="11"/>
        <v>4</v>
      </c>
    </row>
    <row r="191" spans="4:5">
      <c r="D191" s="302">
        <f t="shared" si="10"/>
        <v>1900</v>
      </c>
      <c r="E191" s="302" t="str">
        <f t="shared" si="11"/>
        <v>4</v>
      </c>
    </row>
    <row r="192" spans="4:5">
      <c r="D192" s="302">
        <f t="shared" si="10"/>
        <v>1900</v>
      </c>
      <c r="E192" s="302" t="str">
        <f t="shared" si="11"/>
        <v>4</v>
      </c>
    </row>
    <row r="193" spans="4:5">
      <c r="D193" s="302">
        <f t="shared" si="10"/>
        <v>1900</v>
      </c>
      <c r="E193" s="302" t="str">
        <f t="shared" si="11"/>
        <v>4</v>
      </c>
    </row>
    <row r="194" spans="4:5">
      <c r="D194" s="302">
        <f t="shared" si="10"/>
        <v>1900</v>
      </c>
      <c r="E194" s="302" t="str">
        <f t="shared" si="11"/>
        <v>4</v>
      </c>
    </row>
    <row r="195" spans="4:5">
      <c r="D195" s="302">
        <f t="shared" si="10"/>
        <v>1900</v>
      </c>
      <c r="E195" s="302" t="str">
        <f t="shared" si="11"/>
        <v>4</v>
      </c>
    </row>
    <row r="196" spans="4:5">
      <c r="D196" s="302">
        <f t="shared" si="10"/>
        <v>1900</v>
      </c>
      <c r="E196" s="302" t="str">
        <f t="shared" si="11"/>
        <v>4</v>
      </c>
    </row>
    <row r="197" spans="4:5">
      <c r="D197" s="302">
        <f t="shared" si="10"/>
        <v>1900</v>
      </c>
      <c r="E197" s="302" t="str">
        <f t="shared" si="11"/>
        <v>4</v>
      </c>
    </row>
    <row r="198" spans="4:5">
      <c r="D198" s="302">
        <f t="shared" si="10"/>
        <v>1900</v>
      </c>
      <c r="E198" s="302" t="str">
        <f t="shared" si="11"/>
        <v>4</v>
      </c>
    </row>
    <row r="199" spans="4:5">
      <c r="D199" s="302">
        <f t="shared" si="10"/>
        <v>1900</v>
      </c>
      <c r="E199" s="302" t="str">
        <f t="shared" si="11"/>
        <v>4</v>
      </c>
    </row>
    <row r="200" spans="4:5">
      <c r="D200" s="302">
        <f t="shared" si="10"/>
        <v>1900</v>
      </c>
      <c r="E200" s="302" t="str">
        <f t="shared" si="11"/>
        <v>4</v>
      </c>
    </row>
    <row r="201" spans="4:5">
      <c r="D201" s="302">
        <f t="shared" si="10"/>
        <v>1900</v>
      </c>
      <c r="E201" s="302" t="str">
        <f t="shared" si="11"/>
        <v>4</v>
      </c>
    </row>
    <row r="202" spans="4:5">
      <c r="D202" s="302">
        <f t="shared" si="10"/>
        <v>1900</v>
      </c>
      <c r="E202" s="302" t="str">
        <f t="shared" si="11"/>
        <v>4</v>
      </c>
    </row>
    <row r="203" spans="4:5">
      <c r="D203" s="302">
        <f t="shared" si="10"/>
        <v>1900</v>
      </c>
      <c r="E203" s="302" t="str">
        <f t="shared" si="11"/>
        <v>4</v>
      </c>
    </row>
    <row r="204" spans="4:5">
      <c r="D204" s="302">
        <f t="shared" ref="D204:D253" si="12">YEAR(A204)</f>
        <v>1900</v>
      </c>
      <c r="E204" s="302" t="str">
        <f t="shared" ref="E204:E253" si="13">IF(MONTH(A204)=3,"1",IF(MONTH(A204)=6,"2",IF(MONTH(A204)=9,"3","4")))</f>
        <v>4</v>
      </c>
    </row>
    <row r="205" spans="4:5">
      <c r="D205" s="302">
        <f t="shared" si="12"/>
        <v>1900</v>
      </c>
      <c r="E205" s="302" t="str">
        <f t="shared" si="13"/>
        <v>4</v>
      </c>
    </row>
    <row r="206" spans="4:5">
      <c r="D206" s="302">
        <f t="shared" si="12"/>
        <v>1900</v>
      </c>
      <c r="E206" s="302" t="str">
        <f t="shared" si="13"/>
        <v>4</v>
      </c>
    </row>
    <row r="207" spans="4:5">
      <c r="D207" s="302">
        <f t="shared" si="12"/>
        <v>1900</v>
      </c>
      <c r="E207" s="302" t="str">
        <f t="shared" si="13"/>
        <v>4</v>
      </c>
    </row>
    <row r="208" spans="4:5">
      <c r="D208" s="302">
        <f t="shared" si="12"/>
        <v>1900</v>
      </c>
      <c r="E208" s="302" t="str">
        <f t="shared" si="13"/>
        <v>4</v>
      </c>
    </row>
    <row r="209" spans="4:5">
      <c r="D209" s="302">
        <f t="shared" si="12"/>
        <v>1900</v>
      </c>
      <c r="E209" s="302" t="str">
        <f t="shared" si="13"/>
        <v>4</v>
      </c>
    </row>
    <row r="210" spans="4:5">
      <c r="D210" s="302">
        <f t="shared" si="12"/>
        <v>1900</v>
      </c>
      <c r="E210" s="302" t="str">
        <f t="shared" si="13"/>
        <v>4</v>
      </c>
    </row>
    <row r="211" spans="4:5">
      <c r="D211" s="302">
        <f t="shared" si="12"/>
        <v>1900</v>
      </c>
      <c r="E211" s="302" t="str">
        <f t="shared" si="13"/>
        <v>4</v>
      </c>
    </row>
    <row r="212" spans="4:5">
      <c r="D212" s="302">
        <f t="shared" si="12"/>
        <v>1900</v>
      </c>
      <c r="E212" s="302" t="str">
        <f t="shared" si="13"/>
        <v>4</v>
      </c>
    </row>
    <row r="213" spans="4:5">
      <c r="D213" s="302">
        <f t="shared" si="12"/>
        <v>1900</v>
      </c>
      <c r="E213" s="302" t="str">
        <f t="shared" si="13"/>
        <v>4</v>
      </c>
    </row>
    <row r="214" spans="4:5">
      <c r="D214" s="302">
        <f t="shared" si="12"/>
        <v>1900</v>
      </c>
      <c r="E214" s="302" t="str">
        <f t="shared" si="13"/>
        <v>4</v>
      </c>
    </row>
    <row r="215" spans="4:5">
      <c r="D215" s="302">
        <f t="shared" si="12"/>
        <v>1900</v>
      </c>
      <c r="E215" s="302" t="str">
        <f t="shared" si="13"/>
        <v>4</v>
      </c>
    </row>
    <row r="216" spans="4:5">
      <c r="D216" s="302">
        <f t="shared" si="12"/>
        <v>1900</v>
      </c>
      <c r="E216" s="302" t="str">
        <f t="shared" si="13"/>
        <v>4</v>
      </c>
    </row>
    <row r="217" spans="4:5">
      <c r="D217" s="302">
        <f t="shared" si="12"/>
        <v>1900</v>
      </c>
      <c r="E217" s="302" t="str">
        <f t="shared" si="13"/>
        <v>4</v>
      </c>
    </row>
    <row r="218" spans="4:5">
      <c r="D218" s="302">
        <f t="shared" si="12"/>
        <v>1900</v>
      </c>
      <c r="E218" s="302" t="str">
        <f t="shared" si="13"/>
        <v>4</v>
      </c>
    </row>
    <row r="219" spans="4:5">
      <c r="D219" s="302">
        <f t="shared" si="12"/>
        <v>1900</v>
      </c>
      <c r="E219" s="302" t="str">
        <f t="shared" si="13"/>
        <v>4</v>
      </c>
    </row>
    <row r="220" spans="4:5">
      <c r="D220" s="302">
        <f t="shared" si="12"/>
        <v>1900</v>
      </c>
      <c r="E220" s="302" t="str">
        <f t="shared" si="13"/>
        <v>4</v>
      </c>
    </row>
    <row r="221" spans="4:5">
      <c r="D221" s="302">
        <f t="shared" si="12"/>
        <v>1900</v>
      </c>
      <c r="E221" s="302" t="str">
        <f t="shared" si="13"/>
        <v>4</v>
      </c>
    </row>
    <row r="222" spans="4:5">
      <c r="D222" s="302">
        <f t="shared" si="12"/>
        <v>1900</v>
      </c>
      <c r="E222" s="302" t="str">
        <f t="shared" si="13"/>
        <v>4</v>
      </c>
    </row>
    <row r="223" spans="4:5">
      <c r="D223" s="302">
        <f t="shared" si="12"/>
        <v>1900</v>
      </c>
      <c r="E223" s="302" t="str">
        <f t="shared" si="13"/>
        <v>4</v>
      </c>
    </row>
    <row r="224" spans="4:5">
      <c r="D224" s="302">
        <f t="shared" si="12"/>
        <v>1900</v>
      </c>
      <c r="E224" s="302" t="str">
        <f t="shared" si="13"/>
        <v>4</v>
      </c>
    </row>
    <row r="225" spans="4:5">
      <c r="D225" s="302">
        <f t="shared" si="12"/>
        <v>1900</v>
      </c>
      <c r="E225" s="302" t="str">
        <f t="shared" si="13"/>
        <v>4</v>
      </c>
    </row>
    <row r="226" spans="4:5">
      <c r="D226" s="302">
        <f t="shared" si="12"/>
        <v>1900</v>
      </c>
      <c r="E226" s="302" t="str">
        <f t="shared" si="13"/>
        <v>4</v>
      </c>
    </row>
    <row r="227" spans="4:5">
      <c r="D227" s="302">
        <f t="shared" si="12"/>
        <v>1900</v>
      </c>
      <c r="E227" s="302" t="str">
        <f t="shared" si="13"/>
        <v>4</v>
      </c>
    </row>
    <row r="228" spans="4:5">
      <c r="D228" s="302">
        <f t="shared" si="12"/>
        <v>1900</v>
      </c>
      <c r="E228" s="302" t="str">
        <f t="shared" si="13"/>
        <v>4</v>
      </c>
    </row>
    <row r="229" spans="4:5">
      <c r="D229" s="302">
        <f t="shared" si="12"/>
        <v>1900</v>
      </c>
      <c r="E229" s="302" t="str">
        <f t="shared" si="13"/>
        <v>4</v>
      </c>
    </row>
    <row r="230" spans="4:5">
      <c r="D230" s="302">
        <f t="shared" si="12"/>
        <v>1900</v>
      </c>
      <c r="E230" s="302" t="str">
        <f t="shared" si="13"/>
        <v>4</v>
      </c>
    </row>
    <row r="231" spans="4:5">
      <c r="D231" s="302">
        <f t="shared" si="12"/>
        <v>1900</v>
      </c>
      <c r="E231" s="302" t="str">
        <f t="shared" si="13"/>
        <v>4</v>
      </c>
    </row>
    <row r="232" spans="4:5">
      <c r="D232" s="302">
        <f t="shared" si="12"/>
        <v>1900</v>
      </c>
      <c r="E232" s="302" t="str">
        <f t="shared" si="13"/>
        <v>4</v>
      </c>
    </row>
    <row r="233" spans="4:5">
      <c r="D233" s="302">
        <f t="shared" si="12"/>
        <v>1900</v>
      </c>
      <c r="E233" s="302" t="str">
        <f t="shared" si="13"/>
        <v>4</v>
      </c>
    </row>
    <row r="234" spans="4:5">
      <c r="D234" s="302">
        <f t="shared" si="12"/>
        <v>1900</v>
      </c>
      <c r="E234" s="302" t="str">
        <f t="shared" si="13"/>
        <v>4</v>
      </c>
    </row>
    <row r="235" spans="4:5">
      <c r="D235" s="302">
        <f t="shared" si="12"/>
        <v>1900</v>
      </c>
      <c r="E235" s="302" t="str">
        <f t="shared" si="13"/>
        <v>4</v>
      </c>
    </row>
    <row r="236" spans="4:5">
      <c r="D236" s="302">
        <f t="shared" si="12"/>
        <v>1900</v>
      </c>
      <c r="E236" s="302" t="str">
        <f t="shared" si="13"/>
        <v>4</v>
      </c>
    </row>
    <row r="237" spans="4:5">
      <c r="D237" s="302">
        <f t="shared" si="12"/>
        <v>1900</v>
      </c>
      <c r="E237" s="302" t="str">
        <f t="shared" si="13"/>
        <v>4</v>
      </c>
    </row>
    <row r="238" spans="4:5">
      <c r="D238" s="302">
        <f t="shared" si="12"/>
        <v>1900</v>
      </c>
      <c r="E238" s="302" t="str">
        <f t="shared" si="13"/>
        <v>4</v>
      </c>
    </row>
    <row r="239" spans="4:5">
      <c r="D239" s="302">
        <f t="shared" si="12"/>
        <v>1900</v>
      </c>
      <c r="E239" s="302" t="str">
        <f t="shared" si="13"/>
        <v>4</v>
      </c>
    </row>
    <row r="240" spans="4:5">
      <c r="D240" s="302">
        <f t="shared" si="12"/>
        <v>1900</v>
      </c>
      <c r="E240" s="302" t="str">
        <f t="shared" si="13"/>
        <v>4</v>
      </c>
    </row>
    <row r="241" spans="4:5">
      <c r="D241" s="302">
        <f t="shared" si="12"/>
        <v>1900</v>
      </c>
      <c r="E241" s="302" t="str">
        <f t="shared" si="13"/>
        <v>4</v>
      </c>
    </row>
    <row r="242" spans="4:5">
      <c r="D242" s="302">
        <f t="shared" si="12"/>
        <v>1900</v>
      </c>
      <c r="E242" s="302" t="str">
        <f t="shared" si="13"/>
        <v>4</v>
      </c>
    </row>
    <row r="243" spans="4:5">
      <c r="D243" s="302">
        <f t="shared" si="12"/>
        <v>1900</v>
      </c>
      <c r="E243" s="302" t="str">
        <f t="shared" si="13"/>
        <v>4</v>
      </c>
    </row>
    <row r="244" spans="4:5">
      <c r="D244" s="302">
        <f t="shared" si="12"/>
        <v>1900</v>
      </c>
      <c r="E244" s="302" t="str">
        <f t="shared" si="13"/>
        <v>4</v>
      </c>
    </row>
    <row r="245" spans="4:5">
      <c r="D245" s="302">
        <f t="shared" si="12"/>
        <v>1900</v>
      </c>
      <c r="E245" s="302" t="str">
        <f t="shared" si="13"/>
        <v>4</v>
      </c>
    </row>
    <row r="246" spans="4:5">
      <c r="D246" s="302">
        <f t="shared" si="12"/>
        <v>1900</v>
      </c>
      <c r="E246" s="302" t="str">
        <f t="shared" si="13"/>
        <v>4</v>
      </c>
    </row>
    <row r="247" spans="4:5">
      <c r="D247" s="302">
        <f t="shared" si="12"/>
        <v>1900</v>
      </c>
      <c r="E247" s="302" t="str">
        <f t="shared" si="13"/>
        <v>4</v>
      </c>
    </row>
    <row r="248" spans="4:5">
      <c r="D248" s="302">
        <f t="shared" si="12"/>
        <v>1900</v>
      </c>
      <c r="E248" s="302" t="str">
        <f t="shared" si="13"/>
        <v>4</v>
      </c>
    </row>
    <row r="249" spans="4:5">
      <c r="D249" s="302">
        <f t="shared" si="12"/>
        <v>1900</v>
      </c>
      <c r="E249" s="302" t="str">
        <f t="shared" si="13"/>
        <v>4</v>
      </c>
    </row>
    <row r="250" spans="4:5">
      <c r="D250" s="302">
        <f t="shared" si="12"/>
        <v>1900</v>
      </c>
      <c r="E250" s="302" t="str">
        <f t="shared" si="13"/>
        <v>4</v>
      </c>
    </row>
    <row r="251" spans="4:5">
      <c r="D251" s="302">
        <f t="shared" si="12"/>
        <v>1900</v>
      </c>
      <c r="E251" s="302" t="str">
        <f t="shared" si="13"/>
        <v>4</v>
      </c>
    </row>
    <row r="252" spans="4:5">
      <c r="D252" s="302">
        <f t="shared" si="12"/>
        <v>1900</v>
      </c>
      <c r="E252" s="302" t="str">
        <f t="shared" si="13"/>
        <v>4</v>
      </c>
    </row>
    <row r="253" spans="4:5">
      <c r="D253" s="302">
        <f t="shared" si="12"/>
        <v>1900</v>
      </c>
      <c r="E253" s="302" t="str">
        <f t="shared" si="13"/>
        <v>4</v>
      </c>
    </row>
  </sheetData>
  <mergeCells count="7">
    <mergeCell ref="P25:R25"/>
    <mergeCell ref="B7:C7"/>
    <mergeCell ref="A6:E6"/>
    <mergeCell ref="A5:E5"/>
    <mergeCell ref="P8:R8"/>
    <mergeCell ref="P7:R7"/>
    <mergeCell ref="Q24:R24"/>
  </mergeCells>
  <dataValidations disablePrompts="1" count="2">
    <dataValidation type="list" allowBlank="1" showInputMessage="1" showErrorMessage="1" sqref="Q24">
      <formula1>$A$1:$A$2</formula1>
    </dataValidation>
    <dataValidation type="list" allowBlank="1" showInputMessage="1" showErrorMessage="1" sqref="Q23">
      <formula1>$B$1:$B$2</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71"/>
  </sheetPr>
  <dimension ref="A1:AB69"/>
  <sheetViews>
    <sheetView zoomScaleNormal="100" workbookViewId="0"/>
  </sheetViews>
  <sheetFormatPr defaultRowHeight="15"/>
  <cols>
    <col min="1" max="1" width="8" style="1244" bestFit="1" customWidth="1"/>
    <col min="2" max="3" width="23.42578125" style="1244" customWidth="1"/>
    <col min="4" max="4" width="11.5703125" style="1672" customWidth="1"/>
    <col min="5" max="6" width="7.85546875" style="1244" hidden="1" customWidth="1"/>
    <col min="7" max="7" width="7.85546875" style="1244" customWidth="1"/>
    <col min="8" max="8" width="19.7109375" style="1244" customWidth="1"/>
    <col min="9" max="9" width="23.42578125" style="1244" bestFit="1" customWidth="1"/>
    <col min="10" max="10" width="23.42578125" style="1535" hidden="1" customWidth="1"/>
    <col min="11" max="11" width="9.140625" style="1244" hidden="1" customWidth="1"/>
    <col min="12" max="12" width="19.7109375" style="1244" customWidth="1"/>
    <col min="13" max="13" width="19.7109375" style="1535" customWidth="1"/>
    <col min="14" max="14" width="9.140625" style="1244" customWidth="1"/>
    <col min="15" max="15" width="9.140625" style="1535" customWidth="1"/>
    <col min="16" max="16384" width="9.140625" style="1244"/>
  </cols>
  <sheetData>
    <row r="1" spans="1:28">
      <c r="AB1" s="807" t="s">
        <v>545</v>
      </c>
    </row>
    <row r="2" spans="1:28">
      <c r="AB2" s="807" t="s">
        <v>546</v>
      </c>
    </row>
    <row r="3" spans="1:28" s="1348" customFormat="1">
      <c r="D3" s="1672"/>
      <c r="J3" s="1535"/>
      <c r="M3" s="1535"/>
      <c r="O3" s="1535"/>
      <c r="AB3" s="807"/>
    </row>
    <row r="5" spans="1:28">
      <c r="H5" s="808" t="str">
        <f>IF('Data Sources'!J4=12,IF(G7="Historic Calendar Year","","Please Note: Most recent financial year is based on only the first half. Second half financial year average price data not yet available."),IF(G7="Historic Calendar Year","Please Note: Most recent calendar year is based on only the first half. Second half calendar year price data not yet available.",""))</f>
        <v/>
      </c>
    </row>
    <row r="6" spans="1:28">
      <c r="A6" s="1937" t="s">
        <v>825</v>
      </c>
      <c r="B6" s="1937"/>
      <c r="C6" s="1937"/>
      <c r="D6" s="1757"/>
      <c r="E6" s="900"/>
      <c r="G6" s="1937" t="s">
        <v>826</v>
      </c>
      <c r="H6" s="1937"/>
      <c r="I6" s="1937"/>
      <c r="J6" s="1788"/>
      <c r="M6" s="1550"/>
    </row>
    <row r="7" spans="1:28" ht="15.75" thickBot="1">
      <c r="A7" s="1966" t="s">
        <v>54</v>
      </c>
      <c r="B7" s="1966"/>
      <c r="C7" s="1966"/>
      <c r="D7" s="1758"/>
      <c r="E7" s="900"/>
      <c r="G7" s="1966" t="str">
        <f>G24</f>
        <v>Historic Calendar Year</v>
      </c>
      <c r="H7" s="1966"/>
      <c r="I7" s="1966"/>
      <c r="J7" s="1789"/>
      <c r="M7" s="1550"/>
    </row>
    <row r="8" spans="1:28">
      <c r="A8" s="1327"/>
      <c r="B8" s="1328" t="s">
        <v>733</v>
      </c>
      <c r="C8" s="1614" t="s">
        <v>670</v>
      </c>
      <c r="D8" s="298"/>
      <c r="E8" s="900"/>
      <c r="F8" s="900"/>
      <c r="G8" s="1327"/>
      <c r="H8" s="1328" t="s">
        <v>733</v>
      </c>
      <c r="I8" s="1614" t="s">
        <v>670</v>
      </c>
      <c r="J8" s="309"/>
      <c r="M8" s="1244"/>
      <c r="O8" s="1244"/>
    </row>
    <row r="9" spans="1:28" ht="15.75" thickBot="1">
      <c r="A9" s="1329" t="s">
        <v>52</v>
      </c>
      <c r="B9" s="1330" t="s">
        <v>439</v>
      </c>
      <c r="C9" s="1331" t="s">
        <v>439</v>
      </c>
      <c r="D9" s="298"/>
      <c r="E9" s="900"/>
      <c r="F9" s="900"/>
      <c r="G9" s="1329" t="s">
        <v>49</v>
      </c>
      <c r="H9" s="1330" t="s">
        <v>439</v>
      </c>
      <c r="I9" s="1331" t="s">
        <v>439</v>
      </c>
      <c r="J9" s="1244"/>
      <c r="M9" s="1244"/>
      <c r="O9" s="1244"/>
    </row>
    <row r="10" spans="1:28">
      <c r="A10" s="1793">
        <f>LARGE('Data - Monthly Commodity Prices'!C$159:C$902,60)</f>
        <v>42005</v>
      </c>
      <c r="B10" s="1808">
        <f>SUMIF('Data - Monthly Commodity Prices'!$C$159:$C$902,$A10,'Data - Monthly Commodity Prices'!V$159:V$902)</f>
        <v>8666.4215691145291</v>
      </c>
      <c r="C10" s="1332"/>
      <c r="D10" s="84"/>
      <c r="E10" s="900">
        <v>2011</v>
      </c>
      <c r="F10" s="900">
        <v>2012</v>
      </c>
      <c r="G10" s="1810">
        <f>IF($G$7="Historic Calendar Year",E10+1,CONCATENATE(E10,"-",RIGHT(F10,2)))</f>
        <v>2012</v>
      </c>
      <c r="H10" s="30">
        <f t="array" ref="H10">IF($G$7="Historic Calendar Year",IFERROR(AVERAGE(IF($G10=YEAR('Data - Monthly Commodity Prices'!C$100:C$1000),'Data - Monthly Commodity Prices'!V$100:V$1000)),"NA"),IFERROR(IF(J10=0,"NA",J10),"NA"))</f>
        <v>4742.1872409914713</v>
      </c>
      <c r="I10" s="30"/>
      <c r="J10" s="1244">
        <f>(SUMIFS('Data - Monthly Commodity Prices'!$V$9:$V$2500,'Data - Monthly Commodity Prices'!$A$9:$A$2500,E10,'Data - Monthly Commodity Prices'!$B$9:$B$2500,3)+
SUMIFS('Data - Monthly Commodity Prices'!$V$9:$V$2500,'Data - Monthly Commodity Prices'!$A$9:$A$2500,E10,'Data - Monthly Commodity Prices'!$B$9:$B$2500,4)+
SUMIFS('Data - Monthly Commodity Prices'!$V$9:$V$2500,'Data - Monthly Commodity Prices'!$A$9:$A$2500,F10,'Data - Monthly Commodity Prices'!$B$9:$B$2500,1)+
SUMIFS('Data - Monthly Commodity Prices'!$V$9:$V$2500,'Data - Monthly Commodity Prices'!$A$9:$A$2500,F10,'Data - Monthly Commodity Prices'!$B$9:$B$2500,2))
/(COUNTIFS('Data - Monthly Commodity Prices'!$A$9:$A$2500,E10,'Data - Monthly Commodity Prices'!$B$9:$B$2500,3)+
COUNTIFS('Data - Monthly Commodity Prices'!$A$9:$A$2500,E10,'Data - Monthly Commodity Prices'!$B$9:$B$2500,4)+
COUNTIFS('Data - Monthly Commodity Prices'!$A$9:$A$2500,F10,'Data - Monthly Commodity Prices'!$B$9:$B$2500,1)+
COUNTIFS('Data - Monthly Commodity Prices'!$A$9:$A$2500,F10,'Data - Monthly Commodity Prices'!$B$9:$B$2500,2))</f>
        <v>1513.804355745342</v>
      </c>
      <c r="K10" s="1535">
        <f>(SUMIFS('Data - Monthly Commodity Prices'!$W$9:$W$2500,'Data - Monthly Commodity Prices'!$A$9:$A$2500,E10,'Data - Monthly Commodity Prices'!$B$9:$B$2500,3)+
SUMIFS('Data - Monthly Commodity Prices'!$W$9:$W$2500,'Data - Monthly Commodity Prices'!$A$9:$A$2500,E10,'Data - Monthly Commodity Prices'!$B$9:$B$2500,4)+
SUMIFS('Data - Monthly Commodity Prices'!$W$9:$W$2500,'Data - Monthly Commodity Prices'!$A$9:$A$2500,F10,'Data - Monthly Commodity Prices'!$B$9:$B$2500,1)+
SUMIFS('Data - Monthly Commodity Prices'!$W$9:$W$2500,'Data - Monthly Commodity Prices'!$A$9:$A$2500,F10,'Data - Monthly Commodity Prices'!$B$9:$B$2500,2))
/(COUNTIFS('Data - Monthly Commodity Prices'!$A$9:$A$2500,E10,'Data - Monthly Commodity Prices'!$B$9:$B$2500,3)+
COUNTIFS('Data - Monthly Commodity Prices'!$A$9:$A$2500,E10,'Data - Monthly Commodity Prices'!$B$9:$B$2500,4)+
COUNTIFS('Data - Monthly Commodity Prices'!$A$9:$A$2500,F10,'Data - Monthly Commodity Prices'!$B$9:$B$2500,1)+
COUNTIFS('Data - Monthly Commodity Prices'!$A$9:$A$2500,F10,'Data - Monthly Commodity Prices'!$B$9:$B$2500,2))</f>
        <v>0</v>
      </c>
      <c r="M10" s="1244"/>
      <c r="O10" s="1244"/>
    </row>
    <row r="11" spans="1:28">
      <c r="A11" s="1794">
        <f>LARGE('Data - Monthly Commodity Prices'!C$159:C$902,59)</f>
        <v>42036</v>
      </c>
      <c r="B11" s="61">
        <f>SUMIF('Data - Monthly Commodity Prices'!$C$159:$C$902,$A11,'Data - Monthly Commodity Prices'!V$159:V$902)</f>
        <v>9136.7233656814387</v>
      </c>
      <c r="C11" s="30"/>
      <c r="D11" s="84"/>
      <c r="E11" s="900">
        <f t="shared" ref="E11:F11" si="0">E10+1</f>
        <v>2012</v>
      </c>
      <c r="F11" s="900">
        <f t="shared" si="0"/>
        <v>2013</v>
      </c>
      <c r="G11" s="1811">
        <f t="shared" ref="G11:G21" si="1">IF($G$7="Historic Calendar Year",G10+1,CONCATENATE(E11,"-",RIGHT(F11,2)))</f>
        <v>2013</v>
      </c>
      <c r="H11" s="1333">
        <f t="array" ref="H11">IF($G$7="Historic Calendar Year",IFERROR(AVERAGE(IF($G11=YEAR('Data - Monthly Commodity Prices'!C$100:C$1000),'Data - Monthly Commodity Prices'!V$100:V$1000)),"NA"),IFERROR(IF(J11=0,"NA",J11),"NA"))</f>
        <v>7246.0567696968874</v>
      </c>
      <c r="I11" s="1333"/>
      <c r="J11" s="1244">
        <f>(SUMIFS('Data - Monthly Commodity Prices'!$V$9:$V$2500,'Data - Monthly Commodity Prices'!$A$9:$A$2500,E11,'Data - Monthly Commodity Prices'!$B$9:$B$2500,3)+
SUMIFS('Data - Monthly Commodity Prices'!$V$9:$V$2500,'Data - Monthly Commodity Prices'!$A$9:$A$2500,E11,'Data - Monthly Commodity Prices'!$B$9:$B$2500,4)+
SUMIFS('Data - Monthly Commodity Prices'!$V$9:$V$2500,'Data - Monthly Commodity Prices'!$A$9:$A$2500,F11,'Data - Monthly Commodity Prices'!$B$9:$B$2500,1)+
SUMIFS('Data - Monthly Commodity Prices'!$V$9:$V$2500,'Data - Monthly Commodity Prices'!$A$9:$A$2500,F11,'Data - Monthly Commodity Prices'!$B$9:$B$2500,2))
/(COUNTIFS('Data - Monthly Commodity Prices'!$A$9:$A$2500,E11,'Data - Monthly Commodity Prices'!$B$9:$B$2500,3)+
COUNTIFS('Data - Monthly Commodity Prices'!$A$9:$A$2500,E11,'Data - Monthly Commodity Prices'!$B$9:$B$2500,4)+
COUNTIFS('Data - Monthly Commodity Prices'!$A$9:$A$2500,F11,'Data - Monthly Commodity Prices'!$B$9:$B$2500,1)+
COUNTIFS('Data - Monthly Commodity Prices'!$A$9:$A$2500,F11,'Data - Monthly Commodity Prices'!$B$9:$B$2500,2))</f>
        <v>6684.4612017716236</v>
      </c>
      <c r="K11" s="1535">
        <f>(SUMIFS('Data - Monthly Commodity Prices'!$W$9:$W$2500,'Data - Monthly Commodity Prices'!$A$9:$A$2500,E11,'Data - Monthly Commodity Prices'!$B$9:$B$2500,3)+
SUMIFS('Data - Monthly Commodity Prices'!$W$9:$W$2500,'Data - Monthly Commodity Prices'!$A$9:$A$2500,E11,'Data - Monthly Commodity Prices'!$B$9:$B$2500,4)+
SUMIFS('Data - Monthly Commodity Prices'!$W$9:$W$2500,'Data - Monthly Commodity Prices'!$A$9:$A$2500,F11,'Data - Monthly Commodity Prices'!$B$9:$B$2500,1)+
SUMIFS('Data - Monthly Commodity Prices'!$W$9:$W$2500,'Data - Monthly Commodity Prices'!$A$9:$A$2500,F11,'Data - Monthly Commodity Prices'!$B$9:$B$2500,2))
/(COUNTIFS('Data - Monthly Commodity Prices'!$A$9:$A$2500,E11,'Data - Monthly Commodity Prices'!$B$9:$B$2500,3)+
COUNTIFS('Data - Monthly Commodity Prices'!$A$9:$A$2500,E11,'Data - Monthly Commodity Prices'!$B$9:$B$2500,4)+
COUNTIFS('Data - Monthly Commodity Prices'!$A$9:$A$2500,F11,'Data - Monthly Commodity Prices'!$B$9:$B$2500,1)+
COUNTIFS('Data - Monthly Commodity Prices'!$A$9:$A$2500,F11,'Data - Monthly Commodity Prices'!$B$9:$B$2500,2))</f>
        <v>0</v>
      </c>
      <c r="M11" s="1244"/>
      <c r="O11" s="1244"/>
    </row>
    <row r="12" spans="1:28">
      <c r="A12" s="1794">
        <f>LARGE('Data - Monthly Commodity Prices'!C$159:C$902,58)</f>
        <v>42064</v>
      </c>
      <c r="B12" s="1809">
        <f>SUMIF('Data - Monthly Commodity Prices'!$C$159:$C$902,$A12,'Data - Monthly Commodity Prices'!V$159:V$902)</f>
        <v>9158.6398854981599</v>
      </c>
      <c r="C12" s="1333"/>
      <c r="D12" s="84"/>
      <c r="E12" s="900">
        <f t="shared" ref="E12:F21" si="2">E11+1</f>
        <v>2013</v>
      </c>
      <c r="F12" s="900">
        <f t="shared" si="2"/>
        <v>2014</v>
      </c>
      <c r="G12" s="1810">
        <f t="shared" si="1"/>
        <v>2014</v>
      </c>
      <c r="H12" s="30">
        <f t="array" ref="H12">IF($G$7="Historic Calendar Year",IFERROR(AVERAGE(IF($G12=YEAR('Data - Monthly Commodity Prices'!C$100:C$1000),'Data - Monthly Commodity Prices'!V$100:V$1000)),"NA"),IFERROR(IF(J12=0,"NA",J12),"NA"))</f>
        <v>7252.3475940525495</v>
      </c>
      <c r="I12" s="30"/>
      <c r="J12" s="1244">
        <f>(SUMIFS('Data - Monthly Commodity Prices'!$V$9:$V$2500,'Data - Monthly Commodity Prices'!$A$9:$A$2500,E12,'Data - Monthly Commodity Prices'!$B$9:$B$2500,3)+
SUMIFS('Data - Monthly Commodity Prices'!$V$9:$V$2500,'Data - Monthly Commodity Prices'!$A$9:$A$2500,E12,'Data - Monthly Commodity Prices'!$B$9:$B$2500,4)+
SUMIFS('Data - Monthly Commodity Prices'!$V$9:$V$2500,'Data - Monthly Commodity Prices'!$A$9:$A$2500,F12,'Data - Monthly Commodity Prices'!$B$9:$B$2500,1)+
SUMIFS('Data - Monthly Commodity Prices'!$V$9:$V$2500,'Data - Monthly Commodity Prices'!$A$9:$A$2500,F12,'Data - Monthly Commodity Prices'!$B$9:$B$2500,2))
/(COUNTIFS('Data - Monthly Commodity Prices'!$A$9:$A$2500,E12,'Data - Monthly Commodity Prices'!$B$9:$B$2500,3)+
COUNTIFS('Data - Monthly Commodity Prices'!$A$9:$A$2500,E12,'Data - Monthly Commodity Prices'!$B$9:$B$2500,4)+
COUNTIFS('Data - Monthly Commodity Prices'!$A$9:$A$2500,F12,'Data - Monthly Commodity Prices'!$B$9:$B$2500,1)+
COUNTIFS('Data - Monthly Commodity Prices'!$A$9:$A$2500,F12,'Data - Monthly Commodity Prices'!$B$9:$B$2500,2))</f>
        <v>7339.6579158074246</v>
      </c>
      <c r="K12" s="1535">
        <f>(SUMIFS('Data - Monthly Commodity Prices'!$W$9:$W$2500,'Data - Monthly Commodity Prices'!$A$9:$A$2500,E12,'Data - Monthly Commodity Prices'!$B$9:$B$2500,3)+
SUMIFS('Data - Monthly Commodity Prices'!$W$9:$W$2500,'Data - Monthly Commodity Prices'!$A$9:$A$2500,E12,'Data - Monthly Commodity Prices'!$B$9:$B$2500,4)+
SUMIFS('Data - Monthly Commodity Prices'!$W$9:$W$2500,'Data - Monthly Commodity Prices'!$A$9:$A$2500,F12,'Data - Monthly Commodity Prices'!$B$9:$B$2500,1)+
SUMIFS('Data - Monthly Commodity Prices'!$W$9:$W$2500,'Data - Monthly Commodity Prices'!$A$9:$A$2500,F12,'Data - Monthly Commodity Prices'!$B$9:$B$2500,2))
/(COUNTIFS('Data - Monthly Commodity Prices'!$A$9:$A$2500,E12,'Data - Monthly Commodity Prices'!$B$9:$B$2500,3)+
COUNTIFS('Data - Monthly Commodity Prices'!$A$9:$A$2500,E12,'Data - Monthly Commodity Prices'!$B$9:$B$2500,4)+
COUNTIFS('Data - Monthly Commodity Prices'!$A$9:$A$2500,F12,'Data - Monthly Commodity Prices'!$B$9:$B$2500,1)+
COUNTIFS('Data - Monthly Commodity Prices'!$A$9:$A$2500,F12,'Data - Monthly Commodity Prices'!$B$9:$B$2500,2))</f>
        <v>0</v>
      </c>
      <c r="M12" s="1244"/>
      <c r="O12" s="1244"/>
    </row>
    <row r="13" spans="1:28">
      <c r="A13" s="1794">
        <f>LARGE('Data - Monthly Commodity Prices'!C$159:C$902,57)</f>
        <v>42095</v>
      </c>
      <c r="B13" s="61">
        <f>SUMIF('Data - Monthly Commodity Prices'!$C$159:$C$902,$A13,'Data - Monthly Commodity Prices'!V$159:V$902)</f>
        <v>9424.7514284077351</v>
      </c>
      <c r="C13" s="30"/>
      <c r="D13" s="84"/>
      <c r="E13" s="900">
        <f t="shared" si="2"/>
        <v>2014</v>
      </c>
      <c r="F13" s="900">
        <f t="shared" si="2"/>
        <v>2015</v>
      </c>
      <c r="G13" s="1811">
        <f t="shared" si="1"/>
        <v>2015</v>
      </c>
      <c r="H13" s="1333">
        <f t="array" ref="H13">IF($G$7="Historic Calendar Year",IFERROR(AVERAGE(IF($G13=YEAR('Data - Monthly Commodity Prices'!C$100:C$1000),'Data - Monthly Commodity Prices'!V$100:V$1000)),"NA"),IFERROR(IF(J13=0,"NA",J13),"NA"))</f>
        <v>10592.898410335083</v>
      </c>
      <c r="I13" s="1333"/>
      <c r="J13" s="1244">
        <f>(SUMIFS('Data - Monthly Commodity Prices'!$V$9:$V$2500,'Data - Monthly Commodity Prices'!$A$9:$A$2500,E13,'Data - Monthly Commodity Prices'!$B$9:$B$2500,3)+
SUMIFS('Data - Monthly Commodity Prices'!$V$9:$V$2500,'Data - Monthly Commodity Prices'!$A$9:$A$2500,E13,'Data - Monthly Commodity Prices'!$B$9:$B$2500,4)+
SUMIFS('Data - Monthly Commodity Prices'!$V$9:$V$2500,'Data - Monthly Commodity Prices'!$A$9:$A$2500,F13,'Data - Monthly Commodity Prices'!$B$9:$B$2500,1)+
SUMIFS('Data - Monthly Commodity Prices'!$V$9:$V$2500,'Data - Monthly Commodity Prices'!$A$9:$A$2500,F13,'Data - Monthly Commodity Prices'!$B$9:$B$2500,2))
/(COUNTIFS('Data - Monthly Commodity Prices'!$A$9:$A$2500,E13,'Data - Monthly Commodity Prices'!$B$9:$B$2500,3)+
COUNTIFS('Data - Monthly Commodity Prices'!$A$9:$A$2500,E13,'Data - Monthly Commodity Prices'!$B$9:$B$2500,4)+
COUNTIFS('Data - Monthly Commodity Prices'!$A$9:$A$2500,F13,'Data - Monthly Commodity Prices'!$B$9:$B$2500,1)+
COUNTIFS('Data - Monthly Commodity Prices'!$A$9:$A$2500,F13,'Data - Monthly Commodity Prices'!$B$9:$B$2500,2))</f>
        <v>8308.5057034873953</v>
      </c>
      <c r="K13" s="1535">
        <f>(SUMIFS('Data - Monthly Commodity Prices'!$W$9:$W$2500,'Data - Monthly Commodity Prices'!$A$9:$A$2500,E13,'Data - Monthly Commodity Prices'!$B$9:$B$2500,3)+
SUMIFS('Data - Monthly Commodity Prices'!$W$9:$W$2500,'Data - Monthly Commodity Prices'!$A$9:$A$2500,E13,'Data - Monthly Commodity Prices'!$B$9:$B$2500,4)+
SUMIFS('Data - Monthly Commodity Prices'!$W$9:$W$2500,'Data - Monthly Commodity Prices'!$A$9:$A$2500,F13,'Data - Monthly Commodity Prices'!$B$9:$B$2500,1)+
SUMIFS('Data - Monthly Commodity Prices'!$W$9:$W$2500,'Data - Monthly Commodity Prices'!$A$9:$A$2500,F13,'Data - Monthly Commodity Prices'!$B$9:$B$2500,2))
/(COUNTIFS('Data - Monthly Commodity Prices'!$A$9:$A$2500,E13,'Data - Monthly Commodity Prices'!$B$9:$B$2500,3)+
COUNTIFS('Data - Monthly Commodity Prices'!$A$9:$A$2500,E13,'Data - Monthly Commodity Prices'!$B$9:$B$2500,4)+
COUNTIFS('Data - Monthly Commodity Prices'!$A$9:$A$2500,F13,'Data - Monthly Commodity Prices'!$B$9:$B$2500,1)+
COUNTIFS('Data - Monthly Commodity Prices'!$A$9:$A$2500,F13,'Data - Monthly Commodity Prices'!$B$9:$B$2500,2))</f>
        <v>0</v>
      </c>
      <c r="M13" s="1244"/>
      <c r="O13" s="1244"/>
    </row>
    <row r="14" spans="1:28">
      <c r="A14" s="1794">
        <f>LARGE('Data - Monthly Commodity Prices'!C$159:C$902,56)</f>
        <v>42125</v>
      </c>
      <c r="B14" s="1809">
        <f>SUMIF('Data - Monthly Commodity Prices'!$C$159:$C$902,$A14,'Data - Monthly Commodity Prices'!V$159:V$902)</f>
        <v>9311.4038836611144</v>
      </c>
      <c r="C14" s="1333"/>
      <c r="D14" s="84"/>
      <c r="E14" s="900">
        <f t="shared" si="2"/>
        <v>2015</v>
      </c>
      <c r="F14" s="900">
        <f t="shared" si="2"/>
        <v>2016</v>
      </c>
      <c r="G14" s="1810">
        <f t="shared" si="1"/>
        <v>2016</v>
      </c>
      <c r="H14" s="30">
        <f t="array" ref="H14">IF($G$7="Historic Calendar Year",IFERROR(AVERAGE(IF($G14=YEAR('Data - Monthly Commodity Prices'!C$100:C$1000),'Data - Monthly Commodity Prices'!V$100:V$1000)),"NA"),IFERROR(IF(J14=0,"NA",J14),"NA"))</f>
        <v>31323.431477300426</v>
      </c>
      <c r="I14" s="30"/>
      <c r="J14" s="1244">
        <f>(SUMIFS('Data - Monthly Commodity Prices'!$V$9:$V$2500,'Data - Monthly Commodity Prices'!$A$9:$A$2500,E14,'Data - Monthly Commodity Prices'!$B$9:$B$2500,3)+
SUMIFS('Data - Monthly Commodity Prices'!$V$9:$V$2500,'Data - Monthly Commodity Prices'!$A$9:$A$2500,E14,'Data - Monthly Commodity Prices'!$B$9:$B$2500,4)+
SUMIFS('Data - Monthly Commodity Prices'!$V$9:$V$2500,'Data - Monthly Commodity Prices'!$A$9:$A$2500,F14,'Data - Monthly Commodity Prices'!$B$9:$B$2500,1)+
SUMIFS('Data - Monthly Commodity Prices'!$V$9:$V$2500,'Data - Monthly Commodity Prices'!$A$9:$A$2500,F14,'Data - Monthly Commodity Prices'!$B$9:$B$2500,2))
/(COUNTIFS('Data - Monthly Commodity Prices'!$A$9:$A$2500,E14,'Data - Monthly Commodity Prices'!$B$9:$B$2500,3)+
COUNTIFS('Data - Monthly Commodity Prices'!$A$9:$A$2500,E14,'Data - Monthly Commodity Prices'!$B$9:$B$2500,4)+
COUNTIFS('Data - Monthly Commodity Prices'!$A$9:$A$2500,F14,'Data - Monthly Commodity Prices'!$B$9:$B$2500,1)+
COUNTIFS('Data - Monthly Commodity Prices'!$A$9:$A$2500,F14,'Data - Monthly Commodity Prices'!$B$9:$B$2500,2))</f>
        <v>21919.628411655431</v>
      </c>
      <c r="K14" s="1535">
        <f>(SUMIFS('Data - Monthly Commodity Prices'!$W$9:$W$2500,'Data - Monthly Commodity Prices'!$A$9:$A$2500,E14,'Data - Monthly Commodity Prices'!$B$9:$B$2500,3)+
SUMIFS('Data - Monthly Commodity Prices'!$W$9:$W$2500,'Data - Monthly Commodity Prices'!$A$9:$A$2500,E14,'Data - Monthly Commodity Prices'!$B$9:$B$2500,4)+
SUMIFS('Data - Monthly Commodity Prices'!$W$9:$W$2500,'Data - Monthly Commodity Prices'!$A$9:$A$2500,F14,'Data - Monthly Commodity Prices'!$B$9:$B$2500,1)+
SUMIFS('Data - Monthly Commodity Prices'!$W$9:$W$2500,'Data - Monthly Commodity Prices'!$A$9:$A$2500,F14,'Data - Monthly Commodity Prices'!$B$9:$B$2500,2))
/(COUNTIFS('Data - Monthly Commodity Prices'!$A$9:$A$2500,E14,'Data - Monthly Commodity Prices'!$B$9:$B$2500,3)+
COUNTIFS('Data - Monthly Commodity Prices'!$A$9:$A$2500,E14,'Data - Monthly Commodity Prices'!$B$9:$B$2500,4)+
COUNTIFS('Data - Monthly Commodity Prices'!$A$9:$A$2500,F14,'Data - Monthly Commodity Prices'!$B$9:$B$2500,1)+
COUNTIFS('Data - Monthly Commodity Prices'!$A$9:$A$2500,F14,'Data - Monthly Commodity Prices'!$B$9:$B$2500,2))</f>
        <v>0</v>
      </c>
      <c r="M14" s="1244"/>
      <c r="O14" s="1244"/>
    </row>
    <row r="15" spans="1:28">
      <c r="A15" s="1794">
        <f>LARGE('Data - Monthly Commodity Prices'!C$159:C$902,55)</f>
        <v>42156</v>
      </c>
      <c r="B15" s="61">
        <f>SUMIF('Data - Monthly Commodity Prices'!$C$159:$C$902,$A15,'Data - Monthly Commodity Prices'!V$159:V$902)</f>
        <v>9572.1107324875557</v>
      </c>
      <c r="C15" s="30"/>
      <c r="D15" s="84"/>
      <c r="E15" s="900">
        <f t="shared" si="2"/>
        <v>2016</v>
      </c>
      <c r="F15" s="900">
        <f t="shared" si="2"/>
        <v>2017</v>
      </c>
      <c r="G15" s="1811">
        <f t="shared" si="1"/>
        <v>2017</v>
      </c>
      <c r="H15" s="1333">
        <f t="array" ref="H15">IF($G$7="Historic Calendar Year",IFERROR(AVERAGE(IF($G15=YEAR('Data - Monthly Commodity Prices'!C$100:C$1000),'Data - Monthly Commodity Prices'!V$100:V$1000)),"NA"),IFERROR(IF(J15=0,"NA",J15),"NA"))</f>
        <v>27058.252463651137</v>
      </c>
      <c r="I15" s="1333"/>
      <c r="J15" s="1244">
        <f>(SUMIFS('Data - Monthly Commodity Prices'!$V$9:$V$2500,'Data - Monthly Commodity Prices'!$A$9:$A$2500,E15,'Data - Monthly Commodity Prices'!$B$9:$B$2500,3)+
SUMIFS('Data - Monthly Commodity Prices'!$V$9:$V$2500,'Data - Monthly Commodity Prices'!$A$9:$A$2500,E15,'Data - Monthly Commodity Prices'!$B$9:$B$2500,4)+
SUMIFS('Data - Monthly Commodity Prices'!$V$9:$V$2500,'Data - Monthly Commodity Prices'!$A$9:$A$2500,F15,'Data - Monthly Commodity Prices'!$B$9:$B$2500,1)+
SUMIFS('Data - Monthly Commodity Prices'!$V$9:$V$2500,'Data - Monthly Commodity Prices'!$A$9:$A$2500,F15,'Data - Monthly Commodity Prices'!$B$9:$B$2500,2))
/(COUNTIFS('Data - Monthly Commodity Prices'!$A$9:$A$2500,E15,'Data - Monthly Commodity Prices'!$B$9:$B$2500,3)+
COUNTIFS('Data - Monthly Commodity Prices'!$A$9:$A$2500,E15,'Data - Monthly Commodity Prices'!$B$9:$B$2500,4)+
COUNTIFS('Data - Monthly Commodity Prices'!$A$9:$A$2500,F15,'Data - Monthly Commodity Prices'!$B$9:$B$2500,1)+
COUNTIFS('Data - Monthly Commodity Prices'!$A$9:$A$2500,F15,'Data - Monthly Commodity Prices'!$B$9:$B$2500,2))</f>
        <v>28951.808033693265</v>
      </c>
      <c r="K15" s="1535">
        <f>(SUMIFS('Data - Monthly Commodity Prices'!$W$9:$W$2500,'Data - Monthly Commodity Prices'!$A$9:$A$2500,E15,'Data - Monthly Commodity Prices'!$B$9:$B$2500,3)+
SUMIFS('Data - Monthly Commodity Prices'!$W$9:$W$2500,'Data - Monthly Commodity Prices'!$A$9:$A$2500,E15,'Data - Monthly Commodity Prices'!$B$9:$B$2500,4)+
SUMIFS('Data - Monthly Commodity Prices'!$W$9:$W$2500,'Data - Monthly Commodity Prices'!$A$9:$A$2500,F15,'Data - Monthly Commodity Prices'!$B$9:$B$2500,1)+
SUMIFS('Data - Monthly Commodity Prices'!$W$9:$W$2500,'Data - Monthly Commodity Prices'!$A$9:$A$2500,F15,'Data - Monthly Commodity Prices'!$B$9:$B$2500,2))
/(COUNTIFS('Data - Monthly Commodity Prices'!$A$9:$A$2500,E15,'Data - Monthly Commodity Prices'!$B$9:$B$2500,3)+
COUNTIFS('Data - Monthly Commodity Prices'!$A$9:$A$2500,E15,'Data - Monthly Commodity Prices'!$B$9:$B$2500,4)+
COUNTIFS('Data - Monthly Commodity Prices'!$A$9:$A$2500,F15,'Data - Monthly Commodity Prices'!$B$9:$B$2500,1)+
COUNTIFS('Data - Monthly Commodity Prices'!$A$9:$A$2500,F15,'Data - Monthly Commodity Prices'!$B$9:$B$2500,2))</f>
        <v>0</v>
      </c>
      <c r="M15" s="1244"/>
      <c r="O15" s="1244"/>
    </row>
    <row r="16" spans="1:28">
      <c r="A16" s="1794">
        <f>LARGE('Data - Monthly Commodity Prices'!C$159:C$902,54)</f>
        <v>42186</v>
      </c>
      <c r="B16" s="1809">
        <f>SUMIF('Data - Monthly Commodity Prices'!$C$159:$C$902,$A16,'Data - Monthly Commodity Prices'!V$159:V$902)</f>
        <v>9884.1012844521374</v>
      </c>
      <c r="C16" s="1333"/>
      <c r="D16" s="84"/>
      <c r="E16" s="900">
        <f t="shared" si="2"/>
        <v>2017</v>
      </c>
      <c r="F16" s="900">
        <f t="shared" si="2"/>
        <v>2018</v>
      </c>
      <c r="G16" s="1810">
        <f t="shared" si="1"/>
        <v>2018</v>
      </c>
      <c r="H16" s="30">
        <f t="array" ref="H16">IF($G$7="Historic Calendar Year",IFERROR(AVERAGE(IF($G16=YEAR('Data - Monthly Commodity Prices'!C$100:C$1000),'Data - Monthly Commodity Prices'!V$100:V$1000)),"NA"),IFERROR(IF(J16=0,"NA",J16),"NA"))</f>
        <v>25362.47020519467</v>
      </c>
      <c r="I16" s="30">
        <f t="array" ref="I16">IF($G$7="Historic Calendar Year",IFERROR(AVERAGE(IF($G16=YEAR('Data - Monthly Commodity Prices'!C$100:C$1000),'Data - Monthly Commodity Prices'!W$100:W$1000)),"NA"),IFERROR(IF(K16=0,"NA",K16),"NA"))</f>
        <v>1161.8668484023792</v>
      </c>
      <c r="J16" s="1244">
        <f>(SUMIFS('Data - Monthly Commodity Prices'!$V$9:$V$2500,'Data - Monthly Commodity Prices'!$A$9:$A$2500,E16,'Data - Monthly Commodity Prices'!$B$9:$B$2500,3)+
SUMIFS('Data - Monthly Commodity Prices'!$V$9:$V$2500,'Data - Monthly Commodity Prices'!$A$9:$A$2500,E16,'Data - Monthly Commodity Prices'!$B$9:$B$2500,4)+
SUMIFS('Data - Monthly Commodity Prices'!$V$9:$V$2500,'Data - Monthly Commodity Prices'!$A$9:$A$2500,F16,'Data - Monthly Commodity Prices'!$B$9:$B$2500,1)+
SUMIFS('Data - Monthly Commodity Prices'!$V$9:$V$2500,'Data - Monthly Commodity Prices'!$A$9:$A$2500,F16,'Data - Monthly Commodity Prices'!$B$9:$B$2500,2))
/(COUNTIFS('Data - Monthly Commodity Prices'!$A$9:$A$2500,E16,'Data - Monthly Commodity Prices'!$B$9:$B$2500,3)+
COUNTIFS('Data - Monthly Commodity Prices'!$A$9:$A$2500,E16,'Data - Monthly Commodity Prices'!$B$9:$B$2500,4)+
COUNTIFS('Data - Monthly Commodity Prices'!$A$9:$A$2500,F16,'Data - Monthly Commodity Prices'!$B$9:$B$2500,1)+
COUNTIFS('Data - Monthly Commodity Prices'!$A$9:$A$2500,F16,'Data - Monthly Commodity Prices'!$B$9:$B$2500,2))</f>
        <v>27707.464578312512</v>
      </c>
      <c r="K16" s="1535">
        <f>(SUMIFS('Data - Monthly Commodity Prices'!$W$9:$W$2500,'Data - Monthly Commodity Prices'!$A$9:$A$2500,E16,'Data - Monthly Commodity Prices'!$B$9:$B$2500,3)+
SUMIFS('Data - Monthly Commodity Prices'!$W$9:$W$2500,'Data - Monthly Commodity Prices'!$A$9:$A$2500,E16,'Data - Monthly Commodity Prices'!$B$9:$B$2500,4)+
SUMIFS('Data - Monthly Commodity Prices'!$W$9:$W$2500,'Data - Monthly Commodity Prices'!$A$9:$A$2500,F16,'Data - Monthly Commodity Prices'!$B$9:$B$2500,1)+
SUMIFS('Data - Monthly Commodity Prices'!$W$9:$W$2500,'Data - Monthly Commodity Prices'!$A$9:$A$2500,F16,'Data - Monthly Commodity Prices'!$B$9:$B$2500,2))
/(COUNTIFS('Data - Monthly Commodity Prices'!$A$9:$A$2500,E16,'Data - Monthly Commodity Prices'!$B$9:$B$2500,3)+
COUNTIFS('Data - Monthly Commodity Prices'!$A$9:$A$2500,E16,'Data - Monthly Commodity Prices'!$B$9:$B$2500,4)+
COUNTIFS('Data - Monthly Commodity Prices'!$A$9:$A$2500,F16,'Data - Monthly Commodity Prices'!$B$9:$B$2500,1)+
COUNTIFS('Data - Monthly Commodity Prices'!$A$9:$A$2500,F16,'Data - Monthly Commodity Prices'!$B$9:$B$2500,2))</f>
        <v>618.06495359026633</v>
      </c>
      <c r="M16" s="1244"/>
      <c r="O16" s="1244"/>
    </row>
    <row r="17" spans="1:17">
      <c r="A17" s="1794">
        <f>LARGE('Data - Monthly Commodity Prices'!C$159:C$902,53)</f>
        <v>42217</v>
      </c>
      <c r="B17" s="61">
        <f>SUMIF('Data - Monthly Commodity Prices'!$C$159:$C$902,$A17,'Data - Monthly Commodity Prices'!V$159:V$902)</f>
        <v>9927.8484947926572</v>
      </c>
      <c r="C17" s="30"/>
      <c r="D17" s="84"/>
      <c r="E17" s="900">
        <f t="shared" si="2"/>
        <v>2018</v>
      </c>
      <c r="F17" s="900">
        <f t="shared" si="2"/>
        <v>2019</v>
      </c>
      <c r="G17" s="1811">
        <f t="shared" si="1"/>
        <v>2019</v>
      </c>
      <c r="H17" s="1333">
        <f t="array" ref="H17">IF($G$7="Historic Calendar Year",IFERROR(AVERAGE(IF($G17=YEAR('Data - Monthly Commodity Prices'!C$100:C$1000),'Data - Monthly Commodity Prices'!V$100:V$1000)),"NA"),IFERROR(IF(J17=0,"NA",J17),"NA"))</f>
        <v>15166.282997586071</v>
      </c>
      <c r="I17" s="1333">
        <f t="array" ref="I17">IF($G$7="Historic Calendar Year",IFERROR(AVERAGE(IF($G17=YEAR('Data - Monthly Commodity Prices'!C$100:C$1000),'Data - Monthly Commodity Prices'!W$100:W$1000)),"NA"),IFERROR(IF(K17=0,"NA",K17),"NA"))</f>
        <v>882.26513885108386</v>
      </c>
      <c r="J17" s="1244">
        <f>(SUMIFS('Data - Monthly Commodity Prices'!$V$9:$V$2500,'Data - Monthly Commodity Prices'!$A$9:$A$2500,E17,'Data - Monthly Commodity Prices'!$B$9:$B$2500,3)+
SUMIFS('Data - Monthly Commodity Prices'!$V$9:$V$2500,'Data - Monthly Commodity Prices'!$A$9:$A$2500,E17,'Data - Monthly Commodity Prices'!$B$9:$B$2500,4)+
SUMIFS('Data - Monthly Commodity Prices'!$V$9:$V$2500,'Data - Monthly Commodity Prices'!$A$9:$A$2500,F17,'Data - Monthly Commodity Prices'!$B$9:$B$2500,1)+
SUMIFS('Data - Monthly Commodity Prices'!$V$9:$V$2500,'Data - Monthly Commodity Prices'!$A$9:$A$2500,F17,'Data - Monthly Commodity Prices'!$B$9:$B$2500,2))
/(COUNTIFS('Data - Monthly Commodity Prices'!$A$9:$A$2500,E17,'Data - Monthly Commodity Prices'!$B$9:$B$2500,3)+
COUNTIFS('Data - Monthly Commodity Prices'!$A$9:$A$2500,E17,'Data - Monthly Commodity Prices'!$B$9:$B$2500,4)+
COUNTIFS('Data - Monthly Commodity Prices'!$A$9:$A$2500,F17,'Data - Monthly Commodity Prices'!$B$9:$B$2500,1)+
COUNTIFS('Data - Monthly Commodity Prices'!$A$9:$A$2500,F17,'Data - Monthly Commodity Prices'!$B$9:$B$2500,2))</f>
        <v>19929.085133016622</v>
      </c>
      <c r="K17" s="1535">
        <f>(SUMIFS('Data - Monthly Commodity Prices'!$W$9:$W$2500,'Data - Monthly Commodity Prices'!$A$9:$A$2500,E17,'Data - Monthly Commodity Prices'!$B$9:$B$2500,3)+
SUMIFS('Data - Monthly Commodity Prices'!$W$9:$W$2500,'Data - Monthly Commodity Prices'!$A$9:$A$2500,E17,'Data - Monthly Commodity Prices'!$B$9:$B$2500,4)+
SUMIFS('Data - Monthly Commodity Prices'!$W$9:$W$2500,'Data - Monthly Commodity Prices'!$A$9:$A$2500,F17,'Data - Monthly Commodity Prices'!$B$9:$B$2500,1)+
SUMIFS('Data - Monthly Commodity Prices'!$W$9:$W$2500,'Data - Monthly Commodity Prices'!$A$9:$A$2500,F17,'Data - Monthly Commodity Prices'!$B$9:$B$2500,2))
/(COUNTIFS('Data - Monthly Commodity Prices'!$A$9:$A$2500,E17,'Data - Monthly Commodity Prices'!$B$9:$B$2500,3)+
COUNTIFS('Data - Monthly Commodity Prices'!$A$9:$A$2500,E17,'Data - Monthly Commodity Prices'!$B$9:$B$2500,4)+
COUNTIFS('Data - Monthly Commodity Prices'!$A$9:$A$2500,F17,'Data - Monthly Commodity Prices'!$B$9:$B$2500,1)+
COUNTIFS('Data - Monthly Commodity Prices'!$A$9:$A$2500,F17,'Data - Monthly Commodity Prices'!$B$9:$B$2500,2))</f>
        <v>1018.3725172605829</v>
      </c>
      <c r="M17" s="1244"/>
      <c r="O17" s="1244"/>
    </row>
    <row r="18" spans="1:17">
      <c r="A18" s="1794">
        <f>LARGE('Data - Monthly Commodity Prices'!C$159:C$902,52)</f>
        <v>42248</v>
      </c>
      <c r="B18" s="1809">
        <f>SUMIF('Data - Monthly Commodity Prices'!$C$159:$C$902,$A18,'Data - Monthly Commodity Prices'!V$159:V$902)</f>
        <v>10434.83218366616</v>
      </c>
      <c r="C18" s="1333"/>
      <c r="D18" s="84"/>
      <c r="E18" s="900">
        <f t="shared" si="2"/>
        <v>2019</v>
      </c>
      <c r="F18" s="900">
        <f t="shared" si="2"/>
        <v>2020</v>
      </c>
      <c r="G18" s="1810">
        <f t="shared" si="1"/>
        <v>2020</v>
      </c>
      <c r="H18" s="1615" t="str">
        <f>IF($G$7="Historic Calendar Year",IFERROR(AVERAGE(IF($G18=YEAR('Data - Monthly Commodity Prices'!C$100:C$1000),'Data - Monthly Commodity Prices'!V$100:V$1000)),"N/A"),IFERROR(IF(J18=0,"N/A",J18),"N/A"))</f>
        <v>N/A</v>
      </c>
      <c r="I18" s="1615" t="str">
        <f>IF($G$7="Historic Calendar Year",IFERROR(AVERAGE(IF($G18=YEAR('Data - Monthly Commodity Prices'!C$100:C$1000),'Data - Monthly Commodity Prices'!W$100:W$1000)),"N/A"),IFERROR(IF(K18=0,"N/A",K18),"N/A"))</f>
        <v>N/A</v>
      </c>
      <c r="J18" s="1244">
        <f>(SUMIFS('Data - Monthly Commodity Prices'!$V$9:$V$2500,'Data - Monthly Commodity Prices'!$A$9:$A$2500,E18,'Data - Monthly Commodity Prices'!$B$9:$B$2500,3)+
SUMIFS('Data - Monthly Commodity Prices'!$V$9:$V$2500,'Data - Monthly Commodity Prices'!$A$9:$A$2500,E18,'Data - Monthly Commodity Prices'!$B$9:$B$2500,4)+
SUMIFS('Data - Monthly Commodity Prices'!$V$9:$V$2500,'Data - Monthly Commodity Prices'!$A$9:$A$2500,F18,'Data - Monthly Commodity Prices'!$B$9:$B$2500,1)+
SUMIFS('Data - Monthly Commodity Prices'!$V$9:$V$2500,'Data - Monthly Commodity Prices'!$A$9:$A$2500,F18,'Data - Monthly Commodity Prices'!$B$9:$B$2500,2))
/(COUNTIFS('Data - Monthly Commodity Prices'!$A$9:$A$2500,E18,'Data - Monthly Commodity Prices'!$B$9:$B$2500,3)+
COUNTIFS('Data - Monthly Commodity Prices'!$A$9:$A$2500,E18,'Data - Monthly Commodity Prices'!$B$9:$B$2500,4)+
COUNTIFS('Data - Monthly Commodity Prices'!$A$9:$A$2500,F18,'Data - Monthly Commodity Prices'!$B$9:$B$2500,1)+
COUNTIFS('Data - Monthly Commodity Prices'!$A$9:$A$2500,F18,'Data - Monthly Commodity Prices'!$B$9:$B$2500,2))</f>
        <v>12779.023650637369</v>
      </c>
      <c r="K18" s="1535">
        <f>(SUMIFS('Data - Monthly Commodity Prices'!$W$9:$W$2500,'Data - Monthly Commodity Prices'!$A$9:$A$2500,E18,'Data - Monthly Commodity Prices'!$B$9:$B$2500,3)+
SUMIFS('Data - Monthly Commodity Prices'!$W$9:$W$2500,'Data - Monthly Commodity Prices'!$A$9:$A$2500,E18,'Data - Monthly Commodity Prices'!$B$9:$B$2500,4)+
SUMIFS('Data - Monthly Commodity Prices'!$W$9:$W$2500,'Data - Monthly Commodity Prices'!$A$9:$A$2500,F18,'Data - Monthly Commodity Prices'!$B$9:$B$2500,1)+
SUMIFS('Data - Monthly Commodity Prices'!$W$9:$W$2500,'Data - Monthly Commodity Prices'!$A$9:$A$2500,F18,'Data - Monthly Commodity Prices'!$B$9:$B$2500,2))
/(COUNTIFS('Data - Monthly Commodity Prices'!$A$9:$A$2500,E18,'Data - Monthly Commodity Prices'!$B$9:$B$2500,3)+
COUNTIFS('Data - Monthly Commodity Prices'!$A$9:$A$2500,E18,'Data - Monthly Commodity Prices'!$B$9:$B$2500,4)+
COUNTIFS('Data - Monthly Commodity Prices'!$A$9:$A$2500,F18,'Data - Monthly Commodity Prices'!$B$9:$B$2500,1)+
COUNTIFS('Data - Monthly Commodity Prices'!$A$9:$A$2500,F18,'Data - Monthly Commodity Prices'!$B$9:$B$2500,2))</f>
        <v>815.38903280522766</v>
      </c>
      <c r="M18" s="1244"/>
      <c r="O18" s="1244"/>
    </row>
    <row r="19" spans="1:17">
      <c r="A19" s="1794">
        <f>LARGE('Data - Monthly Commodity Prices'!C$159:C$902,51)</f>
        <v>42278</v>
      </c>
      <c r="B19" s="61">
        <f>SUMIF('Data - Monthly Commodity Prices'!$C$159:$C$902,$A19,'Data - Monthly Commodity Prices'!V$159:V$902)</f>
        <v>10865.37131541973</v>
      </c>
      <c r="C19" s="30"/>
      <c r="D19" s="84"/>
      <c r="E19" s="900">
        <f t="shared" si="2"/>
        <v>2020</v>
      </c>
      <c r="F19" s="900">
        <f t="shared" si="2"/>
        <v>2021</v>
      </c>
      <c r="G19" s="1811">
        <f t="shared" si="1"/>
        <v>2021</v>
      </c>
      <c r="H19" s="1333"/>
      <c r="I19" s="1333"/>
      <c r="J19" s="1244" t="e">
        <f>(SUMIFS('Data - Monthly Commodity Prices'!$V$9:$V$2500,'Data - Monthly Commodity Prices'!$A$9:$A$2500,E19,'Data - Monthly Commodity Prices'!$B$9:$B$2500,3)+
SUMIFS('Data - Monthly Commodity Prices'!$V$9:$V$2500,'Data - Monthly Commodity Prices'!$A$9:$A$2500,E19,'Data - Monthly Commodity Prices'!$B$9:$B$2500,4)+
SUMIFS('Data - Monthly Commodity Prices'!$V$9:$V$2500,'Data - Monthly Commodity Prices'!$A$9:$A$2500,F19,'Data - Monthly Commodity Prices'!$B$9:$B$2500,1)+
SUMIFS('Data - Monthly Commodity Prices'!$V$9:$V$2500,'Data - Monthly Commodity Prices'!$A$9:$A$2500,F19,'Data - Monthly Commodity Prices'!$B$9:$B$2500,2))
/(COUNTIFS('Data - Monthly Commodity Prices'!$A$9:$A$2500,E19,'Data - Monthly Commodity Prices'!$B$9:$B$2500,3)+
COUNTIFS('Data - Monthly Commodity Prices'!$A$9:$A$2500,E19,'Data - Monthly Commodity Prices'!$B$9:$B$2500,4)+
COUNTIFS('Data - Monthly Commodity Prices'!$A$9:$A$2500,F19,'Data - Monthly Commodity Prices'!$B$9:$B$2500,1)+
COUNTIFS('Data - Monthly Commodity Prices'!$A$9:$A$2500,F19,'Data - Monthly Commodity Prices'!$B$9:$B$2500,2))</f>
        <v>#DIV/0!</v>
      </c>
      <c r="K19" s="1535" t="e">
        <f>(SUMIFS('Data - Monthly Commodity Prices'!$W$9:$W$2500,'Data - Monthly Commodity Prices'!$A$9:$A$2500,E19,'Data - Monthly Commodity Prices'!$B$9:$B$2500,3)+
SUMIFS('Data - Monthly Commodity Prices'!$W$9:$W$2500,'Data - Monthly Commodity Prices'!$A$9:$A$2500,E19,'Data - Monthly Commodity Prices'!$B$9:$B$2500,4)+
SUMIFS('Data - Monthly Commodity Prices'!$W$9:$W$2500,'Data - Monthly Commodity Prices'!$A$9:$A$2500,F19,'Data - Monthly Commodity Prices'!$B$9:$B$2500,1)+
SUMIFS('Data - Monthly Commodity Prices'!$W$9:$W$2500,'Data - Monthly Commodity Prices'!$A$9:$A$2500,F19,'Data - Monthly Commodity Prices'!$B$9:$B$2500,2))
/(COUNTIFS('Data - Monthly Commodity Prices'!$A$9:$A$2500,E19,'Data - Monthly Commodity Prices'!$B$9:$B$2500,3)+
COUNTIFS('Data - Monthly Commodity Prices'!$A$9:$A$2500,E19,'Data - Monthly Commodity Prices'!$B$9:$B$2500,4)+
COUNTIFS('Data - Monthly Commodity Prices'!$A$9:$A$2500,F19,'Data - Monthly Commodity Prices'!$B$9:$B$2500,1)+
COUNTIFS('Data - Monthly Commodity Prices'!$A$9:$A$2500,F19,'Data - Monthly Commodity Prices'!$B$9:$B$2500,2))</f>
        <v>#DIV/0!</v>
      </c>
      <c r="M19" s="1244"/>
      <c r="O19" s="1244"/>
      <c r="Q19" s="1244" t="str">
        <f>G6&amp;CHAR(10)&amp;G7</f>
        <v>Lithium Average Annual Price
Historic Calendar Year</v>
      </c>
    </row>
    <row r="20" spans="1:17">
      <c r="A20" s="1794">
        <f>LARGE('Data - Monthly Commodity Prices'!C$159:C$902,50)</f>
        <v>42309</v>
      </c>
      <c r="B20" s="1809">
        <f>SUMIF('Data - Monthly Commodity Prices'!$C$159:$C$902,$A20,'Data - Monthly Commodity Prices'!V$159:V$902)</f>
        <v>12098.733812197988</v>
      </c>
      <c r="C20" s="1333"/>
      <c r="D20" s="84"/>
      <c r="E20" s="900">
        <f t="shared" si="2"/>
        <v>2021</v>
      </c>
      <c r="F20" s="900">
        <f t="shared" si="2"/>
        <v>2022</v>
      </c>
      <c r="G20" s="1810">
        <f t="shared" si="1"/>
        <v>2022</v>
      </c>
      <c r="H20" s="30"/>
      <c r="I20" s="30"/>
      <c r="J20" s="1244" t="e">
        <f>(SUMIFS('Data - Monthly Commodity Prices'!$V$9:$V$2500,'Data - Monthly Commodity Prices'!$A$9:$A$2500,E20,'Data - Monthly Commodity Prices'!$B$9:$B$2500,3)+
SUMIFS('Data - Monthly Commodity Prices'!$V$9:$V$2500,'Data - Monthly Commodity Prices'!$A$9:$A$2500,E20,'Data - Monthly Commodity Prices'!$B$9:$B$2500,4)+
SUMIFS('Data - Monthly Commodity Prices'!$V$9:$V$2500,'Data - Monthly Commodity Prices'!$A$9:$A$2500,F20,'Data - Monthly Commodity Prices'!$B$9:$B$2500,1)+
SUMIFS('Data - Monthly Commodity Prices'!$V$9:$V$2500,'Data - Monthly Commodity Prices'!$A$9:$A$2500,F20,'Data - Monthly Commodity Prices'!$B$9:$B$2500,2))
/(COUNTIFS('Data - Monthly Commodity Prices'!$A$9:$A$2500,E20,'Data - Monthly Commodity Prices'!$B$9:$B$2500,3)+
COUNTIFS('Data - Monthly Commodity Prices'!$A$9:$A$2500,E20,'Data - Monthly Commodity Prices'!$B$9:$B$2500,4)+
COUNTIFS('Data - Monthly Commodity Prices'!$A$9:$A$2500,F20,'Data - Monthly Commodity Prices'!$B$9:$B$2500,1)+
COUNTIFS('Data - Monthly Commodity Prices'!$A$9:$A$2500,F20,'Data - Monthly Commodity Prices'!$B$9:$B$2500,2))</f>
        <v>#DIV/0!</v>
      </c>
      <c r="K20" s="1535" t="e">
        <f>(SUMIFS('Data - Monthly Commodity Prices'!$W$9:$W$2500,'Data - Monthly Commodity Prices'!$A$9:$A$2500,E20,'Data - Monthly Commodity Prices'!$B$9:$B$2500,3)+
SUMIFS('Data - Monthly Commodity Prices'!$W$9:$W$2500,'Data - Monthly Commodity Prices'!$A$9:$A$2500,E20,'Data - Monthly Commodity Prices'!$B$9:$B$2500,4)+
SUMIFS('Data - Monthly Commodity Prices'!$W$9:$W$2500,'Data - Monthly Commodity Prices'!$A$9:$A$2500,F20,'Data - Monthly Commodity Prices'!$B$9:$B$2500,1)+
SUMIFS('Data - Monthly Commodity Prices'!$W$9:$W$2500,'Data - Monthly Commodity Prices'!$A$9:$A$2500,F20,'Data - Monthly Commodity Prices'!$B$9:$B$2500,2))
/(COUNTIFS('Data - Monthly Commodity Prices'!$A$9:$A$2500,E20,'Data - Monthly Commodity Prices'!$B$9:$B$2500,3)+
COUNTIFS('Data - Monthly Commodity Prices'!$A$9:$A$2500,E20,'Data - Monthly Commodity Prices'!$B$9:$B$2500,4)+
COUNTIFS('Data - Monthly Commodity Prices'!$A$9:$A$2500,F20,'Data - Monthly Commodity Prices'!$B$9:$B$2500,1)+
COUNTIFS('Data - Monthly Commodity Prices'!$A$9:$A$2500,F20,'Data - Monthly Commodity Prices'!$B$9:$B$2500,2))</f>
        <v>#DIV/0!</v>
      </c>
      <c r="M20" s="1244"/>
      <c r="O20" s="1244"/>
    </row>
    <row r="21" spans="1:17" ht="15.75" thickBot="1">
      <c r="A21" s="1794">
        <f>LARGE('Data - Monthly Commodity Prices'!C$159:C$902,49)</f>
        <v>42339</v>
      </c>
      <c r="B21" s="61">
        <f>SUMIF('Data - Monthly Commodity Prices'!$C$159:$C$902,$A21,'Data - Monthly Commodity Prices'!V$159:V$902)</f>
        <v>18633.842968641795</v>
      </c>
      <c r="C21" s="30"/>
      <c r="D21" s="84"/>
      <c r="E21" s="900">
        <f t="shared" si="2"/>
        <v>2022</v>
      </c>
      <c r="F21" s="900">
        <f t="shared" si="2"/>
        <v>2023</v>
      </c>
      <c r="G21" s="1812">
        <f t="shared" si="1"/>
        <v>2023</v>
      </c>
      <c r="H21" s="1334"/>
      <c r="I21" s="1334"/>
      <c r="J21" s="1244" t="e">
        <f>(SUMIFS('Data - Monthly Commodity Prices'!$V$9:$V$2500,'Data - Monthly Commodity Prices'!$A$9:$A$2500,E21,'Data - Monthly Commodity Prices'!$B$9:$B$2500,3)+
SUMIFS('Data - Monthly Commodity Prices'!$V$9:$V$2500,'Data - Monthly Commodity Prices'!$A$9:$A$2500,E21,'Data - Monthly Commodity Prices'!$B$9:$B$2500,4)+
SUMIFS('Data - Monthly Commodity Prices'!$V$9:$V$2500,'Data - Monthly Commodity Prices'!$A$9:$A$2500,F21,'Data - Monthly Commodity Prices'!$B$9:$B$2500,1)+
SUMIFS('Data - Monthly Commodity Prices'!$V$9:$V$2500,'Data - Monthly Commodity Prices'!$A$9:$A$2500,F21,'Data - Monthly Commodity Prices'!$B$9:$B$2500,2))
/(COUNTIFS('Data - Monthly Commodity Prices'!$A$9:$A$2500,E21,'Data - Monthly Commodity Prices'!$B$9:$B$2500,3)+
COUNTIFS('Data - Monthly Commodity Prices'!$A$9:$A$2500,E21,'Data - Monthly Commodity Prices'!$B$9:$B$2500,4)+
COUNTIFS('Data - Monthly Commodity Prices'!$A$9:$A$2500,F21,'Data - Monthly Commodity Prices'!$B$9:$B$2500,1)+
COUNTIFS('Data - Monthly Commodity Prices'!$A$9:$A$2500,F21,'Data - Monthly Commodity Prices'!$B$9:$B$2500,2))</f>
        <v>#DIV/0!</v>
      </c>
      <c r="K21" s="1535" t="e">
        <f>(SUMIFS('Data - Monthly Commodity Prices'!$W$9:$W$2500,'Data - Monthly Commodity Prices'!$A$9:$A$2500,E21,'Data - Monthly Commodity Prices'!$B$9:$B$2500,3)+
SUMIFS('Data - Monthly Commodity Prices'!$W$9:$W$2500,'Data - Monthly Commodity Prices'!$A$9:$A$2500,E21,'Data - Monthly Commodity Prices'!$B$9:$B$2500,4)+
SUMIFS('Data - Monthly Commodity Prices'!$W$9:$W$2500,'Data - Monthly Commodity Prices'!$A$9:$A$2500,F21,'Data - Monthly Commodity Prices'!$B$9:$B$2500,1)+
SUMIFS('Data - Monthly Commodity Prices'!$W$9:$W$2500,'Data - Monthly Commodity Prices'!$A$9:$A$2500,F21,'Data - Monthly Commodity Prices'!$B$9:$B$2500,2))
/(COUNTIFS('Data - Monthly Commodity Prices'!$A$9:$A$2500,E21,'Data - Monthly Commodity Prices'!$B$9:$B$2500,3)+
COUNTIFS('Data - Monthly Commodity Prices'!$A$9:$A$2500,E21,'Data - Monthly Commodity Prices'!$B$9:$B$2500,4)+
COUNTIFS('Data - Monthly Commodity Prices'!$A$9:$A$2500,F21,'Data - Monthly Commodity Prices'!$B$9:$B$2500,1)+
COUNTIFS('Data - Monthly Commodity Prices'!$A$9:$A$2500,F21,'Data - Monthly Commodity Prices'!$B$9:$B$2500,2))</f>
        <v>#DIV/0!</v>
      </c>
      <c r="M21" s="1244"/>
      <c r="O21" s="1244"/>
    </row>
    <row r="22" spans="1:17" ht="15.75" thickBot="1">
      <c r="A22" s="1794">
        <f>LARGE('Data - Monthly Commodity Prices'!C$159:C$902,48)</f>
        <v>42370</v>
      </c>
      <c r="B22" s="1809">
        <f>SUMIF('Data - Monthly Commodity Prices'!$C$159:$C$902,$A22,'Data - Monthly Commodity Prices'!V$159:V$902)</f>
        <v>24998.00221468772</v>
      </c>
      <c r="C22" s="1333"/>
      <c r="D22" s="84"/>
      <c r="E22" s="900"/>
      <c r="F22" s="900"/>
      <c r="G22" s="900"/>
      <c r="H22" s="900"/>
      <c r="I22" s="900"/>
      <c r="J22" s="900"/>
      <c r="M22" s="1244"/>
      <c r="O22" s="1244"/>
    </row>
    <row r="23" spans="1:17" ht="15.75" thickBot="1">
      <c r="A23" s="1794">
        <f>LARGE('Data - Monthly Commodity Prices'!C$159:C$902,47)</f>
        <v>42401</v>
      </c>
      <c r="B23" s="61">
        <f>SUMIF('Data - Monthly Commodity Prices'!$C$159:$C$902,$A23,'Data - Monthly Commodity Prices'!V$159:V$902)</f>
        <v>29336.775032058711</v>
      </c>
      <c r="C23" s="30"/>
      <c r="D23" s="84"/>
      <c r="E23" s="900"/>
      <c r="F23" s="900"/>
      <c r="G23" s="2015" t="s">
        <v>617</v>
      </c>
      <c r="H23" s="2016"/>
      <c r="I23" s="2017"/>
      <c r="J23" s="1790"/>
      <c r="M23" s="1244"/>
      <c r="O23" s="1244"/>
    </row>
    <row r="24" spans="1:17" ht="15.75" thickBot="1">
      <c r="A24" s="1794">
        <f>LARGE('Data - Monthly Commodity Prices'!C$159:C$902,46)</f>
        <v>42430</v>
      </c>
      <c r="B24" s="1809">
        <f>SUMIF('Data - Monthly Commodity Prices'!$C$159:$C$902,$A24,'Data - Monthly Commodity Prices'!V$159:V$902)</f>
        <v>33040.997713993936</v>
      </c>
      <c r="C24" s="1333"/>
      <c r="D24" s="84"/>
      <c r="E24" s="900"/>
      <c r="F24" s="900"/>
      <c r="G24" s="1958" t="s">
        <v>545</v>
      </c>
      <c r="H24" s="1959"/>
      <c r="I24" s="1960"/>
      <c r="J24" s="1791"/>
      <c r="M24" s="1244"/>
      <c r="O24" s="1244"/>
    </row>
    <row r="25" spans="1:17">
      <c r="A25" s="1794">
        <f>LARGE('Data - Monthly Commodity Prices'!C$159:C$902,45)</f>
        <v>42461</v>
      </c>
      <c r="B25" s="61">
        <f>SUMIF('Data - Monthly Commodity Prices'!$C$159:$C$902,$A25,'Data - Monthly Commodity Prices'!V$159:V$902)</f>
        <v>34648.477643218408</v>
      </c>
      <c r="C25" s="30"/>
      <c r="D25" s="84"/>
      <c r="E25" s="900"/>
      <c r="F25" s="900"/>
      <c r="G25" s="1986" t="s">
        <v>618</v>
      </c>
      <c r="H25" s="1986"/>
      <c r="I25" s="1986"/>
      <c r="J25" s="2014"/>
      <c r="L25" s="900"/>
      <c r="M25" s="1244"/>
      <c r="O25" s="1244"/>
    </row>
    <row r="26" spans="1:17">
      <c r="A26" s="1794">
        <f>LARGE('Data - Monthly Commodity Prices'!C$159:C$902,44)</f>
        <v>42491</v>
      </c>
      <c r="B26" s="1809">
        <f>SUMIF('Data - Monthly Commodity Prices'!$C$159:$C$902,$A26,'Data - Monthly Commodity Prices'!V$159:V$902)</f>
        <v>35659.055974712384</v>
      </c>
      <c r="C26" s="1333"/>
      <c r="D26" s="84"/>
      <c r="E26" s="900"/>
      <c r="F26" s="900"/>
      <c r="G26" s="900"/>
      <c r="H26" s="900"/>
      <c r="I26" s="900"/>
      <c r="J26" s="900"/>
      <c r="L26" s="298"/>
      <c r="M26" s="1244"/>
      <c r="O26" s="1244"/>
    </row>
    <row r="27" spans="1:17">
      <c r="A27" s="1794">
        <f>LARGE('Data - Monthly Commodity Prices'!C$159:C$902,43)</f>
        <v>42522</v>
      </c>
      <c r="B27" s="61">
        <f>SUMIF('Data - Monthly Commodity Prices'!$C$159:$C$902,$A27,'Data - Monthly Commodity Prices'!V$159:V$902)</f>
        <v>33507.502302023539</v>
      </c>
      <c r="C27" s="30"/>
      <c r="D27" s="84"/>
      <c r="E27" s="900"/>
      <c r="F27" s="900"/>
      <c r="G27" s="900"/>
      <c r="H27" s="900"/>
      <c r="I27" s="900"/>
      <c r="J27" s="900"/>
      <c r="L27" s="1551"/>
      <c r="M27" s="1244"/>
      <c r="O27" s="1244"/>
    </row>
    <row r="28" spans="1:17">
      <c r="A28" s="1794">
        <f>LARGE('Data - Monthly Commodity Prices'!C$159:C$902,42)</f>
        <v>42552</v>
      </c>
      <c r="B28" s="1809">
        <f>SUMIF('Data - Monthly Commodity Prices'!$C$159:$C$902,$A28,'Data - Monthly Commodity Prices'!V$159:V$902)</f>
        <v>31772.784374804603</v>
      </c>
      <c r="C28" s="1333"/>
      <c r="D28" s="84"/>
      <c r="E28" s="900"/>
      <c r="F28" s="900"/>
      <c r="G28" s="900"/>
      <c r="H28" s="900"/>
      <c r="I28" s="900"/>
      <c r="J28" s="900"/>
      <c r="L28" s="1552"/>
      <c r="M28" s="1244"/>
      <c r="O28" s="1244"/>
    </row>
    <row r="29" spans="1:17">
      <c r="A29" s="1794">
        <f>LARGE('Data - Monthly Commodity Prices'!C$159:C$902,41)</f>
        <v>42583</v>
      </c>
      <c r="B29" s="61">
        <f>SUMIF('Data - Monthly Commodity Prices'!$C$159:$C$902,$A29,'Data - Monthly Commodity Prices'!V$159:V$902)</f>
        <v>31236.982724255471</v>
      </c>
      <c r="C29" s="30"/>
      <c r="D29" s="84"/>
      <c r="E29" s="900"/>
      <c r="F29" s="900"/>
      <c r="G29" s="900"/>
      <c r="H29" s="900"/>
      <c r="I29" s="900"/>
      <c r="J29" s="900"/>
      <c r="L29" s="900"/>
      <c r="M29" s="1244"/>
      <c r="O29" s="1244"/>
    </row>
    <row r="30" spans="1:17">
      <c r="A30" s="1794">
        <f>LARGE('Data - Monthly Commodity Prices'!C$159:C$902,40)</f>
        <v>42614</v>
      </c>
      <c r="B30" s="1809">
        <f>SUMIF('Data - Monthly Commodity Prices'!$C$159:$C$902,$A30,'Data - Monthly Commodity Prices'!V$159:V$902)</f>
        <v>31107.406002190342</v>
      </c>
      <c r="C30" s="1333"/>
      <c r="D30" s="84"/>
      <c r="E30" s="900"/>
      <c r="F30" s="900"/>
      <c r="G30" s="900"/>
      <c r="H30" s="900"/>
      <c r="I30" s="900"/>
      <c r="J30" s="900"/>
      <c r="L30" s="900"/>
      <c r="M30" s="1244"/>
      <c r="O30" s="1244"/>
    </row>
    <row r="31" spans="1:17">
      <c r="A31" s="1794">
        <f>LARGE('Data - Monthly Commodity Prices'!C$159:C$902,39)</f>
        <v>42644</v>
      </c>
      <c r="B31" s="61">
        <f>SUMIF('Data - Monthly Commodity Prices'!$C$159:$C$902,$A31,'Data - Monthly Commodity Prices'!V$159:V$902)</f>
        <v>30635.27369370688</v>
      </c>
      <c r="C31" s="30"/>
      <c r="D31" s="84"/>
      <c r="E31" s="900"/>
      <c r="F31" s="900"/>
      <c r="G31" s="900"/>
      <c r="H31" s="900"/>
      <c r="I31" s="900"/>
      <c r="J31" s="900"/>
      <c r="L31" s="900"/>
      <c r="M31" s="1244"/>
      <c r="O31" s="1244"/>
    </row>
    <row r="32" spans="1:17">
      <c r="A32" s="1794">
        <f>LARGE('Data - Monthly Commodity Prices'!C$159:C$902,38)</f>
        <v>42675</v>
      </c>
      <c r="B32" s="1809">
        <f>SUMIF('Data - Monthly Commodity Prices'!$C$159:$C$902,$A32,'Data - Monthly Commodity Prices'!V$159:V$902)</f>
        <v>29782.53545770916</v>
      </c>
      <c r="C32" s="1333"/>
      <c r="D32" s="84"/>
      <c r="E32" s="900"/>
      <c r="F32" s="900"/>
      <c r="G32" s="900"/>
      <c r="H32" s="900"/>
      <c r="I32" s="900"/>
      <c r="J32" s="900"/>
      <c r="L32" s="900"/>
      <c r="M32" s="1244"/>
      <c r="O32" s="1244"/>
    </row>
    <row r="33" spans="1:15">
      <c r="A33" s="1794">
        <f>LARGE('Data - Monthly Commodity Prices'!C$159:C$902,37)</f>
        <v>42705</v>
      </c>
      <c r="B33" s="61">
        <f>SUMIF('Data - Monthly Commodity Prices'!$C$159:$C$902,$A33,'Data - Monthly Commodity Prices'!V$159:V$902)</f>
        <v>30155.384594243897</v>
      </c>
      <c r="C33" s="30"/>
      <c r="D33" s="84"/>
      <c r="E33" s="900"/>
      <c r="F33" s="900"/>
      <c r="G33" s="900"/>
      <c r="H33" s="900"/>
      <c r="I33" s="900"/>
      <c r="J33" s="900"/>
      <c r="L33" s="900"/>
      <c r="M33" s="1244"/>
      <c r="O33" s="1244"/>
    </row>
    <row r="34" spans="1:15">
      <c r="A34" s="1794">
        <f>LARGE('Data - Monthly Commodity Prices'!C$159:C$902,36)</f>
        <v>42736</v>
      </c>
      <c r="B34" s="1809">
        <f>SUMIF('Data - Monthly Commodity Prices'!$C$159:$C$902,$A34,'Data - Monthly Commodity Prices'!V$159:V$902)</f>
        <v>27899.47047746514</v>
      </c>
      <c r="C34" s="1333"/>
      <c r="D34" s="84"/>
      <c r="E34" s="900"/>
      <c r="F34" s="900"/>
      <c r="G34" s="900"/>
      <c r="H34" s="900"/>
      <c r="I34" s="900"/>
      <c r="J34" s="900"/>
      <c r="L34" s="900"/>
      <c r="M34" s="1244"/>
      <c r="O34" s="1244"/>
    </row>
    <row r="35" spans="1:15">
      <c r="A35" s="1794">
        <f>LARGE('Data - Monthly Commodity Prices'!C$159:C$902,35)</f>
        <v>42767</v>
      </c>
      <c r="B35" s="61">
        <f>SUMIF('Data - Monthly Commodity Prices'!$C$159:$C$902,$A35,'Data - Monthly Commodity Prices'!V$159:V$902)</f>
        <v>26466.294367801813</v>
      </c>
      <c r="C35" s="30"/>
      <c r="D35" s="84"/>
      <c r="E35" s="900"/>
      <c r="F35" s="900"/>
      <c r="G35" s="900"/>
      <c r="H35" s="900"/>
      <c r="I35" s="900"/>
      <c r="J35" s="900"/>
      <c r="L35" s="900"/>
      <c r="M35" s="1244"/>
      <c r="O35" s="1244"/>
    </row>
    <row r="36" spans="1:15">
      <c r="A36" s="1794">
        <f>LARGE('Data - Monthly Commodity Prices'!C$159:C$902,34)</f>
        <v>42795</v>
      </c>
      <c r="B36" s="1809">
        <f>SUMIF('Data - Monthly Commodity Prices'!$C$159:$C$902,$A36,'Data - Monthly Commodity Prices'!V$159:V$902)</f>
        <v>26555.367219024934</v>
      </c>
      <c r="C36" s="1333"/>
      <c r="D36" s="84"/>
      <c r="E36" s="900"/>
      <c r="F36" s="900"/>
      <c r="G36" s="900"/>
      <c r="H36" s="900"/>
      <c r="I36" s="900"/>
      <c r="J36" s="900"/>
      <c r="L36" s="900"/>
      <c r="M36" s="1244"/>
      <c r="O36" s="1244"/>
    </row>
    <row r="37" spans="1:15">
      <c r="A37" s="1794">
        <f>LARGE('Data - Monthly Commodity Prices'!C$159:C$902,33)</f>
        <v>42826</v>
      </c>
      <c r="B37" s="61">
        <f>SUMIF('Data - Monthly Commodity Prices'!$C$159:$C$902,$A37,'Data - Monthly Commodity Prices'!V$159:V$902)</f>
        <v>27066.351940765649</v>
      </c>
      <c r="C37" s="30"/>
      <c r="D37" s="84"/>
      <c r="E37" s="900"/>
      <c r="F37" s="900"/>
      <c r="G37" s="900"/>
      <c r="H37" s="900"/>
      <c r="I37" s="900"/>
      <c r="J37" s="900"/>
      <c r="L37" s="900"/>
      <c r="M37" s="1244"/>
      <c r="O37" s="1244"/>
    </row>
    <row r="38" spans="1:15">
      <c r="A38" s="1794">
        <f>LARGE('Data - Monthly Commodity Prices'!C$159:C$902,32)</f>
        <v>42856</v>
      </c>
      <c r="B38" s="1809">
        <f>SUMIF('Data - Monthly Commodity Prices'!$C$159:$C$902,$A38,'Data - Monthly Commodity Prices'!V$159:V$902)</f>
        <v>27443.713423597947</v>
      </c>
      <c r="C38" s="1333"/>
      <c r="D38" s="84"/>
      <c r="E38" s="900"/>
      <c r="F38" s="900"/>
      <c r="G38" s="900"/>
      <c r="H38" s="900"/>
      <c r="I38" s="900"/>
      <c r="J38" s="900"/>
      <c r="L38" s="900"/>
      <c r="M38" s="1244"/>
      <c r="N38" s="1535"/>
      <c r="O38" s="1244"/>
    </row>
    <row r="39" spans="1:15">
      <c r="A39" s="1794">
        <f>LARGE('Data - Monthly Commodity Prices'!C$159:C$902,31)</f>
        <v>42887</v>
      </c>
      <c r="B39" s="61">
        <f>SUMIF('Data - Monthly Commodity Prices'!$C$159:$C$902,$A39,'Data - Monthly Commodity Prices'!V$159:V$902)</f>
        <v>27300.132128753361</v>
      </c>
      <c r="C39" s="30"/>
      <c r="D39" s="84"/>
      <c r="E39" s="900"/>
      <c r="F39" s="900"/>
      <c r="G39" s="900"/>
      <c r="H39" s="900"/>
      <c r="I39" s="900"/>
      <c r="J39" s="900"/>
      <c r="L39" s="900"/>
      <c r="M39" s="1244"/>
      <c r="N39" s="1535"/>
      <c r="O39" s="1244"/>
    </row>
    <row r="40" spans="1:15">
      <c r="A40" s="1794">
        <f>LARGE('Data - Monthly Commodity Prices'!C$159:C$902,30)</f>
        <v>42917</v>
      </c>
      <c r="B40" s="1809">
        <f>SUMIF('Data - Monthly Commodity Prices'!$C$159:$C$902,$A40,'Data - Monthly Commodity Prices'!V$159:V$902)</f>
        <v>26062.485179978667</v>
      </c>
      <c r="C40" s="1333"/>
      <c r="D40" s="84"/>
      <c r="E40" s="900"/>
      <c r="F40" s="900"/>
      <c r="G40" s="900"/>
      <c r="H40" s="900"/>
      <c r="I40" s="900"/>
      <c r="J40" s="900"/>
      <c r="L40" s="900"/>
      <c r="M40" s="1244"/>
      <c r="N40" s="1535"/>
      <c r="O40" s="1244"/>
    </row>
    <row r="41" spans="1:15">
      <c r="A41" s="1794">
        <f>LARGE('Data - Monthly Commodity Prices'!C$159:C$902,29)</f>
        <v>42948</v>
      </c>
      <c r="B41" s="61">
        <f>SUMIF('Data - Monthly Commodity Prices'!$C$159:$C$902,$A41,'Data - Monthly Commodity Prices'!V$159:V$902)</f>
        <v>25606.338943652878</v>
      </c>
      <c r="C41" s="30"/>
      <c r="D41" s="84"/>
      <c r="E41" s="900"/>
      <c r="F41" s="900"/>
      <c r="G41" s="900"/>
      <c r="H41" s="900"/>
      <c r="I41" s="900"/>
      <c r="J41" s="900"/>
      <c r="L41" s="900"/>
      <c r="M41" s="1244"/>
      <c r="N41" s="1535"/>
      <c r="O41" s="1244"/>
    </row>
    <row r="42" spans="1:15">
      <c r="A42" s="1794">
        <f>LARGE('Data - Monthly Commodity Prices'!C$159:C$902,28)</f>
        <v>42979</v>
      </c>
      <c r="B42" s="1809">
        <f>SUMIF('Data - Monthly Commodity Prices'!$C$159:$C$902,$A42,'Data - Monthly Commodity Prices'!V$159:V$902)</f>
        <v>25933.760090656757</v>
      </c>
      <c r="C42" s="1333"/>
      <c r="D42" s="84"/>
      <c r="E42" s="900"/>
      <c r="F42" s="900"/>
      <c r="G42" s="900"/>
      <c r="H42" s="900"/>
      <c r="I42" s="900"/>
      <c r="J42" s="900"/>
      <c r="L42" s="900"/>
      <c r="M42" s="1244"/>
      <c r="N42" s="1535"/>
      <c r="O42" s="1244"/>
    </row>
    <row r="43" spans="1:15">
      <c r="A43" s="1794">
        <f>LARGE('Data - Monthly Commodity Prices'!C$159:C$902,27)</f>
        <v>43009</v>
      </c>
      <c r="B43" s="61">
        <f>SUMIF('Data - Monthly Commodity Prices'!$C$159:$C$902,$A43,'Data - Monthly Commodity Prices'!V$159:V$902)</f>
        <v>27463.954277295663</v>
      </c>
      <c r="C43" s="30"/>
      <c r="D43" s="84"/>
      <c r="E43" s="900"/>
      <c r="F43" s="900"/>
      <c r="G43" s="900"/>
      <c r="H43" s="900"/>
      <c r="I43" s="900"/>
      <c r="J43" s="900"/>
      <c r="L43" s="900"/>
      <c r="M43" s="1244"/>
      <c r="N43" s="1535"/>
      <c r="O43" s="1244"/>
    </row>
    <row r="44" spans="1:15">
      <c r="A44" s="1794">
        <f>LARGE('Data - Monthly Commodity Prices'!C$159:C$902,26)</f>
        <v>43040</v>
      </c>
      <c r="B44" s="1809">
        <f>SUMIF('Data - Monthly Commodity Prices'!$C$159:$C$902,$A44,'Data - Monthly Commodity Prices'!V$159:V$902)</f>
        <v>28421.623120454744</v>
      </c>
      <c r="C44" s="1333"/>
      <c r="D44" s="84"/>
      <c r="E44" s="900"/>
      <c r="F44" s="900"/>
      <c r="G44" s="900"/>
      <c r="H44" s="900"/>
      <c r="I44" s="900"/>
      <c r="J44" s="900"/>
      <c r="L44" s="900"/>
      <c r="M44" s="1244"/>
      <c r="N44" s="1535"/>
      <c r="O44" s="1244"/>
    </row>
    <row r="45" spans="1:15">
      <c r="A45" s="1794">
        <f>LARGE('Data - Monthly Commodity Prices'!C$159:C$902,25)</f>
        <v>43070</v>
      </c>
      <c r="B45" s="61">
        <f>SUMIF('Data - Monthly Commodity Prices'!$C$159:$C$902,$A45,'Data - Monthly Commodity Prices'!V$159:V$902)</f>
        <v>28479.538394366144</v>
      </c>
      <c r="C45" s="30"/>
      <c r="D45" s="84"/>
      <c r="E45" s="900"/>
      <c r="F45" s="900"/>
      <c r="G45" s="900"/>
      <c r="H45" s="900"/>
      <c r="I45" s="900"/>
      <c r="J45" s="900"/>
      <c r="L45" s="900"/>
      <c r="M45" s="1244"/>
      <c r="N45" s="1535"/>
      <c r="O45" s="1244"/>
    </row>
    <row r="46" spans="1:15">
      <c r="A46" s="1794">
        <f>LARGE('Data - Monthly Commodity Prices'!C$159:C$902,24)</f>
        <v>43101</v>
      </c>
      <c r="B46" s="1809">
        <f>SUMIF('Data - Monthly Commodity Prices'!$C$159:$C$902,$A46,'Data - Monthly Commodity Prices'!V$159:V$902)</f>
        <v>27702.474712042906</v>
      </c>
      <c r="C46" s="1333">
        <f>SUMIF('Data - Monthly Commodity Prices'!$C$159:$C$902,$A46,'Data - Monthly Commodity Prices'!W$159:W$902)</f>
        <v>1212.7686313937413</v>
      </c>
      <c r="D46" s="84"/>
      <c r="E46" s="900"/>
      <c r="F46" s="900"/>
      <c r="G46" s="900"/>
      <c r="H46" s="900"/>
      <c r="I46" s="900"/>
      <c r="J46" s="900"/>
      <c r="L46" s="900"/>
      <c r="M46" s="1244"/>
      <c r="N46" s="1535"/>
      <c r="O46" s="1244"/>
    </row>
    <row r="47" spans="1:15">
      <c r="A47" s="1794">
        <f>LARGE('Data - Monthly Commodity Prices'!C$159:C$902,23)</f>
        <v>43132</v>
      </c>
      <c r="B47" s="61">
        <f>SUMIF('Data - Monthly Commodity Prices'!$C$159:$C$902,$A47,'Data - Monthly Commodity Prices'!V$159:V$902)</f>
        <v>27812.026844128144</v>
      </c>
      <c r="C47" s="30">
        <f>SUMIF('Data - Monthly Commodity Prices'!$C$159:$C$902,$A47,'Data - Monthly Commodity Prices'!W$159:W$902)</f>
        <v>1226.487036095577</v>
      </c>
      <c r="D47" s="84"/>
      <c r="L47" s="900"/>
      <c r="M47" s="1244"/>
      <c r="N47" s="1535"/>
      <c r="O47" s="1244"/>
    </row>
    <row r="48" spans="1:15">
      <c r="A48" s="1794">
        <f>LARGE('Data - Monthly Commodity Prices'!C$159:C$902,22)</f>
        <v>43160</v>
      </c>
      <c r="B48" s="1809">
        <f>SUMIF('Data - Monthly Commodity Prices'!$C$159:$C$902,$A48,'Data - Monthly Commodity Prices'!V$159:V$902)</f>
        <v>28394.32199082875</v>
      </c>
      <c r="C48" s="1333">
        <f>SUMIF('Data - Monthly Commodity Prices'!$C$159:$C$902,$A48,'Data - Monthly Commodity Prices'!W$159:W$902)</f>
        <v>1243.7169738368345</v>
      </c>
      <c r="D48" s="84"/>
      <c r="L48" s="900"/>
      <c r="M48" s="1244"/>
      <c r="N48" s="1535"/>
      <c r="O48" s="1244"/>
    </row>
    <row r="49" spans="1:15">
      <c r="A49" s="1794">
        <f>LARGE('Data - Monthly Commodity Prices'!C$159:C$902,21)</f>
        <v>43191</v>
      </c>
      <c r="B49" s="61">
        <f>SUMIF('Data - Monthly Commodity Prices'!$C$159:$C$902,$A49,'Data - Monthly Commodity Prices'!V$159:V$902)</f>
        <v>29606.263301915478</v>
      </c>
      <c r="C49" s="30">
        <f>SUMIF('Data - Monthly Commodity Prices'!$C$159:$C$902,$A49,'Data - Monthly Commodity Prices'!W$159:W$902)</f>
        <v>1256.0197839385658</v>
      </c>
      <c r="D49" s="84"/>
      <c r="L49" s="900"/>
      <c r="M49" s="1244"/>
      <c r="N49" s="1535"/>
      <c r="O49" s="1244"/>
    </row>
    <row r="50" spans="1:15">
      <c r="A50" s="1794">
        <f>LARGE('Data - Monthly Commodity Prices'!C$159:C$902,20)</f>
        <v>43221</v>
      </c>
      <c r="B50" s="1809">
        <f>SUMIF('Data - Monthly Commodity Prices'!$C$159:$C$902,$A50,'Data - Monthly Commodity Prices'!V$159:V$902)</f>
        <v>28935.019304984304</v>
      </c>
      <c r="C50" s="1333">
        <f>SUMIF('Data - Monthly Commodity Prices'!$C$159:$C$902,$A50,'Data - Monthly Commodity Prices'!W$159:W$902)</f>
        <v>1253.9851222104144</v>
      </c>
      <c r="D50" s="84"/>
      <c r="L50" s="1535"/>
      <c r="M50" s="1244"/>
      <c r="N50" s="1535"/>
      <c r="O50" s="1244"/>
    </row>
    <row r="51" spans="1:15">
      <c r="A51" s="1794">
        <f>LARGE('Data - Monthly Commodity Prices'!C$159:C$902,19)</f>
        <v>43252</v>
      </c>
      <c r="B51" s="61">
        <f>SUMIF('Data - Monthly Commodity Prices'!$C$159:$C$902,$A51,'Data - Monthly Commodity Prices'!V$159:V$902)</f>
        <v>28071.768779445687</v>
      </c>
      <c r="C51" s="30">
        <f>SUMIF('Data - Monthly Commodity Prices'!$C$159:$C$902,$A51,'Data - Monthly Commodity Prices'!W$159:W$902)</f>
        <v>1223.801895608063</v>
      </c>
      <c r="D51" s="84"/>
      <c r="L51" s="1535"/>
      <c r="M51" s="1244"/>
      <c r="N51" s="1535"/>
      <c r="O51" s="1244"/>
    </row>
    <row r="52" spans="1:15">
      <c r="A52" s="1794">
        <f>LARGE('Data - Monthly Commodity Prices'!C$159:C$902,18)</f>
        <v>43282</v>
      </c>
      <c r="B52" s="1809">
        <f>SUMIF('Data - Monthly Commodity Prices'!$C$159:$C$902,$A52,'Data - Monthly Commodity Prices'!V$159:V$902)</f>
        <v>26068.921037309086</v>
      </c>
      <c r="C52" s="1333">
        <f>SUMIF('Data - Monthly Commodity Prices'!$C$159:$C$902,$A52,'Data - Monthly Commodity Prices'!W$159:W$902)</f>
        <v>1174.2741390952058</v>
      </c>
      <c r="D52" s="84"/>
      <c r="L52" s="1535"/>
      <c r="M52" s="1244"/>
      <c r="N52" s="1535"/>
      <c r="O52" s="1244"/>
    </row>
    <row r="53" spans="1:15">
      <c r="A53" s="1794">
        <f>LARGE('Data - Monthly Commodity Prices'!C$159:C$902,17)</f>
        <v>43313</v>
      </c>
      <c r="B53" s="61">
        <f>SUMIF('Data - Monthly Commodity Prices'!$C$159:$C$902,$A53,'Data - Monthly Commodity Prices'!V$159:V$902)</f>
        <v>22659.945202005336</v>
      </c>
      <c r="C53" s="30">
        <f>SUMIF('Data - Monthly Commodity Prices'!$C$159:$C$902,$A53,'Data - Monthly Commodity Prices'!W$159:W$902)</f>
        <v>1108.3265083265082</v>
      </c>
      <c r="D53" s="84"/>
      <c r="L53" s="1535"/>
      <c r="M53" s="1244"/>
      <c r="N53" s="1535"/>
      <c r="O53" s="1244"/>
    </row>
    <row r="54" spans="1:15">
      <c r="A54" s="1794">
        <f>LARGE('Data - Monthly Commodity Prices'!C$159:C$902,16)</f>
        <v>43344</v>
      </c>
      <c r="B54" s="1809">
        <f>SUMIF('Data - Monthly Commodity Prices'!$C$159:$C$902,$A54,'Data - Monthly Commodity Prices'!V$159:V$902)</f>
        <v>22784.394816094496</v>
      </c>
      <c r="C54" s="1333">
        <f>SUMIF('Data - Monthly Commodity Prices'!$C$159:$C$902,$A54,'Data - Monthly Commodity Prices'!W$159:W$902)</f>
        <v>1117.4347584675179</v>
      </c>
      <c r="D54" s="84"/>
      <c r="L54" s="1535"/>
      <c r="M54" s="1244"/>
      <c r="N54" s="1535"/>
      <c r="O54" s="1244"/>
    </row>
    <row r="55" spans="1:15">
      <c r="A55" s="1794">
        <f>LARGE('Data - Monthly Commodity Prices'!C$159:C$902,15)</f>
        <v>43374</v>
      </c>
      <c r="B55" s="61">
        <f>SUMIF('Data - Monthly Commodity Prices'!$C$159:$C$902,$A55,'Data - Monthly Commodity Prices'!V$159:V$902)</f>
        <v>22679.112287955384</v>
      </c>
      <c r="C55" s="30">
        <f>SUMIF('Data - Monthly Commodity Prices'!$C$159:$C$902,$A55,'Data - Monthly Commodity Prices'!W$159:W$902)</f>
        <v>1075.5984229794424</v>
      </c>
      <c r="D55" s="84"/>
      <c r="L55" s="1535"/>
      <c r="M55" s="1244"/>
      <c r="N55" s="1535"/>
      <c r="O55" s="1244"/>
    </row>
    <row r="56" spans="1:15">
      <c r="A56" s="1794">
        <f>LARGE('Data - Monthly Commodity Prices'!C$159:C$902,14)</f>
        <v>43405</v>
      </c>
      <c r="B56" s="1809">
        <f>SUMIF('Data - Monthly Commodity Prices'!$C$159:$C$902,$A56,'Data - Monthly Commodity Prices'!V$159:V$902)</f>
        <v>20695.663671067283</v>
      </c>
      <c r="C56" s="1333">
        <f>SUMIF('Data - Monthly Commodity Prices'!$C$159:$C$902,$A56,'Data - Monthly Commodity Prices'!W$159:W$902)</f>
        <v>1037.1361567112706</v>
      </c>
      <c r="D56" s="84"/>
      <c r="L56" s="1535"/>
      <c r="M56" s="1244"/>
      <c r="N56" s="1535"/>
      <c r="O56" s="1244"/>
    </row>
    <row r="57" spans="1:15">
      <c r="A57" s="1794">
        <f>LARGE('Data - Monthly Commodity Prices'!C$159:C$902,13)</f>
        <v>43435</v>
      </c>
      <c r="B57" s="61">
        <f>SUMIF('Data - Monthly Commodity Prices'!$C$159:$C$902,$A57,'Data - Monthly Commodity Prices'!V$159:V$902)</f>
        <v>18939.730514559233</v>
      </c>
      <c r="C57" s="30">
        <f>SUMIF('Data - Monthly Commodity Prices'!$C$159:$C$902,$A57,'Data - Monthly Commodity Prices'!W$159:W$902)</f>
        <v>1012.8527521654094</v>
      </c>
      <c r="D57" s="84"/>
      <c r="N57" s="1535"/>
      <c r="O57" s="1244"/>
    </row>
    <row r="58" spans="1:15">
      <c r="A58" s="1794">
        <f>LARGE('Data - Monthly Commodity Prices'!C$159:C$902,12)</f>
        <v>43466</v>
      </c>
      <c r="B58" s="1809">
        <f>SUMIF('Data - Monthly Commodity Prices'!$C$159:$C$902,$A58,'Data - Monthly Commodity Prices'!V$159:V$902)</f>
        <v>18656.295186666022</v>
      </c>
      <c r="C58" s="1333">
        <f>SUMIF('Data - Monthly Commodity Prices'!$C$159:$C$902,$A58,'Data - Monthly Commodity Prices'!W$159:W$902)</f>
        <v>986.82701720039154</v>
      </c>
      <c r="D58" s="84"/>
      <c r="N58" s="1535"/>
      <c r="O58" s="1244"/>
    </row>
    <row r="59" spans="1:15">
      <c r="A59" s="1794">
        <f>LARGE('Data - Monthly Commodity Prices'!C$159:C$902,11)</f>
        <v>43497</v>
      </c>
      <c r="B59" s="61">
        <f>SUMIF('Data - Monthly Commodity Prices'!$C$159:$C$902,$A59,'Data - Monthly Commodity Prices'!V$159:V$902)</f>
        <v>18524.309259695921</v>
      </c>
      <c r="C59" s="30">
        <f>SUMIF('Data - Monthly Commodity Prices'!$C$159:$C$902,$A59,'Data - Monthly Commodity Prices'!W$159:W$902)</f>
        <v>967.1196413561222</v>
      </c>
      <c r="D59" s="84"/>
      <c r="N59" s="1535"/>
      <c r="O59" s="1244"/>
    </row>
    <row r="60" spans="1:15">
      <c r="A60" s="1794">
        <f>LARGE('Data - Monthly Commodity Prices'!C$159:C$902,10)</f>
        <v>43525</v>
      </c>
      <c r="B60" s="1809">
        <f>SUMIF('Data - Monthly Commodity Prices'!$C$159:$C$902,$A60,'Data - Monthly Commodity Prices'!V$159:V$902)</f>
        <v>17581.147038310763</v>
      </c>
      <c r="C60" s="1333">
        <f>SUMIF('Data - Monthly Commodity Prices'!$C$159:$C$902,$A60,'Data - Monthly Commodity Prices'!W$159:W$902)</f>
        <v>973.16108993364378</v>
      </c>
      <c r="D60" s="84"/>
      <c r="N60" s="1535"/>
      <c r="O60" s="1244"/>
    </row>
    <row r="61" spans="1:15">
      <c r="A61" s="1794">
        <f>LARGE('Data - Monthly Commodity Prices'!C$159:C$902,9)</f>
        <v>43556</v>
      </c>
      <c r="B61" s="61">
        <f>SUMIF('Data - Monthly Commodity Prices'!$C$159:$C$902,$A61,'Data - Monthly Commodity Prices'!V$159:V$902)</f>
        <v>17407.996343169332</v>
      </c>
      <c r="C61" s="30">
        <f>SUMIF('Data - Monthly Commodity Prices'!$C$159:$C$902,$A61,'Data - Monthly Commodity Prices'!W$159:W$902)</f>
        <v>947.82058492688407</v>
      </c>
      <c r="D61" s="84"/>
      <c r="N61" s="1535"/>
      <c r="O61" s="1244"/>
    </row>
    <row r="62" spans="1:15">
      <c r="A62" s="1794">
        <f>LARGE('Data - Monthly Commodity Prices'!C$159:C$902,8)</f>
        <v>43586</v>
      </c>
      <c r="B62" s="1809">
        <f>SUMIF('Data - Monthly Commodity Prices'!$C$159:$C$902,$A62,'Data - Monthly Commodity Prices'!V$159:V$902)</f>
        <v>16905.788691794187</v>
      </c>
      <c r="C62" s="1333">
        <f>SUMIF('Data - Monthly Commodity Prices'!$C$159:$C$902,$A62,'Data - Monthly Commodity Prices'!W$159:W$902)</f>
        <v>924.53917050691246</v>
      </c>
      <c r="D62" s="84"/>
      <c r="N62" s="1535"/>
      <c r="O62" s="1244"/>
    </row>
    <row r="63" spans="1:15">
      <c r="A63" s="1794">
        <f>LARGE('Data - Monthly Commodity Prices'!C$159:C$902,7)</f>
        <v>43617</v>
      </c>
      <c r="B63" s="61">
        <f>SUMIF('Data - Monthly Commodity Prices'!$C$159:$C$902,$A63,'Data - Monthly Commodity Prices'!V$159:V$902)</f>
        <v>16245.717547572425</v>
      </c>
      <c r="C63" s="30">
        <f>SUMIF('Data - Monthly Commodity Prices'!$C$159:$C$902,$A63,'Data - Monthly Commodity Prices'!W$159:W$902)</f>
        <v>895.37996545768567</v>
      </c>
      <c r="D63" s="84"/>
      <c r="N63" s="1535"/>
      <c r="O63" s="1244"/>
    </row>
    <row r="64" spans="1:15">
      <c r="A64" s="1794">
        <f>LARGE('Data - Monthly Commodity Prices'!C$159:C$902,6)</f>
        <v>43647</v>
      </c>
      <c r="B64" s="1809">
        <f>SUMIF('Data - Monthly Commodity Prices'!$C$159:$C$902,$A64,'Data - Monthly Commodity Prices'!V$159:V$902)</f>
        <v>15191.188206064531</v>
      </c>
      <c r="C64" s="1333">
        <f>SUMIF('Data - Monthly Commodity Prices'!$C$159:$C$902,$A64,'Data - Monthly Commodity Prices'!W$159:W$902)</f>
        <v>878.85083822897275</v>
      </c>
      <c r="D64" s="84"/>
      <c r="N64" s="1535"/>
      <c r="O64" s="1244"/>
    </row>
    <row r="65" spans="1:15">
      <c r="A65" s="1794">
        <f>LARGE('Data - Monthly Commodity Prices'!C$159:C$902,5)</f>
        <v>43678</v>
      </c>
      <c r="B65" s="61">
        <f>SUMIF('Data - Monthly Commodity Prices'!$C$159:$C$902,$A65,'Data - Monthly Commodity Prices'!V$159:V$902)</f>
        <v>14305.463591486414</v>
      </c>
      <c r="C65" s="30">
        <f>SUMIF('Data - Monthly Commodity Prices'!$C$159:$C$902,$A65,'Data - Monthly Commodity Prices'!W$159:W$902)</f>
        <v>882.29643859908379</v>
      </c>
      <c r="D65" s="84"/>
      <c r="N65" s="1535"/>
      <c r="O65" s="1244"/>
    </row>
    <row r="66" spans="1:15">
      <c r="A66" s="1794">
        <f>LARGE('Data - Monthly Commodity Prices'!C$159:C$902,4)</f>
        <v>43709</v>
      </c>
      <c r="B66" s="1809">
        <f>SUMIF('Data - Monthly Commodity Prices'!$C$159:$C$902,$A66,'Data - Monthly Commodity Prices'!V$159:V$902)</f>
        <v>12876.336263444689</v>
      </c>
      <c r="C66" s="1333">
        <f>SUMIF('Data - Monthly Commodity Prices'!$C$159:$C$902,$A66,'Data - Monthly Commodity Prices'!W$159:W$902)</f>
        <v>836.44437973209097</v>
      </c>
      <c r="D66" s="84"/>
      <c r="N66" s="1535"/>
      <c r="O66" s="1244"/>
    </row>
    <row r="67" spans="1:15">
      <c r="A67" s="1794">
        <f>LARGE('Data - Monthly Commodity Prices'!C$159:C$902,3)</f>
        <v>43739</v>
      </c>
      <c r="B67" s="61">
        <f>SUMIF('Data - Monthly Commodity Prices'!$C$159:$C$902,$A67,'Data - Monthly Commodity Prices'!V$159:V$902)</f>
        <v>12374.576592392568</v>
      </c>
      <c r="C67" s="30">
        <f>SUMIF('Data - Monthly Commodity Prices'!$C$159:$C$902,$A67,'Data - Monthly Commodity Prices'!W$159:W$902)</f>
        <v>789.70285378052381</v>
      </c>
      <c r="D67" s="84"/>
      <c r="N67" s="1535"/>
      <c r="O67" s="1244"/>
    </row>
    <row r="68" spans="1:15">
      <c r="A68" s="1794">
        <f>LARGE('Data - Monthly Commodity Prices'!C$159:C$902,2)</f>
        <v>43770</v>
      </c>
      <c r="B68" s="1809">
        <f>SUMIF('Data - Monthly Commodity Prices'!$C$159:$C$902,$A68,'Data - Monthly Commodity Prices'!V$159:V$902)</f>
        <v>11560.590007240267</v>
      </c>
      <c r="C68" s="1333">
        <f>SUMIF('Data - Monthly Commodity Prices'!$C$159:$C$902,$A68,'Data - Monthly Commodity Prices'!W$159:W$902)</f>
        <v>773.30794022853797</v>
      </c>
      <c r="D68" s="84"/>
      <c r="N68" s="1535"/>
      <c r="O68" s="1244"/>
    </row>
    <row r="69" spans="1:15" ht="15.75" thickBot="1">
      <c r="A69" s="1795">
        <f>LARGE('Data - Monthly Commodity Prices'!C$159:C$902,1)</f>
        <v>43800</v>
      </c>
      <c r="B69" s="62">
        <f>SUMIF('Data - Monthly Commodity Prices'!$C$159:$C$902,$A69,'Data - Monthly Commodity Prices'!V$159:V$902)</f>
        <v>10365.987243195748</v>
      </c>
      <c r="C69" s="29">
        <f>SUMIF('Data - Monthly Commodity Prices'!$C$159:$C$902,$A69,'Data - Monthly Commodity Prices'!W$159:W$902)</f>
        <v>731.73174626215712</v>
      </c>
      <c r="D69" s="84"/>
      <c r="N69" s="1535"/>
      <c r="O69" s="1244"/>
    </row>
  </sheetData>
  <mergeCells count="7">
    <mergeCell ref="A6:C6"/>
    <mergeCell ref="A7:C7"/>
    <mergeCell ref="G25:J25"/>
    <mergeCell ref="G23:I23"/>
    <mergeCell ref="G24:I24"/>
    <mergeCell ref="G6:I6"/>
    <mergeCell ref="G7:I7"/>
  </mergeCells>
  <dataValidations count="1">
    <dataValidation type="list" allowBlank="1" showInputMessage="1" showErrorMessage="1" promptTitle="Select a Period:" prompt="Select Financial or Calendar years." sqref="G24 L27">
      <formula1>$AB$1:$AB$2</formula1>
    </dataValidation>
  </dataValidation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39997558519241921"/>
  </sheetPr>
  <dimension ref="A1:AJ826"/>
  <sheetViews>
    <sheetView workbookViewId="0"/>
  </sheetViews>
  <sheetFormatPr defaultRowHeight="15"/>
  <cols>
    <col min="1" max="1" width="7.85546875" style="86" bestFit="1" customWidth="1"/>
    <col min="2" max="2" width="13.140625" style="86" bestFit="1" customWidth="1"/>
    <col min="3" max="3" width="15.42578125" style="86" customWidth="1"/>
    <col min="4" max="5" width="11.5703125" style="98" hidden="1" customWidth="1"/>
    <col min="6" max="6" width="14.85546875" style="86" bestFit="1" customWidth="1"/>
    <col min="7" max="13" width="9.140625" style="86"/>
    <col min="14" max="15" width="0" style="86" hidden="1" customWidth="1"/>
    <col min="16" max="16" width="3" style="86" customWidth="1"/>
    <col min="17" max="19" width="20.28515625" style="86" customWidth="1"/>
    <col min="20" max="34" width="9.140625" style="86"/>
    <col min="35" max="35" width="11.28515625" style="86" bestFit="1" customWidth="1"/>
    <col min="36" max="16384" width="9.140625" style="86"/>
  </cols>
  <sheetData>
    <row r="1" spans="1:19">
      <c r="A1" s="350" t="s">
        <v>429</v>
      </c>
    </row>
    <row r="2" spans="1:19">
      <c r="A2" s="350" t="s">
        <v>446</v>
      </c>
    </row>
    <row r="5" spans="1:19">
      <c r="A5" s="1947" t="s">
        <v>538</v>
      </c>
      <c r="B5" s="1947"/>
      <c r="C5" s="1947"/>
      <c r="D5" s="305"/>
      <c r="E5" s="305"/>
    </row>
    <row r="6" spans="1:19" ht="15.75" thickBot="1">
      <c r="A6" s="1992" t="s">
        <v>656</v>
      </c>
      <c r="B6" s="1992"/>
      <c r="C6" s="1992"/>
      <c r="D6" s="306"/>
      <c r="E6" s="306"/>
    </row>
    <row r="7" spans="1:19" ht="15.75" thickBot="1">
      <c r="A7" s="96" t="s">
        <v>6</v>
      </c>
      <c r="B7" s="92" t="s">
        <v>56</v>
      </c>
      <c r="C7" s="94" t="s">
        <v>804</v>
      </c>
      <c r="D7" s="297"/>
      <c r="E7" s="297"/>
      <c r="Q7" s="1972" t="s">
        <v>654</v>
      </c>
      <c r="R7" s="1972"/>
      <c r="S7" s="1972"/>
    </row>
    <row r="8" spans="1:19" ht="15.75" thickBot="1">
      <c r="A8" s="93">
        <v>36220</v>
      </c>
      <c r="B8" s="35">
        <v>607.9707503030304</v>
      </c>
      <c r="C8" s="73">
        <v>182.762</v>
      </c>
      <c r="D8" s="300">
        <f t="shared" ref="D8:D71" si="0">YEAR(A8)</f>
        <v>1999</v>
      </c>
      <c r="E8" s="302" t="str">
        <f>IF(MONTH(A8)=3,"1",IF(MONTH(A8)=6,"2",IF(MONTH(A8)=9,"3","4")))</f>
        <v>1</v>
      </c>
      <c r="Q8" s="1971" t="s">
        <v>655</v>
      </c>
      <c r="R8" s="1971"/>
      <c r="S8" s="1971"/>
    </row>
    <row r="9" spans="1:19" ht="15.75" thickBot="1">
      <c r="A9" s="93">
        <v>36312</v>
      </c>
      <c r="B9" s="517">
        <v>615.53115151515146</v>
      </c>
      <c r="C9" s="88">
        <v>166.893</v>
      </c>
      <c r="D9" s="300">
        <f t="shared" si="0"/>
        <v>1999</v>
      </c>
      <c r="E9" s="302" t="str">
        <f t="shared" ref="E9:E72" si="1">IF(MONTH(A9)=3,"1",IF(MONTH(A9)=6,"2",IF(MONTH(A9)=9,"3","4")))</f>
        <v>2</v>
      </c>
      <c r="Q9" s="438" t="s">
        <v>6</v>
      </c>
      <c r="R9" s="439" t="s">
        <v>56</v>
      </c>
      <c r="S9" s="440" t="s">
        <v>804</v>
      </c>
    </row>
    <row r="10" spans="1:19">
      <c r="A10" s="93">
        <v>36404</v>
      </c>
      <c r="B10" s="35">
        <v>504.66172727272732</v>
      </c>
      <c r="C10" s="73">
        <v>156.68299999999999</v>
      </c>
      <c r="D10" s="300">
        <f t="shared" si="0"/>
        <v>1999</v>
      </c>
      <c r="E10" s="302" t="str">
        <f t="shared" si="1"/>
        <v>3</v>
      </c>
      <c r="Q10" s="1804">
        <f>LARGE(A$8:A$750,10)</f>
        <v>42979</v>
      </c>
      <c r="R10" s="1805">
        <f t="shared" ref="R10:R19" si="2">SUMIF($A$8:$A$738,$Q10,B$8:B$750)</f>
        <v>277.25769000000003</v>
      </c>
      <c r="S10" s="1806">
        <f t="shared" ref="S10:S19" si="3">SUMIF($A$8:$A$738,$Q10,C$8:C$750)</f>
        <v>138.57047057801478</v>
      </c>
    </row>
    <row r="11" spans="1:19">
      <c r="A11" s="93">
        <v>36495</v>
      </c>
      <c r="B11" s="517">
        <v>595.74552818181803</v>
      </c>
      <c r="C11" s="88">
        <v>182.15100000000001</v>
      </c>
      <c r="D11" s="300">
        <f t="shared" si="0"/>
        <v>1999</v>
      </c>
      <c r="E11" s="302" t="str">
        <f t="shared" si="1"/>
        <v>4</v>
      </c>
      <c r="Q11" s="295">
        <f>LARGE(A$8:A$750,9)</f>
        <v>43070</v>
      </c>
      <c r="R11" s="521">
        <f t="shared" si="2"/>
        <v>311.64514999999994</v>
      </c>
      <c r="S11" s="511">
        <f t="shared" si="3"/>
        <v>146.37994829323446</v>
      </c>
    </row>
    <row r="12" spans="1:19">
      <c r="A12" s="93">
        <v>36586</v>
      </c>
      <c r="B12" s="35">
        <v>512.03651545454545</v>
      </c>
      <c r="C12" s="73">
        <v>174.09700000000001</v>
      </c>
      <c r="D12" s="300">
        <f t="shared" si="0"/>
        <v>2000</v>
      </c>
      <c r="E12" s="302" t="str">
        <f t="shared" si="1"/>
        <v>1</v>
      </c>
      <c r="Q12" s="295">
        <f>LARGE(A$8:A$750,8)</f>
        <v>43160</v>
      </c>
      <c r="R12" s="520">
        <f t="shared" si="2"/>
        <v>288.85266000000001</v>
      </c>
      <c r="S12" s="1807">
        <f t="shared" si="3"/>
        <v>127.05420793713439</v>
      </c>
    </row>
    <row r="13" spans="1:19">
      <c r="A13" s="93">
        <v>36678</v>
      </c>
      <c r="B13" s="517">
        <v>692.56772727272732</v>
      </c>
      <c r="C13" s="88">
        <v>218.27099999999999</v>
      </c>
      <c r="D13" s="300">
        <f t="shared" si="0"/>
        <v>2000</v>
      </c>
      <c r="E13" s="302" t="str">
        <f t="shared" si="1"/>
        <v>2</v>
      </c>
      <c r="Q13" s="295">
        <f>LARGE(A$8:A$750,7)</f>
        <v>43252</v>
      </c>
      <c r="R13" s="521">
        <f t="shared" si="2"/>
        <v>240.52067999999997</v>
      </c>
      <c r="S13" s="511">
        <f t="shared" si="3"/>
        <v>138.38763106901277</v>
      </c>
    </row>
    <row r="14" spans="1:19">
      <c r="A14" s="93">
        <v>36770</v>
      </c>
      <c r="B14" s="35">
        <v>694.32842424242426</v>
      </c>
      <c r="C14" s="73">
        <v>224.471</v>
      </c>
      <c r="D14" s="300">
        <f t="shared" si="0"/>
        <v>2000</v>
      </c>
      <c r="E14" s="302" t="str">
        <f t="shared" si="1"/>
        <v>3</v>
      </c>
      <c r="Q14" s="295">
        <f>LARGE(A$8:A$750,6)</f>
        <v>43344</v>
      </c>
      <c r="R14" s="520">
        <f t="shared" si="2"/>
        <v>322.13924600000007</v>
      </c>
      <c r="S14" s="1807">
        <f t="shared" si="3"/>
        <v>193.86647576907268</v>
      </c>
    </row>
    <row r="15" spans="1:19">
      <c r="A15" s="93">
        <v>36861</v>
      </c>
      <c r="B15" s="517">
        <v>620.45824242424248</v>
      </c>
      <c r="C15" s="88">
        <v>244.02</v>
      </c>
      <c r="D15" s="300">
        <f t="shared" si="0"/>
        <v>2000</v>
      </c>
      <c r="E15" s="302" t="str">
        <f t="shared" si="1"/>
        <v>4</v>
      </c>
      <c r="Q15" s="295">
        <f>LARGE(A$8:A$750,5)</f>
        <v>43435</v>
      </c>
      <c r="R15" s="521">
        <f t="shared" si="2"/>
        <v>291.40313800000001</v>
      </c>
      <c r="S15" s="511">
        <f t="shared" si="3"/>
        <v>168.78947262163106</v>
      </c>
    </row>
    <row r="16" spans="1:19">
      <c r="A16" s="93">
        <v>36951</v>
      </c>
      <c r="B16" s="35">
        <v>481.92836363636366</v>
      </c>
      <c r="C16" s="73">
        <v>207.05799999999999</v>
      </c>
      <c r="D16" s="300">
        <f t="shared" si="0"/>
        <v>2001</v>
      </c>
      <c r="E16" s="302" t="str">
        <f t="shared" si="1"/>
        <v>1</v>
      </c>
      <c r="Q16" s="295">
        <f>LARGE(A$8:A$750,4)</f>
        <v>43525</v>
      </c>
      <c r="R16" s="520">
        <f t="shared" si="2"/>
        <v>245.62914000000001</v>
      </c>
      <c r="S16" s="1807">
        <f t="shared" si="3"/>
        <v>154.47429855541384</v>
      </c>
    </row>
    <row r="17" spans="1:19">
      <c r="A17" s="93">
        <v>37043</v>
      </c>
      <c r="B17" s="517">
        <v>557.10702909090901</v>
      </c>
      <c r="C17" s="88">
        <v>241.45699999999999</v>
      </c>
      <c r="D17" s="300">
        <f t="shared" si="0"/>
        <v>2001</v>
      </c>
      <c r="E17" s="302" t="str">
        <f t="shared" si="1"/>
        <v>2</v>
      </c>
      <c r="Q17" s="295">
        <f>LARGE(A$8:A$750,3)</f>
        <v>43617</v>
      </c>
      <c r="R17" s="521">
        <f t="shared" si="2"/>
        <v>320.50612999999998</v>
      </c>
      <c r="S17" s="511">
        <f t="shared" si="3"/>
        <v>186.05293449591397</v>
      </c>
    </row>
    <row r="18" spans="1:19">
      <c r="A18" s="93">
        <v>37135</v>
      </c>
      <c r="B18" s="35">
        <v>532.71918181818194</v>
      </c>
      <c r="C18" s="73">
        <v>229.02699999999999</v>
      </c>
      <c r="D18" s="300">
        <f t="shared" si="0"/>
        <v>2001</v>
      </c>
      <c r="E18" s="302" t="str">
        <f t="shared" si="1"/>
        <v>3</v>
      </c>
      <c r="Q18" s="295">
        <f>LARGE(A$8:A$750,2)</f>
        <v>43709</v>
      </c>
      <c r="R18" s="520">
        <f t="shared" si="2"/>
        <v>313.91525000000001</v>
      </c>
      <c r="S18" s="1807">
        <f t="shared" si="3"/>
        <v>159.60179763440198</v>
      </c>
    </row>
    <row r="19" spans="1:19" ht="15.75" thickBot="1">
      <c r="A19" s="93">
        <v>37226</v>
      </c>
      <c r="B19" s="517">
        <v>509.69533333333339</v>
      </c>
      <c r="C19" s="88">
        <v>231.68299999999999</v>
      </c>
      <c r="D19" s="300">
        <f t="shared" si="0"/>
        <v>2001</v>
      </c>
      <c r="E19" s="302" t="str">
        <f t="shared" si="1"/>
        <v>4</v>
      </c>
      <c r="Q19" s="293">
        <f>LARGE(A$8:A$750,1)</f>
        <v>43800</v>
      </c>
      <c r="R19" s="1690">
        <f t="shared" si="2"/>
        <v>321.00593999999995</v>
      </c>
      <c r="S19" s="1703">
        <f t="shared" si="3"/>
        <v>168.55028157767819</v>
      </c>
    </row>
    <row r="20" spans="1:19">
      <c r="A20" s="93">
        <v>37316</v>
      </c>
      <c r="B20" s="35">
        <v>492.80342424242423</v>
      </c>
      <c r="C20" s="73">
        <v>188.23400000000001</v>
      </c>
      <c r="D20" s="300">
        <f t="shared" si="0"/>
        <v>2002</v>
      </c>
      <c r="E20" s="302" t="str">
        <f t="shared" si="1"/>
        <v>1</v>
      </c>
      <c r="Q20" s="3"/>
    </row>
    <row r="21" spans="1:19">
      <c r="A21" s="93">
        <v>37408</v>
      </c>
      <c r="B21" s="517">
        <v>430.57439393939393</v>
      </c>
      <c r="C21" s="88">
        <v>201.25899999999999</v>
      </c>
      <c r="D21" s="300">
        <f t="shared" si="0"/>
        <v>2002</v>
      </c>
      <c r="E21" s="302" t="str">
        <f t="shared" si="1"/>
        <v>2</v>
      </c>
      <c r="Q21" s="3"/>
    </row>
    <row r="22" spans="1:19">
      <c r="A22" s="93">
        <v>37500</v>
      </c>
      <c r="B22" s="35">
        <v>552.94709090909089</v>
      </c>
      <c r="C22" s="73">
        <v>219.47300000000001</v>
      </c>
      <c r="D22" s="300">
        <f t="shared" si="0"/>
        <v>2002</v>
      </c>
      <c r="E22" s="302" t="str">
        <f t="shared" si="1"/>
        <v>3</v>
      </c>
      <c r="Q22" s="3"/>
    </row>
    <row r="23" spans="1:19">
      <c r="A23" s="93">
        <v>37591</v>
      </c>
      <c r="B23" s="517">
        <v>572.48742424242437</v>
      </c>
      <c r="C23" s="88">
        <v>257.88600000000002</v>
      </c>
      <c r="D23" s="300">
        <f t="shared" si="0"/>
        <v>2002</v>
      </c>
      <c r="E23" s="302" t="str">
        <f t="shared" si="1"/>
        <v>4</v>
      </c>
      <c r="Q23" s="3"/>
    </row>
    <row r="24" spans="1:19">
      <c r="A24" s="93">
        <v>37681</v>
      </c>
      <c r="B24" s="35">
        <v>415.87169696969704</v>
      </c>
      <c r="C24" s="73">
        <v>179.92400000000001</v>
      </c>
      <c r="D24" s="300">
        <f t="shared" si="0"/>
        <v>2003</v>
      </c>
      <c r="E24" s="302" t="str">
        <f t="shared" si="1"/>
        <v>1</v>
      </c>
      <c r="Q24" s="3"/>
    </row>
    <row r="25" spans="1:19">
      <c r="A25" s="93">
        <v>37773</v>
      </c>
      <c r="B25" s="517">
        <v>600.56672727272735</v>
      </c>
      <c r="C25" s="88">
        <v>201.46199999999999</v>
      </c>
      <c r="D25" s="300">
        <f t="shared" si="0"/>
        <v>2003</v>
      </c>
      <c r="E25" s="302" t="str">
        <f t="shared" si="1"/>
        <v>2</v>
      </c>
      <c r="Q25" s="3"/>
    </row>
    <row r="26" spans="1:19">
      <c r="A26" s="93">
        <v>37865</v>
      </c>
      <c r="B26" s="501">
        <v>561.44992999999999</v>
      </c>
      <c r="C26" s="292">
        <v>183.99054675333332</v>
      </c>
      <c r="D26" s="300">
        <f t="shared" si="0"/>
        <v>2003</v>
      </c>
      <c r="E26" s="302" t="str">
        <f t="shared" si="1"/>
        <v>3</v>
      </c>
      <c r="Q26" s="3"/>
    </row>
    <row r="27" spans="1:19">
      <c r="A27" s="93">
        <v>37956</v>
      </c>
      <c r="B27" s="518">
        <v>709.22357</v>
      </c>
      <c r="C27" s="294">
        <v>224.472241149697</v>
      </c>
      <c r="D27" s="300">
        <f t="shared" si="0"/>
        <v>2003</v>
      </c>
      <c r="E27" s="302" t="str">
        <f t="shared" si="1"/>
        <v>4</v>
      </c>
    </row>
    <row r="28" spans="1:19">
      <c r="A28" s="93">
        <v>38047</v>
      </c>
      <c r="B28" s="501">
        <v>598.08763999999985</v>
      </c>
      <c r="C28" s="292">
        <v>167.37318637727273</v>
      </c>
      <c r="D28" s="300">
        <f t="shared" si="0"/>
        <v>2004</v>
      </c>
      <c r="E28" s="302" t="str">
        <f t="shared" si="1"/>
        <v>1</v>
      </c>
    </row>
    <row r="29" spans="1:19">
      <c r="A29" s="93">
        <v>38139</v>
      </c>
      <c r="B29" s="518">
        <v>667.86923000000002</v>
      </c>
      <c r="C29" s="294">
        <v>201.70191933121214</v>
      </c>
      <c r="D29" s="300">
        <f t="shared" si="0"/>
        <v>2004</v>
      </c>
      <c r="E29" s="302" t="str">
        <f t="shared" si="1"/>
        <v>2</v>
      </c>
    </row>
    <row r="30" spans="1:19">
      <c r="A30" s="93">
        <v>38231</v>
      </c>
      <c r="B30" s="501">
        <v>598.51212999999996</v>
      </c>
      <c r="C30" s="292">
        <v>185.35964952</v>
      </c>
      <c r="D30" s="300">
        <f t="shared" si="0"/>
        <v>2004</v>
      </c>
      <c r="E30" s="302" t="str">
        <f t="shared" si="1"/>
        <v>3</v>
      </c>
    </row>
    <row r="31" spans="1:19">
      <c r="A31" s="93">
        <v>38322</v>
      </c>
      <c r="B31" s="518">
        <v>690.77266999999995</v>
      </c>
      <c r="C31" s="294">
        <v>210.47602398363637</v>
      </c>
      <c r="D31" s="300">
        <f t="shared" si="0"/>
        <v>2004</v>
      </c>
      <c r="E31" s="302" t="str">
        <f t="shared" si="1"/>
        <v>4</v>
      </c>
    </row>
    <row r="32" spans="1:19" ht="15.75" thickBot="1">
      <c r="A32" s="93">
        <v>38412</v>
      </c>
      <c r="B32" s="501">
        <v>577.42081000000007</v>
      </c>
      <c r="C32" s="292">
        <v>163.20437653696968</v>
      </c>
      <c r="D32" s="300">
        <f t="shared" si="0"/>
        <v>2005</v>
      </c>
      <c r="E32" s="302" t="str">
        <f t="shared" si="1"/>
        <v>1</v>
      </c>
    </row>
    <row r="33" spans="1:36" ht="15.75" thickBot="1">
      <c r="A33" s="93">
        <v>38504</v>
      </c>
      <c r="B33" s="518">
        <v>733.49322999999993</v>
      </c>
      <c r="C33" s="294">
        <v>249.406867639697</v>
      </c>
      <c r="D33" s="300">
        <f t="shared" si="0"/>
        <v>2005</v>
      </c>
      <c r="E33" s="302" t="str">
        <f t="shared" si="1"/>
        <v>2</v>
      </c>
      <c r="Q33" s="1000" t="s">
        <v>447</v>
      </c>
      <c r="R33" s="2018" t="s">
        <v>429</v>
      </c>
      <c r="S33" s="2019"/>
    </row>
    <row r="34" spans="1:36" ht="15.75" thickBot="1">
      <c r="A34" s="93">
        <v>38596</v>
      </c>
      <c r="B34" s="501">
        <v>638.90314000000001</v>
      </c>
      <c r="C34" s="292">
        <v>206.5326046829091</v>
      </c>
      <c r="D34" s="300">
        <f t="shared" si="0"/>
        <v>2005</v>
      </c>
      <c r="E34" s="302" t="str">
        <f t="shared" si="1"/>
        <v>3</v>
      </c>
      <c r="Q34" s="1958" t="str">
        <f>CONCATENATE(A5," Quantity and Value by ",R33)</f>
        <v>Mineral Sands Quantity and Value by Calendar Year</v>
      </c>
      <c r="R34" s="1959"/>
      <c r="S34" s="1960"/>
    </row>
    <row r="35" spans="1:36" ht="15.75" thickBot="1">
      <c r="A35" s="93">
        <v>38687</v>
      </c>
      <c r="B35" s="518">
        <v>685.25354000000004</v>
      </c>
      <c r="C35" s="294">
        <v>227.64974277981818</v>
      </c>
      <c r="D35" s="300">
        <f t="shared" si="0"/>
        <v>2005</v>
      </c>
      <c r="E35" s="302" t="str">
        <f t="shared" si="1"/>
        <v>4</v>
      </c>
      <c r="Q35" s="376" t="str">
        <f>R33</f>
        <v>Calendar Year</v>
      </c>
      <c r="R35" s="377" t="str">
        <f>B7</f>
        <v>Quantity (Kt)</v>
      </c>
      <c r="S35" s="378" t="str">
        <f>C7</f>
        <v>Value ($ Million)</v>
      </c>
    </row>
    <row r="36" spans="1:36">
      <c r="A36" s="93">
        <v>38777</v>
      </c>
      <c r="B36" s="501">
        <v>460.74187000000001</v>
      </c>
      <c r="C36" s="292">
        <v>187.91728033527272</v>
      </c>
      <c r="D36" s="300">
        <f t="shared" si="0"/>
        <v>2006</v>
      </c>
      <c r="E36" s="302" t="str">
        <f t="shared" si="1"/>
        <v>1</v>
      </c>
      <c r="Q36" s="379">
        <f>IF($R$33="Calendar Year",YEAR(MIN($A$8:$A$200)),CONCATENATE(YEAR(MIN($A$8:$A$200)),"-",((YEAR(MIN($A$8:$A$200))+1))))</f>
        <v>1999</v>
      </c>
      <c r="R36" s="1429">
        <f>IF($R$33="Calendar Year",SUMIF($D$8:$D$200,$Q36,$B$8:$B$200),SUMIFS($B$8:$B$200,$D$8:$D$200,LEFT($Q36,4),$E$8:$E$200,3)+SUMIFS($B$8:$B$200,$D$8:$D$200,LEFT($Q36,4),$E$8:$E$200,4)+SUMIFS($B$8:$B$200,$D$8:$D$200,LEFT($Q36,4)+1,$E$8:$E$200,1)+SUMIFS($B$8:$B$200,$D$8:$D$200,LEFT($Q36,4)+1,$E$8:$E$200,2))</f>
        <v>2323.9091572727275</v>
      </c>
      <c r="S36" s="1418">
        <f>IF($R$33="Calendar Year",SUMIF($D$8:$D$200,$Q36,$C$8:$C$200),SUMIFS($C$8:$C$200,$D$8:$D$200,LEFT($Q36,4),$E$8:$E$200,3)+SUMIFS($C$8:$C$200,$D$8:$D$200,LEFT($Q36,4),$E$8:$E$200,4)+SUMIFS($C$8:$C$200,$D$8:$D$200,LEFT($Q36,4)+1,$E$8:$E$200,1)+SUMIFS($C$8:$C$200,$D$8:$D$200,LEFT($Q36,4)+1,$E$8:$E$200,2))</f>
        <v>688.48900000000003</v>
      </c>
    </row>
    <row r="37" spans="1:36">
      <c r="A37" s="93">
        <v>38869</v>
      </c>
      <c r="B37" s="518">
        <v>662.94859899999994</v>
      </c>
      <c r="C37" s="294">
        <v>213.5316214871273</v>
      </c>
      <c r="D37" s="300">
        <f t="shared" si="0"/>
        <v>2006</v>
      </c>
      <c r="E37" s="302" t="str">
        <f t="shared" si="1"/>
        <v>2</v>
      </c>
      <c r="Q37" s="380">
        <f>IFERROR(IF(YEAR(MAX('Data - Monthly Commodity Prices'!$C$9:$C4984))=VALUE(RIGHT(Q36,4)),"",IF($R$33="Calendar Year",Q36+1,CONCATENATE(LEFT(Q36,4)+1,"-",RIGHT(Q36,4)+1))),"")</f>
        <v>2000</v>
      </c>
      <c r="R37" s="525">
        <f>IF(Q37="","",IF($R$33="Calendar Year",SUMIF($D$8:$D$200,$Q37,$B$8:$B$200),SUMIFS($B$8:$B$200,$D$8:$D$200,LEFT($Q37,4),$E$8:$E$200,3)+SUMIFS($B$8:$B$200,$D$8:$D$200,LEFT($Q37,4),$E$8:$E$200,4)+SUMIFS($B$8:$B$200,$D$8:$D$200,LEFT($Q37,4)+1,$E$8:$E$200,1)+SUMIFS($B$8:$B$200,$D$8:$D$200,LEFT($Q37,4)+1,$E$8:$E$200,2)))</f>
        <v>2519.3909093939396</v>
      </c>
      <c r="S37" s="1201">
        <f t="shared" ref="S37:S52" si="4">IF(Q37="","",IF($R$33="Calendar Year",SUMIF($D$8:$D$200,$Q37,$C$8:$C$200),SUMIFS($C$8:$C$200,$D$8:$D$200,LEFT($Q37,4),$E$8:$E$200,3)+SUMIFS($C$8:$C$200,$D$8:$D$200,LEFT($Q37,4),$E$8:$E$200,4)+SUMIFS($C$8:$C$200,$D$8:$D$200,LEFT($Q37,4)+1,$E$8:$E$200,1)+SUMIFS($C$8:$C$200,$D$8:$D$200,LEFT($Q37,4)+1,$E$8:$E$200,2)))</f>
        <v>860.85899999999992</v>
      </c>
      <c r="AE37" s="1348"/>
      <c r="AF37" s="1348"/>
      <c r="AG37" s="1348"/>
      <c r="AH37" s="1348"/>
      <c r="AI37" s="1348"/>
      <c r="AJ37" s="1348"/>
    </row>
    <row r="38" spans="1:36">
      <c r="A38" s="93">
        <v>38961</v>
      </c>
      <c r="B38" s="501">
        <v>667.25884000000008</v>
      </c>
      <c r="C38" s="292">
        <v>221.68141107430307</v>
      </c>
      <c r="D38" s="300">
        <f t="shared" si="0"/>
        <v>2006</v>
      </c>
      <c r="E38" s="302" t="str">
        <f t="shared" si="1"/>
        <v>3</v>
      </c>
      <c r="Q38" s="380">
        <f>IFERROR(IF(YEAR(MAX('Data - Monthly Commodity Prices'!$C$9:$C4985))=VALUE(RIGHT(Q37,4)),"",IF($R$33="Calendar Year",Q37+1,CONCATENATE(LEFT(Q37,4)+1,"-",RIGHT(Q37,4)+1))),"")</f>
        <v>2001</v>
      </c>
      <c r="R38" s="1428">
        <f t="shared" ref="R38:R60" si="5">IF(Q38="","",IF($R$33="Calendar Year",SUMIF($D$8:$D$200,$Q38,$B$8:$B$200),SUMIFS($B$8:$B$200,$D$8:$D$200,LEFT($Q38,4),$E$8:$E$200,3)+SUMIFS($B$8:$B$200,$D$8:$D$200,LEFT($Q38,4),$E$8:$E$200,4)+SUMIFS($B$8:$B$200,$D$8:$D$200,LEFT($Q38,4)+1,$E$8:$E$200,1)+SUMIFS($B$8:$B$200,$D$8:$D$200,LEFT($Q38,4)+1,$E$8:$E$200,2)))</f>
        <v>2081.4499078787881</v>
      </c>
      <c r="S38" s="1416">
        <f t="shared" si="4"/>
        <v>909.22499999999991</v>
      </c>
      <c r="AE38" s="1348"/>
      <c r="AF38" s="1348"/>
      <c r="AG38" s="1348"/>
      <c r="AH38" s="1348"/>
      <c r="AI38" s="1348"/>
      <c r="AJ38" s="1348"/>
    </row>
    <row r="39" spans="1:36">
      <c r="A39" s="93">
        <v>39052</v>
      </c>
      <c r="B39" s="518">
        <v>839.01774900000009</v>
      </c>
      <c r="C39" s="294">
        <v>263.13249746460605</v>
      </c>
      <c r="D39" s="300">
        <f t="shared" si="0"/>
        <v>2006</v>
      </c>
      <c r="E39" s="302" t="str">
        <f t="shared" si="1"/>
        <v>4</v>
      </c>
      <c r="Q39" s="380">
        <f>IFERROR(IF(YEAR(MAX('Data - Monthly Commodity Prices'!$C$9:$C4986))=VALUE(RIGHT(Q38,4)),"",IF($R$33="Calendar Year",Q38+1,CONCATENATE(LEFT(Q38,4)+1,"-",RIGHT(Q38,4)+1))),"")</f>
        <v>2002</v>
      </c>
      <c r="R39" s="525">
        <f t="shared" si="5"/>
        <v>2048.8123333333333</v>
      </c>
      <c r="S39" s="1201">
        <f t="shared" si="4"/>
        <v>866.85200000000009</v>
      </c>
      <c r="AE39" s="1348"/>
      <c r="AF39" s="1348"/>
      <c r="AG39" s="1348"/>
      <c r="AH39" s="1348"/>
      <c r="AI39" s="1348"/>
      <c r="AJ39" s="1348"/>
    </row>
    <row r="40" spans="1:36">
      <c r="A40" s="93">
        <v>39142</v>
      </c>
      <c r="B40" s="501">
        <v>712.67406999999992</v>
      </c>
      <c r="C40" s="292">
        <v>208.19747113642427</v>
      </c>
      <c r="D40" s="300">
        <f t="shared" si="0"/>
        <v>2007</v>
      </c>
      <c r="E40" s="302" t="str">
        <f t="shared" si="1"/>
        <v>1</v>
      </c>
      <c r="Q40" s="380">
        <f>IFERROR(IF(YEAR(MAX('Data - Monthly Commodity Prices'!$C$9:$C4987))=VALUE(RIGHT(Q39,4)),"",IF($R$33="Calendar Year",Q39+1,CONCATENATE(LEFT(Q39,4)+1,"-",RIGHT(Q39,4)+1))),"")</f>
        <v>2003</v>
      </c>
      <c r="R40" s="1428">
        <f t="shared" si="5"/>
        <v>2287.1119242424243</v>
      </c>
      <c r="S40" s="1416">
        <f t="shared" si="4"/>
        <v>789.84878790303026</v>
      </c>
      <c r="AE40" s="1348"/>
      <c r="AF40" s="1348"/>
      <c r="AG40" s="1348"/>
      <c r="AH40" s="1348"/>
      <c r="AI40" s="1348"/>
      <c r="AJ40" s="1348"/>
    </row>
    <row r="41" spans="1:36">
      <c r="A41" s="93">
        <v>39234</v>
      </c>
      <c r="B41" s="518">
        <v>525.55197999999996</v>
      </c>
      <c r="C41" s="294">
        <v>152.51562924866667</v>
      </c>
      <c r="D41" s="300">
        <f t="shared" si="0"/>
        <v>2007</v>
      </c>
      <c r="E41" s="302" t="str">
        <f t="shared" si="1"/>
        <v>2</v>
      </c>
      <c r="Q41" s="380">
        <f>IFERROR(IF(YEAR(MAX('Data - Monthly Commodity Prices'!$C$9:$C4988))=VALUE(RIGHT(Q40,4)),"",IF($R$33="Calendar Year",Q40+1,CONCATENATE(LEFT(Q40,4)+1,"-",RIGHT(Q40,4)+1))),"")</f>
        <v>2004</v>
      </c>
      <c r="R41" s="525">
        <f t="shared" si="5"/>
        <v>2555.2416699999999</v>
      </c>
      <c r="S41" s="1201">
        <f t="shared" si="4"/>
        <v>764.91077921212127</v>
      </c>
      <c r="AE41" s="1348"/>
      <c r="AF41" s="1348"/>
      <c r="AG41" s="1348"/>
      <c r="AH41" s="1348"/>
      <c r="AI41" s="1348"/>
      <c r="AJ41" s="1348"/>
    </row>
    <row r="42" spans="1:36">
      <c r="A42" s="93">
        <v>39326</v>
      </c>
      <c r="B42" s="501">
        <v>579.62850000000003</v>
      </c>
      <c r="C42" s="292">
        <v>139.81280604818181</v>
      </c>
      <c r="D42" s="300">
        <f t="shared" si="0"/>
        <v>2007</v>
      </c>
      <c r="E42" s="302" t="str">
        <f t="shared" si="1"/>
        <v>3</v>
      </c>
      <c r="Q42" s="380">
        <f>IFERROR(IF(YEAR(MAX('Data - Monthly Commodity Prices'!$C$9:$C4989))=VALUE(RIGHT(Q41,4)),"",IF($R$33="Calendar Year",Q41+1,CONCATENATE(LEFT(Q41,4)+1,"-",RIGHT(Q41,4)+1))),"")</f>
        <v>2005</v>
      </c>
      <c r="R42" s="1428">
        <f t="shared" si="5"/>
        <v>2635.0707200000002</v>
      </c>
      <c r="S42" s="1416">
        <f t="shared" si="4"/>
        <v>846.79359163939398</v>
      </c>
      <c r="AE42" s="1348"/>
      <c r="AF42" s="1348"/>
      <c r="AG42" s="1348"/>
      <c r="AH42" s="1348"/>
      <c r="AI42" s="1348"/>
      <c r="AJ42" s="1348"/>
    </row>
    <row r="43" spans="1:36">
      <c r="A43" s="93">
        <v>39417</v>
      </c>
      <c r="B43" s="518">
        <v>671.90129000000002</v>
      </c>
      <c r="C43" s="294">
        <v>190.52980717102545</v>
      </c>
      <c r="D43" s="300">
        <f t="shared" si="0"/>
        <v>2007</v>
      </c>
      <c r="E43" s="302" t="str">
        <f t="shared" si="1"/>
        <v>4</v>
      </c>
      <c r="Q43" s="380">
        <f>IFERROR(IF(YEAR(MAX('Data - Monthly Commodity Prices'!$C$9:$C4990))=VALUE(RIGHT(Q42,4)),"",IF($R$33="Calendar Year",Q42+1,CONCATENATE(LEFT(Q42,4)+1,"-",RIGHT(Q42,4)+1))),"")</f>
        <v>2006</v>
      </c>
      <c r="R43" s="525">
        <f t="shared" si="5"/>
        <v>2629.9670580000002</v>
      </c>
      <c r="S43" s="1201">
        <f t="shared" si="4"/>
        <v>886.26281036130922</v>
      </c>
      <c r="AE43" s="1348"/>
      <c r="AF43" s="1348"/>
      <c r="AG43" s="1348"/>
      <c r="AH43" s="1348"/>
      <c r="AI43" s="1348"/>
      <c r="AJ43" s="1348"/>
    </row>
    <row r="44" spans="1:36">
      <c r="A44" s="93">
        <v>39508</v>
      </c>
      <c r="B44" s="501">
        <v>563.33965000000001</v>
      </c>
      <c r="C44" s="292">
        <v>150.9215735699818</v>
      </c>
      <c r="D44" s="300">
        <f t="shared" si="0"/>
        <v>2008</v>
      </c>
      <c r="E44" s="302" t="str">
        <f t="shared" si="1"/>
        <v>1</v>
      </c>
      <c r="Q44" s="380">
        <f>IFERROR(IF(YEAR(MAX('Data - Monthly Commodity Prices'!$C$9:$C4991))=VALUE(RIGHT(Q43,4)),"",IF($R$33="Calendar Year",Q43+1,CONCATENATE(LEFT(Q43,4)+1,"-",RIGHT(Q43,4)+1))),"")</f>
        <v>2007</v>
      </c>
      <c r="R44" s="1428">
        <f t="shared" si="5"/>
        <v>2489.7558399999998</v>
      </c>
      <c r="S44" s="1416">
        <f t="shared" si="4"/>
        <v>691.05571360429815</v>
      </c>
      <c r="AE44" s="1348"/>
      <c r="AF44" s="1348"/>
      <c r="AG44" s="1348"/>
      <c r="AH44" s="1348"/>
      <c r="AI44" s="1348"/>
      <c r="AJ44" s="1348"/>
    </row>
    <row r="45" spans="1:36">
      <c r="A45" s="93">
        <v>39600</v>
      </c>
      <c r="B45" s="518">
        <v>678.11067800000001</v>
      </c>
      <c r="C45" s="294">
        <v>195.99011884184003</v>
      </c>
      <c r="D45" s="300">
        <f t="shared" si="0"/>
        <v>2008</v>
      </c>
      <c r="E45" s="302" t="str">
        <f t="shared" si="1"/>
        <v>2</v>
      </c>
      <c r="Q45" s="380">
        <f>IFERROR(IF(YEAR(MAX('Data - Monthly Commodity Prices'!$C$9:$C4992))=VALUE(RIGHT(Q44,4)),"",IF($R$33="Calendar Year",Q44+1,CONCATENATE(LEFT(Q44,4)+1,"-",RIGHT(Q44,4)+1))),"")</f>
        <v>2008</v>
      </c>
      <c r="R45" s="525">
        <f t="shared" si="5"/>
        <v>2348.3883889999997</v>
      </c>
      <c r="S45" s="1201">
        <f t="shared" si="4"/>
        <v>777.13671799124882</v>
      </c>
      <c r="AE45" s="1348"/>
      <c r="AF45" s="1348"/>
      <c r="AG45" s="1348"/>
      <c r="AH45" s="1348"/>
      <c r="AI45" s="1348"/>
      <c r="AJ45" s="1348"/>
    </row>
    <row r="46" spans="1:36">
      <c r="A46" s="93">
        <v>39692</v>
      </c>
      <c r="B46" s="501">
        <v>563.2937730000001</v>
      </c>
      <c r="C46" s="292">
        <v>203.25011357072</v>
      </c>
      <c r="D46" s="300">
        <f t="shared" si="0"/>
        <v>2008</v>
      </c>
      <c r="E46" s="302" t="str">
        <f t="shared" si="1"/>
        <v>3</v>
      </c>
      <c r="Q46" s="380">
        <f>IFERROR(IF(YEAR(MAX('Data - Monthly Commodity Prices'!$C$9:$C4993))=VALUE(RIGHT(Q45,4)),"",IF($R$33="Calendar Year",Q45+1,CONCATENATE(LEFT(Q45,4)+1,"-",RIGHT(Q45,4)+1))),"")</f>
        <v>2009</v>
      </c>
      <c r="R46" s="1428">
        <f t="shared" si="5"/>
        <v>1881.4500789999997</v>
      </c>
      <c r="S46" s="1416">
        <f t="shared" si="4"/>
        <v>641.83094086659389</v>
      </c>
      <c r="AE46" s="1348"/>
      <c r="AF46" s="1348"/>
      <c r="AG46" s="1348"/>
      <c r="AH46" s="1348"/>
      <c r="AI46" s="1348"/>
      <c r="AJ46" s="1348"/>
    </row>
    <row r="47" spans="1:36">
      <c r="A47" s="93">
        <v>39783</v>
      </c>
      <c r="B47" s="518">
        <v>543.64428799999996</v>
      </c>
      <c r="C47" s="294">
        <v>226.97491200870695</v>
      </c>
      <c r="D47" s="300">
        <f t="shared" si="0"/>
        <v>2008</v>
      </c>
      <c r="E47" s="302" t="str">
        <f t="shared" si="1"/>
        <v>4</v>
      </c>
      <c r="Q47" s="380">
        <f>IFERROR(IF(YEAR(MAX('Data - Monthly Commodity Prices'!$C$9:$C4994))=VALUE(RIGHT(Q46,4)),"",IF($R$33="Calendar Year",Q46+1,CONCATENATE(LEFT(Q46,4)+1,"-",RIGHT(Q46,4)+1))),"")</f>
        <v>2010</v>
      </c>
      <c r="R47" s="525">
        <f t="shared" si="5"/>
        <v>1599.250035</v>
      </c>
      <c r="S47" s="1201">
        <f t="shared" si="4"/>
        <v>526.47051544375756</v>
      </c>
      <c r="AE47" s="1348"/>
      <c r="AF47" s="1348"/>
      <c r="AG47" s="1348"/>
      <c r="AH47" s="1348"/>
      <c r="AI47" s="1348"/>
      <c r="AJ47" s="1348"/>
    </row>
    <row r="48" spans="1:36">
      <c r="A48" s="93">
        <v>39873</v>
      </c>
      <c r="B48" s="501">
        <v>494.34247199999993</v>
      </c>
      <c r="C48" s="292">
        <v>160.56678365354668</v>
      </c>
      <c r="D48" s="300">
        <f t="shared" si="0"/>
        <v>2009</v>
      </c>
      <c r="E48" s="302" t="str">
        <f t="shared" si="1"/>
        <v>1</v>
      </c>
      <c r="Q48" s="380">
        <f>IFERROR(IF(YEAR(MAX('Data - Monthly Commodity Prices'!$C$9:$C4995))=VALUE(RIGHT(Q47,4)),"",IF($R$33="Calendar Year",Q47+1,CONCATENATE(LEFT(Q47,4)+1,"-",RIGHT(Q47,4)+1))),"")</f>
        <v>2011</v>
      </c>
      <c r="R48" s="1428">
        <f t="shared" si="5"/>
        <v>1455.1578890000001</v>
      </c>
      <c r="S48" s="1416">
        <f t="shared" si="4"/>
        <v>591.6221046056703</v>
      </c>
    </row>
    <row r="49" spans="1:19">
      <c r="A49" s="93">
        <v>39965</v>
      </c>
      <c r="B49" s="518">
        <v>388.15560699999997</v>
      </c>
      <c r="C49" s="294">
        <v>113.81045802763637</v>
      </c>
      <c r="D49" s="300">
        <f t="shared" si="0"/>
        <v>2009</v>
      </c>
      <c r="E49" s="302" t="str">
        <f t="shared" si="1"/>
        <v>2</v>
      </c>
      <c r="Q49" s="380">
        <f>IFERROR(IF(YEAR(MAX('Data - Monthly Commodity Prices'!$C$9:$C4996))=VALUE(RIGHT(Q48,4)),"",IF($R$33="Calendar Year",Q48+1,CONCATENATE(LEFT(Q48,4)+1,"-",RIGHT(Q48,4)+1))),"")</f>
        <v>2012</v>
      </c>
      <c r="R49" s="525">
        <f t="shared" si="5"/>
        <v>1334.321578</v>
      </c>
      <c r="S49" s="1201">
        <f t="shared" si="4"/>
        <v>970.8070320666061</v>
      </c>
    </row>
    <row r="50" spans="1:19">
      <c r="A50" s="93">
        <v>40057</v>
      </c>
      <c r="B50" s="501">
        <v>448.44291999999996</v>
      </c>
      <c r="C50" s="292">
        <v>161.38295638874911</v>
      </c>
      <c r="D50" s="300">
        <f t="shared" si="0"/>
        <v>2009</v>
      </c>
      <c r="E50" s="302" t="str">
        <f t="shared" si="1"/>
        <v>3</v>
      </c>
      <c r="Q50" s="380">
        <f>IFERROR(IF(YEAR(MAX('Data - Monthly Commodity Prices'!$C$9:$C4997))=VALUE(RIGHT(Q49,4)),"",IF($R$33="Calendar Year",Q49+1,CONCATENATE(LEFT(Q49,4)+1,"-",RIGHT(Q49,4)+1))),"")</f>
        <v>2013</v>
      </c>
      <c r="R50" s="1428">
        <f t="shared" si="5"/>
        <v>1344.932736</v>
      </c>
      <c r="S50" s="1416">
        <f t="shared" si="4"/>
        <v>645.16523759951519</v>
      </c>
    </row>
    <row r="51" spans="1:19">
      <c r="A51" s="93">
        <v>40148</v>
      </c>
      <c r="B51" s="518">
        <v>550.50907999999993</v>
      </c>
      <c r="C51" s="294">
        <v>206.07074279666182</v>
      </c>
      <c r="D51" s="300">
        <f t="shared" si="0"/>
        <v>2009</v>
      </c>
      <c r="E51" s="302" t="str">
        <f t="shared" si="1"/>
        <v>4</v>
      </c>
      <c r="Q51" s="380">
        <f>IFERROR(IF(YEAR(MAX('Data - Monthly Commodity Prices'!$C$9:$C4998))=VALUE(RIGHT(Q50,4)),"",IF($R$33="Calendar Year",Q50+1,CONCATENATE(LEFT(Q50,4)+1,"-",RIGHT(Q50,4)+1))),"")</f>
        <v>2014</v>
      </c>
      <c r="R51" s="525">
        <f t="shared" si="5"/>
        <v>897.40157899999997</v>
      </c>
      <c r="S51" s="1201">
        <f t="shared" si="4"/>
        <v>405.23803386666663</v>
      </c>
    </row>
    <row r="52" spans="1:19">
      <c r="A52" s="93">
        <v>40238</v>
      </c>
      <c r="B52" s="501">
        <v>432.03534000000002</v>
      </c>
      <c r="C52" s="292">
        <v>146.44246715351517</v>
      </c>
      <c r="D52" s="300">
        <f t="shared" si="0"/>
        <v>2010</v>
      </c>
      <c r="E52" s="302" t="str">
        <f t="shared" si="1"/>
        <v>1</v>
      </c>
      <c r="Q52" s="380">
        <f>IFERROR(IF(YEAR(MAX('Data - Monthly Commodity Prices'!$C$9:$C4999))=VALUE(RIGHT(Q51,4)),"",IF($R$33="Calendar Year",Q51+1,CONCATENATE(LEFT(Q51,4)+1,"-",RIGHT(Q51,4)+1))),"")</f>
        <v>2015</v>
      </c>
      <c r="R52" s="1428">
        <f t="shared" si="5"/>
        <v>1213.5876553494604</v>
      </c>
      <c r="S52" s="1416">
        <f t="shared" si="4"/>
        <v>586.413597364417</v>
      </c>
    </row>
    <row r="53" spans="1:19">
      <c r="A53" s="93">
        <v>40330</v>
      </c>
      <c r="B53" s="518">
        <v>468.59804000000003</v>
      </c>
      <c r="C53" s="294">
        <v>150.58886328757575</v>
      </c>
      <c r="D53" s="300">
        <f t="shared" si="0"/>
        <v>2010</v>
      </c>
      <c r="E53" s="302" t="str">
        <f t="shared" si="1"/>
        <v>2</v>
      </c>
      <c r="Q53" s="380">
        <f>IFERROR(IF(YEAR(MAX('Data - Monthly Commodity Prices'!$C$9:$C5000))=VALUE(RIGHT(Q52,4)),"",IF($R$33="Calendar Year",Q52+1,CONCATENATE(LEFT(Q52,4)+1,"-",RIGHT(Q52,4)+1))),"")</f>
        <v>2016</v>
      </c>
      <c r="R53" s="525">
        <f t="shared" si="5"/>
        <v>1502.5822800000001</v>
      </c>
      <c r="S53" s="1201">
        <f>IF(Q53="","",IF($R$33="Calendar Year",SUMIF($D$8:$D$200,$Q53,$C$8:$C$200),SUMIFS($C$8:$C$200,$D$8:$D$200,LEFT($Q53,4),$E$8:$E$200,3)+SUMIFS($C$8:$C$200,$D$8:$D$200,LEFT($Q53,4),$E$8:$E$200,4)+SUMIFS($C$8:$C$200,$D$8:$D$200,LEFT($Q53,4)+1,$E$8:$E$200,1)+SUMIFS($C$8:$C$200,$D$8:$D$200,LEFT($Q53,4)+1,$E$8:$E$200,2)))</f>
        <v>612.46402801084832</v>
      </c>
    </row>
    <row r="54" spans="1:19">
      <c r="A54" s="93">
        <v>40422</v>
      </c>
      <c r="B54" s="501">
        <v>369.87650800000006</v>
      </c>
      <c r="C54" s="292">
        <v>119.27838987599999</v>
      </c>
      <c r="D54" s="300">
        <f t="shared" si="0"/>
        <v>2010</v>
      </c>
      <c r="E54" s="302" t="str">
        <f t="shared" si="1"/>
        <v>3</v>
      </c>
      <c r="F54" s="798"/>
      <c r="Q54" s="380">
        <f>IFERROR(IF(YEAR(MAX('Data - Monthly Commodity Prices'!$C$9:$C5001))=VALUE(RIGHT(Q53,4)),"",IF($R$33="Calendar Year",Q53+1,CONCATENATE(LEFT(Q53,4)+1,"-",RIGHT(Q53,4)+1))),"")</f>
        <v>2017</v>
      </c>
      <c r="R54" s="1428">
        <f t="shared" si="5"/>
        <v>1105.9559300000001</v>
      </c>
      <c r="S54" s="1416">
        <f t="shared" ref="S54:S60" si="6">IF(Q54="","",IF($R$33="Calendar Year",SUMIF($D$8:$D$200,$Q54,$C$8:$C$200),SUMIFS($C$8:$C$200,$D$8:$D$200,LEFT($Q54,4),$E$8:$E$200,3)+SUMIFS($C$8:$C$200,$D$8:$D$200,LEFT($Q54,4),$E$8:$E$200,4)+SUMIFS($C$8:$C$200,$D$8:$D$200,LEFT($Q54,4)+1,$E$8:$E$200,1)+SUMIFS($C$8:$C$200,$D$8:$D$200,LEFT($Q54,4)+1,$E$8:$E$200,2)))</f>
        <v>513.50916281765262</v>
      </c>
    </row>
    <row r="55" spans="1:19">
      <c r="A55" s="93">
        <v>40513</v>
      </c>
      <c r="B55" s="518">
        <v>328.74014699999998</v>
      </c>
      <c r="C55" s="294">
        <v>110.16079512666667</v>
      </c>
      <c r="D55" s="300">
        <f t="shared" si="0"/>
        <v>2010</v>
      </c>
      <c r="E55" s="302" t="str">
        <f t="shared" si="1"/>
        <v>4</v>
      </c>
      <c r="F55" s="798"/>
      <c r="Q55" s="380">
        <f>IFERROR(IF(YEAR(MAX('Data - Monthly Commodity Prices'!$C$9:$C5002))=VALUE(RIGHT(Q54,4)),"",IF($R$33="Calendar Year",Q54+1,CONCATENATE(LEFT(Q54,4)+1,"-",RIGHT(Q54,4)+1))),"")</f>
        <v>2018</v>
      </c>
      <c r="R55" s="525">
        <f t="shared" si="5"/>
        <v>1142.915724</v>
      </c>
      <c r="S55" s="1201">
        <f t="shared" si="6"/>
        <v>628.09778739685089</v>
      </c>
    </row>
    <row r="56" spans="1:19">
      <c r="A56" s="93">
        <v>40603</v>
      </c>
      <c r="B56" s="501">
        <v>369.869034</v>
      </c>
      <c r="C56" s="292">
        <v>113.38754588096971</v>
      </c>
      <c r="D56" s="300">
        <f t="shared" si="0"/>
        <v>2011</v>
      </c>
      <c r="E56" s="302" t="str">
        <f t="shared" si="1"/>
        <v>1</v>
      </c>
      <c r="F56" s="798"/>
      <c r="Q56" s="380">
        <f>IFERROR(IF(YEAR(MAX('Data - Monthly Commodity Prices'!$C$9:$C5003))=VALUE(RIGHT(Q55,4)),"",IF($R$33="Calendar Year",Q55+1,CONCATENATE(LEFT(Q55,4)+1,"-",RIGHT(Q55,4)+1))),"")</f>
        <v>2019</v>
      </c>
      <c r="R56" s="1428">
        <f t="shared" si="5"/>
        <v>1201.05646</v>
      </c>
      <c r="S56" s="1416">
        <f t="shared" si="6"/>
        <v>668.67931226340795</v>
      </c>
    </row>
    <row r="57" spans="1:19">
      <c r="A57" s="93">
        <v>40695</v>
      </c>
      <c r="B57" s="518">
        <v>348.30933999999996</v>
      </c>
      <c r="C57" s="294">
        <v>133.35581608327271</v>
      </c>
      <c r="D57" s="300">
        <f t="shared" si="0"/>
        <v>2011</v>
      </c>
      <c r="E57" s="302" t="str">
        <f t="shared" si="1"/>
        <v>2</v>
      </c>
      <c r="F57" s="798"/>
      <c r="Q57" s="380" t="str">
        <f>IFERROR(IF(YEAR(MAX('Data - Monthly Commodity Prices'!$C$9:$C5004))=VALUE(RIGHT(Q56,4)),"",IF($R$33="Calendar Year",Q56+1,CONCATENATE(LEFT(Q56,4)+1,"-",RIGHT(Q56,4)+1))),"")</f>
        <v/>
      </c>
      <c r="R57" s="525" t="str">
        <f t="shared" si="5"/>
        <v/>
      </c>
      <c r="S57" s="1201" t="str">
        <f t="shared" si="6"/>
        <v/>
      </c>
    </row>
    <row r="58" spans="1:19">
      <c r="A58" s="93">
        <v>40787</v>
      </c>
      <c r="B58" s="501">
        <v>381.62442499999997</v>
      </c>
      <c r="C58" s="292">
        <v>174.96184977763636</v>
      </c>
      <c r="D58" s="300">
        <f t="shared" si="0"/>
        <v>2011</v>
      </c>
      <c r="E58" s="302" t="str">
        <f t="shared" si="1"/>
        <v>3</v>
      </c>
      <c r="F58" s="798"/>
      <c r="Q58" s="380" t="str">
        <f>IFERROR(IF(YEAR(MAX('Data - Monthly Commodity Prices'!$C$9:$C5005))=VALUE(RIGHT(Q57,4)),"",IF($R$33="Calendar Year",Q57+1,CONCATENATE(LEFT(Q57,4)+1,"-",RIGHT(Q57,4)+1))),"")</f>
        <v/>
      </c>
      <c r="R58" s="1428" t="str">
        <f t="shared" si="5"/>
        <v/>
      </c>
      <c r="S58" s="1416" t="str">
        <f t="shared" si="6"/>
        <v/>
      </c>
    </row>
    <row r="59" spans="1:19">
      <c r="A59" s="93">
        <v>40878</v>
      </c>
      <c r="B59" s="518">
        <v>355.35508999999996</v>
      </c>
      <c r="C59" s="294">
        <v>169.91689286379153</v>
      </c>
      <c r="D59" s="300">
        <f t="shared" si="0"/>
        <v>2011</v>
      </c>
      <c r="E59" s="302" t="str">
        <f t="shared" si="1"/>
        <v>4</v>
      </c>
      <c r="F59" s="798"/>
      <c r="Q59" s="380" t="str">
        <f>IFERROR(IF(YEAR(MAX('Data - Monthly Commodity Prices'!$C$9:$C5006))=VALUE(RIGHT(Q58,4)),"",IF($R$33="Calendar Year",Q58+1,CONCATENATE(LEFT(Q58,4)+1,"-",RIGHT(Q58,4)+1))),"")</f>
        <v/>
      </c>
      <c r="R59" s="525" t="str">
        <f t="shared" si="5"/>
        <v/>
      </c>
      <c r="S59" s="1201" t="str">
        <f t="shared" si="6"/>
        <v/>
      </c>
    </row>
    <row r="60" spans="1:19" ht="15.75" thickBot="1">
      <c r="A60" s="93">
        <v>40969</v>
      </c>
      <c r="B60" s="501">
        <v>347.86962800000003</v>
      </c>
      <c r="C60" s="292">
        <v>240.15949792703032</v>
      </c>
      <c r="D60" s="300">
        <f t="shared" si="0"/>
        <v>2012</v>
      </c>
      <c r="E60" s="302" t="str">
        <f t="shared" si="1"/>
        <v>1</v>
      </c>
      <c r="F60" s="798"/>
      <c r="Q60" s="381" t="str">
        <f>IFERROR(IF(YEAR(MAX('Data - Monthly Commodity Prices'!$C$9:$C5007))=VALUE(RIGHT(Q59,4)),"",IF($R$33="Calendar Year",Q59+1,CONCATENATE(LEFT(Q59,4)+1,"-",RIGHT(Q59,4)+1))),"")</f>
        <v/>
      </c>
      <c r="R60" s="1427" t="str">
        <f t="shared" si="5"/>
        <v/>
      </c>
      <c r="S60" s="1420" t="str">
        <f t="shared" si="6"/>
        <v/>
      </c>
    </row>
    <row r="61" spans="1:19">
      <c r="A61" s="93">
        <v>41061</v>
      </c>
      <c r="B61" s="518">
        <v>330.71230000000003</v>
      </c>
      <c r="C61" s="294">
        <v>279.07432250472726</v>
      </c>
      <c r="D61" s="300">
        <f t="shared" si="0"/>
        <v>2012</v>
      </c>
      <c r="E61" s="302" t="str">
        <f t="shared" si="1"/>
        <v>2</v>
      </c>
      <c r="F61" s="798"/>
    </row>
    <row r="62" spans="1:19">
      <c r="A62" s="93">
        <v>41153</v>
      </c>
      <c r="B62" s="501">
        <v>323.30175000000003</v>
      </c>
      <c r="C62" s="292">
        <v>240.53327604000003</v>
      </c>
      <c r="D62" s="300">
        <f t="shared" si="0"/>
        <v>2012</v>
      </c>
      <c r="E62" s="302" t="str">
        <f t="shared" si="1"/>
        <v>3</v>
      </c>
      <c r="F62" s="798"/>
      <c r="G62" s="798"/>
      <c r="H62" s="407"/>
      <c r="I62" s="407"/>
    </row>
    <row r="63" spans="1:19">
      <c r="A63" s="93">
        <v>41244</v>
      </c>
      <c r="B63" s="518">
        <v>332.43790000000001</v>
      </c>
      <c r="C63" s="294">
        <v>211.03993559484849</v>
      </c>
      <c r="D63" s="300">
        <f t="shared" si="0"/>
        <v>2012</v>
      </c>
      <c r="E63" s="302" t="str">
        <f t="shared" si="1"/>
        <v>4</v>
      </c>
      <c r="F63" s="798"/>
      <c r="G63" s="798"/>
      <c r="H63" s="407"/>
      <c r="I63" s="407"/>
    </row>
    <row r="64" spans="1:19">
      <c r="A64" s="93">
        <v>41334</v>
      </c>
      <c r="B64" s="501">
        <v>373.32617000000005</v>
      </c>
      <c r="C64" s="292">
        <v>199.17467351818183</v>
      </c>
      <c r="D64" s="300">
        <f t="shared" si="0"/>
        <v>2013</v>
      </c>
      <c r="E64" s="302" t="str">
        <f t="shared" si="1"/>
        <v>1</v>
      </c>
      <c r="F64" s="798"/>
      <c r="G64" s="798"/>
      <c r="H64" s="407"/>
      <c r="I64" s="407"/>
    </row>
    <row r="65" spans="1:9">
      <c r="A65" s="93">
        <v>41426</v>
      </c>
      <c r="B65" s="518">
        <v>326.29110600000001</v>
      </c>
      <c r="C65" s="294">
        <v>159.93178942133332</v>
      </c>
      <c r="D65" s="300">
        <f t="shared" si="0"/>
        <v>2013</v>
      </c>
      <c r="E65" s="302" t="str">
        <f t="shared" si="1"/>
        <v>2</v>
      </c>
      <c r="F65" s="798"/>
      <c r="G65" s="798"/>
      <c r="H65" s="407"/>
      <c r="I65" s="407"/>
    </row>
    <row r="66" spans="1:9">
      <c r="A66" s="93">
        <v>41518</v>
      </c>
      <c r="B66" s="501">
        <v>307.72275999999999</v>
      </c>
      <c r="C66" s="292">
        <v>140.54976079818184</v>
      </c>
      <c r="D66" s="300">
        <f t="shared" si="0"/>
        <v>2013</v>
      </c>
      <c r="E66" s="302" t="str">
        <f t="shared" si="1"/>
        <v>3</v>
      </c>
      <c r="F66" s="798"/>
      <c r="G66" s="798"/>
      <c r="H66" s="407"/>
      <c r="I66" s="407"/>
    </row>
    <row r="67" spans="1:9">
      <c r="A67" s="93">
        <v>41609</v>
      </c>
      <c r="B67" s="518">
        <v>337.59269999999998</v>
      </c>
      <c r="C67" s="294">
        <v>145.50901386181818</v>
      </c>
      <c r="D67" s="300">
        <f t="shared" si="0"/>
        <v>2013</v>
      </c>
      <c r="E67" s="302" t="str">
        <f t="shared" si="1"/>
        <v>4</v>
      </c>
      <c r="F67" s="798"/>
      <c r="G67" s="798"/>
      <c r="H67" s="407"/>
      <c r="I67" s="407"/>
    </row>
    <row r="68" spans="1:9">
      <c r="A68" s="93">
        <v>41699</v>
      </c>
      <c r="B68" s="501">
        <v>192.98702900000001</v>
      </c>
      <c r="C68" s="292">
        <v>76.715109290909098</v>
      </c>
      <c r="D68" s="300">
        <f t="shared" si="0"/>
        <v>2014</v>
      </c>
      <c r="E68" s="302" t="str">
        <f t="shared" si="1"/>
        <v>1</v>
      </c>
      <c r="F68" s="798"/>
      <c r="G68" s="798"/>
      <c r="H68" s="407"/>
      <c r="I68" s="407"/>
    </row>
    <row r="69" spans="1:9">
      <c r="A69" s="93">
        <v>41791</v>
      </c>
      <c r="B69" s="518">
        <v>239.96826000000001</v>
      </c>
      <c r="C69" s="294">
        <v>108.25742245454546</v>
      </c>
      <c r="D69" s="300">
        <f t="shared" si="0"/>
        <v>2014</v>
      </c>
      <c r="E69" s="302" t="str">
        <f t="shared" si="1"/>
        <v>2</v>
      </c>
      <c r="F69" s="798"/>
      <c r="G69" s="798"/>
      <c r="H69" s="407"/>
      <c r="I69" s="407"/>
    </row>
    <row r="70" spans="1:9">
      <c r="A70" s="93">
        <v>41883</v>
      </c>
      <c r="B70" s="501">
        <v>234.93492999999998</v>
      </c>
      <c r="C70" s="292">
        <v>108.58870309090909</v>
      </c>
      <c r="D70" s="300">
        <f t="shared" si="0"/>
        <v>2014</v>
      </c>
      <c r="E70" s="302" t="str">
        <f t="shared" si="1"/>
        <v>3</v>
      </c>
      <c r="F70" s="798"/>
      <c r="G70" s="798"/>
      <c r="H70" s="407"/>
      <c r="I70" s="407"/>
    </row>
    <row r="71" spans="1:9">
      <c r="A71" s="93">
        <v>41974</v>
      </c>
      <c r="B71" s="518">
        <v>229.51136</v>
      </c>
      <c r="C71" s="294">
        <v>111.67679903030303</v>
      </c>
      <c r="D71" s="300">
        <f t="shared" si="0"/>
        <v>2014</v>
      </c>
      <c r="E71" s="302" t="str">
        <f t="shared" si="1"/>
        <v>4</v>
      </c>
      <c r="F71" s="798"/>
      <c r="G71" s="798"/>
      <c r="H71" s="407"/>
      <c r="I71" s="407"/>
    </row>
    <row r="72" spans="1:9">
      <c r="A72" s="295">
        <v>42064</v>
      </c>
      <c r="B72" s="501">
        <v>263.90550999999994</v>
      </c>
      <c r="C72" s="292">
        <v>116.41049234948926</v>
      </c>
      <c r="D72" s="300">
        <f>YEAR(A72)</f>
        <v>2015</v>
      </c>
      <c r="E72" s="302" t="str">
        <f t="shared" si="1"/>
        <v>1</v>
      </c>
      <c r="F72" s="798"/>
      <c r="G72" s="798"/>
      <c r="H72" s="407"/>
      <c r="I72" s="407"/>
    </row>
    <row r="73" spans="1:9">
      <c r="A73" s="295">
        <v>42156</v>
      </c>
      <c r="B73" s="518">
        <v>341.34435000000002</v>
      </c>
      <c r="C73" s="294">
        <v>156.03087978995072</v>
      </c>
      <c r="D73" s="300">
        <f>YEAR(A73)</f>
        <v>2015</v>
      </c>
      <c r="E73" s="302" t="str">
        <f>IF(MONTH(A73)=3,"1",IF(MONTH(A73)=6,"2",IF(MONTH(A73)=9,"3","4")))</f>
        <v>2</v>
      </c>
      <c r="F73" s="798"/>
      <c r="G73" s="798"/>
      <c r="H73" s="407"/>
      <c r="I73" s="407"/>
    </row>
    <row r="74" spans="1:9">
      <c r="A74" s="295">
        <v>42248</v>
      </c>
      <c r="B74" s="501">
        <v>232.05810000000002</v>
      </c>
      <c r="C74" s="292">
        <v>134.82173197609356</v>
      </c>
      <c r="D74" s="300">
        <f>YEAR(A74)</f>
        <v>2015</v>
      </c>
      <c r="E74" s="302" t="str">
        <f>IF(MONTH(A74)=3,"1",IF(MONTH(A74)=6,"2",IF(MONTH(A74)=9,"3","4")))</f>
        <v>3</v>
      </c>
      <c r="F74" s="798"/>
      <c r="G74" s="798"/>
      <c r="H74" s="407"/>
      <c r="I74" s="407"/>
    </row>
    <row r="75" spans="1:9">
      <c r="A75" s="295">
        <v>42339</v>
      </c>
      <c r="B75" s="518">
        <v>376.27969534946067</v>
      </c>
      <c r="C75" s="294">
        <v>179.15049324888349</v>
      </c>
      <c r="D75" s="300">
        <f>YEAR(A75)</f>
        <v>2015</v>
      </c>
      <c r="E75" s="302" t="str">
        <f>IF(MONTH(A75)=3,"1",IF(MONTH(A75)=6,"2",IF(MONTH(A75)=9,"3","4")))</f>
        <v>4</v>
      </c>
      <c r="F75" s="798"/>
      <c r="G75" s="798"/>
      <c r="H75" s="407"/>
      <c r="I75" s="407"/>
    </row>
    <row r="76" spans="1:9">
      <c r="A76" s="295">
        <v>42430</v>
      </c>
      <c r="B76" s="501">
        <v>298.85578000000004</v>
      </c>
      <c r="C76" s="292">
        <v>122.58967324767676</v>
      </c>
      <c r="D76" s="300">
        <f t="shared" ref="D76:D139" si="7">YEAR(A76)</f>
        <v>2016</v>
      </c>
      <c r="E76" s="302" t="str">
        <f t="shared" ref="E76:E139" si="8">IF(MONTH(A76)=3,"1",IF(MONTH(A76)=6,"2",IF(MONTH(A76)=9,"3","4")))</f>
        <v>1</v>
      </c>
      <c r="F76" s="798"/>
    </row>
    <row r="77" spans="1:9">
      <c r="A77" s="295">
        <v>42522</v>
      </c>
      <c r="B77" s="518">
        <v>263.64659999999998</v>
      </c>
      <c r="C77" s="294">
        <v>134.9861616631745</v>
      </c>
      <c r="D77" s="300">
        <f t="shared" si="7"/>
        <v>2016</v>
      </c>
      <c r="E77" s="302" t="str">
        <f t="shared" si="8"/>
        <v>2</v>
      </c>
      <c r="F77" s="798"/>
    </row>
    <row r="78" spans="1:9">
      <c r="A78" s="295">
        <v>42614</v>
      </c>
      <c r="B78" s="501">
        <v>338.19979999999998</v>
      </c>
      <c r="C78" s="292">
        <v>135.27440645425679</v>
      </c>
      <c r="D78" s="300">
        <f t="shared" si="7"/>
        <v>2016</v>
      </c>
      <c r="E78" s="302" t="str">
        <f t="shared" si="8"/>
        <v>3</v>
      </c>
    </row>
    <row r="79" spans="1:9">
      <c r="A79" s="295">
        <v>42705</v>
      </c>
      <c r="B79" s="518">
        <v>601.88010000000008</v>
      </c>
      <c r="C79" s="294">
        <v>219.61378664574022</v>
      </c>
      <c r="D79" s="300">
        <f t="shared" si="7"/>
        <v>2016</v>
      </c>
      <c r="E79" s="302" t="str">
        <f t="shared" si="8"/>
        <v>4</v>
      </c>
    </row>
    <row r="80" spans="1:9">
      <c r="A80" s="295">
        <v>42795</v>
      </c>
      <c r="B80" s="501">
        <v>269.71800000000002</v>
      </c>
      <c r="C80" s="292">
        <v>120.67501350397534</v>
      </c>
      <c r="D80" s="300">
        <f t="shared" si="7"/>
        <v>2017</v>
      </c>
      <c r="E80" s="302" t="str">
        <f t="shared" si="8"/>
        <v>1</v>
      </c>
    </row>
    <row r="81" spans="1:7">
      <c r="A81" s="295">
        <v>42887</v>
      </c>
      <c r="B81" s="518">
        <v>247.33509000000001</v>
      </c>
      <c r="C81" s="294">
        <v>107.88373044242809</v>
      </c>
      <c r="D81" s="300">
        <f t="shared" si="7"/>
        <v>2017</v>
      </c>
      <c r="E81" s="302" t="str">
        <f t="shared" si="8"/>
        <v>2</v>
      </c>
    </row>
    <row r="82" spans="1:7">
      <c r="A82" s="295">
        <v>42979</v>
      </c>
      <c r="B82" s="501">
        <v>277.25769000000003</v>
      </c>
      <c r="C82" s="292">
        <v>138.57047057801478</v>
      </c>
      <c r="D82" s="300">
        <f t="shared" si="7"/>
        <v>2017</v>
      </c>
      <c r="E82" s="302" t="str">
        <f t="shared" si="8"/>
        <v>3</v>
      </c>
    </row>
    <row r="83" spans="1:7">
      <c r="A83" s="295">
        <v>43070</v>
      </c>
      <c r="B83" s="518">
        <v>311.64514999999994</v>
      </c>
      <c r="C83" s="294">
        <v>146.37994829323446</v>
      </c>
      <c r="D83" s="300">
        <f t="shared" si="7"/>
        <v>2017</v>
      </c>
      <c r="E83" s="302" t="str">
        <f t="shared" si="8"/>
        <v>4</v>
      </c>
    </row>
    <row r="84" spans="1:7">
      <c r="A84" s="295">
        <v>43160</v>
      </c>
      <c r="B84" s="501">
        <v>288.85266000000001</v>
      </c>
      <c r="C84" s="292">
        <v>127.05420793713439</v>
      </c>
      <c r="D84" s="300">
        <f t="shared" si="7"/>
        <v>2018</v>
      </c>
      <c r="E84" s="302" t="str">
        <f t="shared" si="8"/>
        <v>1</v>
      </c>
    </row>
    <row r="85" spans="1:7">
      <c r="A85" s="295">
        <v>43252</v>
      </c>
      <c r="B85" s="518">
        <v>240.52067999999997</v>
      </c>
      <c r="C85" s="294">
        <v>138.38763106901277</v>
      </c>
      <c r="D85" s="300">
        <f t="shared" si="7"/>
        <v>2018</v>
      </c>
      <c r="E85" s="302" t="str">
        <f t="shared" si="8"/>
        <v>2</v>
      </c>
    </row>
    <row r="86" spans="1:7">
      <c r="A86" s="295">
        <v>43344</v>
      </c>
      <c r="B86" s="501">
        <v>322.13924600000007</v>
      </c>
      <c r="C86" s="292">
        <v>193.86647576907268</v>
      </c>
      <c r="D86" s="300">
        <f t="shared" si="7"/>
        <v>2018</v>
      </c>
      <c r="E86" s="302" t="str">
        <f t="shared" si="8"/>
        <v>3</v>
      </c>
    </row>
    <row r="87" spans="1:7">
      <c r="A87" s="295">
        <v>43435</v>
      </c>
      <c r="B87" s="518">
        <v>291.40313800000001</v>
      </c>
      <c r="C87" s="294">
        <v>168.78947262163106</v>
      </c>
      <c r="D87" s="300">
        <f t="shared" si="7"/>
        <v>2018</v>
      </c>
      <c r="E87" s="302" t="str">
        <f t="shared" si="8"/>
        <v>4</v>
      </c>
      <c r="G87" s="1536"/>
    </row>
    <row r="88" spans="1:7">
      <c r="A88" s="295">
        <v>43525</v>
      </c>
      <c r="B88" s="501">
        <v>245.62914000000001</v>
      </c>
      <c r="C88" s="292">
        <v>154.47429855541384</v>
      </c>
      <c r="D88" s="300">
        <f t="shared" si="7"/>
        <v>2019</v>
      </c>
      <c r="E88" s="302" t="str">
        <f t="shared" si="8"/>
        <v>1</v>
      </c>
    </row>
    <row r="89" spans="1:7">
      <c r="A89" s="295">
        <v>43617</v>
      </c>
      <c r="B89" s="518">
        <v>320.50612999999998</v>
      </c>
      <c r="C89" s="294">
        <v>186.05293449591397</v>
      </c>
      <c r="D89" s="300">
        <f t="shared" si="7"/>
        <v>2019</v>
      </c>
      <c r="E89" s="302" t="str">
        <f t="shared" si="8"/>
        <v>2</v>
      </c>
    </row>
    <row r="90" spans="1:7">
      <c r="A90" s="295">
        <v>43709</v>
      </c>
      <c r="B90" s="501">
        <v>313.91525000000001</v>
      </c>
      <c r="C90" s="292">
        <v>159.60179763440198</v>
      </c>
      <c r="D90" s="300">
        <f t="shared" si="7"/>
        <v>2019</v>
      </c>
      <c r="E90" s="302" t="str">
        <f t="shared" si="8"/>
        <v>3</v>
      </c>
    </row>
    <row r="91" spans="1:7" ht="15.75" thickBot="1">
      <c r="A91" s="293">
        <v>43800</v>
      </c>
      <c r="B91" s="519">
        <v>321.00593999999995</v>
      </c>
      <c r="C91" s="296">
        <v>168.55028157767819</v>
      </c>
      <c r="D91" s="300">
        <f t="shared" si="7"/>
        <v>2019</v>
      </c>
      <c r="E91" s="302" t="str">
        <f t="shared" si="8"/>
        <v>4</v>
      </c>
    </row>
    <row r="92" spans="1:7">
      <c r="B92" s="407"/>
      <c r="C92" s="71"/>
      <c r="D92" s="300">
        <f t="shared" si="7"/>
        <v>1900</v>
      </c>
      <c r="E92" s="302" t="str">
        <f t="shared" si="8"/>
        <v>4</v>
      </c>
    </row>
    <row r="93" spans="1:7">
      <c r="B93" s="530"/>
      <c r="C93" s="71"/>
      <c r="D93" s="300">
        <f t="shared" si="7"/>
        <v>1900</v>
      </c>
      <c r="E93" s="302" t="str">
        <f t="shared" si="8"/>
        <v>4</v>
      </c>
    </row>
    <row r="94" spans="1:7">
      <c r="B94" s="407"/>
      <c r="C94" s="71"/>
      <c r="D94" s="300">
        <f t="shared" si="7"/>
        <v>1900</v>
      </c>
      <c r="E94" s="302" t="str">
        <f t="shared" si="8"/>
        <v>4</v>
      </c>
    </row>
    <row r="95" spans="1:7">
      <c r="B95" s="407"/>
      <c r="C95" s="71"/>
      <c r="D95" s="300">
        <f t="shared" si="7"/>
        <v>1900</v>
      </c>
      <c r="E95" s="302" t="str">
        <f t="shared" si="8"/>
        <v>4</v>
      </c>
    </row>
    <row r="96" spans="1:7">
      <c r="B96" s="407"/>
      <c r="C96" s="71"/>
      <c r="D96" s="300">
        <f t="shared" si="7"/>
        <v>1900</v>
      </c>
      <c r="E96" s="302" t="str">
        <f t="shared" si="8"/>
        <v>4</v>
      </c>
    </row>
    <row r="97" spans="2:5">
      <c r="B97" s="407"/>
      <c r="C97" s="71"/>
      <c r="D97" s="300">
        <f t="shared" si="7"/>
        <v>1900</v>
      </c>
      <c r="E97" s="302" t="str">
        <f t="shared" si="8"/>
        <v>4</v>
      </c>
    </row>
    <row r="98" spans="2:5">
      <c r="B98" s="407"/>
      <c r="C98" s="71"/>
      <c r="D98" s="300">
        <f t="shared" si="7"/>
        <v>1900</v>
      </c>
      <c r="E98" s="302" t="str">
        <f t="shared" si="8"/>
        <v>4</v>
      </c>
    </row>
    <row r="99" spans="2:5">
      <c r="B99" s="407"/>
      <c r="C99" s="71"/>
      <c r="D99" s="300">
        <f t="shared" si="7"/>
        <v>1900</v>
      </c>
      <c r="E99" s="302" t="str">
        <f t="shared" si="8"/>
        <v>4</v>
      </c>
    </row>
    <row r="100" spans="2:5">
      <c r="B100" s="407"/>
      <c r="C100" s="71"/>
      <c r="D100" s="300">
        <f t="shared" si="7"/>
        <v>1900</v>
      </c>
      <c r="E100" s="302" t="str">
        <f t="shared" si="8"/>
        <v>4</v>
      </c>
    </row>
    <row r="101" spans="2:5">
      <c r="B101" s="407"/>
      <c r="C101" s="71"/>
      <c r="D101" s="300">
        <f t="shared" si="7"/>
        <v>1900</v>
      </c>
      <c r="E101" s="302" t="str">
        <f t="shared" si="8"/>
        <v>4</v>
      </c>
    </row>
    <row r="102" spans="2:5">
      <c r="B102" s="407"/>
      <c r="C102" s="71"/>
      <c r="D102" s="300">
        <f t="shared" si="7"/>
        <v>1900</v>
      </c>
      <c r="E102" s="302" t="str">
        <f t="shared" si="8"/>
        <v>4</v>
      </c>
    </row>
    <row r="103" spans="2:5">
      <c r="B103" s="407"/>
      <c r="C103" s="71"/>
      <c r="D103" s="300">
        <f t="shared" si="7"/>
        <v>1900</v>
      </c>
      <c r="E103" s="302" t="str">
        <f t="shared" si="8"/>
        <v>4</v>
      </c>
    </row>
    <row r="104" spans="2:5">
      <c r="B104" s="407"/>
      <c r="C104" s="71"/>
      <c r="D104" s="300">
        <f t="shared" si="7"/>
        <v>1900</v>
      </c>
      <c r="E104" s="302" t="str">
        <f t="shared" si="8"/>
        <v>4</v>
      </c>
    </row>
    <row r="105" spans="2:5">
      <c r="B105" s="407"/>
      <c r="C105" s="71"/>
      <c r="D105" s="300">
        <f t="shared" si="7"/>
        <v>1900</v>
      </c>
      <c r="E105" s="302" t="str">
        <f t="shared" si="8"/>
        <v>4</v>
      </c>
    </row>
    <row r="106" spans="2:5">
      <c r="B106" s="407"/>
      <c r="C106" s="71"/>
      <c r="D106" s="300">
        <f t="shared" si="7"/>
        <v>1900</v>
      </c>
      <c r="E106" s="302" t="str">
        <f t="shared" si="8"/>
        <v>4</v>
      </c>
    </row>
    <row r="107" spans="2:5">
      <c r="B107" s="407"/>
      <c r="C107" s="71"/>
      <c r="D107" s="300">
        <f t="shared" si="7"/>
        <v>1900</v>
      </c>
      <c r="E107" s="302" t="str">
        <f t="shared" si="8"/>
        <v>4</v>
      </c>
    </row>
    <row r="108" spans="2:5">
      <c r="B108" s="407"/>
      <c r="C108" s="71"/>
      <c r="D108" s="300">
        <f t="shared" si="7"/>
        <v>1900</v>
      </c>
      <c r="E108" s="302" t="str">
        <f t="shared" si="8"/>
        <v>4</v>
      </c>
    </row>
    <row r="109" spans="2:5">
      <c r="B109" s="407"/>
      <c r="C109" s="71"/>
      <c r="D109" s="300">
        <f t="shared" si="7"/>
        <v>1900</v>
      </c>
      <c r="E109" s="302" t="str">
        <f t="shared" si="8"/>
        <v>4</v>
      </c>
    </row>
    <row r="110" spans="2:5">
      <c r="B110" s="407"/>
      <c r="C110" s="71"/>
      <c r="D110" s="300">
        <f t="shared" si="7"/>
        <v>1900</v>
      </c>
      <c r="E110" s="302" t="str">
        <f t="shared" si="8"/>
        <v>4</v>
      </c>
    </row>
    <row r="111" spans="2:5">
      <c r="B111" s="407"/>
      <c r="C111" s="71"/>
      <c r="D111" s="300">
        <f t="shared" si="7"/>
        <v>1900</v>
      </c>
      <c r="E111" s="302" t="str">
        <f t="shared" si="8"/>
        <v>4</v>
      </c>
    </row>
    <row r="112" spans="2:5">
      <c r="B112" s="407"/>
      <c r="C112" s="71"/>
      <c r="D112" s="300">
        <f t="shared" si="7"/>
        <v>1900</v>
      </c>
      <c r="E112" s="302" t="str">
        <f t="shared" si="8"/>
        <v>4</v>
      </c>
    </row>
    <row r="113" spans="2:5">
      <c r="B113" s="407"/>
      <c r="C113" s="71"/>
      <c r="D113" s="300">
        <f t="shared" si="7"/>
        <v>1900</v>
      </c>
      <c r="E113" s="302" t="str">
        <f t="shared" si="8"/>
        <v>4</v>
      </c>
    </row>
    <row r="114" spans="2:5">
      <c r="B114" s="407"/>
      <c r="C114" s="71"/>
      <c r="D114" s="300">
        <f t="shared" si="7"/>
        <v>1900</v>
      </c>
      <c r="E114" s="302" t="str">
        <f t="shared" si="8"/>
        <v>4</v>
      </c>
    </row>
    <row r="115" spans="2:5">
      <c r="B115" s="407"/>
      <c r="C115" s="71"/>
      <c r="D115" s="300">
        <f t="shared" si="7"/>
        <v>1900</v>
      </c>
      <c r="E115" s="302" t="str">
        <f t="shared" si="8"/>
        <v>4</v>
      </c>
    </row>
    <row r="116" spans="2:5">
      <c r="B116" s="407"/>
      <c r="C116" s="71"/>
      <c r="D116" s="300">
        <f t="shared" si="7"/>
        <v>1900</v>
      </c>
      <c r="E116" s="302" t="str">
        <f t="shared" si="8"/>
        <v>4</v>
      </c>
    </row>
    <row r="117" spans="2:5">
      <c r="B117" s="407"/>
      <c r="C117" s="71"/>
      <c r="D117" s="300">
        <f t="shared" si="7"/>
        <v>1900</v>
      </c>
      <c r="E117" s="302" t="str">
        <f t="shared" si="8"/>
        <v>4</v>
      </c>
    </row>
    <row r="118" spans="2:5">
      <c r="B118" s="407"/>
      <c r="C118" s="71"/>
      <c r="D118" s="300">
        <f t="shared" si="7"/>
        <v>1900</v>
      </c>
      <c r="E118" s="302" t="str">
        <f t="shared" si="8"/>
        <v>4</v>
      </c>
    </row>
    <row r="119" spans="2:5">
      <c r="B119" s="407"/>
      <c r="C119" s="71"/>
      <c r="D119" s="300">
        <f t="shared" si="7"/>
        <v>1900</v>
      </c>
      <c r="E119" s="302" t="str">
        <f t="shared" si="8"/>
        <v>4</v>
      </c>
    </row>
    <row r="120" spans="2:5">
      <c r="B120" s="407"/>
      <c r="C120" s="71"/>
      <c r="D120" s="300">
        <f t="shared" si="7"/>
        <v>1900</v>
      </c>
      <c r="E120" s="302" t="str">
        <f t="shared" si="8"/>
        <v>4</v>
      </c>
    </row>
    <row r="121" spans="2:5">
      <c r="B121" s="407"/>
      <c r="C121" s="71"/>
      <c r="D121" s="300">
        <f t="shared" si="7"/>
        <v>1900</v>
      </c>
      <c r="E121" s="302" t="str">
        <f t="shared" si="8"/>
        <v>4</v>
      </c>
    </row>
    <row r="122" spans="2:5">
      <c r="B122" s="407"/>
      <c r="C122" s="71"/>
      <c r="D122" s="300">
        <f t="shared" si="7"/>
        <v>1900</v>
      </c>
      <c r="E122" s="302" t="str">
        <f t="shared" si="8"/>
        <v>4</v>
      </c>
    </row>
    <row r="123" spans="2:5">
      <c r="B123" s="407"/>
      <c r="C123" s="71"/>
      <c r="D123" s="300">
        <f t="shared" si="7"/>
        <v>1900</v>
      </c>
      <c r="E123" s="302" t="str">
        <f t="shared" si="8"/>
        <v>4</v>
      </c>
    </row>
    <row r="124" spans="2:5">
      <c r="B124" s="407"/>
      <c r="C124" s="71"/>
      <c r="D124" s="300">
        <f t="shared" si="7"/>
        <v>1900</v>
      </c>
      <c r="E124" s="302" t="str">
        <f t="shared" si="8"/>
        <v>4</v>
      </c>
    </row>
    <row r="125" spans="2:5">
      <c r="B125" s="407"/>
      <c r="C125" s="71"/>
      <c r="D125" s="300">
        <f t="shared" si="7"/>
        <v>1900</v>
      </c>
      <c r="E125" s="302" t="str">
        <f t="shared" si="8"/>
        <v>4</v>
      </c>
    </row>
    <row r="126" spans="2:5">
      <c r="B126" s="407"/>
      <c r="C126" s="71"/>
      <c r="D126" s="300">
        <f t="shared" si="7"/>
        <v>1900</v>
      </c>
      <c r="E126" s="302" t="str">
        <f t="shared" si="8"/>
        <v>4</v>
      </c>
    </row>
    <row r="127" spans="2:5">
      <c r="B127" s="407"/>
      <c r="C127" s="71"/>
      <c r="D127" s="300">
        <f t="shared" si="7"/>
        <v>1900</v>
      </c>
      <c r="E127" s="302" t="str">
        <f t="shared" si="8"/>
        <v>4</v>
      </c>
    </row>
    <row r="128" spans="2:5">
      <c r="B128" s="407"/>
      <c r="C128" s="71"/>
      <c r="D128" s="300">
        <f t="shared" si="7"/>
        <v>1900</v>
      </c>
      <c r="E128" s="302" t="str">
        <f t="shared" si="8"/>
        <v>4</v>
      </c>
    </row>
    <row r="129" spans="2:5">
      <c r="B129" s="407"/>
      <c r="C129" s="71"/>
      <c r="D129" s="300">
        <f t="shared" si="7"/>
        <v>1900</v>
      </c>
      <c r="E129" s="302" t="str">
        <f t="shared" si="8"/>
        <v>4</v>
      </c>
    </row>
    <row r="130" spans="2:5">
      <c r="B130" s="407"/>
      <c r="C130" s="71"/>
      <c r="D130" s="300">
        <f t="shared" si="7"/>
        <v>1900</v>
      </c>
      <c r="E130" s="302" t="str">
        <f t="shared" si="8"/>
        <v>4</v>
      </c>
    </row>
    <row r="131" spans="2:5">
      <c r="B131" s="407"/>
      <c r="C131" s="71"/>
      <c r="D131" s="300">
        <f t="shared" si="7"/>
        <v>1900</v>
      </c>
      <c r="E131" s="302" t="str">
        <f t="shared" si="8"/>
        <v>4</v>
      </c>
    </row>
    <row r="132" spans="2:5">
      <c r="B132" s="407"/>
      <c r="C132" s="71"/>
      <c r="D132" s="300">
        <f t="shared" si="7"/>
        <v>1900</v>
      </c>
      <c r="E132" s="302" t="str">
        <f t="shared" si="8"/>
        <v>4</v>
      </c>
    </row>
    <row r="133" spans="2:5">
      <c r="B133" s="407"/>
      <c r="C133" s="71"/>
      <c r="D133" s="300">
        <f t="shared" si="7"/>
        <v>1900</v>
      </c>
      <c r="E133" s="302" t="str">
        <f t="shared" si="8"/>
        <v>4</v>
      </c>
    </row>
    <row r="134" spans="2:5">
      <c r="B134" s="407"/>
      <c r="C134" s="71"/>
      <c r="D134" s="300">
        <f t="shared" si="7"/>
        <v>1900</v>
      </c>
      <c r="E134" s="302" t="str">
        <f t="shared" si="8"/>
        <v>4</v>
      </c>
    </row>
    <row r="135" spans="2:5">
      <c r="B135" s="407"/>
      <c r="C135" s="71"/>
      <c r="D135" s="300">
        <f t="shared" si="7"/>
        <v>1900</v>
      </c>
      <c r="E135" s="302" t="str">
        <f t="shared" si="8"/>
        <v>4</v>
      </c>
    </row>
    <row r="136" spans="2:5">
      <c r="B136" s="407"/>
      <c r="C136" s="71"/>
      <c r="D136" s="300">
        <f t="shared" si="7"/>
        <v>1900</v>
      </c>
      <c r="E136" s="302" t="str">
        <f t="shared" si="8"/>
        <v>4</v>
      </c>
    </row>
    <row r="137" spans="2:5">
      <c r="B137" s="407"/>
      <c r="C137" s="71"/>
      <c r="D137" s="300">
        <f t="shared" si="7"/>
        <v>1900</v>
      </c>
      <c r="E137" s="302" t="str">
        <f t="shared" si="8"/>
        <v>4</v>
      </c>
    </row>
    <row r="138" spans="2:5">
      <c r="B138" s="407"/>
      <c r="C138" s="71"/>
      <c r="D138" s="300">
        <f t="shared" si="7"/>
        <v>1900</v>
      </c>
      <c r="E138" s="302" t="str">
        <f t="shared" si="8"/>
        <v>4</v>
      </c>
    </row>
    <row r="139" spans="2:5">
      <c r="B139" s="407"/>
      <c r="C139" s="71"/>
      <c r="D139" s="300">
        <f t="shared" si="7"/>
        <v>1900</v>
      </c>
      <c r="E139" s="302" t="str">
        <f t="shared" si="8"/>
        <v>4</v>
      </c>
    </row>
    <row r="140" spans="2:5">
      <c r="B140" s="407"/>
      <c r="C140" s="71"/>
      <c r="D140" s="300">
        <f t="shared" ref="D140:D203" si="9">YEAR(A140)</f>
        <v>1900</v>
      </c>
      <c r="E140" s="302" t="str">
        <f t="shared" ref="E140:E203" si="10">IF(MONTH(A140)=3,"1",IF(MONTH(A140)=6,"2",IF(MONTH(A140)=9,"3","4")))</f>
        <v>4</v>
      </c>
    </row>
    <row r="141" spans="2:5">
      <c r="B141" s="407"/>
      <c r="C141" s="71"/>
      <c r="D141" s="300">
        <f t="shared" si="9"/>
        <v>1900</v>
      </c>
      <c r="E141" s="302" t="str">
        <f t="shared" si="10"/>
        <v>4</v>
      </c>
    </row>
    <row r="142" spans="2:5">
      <c r="C142" s="71"/>
      <c r="D142" s="300">
        <f t="shared" si="9"/>
        <v>1900</v>
      </c>
      <c r="E142" s="302" t="str">
        <f t="shared" si="10"/>
        <v>4</v>
      </c>
    </row>
    <row r="143" spans="2:5">
      <c r="C143" s="71"/>
      <c r="D143" s="300">
        <f t="shared" si="9"/>
        <v>1900</v>
      </c>
      <c r="E143" s="302" t="str">
        <f t="shared" si="10"/>
        <v>4</v>
      </c>
    </row>
    <row r="144" spans="2:5">
      <c r="C144" s="71"/>
      <c r="D144" s="300">
        <f t="shared" si="9"/>
        <v>1900</v>
      </c>
      <c r="E144" s="302" t="str">
        <f t="shared" si="10"/>
        <v>4</v>
      </c>
    </row>
    <row r="145" spans="3:5">
      <c r="C145" s="71"/>
      <c r="D145" s="300">
        <f t="shared" si="9"/>
        <v>1900</v>
      </c>
      <c r="E145" s="302" t="str">
        <f t="shared" si="10"/>
        <v>4</v>
      </c>
    </row>
    <row r="146" spans="3:5">
      <c r="C146" s="71"/>
      <c r="D146" s="300">
        <f t="shared" si="9"/>
        <v>1900</v>
      </c>
      <c r="E146" s="302" t="str">
        <f t="shared" si="10"/>
        <v>4</v>
      </c>
    </row>
    <row r="147" spans="3:5">
      <c r="C147" s="71"/>
      <c r="D147" s="300">
        <f t="shared" si="9"/>
        <v>1900</v>
      </c>
      <c r="E147" s="302" t="str">
        <f t="shared" si="10"/>
        <v>4</v>
      </c>
    </row>
    <row r="148" spans="3:5">
      <c r="C148" s="71"/>
      <c r="D148" s="300">
        <f t="shared" si="9"/>
        <v>1900</v>
      </c>
      <c r="E148" s="302" t="str">
        <f t="shared" si="10"/>
        <v>4</v>
      </c>
    </row>
    <row r="149" spans="3:5">
      <c r="C149" s="71"/>
      <c r="D149" s="300">
        <f t="shared" si="9"/>
        <v>1900</v>
      </c>
      <c r="E149" s="302" t="str">
        <f t="shared" si="10"/>
        <v>4</v>
      </c>
    </row>
    <row r="150" spans="3:5">
      <c r="C150" s="71"/>
      <c r="D150" s="300">
        <f t="shared" si="9"/>
        <v>1900</v>
      </c>
      <c r="E150" s="302" t="str">
        <f t="shared" si="10"/>
        <v>4</v>
      </c>
    </row>
    <row r="151" spans="3:5">
      <c r="C151" s="71"/>
      <c r="D151" s="300">
        <f t="shared" si="9"/>
        <v>1900</v>
      </c>
      <c r="E151" s="302" t="str">
        <f t="shared" si="10"/>
        <v>4</v>
      </c>
    </row>
    <row r="152" spans="3:5">
      <c r="C152" s="71"/>
      <c r="D152" s="300">
        <f t="shared" si="9"/>
        <v>1900</v>
      </c>
      <c r="E152" s="302" t="str">
        <f t="shared" si="10"/>
        <v>4</v>
      </c>
    </row>
    <row r="153" spans="3:5">
      <c r="C153" s="71"/>
      <c r="D153" s="300">
        <f t="shared" si="9"/>
        <v>1900</v>
      </c>
      <c r="E153" s="302" t="str">
        <f t="shared" si="10"/>
        <v>4</v>
      </c>
    </row>
    <row r="154" spans="3:5">
      <c r="C154" s="71"/>
      <c r="D154" s="300">
        <f t="shared" si="9"/>
        <v>1900</v>
      </c>
      <c r="E154" s="302" t="str">
        <f t="shared" si="10"/>
        <v>4</v>
      </c>
    </row>
    <row r="155" spans="3:5">
      <c r="C155" s="71"/>
      <c r="D155" s="300">
        <f t="shared" si="9"/>
        <v>1900</v>
      </c>
      <c r="E155" s="302" t="str">
        <f t="shared" si="10"/>
        <v>4</v>
      </c>
    </row>
    <row r="156" spans="3:5">
      <c r="C156" s="71"/>
      <c r="D156" s="300">
        <f t="shared" si="9"/>
        <v>1900</v>
      </c>
      <c r="E156" s="302" t="str">
        <f t="shared" si="10"/>
        <v>4</v>
      </c>
    </row>
    <row r="157" spans="3:5">
      <c r="C157" s="71"/>
      <c r="D157" s="300">
        <f t="shared" si="9"/>
        <v>1900</v>
      </c>
      <c r="E157" s="302" t="str">
        <f t="shared" si="10"/>
        <v>4</v>
      </c>
    </row>
    <row r="158" spans="3:5">
      <c r="C158" s="71"/>
      <c r="D158" s="300">
        <f t="shared" si="9"/>
        <v>1900</v>
      </c>
      <c r="E158" s="302" t="str">
        <f t="shared" si="10"/>
        <v>4</v>
      </c>
    </row>
    <row r="159" spans="3:5">
      <c r="C159" s="71"/>
      <c r="D159" s="300">
        <f t="shared" si="9"/>
        <v>1900</v>
      </c>
      <c r="E159" s="302" t="str">
        <f t="shared" si="10"/>
        <v>4</v>
      </c>
    </row>
    <row r="160" spans="3:5">
      <c r="C160" s="71"/>
      <c r="D160" s="300">
        <f t="shared" si="9"/>
        <v>1900</v>
      </c>
      <c r="E160" s="302" t="str">
        <f t="shared" si="10"/>
        <v>4</v>
      </c>
    </row>
    <row r="161" spans="3:5">
      <c r="C161" s="71"/>
      <c r="D161" s="300">
        <f t="shared" si="9"/>
        <v>1900</v>
      </c>
      <c r="E161" s="302" t="str">
        <f t="shared" si="10"/>
        <v>4</v>
      </c>
    </row>
    <row r="162" spans="3:5">
      <c r="C162" s="71"/>
      <c r="D162" s="300">
        <f t="shared" si="9"/>
        <v>1900</v>
      </c>
      <c r="E162" s="302" t="str">
        <f t="shared" si="10"/>
        <v>4</v>
      </c>
    </row>
    <row r="163" spans="3:5">
      <c r="C163" s="71"/>
      <c r="D163" s="300">
        <f t="shared" si="9"/>
        <v>1900</v>
      </c>
      <c r="E163" s="302" t="str">
        <f t="shared" si="10"/>
        <v>4</v>
      </c>
    </row>
    <row r="164" spans="3:5">
      <c r="C164" s="71"/>
      <c r="D164" s="300">
        <f t="shared" si="9"/>
        <v>1900</v>
      </c>
      <c r="E164" s="302" t="str">
        <f t="shared" si="10"/>
        <v>4</v>
      </c>
    </row>
    <row r="165" spans="3:5">
      <c r="C165" s="71"/>
      <c r="D165" s="300">
        <f t="shared" si="9"/>
        <v>1900</v>
      </c>
      <c r="E165" s="302" t="str">
        <f t="shared" si="10"/>
        <v>4</v>
      </c>
    </row>
    <row r="166" spans="3:5">
      <c r="C166" s="71"/>
      <c r="D166" s="300">
        <f t="shared" si="9"/>
        <v>1900</v>
      </c>
      <c r="E166" s="302" t="str">
        <f t="shared" si="10"/>
        <v>4</v>
      </c>
    </row>
    <row r="167" spans="3:5">
      <c r="C167" s="71"/>
      <c r="D167" s="300">
        <f t="shared" si="9"/>
        <v>1900</v>
      </c>
      <c r="E167" s="302" t="str">
        <f t="shared" si="10"/>
        <v>4</v>
      </c>
    </row>
    <row r="168" spans="3:5">
      <c r="C168" s="71"/>
      <c r="D168" s="300">
        <f t="shared" si="9"/>
        <v>1900</v>
      </c>
      <c r="E168" s="302" t="str">
        <f t="shared" si="10"/>
        <v>4</v>
      </c>
    </row>
    <row r="169" spans="3:5">
      <c r="C169" s="71"/>
      <c r="D169" s="300">
        <f t="shared" si="9"/>
        <v>1900</v>
      </c>
      <c r="E169" s="302" t="str">
        <f t="shared" si="10"/>
        <v>4</v>
      </c>
    </row>
    <row r="170" spans="3:5">
      <c r="C170" s="71"/>
      <c r="D170" s="300">
        <f t="shared" si="9"/>
        <v>1900</v>
      </c>
      <c r="E170" s="302" t="str">
        <f t="shared" si="10"/>
        <v>4</v>
      </c>
    </row>
    <row r="171" spans="3:5">
      <c r="C171" s="71"/>
      <c r="D171" s="300">
        <f t="shared" si="9"/>
        <v>1900</v>
      </c>
      <c r="E171" s="302" t="str">
        <f t="shared" si="10"/>
        <v>4</v>
      </c>
    </row>
    <row r="172" spans="3:5">
      <c r="C172" s="71"/>
      <c r="D172" s="300">
        <f t="shared" si="9"/>
        <v>1900</v>
      </c>
      <c r="E172" s="302" t="str">
        <f t="shared" si="10"/>
        <v>4</v>
      </c>
    </row>
    <row r="173" spans="3:5">
      <c r="C173" s="71"/>
      <c r="D173" s="300">
        <f t="shared" si="9"/>
        <v>1900</v>
      </c>
      <c r="E173" s="302" t="str">
        <f t="shared" si="10"/>
        <v>4</v>
      </c>
    </row>
    <row r="174" spans="3:5">
      <c r="C174" s="71"/>
      <c r="D174" s="300">
        <f t="shared" si="9"/>
        <v>1900</v>
      </c>
      <c r="E174" s="302" t="str">
        <f t="shared" si="10"/>
        <v>4</v>
      </c>
    </row>
    <row r="175" spans="3:5">
      <c r="C175" s="71"/>
      <c r="D175" s="300">
        <f t="shared" si="9"/>
        <v>1900</v>
      </c>
      <c r="E175" s="302" t="str">
        <f t="shared" si="10"/>
        <v>4</v>
      </c>
    </row>
    <row r="176" spans="3:5">
      <c r="C176" s="71"/>
      <c r="D176" s="300">
        <f t="shared" si="9"/>
        <v>1900</v>
      </c>
      <c r="E176" s="302" t="str">
        <f t="shared" si="10"/>
        <v>4</v>
      </c>
    </row>
    <row r="177" spans="3:5">
      <c r="C177" s="71"/>
      <c r="D177" s="300">
        <f t="shared" si="9"/>
        <v>1900</v>
      </c>
      <c r="E177" s="302" t="str">
        <f t="shared" si="10"/>
        <v>4</v>
      </c>
    </row>
    <row r="178" spans="3:5">
      <c r="C178" s="71"/>
      <c r="D178" s="300">
        <f t="shared" si="9"/>
        <v>1900</v>
      </c>
      <c r="E178" s="302" t="str">
        <f t="shared" si="10"/>
        <v>4</v>
      </c>
    </row>
    <row r="179" spans="3:5">
      <c r="C179" s="71"/>
      <c r="D179" s="300">
        <f t="shared" si="9"/>
        <v>1900</v>
      </c>
      <c r="E179" s="302" t="str">
        <f t="shared" si="10"/>
        <v>4</v>
      </c>
    </row>
    <row r="180" spans="3:5">
      <c r="C180" s="71"/>
      <c r="D180" s="300">
        <f t="shared" si="9"/>
        <v>1900</v>
      </c>
      <c r="E180" s="302" t="str">
        <f t="shared" si="10"/>
        <v>4</v>
      </c>
    </row>
    <row r="181" spans="3:5">
      <c r="C181" s="71"/>
      <c r="D181" s="300">
        <f t="shared" si="9"/>
        <v>1900</v>
      </c>
      <c r="E181" s="302" t="str">
        <f t="shared" si="10"/>
        <v>4</v>
      </c>
    </row>
    <row r="182" spans="3:5">
      <c r="C182" s="71"/>
      <c r="D182" s="300">
        <f t="shared" si="9"/>
        <v>1900</v>
      </c>
      <c r="E182" s="302" t="str">
        <f t="shared" si="10"/>
        <v>4</v>
      </c>
    </row>
    <row r="183" spans="3:5">
      <c r="C183" s="71"/>
      <c r="D183" s="300">
        <f t="shared" si="9"/>
        <v>1900</v>
      </c>
      <c r="E183" s="302" t="str">
        <f t="shared" si="10"/>
        <v>4</v>
      </c>
    </row>
    <row r="184" spans="3:5">
      <c r="C184" s="71"/>
      <c r="D184" s="300">
        <f t="shared" si="9"/>
        <v>1900</v>
      </c>
      <c r="E184" s="302" t="str">
        <f t="shared" si="10"/>
        <v>4</v>
      </c>
    </row>
    <row r="185" spans="3:5">
      <c r="C185" s="71"/>
      <c r="D185" s="300">
        <f t="shared" si="9"/>
        <v>1900</v>
      </c>
      <c r="E185" s="302" t="str">
        <f t="shared" si="10"/>
        <v>4</v>
      </c>
    </row>
    <row r="186" spans="3:5">
      <c r="C186" s="71"/>
      <c r="D186" s="300">
        <f t="shared" si="9"/>
        <v>1900</v>
      </c>
      <c r="E186" s="302" t="str">
        <f t="shared" si="10"/>
        <v>4</v>
      </c>
    </row>
    <row r="187" spans="3:5">
      <c r="C187" s="71"/>
      <c r="D187" s="300">
        <f t="shared" si="9"/>
        <v>1900</v>
      </c>
      <c r="E187" s="302" t="str">
        <f t="shared" si="10"/>
        <v>4</v>
      </c>
    </row>
    <row r="188" spans="3:5">
      <c r="C188" s="71"/>
      <c r="D188" s="300">
        <f t="shared" si="9"/>
        <v>1900</v>
      </c>
      <c r="E188" s="302" t="str">
        <f t="shared" si="10"/>
        <v>4</v>
      </c>
    </row>
    <row r="189" spans="3:5">
      <c r="C189" s="71"/>
      <c r="D189" s="300">
        <f t="shared" si="9"/>
        <v>1900</v>
      </c>
      <c r="E189" s="302" t="str">
        <f t="shared" si="10"/>
        <v>4</v>
      </c>
    </row>
    <row r="190" spans="3:5">
      <c r="C190" s="71"/>
      <c r="D190" s="300">
        <f t="shared" si="9"/>
        <v>1900</v>
      </c>
      <c r="E190" s="302" t="str">
        <f t="shared" si="10"/>
        <v>4</v>
      </c>
    </row>
    <row r="191" spans="3:5">
      <c r="C191" s="71"/>
      <c r="D191" s="300">
        <f t="shared" si="9"/>
        <v>1900</v>
      </c>
      <c r="E191" s="302" t="str">
        <f t="shared" si="10"/>
        <v>4</v>
      </c>
    </row>
    <row r="192" spans="3:5">
      <c r="C192" s="71"/>
      <c r="D192" s="300">
        <f t="shared" si="9"/>
        <v>1900</v>
      </c>
      <c r="E192" s="302" t="str">
        <f t="shared" si="10"/>
        <v>4</v>
      </c>
    </row>
    <row r="193" spans="3:5">
      <c r="C193" s="71"/>
      <c r="D193" s="300">
        <f t="shared" si="9"/>
        <v>1900</v>
      </c>
      <c r="E193" s="302" t="str">
        <f t="shared" si="10"/>
        <v>4</v>
      </c>
    </row>
    <row r="194" spans="3:5">
      <c r="C194" s="71"/>
      <c r="D194" s="300">
        <f t="shared" si="9"/>
        <v>1900</v>
      </c>
      <c r="E194" s="302" t="str">
        <f t="shared" si="10"/>
        <v>4</v>
      </c>
    </row>
    <row r="195" spans="3:5">
      <c r="C195" s="71"/>
      <c r="D195" s="300">
        <f t="shared" si="9"/>
        <v>1900</v>
      </c>
      <c r="E195" s="302" t="str">
        <f t="shared" si="10"/>
        <v>4</v>
      </c>
    </row>
    <row r="196" spans="3:5">
      <c r="C196" s="71"/>
      <c r="D196" s="300">
        <f t="shared" si="9"/>
        <v>1900</v>
      </c>
      <c r="E196" s="302" t="str">
        <f t="shared" si="10"/>
        <v>4</v>
      </c>
    </row>
    <row r="197" spans="3:5">
      <c r="C197" s="71"/>
      <c r="D197" s="300">
        <f t="shared" si="9"/>
        <v>1900</v>
      </c>
      <c r="E197" s="302" t="str">
        <f t="shared" si="10"/>
        <v>4</v>
      </c>
    </row>
    <row r="198" spans="3:5">
      <c r="C198" s="71"/>
      <c r="D198" s="300">
        <f t="shared" si="9"/>
        <v>1900</v>
      </c>
      <c r="E198" s="302" t="str">
        <f t="shared" si="10"/>
        <v>4</v>
      </c>
    </row>
    <row r="199" spans="3:5">
      <c r="C199" s="71"/>
      <c r="D199" s="300">
        <f t="shared" si="9"/>
        <v>1900</v>
      </c>
      <c r="E199" s="302" t="str">
        <f t="shared" si="10"/>
        <v>4</v>
      </c>
    </row>
    <row r="200" spans="3:5">
      <c r="C200" s="71"/>
      <c r="D200" s="300">
        <f t="shared" si="9"/>
        <v>1900</v>
      </c>
      <c r="E200" s="302" t="str">
        <f t="shared" si="10"/>
        <v>4</v>
      </c>
    </row>
    <row r="201" spans="3:5">
      <c r="C201" s="71"/>
      <c r="D201" s="300">
        <f t="shared" si="9"/>
        <v>1900</v>
      </c>
      <c r="E201" s="302" t="str">
        <f t="shared" si="10"/>
        <v>4</v>
      </c>
    </row>
    <row r="202" spans="3:5">
      <c r="C202" s="71"/>
      <c r="D202" s="300">
        <f t="shared" si="9"/>
        <v>1900</v>
      </c>
      <c r="E202" s="302" t="str">
        <f t="shared" si="10"/>
        <v>4</v>
      </c>
    </row>
    <row r="203" spans="3:5">
      <c r="C203" s="71"/>
      <c r="D203" s="300">
        <f t="shared" si="9"/>
        <v>1900</v>
      </c>
      <c r="E203" s="302" t="str">
        <f t="shared" si="10"/>
        <v>4</v>
      </c>
    </row>
    <row r="204" spans="3:5">
      <c r="C204" s="71"/>
      <c r="D204" s="300">
        <f t="shared" ref="D204:D250" si="11">YEAR(A204)</f>
        <v>1900</v>
      </c>
      <c r="E204" s="302" t="str">
        <f t="shared" ref="E204:E250" si="12">IF(MONTH(A204)=3,"1",IF(MONTH(A204)=6,"2",IF(MONTH(A204)=9,"3","4")))</f>
        <v>4</v>
      </c>
    </row>
    <row r="205" spans="3:5">
      <c r="C205" s="71"/>
      <c r="D205" s="300">
        <f t="shared" si="11"/>
        <v>1900</v>
      </c>
      <c r="E205" s="302" t="str">
        <f t="shared" si="12"/>
        <v>4</v>
      </c>
    </row>
    <row r="206" spans="3:5">
      <c r="C206" s="71"/>
      <c r="D206" s="300">
        <f t="shared" si="11"/>
        <v>1900</v>
      </c>
      <c r="E206" s="302" t="str">
        <f t="shared" si="12"/>
        <v>4</v>
      </c>
    </row>
    <row r="207" spans="3:5">
      <c r="C207" s="71"/>
      <c r="D207" s="300">
        <f t="shared" si="11"/>
        <v>1900</v>
      </c>
      <c r="E207" s="302" t="str">
        <f t="shared" si="12"/>
        <v>4</v>
      </c>
    </row>
    <row r="208" spans="3:5">
      <c r="C208" s="71"/>
      <c r="D208" s="300">
        <f t="shared" si="11"/>
        <v>1900</v>
      </c>
      <c r="E208" s="302" t="str">
        <f t="shared" si="12"/>
        <v>4</v>
      </c>
    </row>
    <row r="209" spans="3:5">
      <c r="C209" s="71"/>
      <c r="D209" s="300">
        <f t="shared" si="11"/>
        <v>1900</v>
      </c>
      <c r="E209" s="302" t="str">
        <f t="shared" si="12"/>
        <v>4</v>
      </c>
    </row>
    <row r="210" spans="3:5">
      <c r="C210" s="71"/>
      <c r="D210" s="300">
        <f t="shared" si="11"/>
        <v>1900</v>
      </c>
      <c r="E210" s="302" t="str">
        <f t="shared" si="12"/>
        <v>4</v>
      </c>
    </row>
    <row r="211" spans="3:5">
      <c r="C211" s="71"/>
      <c r="D211" s="300">
        <f t="shared" si="11"/>
        <v>1900</v>
      </c>
      <c r="E211" s="302" t="str">
        <f t="shared" si="12"/>
        <v>4</v>
      </c>
    </row>
    <row r="212" spans="3:5">
      <c r="C212" s="71"/>
      <c r="D212" s="300">
        <f t="shared" si="11"/>
        <v>1900</v>
      </c>
      <c r="E212" s="302" t="str">
        <f t="shared" si="12"/>
        <v>4</v>
      </c>
    </row>
    <row r="213" spans="3:5">
      <c r="C213" s="71"/>
      <c r="D213" s="300">
        <f t="shared" si="11"/>
        <v>1900</v>
      </c>
      <c r="E213" s="302" t="str">
        <f t="shared" si="12"/>
        <v>4</v>
      </c>
    </row>
    <row r="214" spans="3:5">
      <c r="C214" s="71"/>
      <c r="D214" s="300">
        <f t="shared" si="11"/>
        <v>1900</v>
      </c>
      <c r="E214" s="302" t="str">
        <f t="shared" si="12"/>
        <v>4</v>
      </c>
    </row>
    <row r="215" spans="3:5">
      <c r="C215" s="71"/>
      <c r="D215" s="300">
        <f t="shared" si="11"/>
        <v>1900</v>
      </c>
      <c r="E215" s="302" t="str">
        <f t="shared" si="12"/>
        <v>4</v>
      </c>
    </row>
    <row r="216" spans="3:5">
      <c r="C216" s="71"/>
      <c r="D216" s="300">
        <f t="shared" si="11"/>
        <v>1900</v>
      </c>
      <c r="E216" s="302" t="str">
        <f t="shared" si="12"/>
        <v>4</v>
      </c>
    </row>
    <row r="217" spans="3:5">
      <c r="C217" s="71"/>
      <c r="D217" s="300">
        <f t="shared" si="11"/>
        <v>1900</v>
      </c>
      <c r="E217" s="302" t="str">
        <f t="shared" si="12"/>
        <v>4</v>
      </c>
    </row>
    <row r="218" spans="3:5">
      <c r="C218" s="71"/>
      <c r="D218" s="300">
        <f t="shared" si="11"/>
        <v>1900</v>
      </c>
      <c r="E218" s="302" t="str">
        <f t="shared" si="12"/>
        <v>4</v>
      </c>
    </row>
    <row r="219" spans="3:5">
      <c r="C219" s="71"/>
      <c r="D219" s="300">
        <f t="shared" si="11"/>
        <v>1900</v>
      </c>
      <c r="E219" s="302" t="str">
        <f t="shared" si="12"/>
        <v>4</v>
      </c>
    </row>
    <row r="220" spans="3:5">
      <c r="C220" s="71"/>
      <c r="D220" s="300">
        <f t="shared" si="11"/>
        <v>1900</v>
      </c>
      <c r="E220" s="302" t="str">
        <f t="shared" si="12"/>
        <v>4</v>
      </c>
    </row>
    <row r="221" spans="3:5">
      <c r="C221" s="71"/>
      <c r="D221" s="300">
        <f t="shared" si="11"/>
        <v>1900</v>
      </c>
      <c r="E221" s="302" t="str">
        <f t="shared" si="12"/>
        <v>4</v>
      </c>
    </row>
    <row r="222" spans="3:5">
      <c r="C222" s="71"/>
      <c r="D222" s="300">
        <f t="shared" si="11"/>
        <v>1900</v>
      </c>
      <c r="E222" s="302" t="str">
        <f t="shared" si="12"/>
        <v>4</v>
      </c>
    </row>
    <row r="223" spans="3:5">
      <c r="C223" s="71"/>
      <c r="D223" s="300">
        <f t="shared" si="11"/>
        <v>1900</v>
      </c>
      <c r="E223" s="302" t="str">
        <f t="shared" si="12"/>
        <v>4</v>
      </c>
    </row>
    <row r="224" spans="3:5">
      <c r="C224" s="71"/>
      <c r="D224" s="300">
        <f t="shared" si="11"/>
        <v>1900</v>
      </c>
      <c r="E224" s="302" t="str">
        <f t="shared" si="12"/>
        <v>4</v>
      </c>
    </row>
    <row r="225" spans="3:5">
      <c r="C225" s="71"/>
      <c r="D225" s="300">
        <f t="shared" si="11"/>
        <v>1900</v>
      </c>
      <c r="E225" s="302" t="str">
        <f t="shared" si="12"/>
        <v>4</v>
      </c>
    </row>
    <row r="226" spans="3:5">
      <c r="C226" s="71"/>
      <c r="D226" s="300">
        <f t="shared" si="11"/>
        <v>1900</v>
      </c>
      <c r="E226" s="302" t="str">
        <f t="shared" si="12"/>
        <v>4</v>
      </c>
    </row>
    <row r="227" spans="3:5">
      <c r="C227" s="71"/>
      <c r="D227" s="300">
        <f t="shared" si="11"/>
        <v>1900</v>
      </c>
      <c r="E227" s="302" t="str">
        <f t="shared" si="12"/>
        <v>4</v>
      </c>
    </row>
    <row r="228" spans="3:5">
      <c r="C228" s="71"/>
      <c r="D228" s="300">
        <f t="shared" si="11"/>
        <v>1900</v>
      </c>
      <c r="E228" s="302" t="str">
        <f t="shared" si="12"/>
        <v>4</v>
      </c>
    </row>
    <row r="229" spans="3:5">
      <c r="C229" s="71"/>
      <c r="D229" s="300">
        <f t="shared" si="11"/>
        <v>1900</v>
      </c>
      <c r="E229" s="302" t="str">
        <f t="shared" si="12"/>
        <v>4</v>
      </c>
    </row>
    <row r="230" spans="3:5">
      <c r="C230" s="71"/>
      <c r="D230" s="300">
        <f t="shared" si="11"/>
        <v>1900</v>
      </c>
      <c r="E230" s="302" t="str">
        <f t="shared" si="12"/>
        <v>4</v>
      </c>
    </row>
    <row r="231" spans="3:5">
      <c r="C231" s="71"/>
      <c r="D231" s="300">
        <f t="shared" si="11"/>
        <v>1900</v>
      </c>
      <c r="E231" s="302" t="str">
        <f t="shared" si="12"/>
        <v>4</v>
      </c>
    </row>
    <row r="232" spans="3:5">
      <c r="C232" s="71"/>
      <c r="D232" s="300">
        <f t="shared" si="11"/>
        <v>1900</v>
      </c>
      <c r="E232" s="302" t="str">
        <f t="shared" si="12"/>
        <v>4</v>
      </c>
    </row>
    <row r="233" spans="3:5">
      <c r="C233" s="71"/>
      <c r="D233" s="300">
        <f t="shared" si="11"/>
        <v>1900</v>
      </c>
      <c r="E233" s="302" t="str">
        <f t="shared" si="12"/>
        <v>4</v>
      </c>
    </row>
    <row r="234" spans="3:5">
      <c r="C234" s="71"/>
      <c r="D234" s="300">
        <f t="shared" si="11"/>
        <v>1900</v>
      </c>
      <c r="E234" s="302" t="str">
        <f t="shared" si="12"/>
        <v>4</v>
      </c>
    </row>
    <row r="235" spans="3:5">
      <c r="C235" s="71"/>
      <c r="D235" s="300">
        <f t="shared" si="11"/>
        <v>1900</v>
      </c>
      <c r="E235" s="302" t="str">
        <f t="shared" si="12"/>
        <v>4</v>
      </c>
    </row>
    <row r="236" spans="3:5">
      <c r="C236" s="71"/>
      <c r="D236" s="300">
        <f t="shared" si="11"/>
        <v>1900</v>
      </c>
      <c r="E236" s="302" t="str">
        <f t="shared" si="12"/>
        <v>4</v>
      </c>
    </row>
    <row r="237" spans="3:5">
      <c r="C237" s="71"/>
      <c r="D237" s="300">
        <f t="shared" si="11"/>
        <v>1900</v>
      </c>
      <c r="E237" s="302" t="str">
        <f t="shared" si="12"/>
        <v>4</v>
      </c>
    </row>
    <row r="238" spans="3:5">
      <c r="C238" s="71"/>
      <c r="D238" s="300">
        <f t="shared" si="11"/>
        <v>1900</v>
      </c>
      <c r="E238" s="302" t="str">
        <f t="shared" si="12"/>
        <v>4</v>
      </c>
    </row>
    <row r="239" spans="3:5">
      <c r="C239" s="71"/>
      <c r="D239" s="300">
        <f t="shared" si="11"/>
        <v>1900</v>
      </c>
      <c r="E239" s="302" t="str">
        <f t="shared" si="12"/>
        <v>4</v>
      </c>
    </row>
    <row r="240" spans="3:5">
      <c r="C240" s="71"/>
      <c r="D240" s="300">
        <f t="shared" si="11"/>
        <v>1900</v>
      </c>
      <c r="E240" s="302" t="str">
        <f t="shared" si="12"/>
        <v>4</v>
      </c>
    </row>
    <row r="241" spans="3:5">
      <c r="C241" s="71"/>
      <c r="D241" s="300">
        <f t="shared" si="11"/>
        <v>1900</v>
      </c>
      <c r="E241" s="302" t="str">
        <f t="shared" si="12"/>
        <v>4</v>
      </c>
    </row>
    <row r="242" spans="3:5">
      <c r="C242" s="71"/>
      <c r="D242" s="300">
        <f t="shared" si="11"/>
        <v>1900</v>
      </c>
      <c r="E242" s="302" t="str">
        <f t="shared" si="12"/>
        <v>4</v>
      </c>
    </row>
    <row r="243" spans="3:5">
      <c r="C243" s="71"/>
      <c r="D243" s="300">
        <f t="shared" si="11"/>
        <v>1900</v>
      </c>
      <c r="E243" s="302" t="str">
        <f t="shared" si="12"/>
        <v>4</v>
      </c>
    </row>
    <row r="244" spans="3:5">
      <c r="C244" s="71"/>
      <c r="D244" s="300">
        <f t="shared" si="11"/>
        <v>1900</v>
      </c>
      <c r="E244" s="302" t="str">
        <f t="shared" si="12"/>
        <v>4</v>
      </c>
    </row>
    <row r="245" spans="3:5">
      <c r="C245" s="71"/>
      <c r="D245" s="300">
        <f t="shared" si="11"/>
        <v>1900</v>
      </c>
      <c r="E245" s="302" t="str">
        <f t="shared" si="12"/>
        <v>4</v>
      </c>
    </row>
    <row r="246" spans="3:5">
      <c r="C246" s="71"/>
      <c r="D246" s="300">
        <f t="shared" si="11"/>
        <v>1900</v>
      </c>
      <c r="E246" s="302" t="str">
        <f t="shared" si="12"/>
        <v>4</v>
      </c>
    </row>
    <row r="247" spans="3:5">
      <c r="C247" s="71"/>
      <c r="D247" s="300">
        <f t="shared" si="11"/>
        <v>1900</v>
      </c>
      <c r="E247" s="302" t="str">
        <f t="shared" si="12"/>
        <v>4</v>
      </c>
    </row>
    <row r="248" spans="3:5">
      <c r="C248" s="71"/>
      <c r="D248" s="300">
        <f t="shared" si="11"/>
        <v>1900</v>
      </c>
      <c r="E248" s="302" t="str">
        <f t="shared" si="12"/>
        <v>4</v>
      </c>
    </row>
    <row r="249" spans="3:5">
      <c r="C249" s="71"/>
      <c r="D249" s="300">
        <f t="shared" si="11"/>
        <v>1900</v>
      </c>
      <c r="E249" s="302" t="str">
        <f t="shared" si="12"/>
        <v>4</v>
      </c>
    </row>
    <row r="250" spans="3:5">
      <c r="C250" s="71"/>
      <c r="D250" s="300">
        <f t="shared" si="11"/>
        <v>1900</v>
      </c>
      <c r="E250" s="302" t="str">
        <f t="shared" si="12"/>
        <v>4</v>
      </c>
    </row>
    <row r="251" spans="3:5">
      <c r="C251" s="71"/>
      <c r="D251" s="303"/>
      <c r="E251" s="303"/>
    </row>
    <row r="252" spans="3:5">
      <c r="C252" s="71"/>
      <c r="D252" s="303"/>
      <c r="E252" s="303"/>
    </row>
    <row r="253" spans="3:5">
      <c r="C253" s="71"/>
      <c r="D253" s="303"/>
      <c r="E253" s="303"/>
    </row>
    <row r="254" spans="3:5">
      <c r="C254" s="71"/>
      <c r="D254" s="303"/>
      <c r="E254" s="303"/>
    </row>
    <row r="255" spans="3:5">
      <c r="C255" s="71"/>
      <c r="D255" s="303"/>
      <c r="E255" s="303"/>
    </row>
    <row r="256" spans="3:5">
      <c r="C256" s="71"/>
      <c r="D256" s="303"/>
      <c r="E256" s="303"/>
    </row>
    <row r="257" spans="3:5">
      <c r="C257" s="71"/>
      <c r="D257" s="303"/>
      <c r="E257" s="303"/>
    </row>
    <row r="258" spans="3:5">
      <c r="C258" s="71"/>
      <c r="D258" s="303"/>
      <c r="E258" s="303"/>
    </row>
    <row r="259" spans="3:5">
      <c r="C259" s="71"/>
      <c r="D259" s="303"/>
      <c r="E259" s="303"/>
    </row>
    <row r="260" spans="3:5">
      <c r="C260" s="71"/>
      <c r="D260" s="303"/>
      <c r="E260" s="303"/>
    </row>
    <row r="261" spans="3:5">
      <c r="C261" s="71"/>
      <c r="D261" s="303"/>
      <c r="E261" s="303"/>
    </row>
    <row r="262" spans="3:5">
      <c r="C262" s="71"/>
      <c r="D262" s="303"/>
      <c r="E262" s="303"/>
    </row>
    <row r="263" spans="3:5">
      <c r="C263" s="71"/>
      <c r="D263" s="303"/>
      <c r="E263" s="303"/>
    </row>
    <row r="264" spans="3:5">
      <c r="C264" s="71"/>
      <c r="D264" s="303"/>
      <c r="E264" s="303"/>
    </row>
    <row r="265" spans="3:5">
      <c r="C265" s="71"/>
      <c r="D265" s="303"/>
      <c r="E265" s="303"/>
    </row>
    <row r="266" spans="3:5">
      <c r="C266" s="71"/>
      <c r="D266" s="303"/>
      <c r="E266" s="303"/>
    </row>
    <row r="267" spans="3:5">
      <c r="C267" s="71"/>
      <c r="D267" s="303"/>
      <c r="E267" s="303"/>
    </row>
    <row r="268" spans="3:5">
      <c r="C268" s="71"/>
      <c r="D268" s="303"/>
      <c r="E268" s="303"/>
    </row>
    <row r="269" spans="3:5">
      <c r="C269" s="71"/>
      <c r="D269" s="303"/>
      <c r="E269" s="303"/>
    </row>
    <row r="270" spans="3:5">
      <c r="C270" s="71"/>
      <c r="D270" s="303"/>
      <c r="E270" s="303"/>
    </row>
    <row r="271" spans="3:5">
      <c r="C271" s="71"/>
      <c r="D271" s="303"/>
      <c r="E271" s="303"/>
    </row>
    <row r="272" spans="3:5">
      <c r="C272" s="71"/>
      <c r="D272" s="303"/>
      <c r="E272" s="303"/>
    </row>
    <row r="273" spans="3:5">
      <c r="C273" s="71"/>
      <c r="D273" s="303"/>
      <c r="E273" s="303"/>
    </row>
    <row r="274" spans="3:5">
      <c r="C274" s="71"/>
      <c r="D274" s="303"/>
      <c r="E274" s="303"/>
    </row>
    <row r="275" spans="3:5">
      <c r="C275" s="71"/>
      <c r="D275" s="303"/>
      <c r="E275" s="303"/>
    </row>
    <row r="276" spans="3:5">
      <c r="C276" s="71"/>
      <c r="D276" s="303"/>
      <c r="E276" s="303"/>
    </row>
    <row r="277" spans="3:5">
      <c r="C277" s="71"/>
      <c r="D277" s="303"/>
      <c r="E277" s="303"/>
    </row>
    <row r="278" spans="3:5">
      <c r="C278" s="71"/>
      <c r="D278" s="303"/>
      <c r="E278" s="303"/>
    </row>
    <row r="279" spans="3:5">
      <c r="C279" s="71"/>
      <c r="D279" s="303"/>
      <c r="E279" s="303"/>
    </row>
    <row r="280" spans="3:5">
      <c r="C280" s="71"/>
      <c r="D280" s="303"/>
      <c r="E280" s="303"/>
    </row>
    <row r="281" spans="3:5">
      <c r="C281" s="71"/>
      <c r="D281" s="303"/>
      <c r="E281" s="303"/>
    </row>
    <row r="282" spans="3:5">
      <c r="C282" s="71"/>
      <c r="D282" s="303"/>
      <c r="E282" s="303"/>
    </row>
    <row r="283" spans="3:5">
      <c r="C283" s="71"/>
      <c r="D283" s="303"/>
      <c r="E283" s="303"/>
    </row>
    <row r="284" spans="3:5">
      <c r="C284" s="71"/>
      <c r="D284" s="303"/>
      <c r="E284" s="303"/>
    </row>
    <row r="285" spans="3:5">
      <c r="C285" s="71"/>
      <c r="D285" s="303"/>
      <c r="E285" s="303"/>
    </row>
    <row r="286" spans="3:5">
      <c r="C286" s="71"/>
      <c r="D286" s="303"/>
      <c r="E286" s="303"/>
    </row>
    <row r="287" spans="3:5">
      <c r="C287" s="71"/>
      <c r="D287" s="303"/>
      <c r="E287" s="303"/>
    </row>
    <row r="288" spans="3:5">
      <c r="C288" s="71"/>
      <c r="D288" s="303"/>
      <c r="E288" s="303"/>
    </row>
    <row r="289" spans="3:5">
      <c r="C289" s="71"/>
      <c r="D289" s="303"/>
      <c r="E289" s="303"/>
    </row>
    <row r="290" spans="3:5">
      <c r="C290" s="71"/>
      <c r="D290" s="303"/>
      <c r="E290" s="303"/>
    </row>
    <row r="291" spans="3:5">
      <c r="C291" s="71"/>
      <c r="D291" s="303"/>
      <c r="E291" s="303"/>
    </row>
    <row r="292" spans="3:5">
      <c r="C292" s="71"/>
      <c r="D292" s="303"/>
      <c r="E292" s="303"/>
    </row>
    <row r="293" spans="3:5">
      <c r="C293" s="71"/>
      <c r="D293" s="303"/>
      <c r="E293" s="303"/>
    </row>
    <row r="294" spans="3:5">
      <c r="C294" s="71"/>
      <c r="D294" s="303"/>
      <c r="E294" s="303"/>
    </row>
    <row r="295" spans="3:5">
      <c r="C295" s="71"/>
      <c r="D295" s="303"/>
      <c r="E295" s="303"/>
    </row>
    <row r="296" spans="3:5">
      <c r="C296" s="71"/>
      <c r="D296" s="303"/>
      <c r="E296" s="303"/>
    </row>
    <row r="297" spans="3:5">
      <c r="C297" s="71"/>
      <c r="D297" s="303"/>
      <c r="E297" s="303"/>
    </row>
    <row r="298" spans="3:5">
      <c r="C298" s="71"/>
      <c r="D298" s="303"/>
      <c r="E298" s="303"/>
    </row>
    <row r="299" spans="3:5">
      <c r="C299" s="71"/>
      <c r="D299" s="303"/>
      <c r="E299" s="303"/>
    </row>
    <row r="300" spans="3:5">
      <c r="C300" s="71"/>
      <c r="D300" s="303"/>
      <c r="E300" s="303"/>
    </row>
    <row r="301" spans="3:5">
      <c r="C301" s="71"/>
      <c r="D301" s="303"/>
      <c r="E301" s="303"/>
    </row>
    <row r="302" spans="3:5">
      <c r="C302" s="71"/>
      <c r="D302" s="303"/>
      <c r="E302" s="303"/>
    </row>
    <row r="303" spans="3:5">
      <c r="C303" s="71"/>
      <c r="D303" s="303"/>
      <c r="E303" s="303"/>
    </row>
    <row r="304" spans="3:5">
      <c r="C304" s="71"/>
      <c r="D304" s="303"/>
      <c r="E304" s="303"/>
    </row>
    <row r="305" spans="3:5">
      <c r="C305" s="71"/>
      <c r="D305" s="303"/>
      <c r="E305" s="303"/>
    </row>
    <row r="306" spans="3:5">
      <c r="C306" s="71"/>
      <c r="D306" s="303"/>
      <c r="E306" s="303"/>
    </row>
    <row r="307" spans="3:5">
      <c r="C307" s="71"/>
      <c r="D307" s="303"/>
      <c r="E307" s="303"/>
    </row>
    <row r="308" spans="3:5">
      <c r="C308" s="71"/>
      <c r="D308" s="303"/>
      <c r="E308" s="303"/>
    </row>
    <row r="309" spans="3:5">
      <c r="C309" s="71"/>
      <c r="D309" s="303"/>
      <c r="E309" s="303"/>
    </row>
    <row r="310" spans="3:5">
      <c r="C310" s="71"/>
      <c r="D310" s="303"/>
      <c r="E310" s="303"/>
    </row>
    <row r="311" spans="3:5">
      <c r="C311" s="71"/>
      <c r="D311" s="303"/>
      <c r="E311" s="303"/>
    </row>
    <row r="312" spans="3:5">
      <c r="C312" s="71"/>
      <c r="D312" s="303"/>
      <c r="E312" s="303"/>
    </row>
    <row r="313" spans="3:5">
      <c r="C313" s="71"/>
      <c r="D313" s="303"/>
      <c r="E313" s="303"/>
    </row>
    <row r="314" spans="3:5">
      <c r="C314" s="71"/>
      <c r="D314" s="303"/>
      <c r="E314" s="303"/>
    </row>
    <row r="315" spans="3:5">
      <c r="C315" s="71"/>
      <c r="D315" s="303"/>
      <c r="E315" s="303"/>
    </row>
    <row r="316" spans="3:5">
      <c r="C316" s="71"/>
      <c r="D316" s="303"/>
      <c r="E316" s="303"/>
    </row>
    <row r="317" spans="3:5">
      <c r="C317" s="71"/>
      <c r="D317" s="303"/>
      <c r="E317" s="303"/>
    </row>
    <row r="318" spans="3:5">
      <c r="C318" s="71"/>
      <c r="D318" s="303"/>
      <c r="E318" s="303"/>
    </row>
    <row r="319" spans="3:5">
      <c r="C319" s="71"/>
      <c r="D319" s="303"/>
      <c r="E319" s="303"/>
    </row>
    <row r="320" spans="3:5">
      <c r="C320" s="71"/>
      <c r="D320" s="303"/>
      <c r="E320" s="303"/>
    </row>
    <row r="321" spans="3:5">
      <c r="C321" s="71"/>
      <c r="D321" s="303"/>
      <c r="E321" s="303"/>
    </row>
    <row r="322" spans="3:5">
      <c r="C322" s="71"/>
      <c r="D322" s="303"/>
      <c r="E322" s="303"/>
    </row>
    <row r="323" spans="3:5">
      <c r="C323" s="71"/>
      <c r="D323" s="303"/>
      <c r="E323" s="303"/>
    </row>
    <row r="324" spans="3:5">
      <c r="C324" s="71"/>
      <c r="D324" s="303"/>
      <c r="E324" s="303"/>
    </row>
    <row r="325" spans="3:5">
      <c r="C325" s="71"/>
      <c r="D325" s="303"/>
      <c r="E325" s="303"/>
    </row>
    <row r="326" spans="3:5">
      <c r="C326" s="71"/>
      <c r="D326" s="303"/>
      <c r="E326" s="303"/>
    </row>
    <row r="327" spans="3:5">
      <c r="C327" s="71"/>
      <c r="D327" s="303"/>
      <c r="E327" s="303"/>
    </row>
    <row r="328" spans="3:5">
      <c r="C328" s="71"/>
      <c r="D328" s="303"/>
      <c r="E328" s="303"/>
    </row>
    <row r="329" spans="3:5">
      <c r="C329" s="71"/>
      <c r="D329" s="303"/>
      <c r="E329" s="303"/>
    </row>
    <row r="330" spans="3:5">
      <c r="C330" s="71"/>
      <c r="D330" s="303"/>
      <c r="E330" s="303"/>
    </row>
    <row r="331" spans="3:5">
      <c r="C331" s="71"/>
      <c r="D331" s="303"/>
      <c r="E331" s="303"/>
    </row>
    <row r="332" spans="3:5">
      <c r="C332" s="71"/>
      <c r="D332" s="303"/>
      <c r="E332" s="303"/>
    </row>
    <row r="333" spans="3:5">
      <c r="C333" s="71"/>
      <c r="D333" s="303"/>
      <c r="E333" s="303"/>
    </row>
    <row r="334" spans="3:5">
      <c r="C334" s="71"/>
      <c r="D334" s="303"/>
      <c r="E334" s="303"/>
    </row>
    <row r="335" spans="3:5">
      <c r="C335" s="71"/>
      <c r="D335" s="303"/>
      <c r="E335" s="303"/>
    </row>
    <row r="336" spans="3:5">
      <c r="C336" s="71"/>
      <c r="D336" s="303"/>
      <c r="E336" s="303"/>
    </row>
    <row r="337" spans="3:5">
      <c r="C337" s="71"/>
      <c r="D337" s="303"/>
      <c r="E337" s="303"/>
    </row>
    <row r="338" spans="3:5">
      <c r="C338" s="71"/>
      <c r="D338" s="303"/>
      <c r="E338" s="303"/>
    </row>
    <row r="339" spans="3:5">
      <c r="C339" s="71"/>
      <c r="D339" s="303"/>
      <c r="E339" s="303"/>
    </row>
    <row r="340" spans="3:5">
      <c r="C340" s="71"/>
      <c r="D340" s="303"/>
      <c r="E340" s="303"/>
    </row>
    <row r="341" spans="3:5">
      <c r="C341" s="71"/>
      <c r="D341" s="303"/>
      <c r="E341" s="303"/>
    </row>
    <row r="342" spans="3:5">
      <c r="C342" s="71"/>
      <c r="D342" s="303"/>
      <c r="E342" s="303"/>
    </row>
    <row r="343" spans="3:5">
      <c r="C343" s="71"/>
      <c r="D343" s="303"/>
      <c r="E343" s="303"/>
    </row>
    <row r="344" spans="3:5">
      <c r="C344" s="71"/>
      <c r="D344" s="303"/>
      <c r="E344" s="303"/>
    </row>
    <row r="345" spans="3:5">
      <c r="C345" s="71"/>
      <c r="D345" s="303"/>
      <c r="E345" s="303"/>
    </row>
    <row r="346" spans="3:5">
      <c r="C346" s="71"/>
      <c r="D346" s="303"/>
      <c r="E346" s="303"/>
    </row>
    <row r="347" spans="3:5">
      <c r="C347" s="71"/>
      <c r="D347" s="303"/>
      <c r="E347" s="303"/>
    </row>
    <row r="348" spans="3:5">
      <c r="C348" s="71"/>
      <c r="D348" s="303"/>
      <c r="E348" s="303"/>
    </row>
    <row r="349" spans="3:5">
      <c r="C349" s="71"/>
      <c r="D349" s="303"/>
      <c r="E349" s="303"/>
    </row>
    <row r="350" spans="3:5">
      <c r="C350" s="71"/>
      <c r="D350" s="303"/>
      <c r="E350" s="303"/>
    </row>
    <row r="351" spans="3:5">
      <c r="C351" s="71"/>
      <c r="D351" s="303"/>
      <c r="E351" s="303"/>
    </row>
    <row r="352" spans="3:5">
      <c r="C352" s="71"/>
      <c r="D352" s="303"/>
      <c r="E352" s="303"/>
    </row>
    <row r="353" spans="3:5">
      <c r="C353" s="71"/>
      <c r="D353" s="303"/>
      <c r="E353" s="303"/>
    </row>
    <row r="354" spans="3:5">
      <c r="C354" s="71"/>
      <c r="D354" s="303"/>
      <c r="E354" s="303"/>
    </row>
    <row r="355" spans="3:5">
      <c r="C355" s="71"/>
      <c r="D355" s="303"/>
      <c r="E355" s="303"/>
    </row>
    <row r="356" spans="3:5">
      <c r="C356" s="71"/>
      <c r="D356" s="303"/>
      <c r="E356" s="303"/>
    </row>
    <row r="357" spans="3:5">
      <c r="C357" s="71"/>
      <c r="D357" s="303"/>
      <c r="E357" s="303"/>
    </row>
    <row r="358" spans="3:5">
      <c r="C358" s="71"/>
      <c r="D358" s="303"/>
      <c r="E358" s="303"/>
    </row>
    <row r="359" spans="3:5">
      <c r="C359" s="71"/>
      <c r="D359" s="303"/>
      <c r="E359" s="303"/>
    </row>
    <row r="360" spans="3:5">
      <c r="C360" s="71"/>
      <c r="D360" s="303"/>
      <c r="E360" s="303"/>
    </row>
    <row r="361" spans="3:5">
      <c r="C361" s="71"/>
      <c r="D361" s="303"/>
      <c r="E361" s="303"/>
    </row>
    <row r="362" spans="3:5">
      <c r="C362" s="71"/>
      <c r="D362" s="303"/>
      <c r="E362" s="303"/>
    </row>
    <row r="363" spans="3:5">
      <c r="C363" s="71"/>
      <c r="D363" s="303"/>
      <c r="E363" s="303"/>
    </row>
    <row r="364" spans="3:5">
      <c r="C364" s="71"/>
      <c r="D364" s="303"/>
      <c r="E364" s="303"/>
    </row>
    <row r="365" spans="3:5">
      <c r="C365" s="71"/>
      <c r="D365" s="303"/>
      <c r="E365" s="303"/>
    </row>
    <row r="366" spans="3:5">
      <c r="C366" s="71"/>
      <c r="D366" s="303"/>
      <c r="E366" s="303"/>
    </row>
    <row r="367" spans="3:5">
      <c r="C367" s="71"/>
      <c r="D367" s="303"/>
      <c r="E367" s="303"/>
    </row>
    <row r="368" spans="3:5">
      <c r="C368" s="71"/>
      <c r="D368" s="303"/>
      <c r="E368" s="303"/>
    </row>
    <row r="369" spans="3:5">
      <c r="C369" s="71"/>
      <c r="D369" s="303"/>
      <c r="E369" s="303"/>
    </row>
    <row r="370" spans="3:5">
      <c r="C370" s="71"/>
      <c r="D370" s="303"/>
      <c r="E370" s="303"/>
    </row>
    <row r="371" spans="3:5">
      <c r="C371" s="71"/>
      <c r="D371" s="303"/>
      <c r="E371" s="303"/>
    </row>
    <row r="372" spans="3:5">
      <c r="C372" s="71"/>
      <c r="D372" s="303"/>
      <c r="E372" s="303"/>
    </row>
    <row r="373" spans="3:5">
      <c r="C373" s="71"/>
      <c r="D373" s="303"/>
      <c r="E373" s="303"/>
    </row>
    <row r="374" spans="3:5">
      <c r="C374" s="71"/>
      <c r="D374" s="303"/>
      <c r="E374" s="303"/>
    </row>
    <row r="375" spans="3:5">
      <c r="C375" s="71"/>
      <c r="D375" s="303"/>
      <c r="E375" s="303"/>
    </row>
    <row r="376" spans="3:5">
      <c r="C376" s="71"/>
      <c r="D376" s="303"/>
      <c r="E376" s="303"/>
    </row>
    <row r="377" spans="3:5">
      <c r="C377" s="71"/>
      <c r="D377" s="303"/>
      <c r="E377" s="303"/>
    </row>
    <row r="378" spans="3:5">
      <c r="C378" s="71"/>
      <c r="D378" s="303"/>
      <c r="E378" s="303"/>
    </row>
    <row r="379" spans="3:5">
      <c r="C379" s="71"/>
      <c r="D379" s="303"/>
      <c r="E379" s="303"/>
    </row>
    <row r="380" spans="3:5">
      <c r="C380" s="71"/>
      <c r="D380" s="303"/>
      <c r="E380" s="303"/>
    </row>
    <row r="381" spans="3:5">
      <c r="C381" s="71"/>
      <c r="D381" s="303"/>
      <c r="E381" s="303"/>
    </row>
    <row r="382" spans="3:5">
      <c r="C382" s="71"/>
      <c r="D382" s="303"/>
      <c r="E382" s="303"/>
    </row>
    <row r="383" spans="3:5">
      <c r="C383" s="71"/>
      <c r="D383" s="303"/>
      <c r="E383" s="303"/>
    </row>
    <row r="384" spans="3:5">
      <c r="C384" s="71"/>
      <c r="D384" s="303"/>
      <c r="E384" s="303"/>
    </row>
    <row r="385" spans="3:5">
      <c r="C385" s="71"/>
      <c r="D385" s="303"/>
      <c r="E385" s="303"/>
    </row>
    <row r="386" spans="3:5">
      <c r="C386" s="71"/>
      <c r="D386" s="303"/>
      <c r="E386" s="303"/>
    </row>
    <row r="387" spans="3:5">
      <c r="C387" s="71"/>
      <c r="D387" s="303"/>
      <c r="E387" s="303"/>
    </row>
    <row r="388" spans="3:5">
      <c r="C388" s="71"/>
      <c r="D388" s="303"/>
      <c r="E388" s="303"/>
    </row>
    <row r="389" spans="3:5">
      <c r="C389" s="71"/>
      <c r="D389" s="303"/>
      <c r="E389" s="303"/>
    </row>
    <row r="390" spans="3:5">
      <c r="C390" s="71"/>
      <c r="D390" s="303"/>
      <c r="E390" s="303"/>
    </row>
    <row r="391" spans="3:5">
      <c r="C391" s="71"/>
      <c r="D391" s="303"/>
      <c r="E391" s="303"/>
    </row>
    <row r="392" spans="3:5">
      <c r="C392" s="71"/>
      <c r="D392" s="303"/>
      <c r="E392" s="303"/>
    </row>
    <row r="393" spans="3:5">
      <c r="C393" s="71"/>
      <c r="D393" s="303"/>
      <c r="E393" s="303"/>
    </row>
    <row r="394" spans="3:5">
      <c r="C394" s="71"/>
      <c r="D394" s="303"/>
      <c r="E394" s="303"/>
    </row>
    <row r="395" spans="3:5">
      <c r="C395" s="71"/>
      <c r="D395" s="303"/>
      <c r="E395" s="303"/>
    </row>
    <row r="396" spans="3:5">
      <c r="C396" s="71"/>
      <c r="D396" s="303"/>
      <c r="E396" s="303"/>
    </row>
    <row r="397" spans="3:5">
      <c r="C397" s="71"/>
      <c r="D397" s="303"/>
      <c r="E397" s="303"/>
    </row>
    <row r="398" spans="3:5">
      <c r="C398" s="71"/>
      <c r="D398" s="303"/>
      <c r="E398" s="303"/>
    </row>
    <row r="399" spans="3:5">
      <c r="C399" s="71"/>
      <c r="D399" s="303"/>
      <c r="E399" s="303"/>
    </row>
    <row r="400" spans="3:5">
      <c r="C400" s="71"/>
      <c r="D400" s="303"/>
      <c r="E400" s="303"/>
    </row>
    <row r="401" spans="3:5">
      <c r="C401" s="71"/>
      <c r="D401" s="303"/>
      <c r="E401" s="303"/>
    </row>
    <row r="402" spans="3:5">
      <c r="C402" s="71"/>
      <c r="D402" s="303"/>
      <c r="E402" s="303"/>
    </row>
    <row r="403" spans="3:5">
      <c r="C403" s="71"/>
      <c r="D403" s="303"/>
      <c r="E403" s="303"/>
    </row>
    <row r="404" spans="3:5">
      <c r="C404" s="71"/>
      <c r="D404" s="303"/>
      <c r="E404" s="303"/>
    </row>
    <row r="405" spans="3:5">
      <c r="C405" s="71"/>
      <c r="D405" s="303"/>
      <c r="E405" s="303"/>
    </row>
    <row r="406" spans="3:5">
      <c r="C406" s="71"/>
      <c r="D406" s="303"/>
      <c r="E406" s="303"/>
    </row>
    <row r="407" spans="3:5">
      <c r="C407" s="71"/>
      <c r="D407" s="303"/>
      <c r="E407" s="303"/>
    </row>
    <row r="408" spans="3:5">
      <c r="C408" s="71"/>
      <c r="D408" s="303"/>
      <c r="E408" s="303"/>
    </row>
    <row r="409" spans="3:5">
      <c r="C409" s="71"/>
      <c r="D409" s="303"/>
      <c r="E409" s="303"/>
    </row>
    <row r="410" spans="3:5">
      <c r="C410" s="71"/>
      <c r="D410" s="303"/>
      <c r="E410" s="303"/>
    </row>
    <row r="411" spans="3:5">
      <c r="C411" s="71"/>
      <c r="D411" s="303"/>
      <c r="E411" s="303"/>
    </row>
    <row r="412" spans="3:5">
      <c r="C412" s="71"/>
      <c r="D412" s="303"/>
      <c r="E412" s="303"/>
    </row>
    <row r="413" spans="3:5">
      <c r="C413" s="71"/>
      <c r="D413" s="303"/>
      <c r="E413" s="303"/>
    </row>
    <row r="414" spans="3:5">
      <c r="C414" s="71"/>
      <c r="D414" s="303"/>
      <c r="E414" s="303"/>
    </row>
    <row r="415" spans="3:5">
      <c r="C415" s="71"/>
      <c r="D415" s="303"/>
      <c r="E415" s="303"/>
    </row>
    <row r="416" spans="3:5">
      <c r="C416" s="71"/>
      <c r="D416" s="303"/>
      <c r="E416" s="303"/>
    </row>
    <row r="417" spans="3:5">
      <c r="C417" s="71"/>
      <c r="D417" s="303"/>
      <c r="E417" s="303"/>
    </row>
    <row r="418" spans="3:5">
      <c r="C418" s="71"/>
      <c r="D418" s="303"/>
      <c r="E418" s="303"/>
    </row>
    <row r="419" spans="3:5">
      <c r="C419" s="71"/>
      <c r="D419" s="303"/>
      <c r="E419" s="303"/>
    </row>
    <row r="420" spans="3:5">
      <c r="C420" s="71"/>
      <c r="D420" s="303"/>
      <c r="E420" s="303"/>
    </row>
    <row r="421" spans="3:5">
      <c r="C421" s="71"/>
      <c r="D421" s="303"/>
      <c r="E421" s="303"/>
    </row>
    <row r="422" spans="3:5">
      <c r="C422" s="71"/>
      <c r="D422" s="303"/>
      <c r="E422" s="303"/>
    </row>
    <row r="423" spans="3:5">
      <c r="C423" s="71"/>
      <c r="D423" s="303"/>
      <c r="E423" s="303"/>
    </row>
    <row r="424" spans="3:5">
      <c r="C424" s="71"/>
      <c r="D424" s="303"/>
      <c r="E424" s="303"/>
    </row>
    <row r="425" spans="3:5">
      <c r="C425" s="71"/>
      <c r="D425" s="303"/>
      <c r="E425" s="303"/>
    </row>
    <row r="426" spans="3:5">
      <c r="C426" s="71"/>
      <c r="D426" s="303"/>
      <c r="E426" s="303"/>
    </row>
    <row r="427" spans="3:5">
      <c r="C427" s="71"/>
      <c r="D427" s="303"/>
      <c r="E427" s="303"/>
    </row>
    <row r="428" spans="3:5">
      <c r="C428" s="71"/>
      <c r="D428" s="303"/>
      <c r="E428" s="303"/>
    </row>
    <row r="429" spans="3:5">
      <c r="C429" s="71"/>
      <c r="D429" s="303"/>
      <c r="E429" s="303"/>
    </row>
    <row r="430" spans="3:5">
      <c r="C430" s="71"/>
      <c r="D430" s="303"/>
      <c r="E430" s="303"/>
    </row>
    <row r="431" spans="3:5">
      <c r="C431" s="71"/>
      <c r="D431" s="303"/>
      <c r="E431" s="303"/>
    </row>
    <row r="432" spans="3:5">
      <c r="C432" s="71"/>
      <c r="D432" s="303"/>
      <c r="E432" s="303"/>
    </row>
    <row r="433" spans="3:5">
      <c r="C433" s="71"/>
      <c r="D433" s="303"/>
      <c r="E433" s="303"/>
    </row>
    <row r="434" spans="3:5">
      <c r="C434" s="71"/>
      <c r="D434" s="303"/>
      <c r="E434" s="303"/>
    </row>
    <row r="435" spans="3:5">
      <c r="C435" s="71"/>
      <c r="D435" s="303"/>
      <c r="E435" s="303"/>
    </row>
    <row r="436" spans="3:5">
      <c r="C436" s="71"/>
      <c r="D436" s="303"/>
      <c r="E436" s="303"/>
    </row>
    <row r="437" spans="3:5">
      <c r="C437" s="71"/>
      <c r="D437" s="303"/>
      <c r="E437" s="303"/>
    </row>
    <row r="438" spans="3:5">
      <c r="C438" s="71"/>
      <c r="D438" s="303"/>
      <c r="E438" s="303"/>
    </row>
    <row r="439" spans="3:5">
      <c r="C439" s="71"/>
      <c r="D439" s="303"/>
      <c r="E439" s="303"/>
    </row>
    <row r="440" spans="3:5">
      <c r="C440" s="71"/>
      <c r="D440" s="303"/>
      <c r="E440" s="303"/>
    </row>
    <row r="441" spans="3:5">
      <c r="C441" s="71"/>
      <c r="D441" s="303"/>
      <c r="E441" s="303"/>
    </row>
    <row r="442" spans="3:5">
      <c r="C442" s="71"/>
      <c r="D442" s="303"/>
      <c r="E442" s="303"/>
    </row>
    <row r="443" spans="3:5">
      <c r="C443" s="71"/>
      <c r="D443" s="303"/>
      <c r="E443" s="303"/>
    </row>
    <row r="444" spans="3:5">
      <c r="C444" s="71"/>
      <c r="D444" s="303"/>
      <c r="E444" s="303"/>
    </row>
    <row r="445" spans="3:5">
      <c r="C445" s="71"/>
      <c r="D445" s="303"/>
      <c r="E445" s="303"/>
    </row>
    <row r="446" spans="3:5">
      <c r="C446" s="71"/>
      <c r="D446" s="303"/>
      <c r="E446" s="303"/>
    </row>
    <row r="447" spans="3:5">
      <c r="C447" s="71"/>
      <c r="D447" s="303"/>
      <c r="E447" s="303"/>
    </row>
    <row r="448" spans="3:5">
      <c r="C448" s="71"/>
      <c r="D448" s="303"/>
      <c r="E448" s="303"/>
    </row>
    <row r="449" spans="3:5">
      <c r="C449" s="71"/>
      <c r="D449" s="303"/>
      <c r="E449" s="303"/>
    </row>
    <row r="450" spans="3:5">
      <c r="C450" s="71"/>
      <c r="D450" s="303"/>
      <c r="E450" s="303"/>
    </row>
    <row r="451" spans="3:5">
      <c r="C451" s="71"/>
      <c r="D451" s="303"/>
      <c r="E451" s="303"/>
    </row>
    <row r="452" spans="3:5">
      <c r="C452" s="71"/>
      <c r="D452" s="303"/>
      <c r="E452" s="303"/>
    </row>
    <row r="453" spans="3:5">
      <c r="C453" s="71"/>
      <c r="D453" s="303"/>
      <c r="E453" s="303"/>
    </row>
    <row r="454" spans="3:5">
      <c r="C454" s="71"/>
      <c r="D454" s="303"/>
      <c r="E454" s="303"/>
    </row>
    <row r="455" spans="3:5">
      <c r="C455" s="71"/>
      <c r="D455" s="303"/>
      <c r="E455" s="303"/>
    </row>
    <row r="456" spans="3:5">
      <c r="C456" s="71"/>
      <c r="D456" s="303"/>
      <c r="E456" s="303"/>
    </row>
    <row r="457" spans="3:5">
      <c r="C457" s="71"/>
      <c r="D457" s="303"/>
      <c r="E457" s="303"/>
    </row>
    <row r="458" spans="3:5">
      <c r="C458" s="71"/>
      <c r="D458" s="303"/>
      <c r="E458" s="303"/>
    </row>
    <row r="459" spans="3:5">
      <c r="C459" s="71"/>
      <c r="D459" s="303"/>
      <c r="E459" s="303"/>
    </row>
    <row r="460" spans="3:5">
      <c r="C460" s="71"/>
      <c r="D460" s="303"/>
      <c r="E460" s="303"/>
    </row>
    <row r="461" spans="3:5">
      <c r="C461" s="71"/>
      <c r="D461" s="303"/>
      <c r="E461" s="303"/>
    </row>
    <row r="462" spans="3:5">
      <c r="C462" s="71"/>
      <c r="D462" s="303"/>
      <c r="E462" s="303"/>
    </row>
    <row r="463" spans="3:5">
      <c r="C463" s="71"/>
      <c r="D463" s="303"/>
      <c r="E463" s="303"/>
    </row>
    <row r="464" spans="3:5">
      <c r="C464" s="71"/>
      <c r="D464" s="303"/>
      <c r="E464" s="303"/>
    </row>
    <row r="465" spans="3:5">
      <c r="C465" s="71"/>
      <c r="D465" s="303"/>
      <c r="E465" s="303"/>
    </row>
    <row r="466" spans="3:5">
      <c r="C466" s="71"/>
      <c r="D466" s="303"/>
      <c r="E466" s="303"/>
    </row>
    <row r="467" spans="3:5">
      <c r="C467" s="71"/>
      <c r="D467" s="303"/>
      <c r="E467" s="303"/>
    </row>
    <row r="468" spans="3:5">
      <c r="C468" s="71"/>
      <c r="D468" s="303"/>
      <c r="E468" s="303"/>
    </row>
    <row r="469" spans="3:5">
      <c r="C469" s="71"/>
      <c r="D469" s="303"/>
      <c r="E469" s="303"/>
    </row>
    <row r="470" spans="3:5">
      <c r="C470" s="71"/>
      <c r="D470" s="303"/>
      <c r="E470" s="303"/>
    </row>
    <row r="471" spans="3:5">
      <c r="C471" s="71"/>
      <c r="D471" s="303"/>
      <c r="E471" s="303"/>
    </row>
    <row r="472" spans="3:5">
      <c r="C472" s="71"/>
      <c r="D472" s="303"/>
      <c r="E472" s="303"/>
    </row>
    <row r="473" spans="3:5">
      <c r="C473" s="71"/>
      <c r="D473" s="303"/>
      <c r="E473" s="303"/>
    </row>
    <row r="474" spans="3:5">
      <c r="C474" s="71"/>
      <c r="D474" s="303"/>
      <c r="E474" s="303"/>
    </row>
    <row r="475" spans="3:5">
      <c r="C475" s="71"/>
      <c r="D475" s="303"/>
      <c r="E475" s="303"/>
    </row>
    <row r="476" spans="3:5">
      <c r="C476" s="71"/>
      <c r="D476" s="303"/>
      <c r="E476" s="303"/>
    </row>
    <row r="477" spans="3:5">
      <c r="C477" s="71"/>
      <c r="D477" s="303"/>
      <c r="E477" s="303"/>
    </row>
    <row r="478" spans="3:5">
      <c r="C478" s="71"/>
      <c r="D478" s="303"/>
      <c r="E478" s="303"/>
    </row>
    <row r="479" spans="3:5">
      <c r="C479" s="71"/>
      <c r="D479" s="303"/>
      <c r="E479" s="303"/>
    </row>
    <row r="480" spans="3:5">
      <c r="C480" s="71"/>
      <c r="D480" s="303"/>
      <c r="E480" s="303"/>
    </row>
    <row r="481" spans="3:5">
      <c r="C481" s="71"/>
      <c r="D481" s="303"/>
      <c r="E481" s="303"/>
    </row>
    <row r="482" spans="3:5">
      <c r="C482" s="71"/>
      <c r="D482" s="303"/>
      <c r="E482" s="303"/>
    </row>
    <row r="483" spans="3:5">
      <c r="C483" s="71"/>
      <c r="D483" s="303"/>
      <c r="E483" s="303"/>
    </row>
    <row r="484" spans="3:5">
      <c r="C484" s="71"/>
      <c r="D484" s="303"/>
      <c r="E484" s="303"/>
    </row>
    <row r="485" spans="3:5">
      <c r="C485" s="71"/>
      <c r="D485" s="303"/>
      <c r="E485" s="303"/>
    </row>
    <row r="486" spans="3:5">
      <c r="C486" s="71"/>
      <c r="D486" s="303"/>
      <c r="E486" s="303"/>
    </row>
    <row r="487" spans="3:5">
      <c r="C487" s="71"/>
      <c r="D487" s="303"/>
      <c r="E487" s="303"/>
    </row>
    <row r="488" spans="3:5">
      <c r="C488" s="71"/>
      <c r="D488" s="303"/>
      <c r="E488" s="303"/>
    </row>
    <row r="489" spans="3:5">
      <c r="C489" s="71"/>
      <c r="D489" s="303"/>
      <c r="E489" s="303"/>
    </row>
    <row r="490" spans="3:5">
      <c r="C490" s="71"/>
      <c r="D490" s="303"/>
      <c r="E490" s="303"/>
    </row>
    <row r="491" spans="3:5">
      <c r="C491" s="71"/>
      <c r="D491" s="303"/>
      <c r="E491" s="303"/>
    </row>
    <row r="492" spans="3:5">
      <c r="C492" s="71"/>
      <c r="D492" s="303"/>
      <c r="E492" s="303"/>
    </row>
    <row r="493" spans="3:5">
      <c r="C493" s="71"/>
      <c r="D493" s="303"/>
      <c r="E493" s="303"/>
    </row>
    <row r="494" spans="3:5">
      <c r="C494" s="71"/>
      <c r="D494" s="303"/>
      <c r="E494" s="303"/>
    </row>
    <row r="495" spans="3:5">
      <c r="C495" s="71"/>
      <c r="D495" s="303"/>
      <c r="E495" s="303"/>
    </row>
    <row r="496" spans="3:5">
      <c r="C496" s="71"/>
      <c r="D496" s="303"/>
      <c r="E496" s="303"/>
    </row>
    <row r="497" spans="3:5">
      <c r="C497" s="71"/>
      <c r="D497" s="303"/>
      <c r="E497" s="303"/>
    </row>
    <row r="498" spans="3:5">
      <c r="C498" s="71"/>
      <c r="D498" s="303"/>
      <c r="E498" s="303"/>
    </row>
    <row r="499" spans="3:5">
      <c r="C499" s="71"/>
      <c r="D499" s="303"/>
      <c r="E499" s="303"/>
    </row>
    <row r="500" spans="3:5">
      <c r="C500" s="71"/>
      <c r="D500" s="303"/>
      <c r="E500" s="303"/>
    </row>
    <row r="501" spans="3:5">
      <c r="C501" s="71"/>
      <c r="D501" s="303"/>
      <c r="E501" s="303"/>
    </row>
    <row r="502" spans="3:5">
      <c r="C502" s="71"/>
      <c r="D502" s="303"/>
      <c r="E502" s="303"/>
    </row>
    <row r="503" spans="3:5">
      <c r="C503" s="71"/>
      <c r="D503" s="303"/>
      <c r="E503" s="303"/>
    </row>
    <row r="504" spans="3:5">
      <c r="C504" s="71"/>
      <c r="D504" s="303"/>
      <c r="E504" s="303"/>
    </row>
    <row r="505" spans="3:5">
      <c r="C505" s="71"/>
      <c r="D505" s="303"/>
      <c r="E505" s="303"/>
    </row>
    <row r="506" spans="3:5">
      <c r="C506" s="71"/>
      <c r="D506" s="303"/>
      <c r="E506" s="303"/>
    </row>
    <row r="507" spans="3:5">
      <c r="C507" s="71"/>
      <c r="D507" s="303"/>
      <c r="E507" s="303"/>
    </row>
    <row r="508" spans="3:5">
      <c r="C508" s="71"/>
      <c r="D508" s="303"/>
      <c r="E508" s="303"/>
    </row>
    <row r="509" spans="3:5">
      <c r="C509" s="71"/>
      <c r="D509" s="303"/>
      <c r="E509" s="303"/>
    </row>
    <row r="510" spans="3:5">
      <c r="C510" s="71"/>
      <c r="D510" s="303"/>
      <c r="E510" s="303"/>
    </row>
    <row r="511" spans="3:5">
      <c r="C511" s="71"/>
      <c r="D511" s="303"/>
      <c r="E511" s="303"/>
    </row>
    <row r="512" spans="3:5">
      <c r="C512" s="71"/>
      <c r="D512" s="303"/>
      <c r="E512" s="303"/>
    </row>
    <row r="513" spans="3:5">
      <c r="C513" s="71"/>
      <c r="D513" s="303"/>
      <c r="E513" s="303"/>
    </row>
    <row r="514" spans="3:5">
      <c r="C514" s="71"/>
      <c r="D514" s="303"/>
      <c r="E514" s="303"/>
    </row>
    <row r="515" spans="3:5">
      <c r="C515" s="71"/>
      <c r="D515" s="303"/>
      <c r="E515" s="303"/>
    </row>
    <row r="516" spans="3:5">
      <c r="C516" s="71"/>
      <c r="D516" s="303"/>
      <c r="E516" s="303"/>
    </row>
    <row r="517" spans="3:5">
      <c r="C517" s="71"/>
      <c r="D517" s="303"/>
      <c r="E517" s="303"/>
    </row>
    <row r="518" spans="3:5">
      <c r="C518" s="71"/>
      <c r="D518" s="303"/>
      <c r="E518" s="303"/>
    </row>
    <row r="519" spans="3:5">
      <c r="C519" s="71"/>
      <c r="D519" s="303"/>
      <c r="E519" s="303"/>
    </row>
    <row r="520" spans="3:5">
      <c r="C520" s="71"/>
      <c r="D520" s="303"/>
      <c r="E520" s="303"/>
    </row>
    <row r="521" spans="3:5">
      <c r="C521" s="71"/>
      <c r="D521" s="303"/>
      <c r="E521" s="303"/>
    </row>
    <row r="522" spans="3:5">
      <c r="C522" s="71"/>
      <c r="D522" s="303"/>
      <c r="E522" s="303"/>
    </row>
    <row r="523" spans="3:5">
      <c r="C523" s="71"/>
      <c r="D523" s="303"/>
      <c r="E523" s="303"/>
    </row>
    <row r="524" spans="3:5">
      <c r="C524" s="71"/>
      <c r="D524" s="303"/>
      <c r="E524" s="303"/>
    </row>
    <row r="525" spans="3:5">
      <c r="C525" s="71"/>
      <c r="D525" s="303"/>
      <c r="E525" s="303"/>
    </row>
    <row r="526" spans="3:5">
      <c r="C526" s="71"/>
      <c r="D526" s="303"/>
      <c r="E526" s="303"/>
    </row>
    <row r="527" spans="3:5">
      <c r="C527" s="71"/>
      <c r="D527" s="303"/>
      <c r="E527" s="303"/>
    </row>
    <row r="528" spans="3:5">
      <c r="C528" s="71"/>
      <c r="D528" s="303"/>
      <c r="E528" s="303"/>
    </row>
    <row r="529" spans="3:5">
      <c r="C529" s="71"/>
      <c r="D529" s="303"/>
      <c r="E529" s="303"/>
    </row>
    <row r="530" spans="3:5">
      <c r="C530" s="71"/>
      <c r="D530" s="303"/>
      <c r="E530" s="303"/>
    </row>
    <row r="531" spans="3:5">
      <c r="C531" s="71"/>
      <c r="D531" s="303"/>
      <c r="E531" s="303"/>
    </row>
    <row r="532" spans="3:5">
      <c r="C532" s="71"/>
      <c r="D532" s="303"/>
      <c r="E532" s="303"/>
    </row>
    <row r="533" spans="3:5">
      <c r="C533" s="71"/>
      <c r="D533" s="303"/>
      <c r="E533" s="303"/>
    </row>
    <row r="534" spans="3:5">
      <c r="C534" s="71"/>
      <c r="D534" s="303"/>
      <c r="E534" s="303"/>
    </row>
    <row r="535" spans="3:5">
      <c r="C535" s="71"/>
      <c r="D535" s="303"/>
      <c r="E535" s="303"/>
    </row>
    <row r="536" spans="3:5">
      <c r="C536" s="71"/>
      <c r="D536" s="303"/>
      <c r="E536" s="303"/>
    </row>
    <row r="537" spans="3:5">
      <c r="C537" s="71"/>
      <c r="D537" s="303"/>
      <c r="E537" s="303"/>
    </row>
    <row r="538" spans="3:5">
      <c r="C538" s="71"/>
      <c r="D538" s="303"/>
      <c r="E538" s="303"/>
    </row>
    <row r="539" spans="3:5">
      <c r="C539" s="71"/>
      <c r="D539" s="303"/>
      <c r="E539" s="303"/>
    </row>
    <row r="540" spans="3:5">
      <c r="C540" s="71"/>
      <c r="D540" s="303"/>
      <c r="E540" s="303"/>
    </row>
    <row r="541" spans="3:5">
      <c r="C541" s="71"/>
      <c r="D541" s="303"/>
      <c r="E541" s="303"/>
    </row>
    <row r="542" spans="3:5">
      <c r="C542" s="71"/>
      <c r="D542" s="303"/>
      <c r="E542" s="303"/>
    </row>
    <row r="543" spans="3:5">
      <c r="C543" s="71"/>
      <c r="D543" s="303"/>
      <c r="E543" s="303"/>
    </row>
    <row r="544" spans="3:5">
      <c r="C544" s="71"/>
      <c r="D544" s="303"/>
      <c r="E544" s="303"/>
    </row>
    <row r="545" spans="3:5">
      <c r="C545" s="71"/>
      <c r="D545" s="303"/>
      <c r="E545" s="303"/>
    </row>
    <row r="546" spans="3:5">
      <c r="C546" s="71"/>
      <c r="D546" s="303"/>
      <c r="E546" s="303"/>
    </row>
    <row r="547" spans="3:5">
      <c r="C547" s="71"/>
      <c r="D547" s="303"/>
      <c r="E547" s="303"/>
    </row>
    <row r="548" spans="3:5">
      <c r="C548" s="71"/>
      <c r="D548" s="303"/>
      <c r="E548" s="303"/>
    </row>
    <row r="549" spans="3:5">
      <c r="C549" s="71"/>
      <c r="D549" s="303"/>
      <c r="E549" s="303"/>
    </row>
    <row r="550" spans="3:5">
      <c r="C550" s="71"/>
      <c r="D550" s="303"/>
      <c r="E550" s="303"/>
    </row>
    <row r="551" spans="3:5">
      <c r="C551" s="71"/>
      <c r="D551" s="303"/>
      <c r="E551" s="303"/>
    </row>
    <row r="552" spans="3:5">
      <c r="C552" s="71"/>
      <c r="D552" s="303"/>
      <c r="E552" s="303"/>
    </row>
    <row r="553" spans="3:5">
      <c r="C553" s="71"/>
      <c r="D553" s="303"/>
      <c r="E553" s="303"/>
    </row>
    <row r="554" spans="3:5">
      <c r="C554" s="71"/>
      <c r="D554" s="303"/>
      <c r="E554" s="303"/>
    </row>
    <row r="555" spans="3:5">
      <c r="C555" s="71"/>
      <c r="D555" s="303"/>
      <c r="E555" s="303"/>
    </row>
    <row r="556" spans="3:5">
      <c r="C556" s="71"/>
      <c r="D556" s="303"/>
      <c r="E556" s="303"/>
    </row>
    <row r="557" spans="3:5">
      <c r="C557" s="71"/>
      <c r="D557" s="303"/>
      <c r="E557" s="303"/>
    </row>
    <row r="558" spans="3:5">
      <c r="C558" s="71"/>
      <c r="D558" s="303"/>
      <c r="E558" s="303"/>
    </row>
    <row r="559" spans="3:5">
      <c r="C559" s="71"/>
      <c r="D559" s="303"/>
      <c r="E559" s="303"/>
    </row>
    <row r="560" spans="3:5">
      <c r="C560" s="71"/>
      <c r="D560" s="303"/>
      <c r="E560" s="303"/>
    </row>
    <row r="561" spans="3:5">
      <c r="C561" s="71"/>
      <c r="D561" s="303"/>
      <c r="E561" s="303"/>
    </row>
    <row r="562" spans="3:5">
      <c r="C562" s="71"/>
      <c r="D562" s="303"/>
      <c r="E562" s="303"/>
    </row>
    <row r="563" spans="3:5">
      <c r="C563" s="71"/>
      <c r="D563" s="303"/>
      <c r="E563" s="303"/>
    </row>
    <row r="564" spans="3:5">
      <c r="C564" s="71"/>
      <c r="D564" s="303"/>
      <c r="E564" s="303"/>
    </row>
    <row r="565" spans="3:5">
      <c r="C565" s="71"/>
      <c r="D565" s="303"/>
      <c r="E565" s="303"/>
    </row>
    <row r="566" spans="3:5">
      <c r="C566" s="71"/>
      <c r="D566" s="303"/>
      <c r="E566" s="303"/>
    </row>
    <row r="567" spans="3:5">
      <c r="C567" s="71"/>
      <c r="D567" s="303"/>
      <c r="E567" s="303"/>
    </row>
    <row r="568" spans="3:5">
      <c r="C568" s="71"/>
      <c r="D568" s="303"/>
      <c r="E568" s="303"/>
    </row>
    <row r="569" spans="3:5">
      <c r="C569" s="71"/>
      <c r="D569" s="303"/>
      <c r="E569" s="303"/>
    </row>
    <row r="570" spans="3:5">
      <c r="C570" s="71"/>
      <c r="D570" s="303"/>
      <c r="E570" s="303"/>
    </row>
    <row r="571" spans="3:5">
      <c r="C571" s="71"/>
      <c r="D571" s="303"/>
      <c r="E571" s="303"/>
    </row>
    <row r="572" spans="3:5">
      <c r="C572" s="71"/>
      <c r="D572" s="303"/>
      <c r="E572" s="303"/>
    </row>
    <row r="573" spans="3:5">
      <c r="C573" s="71"/>
      <c r="D573" s="303"/>
      <c r="E573" s="303"/>
    </row>
    <row r="574" spans="3:5">
      <c r="C574" s="71"/>
      <c r="D574" s="303"/>
      <c r="E574" s="303"/>
    </row>
    <row r="575" spans="3:5">
      <c r="C575" s="71"/>
      <c r="D575" s="303"/>
      <c r="E575" s="303"/>
    </row>
    <row r="576" spans="3:5">
      <c r="C576" s="71"/>
      <c r="D576" s="303"/>
      <c r="E576" s="303"/>
    </row>
    <row r="577" spans="3:5">
      <c r="C577" s="71"/>
      <c r="D577" s="303"/>
      <c r="E577" s="303"/>
    </row>
    <row r="578" spans="3:5">
      <c r="C578" s="71"/>
      <c r="D578" s="303"/>
      <c r="E578" s="303"/>
    </row>
    <row r="579" spans="3:5">
      <c r="C579" s="71"/>
      <c r="D579" s="303"/>
      <c r="E579" s="303"/>
    </row>
    <row r="580" spans="3:5">
      <c r="C580" s="71"/>
      <c r="D580" s="303"/>
      <c r="E580" s="303"/>
    </row>
    <row r="581" spans="3:5">
      <c r="C581" s="71"/>
      <c r="D581" s="303"/>
      <c r="E581" s="303"/>
    </row>
    <row r="582" spans="3:5">
      <c r="C582" s="71"/>
      <c r="D582" s="303"/>
      <c r="E582" s="303"/>
    </row>
    <row r="583" spans="3:5">
      <c r="C583" s="71"/>
      <c r="D583" s="303"/>
      <c r="E583" s="303"/>
    </row>
    <row r="584" spans="3:5">
      <c r="C584" s="71"/>
      <c r="D584" s="303"/>
      <c r="E584" s="303"/>
    </row>
    <row r="585" spans="3:5">
      <c r="C585" s="71"/>
      <c r="D585" s="303"/>
      <c r="E585" s="303"/>
    </row>
    <row r="586" spans="3:5">
      <c r="C586" s="71"/>
      <c r="D586" s="303"/>
      <c r="E586" s="303"/>
    </row>
    <row r="587" spans="3:5">
      <c r="C587" s="71"/>
      <c r="D587" s="303"/>
      <c r="E587" s="303"/>
    </row>
    <row r="588" spans="3:5">
      <c r="C588" s="71"/>
      <c r="D588" s="303"/>
      <c r="E588" s="303"/>
    </row>
    <row r="589" spans="3:5">
      <c r="C589" s="71"/>
      <c r="D589" s="303"/>
      <c r="E589" s="303"/>
    </row>
    <row r="590" spans="3:5">
      <c r="C590" s="71"/>
      <c r="D590" s="303"/>
      <c r="E590" s="303"/>
    </row>
    <row r="591" spans="3:5">
      <c r="C591" s="71"/>
      <c r="D591" s="303"/>
      <c r="E591" s="303"/>
    </row>
    <row r="592" spans="3:5">
      <c r="C592" s="71"/>
      <c r="D592" s="303"/>
      <c r="E592" s="303"/>
    </row>
    <row r="593" spans="3:5">
      <c r="C593" s="71"/>
      <c r="D593" s="303"/>
      <c r="E593" s="303"/>
    </row>
    <row r="594" spans="3:5">
      <c r="C594" s="71"/>
      <c r="D594" s="303"/>
      <c r="E594" s="303"/>
    </row>
    <row r="595" spans="3:5">
      <c r="C595" s="71"/>
      <c r="D595" s="303"/>
      <c r="E595" s="303"/>
    </row>
    <row r="596" spans="3:5">
      <c r="C596" s="71"/>
      <c r="D596" s="303"/>
      <c r="E596" s="303"/>
    </row>
    <row r="597" spans="3:5">
      <c r="C597" s="71"/>
      <c r="D597" s="303"/>
      <c r="E597" s="303"/>
    </row>
    <row r="598" spans="3:5">
      <c r="C598" s="71"/>
      <c r="D598" s="303"/>
      <c r="E598" s="303"/>
    </row>
    <row r="599" spans="3:5">
      <c r="C599" s="71"/>
      <c r="D599" s="303"/>
      <c r="E599" s="303"/>
    </row>
    <row r="600" spans="3:5">
      <c r="C600" s="71"/>
      <c r="D600" s="303"/>
      <c r="E600" s="303"/>
    </row>
    <row r="601" spans="3:5">
      <c r="C601" s="71"/>
      <c r="D601" s="303"/>
      <c r="E601" s="303"/>
    </row>
    <row r="602" spans="3:5">
      <c r="C602" s="71"/>
      <c r="D602" s="303"/>
      <c r="E602" s="303"/>
    </row>
    <row r="603" spans="3:5">
      <c r="C603" s="71"/>
      <c r="D603" s="303"/>
      <c r="E603" s="303"/>
    </row>
    <row r="604" spans="3:5">
      <c r="C604" s="71"/>
      <c r="D604" s="303"/>
      <c r="E604" s="303"/>
    </row>
    <row r="605" spans="3:5">
      <c r="C605" s="71"/>
      <c r="D605" s="303"/>
      <c r="E605" s="303"/>
    </row>
    <row r="606" spans="3:5">
      <c r="C606" s="71"/>
      <c r="D606" s="303"/>
      <c r="E606" s="303"/>
    </row>
    <row r="607" spans="3:5">
      <c r="C607" s="71"/>
      <c r="D607" s="303"/>
      <c r="E607" s="303"/>
    </row>
    <row r="608" spans="3:5">
      <c r="C608" s="71"/>
      <c r="D608" s="303"/>
      <c r="E608" s="303"/>
    </row>
    <row r="609" spans="3:5">
      <c r="C609" s="71"/>
      <c r="D609" s="303"/>
      <c r="E609" s="303"/>
    </row>
    <row r="610" spans="3:5">
      <c r="C610" s="71"/>
      <c r="D610" s="303"/>
      <c r="E610" s="303"/>
    </row>
    <row r="611" spans="3:5">
      <c r="C611" s="71"/>
      <c r="D611" s="303"/>
      <c r="E611" s="303"/>
    </row>
    <row r="612" spans="3:5">
      <c r="C612" s="71"/>
      <c r="D612" s="303"/>
      <c r="E612" s="303"/>
    </row>
    <row r="613" spans="3:5">
      <c r="C613" s="71"/>
      <c r="D613" s="303"/>
      <c r="E613" s="303"/>
    </row>
    <row r="614" spans="3:5">
      <c r="C614" s="71"/>
      <c r="D614" s="303"/>
      <c r="E614" s="303"/>
    </row>
    <row r="615" spans="3:5">
      <c r="C615" s="71"/>
      <c r="D615" s="303"/>
      <c r="E615" s="303"/>
    </row>
    <row r="616" spans="3:5">
      <c r="C616" s="71"/>
      <c r="D616" s="303"/>
      <c r="E616" s="303"/>
    </row>
    <row r="617" spans="3:5">
      <c r="C617" s="71"/>
      <c r="D617" s="303"/>
      <c r="E617" s="303"/>
    </row>
    <row r="618" spans="3:5">
      <c r="C618" s="71"/>
      <c r="D618" s="303"/>
      <c r="E618" s="303"/>
    </row>
    <row r="619" spans="3:5">
      <c r="C619" s="71"/>
      <c r="D619" s="303"/>
      <c r="E619" s="303"/>
    </row>
    <row r="620" spans="3:5">
      <c r="C620" s="71"/>
      <c r="D620" s="303"/>
      <c r="E620" s="303"/>
    </row>
    <row r="621" spans="3:5">
      <c r="C621" s="71"/>
      <c r="D621" s="303"/>
      <c r="E621" s="303"/>
    </row>
    <row r="622" spans="3:5">
      <c r="C622" s="71"/>
      <c r="D622" s="303"/>
      <c r="E622" s="303"/>
    </row>
    <row r="623" spans="3:5">
      <c r="C623" s="71"/>
      <c r="D623" s="303"/>
      <c r="E623" s="303"/>
    </row>
    <row r="624" spans="3:5">
      <c r="C624" s="71"/>
      <c r="D624" s="303"/>
      <c r="E624" s="303"/>
    </row>
    <row r="625" spans="3:5">
      <c r="C625" s="71"/>
      <c r="D625" s="303"/>
      <c r="E625" s="303"/>
    </row>
    <row r="626" spans="3:5">
      <c r="C626" s="71"/>
      <c r="D626" s="303"/>
      <c r="E626" s="303"/>
    </row>
    <row r="627" spans="3:5">
      <c r="C627" s="71"/>
      <c r="D627" s="303"/>
      <c r="E627" s="303"/>
    </row>
    <row r="628" spans="3:5">
      <c r="C628" s="71"/>
      <c r="D628" s="303"/>
      <c r="E628" s="303"/>
    </row>
    <row r="629" spans="3:5">
      <c r="C629" s="71"/>
      <c r="D629" s="303"/>
      <c r="E629" s="303"/>
    </row>
    <row r="630" spans="3:5">
      <c r="C630" s="71"/>
      <c r="D630" s="303"/>
      <c r="E630" s="303"/>
    </row>
    <row r="631" spans="3:5">
      <c r="C631" s="71"/>
      <c r="D631" s="303"/>
      <c r="E631" s="303"/>
    </row>
    <row r="632" spans="3:5">
      <c r="C632" s="71"/>
      <c r="D632" s="303"/>
      <c r="E632" s="303"/>
    </row>
    <row r="633" spans="3:5">
      <c r="C633" s="71"/>
      <c r="D633" s="303"/>
      <c r="E633" s="303"/>
    </row>
    <row r="634" spans="3:5">
      <c r="C634" s="71"/>
      <c r="D634" s="303"/>
      <c r="E634" s="303"/>
    </row>
    <row r="635" spans="3:5">
      <c r="C635" s="71"/>
      <c r="D635" s="303"/>
      <c r="E635" s="303"/>
    </row>
    <row r="636" spans="3:5">
      <c r="C636" s="71"/>
      <c r="D636" s="303"/>
      <c r="E636" s="303"/>
    </row>
    <row r="637" spans="3:5">
      <c r="C637" s="71"/>
      <c r="D637" s="303"/>
      <c r="E637" s="303"/>
    </row>
    <row r="638" spans="3:5">
      <c r="C638" s="71"/>
      <c r="D638" s="303"/>
      <c r="E638" s="303"/>
    </row>
    <row r="639" spans="3:5">
      <c r="C639" s="71"/>
      <c r="D639" s="303"/>
      <c r="E639" s="303"/>
    </row>
    <row r="640" spans="3:5">
      <c r="C640" s="71"/>
      <c r="D640" s="303"/>
      <c r="E640" s="303"/>
    </row>
    <row r="641" spans="3:5">
      <c r="C641" s="71"/>
      <c r="D641" s="303"/>
      <c r="E641" s="303"/>
    </row>
    <row r="642" spans="3:5">
      <c r="C642" s="71"/>
      <c r="D642" s="303"/>
      <c r="E642" s="303"/>
    </row>
    <row r="643" spans="3:5">
      <c r="C643" s="71"/>
      <c r="D643" s="303"/>
      <c r="E643" s="303"/>
    </row>
    <row r="644" spans="3:5">
      <c r="C644" s="71"/>
      <c r="D644" s="303"/>
      <c r="E644" s="303"/>
    </row>
    <row r="645" spans="3:5">
      <c r="C645" s="71"/>
      <c r="D645" s="303"/>
      <c r="E645" s="303"/>
    </row>
    <row r="646" spans="3:5">
      <c r="C646" s="71"/>
      <c r="D646" s="303"/>
      <c r="E646" s="303"/>
    </row>
    <row r="647" spans="3:5">
      <c r="C647" s="71"/>
      <c r="D647" s="303"/>
      <c r="E647" s="303"/>
    </row>
    <row r="648" spans="3:5">
      <c r="C648" s="71"/>
      <c r="D648" s="303"/>
      <c r="E648" s="303"/>
    </row>
    <row r="649" spans="3:5">
      <c r="C649" s="71"/>
      <c r="D649" s="303"/>
      <c r="E649" s="303"/>
    </row>
    <row r="650" spans="3:5">
      <c r="C650" s="71"/>
      <c r="D650" s="303"/>
      <c r="E650" s="303"/>
    </row>
    <row r="651" spans="3:5">
      <c r="C651" s="71"/>
      <c r="D651" s="303"/>
      <c r="E651" s="303"/>
    </row>
    <row r="652" spans="3:5">
      <c r="C652" s="71"/>
      <c r="D652" s="303"/>
      <c r="E652" s="303"/>
    </row>
    <row r="653" spans="3:5">
      <c r="C653" s="71"/>
      <c r="D653" s="303"/>
      <c r="E653" s="303"/>
    </row>
    <row r="654" spans="3:5">
      <c r="C654" s="71"/>
      <c r="D654" s="303"/>
      <c r="E654" s="303"/>
    </row>
    <row r="655" spans="3:5">
      <c r="C655" s="71"/>
      <c r="D655" s="303"/>
      <c r="E655" s="303"/>
    </row>
    <row r="656" spans="3:5">
      <c r="C656" s="71"/>
      <c r="D656" s="303"/>
      <c r="E656" s="303"/>
    </row>
    <row r="657" spans="3:5">
      <c r="C657" s="71"/>
      <c r="D657" s="303"/>
      <c r="E657" s="303"/>
    </row>
    <row r="658" spans="3:5">
      <c r="C658" s="71"/>
      <c r="D658" s="303"/>
      <c r="E658" s="303"/>
    </row>
    <row r="659" spans="3:5">
      <c r="C659" s="71"/>
      <c r="D659" s="303"/>
      <c r="E659" s="303"/>
    </row>
    <row r="660" spans="3:5">
      <c r="C660" s="71"/>
      <c r="D660" s="303"/>
      <c r="E660" s="303"/>
    </row>
    <row r="661" spans="3:5">
      <c r="C661" s="71"/>
      <c r="D661" s="303"/>
      <c r="E661" s="303"/>
    </row>
    <row r="662" spans="3:5">
      <c r="C662" s="71"/>
      <c r="D662" s="303"/>
      <c r="E662" s="303"/>
    </row>
    <row r="663" spans="3:5">
      <c r="C663" s="71"/>
      <c r="D663" s="303"/>
      <c r="E663" s="303"/>
    </row>
    <row r="664" spans="3:5">
      <c r="C664" s="71"/>
      <c r="D664" s="303"/>
      <c r="E664" s="303"/>
    </row>
    <row r="665" spans="3:5">
      <c r="C665" s="71"/>
      <c r="D665" s="303"/>
      <c r="E665" s="303"/>
    </row>
    <row r="666" spans="3:5">
      <c r="C666" s="71"/>
      <c r="D666" s="303"/>
      <c r="E666" s="303"/>
    </row>
    <row r="667" spans="3:5">
      <c r="C667" s="71"/>
      <c r="D667" s="303"/>
      <c r="E667" s="303"/>
    </row>
    <row r="668" spans="3:5">
      <c r="C668" s="71"/>
      <c r="D668" s="303"/>
      <c r="E668" s="303"/>
    </row>
    <row r="669" spans="3:5">
      <c r="C669" s="71"/>
      <c r="D669" s="303"/>
      <c r="E669" s="303"/>
    </row>
    <row r="670" spans="3:5">
      <c r="C670" s="71"/>
      <c r="D670" s="303"/>
      <c r="E670" s="303"/>
    </row>
    <row r="671" spans="3:5">
      <c r="C671" s="71"/>
      <c r="D671" s="303"/>
      <c r="E671" s="303"/>
    </row>
    <row r="672" spans="3:5">
      <c r="C672" s="71"/>
      <c r="D672" s="303"/>
      <c r="E672" s="303"/>
    </row>
    <row r="673" spans="3:5">
      <c r="C673" s="71"/>
      <c r="D673" s="303"/>
      <c r="E673" s="303"/>
    </row>
    <row r="674" spans="3:5">
      <c r="C674" s="71"/>
      <c r="D674" s="303"/>
      <c r="E674" s="303"/>
    </row>
    <row r="675" spans="3:5">
      <c r="C675" s="71"/>
      <c r="D675" s="303"/>
      <c r="E675" s="303"/>
    </row>
    <row r="676" spans="3:5">
      <c r="C676" s="71"/>
      <c r="D676" s="303"/>
      <c r="E676" s="303"/>
    </row>
    <row r="677" spans="3:5">
      <c r="C677" s="71"/>
      <c r="D677" s="303"/>
      <c r="E677" s="303"/>
    </row>
    <row r="678" spans="3:5">
      <c r="C678" s="71"/>
      <c r="D678" s="303"/>
      <c r="E678" s="303"/>
    </row>
    <row r="679" spans="3:5">
      <c r="C679" s="71"/>
      <c r="D679" s="303"/>
      <c r="E679" s="303"/>
    </row>
    <row r="680" spans="3:5">
      <c r="C680" s="71"/>
      <c r="D680" s="303"/>
      <c r="E680" s="303"/>
    </row>
    <row r="681" spans="3:5">
      <c r="C681" s="71"/>
      <c r="D681" s="303"/>
      <c r="E681" s="303"/>
    </row>
    <row r="682" spans="3:5">
      <c r="C682" s="71"/>
      <c r="D682" s="303"/>
      <c r="E682" s="303"/>
    </row>
    <row r="683" spans="3:5">
      <c r="C683" s="71"/>
      <c r="D683" s="303"/>
      <c r="E683" s="303"/>
    </row>
    <row r="684" spans="3:5">
      <c r="C684" s="71"/>
      <c r="D684" s="303"/>
      <c r="E684" s="303"/>
    </row>
    <row r="685" spans="3:5">
      <c r="C685" s="71"/>
      <c r="D685" s="303"/>
      <c r="E685" s="303"/>
    </row>
    <row r="686" spans="3:5">
      <c r="C686" s="71"/>
      <c r="D686" s="303"/>
      <c r="E686" s="303"/>
    </row>
    <row r="687" spans="3:5">
      <c r="C687" s="71"/>
      <c r="D687" s="303"/>
      <c r="E687" s="303"/>
    </row>
    <row r="688" spans="3:5">
      <c r="C688" s="71"/>
      <c r="D688" s="303"/>
      <c r="E688" s="303"/>
    </row>
    <row r="689" spans="3:5">
      <c r="C689" s="71"/>
      <c r="D689" s="303"/>
      <c r="E689" s="303"/>
    </row>
    <row r="690" spans="3:5">
      <c r="C690" s="71"/>
      <c r="D690" s="303"/>
      <c r="E690" s="303"/>
    </row>
    <row r="691" spans="3:5">
      <c r="C691" s="71"/>
      <c r="D691" s="303"/>
      <c r="E691" s="303"/>
    </row>
    <row r="692" spans="3:5">
      <c r="C692" s="71"/>
      <c r="D692" s="303"/>
      <c r="E692" s="303"/>
    </row>
    <row r="693" spans="3:5">
      <c r="C693" s="71"/>
      <c r="D693" s="303"/>
      <c r="E693" s="303"/>
    </row>
    <row r="694" spans="3:5">
      <c r="C694" s="71"/>
      <c r="D694" s="303"/>
      <c r="E694" s="303"/>
    </row>
    <row r="695" spans="3:5">
      <c r="C695" s="71"/>
      <c r="D695" s="303"/>
      <c r="E695" s="303"/>
    </row>
    <row r="696" spans="3:5">
      <c r="C696" s="71"/>
      <c r="D696" s="303"/>
      <c r="E696" s="303"/>
    </row>
    <row r="697" spans="3:5">
      <c r="C697" s="71"/>
      <c r="D697" s="303"/>
      <c r="E697" s="303"/>
    </row>
    <row r="698" spans="3:5">
      <c r="C698" s="71"/>
      <c r="D698" s="303"/>
      <c r="E698" s="303"/>
    </row>
    <row r="699" spans="3:5">
      <c r="C699" s="71"/>
      <c r="D699" s="303"/>
      <c r="E699" s="303"/>
    </row>
    <row r="700" spans="3:5">
      <c r="C700" s="71"/>
      <c r="D700" s="303"/>
      <c r="E700" s="303"/>
    </row>
    <row r="701" spans="3:5">
      <c r="C701" s="71"/>
      <c r="D701" s="303"/>
      <c r="E701" s="303"/>
    </row>
    <row r="702" spans="3:5">
      <c r="C702" s="71"/>
      <c r="D702" s="303"/>
      <c r="E702" s="303"/>
    </row>
    <row r="703" spans="3:5">
      <c r="C703" s="71"/>
      <c r="D703" s="303"/>
      <c r="E703" s="303"/>
    </row>
    <row r="704" spans="3:5">
      <c r="C704" s="71"/>
      <c r="D704" s="303"/>
      <c r="E704" s="303"/>
    </row>
    <row r="705" spans="3:5">
      <c r="C705" s="71"/>
      <c r="D705" s="303"/>
      <c r="E705" s="303"/>
    </row>
    <row r="706" spans="3:5">
      <c r="C706" s="71"/>
      <c r="D706" s="303"/>
      <c r="E706" s="303"/>
    </row>
    <row r="707" spans="3:5">
      <c r="C707" s="71"/>
      <c r="D707" s="303"/>
      <c r="E707" s="303"/>
    </row>
    <row r="708" spans="3:5">
      <c r="C708" s="71"/>
      <c r="D708" s="303"/>
      <c r="E708" s="303"/>
    </row>
    <row r="709" spans="3:5">
      <c r="C709" s="71"/>
      <c r="D709" s="303"/>
      <c r="E709" s="303"/>
    </row>
    <row r="710" spans="3:5">
      <c r="C710" s="71"/>
      <c r="D710" s="303"/>
      <c r="E710" s="303"/>
    </row>
    <row r="711" spans="3:5">
      <c r="C711" s="71"/>
      <c r="D711" s="303"/>
      <c r="E711" s="303"/>
    </row>
    <row r="712" spans="3:5">
      <c r="C712" s="71"/>
      <c r="D712" s="303"/>
      <c r="E712" s="303"/>
    </row>
    <row r="713" spans="3:5">
      <c r="C713" s="71"/>
      <c r="D713" s="303"/>
      <c r="E713" s="303"/>
    </row>
    <row r="714" spans="3:5">
      <c r="C714" s="71"/>
      <c r="D714" s="303"/>
      <c r="E714" s="303"/>
    </row>
    <row r="715" spans="3:5">
      <c r="C715" s="71"/>
      <c r="D715" s="303"/>
      <c r="E715" s="303"/>
    </row>
    <row r="716" spans="3:5">
      <c r="C716" s="71"/>
      <c r="D716" s="303"/>
      <c r="E716" s="303"/>
    </row>
    <row r="717" spans="3:5">
      <c r="C717" s="71"/>
      <c r="D717" s="303"/>
      <c r="E717" s="303"/>
    </row>
    <row r="718" spans="3:5">
      <c r="C718" s="71"/>
      <c r="D718" s="303"/>
      <c r="E718" s="303"/>
    </row>
    <row r="719" spans="3:5">
      <c r="C719" s="71"/>
      <c r="D719" s="303"/>
      <c r="E719" s="303"/>
    </row>
    <row r="720" spans="3:5">
      <c r="C720" s="71"/>
      <c r="D720" s="303"/>
      <c r="E720" s="303"/>
    </row>
    <row r="721" spans="3:5">
      <c r="C721" s="71"/>
      <c r="D721" s="303"/>
      <c r="E721" s="303"/>
    </row>
    <row r="722" spans="3:5">
      <c r="C722" s="71"/>
      <c r="D722" s="303"/>
      <c r="E722" s="303"/>
    </row>
    <row r="723" spans="3:5">
      <c r="C723" s="71"/>
      <c r="D723" s="303"/>
      <c r="E723" s="303"/>
    </row>
    <row r="724" spans="3:5">
      <c r="C724" s="71"/>
      <c r="D724" s="303"/>
      <c r="E724" s="303"/>
    </row>
    <row r="725" spans="3:5">
      <c r="C725" s="71"/>
      <c r="D725" s="303"/>
      <c r="E725" s="303"/>
    </row>
    <row r="726" spans="3:5">
      <c r="C726" s="71"/>
      <c r="D726" s="303"/>
      <c r="E726" s="303"/>
    </row>
    <row r="727" spans="3:5">
      <c r="C727" s="71"/>
      <c r="D727" s="303"/>
      <c r="E727" s="303"/>
    </row>
    <row r="728" spans="3:5">
      <c r="C728" s="71"/>
      <c r="D728" s="303"/>
      <c r="E728" s="303"/>
    </row>
    <row r="729" spans="3:5">
      <c r="C729" s="71"/>
      <c r="D729" s="303"/>
      <c r="E729" s="303"/>
    </row>
    <row r="730" spans="3:5">
      <c r="C730" s="71"/>
      <c r="D730" s="303"/>
      <c r="E730" s="303"/>
    </row>
    <row r="731" spans="3:5">
      <c r="C731" s="71"/>
      <c r="D731" s="303"/>
      <c r="E731" s="303"/>
    </row>
    <row r="732" spans="3:5">
      <c r="C732" s="71"/>
      <c r="D732" s="303"/>
      <c r="E732" s="303"/>
    </row>
    <row r="733" spans="3:5">
      <c r="C733" s="71"/>
      <c r="D733" s="303"/>
      <c r="E733" s="303"/>
    </row>
    <row r="734" spans="3:5">
      <c r="C734" s="71"/>
      <c r="D734" s="303"/>
      <c r="E734" s="303"/>
    </row>
    <row r="735" spans="3:5">
      <c r="C735" s="71"/>
      <c r="D735" s="303"/>
      <c r="E735" s="303"/>
    </row>
    <row r="736" spans="3:5">
      <c r="C736" s="71"/>
      <c r="D736" s="303"/>
      <c r="E736" s="303"/>
    </row>
    <row r="737" spans="3:5">
      <c r="C737" s="71"/>
      <c r="D737" s="303"/>
      <c r="E737" s="303"/>
    </row>
    <row r="738" spans="3:5">
      <c r="C738" s="71"/>
      <c r="D738" s="303"/>
      <c r="E738" s="303"/>
    </row>
    <row r="739" spans="3:5">
      <c r="C739" s="71"/>
      <c r="D739" s="303"/>
      <c r="E739" s="303"/>
    </row>
    <row r="740" spans="3:5">
      <c r="C740" s="71"/>
      <c r="D740" s="303"/>
      <c r="E740" s="303"/>
    </row>
    <row r="741" spans="3:5">
      <c r="C741" s="71"/>
      <c r="D741" s="303"/>
      <c r="E741" s="303"/>
    </row>
    <row r="742" spans="3:5">
      <c r="C742" s="71"/>
      <c r="D742" s="303"/>
      <c r="E742" s="303"/>
    </row>
    <row r="743" spans="3:5">
      <c r="C743" s="71"/>
      <c r="D743" s="303"/>
      <c r="E743" s="303"/>
    </row>
    <row r="744" spans="3:5">
      <c r="C744" s="71"/>
      <c r="D744" s="303"/>
      <c r="E744" s="303"/>
    </row>
    <row r="745" spans="3:5">
      <c r="C745" s="71"/>
      <c r="D745" s="303"/>
      <c r="E745" s="303"/>
    </row>
    <row r="746" spans="3:5">
      <c r="C746" s="71"/>
      <c r="D746" s="303"/>
      <c r="E746" s="303"/>
    </row>
    <row r="747" spans="3:5">
      <c r="C747" s="71"/>
      <c r="D747" s="303"/>
      <c r="E747" s="303"/>
    </row>
    <row r="748" spans="3:5">
      <c r="C748" s="71"/>
      <c r="D748" s="303"/>
      <c r="E748" s="303"/>
    </row>
    <row r="749" spans="3:5">
      <c r="C749" s="71"/>
      <c r="D749" s="303"/>
      <c r="E749" s="303"/>
    </row>
    <row r="750" spans="3:5">
      <c r="C750" s="71"/>
      <c r="D750" s="303"/>
      <c r="E750" s="303"/>
    </row>
    <row r="751" spans="3:5">
      <c r="C751" s="71"/>
      <c r="D751" s="303"/>
      <c r="E751" s="303"/>
    </row>
    <row r="752" spans="3:5">
      <c r="C752" s="71"/>
      <c r="D752" s="303"/>
      <c r="E752" s="303"/>
    </row>
    <row r="753" spans="3:5">
      <c r="C753" s="71"/>
      <c r="D753" s="303"/>
      <c r="E753" s="303"/>
    </row>
    <row r="754" spans="3:5">
      <c r="C754" s="71"/>
      <c r="D754" s="303"/>
      <c r="E754" s="303"/>
    </row>
    <row r="755" spans="3:5">
      <c r="C755" s="71"/>
      <c r="D755" s="303"/>
      <c r="E755" s="303"/>
    </row>
    <row r="756" spans="3:5">
      <c r="C756" s="71"/>
      <c r="D756" s="303"/>
      <c r="E756" s="303"/>
    </row>
    <row r="757" spans="3:5">
      <c r="C757" s="71"/>
      <c r="D757" s="303"/>
      <c r="E757" s="303"/>
    </row>
    <row r="758" spans="3:5">
      <c r="C758" s="71"/>
      <c r="D758" s="303"/>
      <c r="E758" s="303"/>
    </row>
    <row r="759" spans="3:5">
      <c r="C759" s="71"/>
      <c r="D759" s="303"/>
      <c r="E759" s="303"/>
    </row>
    <row r="760" spans="3:5">
      <c r="C760" s="71"/>
      <c r="D760" s="303"/>
      <c r="E760" s="303"/>
    </row>
    <row r="761" spans="3:5">
      <c r="C761" s="71"/>
      <c r="D761" s="303"/>
      <c r="E761" s="303"/>
    </row>
    <row r="762" spans="3:5">
      <c r="C762" s="71"/>
      <c r="D762" s="303"/>
      <c r="E762" s="303"/>
    </row>
    <row r="763" spans="3:5">
      <c r="C763" s="71"/>
      <c r="D763" s="303"/>
      <c r="E763" s="303"/>
    </row>
    <row r="764" spans="3:5">
      <c r="C764" s="71"/>
      <c r="D764" s="303"/>
      <c r="E764" s="303"/>
    </row>
    <row r="765" spans="3:5">
      <c r="C765" s="71"/>
      <c r="D765" s="303"/>
      <c r="E765" s="303"/>
    </row>
    <row r="766" spans="3:5">
      <c r="C766" s="71"/>
      <c r="D766" s="303"/>
      <c r="E766" s="303"/>
    </row>
    <row r="767" spans="3:5">
      <c r="C767" s="71"/>
      <c r="D767" s="303"/>
      <c r="E767" s="303"/>
    </row>
    <row r="768" spans="3:5">
      <c r="C768" s="71"/>
      <c r="D768" s="303"/>
      <c r="E768" s="303"/>
    </row>
    <row r="769" spans="3:5">
      <c r="C769" s="71"/>
      <c r="D769" s="303"/>
      <c r="E769" s="303"/>
    </row>
    <row r="770" spans="3:5">
      <c r="C770" s="71"/>
      <c r="D770" s="303"/>
      <c r="E770" s="303"/>
    </row>
    <row r="771" spans="3:5">
      <c r="C771" s="71"/>
      <c r="D771" s="303"/>
      <c r="E771" s="303"/>
    </row>
    <row r="772" spans="3:5">
      <c r="C772" s="71"/>
      <c r="D772" s="303"/>
      <c r="E772" s="303"/>
    </row>
    <row r="773" spans="3:5">
      <c r="C773" s="71"/>
      <c r="D773" s="303"/>
      <c r="E773" s="303"/>
    </row>
    <row r="774" spans="3:5">
      <c r="C774" s="71"/>
      <c r="D774" s="303"/>
      <c r="E774" s="303"/>
    </row>
    <row r="775" spans="3:5">
      <c r="C775" s="71"/>
      <c r="D775" s="303"/>
      <c r="E775" s="303"/>
    </row>
    <row r="776" spans="3:5">
      <c r="C776" s="71"/>
      <c r="D776" s="303"/>
      <c r="E776" s="303"/>
    </row>
    <row r="777" spans="3:5">
      <c r="C777" s="71"/>
      <c r="D777" s="303"/>
      <c r="E777" s="303"/>
    </row>
    <row r="778" spans="3:5">
      <c r="C778" s="71"/>
      <c r="D778" s="303"/>
      <c r="E778" s="303"/>
    </row>
    <row r="779" spans="3:5">
      <c r="C779" s="71"/>
      <c r="D779" s="303"/>
      <c r="E779" s="303"/>
    </row>
    <row r="780" spans="3:5">
      <c r="C780" s="71"/>
      <c r="D780" s="303"/>
      <c r="E780" s="303"/>
    </row>
    <row r="781" spans="3:5">
      <c r="C781" s="71"/>
      <c r="D781" s="303"/>
      <c r="E781" s="303"/>
    </row>
    <row r="782" spans="3:5">
      <c r="C782" s="71"/>
      <c r="D782" s="303"/>
      <c r="E782" s="303"/>
    </row>
    <row r="783" spans="3:5">
      <c r="C783" s="71"/>
      <c r="D783" s="303"/>
      <c r="E783" s="303"/>
    </row>
    <row r="784" spans="3:5">
      <c r="C784" s="71"/>
      <c r="D784" s="303"/>
      <c r="E784" s="303"/>
    </row>
    <row r="785" spans="3:5">
      <c r="C785" s="71"/>
      <c r="D785" s="303"/>
      <c r="E785" s="303"/>
    </row>
    <row r="786" spans="3:5">
      <c r="C786" s="71"/>
      <c r="D786" s="303"/>
      <c r="E786" s="303"/>
    </row>
    <row r="787" spans="3:5">
      <c r="C787" s="71"/>
      <c r="D787" s="303"/>
      <c r="E787" s="303"/>
    </row>
    <row r="788" spans="3:5">
      <c r="C788" s="71"/>
      <c r="D788" s="303"/>
      <c r="E788" s="303"/>
    </row>
    <row r="789" spans="3:5">
      <c r="C789" s="71"/>
      <c r="D789" s="303"/>
      <c r="E789" s="303"/>
    </row>
    <row r="790" spans="3:5">
      <c r="C790" s="71"/>
      <c r="D790" s="303"/>
      <c r="E790" s="303"/>
    </row>
    <row r="791" spans="3:5">
      <c r="C791" s="71"/>
      <c r="D791" s="303"/>
      <c r="E791" s="303"/>
    </row>
    <row r="792" spans="3:5">
      <c r="C792" s="71"/>
      <c r="D792" s="303"/>
      <c r="E792" s="303"/>
    </row>
    <row r="793" spans="3:5">
      <c r="C793" s="71"/>
      <c r="D793" s="303"/>
      <c r="E793" s="303"/>
    </row>
    <row r="794" spans="3:5">
      <c r="C794" s="71"/>
      <c r="D794" s="303"/>
      <c r="E794" s="303"/>
    </row>
    <row r="795" spans="3:5">
      <c r="C795" s="71"/>
      <c r="D795" s="303"/>
      <c r="E795" s="303"/>
    </row>
    <row r="796" spans="3:5">
      <c r="C796" s="71"/>
      <c r="D796" s="303"/>
      <c r="E796" s="303"/>
    </row>
    <row r="797" spans="3:5">
      <c r="C797" s="71"/>
      <c r="D797" s="303"/>
      <c r="E797" s="303"/>
    </row>
    <row r="798" spans="3:5">
      <c r="C798" s="71"/>
      <c r="D798" s="303"/>
      <c r="E798" s="303"/>
    </row>
    <row r="799" spans="3:5">
      <c r="C799" s="71"/>
      <c r="D799" s="303"/>
      <c r="E799" s="303"/>
    </row>
    <row r="800" spans="3:5">
      <c r="C800" s="71"/>
      <c r="D800" s="303"/>
      <c r="E800" s="303"/>
    </row>
    <row r="801" spans="3:5">
      <c r="C801" s="71"/>
      <c r="D801" s="303"/>
      <c r="E801" s="303"/>
    </row>
    <row r="802" spans="3:5">
      <c r="C802" s="71"/>
      <c r="D802" s="303"/>
      <c r="E802" s="303"/>
    </row>
    <row r="803" spans="3:5">
      <c r="C803" s="71"/>
      <c r="D803" s="303"/>
      <c r="E803" s="303"/>
    </row>
    <row r="804" spans="3:5">
      <c r="C804" s="71"/>
      <c r="D804" s="303"/>
      <c r="E804" s="303"/>
    </row>
    <row r="805" spans="3:5">
      <c r="C805" s="71"/>
      <c r="D805" s="303"/>
      <c r="E805" s="303"/>
    </row>
    <row r="806" spans="3:5">
      <c r="C806" s="71"/>
      <c r="D806" s="303"/>
      <c r="E806" s="303"/>
    </row>
    <row r="807" spans="3:5">
      <c r="C807" s="71"/>
      <c r="D807" s="303"/>
      <c r="E807" s="303"/>
    </row>
    <row r="808" spans="3:5">
      <c r="C808" s="71"/>
      <c r="D808" s="303"/>
      <c r="E808" s="303"/>
    </row>
    <row r="809" spans="3:5">
      <c r="C809" s="71"/>
      <c r="D809" s="303"/>
      <c r="E809" s="303"/>
    </row>
    <row r="810" spans="3:5">
      <c r="C810" s="71"/>
      <c r="D810" s="303"/>
      <c r="E810" s="303"/>
    </row>
    <row r="811" spans="3:5">
      <c r="C811" s="71"/>
      <c r="D811" s="303"/>
      <c r="E811" s="303"/>
    </row>
    <row r="812" spans="3:5">
      <c r="C812" s="71"/>
      <c r="D812" s="303"/>
      <c r="E812" s="303"/>
    </row>
    <row r="813" spans="3:5">
      <c r="C813" s="71"/>
      <c r="D813" s="303"/>
      <c r="E813" s="303"/>
    </row>
    <row r="814" spans="3:5">
      <c r="C814" s="71"/>
      <c r="D814" s="303"/>
      <c r="E814" s="303"/>
    </row>
    <row r="815" spans="3:5">
      <c r="C815" s="71"/>
      <c r="D815" s="303"/>
      <c r="E815" s="303"/>
    </row>
    <row r="816" spans="3:5">
      <c r="C816" s="71"/>
      <c r="D816" s="303"/>
      <c r="E816" s="303"/>
    </row>
    <row r="817" spans="3:5">
      <c r="C817" s="71"/>
      <c r="D817" s="303"/>
      <c r="E817" s="303"/>
    </row>
    <row r="818" spans="3:5">
      <c r="C818" s="71"/>
      <c r="D818" s="303"/>
      <c r="E818" s="303"/>
    </row>
    <row r="819" spans="3:5">
      <c r="C819" s="71"/>
      <c r="D819" s="303"/>
      <c r="E819" s="303"/>
    </row>
    <row r="820" spans="3:5">
      <c r="C820" s="71"/>
      <c r="D820" s="303"/>
      <c r="E820" s="303"/>
    </row>
    <row r="821" spans="3:5">
      <c r="C821" s="71"/>
      <c r="D821" s="303"/>
      <c r="E821" s="303"/>
    </row>
    <row r="822" spans="3:5">
      <c r="C822" s="71"/>
      <c r="D822" s="303"/>
      <c r="E822" s="303"/>
    </row>
    <row r="823" spans="3:5">
      <c r="C823" s="71"/>
      <c r="D823" s="303"/>
      <c r="E823" s="303"/>
    </row>
    <row r="824" spans="3:5">
      <c r="C824" s="71"/>
      <c r="D824" s="303"/>
      <c r="E824" s="303"/>
    </row>
    <row r="825" spans="3:5">
      <c r="C825" s="71"/>
      <c r="D825" s="303"/>
      <c r="E825" s="303"/>
    </row>
    <row r="826" spans="3:5">
      <c r="C826" s="71"/>
      <c r="D826" s="303"/>
      <c r="E826" s="303"/>
    </row>
  </sheetData>
  <mergeCells count="6">
    <mergeCell ref="A5:C5"/>
    <mergeCell ref="A6:C6"/>
    <mergeCell ref="Q7:S7"/>
    <mergeCell ref="Q8:S8"/>
    <mergeCell ref="Q34:S34"/>
    <mergeCell ref="R33:S33"/>
  </mergeCells>
  <dataValidations count="1">
    <dataValidation type="list" allowBlank="1" showInputMessage="1" showErrorMessage="1" promptTitle="Select a Period:" prompt="Select Financial or Calendar years." sqref="R33:S33">
      <formula1>A1:A2</formula1>
    </dataValidation>
  </dataValidation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7" tint="0.39997558519241921"/>
  </sheetPr>
  <dimension ref="A1:Y69"/>
  <sheetViews>
    <sheetView workbookViewId="0"/>
  </sheetViews>
  <sheetFormatPr defaultRowHeight="15"/>
  <cols>
    <col min="1" max="1" width="9.140625" style="409"/>
    <col min="2" max="2" width="15.85546875" style="409" bestFit="1" customWidth="1"/>
    <col min="3" max="3" width="15.85546875" style="409" customWidth="1"/>
    <col min="4" max="4" width="3.140625" style="409" customWidth="1"/>
    <col min="5" max="6" width="10.42578125" style="798" hidden="1" customWidth="1"/>
    <col min="7" max="7" width="8.42578125" style="409" bestFit="1" customWidth="1"/>
    <col min="8" max="9" width="15.85546875" style="409" bestFit="1" customWidth="1"/>
    <col min="10" max="11" width="9.140625" style="798" hidden="1" customWidth="1"/>
    <col min="12" max="16384" width="9.140625" style="409"/>
  </cols>
  <sheetData>
    <row r="1" spans="1:25">
      <c r="Y1" s="807" t="s">
        <v>545</v>
      </c>
    </row>
    <row r="2" spans="1:25">
      <c r="K2" s="537"/>
      <c r="Y2" s="807" t="s">
        <v>546</v>
      </c>
    </row>
    <row r="3" spans="1:25">
      <c r="L3" s="808"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row>
    <row r="4" spans="1:25" ht="20.25" customHeight="1"/>
    <row r="5" spans="1:25">
      <c r="A5" s="1937" t="s">
        <v>540</v>
      </c>
      <c r="B5" s="1937"/>
      <c r="C5" s="1937"/>
      <c r="D5" s="410"/>
      <c r="G5" s="1937" t="s">
        <v>539</v>
      </c>
      <c r="H5" s="1937"/>
      <c r="I5" s="1937"/>
    </row>
    <row r="6" spans="1:25" ht="15.75" thickBot="1">
      <c r="A6" s="2004" t="s">
        <v>54</v>
      </c>
      <c r="B6" s="2004"/>
      <c r="C6" s="2004"/>
      <c r="D6" s="410"/>
      <c r="E6" s="410"/>
      <c r="F6" s="410"/>
      <c r="G6" s="1992" t="str">
        <f>G46</f>
        <v>Historic Calendar Year</v>
      </c>
      <c r="H6" s="1992"/>
      <c r="I6" s="1992"/>
    </row>
    <row r="7" spans="1:25" ht="15.75" thickBot="1">
      <c r="A7" s="1865"/>
      <c r="B7" s="411" t="s">
        <v>353</v>
      </c>
      <c r="C7" s="411" t="s">
        <v>342</v>
      </c>
      <c r="D7" s="410"/>
      <c r="E7" s="410"/>
      <c r="F7" s="410"/>
      <c r="G7" s="413"/>
      <c r="H7" s="411" t="s">
        <v>353</v>
      </c>
      <c r="I7" s="411" t="s">
        <v>342</v>
      </c>
    </row>
    <row r="8" spans="1:25" ht="15.75" thickBot="1">
      <c r="A8" s="415" t="s">
        <v>52</v>
      </c>
      <c r="B8" s="411" t="s">
        <v>53</v>
      </c>
      <c r="C8" s="411" t="s">
        <v>53</v>
      </c>
      <c r="D8" s="410"/>
      <c r="E8" s="410"/>
      <c r="F8" s="410"/>
      <c r="G8" s="415" t="s">
        <v>52</v>
      </c>
      <c r="H8" s="411" t="s">
        <v>53</v>
      </c>
      <c r="I8" s="411" t="s">
        <v>53</v>
      </c>
    </row>
    <row r="9" spans="1:25">
      <c r="A9" s="1866">
        <f>LARGE('Data - Monthly Commodity Prices'!C$159:C$902,60)</f>
        <v>42005</v>
      </c>
      <c r="B9" s="414">
        <f>SUMIF('Data - Monthly Commodity Prices'!C$159:C$902,A9,'Data - Monthly Commodity Prices'!S$159:S$902)</f>
        <v>1277.9656777196044</v>
      </c>
      <c r="C9" s="412">
        <f>SUMIF('Data - Monthly Commodity Prices'!C$109:C$902,A9,'Data - Monthly Commodity Prices'!T$109:T$902)</f>
        <v>1395.1450248030346</v>
      </c>
      <c r="D9" s="410"/>
      <c r="E9" s="410">
        <v>1986</v>
      </c>
      <c r="F9" s="410">
        <v>1987</v>
      </c>
      <c r="G9" s="1869">
        <f>IF($G$6="Historic Calendar Year",1986,CONCATENATE(E9,"-",RIGHT(F9,2)))</f>
        <v>1986</v>
      </c>
      <c r="H9" s="32">
        <f t="array" ref="H9">IF($G$6="Historic Calendar Year",IFERROR(AVERAGE(IF($G9=YEAR('Data - Monthly Commodity Prices'!$C$9:$C$1000),'Data - Monthly Commodity Prices'!$S$9:$S$1000)),"NA"),IFERROR(IF(J9=0,"NA",J9),"NA"))</f>
        <v>595</v>
      </c>
      <c r="I9" s="32">
        <f t="array" ref="I9">IF($G$6="Historic Calendar Year",IFERROR(AVERAGE(IF($G9=YEAR('Data - Monthly Commodity Prices'!$C$9:$C$1000),'Data - Monthly Commodity Prices'!$T$9:$T$1000)),"NA"),IFERROR(IF(K9=0,"NA",K9),"NA"))</f>
        <v>178.33333333333334</v>
      </c>
      <c r="J9" s="798">
        <f>(SUMIFS('Data - Monthly Commodity Prices'!$S$9:$S$2500,'Data - Monthly Commodity Prices'!$A$9:$A$2500,'Mineral Sands - Prices'!E9,'Data - Monthly Commodity Prices'!$B$9:$B$2500,3)+
SUMIFS('Data - Monthly Commodity Prices'!$S$9:$S$2500,'Data - Monthly Commodity Prices'!$A$9:$A$2500,'Mineral Sands - Prices'!E9,'Data - Monthly Commodity Prices'!$B$9:$B$2500,4)+
SUMIFS('Data - Monthly Commodity Prices'!$S$9:$S$2500,'Data - Monthly Commodity Prices'!$A$9:$A$2500,'Mineral Sands - Prices'!F9,'Data - Monthly Commodity Prices'!$B$9:$B$2500,1)+
SUMIFS('Data - Monthly Commodity Prices'!$S$9:$S$2500,'Data - Monthly Commodity Prices'!$A$9:$A$2500,'Mineral Sands - Prices'!F9,'Data - Monthly Commodity Prices'!$B$9:$B$2500,2))
/(COUNTIFS('Data - Monthly Commodity Prices'!$A$9:$A$2500,'Mineral Sands - Prices'!E9,'Data - Monthly Commodity Prices'!$B$9:$B$2500,3)+
COUNTIFS('Data - Monthly Commodity Prices'!$A$9:$A$2500,'Mineral Sands - Prices'!E9,'Data - Monthly Commodity Prices'!$B$9:$B$2500,4)+
COUNTIFS('Data - Monthly Commodity Prices'!$A$9:$A$2500,'Mineral Sands - Prices'!F9,'Data - Monthly Commodity Prices'!$B$9:$B$2500,1)+
COUNTIFS('Data - Monthly Commodity Prices'!$A$9:$A$2500,'Mineral Sands - Prices'!F9,'Data - Monthly Commodity Prices'!$B$9:$B$2500,2))</f>
        <v>636.16666666666663</v>
      </c>
      <c r="K9" s="798">
        <f>(SUMIFS('Data - Monthly Commodity Prices'!$T$9:$T$2500,'Data - Monthly Commodity Prices'!$A$9:$A$2500,'Mineral Sands - Prices'!E9,'Data - Monthly Commodity Prices'!$B$9:$B$2500,3)+
SUMIFS('Data - Monthly Commodity Prices'!$T$9:$T$2500,'Data - Monthly Commodity Prices'!$A$9:$A$2500,'Mineral Sands - Prices'!E9,'Data - Monthly Commodity Prices'!$B$9:$B$2500,4)+
SUMIFS('Data - Monthly Commodity Prices'!$T$9:$T$2500,'Data - Monthly Commodity Prices'!$A$9:$A$2500,'Mineral Sands - Prices'!F9,'Data - Monthly Commodity Prices'!$B$9:$B$2500,1)+
SUMIFS('Data - Monthly Commodity Prices'!$T$9:$T$2500,'Data - Monthly Commodity Prices'!$A$9:$A$2500,'Mineral Sands - Prices'!F9,'Data - Monthly Commodity Prices'!$B$9:$B$2500,2))
/(COUNTIFS('Data - Monthly Commodity Prices'!$A$9:$A$2500,'Mineral Sands - Prices'!E9,'Data - Monthly Commodity Prices'!$B$9:$B$2500,3)+
COUNTIFS('Data - Monthly Commodity Prices'!$A$9:$A$2500,'Mineral Sands - Prices'!E9,'Data - Monthly Commodity Prices'!$B$9:$B$2500,4)+
COUNTIFS('Data - Monthly Commodity Prices'!$A$9:$A$2500,'Mineral Sands - Prices'!F9,'Data - Monthly Commodity Prices'!$B$9:$B$2500,1)+
COUNTIFS('Data - Monthly Commodity Prices'!$A$9:$A$2500,'Mineral Sands - Prices'!F9,'Data - Monthly Commodity Prices'!$B$9:$B$2500,2))</f>
        <v>215</v>
      </c>
    </row>
    <row r="10" spans="1:25">
      <c r="A10" s="1867">
        <f>LARGE('Data - Monthly Commodity Prices'!C$159:C$902,59)</f>
        <v>42036</v>
      </c>
      <c r="B10" s="30">
        <f>SUMIF('Data - Monthly Commodity Prices'!C$159:C$902,A10,'Data - Monthly Commodity Prices'!S$159:S$902)</f>
        <v>1163.6295143212951</v>
      </c>
      <c r="C10" s="61">
        <f>SUMIF('Data - Monthly Commodity Prices'!C$109:C$902,A10,'Data - Monthly Commodity Prices'!T$109:T$902)</f>
        <v>1346.460918614021</v>
      </c>
      <c r="D10" s="410"/>
      <c r="E10" s="410">
        <f>E9+1</f>
        <v>1987</v>
      </c>
      <c r="F10" s="410">
        <f>F9+1</f>
        <v>1988</v>
      </c>
      <c r="G10" s="1870">
        <f t="shared" ref="G10:G43" si="0">IF($G$6="Historic Calendar Year",G9+1,CONCATENATE(E10,"-",RIGHT(F10,2)))</f>
        <v>1987</v>
      </c>
      <c r="H10" s="414">
        <f t="array" ref="H10">IF($G$6="Historic Calendar Year",IFERROR(AVERAGE(IF($G10=YEAR('Data - Monthly Commodity Prices'!$C$9:$C$1000),'Data - Monthly Commodity Prices'!$S$9:$S$1000)),"NA"),IFERROR(IF(J10=0,"NA",J10),"NA"))</f>
        <v>640.66666666666663</v>
      </c>
      <c r="I10" s="414">
        <f t="array" ref="I10">IF($G$6="Historic Calendar Year",IFERROR(AVERAGE(IF($G10=YEAR('Data - Monthly Commodity Prices'!$C$9:$C$1000),'Data - Monthly Commodity Prices'!$T$9:$T$1000)),"NA"),IFERROR(IF(K10=0,"NA",K10),"NA"))</f>
        <v>270</v>
      </c>
      <c r="J10" s="798">
        <f>(SUMIFS('Data - Monthly Commodity Prices'!$S$9:$S$2500,'Data - Monthly Commodity Prices'!$A$9:$A$2500,'Mineral Sands - Prices'!E10,'Data - Monthly Commodity Prices'!$B$9:$B$2500,3)+
SUMIFS('Data - Monthly Commodity Prices'!$S$9:$S$2500,'Data - Monthly Commodity Prices'!$A$9:$A$2500,'Mineral Sands - Prices'!E10,'Data - Monthly Commodity Prices'!$B$9:$B$2500,4)+
SUMIFS('Data - Monthly Commodity Prices'!$S$9:$S$2500,'Data - Monthly Commodity Prices'!$A$9:$A$2500,'Mineral Sands - Prices'!F10,'Data - Monthly Commodity Prices'!$B$9:$B$2500,1)+
SUMIFS('Data - Monthly Commodity Prices'!$S$9:$S$2500,'Data - Monthly Commodity Prices'!$A$9:$A$2500,'Mineral Sands - Prices'!F10,'Data - Monthly Commodity Prices'!$B$9:$B$2500,2))
/(COUNTIFS('Data - Monthly Commodity Prices'!$A$9:$A$2500,'Mineral Sands - Prices'!E10,'Data - Monthly Commodity Prices'!$B$9:$B$2500,3)+
COUNTIFS('Data - Monthly Commodity Prices'!$A$9:$A$2500,'Mineral Sands - Prices'!E10,'Data - Monthly Commodity Prices'!$B$9:$B$2500,4)+
COUNTIFS('Data - Monthly Commodity Prices'!$A$9:$A$2500,'Mineral Sands - Prices'!F10,'Data - Monthly Commodity Prices'!$B$9:$B$2500,1)+
COUNTIFS('Data - Monthly Commodity Prices'!$A$9:$A$2500,'Mineral Sands - Prices'!F10,'Data - Monthly Commodity Prices'!$B$9:$B$2500,2))</f>
        <v>634.5</v>
      </c>
      <c r="K10" s="798">
        <f>(SUMIFS('Data - Monthly Commodity Prices'!$T$9:$T$2500,'Data - Monthly Commodity Prices'!$A$9:$A$2500,'Mineral Sands - Prices'!E10,'Data - Monthly Commodity Prices'!$B$9:$B$2500,3)+
SUMIFS('Data - Monthly Commodity Prices'!$T$9:$T$2500,'Data - Monthly Commodity Prices'!$A$9:$A$2500,'Mineral Sands - Prices'!E10,'Data - Monthly Commodity Prices'!$B$9:$B$2500,4)+
SUMIFS('Data - Monthly Commodity Prices'!$T$9:$T$2500,'Data - Monthly Commodity Prices'!$A$9:$A$2500,'Mineral Sands - Prices'!F10,'Data - Monthly Commodity Prices'!$B$9:$B$2500,1)+
SUMIFS('Data - Monthly Commodity Prices'!$T$9:$T$2500,'Data - Monthly Commodity Prices'!$A$9:$A$2500,'Mineral Sands - Prices'!F10,'Data - Monthly Commodity Prices'!$B$9:$B$2500,2))
/(COUNTIFS('Data - Monthly Commodity Prices'!$A$9:$A$2500,'Mineral Sands - Prices'!E10,'Data - Monthly Commodity Prices'!$B$9:$B$2500,3)+
COUNTIFS('Data - Monthly Commodity Prices'!$A$9:$A$2500,'Mineral Sands - Prices'!E10,'Data - Monthly Commodity Prices'!$B$9:$B$2500,4)+
COUNTIFS('Data - Monthly Commodity Prices'!$A$9:$A$2500,'Mineral Sands - Prices'!F10,'Data - Monthly Commodity Prices'!$B$9:$B$2500,1)+
COUNTIFS('Data - Monthly Commodity Prices'!$A$9:$A$2500,'Mineral Sands - Prices'!F10,'Data - Monthly Commodity Prices'!$B$9:$B$2500,2))</f>
        <v>287.5</v>
      </c>
    </row>
    <row r="11" spans="1:25">
      <c r="A11" s="1866">
        <f>LARGE('Data - Monthly Commodity Prices'!C$159:C$902,58)</f>
        <v>42064</v>
      </c>
      <c r="B11" s="414">
        <f>SUMIF('Data - Monthly Commodity Prices'!C$159:C$902,A11,'Data - Monthly Commodity Prices'!S$159:S$902)</f>
        <v>1128.3213389121338</v>
      </c>
      <c r="C11" s="412">
        <f>SUMIF('Data - Monthly Commodity Prices'!C$109:C$902,A11,'Data - Monthly Commodity Prices'!T$109:T$902)</f>
        <v>1402.6031116050167</v>
      </c>
      <c r="D11" s="410"/>
      <c r="E11" s="410">
        <f t="shared" ref="E11:F43" si="1">E10+1</f>
        <v>1988</v>
      </c>
      <c r="F11" s="410">
        <f t="shared" si="1"/>
        <v>1989</v>
      </c>
      <c r="G11" s="1871">
        <f t="shared" si="0"/>
        <v>1988</v>
      </c>
      <c r="H11" s="30">
        <f t="array" ref="H11">IF($G$6="Historic Calendar Year",IFERROR(AVERAGE(IF($G11=YEAR('Data - Monthly Commodity Prices'!$C$9:$C$1000),'Data - Monthly Commodity Prices'!$S$9:$S$1000)),"NA"),IFERROR(IF(K11=0,"NA",K11),"NA"))</f>
        <v>647.5</v>
      </c>
      <c r="I11" s="30">
        <f t="array" ref="I11">IF($G$6="Historic Calendar Year",IFERROR(AVERAGE(IF($G11=YEAR('Data - Monthly Commodity Prices'!$C$9:$C$1000),'Data - Monthly Commodity Prices'!$T$9:$T$1000)),"NA"),IFERROR(IF(J11=0,"NA",J11),"NA"))</f>
        <v>310</v>
      </c>
      <c r="J11" s="798">
        <f>(SUMIFS('Data - Monthly Commodity Prices'!$S$9:$S$2500,'Data - Monthly Commodity Prices'!$A$9:$A$2500,'Mineral Sands - Prices'!E11,'Data - Monthly Commodity Prices'!$B$9:$B$2500,3)+
SUMIFS('Data - Monthly Commodity Prices'!$S$9:$S$2500,'Data - Monthly Commodity Prices'!$A$9:$A$2500,'Mineral Sands - Prices'!E11,'Data - Monthly Commodity Prices'!$B$9:$B$2500,4)+
SUMIFS('Data - Monthly Commodity Prices'!$S$9:$S$2500,'Data - Monthly Commodity Prices'!$A$9:$A$2500,'Mineral Sands - Prices'!F11,'Data - Monthly Commodity Prices'!$B$9:$B$2500,1)+
SUMIFS('Data - Monthly Commodity Prices'!$S$9:$S$2500,'Data - Monthly Commodity Prices'!$A$9:$A$2500,'Mineral Sands - Prices'!F11,'Data - Monthly Commodity Prices'!$B$9:$B$2500,2))
/(COUNTIFS('Data - Monthly Commodity Prices'!$A$9:$A$2500,'Mineral Sands - Prices'!E11,'Data - Monthly Commodity Prices'!$B$9:$B$2500,3)+
COUNTIFS('Data - Monthly Commodity Prices'!$A$9:$A$2500,'Mineral Sands - Prices'!E11,'Data - Monthly Commodity Prices'!$B$9:$B$2500,4)+
COUNTIFS('Data - Monthly Commodity Prices'!$A$9:$A$2500,'Mineral Sands - Prices'!F11,'Data - Monthly Commodity Prices'!$B$9:$B$2500,1)+
COUNTIFS('Data - Monthly Commodity Prices'!$A$9:$A$2500,'Mineral Sands - Prices'!F11,'Data - Monthly Commodity Prices'!$B$9:$B$2500,2))</f>
        <v>686.66666666666663</v>
      </c>
      <c r="K11" s="798">
        <f>(SUMIFS('Data - Monthly Commodity Prices'!$T$9:$T$2500,'Data - Monthly Commodity Prices'!$A$9:$A$2500,'Mineral Sands - Prices'!E11,'Data - Monthly Commodity Prices'!$B$9:$B$2500,3)+
SUMIFS('Data - Monthly Commodity Prices'!$T$9:$T$2500,'Data - Monthly Commodity Prices'!$A$9:$A$2500,'Mineral Sands - Prices'!E11,'Data - Monthly Commodity Prices'!$B$9:$B$2500,4)+
SUMIFS('Data - Monthly Commodity Prices'!$T$9:$T$2500,'Data - Monthly Commodity Prices'!$A$9:$A$2500,'Mineral Sands - Prices'!F11,'Data - Monthly Commodity Prices'!$B$9:$B$2500,1)+
SUMIFS('Data - Monthly Commodity Prices'!$T$9:$T$2500,'Data - Monthly Commodity Prices'!$A$9:$A$2500,'Mineral Sands - Prices'!F11,'Data - Monthly Commodity Prices'!$B$9:$B$2500,2))
/(COUNTIFS('Data - Monthly Commodity Prices'!$A$9:$A$2500,'Mineral Sands - Prices'!E11,'Data - Monthly Commodity Prices'!$B$9:$B$2500,3)+
COUNTIFS('Data - Monthly Commodity Prices'!$A$9:$A$2500,'Mineral Sands - Prices'!E11,'Data - Monthly Commodity Prices'!$B$9:$B$2500,4)+
COUNTIFS('Data - Monthly Commodity Prices'!$A$9:$A$2500,'Mineral Sands - Prices'!F11,'Data - Monthly Commodity Prices'!$B$9:$B$2500,1)+
COUNTIFS('Data - Monthly Commodity Prices'!$A$9:$A$2500,'Mineral Sands - Prices'!F11,'Data - Monthly Commodity Prices'!$B$9:$B$2500,2))</f>
        <v>410</v>
      </c>
    </row>
    <row r="12" spans="1:25">
      <c r="A12" s="1867">
        <f>LARGE('Data - Monthly Commodity Prices'!C$159:C$902,57)</f>
        <v>42095</v>
      </c>
      <c r="B12" s="30">
        <f>SUMIF('Data - Monthly Commodity Prices'!C$159:C$902,A12,'Data - Monthly Commodity Prices'!S$159:S$902)</f>
        <v>1346.336236391913</v>
      </c>
      <c r="C12" s="61">
        <f>SUMIF('Data - Monthly Commodity Prices'!C$109:C$902,A12,'Data - Monthly Commodity Prices'!T$109:T$902)</f>
        <v>1334.3865791393143</v>
      </c>
      <c r="D12" s="410"/>
      <c r="E12" s="410">
        <f t="shared" si="1"/>
        <v>1989</v>
      </c>
      <c r="F12" s="410">
        <f t="shared" si="1"/>
        <v>1990</v>
      </c>
      <c r="G12" s="1870">
        <f t="shared" si="0"/>
        <v>1989</v>
      </c>
      <c r="H12" s="414">
        <f t="array" ref="H12">IF($G$6="Historic Calendar Year",IFERROR(AVERAGE(IF($G12=YEAR('Data - Monthly Commodity Prices'!$C$9:$C$1000),'Data - Monthly Commodity Prices'!$S$9:$S$1000)),"NA"),IFERROR(IF(K12=0,"NA",K12),"NA"))</f>
        <v>734.16666666666663</v>
      </c>
      <c r="I12" s="414">
        <f t="array" ref="I12">IF($G$6="Historic Calendar Year",IFERROR(AVERAGE(IF($G12=YEAR('Data - Monthly Commodity Prices'!$C$9:$C$1000),'Data - Monthly Commodity Prices'!$T$9:$T$1000)),"NA"),IFERROR(IF(J12=0,"NA",J12),"NA"))</f>
        <v>515</v>
      </c>
      <c r="J12" s="798">
        <f>(SUMIFS('Data - Monthly Commodity Prices'!$S$9:$S$2500,'Data - Monthly Commodity Prices'!$A$9:$A$2500,'Mineral Sands - Prices'!E12,'Data - Monthly Commodity Prices'!$B$9:$B$2500,3)+
SUMIFS('Data - Monthly Commodity Prices'!$S$9:$S$2500,'Data - Monthly Commodity Prices'!$A$9:$A$2500,'Mineral Sands - Prices'!E12,'Data - Monthly Commodity Prices'!$B$9:$B$2500,4)+
SUMIFS('Data - Monthly Commodity Prices'!$S$9:$S$2500,'Data - Monthly Commodity Prices'!$A$9:$A$2500,'Mineral Sands - Prices'!F12,'Data - Monthly Commodity Prices'!$B$9:$B$2500,1)+
SUMIFS('Data - Monthly Commodity Prices'!$S$9:$S$2500,'Data - Monthly Commodity Prices'!$A$9:$A$2500,'Mineral Sands - Prices'!F12,'Data - Monthly Commodity Prices'!$B$9:$B$2500,2))
/(COUNTIFS('Data - Monthly Commodity Prices'!$A$9:$A$2500,'Mineral Sands - Prices'!E12,'Data - Monthly Commodity Prices'!$B$9:$B$2500,3)+
COUNTIFS('Data - Monthly Commodity Prices'!$A$9:$A$2500,'Mineral Sands - Prices'!E12,'Data - Monthly Commodity Prices'!$B$9:$B$2500,4)+
COUNTIFS('Data - Monthly Commodity Prices'!$A$9:$A$2500,'Mineral Sands - Prices'!F12,'Data - Monthly Commodity Prices'!$B$9:$B$2500,1)+
COUNTIFS('Data - Monthly Commodity Prices'!$A$9:$A$2500,'Mineral Sands - Prices'!F12,'Data - Monthly Commodity Prices'!$B$9:$B$2500,2))</f>
        <v>825</v>
      </c>
      <c r="K12" s="798">
        <f>(SUMIFS('Data - Monthly Commodity Prices'!$T$9:$T$2500,'Data - Monthly Commodity Prices'!$A$9:$A$2500,'Mineral Sands - Prices'!E12,'Data - Monthly Commodity Prices'!$B$9:$B$2500,3)+
SUMIFS('Data - Monthly Commodity Prices'!$T$9:$T$2500,'Data - Monthly Commodity Prices'!$A$9:$A$2500,'Mineral Sands - Prices'!E12,'Data - Monthly Commodity Prices'!$B$9:$B$2500,4)+
SUMIFS('Data - Monthly Commodity Prices'!$T$9:$T$2500,'Data - Monthly Commodity Prices'!$A$9:$A$2500,'Mineral Sands - Prices'!F12,'Data - Monthly Commodity Prices'!$B$9:$B$2500,1)+
SUMIFS('Data - Monthly Commodity Prices'!$T$9:$T$2500,'Data - Monthly Commodity Prices'!$A$9:$A$2500,'Mineral Sands - Prices'!F12,'Data - Monthly Commodity Prices'!$B$9:$B$2500,2))
/(COUNTIFS('Data - Monthly Commodity Prices'!$A$9:$A$2500,'Mineral Sands - Prices'!E12,'Data - Monthly Commodity Prices'!$B$9:$B$2500,3)+
COUNTIFS('Data - Monthly Commodity Prices'!$A$9:$A$2500,'Mineral Sands - Prices'!E12,'Data - Monthly Commodity Prices'!$B$9:$B$2500,4)+
COUNTIFS('Data - Monthly Commodity Prices'!$A$9:$A$2500,'Mineral Sands - Prices'!F12,'Data - Monthly Commodity Prices'!$B$9:$B$2500,1)+
COUNTIFS('Data - Monthly Commodity Prices'!$A$9:$A$2500,'Mineral Sands - Prices'!F12,'Data - Monthly Commodity Prices'!$B$9:$B$2500,2))</f>
        <v>568.33333333333337</v>
      </c>
    </row>
    <row r="13" spans="1:25">
      <c r="A13" s="1866">
        <f>LARGE('Data - Monthly Commodity Prices'!C$159:C$902,56)</f>
        <v>42125</v>
      </c>
      <c r="B13" s="414">
        <f>SUMIF('Data - Monthly Commodity Prices'!C$159:C$902,A13,'Data - Monthly Commodity Prices'!S$159:S$902)</f>
        <v>1387.7336585365854</v>
      </c>
      <c r="C13" s="412">
        <f>SUMIF('Data - Monthly Commodity Prices'!C$109:C$902,A13,'Data - Monthly Commodity Prices'!T$109:T$902)</f>
        <v>1317.8331099195711</v>
      </c>
      <c r="D13" s="410"/>
      <c r="E13" s="410">
        <f t="shared" si="1"/>
        <v>1990</v>
      </c>
      <c r="F13" s="410">
        <f t="shared" si="1"/>
        <v>1991</v>
      </c>
      <c r="G13" s="1871">
        <f t="shared" si="0"/>
        <v>1990</v>
      </c>
      <c r="H13" s="30">
        <f t="array" ref="H13">IF($G$6="Historic Calendar Year",IFERROR(AVERAGE(IF($G13=YEAR('Data - Monthly Commodity Prices'!$C$9:$C$1000),'Data - Monthly Commodity Prices'!$S$9:$S$1000)),"NA"),IFERROR(IF(K13=0,"NA",K13),"NA"))</f>
        <v>843.75</v>
      </c>
      <c r="I13" s="30">
        <f t="array" ref="I13">IF($G$6="Historic Calendar Year",IFERROR(AVERAGE(IF($G13=YEAR('Data - Monthly Commodity Prices'!$C$9:$C$1000),'Data - Monthly Commodity Prices'!$T$9:$T$1000)),"NA"),IFERROR(IF(J13=0,"NA",J13),"NA"))</f>
        <v>574.33333333333337</v>
      </c>
      <c r="J13" s="798">
        <f>(SUMIFS('Data - Monthly Commodity Prices'!$S$9:$S$2500,'Data - Monthly Commodity Prices'!$A$9:$A$2500,'Mineral Sands - Prices'!E13,'Data - Monthly Commodity Prices'!$B$9:$B$2500,3)+
SUMIFS('Data - Monthly Commodity Prices'!$S$9:$S$2500,'Data - Monthly Commodity Prices'!$A$9:$A$2500,'Mineral Sands - Prices'!E13,'Data - Monthly Commodity Prices'!$B$9:$B$2500,4)+
SUMIFS('Data - Monthly Commodity Prices'!$S$9:$S$2500,'Data - Monthly Commodity Prices'!$A$9:$A$2500,'Mineral Sands - Prices'!F13,'Data - Monthly Commodity Prices'!$B$9:$B$2500,1)+
SUMIFS('Data - Monthly Commodity Prices'!$S$9:$S$2500,'Data - Monthly Commodity Prices'!$A$9:$A$2500,'Mineral Sands - Prices'!F13,'Data - Monthly Commodity Prices'!$B$9:$B$2500,2))
/(COUNTIFS('Data - Monthly Commodity Prices'!$A$9:$A$2500,'Mineral Sands - Prices'!E13,'Data - Monthly Commodity Prices'!$B$9:$B$2500,3)+
COUNTIFS('Data - Monthly Commodity Prices'!$A$9:$A$2500,'Mineral Sands - Prices'!E13,'Data - Monthly Commodity Prices'!$B$9:$B$2500,4)+
COUNTIFS('Data - Monthly Commodity Prices'!$A$9:$A$2500,'Mineral Sands - Prices'!F13,'Data - Monthly Commodity Prices'!$B$9:$B$2500,1)+
COUNTIFS('Data - Monthly Commodity Prices'!$A$9:$A$2500,'Mineral Sands - Prices'!F13,'Data - Monthly Commodity Prices'!$B$9:$B$2500,2))</f>
        <v>755</v>
      </c>
      <c r="K13" s="798">
        <f>(SUMIFS('Data - Monthly Commodity Prices'!$T$9:$T$2500,'Data - Monthly Commodity Prices'!$A$9:$A$2500,'Mineral Sands - Prices'!E13,'Data - Monthly Commodity Prices'!$B$9:$B$2500,3)+
SUMIFS('Data - Monthly Commodity Prices'!$T$9:$T$2500,'Data - Monthly Commodity Prices'!$A$9:$A$2500,'Mineral Sands - Prices'!E13,'Data - Monthly Commodity Prices'!$B$9:$B$2500,4)+
SUMIFS('Data - Monthly Commodity Prices'!$T$9:$T$2500,'Data - Monthly Commodity Prices'!$A$9:$A$2500,'Mineral Sands - Prices'!F13,'Data - Monthly Commodity Prices'!$B$9:$B$2500,1)+
SUMIFS('Data - Monthly Commodity Prices'!$T$9:$T$2500,'Data - Monthly Commodity Prices'!$A$9:$A$2500,'Mineral Sands - Prices'!F13,'Data - Monthly Commodity Prices'!$B$9:$B$2500,2))
/(COUNTIFS('Data - Monthly Commodity Prices'!$A$9:$A$2500,'Mineral Sands - Prices'!E13,'Data - Monthly Commodity Prices'!$B$9:$B$2500,3)+
COUNTIFS('Data - Monthly Commodity Prices'!$A$9:$A$2500,'Mineral Sands - Prices'!E13,'Data - Monthly Commodity Prices'!$B$9:$B$2500,4)+
COUNTIFS('Data - Monthly Commodity Prices'!$A$9:$A$2500,'Mineral Sands - Prices'!F13,'Data - Monthly Commodity Prices'!$B$9:$B$2500,1)+
COUNTIFS('Data - Monthly Commodity Prices'!$A$9:$A$2500,'Mineral Sands - Prices'!F13,'Data - Monthly Commodity Prices'!$B$9:$B$2500,2))</f>
        <v>510.25</v>
      </c>
    </row>
    <row r="14" spans="1:25">
      <c r="A14" s="1867">
        <f>LARGE('Data - Monthly Commodity Prices'!C$159:C$902,55)</f>
        <v>42156</v>
      </c>
      <c r="B14" s="30">
        <f>SUMIF('Data - Monthly Commodity Prices'!C$159:C$902,A14,'Data - Monthly Commodity Prices'!S$159:S$902)</f>
        <v>1328.751592356688</v>
      </c>
      <c r="C14" s="61">
        <f>SUMIF('Data - Monthly Commodity Prices'!C$109:C$902,A14,'Data - Monthly Commodity Prices'!T$109:T$902)</f>
        <v>1362.0528018826299</v>
      </c>
      <c r="D14" s="410"/>
      <c r="E14" s="410">
        <f t="shared" si="1"/>
        <v>1991</v>
      </c>
      <c r="F14" s="410">
        <f t="shared" si="1"/>
        <v>1992</v>
      </c>
      <c r="G14" s="1870">
        <f t="shared" si="0"/>
        <v>1991</v>
      </c>
      <c r="H14" s="414">
        <f t="array" ref="H14">IF($G$6="Historic Calendar Year",IFERROR(AVERAGE(IF($G14=YEAR('Data - Monthly Commodity Prices'!$C$9:$C$1000),'Data - Monthly Commodity Prices'!$S$9:$S$1000)),"NA"),IFERROR(IF(K14=0,"NA",K14),"NA"))</f>
        <v>687.75</v>
      </c>
      <c r="I14" s="414">
        <f t="array" ref="I14">IF($G$6="Historic Calendar Year",IFERROR(AVERAGE(IF($G14=YEAR('Data - Monthly Commodity Prices'!$C$9:$C$1000),'Data - Monthly Commodity Prices'!$T$9:$T$1000)),"NA"),IFERROR(IF(J14=0,"NA",J14),"NA"))</f>
        <v>400.75</v>
      </c>
      <c r="J14" s="798">
        <f>(SUMIFS('Data - Monthly Commodity Prices'!$S$9:$S$2500,'Data - Monthly Commodity Prices'!$A$9:$A$2500,'Mineral Sands - Prices'!E14,'Data - Monthly Commodity Prices'!$B$9:$B$2500,3)+
SUMIFS('Data - Monthly Commodity Prices'!$S$9:$S$2500,'Data - Monthly Commodity Prices'!$A$9:$A$2500,'Mineral Sands - Prices'!E14,'Data - Monthly Commodity Prices'!$B$9:$B$2500,4)+
SUMIFS('Data - Monthly Commodity Prices'!$S$9:$S$2500,'Data - Monthly Commodity Prices'!$A$9:$A$2500,'Mineral Sands - Prices'!F14,'Data - Monthly Commodity Prices'!$B$9:$B$2500,1)+
SUMIFS('Data - Monthly Commodity Prices'!$S$9:$S$2500,'Data - Monthly Commodity Prices'!$A$9:$A$2500,'Mineral Sands - Prices'!F14,'Data - Monthly Commodity Prices'!$B$9:$B$2500,2))
/(COUNTIFS('Data - Monthly Commodity Prices'!$A$9:$A$2500,'Mineral Sands - Prices'!E14,'Data - Monthly Commodity Prices'!$B$9:$B$2500,3)+
COUNTIFS('Data - Monthly Commodity Prices'!$A$9:$A$2500,'Mineral Sands - Prices'!E14,'Data - Monthly Commodity Prices'!$B$9:$B$2500,4)+
COUNTIFS('Data - Monthly Commodity Prices'!$A$9:$A$2500,'Mineral Sands - Prices'!F14,'Data - Monthly Commodity Prices'!$B$9:$B$2500,1)+
COUNTIFS('Data - Monthly Commodity Prices'!$A$9:$A$2500,'Mineral Sands - Prices'!F14,'Data - Monthly Commodity Prices'!$B$9:$B$2500,2))</f>
        <v>621.5</v>
      </c>
      <c r="K14" s="798">
        <f>(SUMIFS('Data - Monthly Commodity Prices'!$T$9:$T$2500,'Data - Monthly Commodity Prices'!$A$9:$A$2500,'Mineral Sands - Prices'!E14,'Data - Monthly Commodity Prices'!$B$9:$B$2500,3)+
SUMIFS('Data - Monthly Commodity Prices'!$T$9:$T$2500,'Data - Monthly Commodity Prices'!$A$9:$A$2500,'Mineral Sands - Prices'!E14,'Data - Monthly Commodity Prices'!$B$9:$B$2500,4)+
SUMIFS('Data - Monthly Commodity Prices'!$T$9:$T$2500,'Data - Monthly Commodity Prices'!$A$9:$A$2500,'Mineral Sands - Prices'!F14,'Data - Monthly Commodity Prices'!$B$9:$B$2500,1)+
SUMIFS('Data - Monthly Commodity Prices'!$T$9:$T$2500,'Data - Monthly Commodity Prices'!$A$9:$A$2500,'Mineral Sands - Prices'!F14,'Data - Monthly Commodity Prices'!$B$9:$B$2500,2))
/(COUNTIFS('Data - Monthly Commodity Prices'!$A$9:$A$2500,'Mineral Sands - Prices'!E14,'Data - Monthly Commodity Prices'!$B$9:$B$2500,3)+
COUNTIFS('Data - Monthly Commodity Prices'!$A$9:$A$2500,'Mineral Sands - Prices'!E14,'Data - Monthly Commodity Prices'!$B$9:$B$2500,4)+
COUNTIFS('Data - Monthly Commodity Prices'!$A$9:$A$2500,'Mineral Sands - Prices'!F14,'Data - Monthly Commodity Prices'!$B$9:$B$2500,1)+
COUNTIFS('Data - Monthly Commodity Prices'!$A$9:$A$2500,'Mineral Sands - Prices'!F14,'Data - Monthly Commodity Prices'!$B$9:$B$2500,2))</f>
        <v>292</v>
      </c>
    </row>
    <row r="15" spans="1:25">
      <c r="A15" s="1866">
        <f>LARGE('Data - Monthly Commodity Prices'!C$159:C$902,54)</f>
        <v>42186</v>
      </c>
      <c r="B15" s="414">
        <f>SUMIF('Data - Monthly Commodity Prices'!C$159:C$902,A15,'Data - Monthly Commodity Prices'!S$159:S$902)</f>
        <v>1212.897901659881</v>
      </c>
      <c r="C15" s="412">
        <f>SUMIF('Data - Monthly Commodity Prices'!C$109:C$902,A15,'Data - Monthly Commodity Prices'!T$109:T$902)</f>
        <v>1386.1667881881151</v>
      </c>
      <c r="D15" s="410"/>
      <c r="E15" s="410">
        <f t="shared" si="1"/>
        <v>1992</v>
      </c>
      <c r="F15" s="410">
        <f t="shared" si="1"/>
        <v>1993</v>
      </c>
      <c r="G15" s="1871">
        <f t="shared" si="0"/>
        <v>1992</v>
      </c>
      <c r="H15" s="30">
        <f t="array" ref="H15">IF($G$6="Historic Calendar Year",IFERROR(AVERAGE(IF($G15=YEAR('Data - Monthly Commodity Prices'!$C$9:$C$1000),'Data - Monthly Commodity Prices'!$S$9:$S$1000)),"NA"),IFERROR(IF(K15=0,"NA",K15),"NA"))</f>
        <v>564.75</v>
      </c>
      <c r="I15" s="30">
        <f t="array" ref="I15">IF($G$6="Historic Calendar Year",IFERROR(AVERAGE(IF($G15=YEAR('Data - Monthly Commodity Prices'!$C$9:$C$1000),'Data - Monthly Commodity Prices'!$T$9:$T$1000)),"NA"),IFERROR(IF(J15=0,"NA",J15),"NA"))</f>
        <v>216.75</v>
      </c>
      <c r="J15" s="798">
        <f>(SUMIFS('Data - Monthly Commodity Prices'!$S$9:$S$2500,'Data - Monthly Commodity Prices'!$A$9:$A$2500,'Mineral Sands - Prices'!E15,'Data - Monthly Commodity Prices'!$B$9:$B$2500,3)+
SUMIFS('Data - Monthly Commodity Prices'!$S$9:$S$2500,'Data - Monthly Commodity Prices'!$A$9:$A$2500,'Mineral Sands - Prices'!E15,'Data - Monthly Commodity Prices'!$B$9:$B$2500,4)+
SUMIFS('Data - Monthly Commodity Prices'!$S$9:$S$2500,'Data - Monthly Commodity Prices'!$A$9:$A$2500,'Mineral Sands - Prices'!F15,'Data - Monthly Commodity Prices'!$B$9:$B$2500,1)+
SUMIFS('Data - Monthly Commodity Prices'!$S$9:$S$2500,'Data - Monthly Commodity Prices'!$A$9:$A$2500,'Mineral Sands - Prices'!F15,'Data - Monthly Commodity Prices'!$B$9:$B$2500,2))
/(COUNTIFS('Data - Monthly Commodity Prices'!$A$9:$A$2500,'Mineral Sands - Prices'!E15,'Data - Monthly Commodity Prices'!$B$9:$B$2500,3)+
COUNTIFS('Data - Monthly Commodity Prices'!$A$9:$A$2500,'Mineral Sands - Prices'!E15,'Data - Monthly Commodity Prices'!$B$9:$B$2500,4)+
COUNTIFS('Data - Monthly Commodity Prices'!$A$9:$A$2500,'Mineral Sands - Prices'!F15,'Data - Monthly Commodity Prices'!$B$9:$B$2500,1)+
COUNTIFS('Data - Monthly Commodity Prices'!$A$9:$A$2500,'Mineral Sands - Prices'!F15,'Data - Monthly Commodity Prices'!$B$9:$B$2500,2))</f>
        <v>539</v>
      </c>
      <c r="K15" s="798">
        <f>(SUMIFS('Data - Monthly Commodity Prices'!$T$9:$T$2500,'Data - Monthly Commodity Prices'!$A$9:$A$2500,'Mineral Sands - Prices'!E15,'Data - Monthly Commodity Prices'!$B$9:$B$2500,3)+
SUMIFS('Data - Monthly Commodity Prices'!$T$9:$T$2500,'Data - Monthly Commodity Prices'!$A$9:$A$2500,'Mineral Sands - Prices'!E15,'Data - Monthly Commodity Prices'!$B$9:$B$2500,4)+
SUMIFS('Data - Monthly Commodity Prices'!$T$9:$T$2500,'Data - Monthly Commodity Prices'!$A$9:$A$2500,'Mineral Sands - Prices'!F15,'Data - Monthly Commodity Prices'!$B$9:$B$2500,1)+
SUMIFS('Data - Monthly Commodity Prices'!$T$9:$T$2500,'Data - Monthly Commodity Prices'!$A$9:$A$2500,'Mineral Sands - Prices'!F15,'Data - Monthly Commodity Prices'!$B$9:$B$2500,2))
/(COUNTIFS('Data - Monthly Commodity Prices'!$A$9:$A$2500,'Mineral Sands - Prices'!E15,'Data - Monthly Commodity Prices'!$B$9:$B$2500,3)+
COUNTIFS('Data - Monthly Commodity Prices'!$A$9:$A$2500,'Mineral Sands - Prices'!E15,'Data - Monthly Commodity Prices'!$B$9:$B$2500,4)+
COUNTIFS('Data - Monthly Commodity Prices'!$A$9:$A$2500,'Mineral Sands - Prices'!F15,'Data - Monthly Commodity Prices'!$B$9:$B$2500,1)+
COUNTIFS('Data - Monthly Commodity Prices'!$A$9:$A$2500,'Mineral Sands - Prices'!F15,'Data - Monthly Commodity Prices'!$B$9:$B$2500,2))</f>
        <v>181.75</v>
      </c>
    </row>
    <row r="16" spans="1:25">
      <c r="A16" s="1867">
        <f>LARGE('Data - Monthly Commodity Prices'!C$159:C$902,53)</f>
        <v>42217</v>
      </c>
      <c r="B16" s="30">
        <f>SUMIF('Data - Monthly Commodity Prices'!C$159:C$902,A16,'Data - Monthly Commodity Prices'!S$159:S$902)</f>
        <v>1325.607661056297</v>
      </c>
      <c r="C16" s="61">
        <f>SUMIF('Data - Monthly Commodity Prices'!C$109:C$902,A16,'Data - Monthly Commodity Prices'!T$109:T$902)</f>
        <v>1378.3134670487107</v>
      </c>
      <c r="D16" s="410"/>
      <c r="E16" s="410">
        <f t="shared" si="1"/>
        <v>1993</v>
      </c>
      <c r="F16" s="410">
        <f t="shared" si="1"/>
        <v>1994</v>
      </c>
      <c r="G16" s="1870">
        <f t="shared" si="0"/>
        <v>1993</v>
      </c>
      <c r="H16" s="414">
        <f t="array" ref="H16">IF($G$6="Historic Calendar Year",IFERROR(AVERAGE(IF($G16=YEAR('Data - Monthly Commodity Prices'!$C$9:$C$1000),'Data - Monthly Commodity Prices'!$S$9:$S$1000)),"NA"),IFERROR(IF(K16=0,"NA",K16),"NA"))</f>
        <v>536.5</v>
      </c>
      <c r="I16" s="414">
        <f t="array" ref="I16">IF($G$6="Historic Calendar Year",IFERROR(AVERAGE(IF($G16=YEAR('Data - Monthly Commodity Prices'!$C$9:$C$1000),'Data - Monthly Commodity Prices'!$T$9:$T$1000)),"NA"),IFERROR(IF(J16=0,"NA",J16),"NA"))</f>
        <v>169.25</v>
      </c>
      <c r="J16" s="798">
        <f>(SUMIFS('Data - Monthly Commodity Prices'!$S$9:$S$2500,'Data - Monthly Commodity Prices'!$A$9:$A$2500,'Mineral Sands - Prices'!E16,'Data - Monthly Commodity Prices'!$B$9:$B$2500,3)+
SUMIFS('Data - Monthly Commodity Prices'!$S$9:$S$2500,'Data - Monthly Commodity Prices'!$A$9:$A$2500,'Mineral Sands - Prices'!E16,'Data - Monthly Commodity Prices'!$B$9:$B$2500,4)+
SUMIFS('Data - Monthly Commodity Prices'!$S$9:$S$2500,'Data - Monthly Commodity Prices'!$A$9:$A$2500,'Mineral Sands - Prices'!F16,'Data - Monthly Commodity Prices'!$B$9:$B$2500,1)+
SUMIFS('Data - Monthly Commodity Prices'!$S$9:$S$2500,'Data - Monthly Commodity Prices'!$A$9:$A$2500,'Mineral Sands - Prices'!F16,'Data - Monthly Commodity Prices'!$B$9:$B$2500,2))
/(COUNTIFS('Data - Monthly Commodity Prices'!$A$9:$A$2500,'Mineral Sands - Prices'!E16,'Data - Monthly Commodity Prices'!$B$9:$B$2500,3)+
COUNTIFS('Data - Monthly Commodity Prices'!$A$9:$A$2500,'Mineral Sands - Prices'!E16,'Data - Monthly Commodity Prices'!$B$9:$B$2500,4)+
COUNTIFS('Data - Monthly Commodity Prices'!$A$9:$A$2500,'Mineral Sands - Prices'!F16,'Data - Monthly Commodity Prices'!$B$9:$B$2500,1)+
COUNTIFS('Data - Monthly Commodity Prices'!$A$9:$A$2500,'Mineral Sands - Prices'!F16,'Data - Monthly Commodity Prices'!$B$9:$B$2500,2))</f>
        <v>485.25</v>
      </c>
      <c r="K16" s="798">
        <f>(SUMIFS('Data - Monthly Commodity Prices'!$T$9:$T$2500,'Data - Monthly Commodity Prices'!$A$9:$A$2500,'Mineral Sands - Prices'!E16,'Data - Monthly Commodity Prices'!$B$9:$B$2500,3)+
SUMIFS('Data - Monthly Commodity Prices'!$T$9:$T$2500,'Data - Monthly Commodity Prices'!$A$9:$A$2500,'Mineral Sands - Prices'!E16,'Data - Monthly Commodity Prices'!$B$9:$B$2500,4)+
SUMIFS('Data - Monthly Commodity Prices'!$T$9:$T$2500,'Data - Monthly Commodity Prices'!$A$9:$A$2500,'Mineral Sands - Prices'!F16,'Data - Monthly Commodity Prices'!$B$9:$B$2500,1)+
SUMIFS('Data - Monthly Commodity Prices'!$T$9:$T$2500,'Data - Monthly Commodity Prices'!$A$9:$A$2500,'Mineral Sands - Prices'!F16,'Data - Monthly Commodity Prices'!$B$9:$B$2500,2))
/(COUNTIFS('Data - Monthly Commodity Prices'!$A$9:$A$2500,'Mineral Sands - Prices'!E16,'Data - Monthly Commodity Prices'!$B$9:$B$2500,3)+
COUNTIFS('Data - Monthly Commodity Prices'!$A$9:$A$2500,'Mineral Sands - Prices'!E16,'Data - Monthly Commodity Prices'!$B$9:$B$2500,4)+
COUNTIFS('Data - Monthly Commodity Prices'!$A$9:$A$2500,'Mineral Sands - Prices'!F16,'Data - Monthly Commodity Prices'!$B$9:$B$2500,1)+
COUNTIFS('Data - Monthly Commodity Prices'!$A$9:$A$2500,'Mineral Sands - Prices'!F16,'Data - Monthly Commodity Prices'!$B$9:$B$2500,2))</f>
        <v>192.25</v>
      </c>
    </row>
    <row r="17" spans="1:11">
      <c r="A17" s="1866">
        <f>LARGE('Data - Monthly Commodity Prices'!C$159:C$902,52)</f>
        <v>42248</v>
      </c>
      <c r="B17" s="414">
        <f>SUMIF('Data - Monthly Commodity Prices'!C$159:C$902,A17,'Data - Monthly Commodity Prices'!S$159:S$902)</f>
        <v>1215.0913216108904</v>
      </c>
      <c r="C17" s="412">
        <f>SUMIF('Data - Monthly Commodity Prices'!C$109:C$902,A17,'Data - Monthly Commodity Prices'!T$109:T$902)</f>
        <v>1425.0652060511215</v>
      </c>
      <c r="D17" s="410"/>
      <c r="E17" s="410">
        <f t="shared" si="1"/>
        <v>1994</v>
      </c>
      <c r="F17" s="410">
        <f t="shared" si="1"/>
        <v>1995</v>
      </c>
      <c r="G17" s="1871">
        <f t="shared" si="0"/>
        <v>1994</v>
      </c>
      <c r="H17" s="30">
        <f t="array" ref="H17">IF($G$6="Historic Calendar Year",IFERROR(AVERAGE(IF($G17=YEAR('Data - Monthly Commodity Prices'!$C$9:$C$1000),'Data - Monthly Commodity Prices'!$S$9:$S$1000)),"NA"),IFERROR(IF(K17=0,"NA",K17),"NA"))</f>
        <v>442.5</v>
      </c>
      <c r="I17" s="30">
        <f t="array" ref="I17">IF($G$6="Historic Calendar Year",IFERROR(AVERAGE(IF($G17=YEAR('Data - Monthly Commodity Prices'!$C$9:$C$1000),'Data - Monthly Commodity Prices'!$T$9:$T$1000)),"NA"),IFERROR(IF(J17=0,"NA",J17),"NA"))</f>
        <v>234.5</v>
      </c>
      <c r="J17" s="798">
        <f>(SUMIFS('Data - Monthly Commodity Prices'!$S$9:$S$2500,'Data - Monthly Commodity Prices'!$A$9:$A$2500,'Mineral Sands - Prices'!E17,'Data - Monthly Commodity Prices'!$B$9:$B$2500,3)+
SUMIFS('Data - Monthly Commodity Prices'!$S$9:$S$2500,'Data - Monthly Commodity Prices'!$A$9:$A$2500,'Mineral Sands - Prices'!E17,'Data - Monthly Commodity Prices'!$B$9:$B$2500,4)+
SUMIFS('Data - Monthly Commodity Prices'!$S$9:$S$2500,'Data - Monthly Commodity Prices'!$A$9:$A$2500,'Mineral Sands - Prices'!F17,'Data - Monthly Commodity Prices'!$B$9:$B$2500,1)+
SUMIFS('Data - Monthly Commodity Prices'!$S$9:$S$2500,'Data - Monthly Commodity Prices'!$A$9:$A$2500,'Mineral Sands - Prices'!F17,'Data - Monthly Commodity Prices'!$B$9:$B$2500,2))
/(COUNTIFS('Data - Monthly Commodity Prices'!$A$9:$A$2500,'Mineral Sands - Prices'!E17,'Data - Monthly Commodity Prices'!$B$9:$B$2500,3)+
COUNTIFS('Data - Monthly Commodity Prices'!$A$9:$A$2500,'Mineral Sands - Prices'!E17,'Data - Monthly Commodity Prices'!$B$9:$B$2500,4)+
COUNTIFS('Data - Monthly Commodity Prices'!$A$9:$A$2500,'Mineral Sands - Prices'!F17,'Data - Monthly Commodity Prices'!$B$9:$B$2500,1)+
COUNTIFS('Data - Monthly Commodity Prices'!$A$9:$A$2500,'Mineral Sands - Prices'!F17,'Data - Monthly Commodity Prices'!$B$9:$B$2500,2))</f>
        <v>510.75</v>
      </c>
      <c r="K17" s="798">
        <f>(SUMIFS('Data - Monthly Commodity Prices'!$T$9:$T$2500,'Data - Monthly Commodity Prices'!$A$9:$A$2500,'Mineral Sands - Prices'!E17,'Data - Monthly Commodity Prices'!$B$9:$B$2500,3)+
SUMIFS('Data - Monthly Commodity Prices'!$T$9:$T$2500,'Data - Monthly Commodity Prices'!$A$9:$A$2500,'Mineral Sands - Prices'!E17,'Data - Monthly Commodity Prices'!$B$9:$B$2500,4)+
SUMIFS('Data - Monthly Commodity Prices'!$T$9:$T$2500,'Data - Monthly Commodity Prices'!$A$9:$A$2500,'Mineral Sands - Prices'!F17,'Data - Monthly Commodity Prices'!$B$9:$B$2500,1)+
SUMIFS('Data - Monthly Commodity Prices'!$T$9:$T$2500,'Data - Monthly Commodity Prices'!$A$9:$A$2500,'Mineral Sands - Prices'!F17,'Data - Monthly Commodity Prices'!$B$9:$B$2500,2))
/(COUNTIFS('Data - Monthly Commodity Prices'!$A$9:$A$2500,'Mineral Sands - Prices'!E17,'Data - Monthly Commodity Prices'!$B$9:$B$2500,3)+
COUNTIFS('Data - Monthly Commodity Prices'!$A$9:$A$2500,'Mineral Sands - Prices'!E17,'Data - Monthly Commodity Prices'!$B$9:$B$2500,4)+
COUNTIFS('Data - Monthly Commodity Prices'!$A$9:$A$2500,'Mineral Sands - Prices'!F17,'Data - Monthly Commodity Prices'!$B$9:$B$2500,1)+
COUNTIFS('Data - Monthly Commodity Prices'!$A$9:$A$2500,'Mineral Sands - Prices'!F17,'Data - Monthly Commodity Prices'!$B$9:$B$2500,2))</f>
        <v>277.5</v>
      </c>
    </row>
    <row r="18" spans="1:11">
      <c r="A18" s="1867">
        <f>LARGE('Data - Monthly Commodity Prices'!C$159:C$902,51)</f>
        <v>42278</v>
      </c>
      <c r="B18" s="30">
        <f>SUMIF('Data - Monthly Commodity Prices'!C$159:C$902,A18,'Data - Monthly Commodity Prices'!S$159:S$902)</f>
        <v>1211.9656215621562</v>
      </c>
      <c r="C18" s="61">
        <f>SUMIF('Data - Monthly Commodity Prices'!C$109:C$902,A18,'Data - Monthly Commodity Prices'!T$109:T$902)</f>
        <v>1299.8665325285044</v>
      </c>
      <c r="D18" s="410"/>
      <c r="E18" s="410">
        <f t="shared" si="1"/>
        <v>1995</v>
      </c>
      <c r="F18" s="410">
        <f t="shared" si="1"/>
        <v>1996</v>
      </c>
      <c r="G18" s="1870">
        <f t="shared" si="0"/>
        <v>1995</v>
      </c>
      <c r="H18" s="414">
        <f t="array" ref="H18">IF($G$6="Historic Calendar Year",IFERROR(AVERAGE(IF($G18=YEAR('Data - Monthly Commodity Prices'!$C$9:$C$1000),'Data - Monthly Commodity Prices'!$S$9:$S$1000)),"NA"),IFERROR(IF(K18=0,"NA",K18),"NA"))</f>
        <v>577.25</v>
      </c>
      <c r="I18" s="414">
        <f t="array" ref="I18">IF($G$6="Historic Calendar Year",IFERROR(AVERAGE(IF($G18=YEAR('Data - Monthly Commodity Prices'!$C$9:$C$1000),'Data - Monthly Commodity Prices'!$T$9:$T$1000)),"NA"),IFERROR(IF(J18=0,"NA",J18),"NA"))</f>
        <v>352.25</v>
      </c>
      <c r="J18" s="798">
        <f>(SUMIFS('Data - Monthly Commodity Prices'!$S$9:$S$2500,'Data - Monthly Commodity Prices'!$A$9:$A$2500,'Mineral Sands - Prices'!E18,'Data - Monthly Commodity Prices'!$B$9:$B$2500,3)+
SUMIFS('Data - Monthly Commodity Prices'!$S$9:$S$2500,'Data - Monthly Commodity Prices'!$A$9:$A$2500,'Mineral Sands - Prices'!E18,'Data - Monthly Commodity Prices'!$B$9:$B$2500,4)+
SUMIFS('Data - Monthly Commodity Prices'!$S$9:$S$2500,'Data - Monthly Commodity Prices'!$A$9:$A$2500,'Mineral Sands - Prices'!F18,'Data - Monthly Commodity Prices'!$B$9:$B$2500,1)+
SUMIFS('Data - Monthly Commodity Prices'!$S$9:$S$2500,'Data - Monthly Commodity Prices'!$A$9:$A$2500,'Mineral Sands - Prices'!F18,'Data - Monthly Commodity Prices'!$B$9:$B$2500,2))
/(COUNTIFS('Data - Monthly Commodity Prices'!$A$9:$A$2500,'Mineral Sands - Prices'!E18,'Data - Monthly Commodity Prices'!$B$9:$B$2500,3)+
COUNTIFS('Data - Monthly Commodity Prices'!$A$9:$A$2500,'Mineral Sands - Prices'!E18,'Data - Monthly Commodity Prices'!$B$9:$B$2500,4)+
COUNTIFS('Data - Monthly Commodity Prices'!$A$9:$A$2500,'Mineral Sands - Prices'!F18,'Data - Monthly Commodity Prices'!$B$9:$B$2500,1)+
COUNTIFS('Data - Monthly Commodity Prices'!$A$9:$A$2500,'Mineral Sands - Prices'!F18,'Data - Monthly Commodity Prices'!$B$9:$B$2500,2))</f>
        <v>634.5</v>
      </c>
      <c r="K18" s="798">
        <f>(SUMIFS('Data - Monthly Commodity Prices'!$T$9:$T$2500,'Data - Monthly Commodity Prices'!$A$9:$A$2500,'Mineral Sands - Prices'!E18,'Data - Monthly Commodity Prices'!$B$9:$B$2500,3)+
SUMIFS('Data - Monthly Commodity Prices'!$T$9:$T$2500,'Data - Monthly Commodity Prices'!$A$9:$A$2500,'Mineral Sands - Prices'!E18,'Data - Monthly Commodity Prices'!$B$9:$B$2500,4)+
SUMIFS('Data - Monthly Commodity Prices'!$T$9:$T$2500,'Data - Monthly Commodity Prices'!$A$9:$A$2500,'Mineral Sands - Prices'!F18,'Data - Monthly Commodity Prices'!$B$9:$B$2500,1)+
SUMIFS('Data - Monthly Commodity Prices'!$T$9:$T$2500,'Data - Monthly Commodity Prices'!$A$9:$A$2500,'Mineral Sands - Prices'!F18,'Data - Monthly Commodity Prices'!$B$9:$B$2500,2))
/(COUNTIFS('Data - Monthly Commodity Prices'!$A$9:$A$2500,'Mineral Sands - Prices'!E18,'Data - Monthly Commodity Prices'!$B$9:$B$2500,3)+
COUNTIFS('Data - Monthly Commodity Prices'!$A$9:$A$2500,'Mineral Sands - Prices'!E18,'Data - Monthly Commodity Prices'!$B$9:$B$2500,4)+
COUNTIFS('Data - Monthly Commodity Prices'!$A$9:$A$2500,'Mineral Sands - Prices'!F18,'Data - Monthly Commodity Prices'!$B$9:$B$2500,1)+
COUNTIFS('Data - Monthly Commodity Prices'!$A$9:$A$2500,'Mineral Sands - Prices'!F18,'Data - Monthly Commodity Prices'!$B$9:$B$2500,2))</f>
        <v>477.75</v>
      </c>
    </row>
    <row r="19" spans="1:11">
      <c r="A19" s="1866">
        <f>LARGE('Data - Monthly Commodity Prices'!C$159:C$902,50)</f>
        <v>42309</v>
      </c>
      <c r="B19" s="414">
        <f>SUMIF('Data - Monthly Commodity Prices'!C$159:C$902,A19,'Data - Monthly Commodity Prices'!S$159:S$902)</f>
        <v>1092.3896133093526</v>
      </c>
      <c r="C19" s="412">
        <f>SUMIF('Data - Monthly Commodity Prices'!C$109:C$902,A19,'Data - Monthly Commodity Prices'!T$109:T$902)</f>
        <v>1347.7326805837797</v>
      </c>
      <c r="D19" s="410"/>
      <c r="E19" s="410">
        <f>E18+1</f>
        <v>1996</v>
      </c>
      <c r="F19" s="410">
        <f>F18+1</f>
        <v>1997</v>
      </c>
      <c r="G19" s="1871">
        <f t="shared" si="0"/>
        <v>1996</v>
      </c>
      <c r="H19" s="30">
        <f t="array" ref="H19">IF($G$6="Historic Calendar Year",IFERROR(AVERAGE(IF($G19=YEAR('Data - Monthly Commodity Prices'!$C$9:$C$1000),'Data - Monthly Commodity Prices'!$S$9:$S$1000)),"NA"),IFERROR(IF(K19=0,"NA",K19),"NA"))</f>
        <v>692.75</v>
      </c>
      <c r="I19" s="30">
        <f t="array" ref="I19">IF($G$6="Historic Calendar Year",IFERROR(AVERAGE(IF($G19=YEAR('Data - Monthly Commodity Prices'!$C$9:$C$1000),'Data - Monthly Commodity Prices'!$T$9:$T$1000)),"NA"),IFERROR(IF(J19=0,"NA",J19),"NA"))</f>
        <v>564.5</v>
      </c>
      <c r="J19" s="798">
        <f>(SUMIFS('Data - Monthly Commodity Prices'!$S$9:$S$2500,'Data - Monthly Commodity Prices'!$A$9:$A$2500,'Mineral Sands - Prices'!E19,'Data - Monthly Commodity Prices'!$B$9:$B$2500,3)+
SUMIFS('Data - Monthly Commodity Prices'!$S$9:$S$2500,'Data - Monthly Commodity Prices'!$A$9:$A$2500,'Mineral Sands - Prices'!E19,'Data - Monthly Commodity Prices'!$B$9:$B$2500,4)+
SUMIFS('Data - Monthly Commodity Prices'!$S$9:$S$2500,'Data - Monthly Commodity Prices'!$A$9:$A$2500,'Mineral Sands - Prices'!F19,'Data - Monthly Commodity Prices'!$B$9:$B$2500,1)+
SUMIFS('Data - Monthly Commodity Prices'!$S$9:$S$2500,'Data - Monthly Commodity Prices'!$A$9:$A$2500,'Mineral Sands - Prices'!F19,'Data - Monthly Commodity Prices'!$B$9:$B$2500,2))
/(COUNTIFS('Data - Monthly Commodity Prices'!$A$9:$A$2500,'Mineral Sands - Prices'!E19,'Data - Monthly Commodity Prices'!$B$9:$B$2500,3)+
COUNTIFS('Data - Monthly Commodity Prices'!$A$9:$A$2500,'Mineral Sands - Prices'!E19,'Data - Monthly Commodity Prices'!$B$9:$B$2500,4)+
COUNTIFS('Data - Monthly Commodity Prices'!$A$9:$A$2500,'Mineral Sands - Prices'!F19,'Data - Monthly Commodity Prices'!$B$9:$B$2500,1)+
COUNTIFS('Data - Monthly Commodity Prices'!$A$9:$A$2500,'Mineral Sands - Prices'!F19,'Data - Monthly Commodity Prices'!$B$9:$B$2500,2))</f>
        <v>688</v>
      </c>
      <c r="K19" s="798">
        <f>(SUMIFS('Data - Monthly Commodity Prices'!$T$9:$T$2500,'Data - Monthly Commodity Prices'!$A$9:$A$2500,'Mineral Sands - Prices'!E19,'Data - Monthly Commodity Prices'!$B$9:$B$2500,3)+
SUMIFS('Data - Monthly Commodity Prices'!$T$9:$T$2500,'Data - Monthly Commodity Prices'!$A$9:$A$2500,'Mineral Sands - Prices'!E19,'Data - Monthly Commodity Prices'!$B$9:$B$2500,4)+
SUMIFS('Data - Monthly Commodity Prices'!$T$9:$T$2500,'Data - Monthly Commodity Prices'!$A$9:$A$2500,'Mineral Sands - Prices'!F19,'Data - Monthly Commodity Prices'!$B$9:$B$2500,1)+
SUMIFS('Data - Monthly Commodity Prices'!$T$9:$T$2500,'Data - Monthly Commodity Prices'!$A$9:$A$2500,'Mineral Sands - Prices'!F19,'Data - Monthly Commodity Prices'!$B$9:$B$2500,2))
/(COUNTIFS('Data - Monthly Commodity Prices'!$A$9:$A$2500,'Mineral Sands - Prices'!E19,'Data - Monthly Commodity Prices'!$B$9:$B$2500,3)+
COUNTIFS('Data - Monthly Commodity Prices'!$A$9:$A$2500,'Mineral Sands - Prices'!E19,'Data - Monthly Commodity Prices'!$B$9:$B$2500,4)+
COUNTIFS('Data - Monthly Commodity Prices'!$A$9:$A$2500,'Mineral Sands - Prices'!F19,'Data - Monthly Commodity Prices'!$B$9:$B$2500,1)+
COUNTIFS('Data - Monthly Commodity Prices'!$A$9:$A$2500,'Mineral Sands - Prices'!F19,'Data - Monthly Commodity Prices'!$B$9:$B$2500,2))</f>
        <v>581.5</v>
      </c>
    </row>
    <row r="20" spans="1:11">
      <c r="A20" s="1867">
        <f>LARGE('Data - Monthly Commodity Prices'!C$159:C$902,49)</f>
        <v>42339</v>
      </c>
      <c r="B20" s="30">
        <f>SUMIF('Data - Monthly Commodity Prices'!C$159:C$902,A20,'Data - Monthly Commodity Prices'!S$159:S$902)</f>
        <v>1199.5194784544442</v>
      </c>
      <c r="C20" s="61">
        <f>SUMIF('Data - Monthly Commodity Prices'!C$109:C$902,A20,'Data - Monthly Commodity Prices'!T$109:T$902)</f>
        <v>1325.8455993294217</v>
      </c>
      <c r="D20" s="410"/>
      <c r="E20" s="410">
        <f t="shared" si="1"/>
        <v>1997</v>
      </c>
      <c r="F20" s="410">
        <f t="shared" si="1"/>
        <v>1998</v>
      </c>
      <c r="G20" s="1870">
        <f t="shared" si="0"/>
        <v>1997</v>
      </c>
      <c r="H20" s="414">
        <f t="array" ref="H20">IF($G$6="Historic Calendar Year",IFERROR(AVERAGE(IF($G20=YEAR('Data - Monthly Commodity Prices'!$C$9:$C$1000),'Data - Monthly Commodity Prices'!$S$9:$S$1000)),"NA"),IFERROR(IF(K20=0,"NA",K20),"NA"))</f>
        <v>696.5</v>
      </c>
      <c r="I20" s="414">
        <f t="array" ref="I20">IF($G$6="Historic Calendar Year",IFERROR(AVERAGE(IF($G20=YEAR('Data - Monthly Commodity Prices'!$C$9:$C$1000),'Data - Monthly Commodity Prices'!$T$9:$T$1000)),"NA"),IFERROR(IF(J20=0,"NA",J20),"NA"))</f>
        <v>574</v>
      </c>
      <c r="J20" s="798">
        <f>(SUMIFS('Data - Monthly Commodity Prices'!$S$9:$S$2500,'Data - Monthly Commodity Prices'!$A$9:$A$2500,'Mineral Sands - Prices'!E20,'Data - Monthly Commodity Prices'!$B$9:$B$2500,3)+
SUMIFS('Data - Monthly Commodity Prices'!$S$9:$S$2500,'Data - Monthly Commodity Prices'!$A$9:$A$2500,'Mineral Sands - Prices'!E20,'Data - Monthly Commodity Prices'!$B$9:$B$2500,4)+
SUMIFS('Data - Monthly Commodity Prices'!$S$9:$S$2500,'Data - Monthly Commodity Prices'!$A$9:$A$2500,'Mineral Sands - Prices'!F20,'Data - Monthly Commodity Prices'!$B$9:$B$2500,1)+
SUMIFS('Data - Monthly Commodity Prices'!$S$9:$S$2500,'Data - Monthly Commodity Prices'!$A$9:$A$2500,'Mineral Sands - Prices'!F20,'Data - Monthly Commodity Prices'!$B$9:$B$2500,2))
/(COUNTIFS('Data - Monthly Commodity Prices'!$A$9:$A$2500,'Mineral Sands - Prices'!E20,'Data - Monthly Commodity Prices'!$B$9:$B$2500,3)+
COUNTIFS('Data - Monthly Commodity Prices'!$A$9:$A$2500,'Mineral Sands - Prices'!E20,'Data - Monthly Commodity Prices'!$B$9:$B$2500,4)+
COUNTIFS('Data - Monthly Commodity Prices'!$A$9:$A$2500,'Mineral Sands - Prices'!F20,'Data - Monthly Commodity Prices'!$B$9:$B$2500,1)+
COUNTIFS('Data - Monthly Commodity Prices'!$A$9:$A$2500,'Mineral Sands - Prices'!F20,'Data - Monthly Commodity Prices'!$B$9:$B$2500,2))</f>
        <v>762.6026244588744</v>
      </c>
      <c r="K20" s="798">
        <f>(SUMIFS('Data - Monthly Commodity Prices'!$T$9:$T$2500,'Data - Monthly Commodity Prices'!$A$9:$A$2500,'Mineral Sands - Prices'!E20,'Data - Monthly Commodity Prices'!$B$9:$B$2500,3)+
SUMIFS('Data - Monthly Commodity Prices'!$T$9:$T$2500,'Data - Monthly Commodity Prices'!$A$9:$A$2500,'Mineral Sands - Prices'!E20,'Data - Monthly Commodity Prices'!$B$9:$B$2500,4)+
SUMIFS('Data - Monthly Commodity Prices'!$T$9:$T$2500,'Data - Monthly Commodity Prices'!$A$9:$A$2500,'Mineral Sands - Prices'!F20,'Data - Monthly Commodity Prices'!$B$9:$B$2500,1)+
SUMIFS('Data - Monthly Commodity Prices'!$T$9:$T$2500,'Data - Monthly Commodity Prices'!$A$9:$A$2500,'Mineral Sands - Prices'!F20,'Data - Monthly Commodity Prices'!$B$9:$B$2500,2))
/(COUNTIFS('Data - Monthly Commodity Prices'!$A$9:$A$2500,'Mineral Sands - Prices'!E20,'Data - Monthly Commodity Prices'!$B$9:$B$2500,3)+
COUNTIFS('Data - Monthly Commodity Prices'!$A$9:$A$2500,'Mineral Sands - Prices'!E20,'Data - Monthly Commodity Prices'!$B$9:$B$2500,4)+
COUNTIFS('Data - Monthly Commodity Prices'!$A$9:$A$2500,'Mineral Sands - Prices'!F20,'Data - Monthly Commodity Prices'!$B$9:$B$2500,1)+
COUNTIFS('Data - Monthly Commodity Prices'!$A$9:$A$2500,'Mineral Sands - Prices'!F20,'Data - Monthly Commodity Prices'!$B$9:$B$2500,2))</f>
        <v>559.83666835261636</v>
      </c>
    </row>
    <row r="21" spans="1:11">
      <c r="A21" s="1866">
        <f>LARGE('Data - Monthly Commodity Prices'!C$159:C$902,48)</f>
        <v>42370</v>
      </c>
      <c r="B21" s="414">
        <f>SUMIF('Data - Monthly Commodity Prices'!C$159:C$902,A21,'Data - Monthly Commodity Prices'!S$159:S$902)</f>
        <v>1215.1039317281316</v>
      </c>
      <c r="C21" s="412">
        <f>SUMIF('Data - Monthly Commodity Prices'!C$109:C$902,A21,'Data - Monthly Commodity Prices'!T$109:T$902)</f>
        <v>1250.2923645804181</v>
      </c>
      <c r="D21" s="410"/>
      <c r="E21" s="410">
        <f t="shared" si="1"/>
        <v>1998</v>
      </c>
      <c r="F21" s="410">
        <f t="shared" si="1"/>
        <v>1999</v>
      </c>
      <c r="G21" s="1871">
        <f t="shared" si="0"/>
        <v>1998</v>
      </c>
      <c r="H21" s="30">
        <f t="array" ref="H21">IF($G$6="Historic Calendar Year",IFERROR(AVERAGE(IF($G21=YEAR('Data - Monthly Commodity Prices'!$C$9:$C$1000),'Data - Monthly Commodity Prices'!$S$9:$S$1000)),"NA"),IFERROR(IF(K21=0,"NA",K21),"NA"))</f>
        <v>811.3218484769086</v>
      </c>
      <c r="I21" s="30">
        <f t="array" ref="I21">IF($G$6="Historic Calendar Year",IFERROR(AVERAGE(IF($G21=YEAR('Data - Monthly Commodity Prices'!$C$9:$C$1000),'Data - Monthly Commodity Prices'!$T$9:$T$1000)),"NA"),IFERROR(IF(J21=0,"NA",J21),"NA"))</f>
        <v>555.69899169483199</v>
      </c>
      <c r="J21" s="798">
        <f>(SUMIFS('Data - Monthly Commodity Prices'!$S$9:$S$2500,'Data - Monthly Commodity Prices'!$A$9:$A$2500,'Mineral Sands - Prices'!E21,'Data - Monthly Commodity Prices'!$B$9:$B$2500,3)+
SUMIFS('Data - Monthly Commodity Prices'!$S$9:$S$2500,'Data - Monthly Commodity Prices'!$A$9:$A$2500,'Mineral Sands - Prices'!E21,'Data - Monthly Commodity Prices'!$B$9:$B$2500,4)+
SUMIFS('Data - Monthly Commodity Prices'!$S$9:$S$2500,'Data - Monthly Commodity Prices'!$A$9:$A$2500,'Mineral Sands - Prices'!F21,'Data - Monthly Commodity Prices'!$B$9:$B$2500,1)+
SUMIFS('Data - Monthly Commodity Prices'!$S$9:$S$2500,'Data - Monthly Commodity Prices'!$A$9:$A$2500,'Mineral Sands - Prices'!F21,'Data - Monthly Commodity Prices'!$B$9:$B$2500,2))
/(COUNTIFS('Data - Monthly Commodity Prices'!$A$9:$A$2500,'Mineral Sands - Prices'!E21,'Data - Monthly Commodity Prices'!$B$9:$B$2500,3)+
COUNTIFS('Data - Monthly Commodity Prices'!$A$9:$A$2500,'Mineral Sands - Prices'!E21,'Data - Monthly Commodity Prices'!$B$9:$B$2500,4)+
COUNTIFS('Data - Monthly Commodity Prices'!$A$9:$A$2500,'Mineral Sands - Prices'!F21,'Data - Monthly Commodity Prices'!$B$9:$B$2500,1)+
COUNTIFS('Data - Monthly Commodity Prices'!$A$9:$A$2500,'Mineral Sands - Prices'!F21,'Data - Monthly Commodity Prices'!$B$9:$B$2500,2))</f>
        <v>799.32292910557396</v>
      </c>
      <c r="K21" s="798">
        <f>(SUMIFS('Data - Monthly Commodity Prices'!$T$9:$T$2500,'Data - Monthly Commodity Prices'!$A$9:$A$2500,'Mineral Sands - Prices'!E21,'Data - Monthly Commodity Prices'!$B$9:$B$2500,3)+
SUMIFS('Data - Monthly Commodity Prices'!$T$9:$T$2500,'Data - Monthly Commodity Prices'!$A$9:$A$2500,'Mineral Sands - Prices'!E21,'Data - Monthly Commodity Prices'!$B$9:$B$2500,4)+
SUMIFS('Data - Monthly Commodity Prices'!$T$9:$T$2500,'Data - Monthly Commodity Prices'!$A$9:$A$2500,'Mineral Sands - Prices'!F21,'Data - Monthly Commodity Prices'!$B$9:$B$2500,1)+
SUMIFS('Data - Monthly Commodity Prices'!$T$9:$T$2500,'Data - Monthly Commodity Prices'!$A$9:$A$2500,'Mineral Sands - Prices'!F21,'Data - Monthly Commodity Prices'!$B$9:$B$2500,2))
/(COUNTIFS('Data - Monthly Commodity Prices'!$A$9:$A$2500,'Mineral Sands - Prices'!E21,'Data - Monthly Commodity Prices'!$B$9:$B$2500,3)+
COUNTIFS('Data - Monthly Commodity Prices'!$A$9:$A$2500,'Mineral Sands - Prices'!E21,'Data - Monthly Commodity Prices'!$B$9:$B$2500,4)+
COUNTIFS('Data - Monthly Commodity Prices'!$A$9:$A$2500,'Mineral Sands - Prices'!F21,'Data - Monthly Commodity Prices'!$B$9:$B$2500,1)+
COUNTIFS('Data - Monthly Commodity Prices'!$A$9:$A$2500,'Mineral Sands - Prices'!F21,'Data - Monthly Commodity Prices'!$B$9:$B$2500,2))</f>
        <v>516.58662277796691</v>
      </c>
    </row>
    <row r="22" spans="1:11">
      <c r="A22" s="1867">
        <f>LARGE('Data - Monthly Commodity Prices'!C$159:C$902,47)</f>
        <v>42401</v>
      </c>
      <c r="B22" s="30">
        <f>SUMIF('Data - Monthly Commodity Prices'!C$159:C$902,A22,'Data - Monthly Commodity Prices'!S$159:S$902)</f>
        <v>1138.3088668880544</v>
      </c>
      <c r="C22" s="61">
        <f>SUMIF('Data - Monthly Commodity Prices'!C$109:C$902,A22,'Data - Monthly Commodity Prices'!T$109:T$902)</f>
        <v>1380.8414544312816</v>
      </c>
      <c r="D22" s="410"/>
      <c r="E22" s="410">
        <f t="shared" si="1"/>
        <v>1999</v>
      </c>
      <c r="F22" s="410">
        <f t="shared" si="1"/>
        <v>2000</v>
      </c>
      <c r="G22" s="1870">
        <f t="shared" si="0"/>
        <v>1999</v>
      </c>
      <c r="H22" s="414">
        <f t="array" ref="H22">IF($G$6="Historic Calendar Year",IFERROR(AVERAGE(IF($G22=YEAR('Data - Monthly Commodity Prices'!$C$9:$C$1000),'Data - Monthly Commodity Prices'!$S$9:$S$1000)),"NA"),IFERROR(IF(K22=0,"NA",K22),"NA"))</f>
        <v>783.92073123133071</v>
      </c>
      <c r="I22" s="414">
        <f t="array" ref="I22">IF($G$6="Historic Calendar Year",IFERROR(AVERAGE(IF($G22=YEAR('Data - Monthly Commodity Prices'!$C$9:$C$1000),'Data - Monthly Commodity Prices'!$T$9:$T$1000)),"NA"),IFERROR(IF(J22=0,"NA",J22),"NA"))</f>
        <v>511.31013276908487</v>
      </c>
      <c r="J22" s="798">
        <f>(SUMIFS('Data - Monthly Commodity Prices'!$S$9:$S$2500,'Data - Monthly Commodity Prices'!$A$9:$A$2500,'Mineral Sands - Prices'!E22,'Data - Monthly Commodity Prices'!$B$9:$B$2500,3)+
SUMIFS('Data - Monthly Commodity Prices'!$S$9:$S$2500,'Data - Monthly Commodity Prices'!$A$9:$A$2500,'Mineral Sands - Prices'!E22,'Data - Monthly Commodity Prices'!$B$9:$B$2500,4)+
SUMIFS('Data - Monthly Commodity Prices'!$S$9:$S$2500,'Data - Monthly Commodity Prices'!$A$9:$A$2500,'Mineral Sands - Prices'!F22,'Data - Monthly Commodity Prices'!$B$9:$B$2500,1)+
SUMIFS('Data - Monthly Commodity Prices'!$S$9:$S$2500,'Data - Monthly Commodity Prices'!$A$9:$A$2500,'Mineral Sands - Prices'!F22,'Data - Monthly Commodity Prices'!$B$9:$B$2500,2))
/(COUNTIFS('Data - Monthly Commodity Prices'!$A$9:$A$2500,'Mineral Sands - Prices'!E22,'Data - Monthly Commodity Prices'!$B$9:$B$2500,3)+
COUNTIFS('Data - Monthly Commodity Prices'!$A$9:$A$2500,'Mineral Sands - Prices'!E22,'Data - Monthly Commodity Prices'!$B$9:$B$2500,4)+
COUNTIFS('Data - Monthly Commodity Prices'!$A$9:$A$2500,'Mineral Sands - Prices'!F22,'Data - Monthly Commodity Prices'!$B$9:$B$2500,1)+
COUNTIFS('Data - Monthly Commodity Prices'!$A$9:$A$2500,'Mineral Sands - Prices'!F22,'Data - Monthly Commodity Prices'!$B$9:$B$2500,2))</f>
        <v>787.02869281045753</v>
      </c>
      <c r="K22" s="798">
        <f>(SUMIFS('Data - Monthly Commodity Prices'!$T$9:$T$2500,'Data - Monthly Commodity Prices'!$A$9:$A$2500,'Mineral Sands - Prices'!E22,'Data - Monthly Commodity Prices'!$B$9:$B$2500,3)+
SUMIFS('Data - Monthly Commodity Prices'!$T$9:$T$2500,'Data - Monthly Commodity Prices'!$A$9:$A$2500,'Mineral Sands - Prices'!E22,'Data - Monthly Commodity Prices'!$B$9:$B$2500,4)+
SUMIFS('Data - Monthly Commodity Prices'!$T$9:$T$2500,'Data - Monthly Commodity Prices'!$A$9:$A$2500,'Mineral Sands - Prices'!F22,'Data - Monthly Commodity Prices'!$B$9:$B$2500,1)+
SUMIFS('Data - Monthly Commodity Prices'!$T$9:$T$2500,'Data - Monthly Commodity Prices'!$A$9:$A$2500,'Mineral Sands - Prices'!F22,'Data - Monthly Commodity Prices'!$B$9:$B$2500,2))
/(COUNTIFS('Data - Monthly Commodity Prices'!$A$9:$A$2500,'Mineral Sands - Prices'!E22,'Data - Monthly Commodity Prices'!$B$9:$B$2500,3)+
COUNTIFS('Data - Monthly Commodity Prices'!$A$9:$A$2500,'Mineral Sands - Prices'!E22,'Data - Monthly Commodity Prices'!$B$9:$B$2500,4)+
COUNTIFS('Data - Monthly Commodity Prices'!$A$9:$A$2500,'Mineral Sands - Prices'!F22,'Data - Monthly Commodity Prices'!$B$9:$B$2500,1)+
COUNTIFS('Data - Monthly Commodity Prices'!$A$9:$A$2500,'Mineral Sands - Prices'!F22,'Data - Monthly Commodity Prices'!$B$9:$B$2500,2))</f>
        <v>565.05416666666667</v>
      </c>
    </row>
    <row r="23" spans="1:11">
      <c r="A23" s="1866">
        <f>LARGE('Data - Monthly Commodity Prices'!C$159:C$902,46)</f>
        <v>42430</v>
      </c>
      <c r="B23" s="414">
        <f>SUMIF('Data - Monthly Commodity Prices'!C$159:C$902,A23,'Data - Monthly Commodity Prices'!S$159:S$902)</f>
        <v>1122.0669768661119</v>
      </c>
      <c r="C23" s="412">
        <f>SUMIF('Data - Monthly Commodity Prices'!C$109:C$902,A23,'Data - Monthly Commodity Prices'!T$109:T$902)</f>
        <v>1291.0093515066317</v>
      </c>
      <c r="D23" s="410"/>
      <c r="E23" s="410">
        <f t="shared" si="1"/>
        <v>2000</v>
      </c>
      <c r="F23" s="410">
        <f t="shared" si="1"/>
        <v>2001</v>
      </c>
      <c r="G23" s="1871">
        <f t="shared" si="0"/>
        <v>2000</v>
      </c>
      <c r="H23" s="30">
        <f t="array" ref="H23">IF($G$6="Historic Calendar Year",IFERROR(AVERAGE(IF($G23=YEAR('Data - Monthly Commodity Prices'!$C$9:$C$1000),'Data - Monthly Commodity Prices'!$S$9:$S$1000)),"NA"),IFERROR(IF(K23=0,"NA",K23),"NA"))</f>
        <v>846.20583333333343</v>
      </c>
      <c r="I23" s="30">
        <f t="array" ref="I23">IF($G$6="Historic Calendar Year",IFERROR(AVERAGE(IF($G23=YEAR('Data - Monthly Commodity Prices'!$C$9:$C$1000),'Data - Monthly Commodity Prices'!$T$9:$T$1000)),"NA"),IFERROR(IF(J23=0,"NA",J23),"NA"))</f>
        <v>629.84250000000009</v>
      </c>
      <c r="J23" s="798">
        <f>(SUMIFS('Data - Monthly Commodity Prices'!$S$9:$S$2500,'Data - Monthly Commodity Prices'!$A$9:$A$2500,'Mineral Sands - Prices'!E23,'Data - Monthly Commodity Prices'!$B$9:$B$2500,3)+
SUMIFS('Data - Monthly Commodity Prices'!$S$9:$S$2500,'Data - Monthly Commodity Prices'!$A$9:$A$2500,'Mineral Sands - Prices'!E23,'Data - Monthly Commodity Prices'!$B$9:$B$2500,4)+
SUMIFS('Data - Monthly Commodity Prices'!$S$9:$S$2500,'Data - Monthly Commodity Prices'!$A$9:$A$2500,'Mineral Sands - Prices'!F23,'Data - Monthly Commodity Prices'!$B$9:$B$2500,1)+
SUMIFS('Data - Monthly Commodity Prices'!$S$9:$S$2500,'Data - Monthly Commodity Prices'!$A$9:$A$2500,'Mineral Sands - Prices'!F23,'Data - Monthly Commodity Prices'!$B$9:$B$2500,2))
/(COUNTIFS('Data - Monthly Commodity Prices'!$A$9:$A$2500,'Mineral Sands - Prices'!E23,'Data - Monthly Commodity Prices'!$B$9:$B$2500,3)+
COUNTIFS('Data - Monthly Commodity Prices'!$A$9:$A$2500,'Mineral Sands - Prices'!E23,'Data - Monthly Commodity Prices'!$B$9:$B$2500,4)+
COUNTIFS('Data - Monthly Commodity Prices'!$A$9:$A$2500,'Mineral Sands - Prices'!F23,'Data - Monthly Commodity Prices'!$B$9:$B$2500,1)+
COUNTIFS('Data - Monthly Commodity Prices'!$A$9:$A$2500,'Mineral Sands - Prices'!F23,'Data - Monthly Commodity Prices'!$B$9:$B$2500,2))</f>
        <v>923.30083333333334</v>
      </c>
      <c r="K23" s="798">
        <f>(SUMIFS('Data - Monthly Commodity Prices'!$T$9:$T$2500,'Data - Monthly Commodity Prices'!$A$9:$A$2500,'Mineral Sands - Prices'!E23,'Data - Monthly Commodity Prices'!$B$9:$B$2500,3)+
SUMIFS('Data - Monthly Commodity Prices'!$T$9:$T$2500,'Data - Monthly Commodity Prices'!$A$9:$A$2500,'Mineral Sands - Prices'!E23,'Data - Monthly Commodity Prices'!$B$9:$B$2500,4)+
SUMIFS('Data - Monthly Commodity Prices'!$T$9:$T$2500,'Data - Monthly Commodity Prices'!$A$9:$A$2500,'Mineral Sands - Prices'!F23,'Data - Monthly Commodity Prices'!$B$9:$B$2500,1)+
SUMIFS('Data - Monthly Commodity Prices'!$T$9:$T$2500,'Data - Monthly Commodity Prices'!$A$9:$A$2500,'Mineral Sands - Prices'!F23,'Data - Monthly Commodity Prices'!$B$9:$B$2500,2))
/(COUNTIFS('Data - Monthly Commodity Prices'!$A$9:$A$2500,'Mineral Sands - Prices'!E23,'Data - Monthly Commodity Prices'!$B$9:$B$2500,3)+
COUNTIFS('Data - Monthly Commodity Prices'!$A$9:$A$2500,'Mineral Sands - Prices'!E23,'Data - Monthly Commodity Prices'!$B$9:$B$2500,4)+
COUNTIFS('Data - Monthly Commodity Prices'!$A$9:$A$2500,'Mineral Sands - Prices'!F23,'Data - Monthly Commodity Prices'!$B$9:$B$2500,1)+
COUNTIFS('Data - Monthly Commodity Prices'!$A$9:$A$2500,'Mineral Sands - Prices'!F23,'Data - Monthly Commodity Prices'!$B$9:$B$2500,2))</f>
        <v>718.13333333333333</v>
      </c>
    </row>
    <row r="24" spans="1:11">
      <c r="A24" s="1867">
        <f>LARGE('Data - Monthly Commodity Prices'!C$159:C$902,45)</f>
        <v>42461</v>
      </c>
      <c r="B24" s="30">
        <f>SUMIF('Data - Monthly Commodity Prices'!C$159:C$902,A24,'Data - Monthly Commodity Prices'!S$159:S$902)</f>
        <v>1101.1751380433243</v>
      </c>
      <c r="C24" s="61">
        <f>SUMIF('Data - Monthly Commodity Prices'!C$109:C$902,A24,'Data - Monthly Commodity Prices'!T$109:T$902)</f>
        <v>1125.4958970570617</v>
      </c>
      <c r="D24" s="410"/>
      <c r="E24" s="410">
        <f t="shared" si="1"/>
        <v>2001</v>
      </c>
      <c r="F24" s="410">
        <f t="shared" si="1"/>
        <v>2002</v>
      </c>
      <c r="G24" s="1870">
        <f t="shared" si="0"/>
        <v>2001</v>
      </c>
      <c r="H24" s="414">
        <f t="array" ref="H24">IF($G$6="Historic Calendar Year",IFERROR(AVERAGE(IF($G24=YEAR('Data - Monthly Commodity Prices'!$C$9:$C$1000),'Data - Monthly Commodity Prices'!$S$9:$S$1000)),"NA"),IFERROR(IF(K24=0,"NA",K24),"NA"))</f>
        <v>966.11083333333329</v>
      </c>
      <c r="I24" s="414">
        <f t="array" ref="I24">IF($G$6="Historic Calendar Year",IFERROR(AVERAGE(IF($G24=YEAR('Data - Monthly Commodity Prices'!$C$9:$C$1000),'Data - Monthly Commodity Prices'!$T$9:$T$1000)),"NA"),IFERROR(IF(J24=0,"NA",J24),"NA"))</f>
        <v>802.76833333333332</v>
      </c>
      <c r="J24" s="798">
        <f>(SUMIFS('Data - Monthly Commodity Prices'!$S$9:$S$2500,'Data - Monthly Commodity Prices'!$A$9:$A$2500,'Mineral Sands - Prices'!E24,'Data - Monthly Commodity Prices'!$B$9:$B$2500,3)+
SUMIFS('Data - Monthly Commodity Prices'!$S$9:$S$2500,'Data - Monthly Commodity Prices'!$A$9:$A$2500,'Mineral Sands - Prices'!E24,'Data - Monthly Commodity Prices'!$B$9:$B$2500,4)+
SUMIFS('Data - Monthly Commodity Prices'!$S$9:$S$2500,'Data - Monthly Commodity Prices'!$A$9:$A$2500,'Mineral Sands - Prices'!F24,'Data - Monthly Commodity Prices'!$B$9:$B$2500,1)+
SUMIFS('Data - Monthly Commodity Prices'!$S$9:$S$2500,'Data - Monthly Commodity Prices'!$A$9:$A$2500,'Mineral Sands - Prices'!F24,'Data - Monthly Commodity Prices'!$B$9:$B$2500,2))
/(COUNTIFS('Data - Monthly Commodity Prices'!$A$9:$A$2500,'Mineral Sands - Prices'!E24,'Data - Monthly Commodity Prices'!$B$9:$B$2500,3)+
COUNTIFS('Data - Monthly Commodity Prices'!$A$9:$A$2500,'Mineral Sands - Prices'!E24,'Data - Monthly Commodity Prices'!$B$9:$B$2500,4)+
COUNTIFS('Data - Monthly Commodity Prices'!$A$9:$A$2500,'Mineral Sands - Prices'!F24,'Data - Monthly Commodity Prices'!$B$9:$B$2500,1)+
COUNTIFS('Data - Monthly Commodity Prices'!$A$9:$A$2500,'Mineral Sands - Prices'!F24,'Data - Monthly Commodity Prices'!$B$9:$B$2500,2))</f>
        <v>962.51416666666648</v>
      </c>
      <c r="K24" s="798">
        <f>(SUMIFS('Data - Monthly Commodity Prices'!$T$9:$T$2500,'Data - Monthly Commodity Prices'!$A$9:$A$2500,'Mineral Sands - Prices'!E24,'Data - Monthly Commodity Prices'!$B$9:$B$2500,3)+
SUMIFS('Data - Monthly Commodity Prices'!$T$9:$T$2500,'Data - Monthly Commodity Prices'!$A$9:$A$2500,'Mineral Sands - Prices'!E24,'Data - Monthly Commodity Prices'!$B$9:$B$2500,4)+
SUMIFS('Data - Monthly Commodity Prices'!$T$9:$T$2500,'Data - Monthly Commodity Prices'!$A$9:$A$2500,'Mineral Sands - Prices'!F24,'Data - Monthly Commodity Prices'!$B$9:$B$2500,1)+
SUMIFS('Data - Monthly Commodity Prices'!$T$9:$T$2500,'Data - Monthly Commodity Prices'!$A$9:$A$2500,'Mineral Sands - Prices'!F24,'Data - Monthly Commodity Prices'!$B$9:$B$2500,2))
/(COUNTIFS('Data - Monthly Commodity Prices'!$A$9:$A$2500,'Mineral Sands - Prices'!E24,'Data - Monthly Commodity Prices'!$B$9:$B$2500,3)+
COUNTIFS('Data - Monthly Commodity Prices'!$A$9:$A$2500,'Mineral Sands - Prices'!E24,'Data - Monthly Commodity Prices'!$B$9:$B$2500,4)+
COUNTIFS('Data - Monthly Commodity Prices'!$A$9:$A$2500,'Mineral Sands - Prices'!F24,'Data - Monthly Commodity Prices'!$B$9:$B$2500,1)+
COUNTIFS('Data - Monthly Commodity Prices'!$A$9:$A$2500,'Mineral Sands - Prices'!F24,'Data - Monthly Commodity Prices'!$B$9:$B$2500,2))</f>
        <v>847.75166666666667</v>
      </c>
    </row>
    <row r="25" spans="1:11">
      <c r="A25" s="1866">
        <f>LARGE('Data - Monthly Commodity Prices'!C$159:C$902,44)</f>
        <v>42491</v>
      </c>
      <c r="B25" s="414">
        <f>SUMIF('Data - Monthly Commodity Prices'!C$159:C$902,A25,'Data - Monthly Commodity Prices'!S$159:S$902)</f>
        <v>1102.2793091996014</v>
      </c>
      <c r="C25" s="412">
        <f>SUMIF('Data - Monthly Commodity Prices'!C$109:C$902,A25,'Data - Monthly Commodity Prices'!T$109:T$902)</f>
        <v>1188.057852198461</v>
      </c>
      <c r="D25" s="410"/>
      <c r="E25" s="410">
        <f t="shared" si="1"/>
        <v>2002</v>
      </c>
      <c r="F25" s="410">
        <f t="shared" si="1"/>
        <v>2003</v>
      </c>
      <c r="G25" s="1871">
        <f t="shared" si="0"/>
        <v>2002</v>
      </c>
      <c r="H25" s="30">
        <f t="array" ref="H25">IF($G$6="Historic Calendar Year",IFERROR(AVERAGE(IF($G25=YEAR('Data - Monthly Commodity Prices'!$C$9:$C$1000),'Data - Monthly Commodity Prices'!$S$9:$S$1000)),"NA"),IFERROR(IF(K25=0,"NA",K25),"NA"))</f>
        <v>921.82166666666672</v>
      </c>
      <c r="I25" s="30">
        <f t="array" ref="I25">IF($G$6="Historic Calendar Year",IFERROR(AVERAGE(IF($G25=YEAR('Data - Monthly Commodity Prices'!$C$9:$C$1000),'Data - Monthly Commodity Prices'!$T$9:$T$1000)),"NA"),IFERROR(IF(J25=0,"NA",J25),"NA"))</f>
        <v>826.95999999999992</v>
      </c>
      <c r="J25" s="798">
        <f>(SUMIFS('Data - Monthly Commodity Prices'!$S$9:$S$2500,'Data - Monthly Commodity Prices'!$A$9:$A$2500,'Mineral Sands - Prices'!E25,'Data - Monthly Commodity Prices'!$B$9:$B$2500,3)+
SUMIFS('Data - Monthly Commodity Prices'!$S$9:$S$2500,'Data - Monthly Commodity Prices'!$A$9:$A$2500,'Mineral Sands - Prices'!E25,'Data - Monthly Commodity Prices'!$B$9:$B$2500,4)+
SUMIFS('Data - Monthly Commodity Prices'!$S$9:$S$2500,'Data - Monthly Commodity Prices'!$A$9:$A$2500,'Mineral Sands - Prices'!F25,'Data - Monthly Commodity Prices'!$B$9:$B$2500,1)+
SUMIFS('Data - Monthly Commodity Prices'!$S$9:$S$2500,'Data - Monthly Commodity Prices'!$A$9:$A$2500,'Mineral Sands - Prices'!F25,'Data - Monthly Commodity Prices'!$B$9:$B$2500,2))
/(COUNTIFS('Data - Monthly Commodity Prices'!$A$9:$A$2500,'Mineral Sands - Prices'!E25,'Data - Monthly Commodity Prices'!$B$9:$B$2500,3)+
COUNTIFS('Data - Monthly Commodity Prices'!$A$9:$A$2500,'Mineral Sands - Prices'!E25,'Data - Monthly Commodity Prices'!$B$9:$B$2500,4)+
COUNTIFS('Data - Monthly Commodity Prices'!$A$9:$A$2500,'Mineral Sands - Prices'!F25,'Data - Monthly Commodity Prices'!$B$9:$B$2500,1)+
COUNTIFS('Data - Monthly Commodity Prices'!$A$9:$A$2500,'Mineral Sands - Prices'!F25,'Data - Monthly Commodity Prices'!$B$9:$B$2500,2))</f>
        <v>848.40333333333331</v>
      </c>
      <c r="K25" s="798">
        <f>(SUMIFS('Data - Monthly Commodity Prices'!$T$9:$T$2500,'Data - Monthly Commodity Prices'!$A$9:$A$2500,'Mineral Sands - Prices'!E25,'Data - Monthly Commodity Prices'!$B$9:$B$2500,3)+
SUMIFS('Data - Monthly Commodity Prices'!$T$9:$T$2500,'Data - Monthly Commodity Prices'!$A$9:$A$2500,'Mineral Sands - Prices'!E25,'Data - Monthly Commodity Prices'!$B$9:$B$2500,4)+
SUMIFS('Data - Monthly Commodity Prices'!$T$9:$T$2500,'Data - Monthly Commodity Prices'!$A$9:$A$2500,'Mineral Sands - Prices'!F25,'Data - Monthly Commodity Prices'!$B$9:$B$2500,1)+
SUMIFS('Data - Monthly Commodity Prices'!$T$9:$T$2500,'Data - Monthly Commodity Prices'!$A$9:$A$2500,'Mineral Sands - Prices'!F25,'Data - Monthly Commodity Prices'!$B$9:$B$2500,2))
/(COUNTIFS('Data - Monthly Commodity Prices'!$A$9:$A$2500,'Mineral Sands - Prices'!E25,'Data - Monthly Commodity Prices'!$B$9:$B$2500,3)+
COUNTIFS('Data - Monthly Commodity Prices'!$A$9:$A$2500,'Mineral Sands - Prices'!E25,'Data - Monthly Commodity Prices'!$B$9:$B$2500,4)+
COUNTIFS('Data - Monthly Commodity Prices'!$A$9:$A$2500,'Mineral Sands - Prices'!F25,'Data - Monthly Commodity Prices'!$B$9:$B$2500,1)+
COUNTIFS('Data - Monthly Commodity Prices'!$A$9:$A$2500,'Mineral Sands - Prices'!F25,'Data - Monthly Commodity Prices'!$B$9:$B$2500,2))</f>
        <v>763.84416666666675</v>
      </c>
    </row>
    <row r="26" spans="1:11">
      <c r="A26" s="1867">
        <f>LARGE('Data - Monthly Commodity Prices'!C$159:C$902,43)</f>
        <v>42522</v>
      </c>
      <c r="B26" s="30">
        <f>SUMIF('Data - Monthly Commodity Prices'!C$159:C$902,A26,'Data - Monthly Commodity Prices'!S$159:S$902)</f>
        <v>1174.1419038122267</v>
      </c>
      <c r="C26" s="61">
        <f>SUMIF('Data - Monthly Commodity Prices'!C$109:C$902,A26,'Data - Monthly Commodity Prices'!T$109:T$902)</f>
        <v>1171.6025990358416</v>
      </c>
      <c r="D26" s="410"/>
      <c r="E26" s="410">
        <f t="shared" si="1"/>
        <v>2003</v>
      </c>
      <c r="F26" s="410">
        <f t="shared" si="1"/>
        <v>2004</v>
      </c>
      <c r="G26" s="1870">
        <f t="shared" si="0"/>
        <v>2003</v>
      </c>
      <c r="H26" s="414">
        <f t="array" ref="H26">IF($G$6="Historic Calendar Year",IFERROR(AVERAGE(IF($G26=YEAR('Data - Monthly Commodity Prices'!$C$9:$C$1000),'Data - Monthly Commodity Prices'!$S$9:$S$1000)),"NA"),IFERROR(IF(K26=0,"NA",K26),"NA"))</f>
        <v>746.74833333333333</v>
      </c>
      <c r="I26" s="414">
        <f t="array" ref="I26">IF($G$6="Historic Calendar Year",IFERROR(AVERAGE(IF($G26=YEAR('Data - Monthly Commodity Prices'!$C$9:$C$1000),'Data - Monthly Commodity Prices'!$T$9:$T$1000)),"NA"),IFERROR(IF(J26=0,"NA",J26),"NA"))</f>
        <v>700.96083333333343</v>
      </c>
      <c r="J26" s="798">
        <f>(SUMIFS('Data - Monthly Commodity Prices'!$S$9:$S$2500,'Data - Monthly Commodity Prices'!$A$9:$A$2500,'Mineral Sands - Prices'!E26,'Data - Monthly Commodity Prices'!$B$9:$B$2500,3)+
SUMIFS('Data - Monthly Commodity Prices'!$S$9:$S$2500,'Data - Monthly Commodity Prices'!$A$9:$A$2500,'Mineral Sands - Prices'!E26,'Data - Monthly Commodity Prices'!$B$9:$B$2500,4)+
SUMIFS('Data - Monthly Commodity Prices'!$S$9:$S$2500,'Data - Monthly Commodity Prices'!$A$9:$A$2500,'Mineral Sands - Prices'!F26,'Data - Monthly Commodity Prices'!$B$9:$B$2500,1)+
SUMIFS('Data - Monthly Commodity Prices'!$S$9:$S$2500,'Data - Monthly Commodity Prices'!$A$9:$A$2500,'Mineral Sands - Prices'!F26,'Data - Monthly Commodity Prices'!$B$9:$B$2500,2))
/(COUNTIFS('Data - Monthly Commodity Prices'!$A$9:$A$2500,'Mineral Sands - Prices'!E26,'Data - Monthly Commodity Prices'!$B$9:$B$2500,3)+
COUNTIFS('Data - Monthly Commodity Prices'!$A$9:$A$2500,'Mineral Sands - Prices'!E26,'Data - Monthly Commodity Prices'!$B$9:$B$2500,4)+
COUNTIFS('Data - Monthly Commodity Prices'!$A$9:$A$2500,'Mineral Sands - Prices'!F26,'Data - Monthly Commodity Prices'!$B$9:$B$2500,1)+
COUNTIFS('Data - Monthly Commodity Prices'!$A$9:$A$2500,'Mineral Sands - Prices'!F26,'Data - Monthly Commodity Prices'!$B$9:$B$2500,2))</f>
        <v>704.95759018036063</v>
      </c>
      <c r="K26" s="798">
        <f>(SUMIFS('Data - Monthly Commodity Prices'!$T$9:$T$2500,'Data - Monthly Commodity Prices'!$A$9:$A$2500,'Mineral Sands - Prices'!E26,'Data - Monthly Commodity Prices'!$B$9:$B$2500,3)+
SUMIFS('Data - Monthly Commodity Prices'!$T$9:$T$2500,'Data - Monthly Commodity Prices'!$A$9:$A$2500,'Mineral Sands - Prices'!E26,'Data - Monthly Commodity Prices'!$B$9:$B$2500,4)+
SUMIFS('Data - Monthly Commodity Prices'!$T$9:$T$2500,'Data - Monthly Commodity Prices'!$A$9:$A$2500,'Mineral Sands - Prices'!F26,'Data - Monthly Commodity Prices'!$B$9:$B$2500,1)+
SUMIFS('Data - Monthly Commodity Prices'!$T$9:$T$2500,'Data - Monthly Commodity Prices'!$A$9:$A$2500,'Mineral Sands - Prices'!F26,'Data - Monthly Commodity Prices'!$B$9:$B$2500,2))
/(COUNTIFS('Data - Monthly Commodity Prices'!$A$9:$A$2500,'Mineral Sands - Prices'!E26,'Data - Monthly Commodity Prices'!$B$9:$B$2500,3)+
COUNTIFS('Data - Monthly Commodity Prices'!$A$9:$A$2500,'Mineral Sands - Prices'!E26,'Data - Monthly Commodity Prices'!$B$9:$B$2500,4)+
COUNTIFS('Data - Monthly Commodity Prices'!$A$9:$A$2500,'Mineral Sands - Prices'!F26,'Data - Monthly Commodity Prices'!$B$9:$B$2500,1)+
COUNTIFS('Data - Monthly Commodity Prices'!$A$9:$A$2500,'Mineral Sands - Prices'!F26,'Data - Monthly Commodity Prices'!$B$9:$B$2500,2))</f>
        <v>704.36472727272724</v>
      </c>
    </row>
    <row r="27" spans="1:11">
      <c r="A27" s="1866">
        <f>LARGE('Data - Monthly Commodity Prices'!C$159:C$902,42)</f>
        <v>42552</v>
      </c>
      <c r="B27" s="414">
        <f>SUMIF('Data - Monthly Commodity Prices'!C$159:C$902,A27,'Data - Monthly Commodity Prices'!S$159:S$902)</f>
        <v>1103.5824732229796</v>
      </c>
      <c r="C27" s="412">
        <f>SUMIF('Data - Monthly Commodity Prices'!C$109:C$902,A27,'Data - Monthly Commodity Prices'!T$109:T$902)</f>
        <v>1183.8377883121539</v>
      </c>
      <c r="D27" s="410"/>
      <c r="E27" s="410">
        <f t="shared" si="1"/>
        <v>2004</v>
      </c>
      <c r="F27" s="410">
        <f t="shared" si="1"/>
        <v>2005</v>
      </c>
      <c r="G27" s="1871">
        <f t="shared" si="0"/>
        <v>2004</v>
      </c>
      <c r="H27" s="30">
        <f t="array" ref="H27">IF($G$6="Historic Calendar Year",IFERROR(AVERAGE(IF($G27=YEAR('Data - Monthly Commodity Prices'!$C$9:$C$1000),'Data - Monthly Commodity Prices'!$S$9:$S$1000)),"NA"),IFERROR(IF(K27=0,"NA",K27),"NA"))</f>
        <v>726.69901141637638</v>
      </c>
      <c r="I27" s="30">
        <f t="array" ref="I27">IF($G$6="Historic Calendar Year",IFERROR(AVERAGE(IF($G27=YEAR('Data - Monthly Commodity Prices'!$C$9:$C$1000),'Data - Monthly Commodity Prices'!$T$9:$T$1000)),"NA"),IFERROR(IF(J27=0,"NA",J27),"NA"))</f>
        <v>785.35716104012909</v>
      </c>
      <c r="J27" s="798">
        <f>(SUMIFS('Data - Monthly Commodity Prices'!$S$9:$S$2500,'Data - Monthly Commodity Prices'!$A$9:$A$2500,'Mineral Sands - Prices'!E27,'Data - Monthly Commodity Prices'!$B$9:$B$2500,3)+
SUMIFS('Data - Monthly Commodity Prices'!$S$9:$S$2500,'Data - Monthly Commodity Prices'!$A$9:$A$2500,'Mineral Sands - Prices'!E27,'Data - Monthly Commodity Prices'!$B$9:$B$2500,4)+
SUMIFS('Data - Monthly Commodity Prices'!$S$9:$S$2500,'Data - Monthly Commodity Prices'!$A$9:$A$2500,'Mineral Sands - Prices'!F27,'Data - Monthly Commodity Prices'!$B$9:$B$2500,1)+
SUMIFS('Data - Monthly Commodity Prices'!$S$9:$S$2500,'Data - Monthly Commodity Prices'!$A$9:$A$2500,'Mineral Sands - Prices'!F27,'Data - Monthly Commodity Prices'!$B$9:$B$2500,2))
/(COUNTIFS('Data - Monthly Commodity Prices'!$A$9:$A$2500,'Mineral Sands - Prices'!E27,'Data - Monthly Commodity Prices'!$B$9:$B$2500,3)+
COUNTIFS('Data - Monthly Commodity Prices'!$A$9:$A$2500,'Mineral Sands - Prices'!E27,'Data - Monthly Commodity Prices'!$B$9:$B$2500,4)+
COUNTIFS('Data - Monthly Commodity Prices'!$A$9:$A$2500,'Mineral Sands - Prices'!F27,'Data - Monthly Commodity Prices'!$B$9:$B$2500,1)+
COUNTIFS('Data - Monthly Commodity Prices'!$A$9:$A$2500,'Mineral Sands - Prices'!F27,'Data - Monthly Commodity Prices'!$B$9:$B$2500,2))</f>
        <v>779.95059692518225</v>
      </c>
      <c r="K27" s="798">
        <f>(SUMIFS('Data - Monthly Commodity Prices'!$T$9:$T$2500,'Data - Monthly Commodity Prices'!$A$9:$A$2500,'Mineral Sands - Prices'!E27,'Data - Monthly Commodity Prices'!$B$9:$B$2500,3)+
SUMIFS('Data - Monthly Commodity Prices'!$T$9:$T$2500,'Data - Monthly Commodity Prices'!$A$9:$A$2500,'Mineral Sands - Prices'!E27,'Data - Monthly Commodity Prices'!$B$9:$B$2500,4)+
SUMIFS('Data - Monthly Commodity Prices'!$T$9:$T$2500,'Data - Monthly Commodity Prices'!$A$9:$A$2500,'Mineral Sands - Prices'!F27,'Data - Monthly Commodity Prices'!$B$9:$B$2500,1)+
SUMIFS('Data - Monthly Commodity Prices'!$T$9:$T$2500,'Data - Monthly Commodity Prices'!$A$9:$A$2500,'Mineral Sands - Prices'!F27,'Data - Monthly Commodity Prices'!$B$9:$B$2500,2))
/(COUNTIFS('Data - Monthly Commodity Prices'!$A$9:$A$2500,'Mineral Sands - Prices'!E27,'Data - Monthly Commodity Prices'!$B$9:$B$2500,3)+
COUNTIFS('Data - Monthly Commodity Prices'!$A$9:$A$2500,'Mineral Sands - Prices'!E27,'Data - Monthly Commodity Prices'!$B$9:$B$2500,4)+
COUNTIFS('Data - Monthly Commodity Prices'!$A$9:$A$2500,'Mineral Sands - Prices'!F27,'Data - Monthly Commodity Prices'!$B$9:$B$2500,1)+
COUNTIFS('Data - Monthly Commodity Prices'!$A$9:$A$2500,'Mineral Sands - Prices'!F27,'Data - Monthly Commodity Prices'!$B$9:$B$2500,2))</f>
        <v>899.42520939804888</v>
      </c>
    </row>
    <row r="28" spans="1:11">
      <c r="A28" s="1867">
        <f>LARGE('Data - Monthly Commodity Prices'!C$159:C$902,41)</f>
        <v>42583</v>
      </c>
      <c r="B28" s="30">
        <f>SUMIF('Data - Monthly Commodity Prices'!C$159:C$902,A28,'Data - Monthly Commodity Prices'!S$159:S$902)</f>
        <v>1053.5592643775913</v>
      </c>
      <c r="C28" s="61">
        <f>SUMIF('Data - Monthly Commodity Prices'!C$109:C$902,A28,'Data - Monthly Commodity Prices'!T$109:T$902)</f>
        <v>1142.5105130012855</v>
      </c>
      <c r="D28" s="410"/>
      <c r="E28" s="410">
        <f t="shared" si="1"/>
        <v>2005</v>
      </c>
      <c r="F28" s="410">
        <f t="shared" si="1"/>
        <v>2006</v>
      </c>
      <c r="G28" s="1870">
        <f t="shared" si="0"/>
        <v>2005</v>
      </c>
      <c r="H28" s="414">
        <f t="array" ref="H28">IF($G$6="Historic Calendar Year",IFERROR(AVERAGE(IF($G28=YEAR('Data - Monthly Commodity Prices'!$C$9:$C$1000),'Data - Monthly Commodity Prices'!$S$9:$S$1000)),"NA"),IFERROR(IF(K28=0,"NA",K28),"NA"))</f>
        <v>841.23561886947016</v>
      </c>
      <c r="I28" s="414">
        <f t="array" ref="I28">IF($G$6="Historic Calendar Year",IFERROR(AVERAGE(IF($G28=YEAR('Data - Monthly Commodity Prices'!$C$9:$C$1000),'Data - Monthly Commodity Prices'!$T$9:$T$1000)),"NA"),IFERROR(IF(J28=0,"NA",J28),"NA"))</f>
        <v>1011.4432617873277</v>
      </c>
      <c r="J28" s="798">
        <f>(SUMIFS('Data - Monthly Commodity Prices'!$S$9:$S$2500,'Data - Monthly Commodity Prices'!$A$9:$A$2500,'Mineral Sands - Prices'!E28,'Data - Monthly Commodity Prices'!$B$9:$B$2500,3)+
SUMIFS('Data - Monthly Commodity Prices'!$S$9:$S$2500,'Data - Monthly Commodity Prices'!$A$9:$A$2500,'Mineral Sands - Prices'!E28,'Data - Monthly Commodity Prices'!$B$9:$B$2500,4)+
SUMIFS('Data - Monthly Commodity Prices'!$S$9:$S$2500,'Data - Monthly Commodity Prices'!$A$9:$A$2500,'Mineral Sands - Prices'!F28,'Data - Monthly Commodity Prices'!$B$9:$B$2500,1)+
SUMIFS('Data - Monthly Commodity Prices'!$S$9:$S$2500,'Data - Monthly Commodity Prices'!$A$9:$A$2500,'Mineral Sands - Prices'!F28,'Data - Monthly Commodity Prices'!$B$9:$B$2500,2))
/(COUNTIFS('Data - Monthly Commodity Prices'!$A$9:$A$2500,'Mineral Sands - Prices'!E28,'Data - Monthly Commodity Prices'!$B$9:$B$2500,3)+
COUNTIFS('Data - Monthly Commodity Prices'!$A$9:$A$2500,'Mineral Sands - Prices'!E28,'Data - Monthly Commodity Prices'!$B$9:$B$2500,4)+
COUNTIFS('Data - Monthly Commodity Prices'!$A$9:$A$2500,'Mineral Sands - Prices'!F28,'Data - Monthly Commodity Prices'!$B$9:$B$2500,1)+
COUNTIFS('Data - Monthly Commodity Prices'!$A$9:$A$2500,'Mineral Sands - Prices'!F28,'Data - Monthly Commodity Prices'!$B$9:$B$2500,2))</f>
        <v>892.35060984697031</v>
      </c>
      <c r="K28" s="798">
        <f>(SUMIFS('Data - Monthly Commodity Prices'!$T$9:$T$2500,'Data - Monthly Commodity Prices'!$A$9:$A$2500,'Mineral Sands - Prices'!E28,'Data - Monthly Commodity Prices'!$B$9:$B$2500,3)+
SUMIFS('Data - Monthly Commodity Prices'!$T$9:$T$2500,'Data - Monthly Commodity Prices'!$A$9:$A$2500,'Mineral Sands - Prices'!E28,'Data - Monthly Commodity Prices'!$B$9:$B$2500,4)+
SUMIFS('Data - Monthly Commodity Prices'!$T$9:$T$2500,'Data - Monthly Commodity Prices'!$A$9:$A$2500,'Mineral Sands - Prices'!F28,'Data - Monthly Commodity Prices'!$B$9:$B$2500,1)+
SUMIFS('Data - Monthly Commodity Prices'!$T$9:$T$2500,'Data - Monthly Commodity Prices'!$A$9:$A$2500,'Mineral Sands - Prices'!F28,'Data - Monthly Commodity Prices'!$B$9:$B$2500,2))
/(COUNTIFS('Data - Monthly Commodity Prices'!$A$9:$A$2500,'Mineral Sands - Prices'!E28,'Data - Monthly Commodity Prices'!$B$9:$B$2500,3)+
COUNTIFS('Data - Monthly Commodity Prices'!$A$9:$A$2500,'Mineral Sands - Prices'!E28,'Data - Monthly Commodity Prices'!$B$9:$B$2500,4)+
COUNTIFS('Data - Monthly Commodity Prices'!$A$9:$A$2500,'Mineral Sands - Prices'!F28,'Data - Monthly Commodity Prices'!$B$9:$B$2500,1)+
COUNTIFS('Data - Monthly Commodity Prices'!$A$9:$A$2500,'Mineral Sands - Prices'!F28,'Data - Monthly Commodity Prices'!$B$9:$B$2500,2))</f>
        <v>1074.4946528233477</v>
      </c>
    </row>
    <row r="29" spans="1:11">
      <c r="A29" s="1866">
        <f>LARGE('Data - Monthly Commodity Prices'!C$159:C$902,40)</f>
        <v>42614</v>
      </c>
      <c r="B29" s="414">
        <f>SUMIF('Data - Monthly Commodity Prices'!C$159:C$902,A29,'Data - Monthly Commodity Prices'!S$159:S$902)</f>
        <v>1153.4440303302918</v>
      </c>
      <c r="C29" s="412">
        <f>SUMIF('Data - Monthly Commodity Prices'!C$109:C$902,A29,'Data - Monthly Commodity Prices'!T$109:T$902)</f>
        <v>1135.416575743028</v>
      </c>
      <c r="D29" s="410"/>
      <c r="E29" s="410">
        <f t="shared" si="1"/>
        <v>2006</v>
      </c>
      <c r="F29" s="410">
        <f t="shared" si="1"/>
        <v>2007</v>
      </c>
      <c r="G29" s="1871">
        <f t="shared" si="0"/>
        <v>2006</v>
      </c>
      <c r="H29" s="30">
        <f t="array" ref="H29">IF($G$6="Historic Calendar Year",IFERROR(AVERAGE(IF($G29=YEAR('Data - Monthly Commodity Prices'!$C$9:$C$1000),'Data - Monthly Commodity Prices'!$S$9:$S$1000)),"NA"),IFERROR(IF(K29=0,"NA",K29),"NA"))</f>
        <v>902.08019232662036</v>
      </c>
      <c r="I29" s="30">
        <f t="array" ref="I29">IF($G$6="Historic Calendar Year",IFERROR(AVERAGE(IF($G29=YEAR('Data - Monthly Commodity Prices'!$C$9:$C$1000),'Data - Monthly Commodity Prices'!$T$9:$T$1000)),"NA"),IFERROR(IF(J29=0,"NA",J29),"NA"))</f>
        <v>1116.5649410552307</v>
      </c>
      <c r="J29" s="798">
        <f>(SUMIFS('Data - Monthly Commodity Prices'!$S$9:$S$2500,'Data - Monthly Commodity Prices'!$A$9:$A$2500,'Mineral Sands - Prices'!E29,'Data - Monthly Commodity Prices'!$B$9:$B$2500,3)+
SUMIFS('Data - Monthly Commodity Prices'!$S$9:$S$2500,'Data - Monthly Commodity Prices'!$A$9:$A$2500,'Mineral Sands - Prices'!E29,'Data - Monthly Commodity Prices'!$B$9:$B$2500,4)+
SUMIFS('Data - Monthly Commodity Prices'!$S$9:$S$2500,'Data - Monthly Commodity Prices'!$A$9:$A$2500,'Mineral Sands - Prices'!F29,'Data - Monthly Commodity Prices'!$B$9:$B$2500,1)+
SUMIFS('Data - Monthly Commodity Prices'!$S$9:$S$2500,'Data - Monthly Commodity Prices'!$A$9:$A$2500,'Mineral Sands - Prices'!F29,'Data - Monthly Commodity Prices'!$B$9:$B$2500,2))
/(COUNTIFS('Data - Monthly Commodity Prices'!$A$9:$A$2500,'Mineral Sands - Prices'!E29,'Data - Monthly Commodity Prices'!$B$9:$B$2500,3)+
COUNTIFS('Data - Monthly Commodity Prices'!$A$9:$A$2500,'Mineral Sands - Prices'!E29,'Data - Monthly Commodity Prices'!$B$9:$B$2500,4)+
COUNTIFS('Data - Monthly Commodity Prices'!$A$9:$A$2500,'Mineral Sands - Prices'!F29,'Data - Monthly Commodity Prices'!$B$9:$B$2500,1)+
COUNTIFS('Data - Monthly Commodity Prices'!$A$9:$A$2500,'Mineral Sands - Prices'!F29,'Data - Monthly Commodity Prices'!$B$9:$B$2500,2))</f>
        <v>872.60628300150393</v>
      </c>
      <c r="K29" s="798">
        <f>(SUMIFS('Data - Monthly Commodity Prices'!$T$9:$T$2500,'Data - Monthly Commodity Prices'!$A$9:$A$2500,'Mineral Sands - Prices'!E29,'Data - Monthly Commodity Prices'!$B$9:$B$2500,3)+
SUMIFS('Data - Monthly Commodity Prices'!$T$9:$T$2500,'Data - Monthly Commodity Prices'!$A$9:$A$2500,'Mineral Sands - Prices'!E29,'Data - Monthly Commodity Prices'!$B$9:$B$2500,4)+
SUMIFS('Data - Monthly Commodity Prices'!$T$9:$T$2500,'Data - Monthly Commodity Prices'!$A$9:$A$2500,'Mineral Sands - Prices'!F29,'Data - Monthly Commodity Prices'!$B$9:$B$2500,1)+
SUMIFS('Data - Monthly Commodity Prices'!$T$9:$T$2500,'Data - Monthly Commodity Prices'!$A$9:$A$2500,'Mineral Sands - Prices'!F29,'Data - Monthly Commodity Prices'!$B$9:$B$2500,2))
/(COUNTIFS('Data - Monthly Commodity Prices'!$A$9:$A$2500,'Mineral Sands - Prices'!E29,'Data - Monthly Commodity Prices'!$B$9:$B$2500,3)+
COUNTIFS('Data - Monthly Commodity Prices'!$A$9:$A$2500,'Mineral Sands - Prices'!E29,'Data - Monthly Commodity Prices'!$B$9:$B$2500,4)+
COUNTIFS('Data - Monthly Commodity Prices'!$A$9:$A$2500,'Mineral Sands - Prices'!F29,'Data - Monthly Commodity Prices'!$B$9:$B$2500,1)+
COUNTIFS('Data - Monthly Commodity Prices'!$A$9:$A$2500,'Mineral Sands - Prices'!F29,'Data - Monthly Commodity Prices'!$B$9:$B$2500,2))</f>
        <v>1119.6279421724726</v>
      </c>
    </row>
    <row r="30" spans="1:11">
      <c r="A30" s="1867">
        <f>LARGE('Data - Monthly Commodity Prices'!C$159:C$902,39)</f>
        <v>42644</v>
      </c>
      <c r="B30" s="30">
        <f>SUMIF('Data - Monthly Commodity Prices'!C$159:C$902,A30,'Data - Monthly Commodity Prices'!S$159:S$902)</f>
        <v>1140.2731515598134</v>
      </c>
      <c r="C30" s="61">
        <f>SUMIF('Data - Monthly Commodity Prices'!C$109:C$902,A30,'Data - Monthly Commodity Prices'!T$109:T$902)</f>
        <v>1146.3494258872652</v>
      </c>
      <c r="D30" s="410"/>
      <c r="E30" s="410">
        <f t="shared" si="1"/>
        <v>2007</v>
      </c>
      <c r="F30" s="410">
        <f t="shared" si="1"/>
        <v>2008</v>
      </c>
      <c r="G30" s="1870">
        <f t="shared" si="0"/>
        <v>2007</v>
      </c>
      <c r="H30" s="414">
        <f t="array" ref="H30">IF($G$6="Historic Calendar Year",IFERROR(AVERAGE(IF($G30=YEAR('Data - Monthly Commodity Prices'!$C$9:$C$1000),'Data - Monthly Commodity Prices'!$S$9:$S$1000)),"NA"),IFERROR(IF(K30=0,"NA",K30),"NA"))</f>
        <v>804.58861008199312</v>
      </c>
      <c r="I30" s="414">
        <f t="array" ref="I30">IF($G$6="Historic Calendar Year",IFERROR(AVERAGE(IF($G30=YEAR('Data - Monthly Commodity Prices'!$C$9:$C$1000),'Data - Monthly Commodity Prices'!$T$9:$T$1000)),"NA"),IFERROR(IF(J30=0,"NA",J30),"NA"))</f>
        <v>1059.5140299785669</v>
      </c>
      <c r="J30" s="798">
        <f>(SUMIFS('Data - Monthly Commodity Prices'!$S$9:$S$2500,'Data - Monthly Commodity Prices'!$A$9:$A$2500,'Mineral Sands - Prices'!E30,'Data - Monthly Commodity Prices'!$B$9:$B$2500,3)+
SUMIFS('Data - Monthly Commodity Prices'!$S$9:$S$2500,'Data - Monthly Commodity Prices'!$A$9:$A$2500,'Mineral Sands - Prices'!E30,'Data - Monthly Commodity Prices'!$B$9:$B$2500,4)+
SUMIFS('Data - Monthly Commodity Prices'!$S$9:$S$2500,'Data - Monthly Commodity Prices'!$A$9:$A$2500,'Mineral Sands - Prices'!F30,'Data - Monthly Commodity Prices'!$B$9:$B$2500,1)+
SUMIFS('Data - Monthly Commodity Prices'!$S$9:$S$2500,'Data - Monthly Commodity Prices'!$A$9:$A$2500,'Mineral Sands - Prices'!F30,'Data - Monthly Commodity Prices'!$B$9:$B$2500,2))
/(COUNTIFS('Data - Monthly Commodity Prices'!$A$9:$A$2500,'Mineral Sands - Prices'!E30,'Data - Monthly Commodity Prices'!$B$9:$B$2500,3)+
COUNTIFS('Data - Monthly Commodity Prices'!$A$9:$A$2500,'Mineral Sands - Prices'!E30,'Data - Monthly Commodity Prices'!$B$9:$B$2500,4)+
COUNTIFS('Data - Monthly Commodity Prices'!$A$9:$A$2500,'Mineral Sands - Prices'!F30,'Data - Monthly Commodity Prices'!$B$9:$B$2500,1)+
COUNTIFS('Data - Monthly Commodity Prices'!$A$9:$A$2500,'Mineral Sands - Prices'!F30,'Data - Monthly Commodity Prices'!$B$9:$B$2500,2))</f>
        <v>751.56060953995359</v>
      </c>
      <c r="K30" s="798">
        <f>(SUMIFS('Data - Monthly Commodity Prices'!$T$9:$T$2500,'Data - Monthly Commodity Prices'!$A$9:$A$2500,'Mineral Sands - Prices'!E30,'Data - Monthly Commodity Prices'!$B$9:$B$2500,3)+
SUMIFS('Data - Monthly Commodity Prices'!$T$9:$T$2500,'Data - Monthly Commodity Prices'!$A$9:$A$2500,'Mineral Sands - Prices'!E30,'Data - Monthly Commodity Prices'!$B$9:$B$2500,4)+
SUMIFS('Data - Monthly Commodity Prices'!$T$9:$T$2500,'Data - Monthly Commodity Prices'!$A$9:$A$2500,'Mineral Sands - Prices'!F30,'Data - Monthly Commodity Prices'!$B$9:$B$2500,1)+
SUMIFS('Data - Monthly Commodity Prices'!$T$9:$T$2500,'Data - Monthly Commodity Prices'!$A$9:$A$2500,'Mineral Sands - Prices'!F30,'Data - Monthly Commodity Prices'!$B$9:$B$2500,2))
/(COUNTIFS('Data - Monthly Commodity Prices'!$A$9:$A$2500,'Mineral Sands - Prices'!E30,'Data - Monthly Commodity Prices'!$B$9:$B$2500,3)+
COUNTIFS('Data - Monthly Commodity Prices'!$A$9:$A$2500,'Mineral Sands - Prices'!E30,'Data - Monthly Commodity Prices'!$B$9:$B$2500,4)+
COUNTIFS('Data - Monthly Commodity Prices'!$A$9:$A$2500,'Mineral Sands - Prices'!F30,'Data - Monthly Commodity Prices'!$B$9:$B$2500,1)+
COUNTIFS('Data - Monthly Commodity Prices'!$A$9:$A$2500,'Mineral Sands - Prices'!F30,'Data - Monthly Commodity Prices'!$B$9:$B$2500,2))</f>
        <v>956.47399672205484</v>
      </c>
    </row>
    <row r="31" spans="1:11">
      <c r="A31" s="1866">
        <f>LARGE('Data - Monthly Commodity Prices'!C$159:C$902,38)</f>
        <v>42675</v>
      </c>
      <c r="B31" s="414">
        <f>SUMIF('Data - Monthly Commodity Prices'!C$159:C$902,A31,'Data - Monthly Commodity Prices'!S$159:S$902)</f>
        <v>1147.314632000782</v>
      </c>
      <c r="C31" s="412">
        <f>SUMIF('Data - Monthly Commodity Prices'!C$109:C$902,A31,'Data - Monthly Commodity Prices'!T$109:T$902)</f>
        <v>1175.3088181148746</v>
      </c>
      <c r="D31" s="410"/>
      <c r="E31" s="410">
        <f t="shared" si="1"/>
        <v>2008</v>
      </c>
      <c r="F31" s="410">
        <f t="shared" si="1"/>
        <v>2009</v>
      </c>
      <c r="G31" s="1871">
        <f t="shared" si="0"/>
        <v>2008</v>
      </c>
      <c r="H31" s="30">
        <f t="array" ref="H31">IF($G$6="Historic Calendar Year",IFERROR(AVERAGE(IF($G31=YEAR('Data - Monthly Commodity Prices'!$C$9:$C$1000),'Data - Monthly Commodity Prices'!$S$9:$S$1000)),"NA"),IFERROR(IF(K31=0,"NA",K31),"NA"))</f>
        <v>849.51240767527327</v>
      </c>
      <c r="I31" s="30">
        <f t="array" ref="I31">IF($G$6="Historic Calendar Year",IFERROR(AVERAGE(IF($G31=YEAR('Data - Monthly Commodity Prices'!$C$9:$C$1000),'Data - Monthly Commodity Prices'!$T$9:$T$1000)),"NA"),IFERROR(IF(J31=0,"NA",J31),"NA"))</f>
        <v>1013.6758316055339</v>
      </c>
      <c r="J31" s="798">
        <f>(SUMIFS('Data - Monthly Commodity Prices'!$S$9:$S$2500,'Data - Monthly Commodity Prices'!$A$9:$A$2500,'Mineral Sands - Prices'!E31,'Data - Monthly Commodity Prices'!$B$9:$B$2500,3)+
SUMIFS('Data - Monthly Commodity Prices'!$S$9:$S$2500,'Data - Monthly Commodity Prices'!$A$9:$A$2500,'Mineral Sands - Prices'!E31,'Data - Monthly Commodity Prices'!$B$9:$B$2500,4)+
SUMIFS('Data - Monthly Commodity Prices'!$S$9:$S$2500,'Data - Monthly Commodity Prices'!$A$9:$A$2500,'Mineral Sands - Prices'!F31,'Data - Monthly Commodity Prices'!$B$9:$B$2500,1)+
SUMIFS('Data - Monthly Commodity Prices'!$S$9:$S$2500,'Data - Monthly Commodity Prices'!$A$9:$A$2500,'Mineral Sands - Prices'!F31,'Data - Monthly Commodity Prices'!$B$9:$B$2500,2))
/(COUNTIFS('Data - Monthly Commodity Prices'!$A$9:$A$2500,'Mineral Sands - Prices'!E31,'Data - Monthly Commodity Prices'!$B$9:$B$2500,3)+
COUNTIFS('Data - Monthly Commodity Prices'!$A$9:$A$2500,'Mineral Sands - Prices'!E31,'Data - Monthly Commodity Prices'!$B$9:$B$2500,4)+
COUNTIFS('Data - Monthly Commodity Prices'!$A$9:$A$2500,'Mineral Sands - Prices'!F31,'Data - Monthly Commodity Prices'!$B$9:$B$2500,1)+
COUNTIFS('Data - Monthly Commodity Prices'!$A$9:$A$2500,'Mineral Sands - Prices'!F31,'Data - Monthly Commodity Prices'!$B$9:$B$2500,2))</f>
        <v>1081.079337006973</v>
      </c>
      <c r="K31" s="798">
        <f>(SUMIFS('Data - Monthly Commodity Prices'!$T$9:$T$2500,'Data - Monthly Commodity Prices'!$A$9:$A$2500,'Mineral Sands - Prices'!E31,'Data - Monthly Commodity Prices'!$B$9:$B$2500,3)+
SUMIFS('Data - Monthly Commodity Prices'!$T$9:$T$2500,'Data - Monthly Commodity Prices'!$A$9:$A$2500,'Mineral Sands - Prices'!E31,'Data - Monthly Commodity Prices'!$B$9:$B$2500,4)+
SUMIFS('Data - Monthly Commodity Prices'!$T$9:$T$2500,'Data - Monthly Commodity Prices'!$A$9:$A$2500,'Mineral Sands - Prices'!F31,'Data - Monthly Commodity Prices'!$B$9:$B$2500,1)+
SUMIFS('Data - Monthly Commodity Prices'!$T$9:$T$2500,'Data - Monthly Commodity Prices'!$A$9:$A$2500,'Mineral Sands - Prices'!F31,'Data - Monthly Commodity Prices'!$B$9:$B$2500,2))
/(COUNTIFS('Data - Monthly Commodity Prices'!$A$9:$A$2500,'Mineral Sands - Prices'!E31,'Data - Monthly Commodity Prices'!$B$9:$B$2500,3)+
COUNTIFS('Data - Monthly Commodity Prices'!$A$9:$A$2500,'Mineral Sands - Prices'!E31,'Data - Monthly Commodity Prices'!$B$9:$B$2500,4)+
COUNTIFS('Data - Monthly Commodity Prices'!$A$9:$A$2500,'Mineral Sands - Prices'!F31,'Data - Monthly Commodity Prices'!$B$9:$B$2500,1)+
COUNTIFS('Data - Monthly Commodity Prices'!$A$9:$A$2500,'Mineral Sands - Prices'!F31,'Data - Monthly Commodity Prices'!$B$9:$B$2500,2))</f>
        <v>1201.1863950812642</v>
      </c>
    </row>
    <row r="32" spans="1:11">
      <c r="A32" s="1867">
        <f>LARGE('Data - Monthly Commodity Prices'!C$159:C$902,37)</f>
        <v>42705</v>
      </c>
      <c r="B32" s="30">
        <f>SUMIF('Data - Monthly Commodity Prices'!C$159:C$902,A32,'Data - Monthly Commodity Prices'!S$159:S$902)</f>
        <v>1197.9728260869565</v>
      </c>
      <c r="C32" s="61">
        <f>SUMIF('Data - Monthly Commodity Prices'!C$109:C$902,A32,'Data - Monthly Commodity Prices'!T$109:T$902)</f>
        <v>1227.4514660353304</v>
      </c>
      <c r="D32" s="410"/>
      <c r="E32" s="410">
        <f t="shared" si="1"/>
        <v>2009</v>
      </c>
      <c r="F32" s="410">
        <f t="shared" si="1"/>
        <v>2010</v>
      </c>
      <c r="G32" s="1870">
        <f t="shared" si="0"/>
        <v>2009</v>
      </c>
      <c r="H32" s="414">
        <f t="array" ref="H32">IF($G$6="Historic Calendar Year",IFERROR(AVERAGE(IF($G32=YEAR('Data - Monthly Commodity Prices'!$C$9:$C$1000),'Data - Monthly Commodity Prices'!$S$9:$S$1000)),"NA"),IFERROR(IF(K32=0,"NA",K32),"NA"))</f>
        <v>1113.1006023405398</v>
      </c>
      <c r="I32" s="414">
        <f t="array" ref="I32">IF($G$6="Historic Calendar Year",IFERROR(AVERAGE(IF($G32=YEAR('Data - Monthly Commodity Prices'!$C$9:$C$1000),'Data - Monthly Commodity Prices'!$T$9:$T$1000)),"NA"),IFERROR(IF(J32=0,"NA",J32),"NA"))</f>
        <v>1196.6070783346072</v>
      </c>
      <c r="J32" s="798">
        <f>(SUMIFS('Data - Monthly Commodity Prices'!$S$9:$S$2500,'Data - Monthly Commodity Prices'!$A$9:$A$2500,'Mineral Sands - Prices'!E32,'Data - Monthly Commodity Prices'!$B$9:$B$2500,3)+
SUMIFS('Data - Monthly Commodity Prices'!$S$9:$S$2500,'Data - Monthly Commodity Prices'!$A$9:$A$2500,'Mineral Sands - Prices'!E32,'Data - Monthly Commodity Prices'!$B$9:$B$2500,4)+
SUMIFS('Data - Monthly Commodity Prices'!$S$9:$S$2500,'Data - Monthly Commodity Prices'!$A$9:$A$2500,'Mineral Sands - Prices'!F32,'Data - Monthly Commodity Prices'!$B$9:$B$2500,1)+
SUMIFS('Data - Monthly Commodity Prices'!$S$9:$S$2500,'Data - Monthly Commodity Prices'!$A$9:$A$2500,'Mineral Sands - Prices'!F32,'Data - Monthly Commodity Prices'!$B$9:$B$2500,2))
/(COUNTIFS('Data - Monthly Commodity Prices'!$A$9:$A$2500,'Mineral Sands - Prices'!E32,'Data - Monthly Commodity Prices'!$B$9:$B$2500,3)+
COUNTIFS('Data - Monthly Commodity Prices'!$A$9:$A$2500,'Mineral Sands - Prices'!E32,'Data - Monthly Commodity Prices'!$B$9:$B$2500,4)+
COUNTIFS('Data - Monthly Commodity Prices'!$A$9:$A$2500,'Mineral Sands - Prices'!F32,'Data - Monthly Commodity Prices'!$B$9:$B$2500,1)+
COUNTIFS('Data - Monthly Commodity Prices'!$A$9:$A$2500,'Mineral Sands - Prices'!F32,'Data - Monthly Commodity Prices'!$B$9:$B$2500,2))</f>
        <v>972.22897337902157</v>
      </c>
      <c r="K32" s="798">
        <f>(SUMIFS('Data - Monthly Commodity Prices'!$T$9:$T$2500,'Data - Monthly Commodity Prices'!$A$9:$A$2500,'Mineral Sands - Prices'!E32,'Data - Monthly Commodity Prices'!$B$9:$B$2500,3)+
SUMIFS('Data - Monthly Commodity Prices'!$T$9:$T$2500,'Data - Monthly Commodity Prices'!$A$9:$A$2500,'Mineral Sands - Prices'!E32,'Data - Monthly Commodity Prices'!$B$9:$B$2500,4)+
SUMIFS('Data - Monthly Commodity Prices'!$T$9:$T$2500,'Data - Monthly Commodity Prices'!$A$9:$A$2500,'Mineral Sands - Prices'!F32,'Data - Monthly Commodity Prices'!$B$9:$B$2500,1)+
SUMIFS('Data - Monthly Commodity Prices'!$T$9:$T$2500,'Data - Monthly Commodity Prices'!$A$9:$A$2500,'Mineral Sands - Prices'!F32,'Data - Monthly Commodity Prices'!$B$9:$B$2500,2))
/(COUNTIFS('Data - Monthly Commodity Prices'!$A$9:$A$2500,'Mineral Sands - Prices'!E32,'Data - Monthly Commodity Prices'!$B$9:$B$2500,3)+
COUNTIFS('Data - Monthly Commodity Prices'!$A$9:$A$2500,'Mineral Sands - Prices'!E32,'Data - Monthly Commodity Prices'!$B$9:$B$2500,4)+
COUNTIFS('Data - Monthly Commodity Prices'!$A$9:$A$2500,'Mineral Sands - Prices'!F32,'Data - Monthly Commodity Prices'!$B$9:$B$2500,1)+
COUNTIFS('Data - Monthly Commodity Prices'!$A$9:$A$2500,'Mineral Sands - Prices'!F32,'Data - Monthly Commodity Prices'!$B$9:$B$2500,2))</f>
        <v>1065.8881852846446</v>
      </c>
    </row>
    <row r="33" spans="1:11">
      <c r="A33" s="1866">
        <f>LARGE('Data - Monthly Commodity Prices'!C$159:C$902,36)</f>
        <v>42736</v>
      </c>
      <c r="B33" s="414">
        <f>SUMIF('Data - Monthly Commodity Prices'!C$159:C$902,A33,'Data - Monthly Commodity Prices'!S$159:S$902)</f>
        <v>1123.7136586895183</v>
      </c>
      <c r="C33" s="412">
        <f>SUMIF('Data - Monthly Commodity Prices'!C$109:C$902,A33,'Data - Monthly Commodity Prices'!T$109:T$902)</f>
        <v>1235.5819881053526</v>
      </c>
      <c r="D33" s="410"/>
      <c r="E33" s="410">
        <f t="shared" si="1"/>
        <v>2010</v>
      </c>
      <c r="F33" s="410">
        <f t="shared" si="1"/>
        <v>2011</v>
      </c>
      <c r="G33" s="1871">
        <f t="shared" si="0"/>
        <v>2010</v>
      </c>
      <c r="H33" s="30">
        <f t="array" ref="H33">IF($G$6="Historic Calendar Year",IFERROR(AVERAGE(IF($G33=YEAR('Data - Monthly Commodity Prices'!$C$9:$C$1000),'Data - Monthly Commodity Prices'!$S$9:$S$1000)),"NA"),IFERROR(IF(K33=0,"NA",K33),"NA"))</f>
        <v>897.44329921364499</v>
      </c>
      <c r="I33" s="30">
        <f t="array" ref="I33">IF($G$6="Historic Calendar Year",IFERROR(AVERAGE(IF($G33=YEAR('Data - Monthly Commodity Prices'!$C$9:$C$1000),'Data - Monthly Commodity Prices'!$T$9:$T$1000)),"NA"),IFERROR(IF(J33=0,"NA",J33),"NA"))</f>
        <v>1042.916702201426</v>
      </c>
      <c r="J33" s="798">
        <f>(SUMIFS('Data - Monthly Commodity Prices'!$S$9:$S$2500,'Data - Monthly Commodity Prices'!$A$9:$A$2500,'Mineral Sands - Prices'!E33,'Data - Monthly Commodity Prices'!$B$9:$B$2500,3)+
SUMIFS('Data - Monthly Commodity Prices'!$S$9:$S$2500,'Data - Monthly Commodity Prices'!$A$9:$A$2500,'Mineral Sands - Prices'!E33,'Data - Monthly Commodity Prices'!$B$9:$B$2500,4)+
SUMIFS('Data - Monthly Commodity Prices'!$S$9:$S$2500,'Data - Monthly Commodity Prices'!$A$9:$A$2500,'Mineral Sands - Prices'!F33,'Data - Monthly Commodity Prices'!$B$9:$B$2500,1)+
SUMIFS('Data - Monthly Commodity Prices'!$S$9:$S$2500,'Data - Monthly Commodity Prices'!$A$9:$A$2500,'Mineral Sands - Prices'!F33,'Data - Monthly Commodity Prices'!$B$9:$B$2500,2))
/(COUNTIFS('Data - Monthly Commodity Prices'!$A$9:$A$2500,'Mineral Sands - Prices'!E33,'Data - Monthly Commodity Prices'!$B$9:$B$2500,3)+
COUNTIFS('Data - Monthly Commodity Prices'!$A$9:$A$2500,'Mineral Sands - Prices'!E33,'Data - Monthly Commodity Prices'!$B$9:$B$2500,4)+
COUNTIFS('Data - Monthly Commodity Prices'!$A$9:$A$2500,'Mineral Sands - Prices'!F33,'Data - Monthly Commodity Prices'!$B$9:$B$2500,1)+
COUNTIFS('Data - Monthly Commodity Prices'!$A$9:$A$2500,'Mineral Sands - Prices'!F33,'Data - Monthly Commodity Prices'!$B$9:$B$2500,2))</f>
        <v>906.0849436971788</v>
      </c>
      <c r="K33" s="798">
        <f>(SUMIFS('Data - Monthly Commodity Prices'!$T$9:$T$2500,'Data - Monthly Commodity Prices'!$A$9:$A$2500,'Mineral Sands - Prices'!E33,'Data - Monthly Commodity Prices'!$B$9:$B$2500,3)+
SUMIFS('Data - Monthly Commodity Prices'!$T$9:$T$2500,'Data - Monthly Commodity Prices'!$A$9:$A$2500,'Mineral Sands - Prices'!E33,'Data - Monthly Commodity Prices'!$B$9:$B$2500,4)+
SUMIFS('Data - Monthly Commodity Prices'!$T$9:$T$2500,'Data - Monthly Commodity Prices'!$A$9:$A$2500,'Mineral Sands - Prices'!F33,'Data - Monthly Commodity Prices'!$B$9:$B$2500,1)+
SUMIFS('Data - Monthly Commodity Prices'!$T$9:$T$2500,'Data - Monthly Commodity Prices'!$A$9:$A$2500,'Mineral Sands - Prices'!F33,'Data - Monthly Commodity Prices'!$B$9:$B$2500,2))
/(COUNTIFS('Data - Monthly Commodity Prices'!$A$9:$A$2500,'Mineral Sands - Prices'!E33,'Data - Monthly Commodity Prices'!$B$9:$B$2500,3)+
COUNTIFS('Data - Monthly Commodity Prices'!$A$9:$A$2500,'Mineral Sands - Prices'!E33,'Data - Monthly Commodity Prices'!$B$9:$B$2500,4)+
COUNTIFS('Data - Monthly Commodity Prices'!$A$9:$A$2500,'Mineral Sands - Prices'!F33,'Data - Monthly Commodity Prices'!$B$9:$B$2500,1)+
COUNTIFS('Data - Monthly Commodity Prices'!$A$9:$A$2500,'Mineral Sands - Prices'!F33,'Data - Monthly Commodity Prices'!$B$9:$B$2500,2))</f>
        <v>1277.7988704351437</v>
      </c>
    </row>
    <row r="34" spans="1:11">
      <c r="A34" s="1867">
        <f>LARGE('Data - Monthly Commodity Prices'!C$159:C$902,35)</f>
        <v>42767</v>
      </c>
      <c r="B34" s="30">
        <f>SUMIF('Data - Monthly Commodity Prices'!C$159:C$902,A34,'Data - Monthly Commodity Prices'!S$159:S$902)</f>
        <v>1082.0640740740741</v>
      </c>
      <c r="C34" s="61">
        <f>SUMIF('Data - Monthly Commodity Prices'!C$109:C$902,A34,'Data - Monthly Commodity Prices'!T$109:T$902)</f>
        <v>1121.9014401440145</v>
      </c>
      <c r="D34" s="410"/>
      <c r="E34" s="410">
        <f t="shared" si="1"/>
        <v>2011</v>
      </c>
      <c r="F34" s="410">
        <f t="shared" si="1"/>
        <v>2012</v>
      </c>
      <c r="G34" s="1870">
        <f t="shared" si="0"/>
        <v>2011</v>
      </c>
      <c r="H34" s="414">
        <f t="array" ref="H34">IF($G$6="Historic Calendar Year",IFERROR(AVERAGE(IF($G34=YEAR('Data - Monthly Commodity Prices'!$C$9:$C$1000),'Data - Monthly Commodity Prices'!$S$9:$S$1000)),"NA"),IFERROR(IF(K34=0,"NA",K34),"NA"))</f>
        <v>1133.9031181060989</v>
      </c>
      <c r="I34" s="414">
        <f t="array" ref="I34">IF($G$6="Historic Calendar Year",IFERROR(AVERAGE(IF($G34=YEAR('Data - Monthly Commodity Prices'!$C$9:$C$1000),'Data - Monthly Commodity Prices'!$T$9:$T$1000)),"NA"),IFERROR(IF(J34=0,"NA",J34),"NA"))</f>
        <v>1905.2323059264663</v>
      </c>
      <c r="J34" s="798">
        <f>(SUMIFS('Data - Monthly Commodity Prices'!$S$9:$S$2500,'Data - Monthly Commodity Prices'!$A$9:$A$2500,'Mineral Sands - Prices'!E34,'Data - Monthly Commodity Prices'!$B$9:$B$2500,3)+
SUMIFS('Data - Monthly Commodity Prices'!$S$9:$S$2500,'Data - Monthly Commodity Prices'!$A$9:$A$2500,'Mineral Sands - Prices'!E34,'Data - Monthly Commodity Prices'!$B$9:$B$2500,4)+
SUMIFS('Data - Monthly Commodity Prices'!$S$9:$S$2500,'Data - Monthly Commodity Prices'!$A$9:$A$2500,'Mineral Sands - Prices'!F34,'Data - Monthly Commodity Prices'!$B$9:$B$2500,1)+
SUMIFS('Data - Monthly Commodity Prices'!$S$9:$S$2500,'Data - Monthly Commodity Prices'!$A$9:$A$2500,'Mineral Sands - Prices'!F34,'Data - Monthly Commodity Prices'!$B$9:$B$2500,2))
/(COUNTIFS('Data - Monthly Commodity Prices'!$A$9:$A$2500,'Mineral Sands - Prices'!E34,'Data - Monthly Commodity Prices'!$B$9:$B$2500,3)+
COUNTIFS('Data - Monthly Commodity Prices'!$A$9:$A$2500,'Mineral Sands - Prices'!E34,'Data - Monthly Commodity Prices'!$B$9:$B$2500,4)+
COUNTIFS('Data - Monthly Commodity Prices'!$A$9:$A$2500,'Mineral Sands - Prices'!F34,'Data - Monthly Commodity Prices'!$B$9:$B$2500,1)+
COUNTIFS('Data - Monthly Commodity Prices'!$A$9:$A$2500,'Mineral Sands - Prices'!F34,'Data - Monthly Commodity Prices'!$B$9:$B$2500,2))</f>
        <v>2027.1533996239584</v>
      </c>
      <c r="K34" s="798">
        <f>(SUMIFS('Data - Monthly Commodity Prices'!$T$9:$T$2500,'Data - Monthly Commodity Prices'!$A$9:$A$2500,'Mineral Sands - Prices'!E34,'Data - Monthly Commodity Prices'!$B$9:$B$2500,3)+
SUMIFS('Data - Monthly Commodity Prices'!$T$9:$T$2500,'Data - Monthly Commodity Prices'!$A$9:$A$2500,'Mineral Sands - Prices'!E34,'Data - Monthly Commodity Prices'!$B$9:$B$2500,4)+
SUMIFS('Data - Monthly Commodity Prices'!$T$9:$T$2500,'Data - Monthly Commodity Prices'!$A$9:$A$2500,'Mineral Sands - Prices'!F34,'Data - Monthly Commodity Prices'!$B$9:$B$2500,1)+
SUMIFS('Data - Monthly Commodity Prices'!$T$9:$T$2500,'Data - Monthly Commodity Prices'!$A$9:$A$2500,'Mineral Sands - Prices'!F34,'Data - Monthly Commodity Prices'!$B$9:$B$2500,2))
/(COUNTIFS('Data - Monthly Commodity Prices'!$A$9:$A$2500,'Mineral Sands - Prices'!E34,'Data - Monthly Commodity Prices'!$B$9:$B$2500,3)+
COUNTIFS('Data - Monthly Commodity Prices'!$A$9:$A$2500,'Mineral Sands - Prices'!E34,'Data - Monthly Commodity Prices'!$B$9:$B$2500,4)+
COUNTIFS('Data - Monthly Commodity Prices'!$A$9:$A$2500,'Mineral Sands - Prices'!F34,'Data - Monthly Commodity Prices'!$B$9:$B$2500,1)+
COUNTIFS('Data - Monthly Commodity Prices'!$A$9:$A$2500,'Mineral Sands - Prices'!F34,'Data - Monthly Commodity Prices'!$B$9:$B$2500,2))</f>
        <v>2339.6804695292017</v>
      </c>
    </row>
    <row r="35" spans="1:11">
      <c r="A35" s="1866">
        <f>LARGE('Data - Monthly Commodity Prices'!C$159:C$902,34)</f>
        <v>42795</v>
      </c>
      <c r="B35" s="414">
        <f>SUMIF('Data - Monthly Commodity Prices'!C$159:C$902,A35,'Data - Monthly Commodity Prices'!S$159:S$902)</f>
        <v>1142.3251568739304</v>
      </c>
      <c r="C35" s="412">
        <f>SUMIF('Data - Monthly Commodity Prices'!C$109:C$902,A35,'Data - Monthly Commodity Prices'!T$109:T$902)</f>
        <v>1195.6817040699887</v>
      </c>
      <c r="D35" s="410"/>
      <c r="E35" s="410">
        <f t="shared" si="1"/>
        <v>2012</v>
      </c>
      <c r="F35" s="410">
        <f t="shared" si="1"/>
        <v>2013</v>
      </c>
      <c r="G35" s="1871">
        <f t="shared" si="0"/>
        <v>2012</v>
      </c>
      <c r="H35" s="30">
        <f t="array" ref="H35">IF($G$6="Historic Calendar Year",IFERROR(AVERAGE(IF($G35=YEAR('Data - Monthly Commodity Prices'!$C$9:$C$1000),'Data - Monthly Commodity Prices'!$S$9:$S$1000)),"NA"),IFERROR(IF(K35=0,"NA",K35),"NA"))</f>
        <v>2698.7099287883375</v>
      </c>
      <c r="I35" s="30">
        <f t="array" ref="I35">IF($G$6="Historic Calendar Year",IFERROR(AVERAGE(IF($G35=YEAR('Data - Monthly Commodity Prices'!$C$9:$C$1000),'Data - Monthly Commodity Prices'!$T$9:$T$1000)),"NA"),IFERROR(IF(J35=0,"NA",J35),"NA"))</f>
        <v>2188.2575402213502</v>
      </c>
      <c r="J35" s="798">
        <f>(SUMIFS('Data - Monthly Commodity Prices'!$S$9:$S$2500,'Data - Monthly Commodity Prices'!$A$9:$A$2500,'Mineral Sands - Prices'!E35,'Data - Monthly Commodity Prices'!$B$9:$B$2500,3)+
SUMIFS('Data - Monthly Commodity Prices'!$S$9:$S$2500,'Data - Monthly Commodity Prices'!$A$9:$A$2500,'Mineral Sands - Prices'!E35,'Data - Monthly Commodity Prices'!$B$9:$B$2500,4)+
SUMIFS('Data - Monthly Commodity Prices'!$S$9:$S$2500,'Data - Monthly Commodity Prices'!$A$9:$A$2500,'Mineral Sands - Prices'!F35,'Data - Monthly Commodity Prices'!$B$9:$B$2500,1)+
SUMIFS('Data - Monthly Commodity Prices'!$S$9:$S$2500,'Data - Monthly Commodity Prices'!$A$9:$A$2500,'Mineral Sands - Prices'!F35,'Data - Monthly Commodity Prices'!$B$9:$B$2500,2))
/(COUNTIFS('Data - Monthly Commodity Prices'!$A$9:$A$2500,'Mineral Sands - Prices'!E35,'Data - Monthly Commodity Prices'!$B$9:$B$2500,3)+
COUNTIFS('Data - Monthly Commodity Prices'!$A$9:$A$2500,'Mineral Sands - Prices'!E35,'Data - Monthly Commodity Prices'!$B$9:$B$2500,4)+
COUNTIFS('Data - Monthly Commodity Prices'!$A$9:$A$2500,'Mineral Sands - Prices'!F35,'Data - Monthly Commodity Prices'!$B$9:$B$2500,1)+
COUNTIFS('Data - Monthly Commodity Prices'!$A$9:$A$2500,'Mineral Sands - Prices'!F35,'Data - Monthly Commodity Prices'!$B$9:$B$2500,2))</f>
        <v>2149.9004569428544</v>
      </c>
      <c r="K35" s="798">
        <f>(SUMIFS('Data - Monthly Commodity Prices'!$T$9:$T$2500,'Data - Monthly Commodity Prices'!$A$9:$A$2500,'Mineral Sands - Prices'!E35,'Data - Monthly Commodity Prices'!$B$9:$B$2500,3)+
SUMIFS('Data - Monthly Commodity Prices'!$T$9:$T$2500,'Data - Monthly Commodity Prices'!$A$9:$A$2500,'Mineral Sands - Prices'!E35,'Data - Monthly Commodity Prices'!$B$9:$B$2500,4)+
SUMIFS('Data - Monthly Commodity Prices'!$T$9:$T$2500,'Data - Monthly Commodity Prices'!$A$9:$A$2500,'Mineral Sands - Prices'!F35,'Data - Monthly Commodity Prices'!$B$9:$B$2500,1)+
SUMIFS('Data - Monthly Commodity Prices'!$T$9:$T$2500,'Data - Monthly Commodity Prices'!$A$9:$A$2500,'Mineral Sands - Prices'!F35,'Data - Monthly Commodity Prices'!$B$9:$B$2500,2))
/(COUNTIFS('Data - Monthly Commodity Prices'!$A$9:$A$2500,'Mineral Sands - Prices'!E35,'Data - Monthly Commodity Prices'!$B$9:$B$2500,3)+
COUNTIFS('Data - Monthly Commodity Prices'!$A$9:$A$2500,'Mineral Sands - Prices'!E35,'Data - Monthly Commodity Prices'!$B$9:$B$2500,4)+
COUNTIFS('Data - Monthly Commodity Prices'!$A$9:$A$2500,'Mineral Sands - Prices'!F35,'Data - Monthly Commodity Prices'!$B$9:$B$2500,1)+
COUNTIFS('Data - Monthly Commodity Prices'!$A$9:$A$2500,'Mineral Sands - Prices'!F35,'Data - Monthly Commodity Prices'!$B$9:$B$2500,2))</f>
        <v>1617.471516205637</v>
      </c>
    </row>
    <row r="36" spans="1:11">
      <c r="A36" s="1867">
        <f>LARGE('Data - Monthly Commodity Prices'!C$159:C$902,33)</f>
        <v>42826</v>
      </c>
      <c r="B36" s="30">
        <f>SUMIF('Data - Monthly Commodity Prices'!C$159:C$902,A36,'Data - Monthly Commodity Prices'!S$159:S$902)</f>
        <v>1182.8298176617805</v>
      </c>
      <c r="C36" s="61">
        <f>SUMIF('Data - Monthly Commodity Prices'!C$109:C$902,A36,'Data - Monthly Commodity Prices'!T$109:T$902)</f>
        <v>1295.7932028792093</v>
      </c>
      <c r="D36" s="410"/>
      <c r="E36" s="410">
        <f t="shared" si="1"/>
        <v>2013</v>
      </c>
      <c r="F36" s="410">
        <f t="shared" si="1"/>
        <v>2014</v>
      </c>
      <c r="G36" s="1870">
        <f t="shared" si="0"/>
        <v>2013</v>
      </c>
      <c r="H36" s="414">
        <f t="array" ref="H36">IF($G$6="Historic Calendar Year",IFERROR(AVERAGE(IF($G36=YEAR('Data - Monthly Commodity Prices'!$C$9:$C$1000),'Data - Monthly Commodity Prices'!$S$9:$S$1000)),"NA"),IFERROR(IF(K36=0,"NA",K36),"NA"))</f>
        <v>1573.7928804343508</v>
      </c>
      <c r="I36" s="414">
        <f t="array" ref="I36">IF($G$6="Historic Calendar Year",IFERROR(AVERAGE(IF($G36=YEAR('Data - Monthly Commodity Prices'!$C$9:$C$1000),'Data - Monthly Commodity Prices'!$T$9:$T$1000)),"NA"),IFERROR(IF(J36=0,"NA",J36),"NA"))</f>
        <v>1238.6040401044102</v>
      </c>
      <c r="J36" s="798">
        <f>(SUMIFS('Data - Monthly Commodity Prices'!$S$9:$S$2500,'Data - Monthly Commodity Prices'!$A$9:$A$2500,'Mineral Sands - Prices'!E36,'Data - Monthly Commodity Prices'!$B$9:$B$2500,3)+
SUMIFS('Data - Monthly Commodity Prices'!$S$9:$S$2500,'Data - Monthly Commodity Prices'!$A$9:$A$2500,'Mineral Sands - Prices'!E36,'Data - Monthly Commodity Prices'!$B$9:$B$2500,4)+
SUMIFS('Data - Monthly Commodity Prices'!$S$9:$S$2500,'Data - Monthly Commodity Prices'!$A$9:$A$2500,'Mineral Sands - Prices'!F36,'Data - Monthly Commodity Prices'!$B$9:$B$2500,1)+
SUMIFS('Data - Monthly Commodity Prices'!$S$9:$S$2500,'Data - Monthly Commodity Prices'!$A$9:$A$2500,'Mineral Sands - Prices'!F36,'Data - Monthly Commodity Prices'!$B$9:$B$2500,2))
/(COUNTIFS('Data - Monthly Commodity Prices'!$A$9:$A$2500,'Mineral Sands - Prices'!E36,'Data - Monthly Commodity Prices'!$B$9:$B$2500,3)+
COUNTIFS('Data - Monthly Commodity Prices'!$A$9:$A$2500,'Mineral Sands - Prices'!E36,'Data - Monthly Commodity Prices'!$B$9:$B$2500,4)+
COUNTIFS('Data - Monthly Commodity Prices'!$A$9:$A$2500,'Mineral Sands - Prices'!F36,'Data - Monthly Commodity Prices'!$B$9:$B$2500,1)+
COUNTIFS('Data - Monthly Commodity Prices'!$A$9:$A$2500,'Mineral Sands - Prices'!F36,'Data - Monthly Commodity Prices'!$B$9:$B$2500,2))</f>
        <v>1305.821139159596</v>
      </c>
      <c r="K36" s="798">
        <f>(SUMIFS('Data - Monthly Commodity Prices'!$T$9:$T$2500,'Data - Monthly Commodity Prices'!$A$9:$A$2500,'Mineral Sands - Prices'!E36,'Data - Monthly Commodity Prices'!$B$9:$B$2500,3)+
SUMIFS('Data - Monthly Commodity Prices'!$T$9:$T$2500,'Data - Monthly Commodity Prices'!$A$9:$A$2500,'Mineral Sands - Prices'!E36,'Data - Monthly Commodity Prices'!$B$9:$B$2500,4)+
SUMIFS('Data - Monthly Commodity Prices'!$T$9:$T$2500,'Data - Monthly Commodity Prices'!$A$9:$A$2500,'Mineral Sands - Prices'!F36,'Data - Monthly Commodity Prices'!$B$9:$B$2500,1)+
SUMIFS('Data - Monthly Commodity Prices'!$T$9:$T$2500,'Data - Monthly Commodity Prices'!$A$9:$A$2500,'Mineral Sands - Prices'!F36,'Data - Monthly Commodity Prices'!$B$9:$B$2500,2))
/(COUNTIFS('Data - Monthly Commodity Prices'!$A$9:$A$2500,'Mineral Sands - Prices'!E36,'Data - Monthly Commodity Prices'!$B$9:$B$2500,3)+
COUNTIFS('Data - Monthly Commodity Prices'!$A$9:$A$2500,'Mineral Sands - Prices'!E36,'Data - Monthly Commodity Prices'!$B$9:$B$2500,4)+
COUNTIFS('Data - Monthly Commodity Prices'!$A$9:$A$2500,'Mineral Sands - Prices'!F36,'Data - Monthly Commodity Prices'!$B$9:$B$2500,1)+
COUNTIFS('Data - Monthly Commodity Prices'!$A$9:$A$2500,'Mineral Sands - Prices'!F36,'Data - Monthly Commodity Prices'!$B$9:$B$2500,2))</f>
        <v>1214.7701106045768</v>
      </c>
    </row>
    <row r="37" spans="1:11">
      <c r="A37" s="1866">
        <f>LARGE('Data - Monthly Commodity Prices'!C$159:C$902,32)</f>
        <v>42856</v>
      </c>
      <c r="B37" s="414">
        <f>SUMIF('Data - Monthly Commodity Prices'!C$159:C$902,A37,'Data - Monthly Commodity Prices'!S$159:S$902)</f>
        <v>1208.9384993849937</v>
      </c>
      <c r="C37" s="412">
        <f>SUMIF('Data - Monthly Commodity Prices'!C$109:C$902,A37,'Data - Monthly Commodity Prices'!T$109:T$902)</f>
        <v>1268.9786068353769</v>
      </c>
      <c r="D37" s="410"/>
      <c r="E37" s="410">
        <f t="shared" si="1"/>
        <v>2014</v>
      </c>
      <c r="F37" s="410">
        <f t="shared" si="1"/>
        <v>2015</v>
      </c>
      <c r="G37" s="1871">
        <f t="shared" si="0"/>
        <v>2014</v>
      </c>
      <c r="H37" s="30">
        <f t="array" ref="H37">IF($G$6="Historic Calendar Year",IFERROR(AVERAGE(IF($G37=YEAR('Data - Monthly Commodity Prices'!$C$9:$C$1000),'Data - Monthly Commodity Prices'!$S$9:$S$1000)),"NA"),IFERROR(IF(K37=0,"NA",K37),"NA"))</f>
        <v>1090.216473991369</v>
      </c>
      <c r="I37" s="30">
        <f t="array" ref="I37">IF($G$6="Historic Calendar Year",IFERROR(AVERAGE(IF($G37=YEAR('Data - Monthly Commodity Prices'!$C$9:$C$1000),'Data - Monthly Commodity Prices'!$T$9:$T$1000)),"NA"),IFERROR(IF(J37=0,"NA",J37),"NA"))</f>
        <v>1203.8395062815061</v>
      </c>
      <c r="J37" s="798">
        <f>(SUMIFS('Data - Monthly Commodity Prices'!$S$9:$S$2500,'Data - Monthly Commodity Prices'!$A$9:$A$2500,'Mineral Sands - Prices'!E37,'Data - Monthly Commodity Prices'!$B$9:$B$2500,3)+
SUMIFS('Data - Monthly Commodity Prices'!$S$9:$S$2500,'Data - Monthly Commodity Prices'!$A$9:$A$2500,'Mineral Sands - Prices'!E37,'Data - Monthly Commodity Prices'!$B$9:$B$2500,4)+
SUMIFS('Data - Monthly Commodity Prices'!$S$9:$S$2500,'Data - Monthly Commodity Prices'!$A$9:$A$2500,'Mineral Sands - Prices'!F37,'Data - Monthly Commodity Prices'!$B$9:$B$2500,1)+
SUMIFS('Data - Monthly Commodity Prices'!$S$9:$S$2500,'Data - Monthly Commodity Prices'!$A$9:$A$2500,'Mineral Sands - Prices'!F37,'Data - Monthly Commodity Prices'!$B$9:$B$2500,2))
/(COUNTIFS('Data - Monthly Commodity Prices'!$A$9:$A$2500,'Mineral Sands - Prices'!E37,'Data - Monthly Commodity Prices'!$B$9:$B$2500,3)+
COUNTIFS('Data - Monthly Commodity Prices'!$A$9:$A$2500,'Mineral Sands - Prices'!E37,'Data - Monthly Commodity Prices'!$B$9:$B$2500,4)+
COUNTIFS('Data - Monthly Commodity Prices'!$A$9:$A$2500,'Mineral Sands - Prices'!F37,'Data - Monthly Commodity Prices'!$B$9:$B$2500,1)+
COUNTIFS('Data - Monthly Commodity Prices'!$A$9:$A$2500,'Mineral Sands - Prices'!F37,'Data - Monthly Commodity Prices'!$B$9:$B$2500,2))</f>
        <v>1174.3563721270386</v>
      </c>
      <c r="K37" s="798">
        <f>(SUMIFS('Data - Monthly Commodity Prices'!$T$9:$T$2500,'Data - Monthly Commodity Prices'!$A$9:$A$2500,'Mineral Sands - Prices'!E37,'Data - Monthly Commodity Prices'!$B$9:$B$2500,3)+
SUMIFS('Data - Monthly Commodity Prices'!$T$9:$T$2500,'Data - Monthly Commodity Prices'!$A$9:$A$2500,'Mineral Sands - Prices'!E37,'Data - Monthly Commodity Prices'!$B$9:$B$2500,4)+
SUMIFS('Data - Monthly Commodity Prices'!$T$9:$T$2500,'Data - Monthly Commodity Prices'!$A$9:$A$2500,'Mineral Sands - Prices'!F37,'Data - Monthly Commodity Prices'!$B$9:$B$2500,1)+
SUMIFS('Data - Monthly Commodity Prices'!$T$9:$T$2500,'Data - Monthly Commodity Prices'!$A$9:$A$2500,'Mineral Sands - Prices'!F37,'Data - Monthly Commodity Prices'!$B$9:$B$2500,2))
/(COUNTIFS('Data - Monthly Commodity Prices'!$A$9:$A$2500,'Mineral Sands - Prices'!E37,'Data - Monthly Commodity Prices'!$B$9:$B$2500,3)+
COUNTIFS('Data - Monthly Commodity Prices'!$A$9:$A$2500,'Mineral Sands - Prices'!E37,'Data - Monthly Commodity Prices'!$B$9:$B$2500,4)+
COUNTIFS('Data - Monthly Commodity Prices'!$A$9:$A$2500,'Mineral Sands - Prices'!F37,'Data - Monthly Commodity Prices'!$B$9:$B$2500,1)+
COUNTIFS('Data - Monthly Commodity Prices'!$A$9:$A$2500,'Mineral Sands - Prices'!F37,'Data - Monthly Commodity Prices'!$B$9:$B$2500,2))</f>
        <v>1307.0379518377345</v>
      </c>
    </row>
    <row r="38" spans="1:11">
      <c r="A38" s="1867">
        <f>LARGE('Data - Monthly Commodity Prices'!C$159:C$902,31)</f>
        <v>42887</v>
      </c>
      <c r="B38" s="30">
        <f>SUMIF('Data - Monthly Commodity Prices'!C$159:C$902,A38,'Data - Monthly Commodity Prices'!S$159:S$902)</f>
        <v>1184.3826378539493</v>
      </c>
      <c r="C38" s="61">
        <f>SUMIF('Data - Monthly Commodity Prices'!C$109:C$902,A38,'Data - Monthly Commodity Prices'!T$109:T$902)</f>
        <v>1264.2666238613106</v>
      </c>
      <c r="D38" s="410"/>
      <c r="E38" s="410">
        <f t="shared" si="1"/>
        <v>2015</v>
      </c>
      <c r="F38" s="410">
        <f t="shared" si="1"/>
        <v>2016</v>
      </c>
      <c r="G38" s="1870">
        <f t="shared" si="0"/>
        <v>2015</v>
      </c>
      <c r="H38" s="414">
        <f t="array" ref="H38">IF($G$6="Historic Calendar Year",IFERROR(AVERAGE(IF($G38=YEAR('Data - Monthly Commodity Prices'!$C$9:$C$1000),'Data - Monthly Commodity Prices'!$S$9:$S$1000)),"NA"),IFERROR(IF(K38=0,"NA",K38),"NA"))</f>
        <v>1240.8508013242702</v>
      </c>
      <c r="I38" s="414">
        <f t="array" ref="I38">IF($G$6="Historic Calendar Year",IFERROR(AVERAGE(IF($G38=YEAR('Data - Monthly Commodity Prices'!$C$9:$C$1000),'Data - Monthly Commodity Prices'!$T$9:$T$1000)),"NA"),IFERROR(IF(J38=0,"NA",J38),"NA"))</f>
        <v>1360.1226516411034</v>
      </c>
      <c r="J38" s="798">
        <f>(SUMIFS('Data - Monthly Commodity Prices'!$S$9:$S$2500,'Data - Monthly Commodity Prices'!$A$9:$A$2500,'Mineral Sands - Prices'!E38,'Data - Monthly Commodity Prices'!$B$9:$B$2500,3)+
SUMIFS('Data - Monthly Commodity Prices'!$S$9:$S$2500,'Data - Monthly Commodity Prices'!$A$9:$A$2500,'Mineral Sands - Prices'!E38,'Data - Monthly Commodity Prices'!$B$9:$B$2500,4)+
SUMIFS('Data - Monthly Commodity Prices'!$S$9:$S$2500,'Data - Monthly Commodity Prices'!$A$9:$A$2500,'Mineral Sands - Prices'!F38,'Data - Monthly Commodity Prices'!$B$9:$B$2500,1)+
SUMIFS('Data - Monthly Commodity Prices'!$S$9:$S$2500,'Data - Monthly Commodity Prices'!$A$9:$A$2500,'Mineral Sands - Prices'!F38,'Data - Monthly Commodity Prices'!$B$9:$B$2500,2))
/(COUNTIFS('Data - Monthly Commodity Prices'!$A$9:$A$2500,'Mineral Sands - Prices'!E38,'Data - Monthly Commodity Prices'!$B$9:$B$2500,3)+
COUNTIFS('Data - Monthly Commodity Prices'!$A$9:$A$2500,'Mineral Sands - Prices'!E38,'Data - Monthly Commodity Prices'!$B$9:$B$2500,4)+
COUNTIFS('Data - Monthly Commodity Prices'!$A$9:$A$2500,'Mineral Sands - Prices'!F38,'Data - Monthly Commodity Prices'!$B$9:$B$2500,1)+
COUNTIFS('Data - Monthly Commodity Prices'!$A$9:$A$2500,'Mineral Sands - Prices'!F38,'Data - Monthly Commodity Prices'!$B$9:$B$2500,2))</f>
        <v>1175.8789770158726</v>
      </c>
      <c r="K38" s="798">
        <f>(SUMIFS('Data - Monthly Commodity Prices'!$T$9:$T$2500,'Data - Monthly Commodity Prices'!$A$9:$A$2500,'Mineral Sands - Prices'!E38,'Data - Monthly Commodity Prices'!$B$9:$B$2500,3)+
SUMIFS('Data - Monthly Commodity Prices'!$T$9:$T$2500,'Data - Monthly Commodity Prices'!$A$9:$A$2500,'Mineral Sands - Prices'!E38,'Data - Monthly Commodity Prices'!$B$9:$B$2500,4)+
SUMIFS('Data - Monthly Commodity Prices'!$T$9:$T$2500,'Data - Monthly Commodity Prices'!$A$9:$A$2500,'Mineral Sands - Prices'!F38,'Data - Monthly Commodity Prices'!$B$9:$B$2500,1)+
SUMIFS('Data - Monthly Commodity Prices'!$T$9:$T$2500,'Data - Monthly Commodity Prices'!$A$9:$A$2500,'Mineral Sands - Prices'!F38,'Data - Monthly Commodity Prices'!$B$9:$B$2500,2))
/(COUNTIFS('Data - Monthly Commodity Prices'!$A$9:$A$2500,'Mineral Sands - Prices'!E38,'Data - Monthly Commodity Prices'!$B$9:$B$2500,3)+
COUNTIFS('Data - Monthly Commodity Prices'!$A$9:$A$2500,'Mineral Sands - Prices'!E38,'Data - Monthly Commodity Prices'!$B$9:$B$2500,4)+
COUNTIFS('Data - Monthly Commodity Prices'!$A$9:$A$2500,'Mineral Sands - Prices'!F38,'Data - Monthly Commodity Prices'!$B$9:$B$2500,1)+
COUNTIFS('Data - Monthly Commodity Prices'!$A$9:$A$2500,'Mineral Sands - Prices'!F38,'Data - Monthly Commodity Prices'!$B$9:$B$2500,2))</f>
        <v>1297.5241493782792</v>
      </c>
    </row>
    <row r="39" spans="1:11">
      <c r="A39" s="1866">
        <f>LARGE('Data - Monthly Commodity Prices'!C$159:C$902,30)</f>
        <v>42917</v>
      </c>
      <c r="B39" s="414">
        <f>SUMIF('Data - Monthly Commodity Prices'!C$159:C$902,A39,'Data - Monthly Commodity Prices'!S$159:S$902)</f>
        <v>1157.2112326043737</v>
      </c>
      <c r="C39" s="412">
        <f>SUMIF('Data - Monthly Commodity Prices'!C$109:C$902,A39,'Data - Monthly Commodity Prices'!T$109:T$902)</f>
        <v>1269.6128239033103</v>
      </c>
      <c r="D39" s="410"/>
      <c r="E39" s="410">
        <f t="shared" si="1"/>
        <v>2016</v>
      </c>
      <c r="F39" s="410">
        <f t="shared" si="1"/>
        <v>2017</v>
      </c>
      <c r="G39" s="1871">
        <f t="shared" si="0"/>
        <v>2016</v>
      </c>
      <c r="H39" s="30">
        <f t="array" ref="H39">IF($G$6="Historic Calendar Year",IFERROR(AVERAGE(IF($G39=YEAR('Data - Monthly Commodity Prices'!$C$9:$C$1000),'Data - Monthly Commodity Prices'!$S$9:$S$1000)),"NA"),IFERROR(IF(K39=0,"NA",K39),"NA"))</f>
        <v>1137.4352086763222</v>
      </c>
      <c r="I39" s="30">
        <f t="array" ref="I39">IF($G$6="Historic Calendar Year",IFERROR(AVERAGE(IF($G39=YEAR('Data - Monthly Commodity Prices'!$C$9:$C$1000),'Data - Monthly Commodity Prices'!$T$9:$T$1000)),"NA"),IFERROR(IF(J39=0,"NA",J39),"NA"))</f>
        <v>1201.5145088253028</v>
      </c>
      <c r="J39" s="798">
        <f>(SUMIFS('Data - Monthly Commodity Prices'!$S$9:$S$2500,'Data - Monthly Commodity Prices'!$A$9:$A$2500,'Mineral Sands - Prices'!E39,'Data - Monthly Commodity Prices'!$B$9:$B$2500,3)+
SUMIFS('Data - Monthly Commodity Prices'!$S$9:$S$2500,'Data - Monthly Commodity Prices'!$A$9:$A$2500,'Mineral Sands - Prices'!E39,'Data - Monthly Commodity Prices'!$B$9:$B$2500,4)+
SUMIFS('Data - Monthly Commodity Prices'!$S$9:$S$2500,'Data - Monthly Commodity Prices'!$A$9:$A$2500,'Mineral Sands - Prices'!F39,'Data - Monthly Commodity Prices'!$B$9:$B$2500,1)+
SUMIFS('Data - Monthly Commodity Prices'!$S$9:$S$2500,'Data - Monthly Commodity Prices'!$A$9:$A$2500,'Mineral Sands - Prices'!F39,'Data - Monthly Commodity Prices'!$B$9:$B$2500,2))
/(COUNTIFS('Data - Monthly Commodity Prices'!$A$9:$A$2500,'Mineral Sands - Prices'!E39,'Data - Monthly Commodity Prices'!$B$9:$B$2500,3)+
COUNTIFS('Data - Monthly Commodity Prices'!$A$9:$A$2500,'Mineral Sands - Prices'!E39,'Data - Monthly Commodity Prices'!$B$9:$B$2500,4)+
COUNTIFS('Data - Monthly Commodity Prices'!$A$9:$A$2500,'Mineral Sands - Prices'!F39,'Data - Monthly Commodity Prices'!$B$9:$B$2500,1)+
COUNTIFS('Data - Monthly Commodity Prices'!$A$9:$A$2500,'Mineral Sands - Prices'!F39,'Data - Monthly Commodity Prices'!$B$9:$B$2500,2))</f>
        <v>1143.3666851763885</v>
      </c>
      <c r="K39" s="798">
        <f>(SUMIFS('Data - Monthly Commodity Prices'!$T$9:$T$2500,'Data - Monthly Commodity Prices'!$A$9:$A$2500,'Mineral Sands - Prices'!E39,'Data - Monthly Commodity Prices'!$B$9:$B$2500,3)+
SUMIFS('Data - Monthly Commodity Prices'!$T$9:$T$2500,'Data - Monthly Commodity Prices'!$A$9:$A$2500,'Mineral Sands - Prices'!E39,'Data - Monthly Commodity Prices'!$B$9:$B$2500,4)+
SUMIFS('Data - Monthly Commodity Prices'!$T$9:$T$2500,'Data - Monthly Commodity Prices'!$A$9:$A$2500,'Mineral Sands - Prices'!F39,'Data - Monthly Commodity Prices'!$B$9:$B$2500,1)+
SUMIFS('Data - Monthly Commodity Prices'!$T$9:$T$2500,'Data - Monthly Commodity Prices'!$A$9:$A$2500,'Mineral Sands - Prices'!F39,'Data - Monthly Commodity Prices'!$B$9:$B$2500,2))
/(COUNTIFS('Data - Monthly Commodity Prices'!$A$9:$A$2500,'Mineral Sands - Prices'!E39,'Data - Monthly Commodity Prices'!$B$9:$B$2500,3)+
COUNTIFS('Data - Monthly Commodity Prices'!$A$9:$A$2500,'Mineral Sands - Prices'!E39,'Data - Monthly Commodity Prices'!$B$9:$B$2500,4)+
COUNTIFS('Data - Monthly Commodity Prices'!$A$9:$A$2500,'Mineral Sands - Prices'!F39,'Data - Monthly Commodity Prices'!$B$9:$B$2500,1)+
COUNTIFS('Data - Monthly Commodity Prices'!$A$9:$A$2500,'Mineral Sands - Prices'!F39,'Data - Monthly Commodity Prices'!$B$9:$B$2500,2))</f>
        <v>1199.4231794157658</v>
      </c>
    </row>
    <row r="40" spans="1:11">
      <c r="A40" s="1867">
        <f>LARGE('Data - Monthly Commodity Prices'!C$159:C$902,29)</f>
        <v>42948</v>
      </c>
      <c r="B40" s="30">
        <f>SUMIF('Data - Monthly Commodity Prices'!C$159:C$902,A40,'Data - Monthly Commodity Prices'!S$159:S$902)</f>
        <v>1081.4808238636363</v>
      </c>
      <c r="C40" s="61">
        <f>SUMIF('Data - Monthly Commodity Prices'!C$109:C$902,A40,'Data - Monthly Commodity Prices'!T$109:T$902)</f>
        <v>1363.271260199456</v>
      </c>
      <c r="D40" s="410"/>
      <c r="E40" s="410">
        <f t="shared" si="1"/>
        <v>2017</v>
      </c>
      <c r="F40" s="410">
        <f t="shared" si="1"/>
        <v>2018</v>
      </c>
      <c r="G40" s="1870">
        <f t="shared" si="0"/>
        <v>2017</v>
      </c>
      <c r="H40" s="414">
        <f t="array" ref="H40">IF($G$6="Historic Calendar Year",IFERROR(AVERAGE(IF($G40=YEAR('Data - Monthly Commodity Prices'!$C$9:$C$1000),'Data - Monthly Commodity Prices'!$S$9:$S$1000)),"NA"),IFERROR(IF(K40=0,"NA",K40),"NA"))</f>
        <v>1166.0360022740474</v>
      </c>
      <c r="I40" s="414">
        <f t="array" ref="I40">IF($G$6="Historic Calendar Year",IFERROR(AVERAGE(IF($G40=YEAR('Data - Monthly Commodity Prices'!$C$9:$C$1000),'Data - Monthly Commodity Prices'!$T$9:$T$1000)),"NA"),IFERROR(IF(J40=0,"NA",J40),"NA"))</f>
        <v>1347.8244285427531</v>
      </c>
      <c r="J40" s="798">
        <f>(SUMIFS('Data - Monthly Commodity Prices'!$S$9:$S$2500,'Data - Monthly Commodity Prices'!$A$9:$A$2500,'Mineral Sands - Prices'!E40,'Data - Monthly Commodity Prices'!$B$9:$B$2500,3)+
SUMIFS('Data - Monthly Commodity Prices'!$S$9:$S$2500,'Data - Monthly Commodity Prices'!$A$9:$A$2500,'Mineral Sands - Prices'!E40,'Data - Monthly Commodity Prices'!$B$9:$B$2500,4)+
SUMIFS('Data - Monthly Commodity Prices'!$S$9:$S$2500,'Data - Monthly Commodity Prices'!$A$9:$A$2500,'Mineral Sands - Prices'!F40,'Data - Monthly Commodity Prices'!$B$9:$B$2500,1)+
SUMIFS('Data - Monthly Commodity Prices'!$S$9:$S$2500,'Data - Monthly Commodity Prices'!$A$9:$A$2500,'Mineral Sands - Prices'!F40,'Data - Monthly Commodity Prices'!$B$9:$B$2500,2))
/(COUNTIFS('Data - Monthly Commodity Prices'!$A$9:$A$2500,'Mineral Sands - Prices'!E40,'Data - Monthly Commodity Prices'!$B$9:$B$2500,3)+
COUNTIFS('Data - Monthly Commodity Prices'!$A$9:$A$2500,'Mineral Sands - Prices'!E40,'Data - Monthly Commodity Prices'!$B$9:$B$2500,4)+
COUNTIFS('Data - Monthly Commodity Prices'!$A$9:$A$2500,'Mineral Sands - Prices'!F40,'Data - Monthly Commodity Prices'!$B$9:$B$2500,1)+
COUNTIFS('Data - Monthly Commodity Prices'!$A$9:$A$2500,'Mineral Sands - Prices'!F40,'Data - Monthly Commodity Prices'!$B$9:$B$2500,2))</f>
        <v>1235.260467710579</v>
      </c>
      <c r="K40" s="798">
        <f>(SUMIFS('Data - Monthly Commodity Prices'!$T$9:$T$2500,'Data - Monthly Commodity Prices'!$A$9:$A$2500,'Mineral Sands - Prices'!E40,'Data - Monthly Commodity Prices'!$B$9:$B$2500,3)+
SUMIFS('Data - Monthly Commodity Prices'!$T$9:$T$2500,'Data - Monthly Commodity Prices'!$A$9:$A$2500,'Mineral Sands - Prices'!E40,'Data - Monthly Commodity Prices'!$B$9:$B$2500,4)+
SUMIFS('Data - Monthly Commodity Prices'!$T$9:$T$2500,'Data - Monthly Commodity Prices'!$A$9:$A$2500,'Mineral Sands - Prices'!F40,'Data - Monthly Commodity Prices'!$B$9:$B$2500,1)+
SUMIFS('Data - Monthly Commodity Prices'!$T$9:$T$2500,'Data - Monthly Commodity Prices'!$A$9:$A$2500,'Mineral Sands - Prices'!F40,'Data - Monthly Commodity Prices'!$B$9:$B$2500,2))
/(COUNTIFS('Data - Monthly Commodity Prices'!$A$9:$A$2500,'Mineral Sands - Prices'!E40,'Data - Monthly Commodity Prices'!$B$9:$B$2500,3)+
COUNTIFS('Data - Monthly Commodity Prices'!$A$9:$A$2500,'Mineral Sands - Prices'!E40,'Data - Monthly Commodity Prices'!$B$9:$B$2500,4)+
COUNTIFS('Data - Monthly Commodity Prices'!$A$9:$A$2500,'Mineral Sands - Prices'!F40,'Data - Monthly Commodity Prices'!$B$9:$B$2500,1)+
COUNTIFS('Data - Monthly Commodity Prices'!$A$9:$A$2500,'Mineral Sands - Prices'!F40,'Data - Monthly Commodity Prices'!$B$9:$B$2500,2))</f>
        <v>1647.2862749250464</v>
      </c>
    </row>
    <row r="41" spans="1:11">
      <c r="A41" s="1866">
        <f>LARGE('Data - Monthly Commodity Prices'!C$159:C$902,28)</f>
        <v>42979</v>
      </c>
      <c r="B41" s="414">
        <f>SUMIF('Data - Monthly Commodity Prices'!C$159:C$902,A41,'Data - Monthly Commodity Prices'!S$159:S$902)</f>
        <v>1133.4576188143067</v>
      </c>
      <c r="C41" s="412">
        <f>SUMIF('Data - Monthly Commodity Prices'!C$109:C$902,A41,'Data - Monthly Commodity Prices'!T$109:T$902)</f>
        <v>1281.6329396744334</v>
      </c>
      <c r="D41" s="410"/>
      <c r="E41" s="410">
        <f t="shared" si="1"/>
        <v>2018</v>
      </c>
      <c r="F41" s="410">
        <f t="shared" si="1"/>
        <v>2019</v>
      </c>
      <c r="G41" s="1871">
        <f t="shared" si="0"/>
        <v>2018</v>
      </c>
      <c r="H41" s="30">
        <f t="array" ref="H41">IF($G$6="Historic Calendar Year",IFERROR(AVERAGE(IF($G41=YEAR('Data - Monthly Commodity Prices'!$C$9:$C$1000),'Data - Monthly Commodity Prices'!$S$9:$S$1000)),"NA"),IFERROR(IF(K41=0,"NA",K41),"NA"))</f>
        <v>1375.811332618284</v>
      </c>
      <c r="I41" s="30">
        <f t="array" ref="I41">IF($G$6="Historic Calendar Year",IFERROR(AVERAGE(IF($G41=YEAR('Data - Monthly Commodity Prices'!$C$9:$C$1000),'Data - Monthly Commodity Prices'!$T$9:$T$1000)),"NA"),IFERROR(IF(J41=0,"NA",J41),"NA"))</f>
        <v>1985.0599543806563</v>
      </c>
      <c r="J41" s="798">
        <f>(SUMIFS('Data - Monthly Commodity Prices'!$S$9:$S$2500,'Data - Monthly Commodity Prices'!$A$9:$A$2500,'Mineral Sands - Prices'!E41,'Data - Monthly Commodity Prices'!$B$9:$B$2500,3)+
SUMIFS('Data - Monthly Commodity Prices'!$S$9:$S$2500,'Data - Monthly Commodity Prices'!$A$9:$A$2500,'Mineral Sands - Prices'!E41,'Data - Monthly Commodity Prices'!$B$9:$B$2500,4)+
SUMIFS('Data - Monthly Commodity Prices'!$S$9:$S$2500,'Data - Monthly Commodity Prices'!$A$9:$A$2500,'Mineral Sands - Prices'!F41,'Data - Monthly Commodity Prices'!$B$9:$B$2500,1)+
SUMIFS('Data - Monthly Commodity Prices'!$S$9:$S$2500,'Data - Monthly Commodity Prices'!$A$9:$A$2500,'Mineral Sands - Prices'!F41,'Data - Monthly Commodity Prices'!$B$9:$B$2500,2))
/(COUNTIFS('Data - Monthly Commodity Prices'!$A$9:$A$2500,'Mineral Sands - Prices'!E41,'Data - Monthly Commodity Prices'!$B$9:$B$2500,3)+
COUNTIFS('Data - Monthly Commodity Prices'!$A$9:$A$2500,'Mineral Sands - Prices'!E41,'Data - Monthly Commodity Prices'!$B$9:$B$2500,4)+
COUNTIFS('Data - Monthly Commodity Prices'!$A$9:$A$2500,'Mineral Sands - Prices'!F41,'Data - Monthly Commodity Prices'!$B$9:$B$2500,1)+
COUNTIFS('Data - Monthly Commodity Prices'!$A$9:$A$2500,'Mineral Sands - Prices'!F41,'Data - Monthly Commodity Prices'!$B$9:$B$2500,2))</f>
        <v>1519.4002359473059</v>
      </c>
      <c r="K41" s="798">
        <f>(SUMIFS('Data - Monthly Commodity Prices'!$T$9:$T$2500,'Data - Monthly Commodity Prices'!$A$9:$A$2500,'Mineral Sands - Prices'!E41,'Data - Monthly Commodity Prices'!$B$9:$B$2500,3)+
SUMIFS('Data - Monthly Commodity Prices'!$T$9:$T$2500,'Data - Monthly Commodity Prices'!$A$9:$A$2500,'Mineral Sands - Prices'!E41,'Data - Monthly Commodity Prices'!$B$9:$B$2500,4)+
SUMIFS('Data - Monthly Commodity Prices'!$T$9:$T$2500,'Data - Monthly Commodity Prices'!$A$9:$A$2500,'Mineral Sands - Prices'!F41,'Data - Monthly Commodity Prices'!$B$9:$B$2500,1)+
SUMIFS('Data - Monthly Commodity Prices'!$T$9:$T$2500,'Data - Monthly Commodity Prices'!$A$9:$A$2500,'Mineral Sands - Prices'!F41,'Data - Monthly Commodity Prices'!$B$9:$B$2500,2))
/(COUNTIFS('Data - Monthly Commodity Prices'!$A$9:$A$2500,'Mineral Sands - Prices'!E41,'Data - Monthly Commodity Prices'!$B$9:$B$2500,3)+
COUNTIFS('Data - Monthly Commodity Prices'!$A$9:$A$2500,'Mineral Sands - Prices'!E41,'Data - Monthly Commodity Prices'!$B$9:$B$2500,4)+
COUNTIFS('Data - Monthly Commodity Prices'!$A$9:$A$2500,'Mineral Sands - Prices'!F41,'Data - Monthly Commodity Prices'!$B$9:$B$2500,1)+
COUNTIFS('Data - Monthly Commodity Prices'!$A$9:$A$2500,'Mineral Sands - Prices'!F41,'Data - Monthly Commodity Prices'!$B$9:$B$2500,2))</f>
        <v>2168.1088842698559</v>
      </c>
    </row>
    <row r="42" spans="1:11">
      <c r="A42" s="1867">
        <f>LARGE('Data - Monthly Commodity Prices'!C$159:C$902,27)</f>
        <v>43009</v>
      </c>
      <c r="B42" s="30">
        <f>SUMIF('Data - Monthly Commodity Prices'!C$159:C$902,A42,'Data - Monthly Commodity Prices'!S$159:S$902)</f>
        <v>1232.1185062965569</v>
      </c>
      <c r="C42" s="61">
        <f>SUMIF('Data - Monthly Commodity Prices'!C$109:C$902,A42,'Data - Monthly Commodity Prices'!T$109:T$902)</f>
        <v>1568.7805748637986</v>
      </c>
      <c r="D42" s="410"/>
      <c r="E42" s="410">
        <f t="shared" si="1"/>
        <v>2019</v>
      </c>
      <c r="F42" s="410">
        <f t="shared" si="1"/>
        <v>2020</v>
      </c>
      <c r="G42" s="1870">
        <f t="shared" si="0"/>
        <v>2019</v>
      </c>
      <c r="H42" s="414">
        <f t="array" ref="H42">IF($G$6="Historic Calendar Year",IFERROR(AVERAGE(IF($G42=YEAR('Data - Monthly Commodity Prices'!$C$9:$C$1000),'Data - Monthly Commodity Prices'!$S$9:$S$1000)),"NA"),IFERROR(IF(K42=0,"NA",K42),"NA"))</f>
        <v>1668.9400592994477</v>
      </c>
      <c r="I42" s="414">
        <f t="array" ref="I42">IF($G$6="Historic Calendar Year",IFERROR(AVERAGE(IF($G42=YEAR('Data - Monthly Commodity Prices'!$C$9:$C$1000),'Data - Monthly Commodity Prices'!$T$9:$T$1000)),"NA"),IFERROR(IF(J42=0,"NA",J42),"NA"))</f>
        <v>2172.2586752237817</v>
      </c>
      <c r="J42" s="798">
        <f>(SUMIFS('Data - Monthly Commodity Prices'!$S$9:$S$2500,'Data - Monthly Commodity Prices'!$A$9:$A$2500,'Mineral Sands - Prices'!E42,'Data - Monthly Commodity Prices'!$B$9:$B$2500,3)+
SUMIFS('Data - Monthly Commodity Prices'!$S$9:$S$2500,'Data - Monthly Commodity Prices'!$A$9:$A$2500,'Mineral Sands - Prices'!E42,'Data - Monthly Commodity Prices'!$B$9:$B$2500,4)+
SUMIFS('Data - Monthly Commodity Prices'!$S$9:$S$2500,'Data - Monthly Commodity Prices'!$A$9:$A$2500,'Mineral Sands - Prices'!F42,'Data - Monthly Commodity Prices'!$B$9:$B$2500,1)+
SUMIFS('Data - Monthly Commodity Prices'!$S$9:$S$2500,'Data - Monthly Commodity Prices'!$A$9:$A$2500,'Mineral Sands - Prices'!F42,'Data - Monthly Commodity Prices'!$B$9:$B$2500,2))
/(COUNTIFS('Data - Monthly Commodity Prices'!$A$9:$A$2500,'Mineral Sands - Prices'!E42,'Data - Monthly Commodity Prices'!$B$9:$B$2500,3)+
COUNTIFS('Data - Monthly Commodity Prices'!$A$9:$A$2500,'Mineral Sands - Prices'!E42,'Data - Monthly Commodity Prices'!$B$9:$B$2500,4)+
COUNTIFS('Data - Monthly Commodity Prices'!$A$9:$A$2500,'Mineral Sands - Prices'!F42,'Data - Monthly Commodity Prices'!$B$9:$B$2500,1)+
COUNTIFS('Data - Monthly Commodity Prices'!$A$9:$A$2500,'Mineral Sands - Prices'!F42,'Data - Monthly Commodity Prices'!$B$9:$B$2500,2))</f>
        <v>1758.2110736447478</v>
      </c>
      <c r="K42" s="798">
        <f>(SUMIFS('Data - Monthly Commodity Prices'!$T$9:$T$2500,'Data - Monthly Commodity Prices'!$A$9:$A$2500,'Mineral Sands - Prices'!E42,'Data - Monthly Commodity Prices'!$B$9:$B$2500,3)+
SUMIFS('Data - Monthly Commodity Prices'!$T$9:$T$2500,'Data - Monthly Commodity Prices'!$A$9:$A$2500,'Mineral Sands - Prices'!E42,'Data - Monthly Commodity Prices'!$B$9:$B$2500,4)+
SUMIFS('Data - Monthly Commodity Prices'!$T$9:$T$2500,'Data - Monthly Commodity Prices'!$A$9:$A$2500,'Mineral Sands - Prices'!F42,'Data - Monthly Commodity Prices'!$B$9:$B$2500,1)+
SUMIFS('Data - Monthly Commodity Prices'!$T$9:$T$2500,'Data - Monthly Commodity Prices'!$A$9:$A$2500,'Mineral Sands - Prices'!F42,'Data - Monthly Commodity Prices'!$B$9:$B$2500,2))
/(COUNTIFS('Data - Monthly Commodity Prices'!$A$9:$A$2500,'Mineral Sands - Prices'!E42,'Data - Monthly Commodity Prices'!$B$9:$B$2500,3)+
COUNTIFS('Data - Monthly Commodity Prices'!$A$9:$A$2500,'Mineral Sands - Prices'!E42,'Data - Monthly Commodity Prices'!$B$9:$B$2500,4)+
COUNTIFS('Data - Monthly Commodity Prices'!$A$9:$A$2500,'Mineral Sands - Prices'!F42,'Data - Monthly Commodity Prices'!$B$9:$B$2500,1)+
COUNTIFS('Data - Monthly Commodity Prices'!$A$9:$A$2500,'Mineral Sands - Prices'!F42,'Data - Monthly Commodity Prices'!$B$9:$B$2500,2))</f>
        <v>2149.1285369220359</v>
      </c>
    </row>
    <row r="43" spans="1:11" ht="15.75" thickBot="1">
      <c r="A43" s="1866">
        <f>LARGE('Data - Monthly Commodity Prices'!C$159:C$902,26)</f>
        <v>43040</v>
      </c>
      <c r="B43" s="414">
        <f>SUMIF('Data - Monthly Commodity Prices'!C$159:C$902,A43,'Data - Monthly Commodity Prices'!S$159:S$902)</f>
        <v>1253.5497441728255</v>
      </c>
      <c r="C43" s="412">
        <f>SUMIF('Data - Monthly Commodity Prices'!C$109:C$902,A43,'Data - Monthly Commodity Prices'!T$109:T$902)</f>
        <v>1651.0540428472702</v>
      </c>
      <c r="D43" s="410"/>
      <c r="E43" s="410">
        <f t="shared" si="1"/>
        <v>2020</v>
      </c>
      <c r="F43" s="410">
        <f t="shared" si="1"/>
        <v>2021</v>
      </c>
      <c r="G43" s="1872">
        <f t="shared" si="0"/>
        <v>2020</v>
      </c>
      <c r="H43" s="1603">
        <f>IF($G$6="Historic Calendar Year",IFERROR(AVERAGE(IF($G43=YEAR('Data - Monthly Commodity Prices'!$C$9:$C$1000),'Data - Monthly Commodity Prices'!$S$9:$S$1000)),"N/A"),IFERROR(IF(K43=0,"N/A",K43),"N/A"))</f>
        <v>0</v>
      </c>
      <c r="I43" s="1603">
        <f>IF($G$6="Historic Calendar Year",IFERROR(AVERAGE(IF($G43=YEAR('Data - Monthly Commodity Prices'!$C$9:$C$1000),'Data - Monthly Commodity Prices'!$T$9:$T$1000)),"N/A"),IFERROR(IF(J43=0,"N/A",J43),"N/A"))</f>
        <v>0</v>
      </c>
      <c r="J43" s="798" t="e">
        <f>(SUMIFS('Data - Monthly Commodity Prices'!$S$9:$S$2500,'Data - Monthly Commodity Prices'!$A$9:$A$2500,'Mineral Sands - Prices'!E43,'Data - Monthly Commodity Prices'!$B$9:$B$2500,3)+
SUMIFS('Data - Monthly Commodity Prices'!$S$9:$S$2500,'Data - Monthly Commodity Prices'!$A$9:$A$2500,'Mineral Sands - Prices'!E43,'Data - Monthly Commodity Prices'!$B$9:$B$2500,4)+
SUMIFS('Data - Monthly Commodity Prices'!$S$9:$S$2500,'Data - Monthly Commodity Prices'!$A$9:$A$2500,'Mineral Sands - Prices'!F43,'Data - Monthly Commodity Prices'!$B$9:$B$2500,1)+
SUMIFS('Data - Monthly Commodity Prices'!$S$9:$S$2500,'Data - Monthly Commodity Prices'!$A$9:$A$2500,'Mineral Sands - Prices'!F43,'Data - Monthly Commodity Prices'!$B$9:$B$2500,2))
/(COUNTIFS('Data - Monthly Commodity Prices'!$A$9:$A$2500,'Mineral Sands - Prices'!E43,'Data - Monthly Commodity Prices'!$B$9:$B$2500,3)+
COUNTIFS('Data - Monthly Commodity Prices'!$A$9:$A$2500,'Mineral Sands - Prices'!E43,'Data - Monthly Commodity Prices'!$B$9:$B$2500,4)+
COUNTIFS('Data - Monthly Commodity Prices'!$A$9:$A$2500,'Mineral Sands - Prices'!F43,'Data - Monthly Commodity Prices'!$B$9:$B$2500,1)+
COUNTIFS('Data - Monthly Commodity Prices'!$A$9:$A$2500,'Mineral Sands - Prices'!F43,'Data - Monthly Commodity Prices'!$B$9:$B$2500,2))</f>
        <v>#DIV/0!</v>
      </c>
      <c r="K43" s="798" t="e">
        <f>(SUMIFS('Data - Monthly Commodity Prices'!$T$9:$T$2500,'Data - Monthly Commodity Prices'!$A$9:$A$2500,'Mineral Sands - Prices'!E43,'Data - Monthly Commodity Prices'!$B$9:$B$2500,3)+
SUMIFS('Data - Monthly Commodity Prices'!$T$9:$T$2500,'Data - Monthly Commodity Prices'!$A$9:$A$2500,'Mineral Sands - Prices'!E43,'Data - Monthly Commodity Prices'!$B$9:$B$2500,4)+
SUMIFS('Data - Monthly Commodity Prices'!$T$9:$T$2500,'Data - Monthly Commodity Prices'!$A$9:$A$2500,'Mineral Sands - Prices'!F43,'Data - Monthly Commodity Prices'!$B$9:$B$2500,1)+
SUMIFS('Data - Monthly Commodity Prices'!$T$9:$T$2500,'Data - Monthly Commodity Prices'!$A$9:$A$2500,'Mineral Sands - Prices'!F43,'Data - Monthly Commodity Prices'!$B$9:$B$2500,2))
/(COUNTIFS('Data - Monthly Commodity Prices'!$A$9:$A$2500,'Mineral Sands - Prices'!E43,'Data - Monthly Commodity Prices'!$B$9:$B$2500,3)+
COUNTIFS('Data - Monthly Commodity Prices'!$A$9:$A$2500,'Mineral Sands - Prices'!E43,'Data - Monthly Commodity Prices'!$B$9:$B$2500,4)+
COUNTIFS('Data - Monthly Commodity Prices'!$A$9:$A$2500,'Mineral Sands - Prices'!F43,'Data - Monthly Commodity Prices'!$B$9:$B$2500,1)+
COUNTIFS('Data - Monthly Commodity Prices'!$A$9:$A$2500,'Mineral Sands - Prices'!F43,'Data - Monthly Commodity Prices'!$B$9:$B$2500,2))</f>
        <v>#DIV/0!</v>
      </c>
    </row>
    <row r="44" spans="1:11" ht="15.75" thickBot="1">
      <c r="A44" s="1867">
        <f>LARGE('Data - Monthly Commodity Prices'!C$159:C$902,25)</f>
        <v>43070</v>
      </c>
      <c r="B44" s="30">
        <f>SUMIF('Data - Monthly Commodity Prices'!C$159:C$902,A44,'Data - Monthly Commodity Prices'!S$159:S$902)</f>
        <v>1210.3602569986233</v>
      </c>
      <c r="C44" s="61">
        <f>SUMIF('Data - Monthly Commodity Prices'!C$109:C$902,A44,'Data - Monthly Commodity Prices'!T$109:T$902)</f>
        <v>1657.3379351295182</v>
      </c>
      <c r="D44" s="410"/>
      <c r="E44" s="410"/>
      <c r="F44" s="410"/>
      <c r="G44" s="410"/>
      <c r="H44" s="410"/>
      <c r="I44" s="410"/>
    </row>
    <row r="45" spans="1:11">
      <c r="A45" s="1866">
        <f>LARGE('Data - Monthly Commodity Prices'!C$159:C$902,24)</f>
        <v>43101</v>
      </c>
      <c r="B45" s="414">
        <f>SUMIF('Data - Monthly Commodity Prices'!C$159:C$902,A45,'Data - Monthly Commodity Prices'!S$159:S$902)</f>
        <v>1206.4742616033755</v>
      </c>
      <c r="C45" s="412">
        <f>SUMIF('Data - Monthly Commodity Prices'!C$109:C$902,A45,'Data - Monthly Commodity Prices'!T$109:T$902)</f>
        <v>1673.7133990507484</v>
      </c>
      <c r="D45" s="410"/>
      <c r="E45" s="410"/>
      <c r="F45" s="410"/>
      <c r="G45" s="2020" t="s">
        <v>617</v>
      </c>
      <c r="H45" s="2021"/>
      <c r="I45" s="2022"/>
    </row>
    <row r="46" spans="1:11" ht="15.75" thickBot="1">
      <c r="A46" s="1867">
        <f>LARGE('Data - Monthly Commodity Prices'!C$159:C$902,23)</f>
        <v>43132</v>
      </c>
      <c r="B46" s="30">
        <f>SUMIF('Data - Monthly Commodity Prices'!C$159:C$902,A46,'Data - Monthly Commodity Prices'!S$159:S$902)</f>
        <v>1294.9728155339806</v>
      </c>
      <c r="C46" s="61">
        <f>SUMIF('Data - Monthly Commodity Prices'!C$109:C$902,A46,'Data - Monthly Commodity Prices'!T$109:T$902)</f>
        <v>1855.9223646723647</v>
      </c>
      <c r="D46" s="410"/>
      <c r="E46" s="410"/>
      <c r="F46" s="410"/>
      <c r="G46" s="1963" t="s">
        <v>545</v>
      </c>
      <c r="H46" s="1966"/>
      <c r="I46" s="1964"/>
    </row>
    <row r="47" spans="1:11">
      <c r="A47" s="1866">
        <f>LARGE('Data - Monthly Commodity Prices'!C$159:C$902,22)</f>
        <v>43160</v>
      </c>
      <c r="B47" s="414">
        <f>SUMIF('Data - Monthly Commodity Prices'!C$159:C$902,A47,'Data - Monthly Commodity Prices'!S$159:S$902)</f>
        <v>1293.3423787528868</v>
      </c>
      <c r="C47" s="412">
        <f>SUMIF('Data - Monthly Commodity Prices'!C$109:C$902,A47,'Data - Monthly Commodity Prices'!T$109:T$902)</f>
        <v>1740.1903616600866</v>
      </c>
      <c r="D47" s="410"/>
      <c r="E47" s="410"/>
      <c r="F47" s="410"/>
      <c r="G47" s="1995" t="s">
        <v>618</v>
      </c>
      <c r="H47" s="1995"/>
      <c r="I47" s="1995"/>
    </row>
    <row r="48" spans="1:11">
      <c r="A48" s="1867">
        <f>LARGE('Data - Monthly Commodity Prices'!C$159:C$902,21)</f>
        <v>43191</v>
      </c>
      <c r="B48" s="30">
        <f>SUMIF('Data - Monthly Commodity Prices'!C$159:C$902,A48,'Data - Monthly Commodity Prices'!S$159:S$902)</f>
        <v>1245.1258426966292</v>
      </c>
      <c r="C48" s="61">
        <f>SUMIF('Data - Monthly Commodity Prices'!C$109:C$902,A48,'Data - Monthly Commodity Prices'!T$109:T$902)</f>
        <v>1872.7807713239965</v>
      </c>
      <c r="D48" s="410"/>
      <c r="E48" s="410"/>
      <c r="F48" s="410"/>
      <c r="G48" s="410"/>
      <c r="H48" s="410"/>
      <c r="I48" s="410"/>
    </row>
    <row r="49" spans="1:9">
      <c r="A49" s="1866">
        <f>LARGE('Data - Monthly Commodity Prices'!C$159:C$902,20)</f>
        <v>43221</v>
      </c>
      <c r="B49" s="414">
        <f>SUMIF('Data - Monthly Commodity Prices'!C$159:C$902,A49,'Data - Monthly Commodity Prices'!S$159:S$902)</f>
        <v>1341.9234072314189</v>
      </c>
      <c r="C49" s="412">
        <f>SUMIF('Data - Monthly Commodity Prices'!C$109:C$902,A49,'Data - Monthly Commodity Prices'!T$109:T$902)</f>
        <v>1938.025706940874</v>
      </c>
      <c r="D49" s="410"/>
      <c r="E49" s="410"/>
      <c r="F49" s="410"/>
      <c r="G49" s="410"/>
      <c r="H49" s="410"/>
      <c r="I49" s="410"/>
    </row>
    <row r="50" spans="1:9">
      <c r="A50" s="1867">
        <f>LARGE('Data - Monthly Commodity Prices'!C$159:C$902,19)</f>
        <v>43252</v>
      </c>
      <c r="B50" s="30">
        <f>SUMIF('Data - Monthly Commodity Prices'!C$159:C$902,A50,'Data - Monthly Commodity Prices'!S$159:S$902)</f>
        <v>1373.1087239583333</v>
      </c>
      <c r="C50" s="61">
        <f>SUMIF('Data - Monthly Commodity Prices'!C$109:C$902,A50,'Data - Monthly Commodity Prices'!T$109:T$902)</f>
        <v>1895.1131188347008</v>
      </c>
      <c r="D50" s="410"/>
      <c r="E50" s="410"/>
      <c r="F50" s="410"/>
      <c r="G50" s="410"/>
      <c r="H50" s="410"/>
      <c r="I50" s="410"/>
    </row>
    <row r="51" spans="1:9">
      <c r="A51" s="1866">
        <f>LARGE('Data - Monthly Commodity Prices'!C$159:C$902,18)</f>
        <v>43282</v>
      </c>
      <c r="B51" s="414">
        <f>SUMIF('Data - Monthly Commodity Prices'!C$159:C$902,A51,'Data - Monthly Commodity Prices'!S$159:S$902)</f>
        <v>1361.773428232503</v>
      </c>
      <c r="C51" s="412">
        <f>SUMIF('Data - Monthly Commodity Prices'!C$109:C$902,A51,'Data - Monthly Commodity Prices'!T$109:T$902)</f>
        <v>2096.9206536719826</v>
      </c>
      <c r="D51" s="410"/>
      <c r="E51" s="410"/>
      <c r="F51" s="410"/>
      <c r="G51" s="410"/>
      <c r="H51" s="410"/>
      <c r="I51" s="410"/>
    </row>
    <row r="52" spans="1:9">
      <c r="A52" s="1867">
        <f>LARGE('Data - Monthly Commodity Prices'!C$159:C$902,17)</f>
        <v>43313</v>
      </c>
      <c r="B52" s="30">
        <f>SUMIF('Data - Monthly Commodity Prices'!C$159:C$902,A52,'Data - Monthly Commodity Prices'!S$159:S$902)</f>
        <v>1436.7537037037036</v>
      </c>
      <c r="C52" s="61">
        <f>SUMIF('Data - Monthly Commodity Prices'!C$109:C$902,A52,'Data - Monthly Commodity Prices'!T$109:T$902)</f>
        <v>2112.8665584105456</v>
      </c>
      <c r="D52" s="410"/>
      <c r="E52" s="410"/>
      <c r="F52" s="410"/>
      <c r="G52" s="410"/>
      <c r="H52" s="410"/>
      <c r="I52" s="410"/>
    </row>
    <row r="53" spans="1:9">
      <c r="A53" s="1866">
        <f>LARGE('Data - Monthly Commodity Prices'!C$159:C$902,16)</f>
        <v>43344</v>
      </c>
      <c r="B53" s="414">
        <f>SUMIF('Data - Monthly Commodity Prices'!C$159:C$902,A53,'Data - Monthly Commodity Prices'!S$159:S$902)</f>
        <v>1494.2061579651941</v>
      </c>
      <c r="C53" s="412">
        <f>SUMIF('Data - Monthly Commodity Prices'!C$109:C$902,A53,'Data - Monthly Commodity Prices'!T$109:T$902)</f>
        <v>2147.098704778919</v>
      </c>
      <c r="D53" s="410"/>
      <c r="E53" s="410"/>
      <c r="F53" s="410"/>
      <c r="G53" s="410"/>
      <c r="H53" s="410"/>
      <c r="I53" s="410"/>
    </row>
    <row r="54" spans="1:9">
      <c r="A54" s="1867">
        <f>LARGE('Data - Monthly Commodity Prices'!C$159:C$902,15)</f>
        <v>43374</v>
      </c>
      <c r="B54" s="30">
        <f>SUMIF('Data - Monthly Commodity Prices'!C$159:C$902,A54,'Data - Monthly Commodity Prices'!S$159:S$902)</f>
        <v>1496.0272045028144</v>
      </c>
      <c r="C54" s="61">
        <f>SUMIF('Data - Monthly Commodity Prices'!C$109:C$902,A54,'Data - Monthly Commodity Prices'!T$109:T$902)</f>
        <v>2203.6002763067004</v>
      </c>
      <c r="D54" s="410"/>
      <c r="E54" s="410"/>
      <c r="F54" s="410"/>
      <c r="G54" s="410"/>
      <c r="H54" s="410"/>
      <c r="I54" s="410"/>
    </row>
    <row r="55" spans="1:9">
      <c r="A55" s="1866">
        <f>LARGE('Data - Monthly Commodity Prices'!C$159:C$902,14)</f>
        <v>43405</v>
      </c>
      <c r="B55" s="414">
        <f>SUMIF('Data - Monthly Commodity Prices'!C$159:C$902,A55,'Data - Monthly Commodity Prices'!S$159:S$902)</f>
        <v>1481.1102003642986</v>
      </c>
      <c r="C55" s="412">
        <f>SUMIF('Data - Monthly Commodity Prices'!C$109:C$902,A55,'Data - Monthly Commodity Prices'!T$109:T$902)</f>
        <v>2161.8938775510205</v>
      </c>
      <c r="D55" s="410"/>
      <c r="E55" s="410"/>
      <c r="F55" s="410"/>
      <c r="G55" s="410"/>
      <c r="H55" s="410"/>
      <c r="I55" s="410"/>
    </row>
    <row r="56" spans="1:9">
      <c r="A56" s="1867">
        <f>LARGE('Data - Monthly Commodity Prices'!C$159:C$902,13)</f>
        <v>43435</v>
      </c>
      <c r="B56" s="30">
        <f>SUMIF('Data - Monthly Commodity Prices'!C$159:C$902,A56,'Data - Monthly Commodity Prices'!S$159:S$902)</f>
        <v>1484.9178668742702</v>
      </c>
      <c r="C56" s="61">
        <f>SUMIF('Data - Monthly Commodity Prices'!C$109:C$902,A56,'Data - Monthly Commodity Prices'!T$109:T$902)</f>
        <v>2122.5936593659367</v>
      </c>
      <c r="D56" s="410"/>
      <c r="E56" s="410"/>
      <c r="F56" s="410"/>
      <c r="G56" s="410"/>
      <c r="H56" s="410"/>
      <c r="I56" s="410"/>
    </row>
    <row r="57" spans="1:9">
      <c r="A57" s="1866">
        <f>LARGE('Data - Monthly Commodity Prices'!C$159:C$902,12)</f>
        <v>43466</v>
      </c>
      <c r="B57" s="414">
        <f>SUMIF('Data - Monthly Commodity Prices'!C$159:C$902,A57,'Data - Monthly Commodity Prices'!S$159:S$902)</f>
        <v>1536.8104115371086</v>
      </c>
      <c r="C57" s="412">
        <f>SUMIF('Data - Monthly Commodity Prices'!C$109:C$902,A57,'Data - Monthly Commodity Prices'!T$109:T$902)</f>
        <v>2178.5865060240963</v>
      </c>
      <c r="D57" s="410"/>
      <c r="E57" s="410"/>
      <c r="F57" s="410"/>
      <c r="G57" s="410"/>
      <c r="H57" s="410"/>
      <c r="I57" s="410"/>
    </row>
    <row r="58" spans="1:9">
      <c r="A58" s="1867">
        <f>LARGE('Data - Monthly Commodity Prices'!C$159:C$902,11)</f>
        <v>43497</v>
      </c>
      <c r="B58" s="30">
        <f>SUMIF('Data - Monthly Commodity Prices'!C$159:C$902,A58,'Data - Monthly Commodity Prices'!S$159:S$902)</f>
        <v>1583.0428802588997</v>
      </c>
      <c r="C58" s="61">
        <f>SUMIF('Data - Monthly Commodity Prices'!C$109:C$902,A58,'Data - Monthly Commodity Prices'!T$109:T$902)</f>
        <v>2152.1483010479519</v>
      </c>
      <c r="D58" s="410"/>
      <c r="E58" s="410"/>
      <c r="F58" s="410"/>
      <c r="G58" s="410"/>
      <c r="H58" s="410"/>
      <c r="I58" s="410"/>
    </row>
    <row r="59" spans="1:9">
      <c r="A59" s="1866">
        <f>LARGE('Data - Monthly Commodity Prices'!C$159:C$902,10)</f>
        <v>43525</v>
      </c>
      <c r="B59" s="414">
        <f>SUMIF('Data - Monthly Commodity Prices'!C$159:C$902,A59,'Data - Monthly Commodity Prices'!S$159:S$902)</f>
        <v>1563.9150239744272</v>
      </c>
      <c r="C59" s="412">
        <f>SUMIF('Data - Monthly Commodity Prices'!C$109:C$902,A59,'Data - Monthly Commodity Prices'!T$109:T$902)</f>
        <v>2208.0118771726534</v>
      </c>
      <c r="D59" s="410"/>
      <c r="E59" s="410"/>
      <c r="F59" s="410"/>
      <c r="G59" s="410"/>
      <c r="H59" s="410"/>
      <c r="I59" s="410"/>
    </row>
    <row r="60" spans="1:9">
      <c r="A60" s="1867">
        <f>LARGE('Data - Monthly Commodity Prices'!C$159:C$902,9)</f>
        <v>43556</v>
      </c>
      <c r="B60" s="30">
        <f>SUMIF('Data - Monthly Commodity Prices'!C$159:C$902,A60,'Data - Monthly Commodity Prices'!S$159:S$902)</f>
        <v>1540.1657940663176</v>
      </c>
      <c r="C60" s="61">
        <f>SUMIF('Data - Monthly Commodity Prices'!C$109:C$902,A60,'Data - Monthly Commodity Prices'!T$109:T$902)</f>
        <v>2167.5458242101972</v>
      </c>
      <c r="D60" s="410"/>
      <c r="E60" s="410"/>
      <c r="F60" s="410"/>
      <c r="G60" s="410"/>
      <c r="H60" s="410"/>
      <c r="I60" s="410"/>
    </row>
    <row r="61" spans="1:9">
      <c r="A61" s="1866">
        <f>LARGE('Data - Monthly Commodity Prices'!C$159:C$902,8)</f>
        <v>43586</v>
      </c>
      <c r="B61" s="414">
        <f>SUMIF('Data - Monthly Commodity Prices'!C$159:C$902,A61,'Data - Monthly Commodity Prices'!S$159:S$902)</f>
        <v>1629.5495928941525</v>
      </c>
      <c r="C61" s="412">
        <f>SUMIF('Data - Monthly Commodity Prices'!C$109:C$902,A61,'Data - Monthly Commodity Prices'!T$109:T$902)</f>
        <v>2225.5955696202532</v>
      </c>
      <c r="D61" s="410"/>
      <c r="E61" s="410"/>
      <c r="F61" s="410"/>
      <c r="G61" s="410"/>
      <c r="H61" s="410"/>
      <c r="I61" s="410"/>
    </row>
    <row r="62" spans="1:9">
      <c r="A62" s="1867">
        <f>LARGE('Data - Monthly Commodity Prices'!C$159:C$902,7)</f>
        <v>43617</v>
      </c>
      <c r="B62" s="30">
        <f>SUMIF('Data - Monthly Commodity Prices'!C$159:C$902,A62,'Data - Monthly Commodity Prices'!S$159:S$902)</f>
        <v>1624.5305669939817</v>
      </c>
      <c r="C62" s="61">
        <f>SUMIF('Data - Monthly Commodity Prices'!C$109:C$902,A62,'Data - Monthly Commodity Prices'!T$109:T$902)</f>
        <v>2240.4448030780118</v>
      </c>
      <c r="D62" s="410"/>
      <c r="E62" s="410"/>
      <c r="F62" s="410"/>
      <c r="G62" s="410"/>
      <c r="H62" s="410"/>
      <c r="I62" s="410"/>
    </row>
    <row r="63" spans="1:9">
      <c r="A63" s="1866">
        <f>LARGE('Data - Monthly Commodity Prices'!C$159:C$902,6)</f>
        <v>43647</v>
      </c>
      <c r="B63" s="414">
        <f>SUMIF('Data - Monthly Commodity Prices'!C$159:C$902,A63,'Data - Monthly Commodity Prices'!S$159:S$902)</f>
        <v>1645.3816956367507</v>
      </c>
      <c r="C63" s="412">
        <f>SUMIF('Data - Monthly Commodity Prices'!C$109:C$902,A63,'Data - Monthly Commodity Prices'!T$109:T$902)</f>
        <v>2213.7237550471064</v>
      </c>
      <c r="D63" s="410"/>
      <c r="E63" s="410"/>
      <c r="F63" s="410"/>
      <c r="G63" s="410"/>
      <c r="H63" s="410"/>
      <c r="I63" s="410"/>
    </row>
    <row r="64" spans="1:9">
      <c r="A64" s="1867">
        <f>LARGE('Data - Monthly Commodity Prices'!C$159:C$902,5)</f>
        <v>43678</v>
      </c>
      <c r="B64" s="30">
        <f>SUMIF('Data - Monthly Commodity Prices'!C$159:C$902,A64,'Data - Monthly Commodity Prices'!S$159:S$902)</f>
        <v>1820.0979942693409</v>
      </c>
      <c r="C64" s="61">
        <f>SUMIF('Data - Monthly Commodity Prices'!C$109:C$902,A64,'Data - Monthly Commodity Prices'!T$109:T$902)</f>
        <v>2252.8276311502118</v>
      </c>
      <c r="D64" s="410"/>
      <c r="E64" s="410"/>
      <c r="F64" s="410"/>
      <c r="G64" s="410"/>
      <c r="H64" s="410"/>
      <c r="I64" s="410"/>
    </row>
    <row r="65" spans="1:9">
      <c r="A65" s="1866">
        <f>LARGE('Data - Monthly Commodity Prices'!C$159:C$902,4)</f>
        <v>43709</v>
      </c>
      <c r="B65" s="414">
        <f>SUMIF('Data - Monthly Commodity Prices'!C$159:C$902,A65,'Data - Monthly Commodity Prices'!S$159:S$902)</f>
        <v>1744.8484162895927</v>
      </c>
      <c r="C65" s="412">
        <f>SUMIF('Data - Monthly Commodity Prices'!C$109:C$902,A65,'Data - Monthly Commodity Prices'!T$109:T$902)</f>
        <v>2222.9214598540148</v>
      </c>
      <c r="D65" s="410"/>
      <c r="E65" s="410"/>
      <c r="F65" s="410"/>
      <c r="G65" s="410"/>
      <c r="H65" s="410"/>
      <c r="I65" s="410"/>
    </row>
    <row r="66" spans="1:9">
      <c r="A66" s="1867">
        <f>LARGE('Data - Monthly Commodity Prices'!C$159:C$902,3)</f>
        <v>43739</v>
      </c>
      <c r="B66" s="30">
        <f>SUMIF('Data - Monthly Commodity Prices'!C$159:C$902,A66,'Data - Monthly Commodity Prices'!S$159:S$902)</f>
        <v>1576.3932253313696</v>
      </c>
      <c r="C66" s="61">
        <f>SUMIF('Data - Monthly Commodity Prices'!C$109:C$902,A66,'Data - Monthly Commodity Prices'!T$109:T$902)</f>
        <v>2167.8608354771532</v>
      </c>
      <c r="D66" s="410"/>
      <c r="E66" s="410"/>
      <c r="F66" s="410"/>
      <c r="G66" s="410"/>
      <c r="H66" s="410"/>
      <c r="I66" s="410"/>
    </row>
    <row r="67" spans="1:9">
      <c r="A67" s="1866">
        <f>LARGE('Data - Monthly Commodity Prices'!C$159:C$902,2)</f>
        <v>43770</v>
      </c>
      <c r="B67" s="414">
        <f>SUMIF('Data - Monthly Commodity Prices'!C$159:C$902,A67,'Data - Monthly Commodity Prices'!S$159:S$902)</f>
        <v>1850.9246621621621</v>
      </c>
      <c r="C67" s="412">
        <f>SUMIF('Data - Monthly Commodity Prices'!C$109:C$902,A67,'Data - Monthly Commodity Prices'!T$109:T$902)</f>
        <v>1918.4700971204634</v>
      </c>
      <c r="D67" s="410"/>
      <c r="E67" s="410"/>
      <c r="F67" s="410"/>
      <c r="G67" s="410"/>
      <c r="H67" s="410"/>
      <c r="I67" s="410"/>
    </row>
    <row r="68" spans="1:9" ht="15.75" thickBot="1">
      <c r="A68" s="1868">
        <f>LARGE('Data - Monthly Commodity Prices'!C$159:C$902,1)</f>
        <v>43800</v>
      </c>
      <c r="B68" s="29">
        <f>SUMIF('Data - Monthly Commodity Prices'!C$159:C$902,A68,'Data - Monthly Commodity Prices'!S$159:S$902)</f>
        <v>1911.6204481792718</v>
      </c>
      <c r="C68" s="62">
        <f>SUMIF('Data - Monthly Commodity Prices'!C$109:C$902,A68,'Data - Monthly Commodity Prices'!T$109:T$902)</f>
        <v>2118.9674428832668</v>
      </c>
      <c r="D68" s="410"/>
      <c r="E68" s="410"/>
      <c r="F68" s="410"/>
      <c r="G68" s="410"/>
      <c r="H68" s="410"/>
      <c r="I68" s="410"/>
    </row>
    <row r="69" spans="1:9">
      <c r="E69" s="410"/>
      <c r="F69" s="410"/>
    </row>
  </sheetData>
  <mergeCells count="7">
    <mergeCell ref="G45:I45"/>
    <mergeCell ref="G46:I46"/>
    <mergeCell ref="G47:I47"/>
    <mergeCell ref="A5:C5"/>
    <mergeCell ref="A6:C6"/>
    <mergeCell ref="G6:I6"/>
    <mergeCell ref="G5:I5"/>
  </mergeCells>
  <dataValidations count="1">
    <dataValidation type="list" allowBlank="1" showInputMessage="1" showErrorMessage="1" promptTitle="Select a Period:" prompt="Select Financial or Calendar years." sqref="G46:I46">
      <formula1>$Y$1:$Y$2</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Z81"/>
  <sheetViews>
    <sheetView workbookViewId="0"/>
  </sheetViews>
  <sheetFormatPr defaultRowHeight="15"/>
  <cols>
    <col min="1" max="1" width="20.140625" style="1063" bestFit="1" customWidth="1"/>
    <col min="2" max="2" width="5.28515625" style="1063" bestFit="1" customWidth="1"/>
    <col min="3" max="4" width="15.140625" style="1063" bestFit="1" customWidth="1"/>
    <col min="5" max="14" width="15.42578125" style="1063" customWidth="1"/>
    <col min="15" max="22" width="9.140625" style="1063"/>
    <col min="23" max="23" width="17.85546875" style="1063" customWidth="1"/>
    <col min="24" max="16384" width="9.140625" style="1063"/>
  </cols>
  <sheetData>
    <row r="1" spans="1:26">
      <c r="V1" s="1041" t="s">
        <v>538</v>
      </c>
      <c r="W1" s="1041" t="str">
        <f>"Western Australian Mineral Sands Exports "&amp;B6&amp;CHAR(10)&amp;"Total Value: $"&amp;TEXT(C21,"#,###")</f>
        <v>Western Australian Mineral Sands Exports 2019
Total Value: $1,178,695,116</v>
      </c>
      <c r="X1" s="1041" t="s">
        <v>429</v>
      </c>
      <c r="Y1" s="1041">
        <f>IF($B$5="Calendar Year",MAX('Data - Monthly Commodity Prices'!$AK$9:$AK$3501),CONCATENATE(MAX('Data - Monthly Commodity Prices'!$AW$9:$AW$3495),"-",VALUE(RIGHT(MAX('Data - Monthly Commodity Prices'!$AW$9:$AW$3495),2))+1))</f>
        <v>2019</v>
      </c>
      <c r="Z1" s="1041">
        <f t="array" ref="Z1">MIN(IF('Data - Monthly Commodity Prices'!$AJ$9:$AJ$3501=V1,'Data - Monthly Commodity Prices'!$AK$9:$AK$3501))</f>
        <v>2008</v>
      </c>
    </row>
    <row r="2" spans="1:26">
      <c r="W2" s="1041" t="str">
        <f>IF($B$5=X1,IF(RIGHT(LEFT(B6,5),1)="-","Mismatch Error",""),IF(LEN(B6)=4,"Mismatch Error",""))</f>
        <v/>
      </c>
      <c r="X2" s="1041" t="s">
        <v>446</v>
      </c>
      <c r="Y2" s="1041">
        <f>IFERROR(IF($B$5=$X$1,IF($Z$1&lt;=(Y1-1),Y1-1,""),IF($Z$1=VALUE(LEFT(Y1,4)),"",CONCATENATE(VALUE(LEFT(Y1,4))-1,"-",RIGHT(LEFT(Y1,4),2)))),"")</f>
        <v>2018</v>
      </c>
    </row>
    <row r="3" spans="1:26">
      <c r="W3" s="1041"/>
      <c r="X3" s="1041"/>
      <c r="Y3" s="1041">
        <f t="shared" ref="Y3:Y25" si="0">IFERROR(IF($B$5=$X$1,IF($Z$1&lt;=(Y2-1),Y2-1,""),IF($Z$1=VALUE(LEFT(Y2,4)),"",CONCATENATE(VALUE(LEFT(Y2,4))-1,"-",RIGHT(LEFT(Y2,4),2)))),"")</f>
        <v>2017</v>
      </c>
    </row>
    <row r="4" spans="1:26" ht="23.25" customHeight="1" thickBot="1">
      <c r="W4" s="1041"/>
      <c r="X4" s="1041"/>
      <c r="Y4" s="1041">
        <f t="shared" si="0"/>
        <v>2016</v>
      </c>
    </row>
    <row r="5" spans="1:26" ht="15.75" thickBot="1">
      <c r="A5" s="96" t="s">
        <v>447</v>
      </c>
      <c r="B5" s="2023" t="s">
        <v>429</v>
      </c>
      <c r="C5" s="2018"/>
      <c r="D5" s="2019"/>
      <c r="E5" s="1040"/>
      <c r="W5" s="1041"/>
      <c r="X5" s="1041"/>
      <c r="Y5" s="1041">
        <f t="shared" si="0"/>
        <v>2015</v>
      </c>
    </row>
    <row r="6" spans="1:26" ht="15.75" thickBot="1">
      <c r="A6" s="96" t="s">
        <v>447</v>
      </c>
      <c r="B6" s="2023">
        <v>2019</v>
      </c>
      <c r="C6" s="2018"/>
      <c r="D6" s="2019"/>
      <c r="E6" s="1040"/>
      <c r="W6" s="1041"/>
      <c r="X6" s="1041"/>
      <c r="Y6" s="1041">
        <f t="shared" si="0"/>
        <v>2014</v>
      </c>
    </row>
    <row r="7" spans="1:26">
      <c r="W7" s="1041"/>
      <c r="X7" s="1041"/>
      <c r="Y7" s="1041">
        <f t="shared" si="0"/>
        <v>2013</v>
      </c>
    </row>
    <row r="8" spans="1:26">
      <c r="A8" s="1937" t="str">
        <f>IF($B$6="Click here to select an option","Select a year above for display.",CONCATENATE("Western Australian Mineral Sands Exports ",B6))</f>
        <v>Western Australian Mineral Sands Exports 2019</v>
      </c>
      <c r="B8" s="1937"/>
      <c r="C8" s="1937"/>
      <c r="D8" s="1937"/>
      <c r="W8" s="1041"/>
      <c r="X8" s="1041"/>
      <c r="Y8" s="1041">
        <f t="shared" si="0"/>
        <v>2012</v>
      </c>
    </row>
    <row r="9" spans="1:26" ht="15.75" thickBot="1">
      <c r="A9" s="1073" t="s">
        <v>43</v>
      </c>
      <c r="B9" s="1074" t="s">
        <v>44</v>
      </c>
      <c r="C9" s="1073" t="s">
        <v>46</v>
      </c>
      <c r="D9" s="1074" t="s">
        <v>47</v>
      </c>
      <c r="W9" s="1041"/>
      <c r="X9" s="1041"/>
      <c r="Y9" s="1041">
        <f t="shared" si="0"/>
        <v>2011</v>
      </c>
    </row>
    <row r="10" spans="1:26">
      <c r="A10" s="1075" t="str">
        <f t="array" ref="A10">IF($W$2="Mismatch Error","Mismatch Error",IF($B$5=$X$1,INDEX('Data - Monthly Commodity Prices'!$AJ$9:$AO$3501,MATCH(1,(('Data - Monthly Commodity Prices'!$AJ$9:$AJ$3501)="Mineral Sands")*(('Data - Monthly Commodity Prices'!$AK$9:$AK$3501)=$B$6)*(('Data - Monthly Commodity Prices'!$AM$9:$AM$3501)=B10),0),3),INDEX('Data - Monthly Commodity Prices'!$AQ$9:$AV$3495,MATCH(1,(('Data - Monthly Commodity Prices'!$AQ$9:$AQ$3495)="Mineral Sands")*(('Data - Monthly Commodity Prices'!$AR$9:$AR$3495)=$B$6)*(('Data - Monthly Commodity Prices'!$AT$9:$AT$3495)=B10),0),3)))</f>
        <v>China</v>
      </c>
      <c r="B10" s="1076">
        <v>1</v>
      </c>
      <c r="C10" s="1077">
        <f t="array" ref="C10">IF($W$2="Mismatch Error","",IF($B$5=$X$1,INDEX('Data - Monthly Commodity Prices'!$AJ$9:$AO$3501,MATCH(1,(('Data - Monthly Commodity Prices'!$AJ$9:$AJ$3501)="Mineral Sands")*(('Data - Monthly Commodity Prices'!$AK$9:$AK$3501)=$B$6)*(('Data - Monthly Commodity Prices'!$AM$9:$AM$3501)=B10),0),5),INDEX('Data - Monthly Commodity Prices'!$AQ$9:$AV$3495,MATCH(1,(('Data - Monthly Commodity Prices'!$AQ$9:$AQ$3495)="Mineral Sands")*(('Data - Monthly Commodity Prices'!$AR$9:$AR$3495)=$B$6)*(('Data - Monthly Commodity Prices'!$AT$9:$AT$3495)=B10),0),5)))</f>
        <v>557290457.57999969</v>
      </c>
      <c r="D10" s="1078">
        <f>IF($W$2="Mismatch Error","",C10/$C$21)</f>
        <v>0.47280289025586464</v>
      </c>
      <c r="W10" s="1041"/>
      <c r="X10" s="1041"/>
      <c r="Y10" s="1041">
        <f t="shared" si="0"/>
        <v>2010</v>
      </c>
    </row>
    <row r="11" spans="1:26">
      <c r="A11" s="1069" t="str">
        <f t="array" ref="A11">IF($W$2="Mismatch Error","",IF($B$5=$X$1,INDEX('Data - Monthly Commodity Prices'!$AJ$9:$AO$3501,MATCH(1,(('Data - Monthly Commodity Prices'!$AJ$9:$AJ$3501)="Mineral Sands")*(('Data - Monthly Commodity Prices'!$AK$9:$AK$3501)=$B$6)*(('Data - Monthly Commodity Prices'!$AM$9:$AM$3501)=B11),0),3),INDEX('Data - Monthly Commodity Prices'!$AQ$9:$AV$3495,MATCH(1,(('Data - Monthly Commodity Prices'!$AQ$9:$AQ$3495)="Mineral Sands")*(('Data - Monthly Commodity Prices'!$AR$9:$AR$3495)=$B$6)*(('Data - Monthly Commodity Prices'!$AT$9:$AT$3495)=B11),0),3)))</f>
        <v>United States</v>
      </c>
      <c r="B11" s="1070">
        <v>2</v>
      </c>
      <c r="C11" s="1071">
        <f t="array" ref="C11">IF($W$2="Mismatch Error","",IF($B$5=$X$1,INDEX('Data - Monthly Commodity Prices'!$AJ$9:$AO$3501,MATCH(1,(('Data - Monthly Commodity Prices'!$AJ$9:$AJ$3501)="Mineral Sands")*(('Data - Monthly Commodity Prices'!$AK$9:$AK$3501)=$B$6)*(('Data - Monthly Commodity Prices'!$AM$9:$AM$3501)=B11),0),5),INDEX('Data - Monthly Commodity Prices'!$AQ$9:$AV$3495,MATCH(1,(('Data - Monthly Commodity Prices'!$AQ$9:$AQ$3495)="Mineral Sands")*(('Data - Monthly Commodity Prices'!$AR$9:$AR$3495)=$B$6)*(('Data - Monthly Commodity Prices'!$AT$9:$AT$3495)=B11),0),5)))</f>
        <v>76551033.550000012</v>
      </c>
      <c r="D11" s="1072">
        <f t="shared" ref="D11:D20" si="1">IF($W$2="Mismatch Error","",C11/$C$21)</f>
        <v>6.4945576264991117E-2</v>
      </c>
      <c r="E11" s="1083"/>
      <c r="W11" s="1041"/>
      <c r="X11" s="1041"/>
      <c r="Y11" s="1041">
        <f t="shared" si="0"/>
        <v>2009</v>
      </c>
    </row>
    <row r="12" spans="1:26">
      <c r="A12" s="1075" t="str">
        <f t="array" ref="A12">IF($W$2="Mismatch Error","",IF($B$5=$X$1,INDEX('Data - Monthly Commodity Prices'!$AJ$9:$AO$3501,MATCH(1,(('Data - Monthly Commodity Prices'!$AJ$9:$AJ$3501)="Mineral Sands")*(('Data - Monthly Commodity Prices'!$AK$9:$AK$3501)=$B$6)*(('Data - Monthly Commodity Prices'!$AM$9:$AM$3501)=B12),0),3),INDEX('Data - Monthly Commodity Prices'!$AQ$9:$AV$3495,MATCH(1,(('Data - Monthly Commodity Prices'!$AQ$9:$AQ$3495)="Mineral Sands")*(('Data - Monthly Commodity Prices'!$AR$9:$AR$3495)=$B$6)*(('Data - Monthly Commodity Prices'!$AT$9:$AT$3495)=B12),0),3)))</f>
        <v>United Kingdom</v>
      </c>
      <c r="B12" s="1076">
        <v>3</v>
      </c>
      <c r="C12" s="1077">
        <f t="array" ref="C12">IF($W$2="Mismatch Error","",IF($B$5=$X$1,INDEX('Data - Monthly Commodity Prices'!$AJ$9:$AO$3501,MATCH(1,(('Data - Monthly Commodity Prices'!$AJ$9:$AJ$3501)="Mineral Sands")*(('Data - Monthly Commodity Prices'!$AK$9:$AK$3501)=$B$6)*(('Data - Monthly Commodity Prices'!$AM$9:$AM$3501)=B12),0),5),INDEX('Data - Monthly Commodity Prices'!$AQ$9:$AV$3495,MATCH(1,(('Data - Monthly Commodity Prices'!$AQ$9:$AQ$3495)="Mineral Sands")*(('Data - Monthly Commodity Prices'!$AR$9:$AR$3495)=$B$6)*(('Data - Monthly Commodity Prices'!$AT$9:$AT$3495)=B12),0),5)))</f>
        <v>73777353.059999987</v>
      </c>
      <c r="D12" s="1078">
        <f t="shared" si="1"/>
        <v>6.2592397353561327E-2</v>
      </c>
      <c r="E12" s="1083"/>
      <c r="W12" s="1041"/>
      <c r="X12" s="1041"/>
      <c r="Y12" s="1041">
        <f t="shared" si="0"/>
        <v>2008</v>
      </c>
    </row>
    <row r="13" spans="1:26">
      <c r="A13" s="1069" t="str">
        <f t="array" ref="A13">IF($W$2="Mismatch Error","",IF($B$5=$X$1,INDEX('Data - Monthly Commodity Prices'!$AJ$9:$AO$3501,MATCH(1,(('Data - Monthly Commodity Prices'!$AJ$9:$AJ$3501)="Mineral Sands")*(('Data - Monthly Commodity Prices'!$AK$9:$AK$3501)=$B$6)*(('Data - Monthly Commodity Prices'!$AM$9:$AM$3501)=B13),0),3),INDEX('Data - Monthly Commodity Prices'!$AQ$9:$AV$3495,MATCH(1,(('Data - Monthly Commodity Prices'!$AQ$9:$AQ$3495)="Mineral Sands")*(('Data - Monthly Commodity Prices'!$AR$9:$AR$3495)=$B$6)*(('Data - Monthly Commodity Prices'!$AT$9:$AT$3495)=B13),0),3)))</f>
        <v>Netherlands</v>
      </c>
      <c r="B13" s="1070">
        <v>4</v>
      </c>
      <c r="C13" s="1071">
        <f t="array" ref="C13">IF($W$2="Mismatch Error","",IF($B$5=$X$1,INDEX('Data - Monthly Commodity Prices'!$AJ$9:$AO$3501,MATCH(1,(('Data - Monthly Commodity Prices'!$AJ$9:$AJ$3501)="Mineral Sands")*(('Data - Monthly Commodity Prices'!$AK$9:$AK$3501)=$B$6)*(('Data - Monthly Commodity Prices'!$AM$9:$AM$3501)=B13),0),5),INDEX('Data - Monthly Commodity Prices'!$AQ$9:$AV$3495,MATCH(1,(('Data - Monthly Commodity Prices'!$AQ$9:$AQ$3495)="Mineral Sands")*(('Data - Monthly Commodity Prices'!$AR$9:$AR$3495)=$B$6)*(('Data - Monthly Commodity Prices'!$AT$9:$AT$3495)=B13),0),5)))</f>
        <v>71157428.269999996</v>
      </c>
      <c r="D13" s="1072">
        <f t="shared" si="1"/>
        <v>6.0369664134076469E-2</v>
      </c>
      <c r="E13" s="1083"/>
      <c r="W13" s="1026"/>
      <c r="X13" s="1026"/>
      <c r="Y13" s="1041" t="str">
        <f t="shared" si="0"/>
        <v/>
      </c>
    </row>
    <row r="14" spans="1:26">
      <c r="A14" s="1075" t="str">
        <f t="array" ref="A14">IF($W$2="Mismatch Error","",IF($B$5=$X$1,INDEX('Data - Monthly Commodity Prices'!$AJ$9:$AO$3501,MATCH(1,(('Data - Monthly Commodity Prices'!$AJ$9:$AJ$3501)="Mineral Sands")*(('Data - Monthly Commodity Prices'!$AK$9:$AK$3501)=$B$6)*(('Data - Monthly Commodity Prices'!$AM$9:$AM$3501)=B14),0),3),INDEX('Data - Monthly Commodity Prices'!$AQ$9:$AV$3495,MATCH(1,(('Data - Monthly Commodity Prices'!$AQ$9:$AQ$3495)="Mineral Sands")*(('Data - Monthly Commodity Prices'!$AR$9:$AR$3495)=$B$6)*(('Data - Monthly Commodity Prices'!$AT$9:$AT$3495)=B14),0),3)))</f>
        <v>Spain</v>
      </c>
      <c r="B14" s="1076">
        <v>5</v>
      </c>
      <c r="C14" s="1077">
        <f t="array" ref="C14">IF($W$2="Mismatch Error","",IF($B$5=$X$1,INDEX('Data - Monthly Commodity Prices'!$AJ$9:$AO$3501,MATCH(1,(('Data - Monthly Commodity Prices'!$AJ$9:$AJ$3501)="Mineral Sands")*(('Data - Monthly Commodity Prices'!$AK$9:$AK$3501)=$B$6)*(('Data - Monthly Commodity Prices'!$AM$9:$AM$3501)=B14),0),5),INDEX('Data - Monthly Commodity Prices'!$AQ$9:$AV$3495,MATCH(1,(('Data - Monthly Commodity Prices'!$AQ$9:$AQ$3495)="Mineral Sands")*(('Data - Monthly Commodity Prices'!$AR$9:$AR$3495)=$B$6)*(('Data - Monthly Commodity Prices'!$AT$9:$AT$3495)=B14),0),5)))</f>
        <v>47928980.200000003</v>
      </c>
      <c r="D14" s="1078">
        <f t="shared" si="1"/>
        <v>4.0662746073169762E-2</v>
      </c>
      <c r="E14" s="1083"/>
      <c r="W14" s="1026"/>
      <c r="X14" s="1026"/>
      <c r="Y14" s="1041" t="str">
        <f t="shared" si="0"/>
        <v/>
      </c>
    </row>
    <row r="15" spans="1:26">
      <c r="A15" s="1069" t="str">
        <f t="array" ref="A15">IF($W$2="Mismatch Error","",IF($B$5=$X$1,INDEX('Data - Monthly Commodity Prices'!$AJ$9:$AO$3501,MATCH(1,(('Data - Monthly Commodity Prices'!$AJ$9:$AJ$3501)="Mineral Sands")*(('Data - Monthly Commodity Prices'!$AK$9:$AK$3501)=$B$6)*(('Data - Monthly Commodity Prices'!$AM$9:$AM$3501)=B15),0),3),INDEX('Data - Monthly Commodity Prices'!$AQ$9:$AV$3495,MATCH(1,(('Data - Monthly Commodity Prices'!$AQ$9:$AQ$3495)="Mineral Sands")*(('Data - Monthly Commodity Prices'!$AR$9:$AR$3495)=$B$6)*(('Data - Monthly Commodity Prices'!$AT$9:$AT$3495)=B15),0),3)))</f>
        <v>Taiwan, Province Of China</v>
      </c>
      <c r="B15" s="1070">
        <v>6</v>
      </c>
      <c r="C15" s="1071">
        <f t="array" ref="C15">IF($W$2="Mismatch Error","",IF($B$5=$X$1,INDEX('Data - Monthly Commodity Prices'!$AJ$9:$AO$3501,MATCH(1,(('Data - Monthly Commodity Prices'!$AJ$9:$AJ$3501)="Mineral Sands")*(('Data - Monthly Commodity Prices'!$AK$9:$AK$3501)=$B$6)*(('Data - Monthly Commodity Prices'!$AM$9:$AM$3501)=B15),0),5),INDEX('Data - Monthly Commodity Prices'!$AQ$9:$AV$3495,MATCH(1,(('Data - Monthly Commodity Prices'!$AQ$9:$AQ$3495)="Mineral Sands")*(('Data - Monthly Commodity Prices'!$AR$9:$AR$3495)=$B$6)*(('Data - Monthly Commodity Prices'!$AT$9:$AT$3495)=B15),0),5)))</f>
        <v>46179712.670000002</v>
      </c>
      <c r="D15" s="1072">
        <f t="shared" si="1"/>
        <v>3.9178674826721022E-2</v>
      </c>
      <c r="W15" s="1026"/>
      <c r="X15" s="1026"/>
      <c r="Y15" s="1041" t="str">
        <f t="shared" si="0"/>
        <v/>
      </c>
    </row>
    <row r="16" spans="1:26">
      <c r="A16" s="1075" t="str">
        <f t="array" ref="A16">IF($W$2="Mismatch Error","",IF($B$5=$X$1,INDEX('Data - Monthly Commodity Prices'!$AJ$9:$AO$3501,MATCH(1,(('Data - Monthly Commodity Prices'!$AJ$9:$AJ$3501)="Mineral Sands")*(('Data - Monthly Commodity Prices'!$AK$9:$AK$3501)=$B$6)*(('Data - Monthly Commodity Prices'!$AM$9:$AM$3501)=B16),0),3),INDEX('Data - Monthly Commodity Prices'!$AQ$9:$AV$3495,MATCH(1,(('Data - Monthly Commodity Prices'!$AQ$9:$AQ$3495)="Mineral Sands")*(('Data - Monthly Commodity Prices'!$AR$9:$AR$3495)=$B$6)*(('Data - Monthly Commodity Prices'!$AT$9:$AT$3495)=B16),0),3)))</f>
        <v>Mexico</v>
      </c>
      <c r="B16" s="1076">
        <v>7</v>
      </c>
      <c r="C16" s="1077">
        <f t="array" ref="C16">IF($W$2="Mismatch Error","",IF($B$5=$X$1,INDEX('Data - Monthly Commodity Prices'!$AJ$9:$AO$3501,MATCH(1,(('Data - Monthly Commodity Prices'!$AJ$9:$AJ$3501)="Mineral Sands")*(('Data - Monthly Commodity Prices'!$AK$9:$AK$3501)=$B$6)*(('Data - Monthly Commodity Prices'!$AM$9:$AM$3501)=B16),0),5),INDEX('Data - Monthly Commodity Prices'!$AQ$9:$AV$3495,MATCH(1,(('Data - Monthly Commodity Prices'!$AQ$9:$AQ$3495)="Mineral Sands")*(('Data - Monthly Commodity Prices'!$AR$9:$AR$3495)=$B$6)*(('Data - Monthly Commodity Prices'!$AT$9:$AT$3495)=B16),0),5)))</f>
        <v>39895639.969999999</v>
      </c>
      <c r="D16" s="1078">
        <f t="shared" si="1"/>
        <v>3.3847293865992001E-2</v>
      </c>
      <c r="W16" s="1026"/>
      <c r="X16" s="1026"/>
      <c r="Y16" s="1041" t="str">
        <f t="shared" si="0"/>
        <v/>
      </c>
    </row>
    <row r="17" spans="1:25">
      <c r="A17" s="1069" t="str">
        <f t="array" ref="A17">IF($W$2="Mismatch Error","",IF($B$5=$X$1,INDEX('Data - Monthly Commodity Prices'!$AJ$9:$AO$3501,MATCH(1,(('Data - Monthly Commodity Prices'!$AJ$9:$AJ$3501)="Mineral Sands")*(('Data - Monthly Commodity Prices'!$AK$9:$AK$3501)=$B$6)*(('Data - Monthly Commodity Prices'!$AM$9:$AM$3501)=B17),0),3),INDEX('Data - Monthly Commodity Prices'!$AQ$9:$AV$3495,MATCH(1,(('Data - Monthly Commodity Prices'!$AQ$9:$AQ$3495)="Mineral Sands")*(('Data - Monthly Commodity Prices'!$AR$9:$AR$3495)=$B$6)*(('Data - Monthly Commodity Prices'!$AT$9:$AT$3495)=B17),0),3)))</f>
        <v>India</v>
      </c>
      <c r="B17" s="1070">
        <v>8</v>
      </c>
      <c r="C17" s="1071">
        <f t="array" ref="C17">IF($W$2="Mismatch Error","",IF($B$5=$X$1,INDEX('Data - Monthly Commodity Prices'!$AJ$9:$AO$3501,MATCH(1,(('Data - Monthly Commodity Prices'!$AJ$9:$AJ$3501)="Mineral Sands")*(('Data - Monthly Commodity Prices'!$AK$9:$AK$3501)=$B$6)*(('Data - Monthly Commodity Prices'!$AM$9:$AM$3501)=B17),0),5),INDEX('Data - Monthly Commodity Prices'!$AQ$9:$AV$3495,MATCH(1,(('Data - Monthly Commodity Prices'!$AQ$9:$AQ$3495)="Mineral Sands")*(('Data - Monthly Commodity Prices'!$AR$9:$AR$3495)=$B$6)*(('Data - Monthly Commodity Prices'!$AT$9:$AT$3495)=B17),0),5)))</f>
        <v>39869108.760000005</v>
      </c>
      <c r="D17" s="1072">
        <f t="shared" si="1"/>
        <v>3.3824784898541786E-2</v>
      </c>
      <c r="W17" s="1026"/>
      <c r="X17" s="1026"/>
      <c r="Y17" s="1041" t="str">
        <f t="shared" si="0"/>
        <v/>
      </c>
    </row>
    <row r="18" spans="1:25">
      <c r="A18" s="1075" t="str">
        <f t="array" ref="A18">IF($W$2="Mismatch Error","",IF($B$5=$X$1,INDEX('Data - Monthly Commodity Prices'!$AJ$9:$AO$3501,MATCH(1,(('Data - Monthly Commodity Prices'!$AJ$9:$AJ$3501)="Mineral Sands")*(('Data - Monthly Commodity Prices'!$AK$9:$AK$3501)=$B$6)*(('Data - Monthly Commodity Prices'!$AM$9:$AM$3501)=B18),0),3),INDEX('Data - Monthly Commodity Prices'!$AQ$9:$AV$3495,MATCH(1,(('Data - Monthly Commodity Prices'!$AQ$9:$AQ$3495)="Mineral Sands")*(('Data - Monthly Commodity Prices'!$AR$9:$AR$3495)=$B$6)*(('Data - Monthly Commodity Prices'!$AT$9:$AT$3495)=B18),0),3)))</f>
        <v>Belgium</v>
      </c>
      <c r="B18" s="1076">
        <v>9</v>
      </c>
      <c r="C18" s="1077">
        <f t="array" ref="C18">IF($W$2="Mismatch Error","",IF($B$5=$X$1,INDEX('Data - Monthly Commodity Prices'!$AJ$9:$AO$3501,MATCH(1,(('Data - Monthly Commodity Prices'!$AJ$9:$AJ$3501)="Mineral Sands")*(('Data - Monthly Commodity Prices'!$AK$9:$AK$3501)=$B$6)*(('Data - Monthly Commodity Prices'!$AM$9:$AM$3501)=B18),0),5),INDEX('Data - Monthly Commodity Prices'!$AQ$9:$AV$3495,MATCH(1,(('Data - Monthly Commodity Prices'!$AQ$9:$AQ$3495)="Mineral Sands")*(('Data - Monthly Commodity Prices'!$AR$9:$AR$3495)=$B$6)*(('Data - Monthly Commodity Prices'!$AT$9:$AT$3495)=B18),0),5)))</f>
        <v>39497483.310000002</v>
      </c>
      <c r="D18" s="1078">
        <f t="shared" si="1"/>
        <v>3.3509499423144219E-2</v>
      </c>
      <c r="W18" s="1026"/>
      <c r="X18" s="1026"/>
      <c r="Y18" s="1041" t="str">
        <f t="shared" si="0"/>
        <v/>
      </c>
    </row>
    <row r="19" spans="1:25">
      <c r="A19" s="1069" t="str">
        <f t="array" ref="A19">IF($W$2="Mismatch Error","",IF($B$5=$X$1,INDEX('Data - Monthly Commodity Prices'!$AJ$9:$AO$3501,MATCH(1,(('Data - Monthly Commodity Prices'!$AJ$9:$AJ$3501)="Mineral Sands")*(('Data - Monthly Commodity Prices'!$AK$9:$AK$3501)=$B$6)*(('Data - Monthly Commodity Prices'!$AM$9:$AM$3501)=B19),0),3),INDEX('Data - Monthly Commodity Prices'!$AQ$9:$AV$3495,MATCH(1,(('Data - Monthly Commodity Prices'!$AQ$9:$AQ$3495)="Mineral Sands")*(('Data - Monthly Commodity Prices'!$AR$9:$AR$3495)=$B$6)*(('Data - Monthly Commodity Prices'!$AT$9:$AT$3495)=B19),0),3)))</f>
        <v>Malaysia</v>
      </c>
      <c r="B19" s="1070">
        <v>10</v>
      </c>
      <c r="C19" s="1071">
        <f t="array" ref="C19">IF($W$2="Mismatch Error","",IF($B$5=$X$1,INDEX('Data - Monthly Commodity Prices'!$AJ$9:$AO$3501,MATCH(1,(('Data - Monthly Commodity Prices'!$AJ$9:$AJ$3501)="Mineral Sands")*(('Data - Monthly Commodity Prices'!$AK$9:$AK$3501)=$B$6)*(('Data - Monthly Commodity Prices'!$AM$9:$AM$3501)=B19),0),5),INDEX('Data - Monthly Commodity Prices'!$AQ$9:$AV$3495,MATCH(1,(('Data - Monthly Commodity Prices'!$AQ$9:$AQ$3495)="Mineral Sands")*(('Data - Monthly Commodity Prices'!$AR$9:$AR$3495)=$B$6)*(('Data - Monthly Commodity Prices'!$AT$9:$AT$3495)=B19),0),5)))</f>
        <v>35621466.850000001</v>
      </c>
      <c r="D19" s="1072">
        <f t="shared" si="1"/>
        <v>3.0221103291394134E-2</v>
      </c>
      <c r="W19" s="1026"/>
      <c r="X19" s="1026"/>
      <c r="Y19" s="1041" t="str">
        <f t="shared" si="0"/>
        <v/>
      </c>
    </row>
    <row r="20" spans="1:25" ht="15.75" thickBot="1">
      <c r="A20" s="1079" t="str">
        <f>IF($W$2="Mismatch Error","","Other")</f>
        <v>Other</v>
      </c>
      <c r="B20" s="1080"/>
      <c r="C20" s="1081">
        <f>IF($W$2="Mismatch Error","",IF($B$5=$X$1,SUMIFS('Data - Monthly Commodity Prices'!$AN$9:$AN$3501,'Data - Monthly Commodity Prices'!$AJ$9:$AJ$3501,"Mineral Sands",'Data - Monthly Commodity Prices'!$AK$9:$AK$3501,$B$6,'Data - Monthly Commodity Prices'!$AL$9:$AL$3501,"TOTAL")-SUM($C$10:$C$19),SUMIFS('Data - Monthly Commodity Prices'!$AU$9:$AU$3495,'Data - Monthly Commodity Prices'!$AQ$9:$AQ$3495,"Mineral Sands",'Data - Monthly Commodity Prices'!$AR$9:$AR$3495,$B$6,'Data - Monthly Commodity Prices'!$AS$9:$AS$3495,"TOTAL")-SUM($C$10:$C$19)))</f>
        <v>150926451.79000032</v>
      </c>
      <c r="D20" s="1082">
        <f t="shared" si="1"/>
        <v>0.12804536961254354</v>
      </c>
      <c r="W20" s="1026"/>
      <c r="X20" s="1026"/>
      <c r="Y20" s="1041" t="str">
        <f t="shared" si="0"/>
        <v/>
      </c>
    </row>
    <row r="21" spans="1:25">
      <c r="A21" s="1068" t="str">
        <f>IF($W$2="Mismatch Error","","Grand Total")</f>
        <v>Grand Total</v>
      </c>
      <c r="B21" s="1065"/>
      <c r="C21" s="1066">
        <f>IF($W$2="Mismatch Error","",IF($B$5=$X$1,SUMIFS('Data - Monthly Commodity Prices'!$AN$9:$AN$3501,'Data - Monthly Commodity Prices'!$AJ$9:$AJ$3501,"Mineral Sands",'Data - Monthly Commodity Prices'!$AK$9:$AK$3501,$B$6,'Data - Monthly Commodity Prices'!$AL$9:$AL$3501,"TOTAL"),SUMIFS('Data - Monthly Commodity Prices'!$AU$9:$AU$3495,'Data - Monthly Commodity Prices'!$AQ$9:$AQ$3495,"Mineral Sands",'Data - Monthly Commodity Prices'!$AR$9:$AR$3495,$B$6,'Data - Monthly Commodity Prices'!$AS$9:$AS$3495,"TOTAL")))</f>
        <v>1178695116.01</v>
      </c>
      <c r="D21" s="1067"/>
      <c r="E21" s="537"/>
      <c r="W21" s="1026"/>
      <c r="X21" s="1026"/>
      <c r="Y21" s="1041" t="str">
        <f t="shared" si="0"/>
        <v/>
      </c>
    </row>
    <row r="22" spans="1:25">
      <c r="W22" s="1026"/>
      <c r="X22" s="1026"/>
      <c r="Y22" s="1041" t="str">
        <f t="shared" si="0"/>
        <v/>
      </c>
    </row>
    <row r="23" spans="1:25">
      <c r="A23" s="1970" t="str">
        <f>IF(A10="Mismatch Error","You have selected an incompatible year or year type. Change one or the other to display data.","")</f>
        <v/>
      </c>
      <c r="B23" s="1970"/>
      <c r="C23" s="1970"/>
      <c r="D23" s="1970"/>
      <c r="W23" s="1026"/>
      <c r="X23" s="1026"/>
      <c r="Y23" s="1041" t="str">
        <f t="shared" si="0"/>
        <v/>
      </c>
    </row>
    <row r="24" spans="1:25">
      <c r="A24" s="1970"/>
      <c r="B24" s="1970"/>
      <c r="C24" s="1970"/>
      <c r="D24" s="1970"/>
      <c r="W24" s="1026"/>
      <c r="X24" s="1026"/>
      <c r="Y24" s="1041" t="str">
        <f t="shared" si="0"/>
        <v/>
      </c>
    </row>
    <row r="25" spans="1:25" ht="15" customHeight="1">
      <c r="A25" s="1970"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70"/>
      <c r="C25" s="1970"/>
      <c r="D25" s="1970"/>
      <c r="W25" s="1026"/>
      <c r="X25" s="1026"/>
      <c r="Y25" s="1041" t="str">
        <f t="shared" si="0"/>
        <v/>
      </c>
    </row>
    <row r="26" spans="1:25">
      <c r="A26" s="1970"/>
      <c r="B26" s="1970"/>
      <c r="C26" s="1970"/>
      <c r="D26" s="1970"/>
      <c r="W26" s="1026"/>
      <c r="X26" s="1026"/>
      <c r="Y26" s="1026"/>
    </row>
    <row r="27" spans="1:25">
      <c r="A27" s="1970"/>
      <c r="B27" s="1970"/>
      <c r="C27" s="1970"/>
      <c r="D27" s="1970"/>
      <c r="W27" s="1026"/>
      <c r="X27" s="1026"/>
      <c r="Y27" s="1026"/>
    </row>
    <row r="28" spans="1:25">
      <c r="A28" s="1970"/>
      <c r="B28" s="1970"/>
      <c r="C28" s="1970"/>
      <c r="D28" s="1970"/>
      <c r="W28" s="1026"/>
      <c r="X28" s="1026"/>
      <c r="Y28" s="1026"/>
    </row>
    <row r="29" spans="1:25">
      <c r="W29" s="1026"/>
      <c r="X29" s="1026"/>
      <c r="Y29" s="1026"/>
    </row>
    <row r="30" spans="1:25">
      <c r="W30" s="1026"/>
      <c r="X30" s="1026"/>
      <c r="Y30" s="1026"/>
    </row>
    <row r="31" spans="1:25">
      <c r="W31" s="1026"/>
      <c r="X31" s="1026"/>
      <c r="Y31" s="1026"/>
    </row>
    <row r="32" spans="1:25">
      <c r="E32" s="1064"/>
      <c r="W32" s="1026"/>
      <c r="X32" s="1026"/>
      <c r="Y32" s="1026"/>
    </row>
    <row r="33" spans="5:25">
      <c r="E33" s="1064"/>
      <c r="W33" s="1026"/>
      <c r="X33" s="1026"/>
      <c r="Y33" s="1026"/>
    </row>
    <row r="34" spans="5:25">
      <c r="E34" s="1064"/>
      <c r="W34" s="1026"/>
      <c r="X34" s="1026"/>
      <c r="Y34" s="1026"/>
    </row>
    <row r="35" spans="5:25">
      <c r="E35" s="1064"/>
      <c r="W35" s="1026"/>
      <c r="X35" s="1026"/>
      <c r="Y35" s="1026"/>
    </row>
    <row r="36" spans="5:25">
      <c r="E36" s="1064"/>
      <c r="W36" s="1026"/>
      <c r="X36" s="1026"/>
      <c r="Y36" s="1026"/>
    </row>
    <row r="37" spans="5:25">
      <c r="E37" s="1064"/>
      <c r="W37" s="1026"/>
      <c r="X37" s="1026"/>
      <c r="Y37" s="1026"/>
    </row>
    <row r="38" spans="5:25">
      <c r="E38" s="1064"/>
      <c r="W38" s="1026"/>
      <c r="X38" s="1026"/>
      <c r="Y38" s="1026"/>
    </row>
    <row r="39" spans="5:25">
      <c r="E39" s="1064"/>
    </row>
    <row r="40" spans="5:25">
      <c r="E40" s="1064"/>
    </row>
    <row r="41" spans="5:25">
      <c r="E41" s="1064"/>
    </row>
    <row r="42" spans="5:25">
      <c r="E42" s="1064"/>
    </row>
    <row r="43" spans="5:25">
      <c r="E43" s="1064"/>
    </row>
    <row r="44" spans="5:25">
      <c r="E44" s="1064"/>
    </row>
    <row r="45" spans="5:25">
      <c r="E45" s="1064"/>
    </row>
    <row r="46" spans="5:25">
      <c r="E46" s="1064"/>
    </row>
    <row r="47" spans="5:25">
      <c r="E47" s="1064"/>
    </row>
    <row r="48" spans="5:25">
      <c r="E48" s="1064"/>
    </row>
    <row r="49" spans="5:5">
      <c r="E49" s="1064"/>
    </row>
    <row r="50" spans="5:5">
      <c r="E50" s="1064"/>
    </row>
    <row r="51" spans="5:5">
      <c r="E51" s="1064"/>
    </row>
    <row r="52" spans="5:5">
      <c r="E52" s="1064"/>
    </row>
    <row r="53" spans="5:5">
      <c r="E53" s="1064"/>
    </row>
    <row r="54" spans="5:5">
      <c r="E54" s="1064"/>
    </row>
    <row r="55" spans="5:5">
      <c r="E55" s="1064"/>
    </row>
    <row r="56" spans="5:5">
      <c r="E56" s="1064"/>
    </row>
    <row r="57" spans="5:5">
      <c r="E57" s="1064"/>
    </row>
    <row r="58" spans="5:5">
      <c r="E58" s="1064"/>
    </row>
    <row r="59" spans="5:5">
      <c r="E59" s="1064"/>
    </row>
    <row r="60" spans="5:5">
      <c r="E60" s="1064"/>
    </row>
    <row r="61" spans="5:5">
      <c r="E61" s="1064"/>
    </row>
    <row r="62" spans="5:5">
      <c r="E62" s="1064"/>
    </row>
    <row r="63" spans="5:5">
      <c r="E63" s="1064"/>
    </row>
    <row r="64" spans="5:5">
      <c r="E64" s="1064"/>
    </row>
    <row r="67" spans="5:5">
      <c r="E67" s="1064"/>
    </row>
    <row r="68" spans="5:5">
      <c r="E68" s="1064"/>
    </row>
    <row r="69" spans="5:5">
      <c r="E69" s="1064"/>
    </row>
    <row r="70" spans="5:5">
      <c r="E70" s="1064"/>
    </row>
    <row r="71" spans="5:5">
      <c r="E71" s="1064"/>
    </row>
    <row r="72" spans="5:5">
      <c r="E72" s="1064"/>
    </row>
    <row r="73" spans="5:5">
      <c r="E73" s="1064"/>
    </row>
    <row r="74" spans="5:5">
      <c r="E74" s="1064"/>
    </row>
    <row r="75" spans="5:5">
      <c r="E75" s="1064"/>
    </row>
    <row r="76" spans="5:5">
      <c r="E76" s="1064"/>
    </row>
    <row r="77" spans="5:5">
      <c r="E77" s="1064"/>
    </row>
    <row r="78" spans="5:5">
      <c r="E78" s="1064"/>
    </row>
    <row r="79" spans="5:5">
      <c r="E79" s="1064"/>
    </row>
    <row r="80" spans="5:5">
      <c r="E80" s="1064"/>
    </row>
    <row r="81" spans="5:5">
      <c r="E81" s="1064"/>
    </row>
  </sheetData>
  <mergeCells count="5">
    <mergeCell ref="B5:D5"/>
    <mergeCell ref="B6:D6"/>
    <mergeCell ref="A8:D8"/>
    <mergeCell ref="A23:D24"/>
    <mergeCell ref="A25:D28"/>
  </mergeCells>
  <conditionalFormatting sqref="A10">
    <cfRule type="containsText" dxfId="2"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E5:E6">
      <formula1>$Y$1:$Y$2</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39997558519241921"/>
  </sheetPr>
  <dimension ref="A2:U123"/>
  <sheetViews>
    <sheetView workbookViewId="0"/>
  </sheetViews>
  <sheetFormatPr defaultRowHeight="15"/>
  <cols>
    <col min="1" max="1" width="15.7109375" style="86" customWidth="1"/>
    <col min="2" max="2" width="24.5703125" style="86" bestFit="1" customWidth="1"/>
    <col min="3" max="3" width="33.42578125" style="86" bestFit="1" customWidth="1"/>
    <col min="4" max="4" width="9.140625" style="86"/>
    <col min="5" max="5" width="5" style="86" bestFit="1" customWidth="1"/>
    <col min="6" max="7" width="24.28515625" style="86" customWidth="1"/>
    <col min="8" max="18" width="9.140625" style="86"/>
    <col min="19" max="19" width="10.85546875" style="86" customWidth="1"/>
    <col min="20" max="21" width="23.5703125" style="86" customWidth="1"/>
    <col min="22" max="16384" width="9.140625" style="86"/>
  </cols>
  <sheetData>
    <row r="2" spans="1:20">
      <c r="E2" s="1538"/>
      <c r="F2" s="1348"/>
    </row>
    <row r="4" spans="1:20" ht="18.75" customHeight="1"/>
    <row r="5" spans="1:20" ht="31.5" customHeight="1" thickBot="1">
      <c r="A5" s="2024" t="s">
        <v>536</v>
      </c>
      <c r="B5" s="2024"/>
      <c r="C5" s="2024"/>
    </row>
    <row r="6" spans="1:20" ht="15.75" thickBot="1">
      <c r="A6" s="96"/>
      <c r="B6" s="1598" t="s">
        <v>806</v>
      </c>
      <c r="C6" s="1599" t="s">
        <v>807</v>
      </c>
    </row>
    <row r="7" spans="1:20">
      <c r="A7" s="89">
        <v>1957</v>
      </c>
      <c r="B7" s="964">
        <v>492</v>
      </c>
      <c r="C7" s="965">
        <v>21903008</v>
      </c>
      <c r="T7" s="948"/>
    </row>
    <row r="8" spans="1:20">
      <c r="A8" s="89">
        <v>1958</v>
      </c>
      <c r="B8" s="966">
        <v>2156</v>
      </c>
      <c r="C8" s="967">
        <v>12426344</v>
      </c>
      <c r="S8" s="948"/>
      <c r="T8" s="948"/>
    </row>
    <row r="9" spans="1:20">
      <c r="A9" s="89">
        <v>1959</v>
      </c>
      <c r="B9" s="964">
        <v>133392</v>
      </c>
      <c r="C9" s="965">
        <v>10460008</v>
      </c>
      <c r="S9" s="948"/>
      <c r="T9" s="948"/>
    </row>
    <row r="10" spans="1:20">
      <c r="A10" s="89">
        <v>1960</v>
      </c>
      <c r="B10" s="966">
        <v>345568</v>
      </c>
      <c r="C10" s="967">
        <v>10861632.000000002</v>
      </c>
      <c r="S10" s="948"/>
      <c r="T10" s="948"/>
    </row>
    <row r="11" spans="1:20">
      <c r="A11" s="89">
        <v>1961</v>
      </c>
      <c r="B11" s="964">
        <v>588303</v>
      </c>
      <c r="C11" s="965">
        <v>10857057</v>
      </c>
      <c r="S11" s="948"/>
      <c r="T11" s="948"/>
    </row>
    <row r="12" spans="1:20">
      <c r="A12" s="89">
        <v>1962</v>
      </c>
      <c r="B12" s="966">
        <v>874763.00000000012</v>
      </c>
      <c r="C12" s="967">
        <v>11597336.999999998</v>
      </c>
      <c r="S12" s="948"/>
      <c r="T12" s="948"/>
    </row>
    <row r="13" spans="1:20">
      <c r="A13" s="89">
        <v>1963</v>
      </c>
      <c r="B13" s="964">
        <v>1308304.0999999999</v>
      </c>
      <c r="C13" s="965">
        <v>17902415.899999999</v>
      </c>
      <c r="S13" s="948"/>
      <c r="T13" s="948"/>
    </row>
    <row r="14" spans="1:20">
      <c r="A14" s="89">
        <v>1964</v>
      </c>
      <c r="B14" s="966">
        <v>1604629.3</v>
      </c>
      <c r="C14" s="967">
        <v>19308340.699999999</v>
      </c>
      <c r="S14" s="948"/>
      <c r="T14" s="948"/>
    </row>
    <row r="15" spans="1:20">
      <c r="A15" s="89">
        <v>1965</v>
      </c>
      <c r="B15" s="968">
        <v>2692152.5</v>
      </c>
      <c r="C15" s="969">
        <v>24680057.500000004</v>
      </c>
      <c r="S15" s="948"/>
      <c r="T15" s="948"/>
    </row>
    <row r="16" spans="1:20">
      <c r="A16" s="89">
        <v>1966</v>
      </c>
      <c r="B16" s="966">
        <v>2894269.1</v>
      </c>
      <c r="C16" s="967">
        <v>31947030.899999995</v>
      </c>
      <c r="S16" s="948"/>
      <c r="T16" s="948"/>
    </row>
    <row r="17" spans="1:20">
      <c r="A17" s="89">
        <v>1967</v>
      </c>
      <c r="B17" s="964">
        <v>4325525.2</v>
      </c>
      <c r="C17" s="965">
        <v>34500594.800000004</v>
      </c>
      <c r="S17" s="948"/>
      <c r="T17" s="948"/>
    </row>
    <row r="18" spans="1:20">
      <c r="A18" s="89">
        <v>1968</v>
      </c>
      <c r="B18" s="966">
        <v>4214603</v>
      </c>
      <c r="C18" s="967">
        <v>36073557</v>
      </c>
      <c r="S18" s="948"/>
      <c r="T18" s="948"/>
    </row>
    <row r="19" spans="1:20">
      <c r="A19" s="89">
        <v>1969</v>
      </c>
      <c r="B19" s="964">
        <v>9211062.3000000007</v>
      </c>
      <c r="C19" s="965">
        <v>40674638.699999996</v>
      </c>
      <c r="S19" s="948"/>
      <c r="T19" s="948"/>
    </row>
    <row r="20" spans="1:20">
      <c r="A20" s="89">
        <v>1970</v>
      </c>
      <c r="B20" s="966">
        <v>10271270.6</v>
      </c>
      <c r="C20" s="967">
        <v>48209466.400000006</v>
      </c>
      <c r="S20" s="948"/>
      <c r="T20" s="948"/>
    </row>
    <row r="21" spans="1:20">
      <c r="A21" s="89">
        <v>1971</v>
      </c>
      <c r="B21" s="964">
        <v>10462659</v>
      </c>
      <c r="C21" s="965">
        <v>55277821</v>
      </c>
      <c r="S21" s="948"/>
      <c r="T21" s="948"/>
    </row>
    <row r="22" spans="1:20">
      <c r="A22" s="89">
        <v>1972</v>
      </c>
      <c r="B22" s="966">
        <v>10468339.700000001</v>
      </c>
      <c r="C22" s="967">
        <v>47525519.299999982</v>
      </c>
      <c r="S22" s="948"/>
      <c r="T22" s="948"/>
    </row>
    <row r="23" spans="1:20">
      <c r="A23" s="89">
        <v>1973</v>
      </c>
      <c r="B23" s="964">
        <v>11077312.899999999</v>
      </c>
      <c r="C23" s="965">
        <v>52602239.100000001</v>
      </c>
      <c r="S23" s="948"/>
      <c r="T23" s="948"/>
    </row>
    <row r="24" spans="1:20">
      <c r="A24" s="89">
        <v>1974</v>
      </c>
      <c r="B24" s="966">
        <v>16463287.700000001</v>
      </c>
      <c r="C24" s="967">
        <v>70380853.299999982</v>
      </c>
      <c r="S24" s="948"/>
      <c r="T24" s="948"/>
    </row>
    <row r="25" spans="1:20">
      <c r="A25" s="89">
        <v>1975</v>
      </c>
      <c r="B25" s="964">
        <v>34526710.899999999</v>
      </c>
      <c r="C25" s="965">
        <v>125495545.09999999</v>
      </c>
      <c r="S25" s="948"/>
      <c r="T25" s="948"/>
    </row>
    <row r="26" spans="1:20">
      <c r="A26" s="89">
        <v>1976</v>
      </c>
      <c r="B26" s="966">
        <v>39788065</v>
      </c>
      <c r="C26" s="967">
        <v>125917837</v>
      </c>
      <c r="S26" s="948"/>
      <c r="T26" s="948"/>
    </row>
    <row r="27" spans="1:20">
      <c r="A27" s="89">
        <v>1977</v>
      </c>
      <c r="B27" s="964">
        <v>54309956.400000006</v>
      </c>
      <c r="C27" s="965">
        <v>82043274.600000009</v>
      </c>
      <c r="S27" s="948"/>
      <c r="T27" s="948"/>
    </row>
    <row r="28" spans="1:20">
      <c r="A28" s="89">
        <v>1978</v>
      </c>
      <c r="B28" s="966">
        <v>58998055.100000001</v>
      </c>
      <c r="C28" s="967">
        <v>48427636.899999991</v>
      </c>
      <c r="S28" s="948"/>
      <c r="T28" s="948"/>
    </row>
    <row r="29" spans="1:20">
      <c r="A29" s="89">
        <v>1979</v>
      </c>
      <c r="B29" s="964">
        <v>69875106.199999988</v>
      </c>
      <c r="C29" s="965">
        <v>53505783.800000004</v>
      </c>
      <c r="S29" s="948"/>
      <c r="T29" s="948"/>
    </row>
    <row r="30" spans="1:20">
      <c r="A30" s="89">
        <v>1980</v>
      </c>
      <c r="B30" s="966">
        <v>79036531</v>
      </c>
      <c r="C30" s="967">
        <v>80616028</v>
      </c>
      <c r="S30" s="948"/>
      <c r="T30" s="948"/>
    </row>
    <row r="31" spans="1:20">
      <c r="A31" s="89">
        <v>1981</v>
      </c>
      <c r="B31" s="964">
        <v>88623282.399999991</v>
      </c>
      <c r="C31" s="965">
        <v>60094861.599999972</v>
      </c>
      <c r="S31" s="948"/>
      <c r="T31" s="948"/>
    </row>
    <row r="32" spans="1:20">
      <c r="A32" s="89">
        <v>1982</v>
      </c>
      <c r="B32" s="966">
        <v>93353064.400000006</v>
      </c>
      <c r="C32" s="967">
        <v>50807023.599999987</v>
      </c>
      <c r="S32" s="948"/>
      <c r="T32" s="948"/>
    </row>
    <row r="33" spans="1:20">
      <c r="A33" s="89">
        <v>1983</v>
      </c>
      <c r="B33" s="964">
        <v>77817286.499999985</v>
      </c>
      <c r="C33" s="965">
        <v>39991133.5</v>
      </c>
      <c r="S33" s="948"/>
      <c r="T33" s="948"/>
    </row>
    <row r="34" spans="1:20">
      <c r="A34" s="89">
        <v>1984</v>
      </c>
      <c r="B34" s="966">
        <v>114568998.5</v>
      </c>
      <c r="C34" s="967">
        <v>53791583.500000022</v>
      </c>
      <c r="S34" s="948"/>
      <c r="T34" s="948"/>
    </row>
    <row r="35" spans="1:20">
      <c r="A35" s="89">
        <v>1985</v>
      </c>
      <c r="B35" s="964">
        <v>134961831.40000001</v>
      </c>
      <c r="C35" s="965">
        <v>86350293.600000009</v>
      </c>
      <c r="S35" s="948"/>
      <c r="T35" s="948"/>
    </row>
    <row r="36" spans="1:20">
      <c r="A36" s="89">
        <v>1986</v>
      </c>
      <c r="B36" s="966">
        <v>160577471.40000001</v>
      </c>
      <c r="C36" s="967">
        <v>94356085.599999994</v>
      </c>
      <c r="S36" s="948"/>
      <c r="T36" s="948"/>
    </row>
    <row r="37" spans="1:20">
      <c r="A37" s="89">
        <v>1987</v>
      </c>
      <c r="B37" s="964">
        <v>240223386.29999998</v>
      </c>
      <c r="C37" s="965">
        <v>144404564.70000002</v>
      </c>
      <c r="S37" s="948"/>
      <c r="T37" s="948"/>
    </row>
    <row r="38" spans="1:20">
      <c r="A38" s="89">
        <v>1988</v>
      </c>
      <c r="B38" s="966">
        <v>348835148.60000002</v>
      </c>
      <c r="C38" s="967">
        <v>174675127.39999995</v>
      </c>
      <c r="S38" s="948"/>
      <c r="T38" s="948"/>
    </row>
    <row r="39" spans="1:20">
      <c r="A39" s="89">
        <v>1989</v>
      </c>
      <c r="B39" s="964">
        <v>428312699</v>
      </c>
      <c r="C39" s="965">
        <v>321476520.99999994</v>
      </c>
      <c r="S39" s="948"/>
      <c r="T39" s="948"/>
    </row>
    <row r="40" spans="1:20">
      <c r="A40" s="89">
        <v>1990</v>
      </c>
      <c r="B40" s="966">
        <v>447623340.9000001</v>
      </c>
      <c r="C40" s="967">
        <v>294352387.0999999</v>
      </c>
      <c r="S40" s="948"/>
      <c r="T40" s="948"/>
    </row>
    <row r="41" spans="1:20">
      <c r="A41" s="89">
        <v>1991</v>
      </c>
      <c r="B41" s="964">
        <v>241626154</v>
      </c>
      <c r="C41" s="965">
        <v>165517603.99999997</v>
      </c>
      <c r="S41" s="948"/>
      <c r="T41" s="948"/>
    </row>
    <row r="42" spans="1:20">
      <c r="A42" s="89">
        <v>1992</v>
      </c>
      <c r="B42" s="966">
        <v>276836642.00614107</v>
      </c>
      <c r="C42" s="967">
        <v>111675432.39999993</v>
      </c>
      <c r="S42" s="948"/>
      <c r="T42" s="948"/>
    </row>
    <row r="43" spans="1:20">
      <c r="A43" s="89">
        <v>1993</v>
      </c>
      <c r="B43" s="964">
        <v>332056090.18000001</v>
      </c>
      <c r="C43" s="965">
        <v>93207174.899999976</v>
      </c>
      <c r="S43" s="948"/>
      <c r="T43" s="948"/>
    </row>
    <row r="44" spans="1:20">
      <c r="A44" s="89">
        <v>1994</v>
      </c>
      <c r="B44" s="966">
        <v>417667340.69999999</v>
      </c>
      <c r="C44" s="967">
        <v>93063309.300000027</v>
      </c>
      <c r="S44" s="948"/>
      <c r="T44" s="948"/>
    </row>
    <row r="45" spans="1:20">
      <c r="A45" s="89">
        <v>1995</v>
      </c>
      <c r="B45" s="964">
        <v>571348686.50000012</v>
      </c>
      <c r="C45" s="965">
        <v>83489338.499999955</v>
      </c>
      <c r="S45" s="948"/>
      <c r="T45" s="948"/>
    </row>
    <row r="46" spans="1:20">
      <c r="A46" s="89">
        <v>1996</v>
      </c>
      <c r="B46" s="966">
        <v>612206253.4000001</v>
      </c>
      <c r="C46" s="967">
        <v>125882000</v>
      </c>
      <c r="S46" s="948"/>
      <c r="T46" s="948"/>
    </row>
    <row r="47" spans="1:20">
      <c r="A47" s="89">
        <v>1997</v>
      </c>
      <c r="B47" s="964">
        <v>654697524</v>
      </c>
      <c r="C47" s="965">
        <v>158197000</v>
      </c>
      <c r="S47" s="948"/>
      <c r="T47" s="948"/>
    </row>
    <row r="48" spans="1:20">
      <c r="A48" s="89">
        <v>1998</v>
      </c>
      <c r="B48" s="966">
        <v>706242000</v>
      </c>
      <c r="C48" s="967">
        <v>161779000</v>
      </c>
      <c r="S48" s="948"/>
      <c r="T48" s="948"/>
    </row>
    <row r="49" spans="1:21">
      <c r="A49" s="89">
        <v>1999</v>
      </c>
      <c r="B49" s="964">
        <f>SUMIF('Mineral Sands - Q&amp;V'!D$8:D$508, A49,'Mineral Sands - Q&amp;V'!C$8:C$508)*1000000</f>
        <v>688489000</v>
      </c>
      <c r="C49" s="965">
        <v>63105000</v>
      </c>
      <c r="S49" s="948"/>
      <c r="T49" s="948"/>
    </row>
    <row r="50" spans="1:21">
      <c r="A50" s="89">
        <v>2000</v>
      </c>
      <c r="B50" s="966">
        <f>SUMIF('Mineral Sands - Q&amp;V'!D$8:D$508, A50,'Mineral Sands - Q&amp;V'!C$8:C$508)*1000000</f>
        <v>860858999.99999988</v>
      </c>
      <c r="C50" s="967">
        <v>40072000</v>
      </c>
      <c r="E50" s="1972" t="s">
        <v>537</v>
      </c>
      <c r="F50" s="1972"/>
      <c r="G50" s="1972"/>
      <c r="S50" s="948"/>
      <c r="T50" s="948"/>
    </row>
    <row r="51" spans="1:21">
      <c r="A51" s="89">
        <v>2001</v>
      </c>
      <c r="B51" s="964">
        <f>SUMIF('Mineral Sands - Q&amp;V'!D$8:D$508, A51,'Mineral Sands - Q&amp;V'!C$8:C$508)*1000000</f>
        <v>909224999.99999988</v>
      </c>
      <c r="C51" s="965">
        <v>72447000</v>
      </c>
      <c r="E51" s="2025" t="s">
        <v>50</v>
      </c>
      <c r="F51" s="2025"/>
      <c r="G51" s="2025"/>
      <c r="S51" s="948"/>
      <c r="T51" s="948"/>
    </row>
    <row r="52" spans="1:21" ht="15.75" thickBot="1">
      <c r="A52" s="89">
        <v>2002</v>
      </c>
      <c r="B52" s="966">
        <f>SUMIF('Mineral Sands - Q&amp;V'!D$8:D$508, A52,'Mineral Sands - Q&amp;V'!C$8:C$508)*1000000</f>
        <v>866852000.00000012</v>
      </c>
      <c r="C52" s="967">
        <v>108805599.99999997</v>
      </c>
      <c r="E52" s="91" t="s">
        <v>49</v>
      </c>
      <c r="F52" s="95" t="str">
        <f>B6</f>
        <v>Western Australia ($)</v>
      </c>
      <c r="G52" s="90" t="str">
        <f>C6</f>
        <v>Rest of Australia ($)</v>
      </c>
      <c r="S52" s="948"/>
      <c r="T52" s="948"/>
    </row>
    <row r="53" spans="1:21">
      <c r="A53" s="89">
        <v>2003</v>
      </c>
      <c r="B53" s="964">
        <f>SUMIF('Mineral Sands - Q&amp;V'!D$8:D$508, A53,'Mineral Sands - Q&amp;V'!C$8:C$508)*1000000</f>
        <v>789848787.90303028</v>
      </c>
      <c r="C53" s="965">
        <v>74724000</v>
      </c>
      <c r="E53" s="89">
        <f>LARGE(A$15:A$94,10)</f>
        <v>2010</v>
      </c>
      <c r="F53" s="1394">
        <f t="shared" ref="F53:F62" si="0">SUMIF($A$15:$A$100,$E53,B$15:B$100)</f>
        <v>526470515.44375753</v>
      </c>
      <c r="G53" s="1421">
        <f t="shared" ref="G53:G60" si="1">IF(SUMIF($A$15:$A$100,$E53,C$15:C$100)=0,NA(),SUMIF($A$15:$A$100,$E53,C$15:C$100))</f>
        <v>880785482</v>
      </c>
      <c r="S53" s="948"/>
      <c r="T53" s="948"/>
    </row>
    <row r="54" spans="1:21">
      <c r="A54" s="89">
        <v>2004</v>
      </c>
      <c r="B54" s="966">
        <f>SUMIF('Mineral Sands - Q&amp;V'!D$8:D$508, A54,'Mineral Sands - Q&amp;V'!C$8:C$508)*1000000</f>
        <v>764910779.21212125</v>
      </c>
      <c r="C54" s="967">
        <v>90109962.999999985</v>
      </c>
      <c r="E54" s="89">
        <f>LARGE(A$15:A$94,9)</f>
        <v>2011</v>
      </c>
      <c r="F54" s="1422">
        <f t="shared" si="0"/>
        <v>591622104.60567033</v>
      </c>
      <c r="G54" s="1423">
        <f t="shared" si="1"/>
        <v>1345503845</v>
      </c>
      <c r="S54" s="948"/>
      <c r="T54" s="948"/>
    </row>
    <row r="55" spans="1:21">
      <c r="A55" s="89">
        <v>2005</v>
      </c>
      <c r="B55" s="964">
        <f>SUMIF('Mineral Sands - Q&amp;V'!D$8:D$508, A55,'Mineral Sands - Q&amp;V'!C$8:C$508)*1000000</f>
        <v>846793591.63939393</v>
      </c>
      <c r="C55" s="965">
        <v>52770605.999999911</v>
      </c>
      <c r="E55" s="89">
        <f>LARGE(A$15:A$94,8)</f>
        <v>2012</v>
      </c>
      <c r="F55" s="1424">
        <f t="shared" si="0"/>
        <v>970807032.06660604</v>
      </c>
      <c r="G55" s="1393">
        <f t="shared" si="1"/>
        <v>1320369000</v>
      </c>
      <c r="S55" s="948"/>
      <c r="T55" s="948"/>
    </row>
    <row r="56" spans="1:21">
      <c r="A56" s="89">
        <v>2006</v>
      </c>
      <c r="B56" s="966">
        <f>SUMIF('Mineral Sands - Q&amp;V'!D$8:D$508, A56,'Mineral Sands - Q&amp;V'!C$8:C$508)*1000000</f>
        <v>886262810.36130917</v>
      </c>
      <c r="C56" s="967">
        <v>355967000</v>
      </c>
      <c r="E56" s="89">
        <f>LARGE(A$15:A$94,7)</f>
        <v>2013</v>
      </c>
      <c r="F56" s="1422">
        <f t="shared" si="0"/>
        <v>645165237.5995152</v>
      </c>
      <c r="G56" s="1423">
        <f t="shared" si="1"/>
        <v>1367400000</v>
      </c>
      <c r="S56" s="948"/>
      <c r="T56" s="948"/>
    </row>
    <row r="57" spans="1:21">
      <c r="A57" s="89">
        <v>2007</v>
      </c>
      <c r="B57" s="964">
        <f>SUMIF('Mineral Sands - Q&amp;V'!D$8:D$508, A57,'Mineral Sands - Q&amp;V'!C$8:C$508)*1000000</f>
        <v>691055713.60429811</v>
      </c>
      <c r="C57" s="965">
        <v>545455959</v>
      </c>
      <c r="E57" s="89">
        <f>LARGE(A$15:A$94,6)</f>
        <v>2014</v>
      </c>
      <c r="F57" s="1424">
        <f t="shared" si="0"/>
        <v>405238033.86666662</v>
      </c>
      <c r="G57" s="1393">
        <f t="shared" si="1"/>
        <v>1243000000</v>
      </c>
      <c r="S57" s="948"/>
      <c r="T57" s="948"/>
    </row>
    <row r="58" spans="1:21">
      <c r="A58" s="89">
        <v>2008</v>
      </c>
      <c r="B58" s="966">
        <f>SUMIF('Mineral Sands - Q&amp;V'!D$8:D$508, A58,'Mineral Sands - Q&amp;V'!C$8:C$508)*1000000</f>
        <v>777136717.99124885</v>
      </c>
      <c r="C58" s="967">
        <v>360678633.00000006</v>
      </c>
      <c r="E58" s="89">
        <f>LARGE(A$15:A$94,5)</f>
        <v>2015</v>
      </c>
      <c r="F58" s="1422">
        <f t="shared" si="0"/>
        <v>586413597.36441696</v>
      </c>
      <c r="G58" s="1423" t="e">
        <f t="shared" si="1"/>
        <v>#N/A</v>
      </c>
      <c r="S58" s="948"/>
      <c r="T58" s="948"/>
    </row>
    <row r="59" spans="1:21">
      <c r="A59" s="89">
        <v>2009</v>
      </c>
      <c r="B59" s="964">
        <f>SUMIF('Mineral Sands - Q&amp;V'!D$8:D$508, A59,'Mineral Sands - Q&amp;V'!C$8:C$508)*1000000</f>
        <v>641830940.86659384</v>
      </c>
      <c r="C59" s="965">
        <v>628933613</v>
      </c>
      <c r="E59" s="89">
        <f>LARGE(A$15:A$94,4)</f>
        <v>2016</v>
      </c>
      <c r="F59" s="1424">
        <f t="shared" si="0"/>
        <v>612464028.01084828</v>
      </c>
      <c r="G59" s="1393" t="e">
        <f t="shared" si="1"/>
        <v>#N/A</v>
      </c>
      <c r="S59" s="948"/>
      <c r="T59" s="948"/>
    </row>
    <row r="60" spans="1:21">
      <c r="A60" s="89">
        <v>2010</v>
      </c>
      <c r="B60" s="966">
        <f>SUMIF('Mineral Sands - Q&amp;V'!D$8:D$508, A60,'Mineral Sands - Q&amp;V'!C$8:C$508)*1000000</f>
        <v>526470515.44375753</v>
      </c>
      <c r="C60" s="967">
        <v>880785482</v>
      </c>
      <c r="E60" s="89">
        <f>LARGE(A$15:A$94,3)</f>
        <v>2017</v>
      </c>
      <c r="F60" s="1422">
        <f t="shared" si="0"/>
        <v>513509162.81765264</v>
      </c>
      <c r="G60" s="1423" t="e">
        <f t="shared" si="1"/>
        <v>#N/A</v>
      </c>
      <c r="S60" s="948"/>
      <c r="T60" s="948"/>
    </row>
    <row r="61" spans="1:21">
      <c r="A61" s="89">
        <v>2011</v>
      </c>
      <c r="B61" s="964">
        <f>SUMIF('Mineral Sands - Q&amp;V'!D$8:D$508, A61,'Mineral Sands - Q&amp;V'!C$8:C$508)*1000000</f>
        <v>591622104.60567033</v>
      </c>
      <c r="C61" s="965">
        <v>1345503845</v>
      </c>
      <c r="E61" s="89">
        <f>LARGE(A$15:A$94,2)</f>
        <v>2018</v>
      </c>
      <c r="F61" s="1424">
        <f t="shared" si="0"/>
        <v>628097787.39685094</v>
      </c>
      <c r="G61" s="1393" t="e">
        <f>IF(SUMIF($A$15:$A$100,$E61,C$15:C$100)=0,NA(),SUMIF($A$15:$A$100,$E61,C$15:C$100))</f>
        <v>#N/A</v>
      </c>
      <c r="S61" s="948"/>
      <c r="T61" s="948"/>
      <c r="U61" s="98"/>
    </row>
    <row r="62" spans="1:21" ht="15.75" thickBot="1">
      <c r="A62" s="89">
        <v>2012</v>
      </c>
      <c r="B62" s="966">
        <f>SUMIF('Mineral Sands - Q&amp;V'!D$8:D$508, A62,'Mineral Sands - Q&amp;V'!C$8:C$508)*1000000</f>
        <v>970807032.06660604</v>
      </c>
      <c r="C62" s="967">
        <v>1320369000</v>
      </c>
      <c r="E62" s="1908">
        <f>LARGE(A$15:A$94,1)</f>
        <v>2019</v>
      </c>
      <c r="F62" s="1425">
        <f t="shared" si="0"/>
        <v>668679312.26340795</v>
      </c>
      <c r="G62" s="1426" t="e">
        <f t="shared" ref="G62" si="2">IF(SUMIF($A$15:$A$100,$E62,C$15:C$100)=0,NA(),SUMIF($A$15:$A$100,$E62,C$15:C$100))</f>
        <v>#N/A</v>
      </c>
      <c r="S62" s="948"/>
      <c r="T62" s="948"/>
      <c r="U62" s="98"/>
    </row>
    <row r="63" spans="1:21">
      <c r="A63" s="89">
        <v>2013</v>
      </c>
      <c r="B63" s="964">
        <f>SUMIF('Mineral Sands - Q&amp;V'!D$8:D$508, A63,'Mineral Sands - Q&amp;V'!C$8:C$508)*1000000</f>
        <v>645165237.5995152</v>
      </c>
      <c r="C63" s="965">
        <v>1367400000</v>
      </c>
      <c r="F63" s="1244"/>
      <c r="S63" s="948"/>
      <c r="T63" s="948"/>
      <c r="U63" s="98"/>
    </row>
    <row r="64" spans="1:21">
      <c r="A64" s="89">
        <v>2014</v>
      </c>
      <c r="B64" s="966">
        <f>SUMIF('Mineral Sands - Q&amp;V'!D$8:D$508, A64,'Mineral Sands - Q&amp;V'!C$8:C$508)*1000000</f>
        <v>405238033.86666662</v>
      </c>
      <c r="C64" s="967">
        <v>1243000000</v>
      </c>
      <c r="F64" s="1244"/>
      <c r="S64" s="948"/>
      <c r="T64" s="948"/>
      <c r="U64" s="98"/>
    </row>
    <row r="65" spans="1:21">
      <c r="A65" s="89">
        <v>2015</v>
      </c>
      <c r="B65" s="964">
        <f>SUMIF('Mineral Sands - Q&amp;V'!D$8:D$508, A65,'Mineral Sands - Q&amp;V'!C$8:C$508)*1000000</f>
        <v>586413597.36441696</v>
      </c>
      <c r="C65" s="1553" t="s">
        <v>685</v>
      </c>
      <c r="F65" s="1244"/>
      <c r="S65" s="948"/>
      <c r="T65" s="948"/>
      <c r="U65" s="98"/>
    </row>
    <row r="66" spans="1:21">
      <c r="A66" s="89">
        <v>2016</v>
      </c>
      <c r="B66" s="966">
        <f>SUMIF('Mineral Sands - Q&amp;V'!D$8:D$508, A66,'Mineral Sands - Q&amp;V'!C$8:C$508)*1000000</f>
        <v>612464028.01084828</v>
      </c>
      <c r="C66" s="1561" t="s">
        <v>685</v>
      </c>
      <c r="F66" s="1244"/>
      <c r="S66" s="106"/>
      <c r="T66" s="98"/>
      <c r="U66" s="98"/>
    </row>
    <row r="67" spans="1:21">
      <c r="A67" s="89">
        <v>2017</v>
      </c>
      <c r="B67" s="964">
        <f>SUMIF('Mineral Sands - Q&amp;V'!D$8:D$508, A67,'Mineral Sands - Q&amp;V'!C$8:C$508)*1000000</f>
        <v>513509162.81765264</v>
      </c>
      <c r="C67" s="1553" t="s">
        <v>685</v>
      </c>
      <c r="F67" s="1244"/>
      <c r="S67" s="106"/>
      <c r="T67" s="98"/>
      <c r="U67" s="98"/>
    </row>
    <row r="68" spans="1:21">
      <c r="A68" s="89">
        <v>2018</v>
      </c>
      <c r="B68" s="966">
        <f>SUMIF('Mineral Sands - Q&amp;V'!D$8:D$508, A68,'Mineral Sands - Q&amp;V'!C$8:C$508)*1000000</f>
        <v>628097787.39685094</v>
      </c>
      <c r="C68" s="1561" t="s">
        <v>685</v>
      </c>
      <c r="F68" s="1244"/>
      <c r="S68" s="106"/>
      <c r="T68" s="98"/>
      <c r="U68" s="98"/>
    </row>
    <row r="69" spans="1:21" ht="15.75" thickBot="1">
      <c r="A69" s="97">
        <v>2019</v>
      </c>
      <c r="B69" s="1645">
        <f>SUMIF('Mineral Sands - Q&amp;V'!D$8:D$508, A69,'Mineral Sands - Q&amp;V'!C$8:C$508)*1000000</f>
        <v>668679312.26340795</v>
      </c>
      <c r="C69" s="1646" t="s">
        <v>685</v>
      </c>
      <c r="S69" s="106"/>
      <c r="T69" s="98"/>
      <c r="U69" s="98"/>
    </row>
    <row r="70" spans="1:21">
      <c r="S70" s="106"/>
      <c r="T70" s="98"/>
      <c r="U70" s="98"/>
    </row>
    <row r="71" spans="1:21">
      <c r="S71" s="106"/>
      <c r="T71" s="98"/>
      <c r="U71" s="98"/>
    </row>
    <row r="72" spans="1:21">
      <c r="S72" s="106"/>
      <c r="T72" s="98"/>
      <c r="U72" s="98"/>
    </row>
    <row r="73" spans="1:21">
      <c r="S73" s="106"/>
      <c r="T73" s="98"/>
      <c r="U73" s="98"/>
    </row>
    <row r="74" spans="1:21">
      <c r="S74" s="106"/>
      <c r="T74" s="98"/>
      <c r="U74" s="98"/>
    </row>
    <row r="75" spans="1:21">
      <c r="S75" s="106"/>
      <c r="T75" s="98"/>
      <c r="U75" s="98"/>
    </row>
    <row r="76" spans="1:21">
      <c r="S76" s="106"/>
      <c r="T76" s="98"/>
      <c r="U76" s="98"/>
    </row>
    <row r="77" spans="1:21">
      <c r="S77" s="106"/>
      <c r="T77" s="98"/>
      <c r="U77" s="98"/>
    </row>
    <row r="78" spans="1:21">
      <c r="S78" s="106"/>
      <c r="T78" s="98"/>
      <c r="U78" s="98"/>
    </row>
    <row r="79" spans="1:21">
      <c r="S79" s="106"/>
      <c r="T79" s="98"/>
      <c r="U79" s="98"/>
    </row>
    <row r="80" spans="1:21">
      <c r="S80" s="106"/>
      <c r="T80" s="98"/>
      <c r="U80" s="98"/>
    </row>
    <row r="81" spans="19:21">
      <c r="S81" s="106"/>
      <c r="T81" s="98"/>
      <c r="U81" s="98"/>
    </row>
    <row r="82" spans="19:21">
      <c r="S82" s="106"/>
      <c r="T82" s="98"/>
      <c r="U82" s="98"/>
    </row>
    <row r="83" spans="19:21">
      <c r="S83" s="106"/>
      <c r="T83" s="98"/>
      <c r="U83" s="98"/>
    </row>
    <row r="84" spans="19:21">
      <c r="S84" s="106"/>
      <c r="T84" s="98"/>
      <c r="U84" s="98"/>
    </row>
    <row r="85" spans="19:21">
      <c r="S85" s="106"/>
      <c r="T85" s="98"/>
      <c r="U85" s="98"/>
    </row>
    <row r="86" spans="19:21">
      <c r="S86" s="106"/>
      <c r="T86" s="98"/>
      <c r="U86" s="98"/>
    </row>
    <row r="87" spans="19:21">
      <c r="S87" s="106"/>
      <c r="T87" s="98"/>
      <c r="U87" s="98"/>
    </row>
    <row r="88" spans="19:21">
      <c r="S88" s="106"/>
      <c r="T88" s="98"/>
      <c r="U88" s="98"/>
    </row>
    <row r="89" spans="19:21">
      <c r="S89" s="106"/>
      <c r="T89" s="98"/>
      <c r="U89" s="98"/>
    </row>
    <row r="90" spans="19:21">
      <c r="S90" s="106"/>
      <c r="T90" s="98"/>
      <c r="U90" s="98"/>
    </row>
    <row r="91" spans="19:21">
      <c r="S91" s="106"/>
      <c r="T91" s="98"/>
      <c r="U91" s="98"/>
    </row>
    <row r="92" spans="19:21">
      <c r="S92" s="106"/>
      <c r="T92" s="98"/>
      <c r="U92" s="98"/>
    </row>
    <row r="93" spans="19:21">
      <c r="S93" s="106"/>
      <c r="T93" s="98"/>
      <c r="U93" s="98"/>
    </row>
    <row r="94" spans="19:21">
      <c r="S94" s="106"/>
      <c r="T94" s="98"/>
      <c r="U94" s="98"/>
    </row>
    <row r="95" spans="19:21">
      <c r="S95" s="106"/>
      <c r="T95" s="98"/>
      <c r="U95" s="98"/>
    </row>
    <row r="96" spans="19:21">
      <c r="S96" s="106"/>
      <c r="T96" s="98"/>
      <c r="U96" s="98"/>
    </row>
    <row r="97" spans="19:21">
      <c r="S97" s="106"/>
      <c r="T97" s="98"/>
      <c r="U97" s="98"/>
    </row>
    <row r="98" spans="19:21">
      <c r="S98" s="106"/>
      <c r="T98" s="98"/>
      <c r="U98" s="98"/>
    </row>
    <row r="99" spans="19:21">
      <c r="S99" s="106"/>
      <c r="T99" s="98"/>
      <c r="U99" s="98"/>
    </row>
    <row r="100" spans="19:21">
      <c r="S100" s="106"/>
      <c r="T100" s="98"/>
      <c r="U100" s="98"/>
    </row>
    <row r="101" spans="19:21">
      <c r="S101" s="106"/>
      <c r="T101" s="98"/>
      <c r="U101" s="98"/>
    </row>
    <row r="102" spans="19:21">
      <c r="S102" s="106"/>
      <c r="T102" s="98"/>
      <c r="U102" s="98"/>
    </row>
    <row r="103" spans="19:21">
      <c r="S103" s="106"/>
      <c r="T103" s="98"/>
      <c r="U103" s="98"/>
    </row>
    <row r="104" spans="19:21">
      <c r="S104" s="106"/>
      <c r="T104" s="98"/>
      <c r="U104" s="98"/>
    </row>
    <row r="105" spans="19:21">
      <c r="S105" s="107"/>
      <c r="T105" s="98"/>
      <c r="U105" s="98"/>
    </row>
    <row r="106" spans="19:21">
      <c r="S106" s="107"/>
      <c r="T106" s="98"/>
      <c r="U106" s="98"/>
    </row>
    <row r="107" spans="19:21">
      <c r="S107" s="107"/>
      <c r="T107" s="98"/>
      <c r="U107" s="98"/>
    </row>
    <row r="108" spans="19:21">
      <c r="S108" s="107"/>
      <c r="T108" s="98"/>
      <c r="U108" s="98"/>
    </row>
    <row r="109" spans="19:21">
      <c r="S109" s="107"/>
      <c r="T109" s="98"/>
      <c r="U109" s="98"/>
    </row>
    <row r="110" spans="19:21">
      <c r="S110" s="107"/>
      <c r="T110" s="98"/>
      <c r="U110" s="98"/>
    </row>
    <row r="111" spans="19:21">
      <c r="S111" s="107"/>
      <c r="T111" s="98"/>
      <c r="U111" s="98"/>
    </row>
    <row r="112" spans="19:21">
      <c r="S112" s="107"/>
      <c r="T112" s="98"/>
      <c r="U112" s="98"/>
    </row>
    <row r="113" spans="19:21">
      <c r="S113" s="107"/>
      <c r="T113" s="98"/>
      <c r="U113" s="98"/>
    </row>
    <row r="114" spans="19:21">
      <c r="S114" s="107"/>
      <c r="T114" s="98"/>
      <c r="U114" s="98"/>
    </row>
    <row r="115" spans="19:21">
      <c r="S115" s="107"/>
      <c r="T115" s="98"/>
      <c r="U115" s="98"/>
    </row>
    <row r="116" spans="19:21">
      <c r="S116" s="107"/>
      <c r="T116" s="98"/>
      <c r="U116" s="98"/>
    </row>
    <row r="117" spans="19:21">
      <c r="S117" s="107"/>
      <c r="T117" s="98"/>
      <c r="U117" s="98"/>
    </row>
    <row r="118" spans="19:21">
      <c r="S118" s="107"/>
      <c r="T118" s="98"/>
      <c r="U118" s="98"/>
    </row>
    <row r="119" spans="19:21">
      <c r="S119" s="98"/>
      <c r="T119" s="98"/>
      <c r="U119" s="98"/>
    </row>
    <row r="120" spans="19:21">
      <c r="S120" s="98"/>
      <c r="T120" s="98"/>
      <c r="U120" s="98"/>
    </row>
    <row r="121" spans="19:21">
      <c r="S121" s="98"/>
      <c r="T121" s="98"/>
      <c r="U121" s="98"/>
    </row>
    <row r="122" spans="19:21">
      <c r="S122" s="98"/>
      <c r="T122" s="98"/>
      <c r="U122" s="98"/>
    </row>
    <row r="123" spans="19:21">
      <c r="S123" s="98"/>
      <c r="T123" s="98"/>
      <c r="U123" s="98"/>
    </row>
  </sheetData>
  <mergeCells count="3">
    <mergeCell ref="A5:C5"/>
    <mergeCell ref="E50:G50"/>
    <mergeCell ref="E51:G51"/>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1" tint="0.499984740745262"/>
  </sheetPr>
  <dimension ref="A1:AP363"/>
  <sheetViews>
    <sheetView zoomScaleNormal="100" workbookViewId="0">
      <pane ySplit="8" topLeftCell="A9" activePane="bottomLeft" state="frozen"/>
      <selection pane="bottomLeft"/>
    </sheetView>
  </sheetViews>
  <sheetFormatPr defaultRowHeight="15"/>
  <cols>
    <col min="1" max="1" width="7.85546875" style="416" bestFit="1" customWidth="1"/>
    <col min="2" max="2" width="12.7109375" style="416" bestFit="1" customWidth="1"/>
    <col min="3" max="3" width="10.85546875" style="416" bestFit="1" customWidth="1"/>
    <col min="4" max="4" width="13.28515625" style="416" bestFit="1" customWidth="1"/>
    <col min="5" max="5" width="10.85546875" style="416" bestFit="1" customWidth="1"/>
    <col min="6" max="6" width="13.28515625" style="416" bestFit="1" customWidth="1"/>
    <col min="7" max="7" width="10.85546875" style="416" bestFit="1" customWidth="1"/>
    <col min="8" max="8" width="14.85546875" style="416" bestFit="1" customWidth="1"/>
    <col min="9" max="9" width="10.85546875" style="416" bestFit="1" customWidth="1"/>
    <col min="10" max="10" width="12.28515625" style="416" bestFit="1" customWidth="1"/>
    <col min="11" max="11" width="10.85546875" style="416" bestFit="1" customWidth="1"/>
    <col min="12" max="12" width="12.5703125" style="416" bestFit="1" customWidth="1"/>
    <col min="13" max="13" width="10.85546875" style="87" bestFit="1" customWidth="1"/>
    <col min="14" max="15" width="5.85546875" style="98" hidden="1" customWidth="1"/>
    <col min="16" max="16" width="9.28515625" style="87" bestFit="1" customWidth="1"/>
    <col min="17" max="19" width="19.5703125" style="416" customWidth="1"/>
    <col min="20" max="20" width="10.7109375" style="416" bestFit="1" customWidth="1"/>
    <col min="21" max="21" width="10.140625" style="416" bestFit="1" customWidth="1"/>
    <col min="22" max="22" width="11.140625" style="416" bestFit="1" customWidth="1"/>
    <col min="23" max="29" width="9.140625" style="416"/>
    <col min="30" max="30" width="1.85546875" style="416" customWidth="1"/>
    <col min="31" max="38" width="9.140625" style="416"/>
    <col min="39" max="41" width="9.140625" style="431"/>
    <col min="42" max="16384" width="9.140625" style="416"/>
  </cols>
  <sheetData>
    <row r="1" spans="1:42">
      <c r="A1" s="350" t="s">
        <v>429</v>
      </c>
      <c r="E1" s="455"/>
      <c r="AN1" s="431" t="str">
        <f>IF(R32=AO1,"B",IF(R32=AO2,"D",IF(R32=AO3,"F",IF(R32=AO4,"H",IF(R32=AO5,"J",IF(R32=AO6,"L","N"))))))</f>
        <v>B</v>
      </c>
      <c r="AO1" s="774" t="s">
        <v>527</v>
      </c>
    </row>
    <row r="2" spans="1:42" ht="21">
      <c r="A2" s="350" t="s">
        <v>446</v>
      </c>
      <c r="H2" s="1500"/>
      <c r="AN2" s="431" t="str">
        <f>IF(AN1="B","C",IF(AN1="F","G",IF(AN1="H","I",IF(AN1="J","K",IF(AN1="L","M","E")))))</f>
        <v>C</v>
      </c>
      <c r="AO2" s="774" t="s">
        <v>349</v>
      </c>
      <c r="AP2" s="1502"/>
    </row>
    <row r="3" spans="1:42">
      <c r="S3" s="948"/>
      <c r="T3" s="948"/>
      <c r="AO3" s="774" t="s">
        <v>528</v>
      </c>
      <c r="AP3" s="1502"/>
    </row>
    <row r="4" spans="1:42">
      <c r="AO4" s="774" t="s">
        <v>529</v>
      </c>
      <c r="AP4" s="1502"/>
    </row>
    <row r="5" spans="1:42">
      <c r="A5" s="1947" t="s">
        <v>526</v>
      </c>
      <c r="B5" s="1947"/>
      <c r="C5" s="1947"/>
      <c r="N5" s="305"/>
      <c r="O5" s="305"/>
      <c r="AO5" s="774" t="s">
        <v>531</v>
      </c>
      <c r="AP5" s="1502"/>
    </row>
    <row r="6" spans="1:42" ht="15.75" thickBot="1">
      <c r="A6" s="1992" t="s">
        <v>48</v>
      </c>
      <c r="B6" s="1992"/>
      <c r="C6" s="1992"/>
      <c r="N6" s="306"/>
      <c r="O6" s="306"/>
      <c r="AO6" s="774" t="s">
        <v>532</v>
      </c>
      <c r="AP6" s="1502"/>
    </row>
    <row r="7" spans="1:42" ht="15.75" thickBot="1">
      <c r="A7" s="761"/>
      <c r="B7" s="2026" t="s">
        <v>527</v>
      </c>
      <c r="C7" s="2027"/>
      <c r="D7" s="1958" t="s">
        <v>349</v>
      </c>
      <c r="E7" s="1960"/>
      <c r="F7" s="1958" t="s">
        <v>528</v>
      </c>
      <c r="G7" s="1960"/>
      <c r="H7" s="1958" t="s">
        <v>529</v>
      </c>
      <c r="I7" s="1960"/>
      <c r="J7" s="1958" t="s">
        <v>531</v>
      </c>
      <c r="K7" s="1960"/>
      <c r="L7" s="1958" t="s">
        <v>532</v>
      </c>
      <c r="M7" s="1960"/>
      <c r="N7" s="752"/>
      <c r="O7" s="752"/>
      <c r="Q7" s="1937" t="str">
        <f>CONCATENATE("Western Australian ",R32," Quantity and Value")</f>
        <v>Western Australian Silver Quantity and Value</v>
      </c>
      <c r="R7" s="1937"/>
      <c r="S7" s="1937"/>
      <c r="AO7" s="775"/>
    </row>
    <row r="8" spans="1:42" ht="31.5" customHeight="1" thickBot="1">
      <c r="A8" s="762" t="s">
        <v>6</v>
      </c>
      <c r="B8" s="765" t="s">
        <v>56</v>
      </c>
      <c r="C8" s="1600" t="s">
        <v>804</v>
      </c>
      <c r="D8" s="765" t="s">
        <v>7</v>
      </c>
      <c r="E8" s="1600" t="s">
        <v>804</v>
      </c>
      <c r="F8" s="765" t="s">
        <v>7</v>
      </c>
      <c r="G8" s="1600" t="s">
        <v>804</v>
      </c>
      <c r="H8" s="765" t="s">
        <v>530</v>
      </c>
      <c r="I8" s="1600" t="s">
        <v>804</v>
      </c>
      <c r="J8" s="765" t="s">
        <v>56</v>
      </c>
      <c r="K8" s="1600" t="s">
        <v>804</v>
      </c>
      <c r="L8" s="765" t="s">
        <v>533</v>
      </c>
      <c r="M8" s="1600" t="s">
        <v>804</v>
      </c>
      <c r="N8" s="1601"/>
      <c r="O8" s="1601"/>
      <c r="P8" s="1602"/>
      <c r="Q8" s="2031" t="s">
        <v>51</v>
      </c>
      <c r="R8" s="2031"/>
      <c r="S8" s="2031"/>
      <c r="T8" s="786"/>
      <c r="U8" s="2030" t="str">
        <f>R32</f>
        <v>Silver</v>
      </c>
      <c r="V8" s="2030"/>
      <c r="W8" s="2030"/>
      <c r="X8" s="2030"/>
      <c r="Y8" s="2030"/>
      <c r="Z8" s="2030"/>
      <c r="AA8" s="2030"/>
      <c r="AB8" s="2030"/>
      <c r="AC8" s="2030"/>
      <c r="AD8" s="786"/>
    </row>
    <row r="9" spans="1:42" ht="15.75" thickBot="1">
      <c r="A9" s="753">
        <v>36220</v>
      </c>
      <c r="B9" s="758">
        <v>30.273350000000001</v>
      </c>
      <c r="C9" s="73">
        <v>6.3547880000000001</v>
      </c>
      <c r="D9" s="758">
        <v>1.5795699999999999</v>
      </c>
      <c r="E9" s="73">
        <v>69.80547</v>
      </c>
      <c r="F9" s="758">
        <v>1.893567</v>
      </c>
      <c r="G9" s="73">
        <v>46.45391</v>
      </c>
      <c r="H9" s="758">
        <v>18.484000000000002</v>
      </c>
      <c r="I9" s="73">
        <v>219.48088999999999</v>
      </c>
      <c r="J9" s="758">
        <v>0.17065884000000003</v>
      </c>
      <c r="K9" s="73">
        <v>5.3259227641147149</v>
      </c>
      <c r="L9" s="758">
        <v>69.267070000000004</v>
      </c>
      <c r="M9" s="292">
        <v>0.95002500000000001</v>
      </c>
      <c r="N9" s="763">
        <f t="shared" ref="N9:N40" si="0">YEAR(A9)</f>
        <v>1999</v>
      </c>
      <c r="O9" s="764" t="str">
        <f t="shared" ref="O9:O40" si="1">IF(MONTH(A9)=3,"1",IF(MONTH(A9)=6,"2",IF(MONTH(A9)=9,"3","4")))</f>
        <v>1</v>
      </c>
      <c r="P9" s="948"/>
      <c r="Q9" s="776" t="s">
        <v>6</v>
      </c>
      <c r="R9" s="777" t="str">
        <f ca="1">R35</f>
        <v>Quantity (Kt)</v>
      </c>
      <c r="S9" s="778" t="str">
        <f ca="1">S35</f>
        <v>Value ($ Million)</v>
      </c>
      <c r="T9" s="786"/>
      <c r="U9" s="2029" t="s">
        <v>48</v>
      </c>
      <c r="V9" s="2029"/>
      <c r="W9" s="2029"/>
      <c r="X9" s="2029"/>
      <c r="Y9" s="2029"/>
      <c r="Z9" s="2029"/>
      <c r="AA9" s="2029"/>
      <c r="AB9" s="2029"/>
      <c r="AC9" s="2029"/>
      <c r="AD9" s="787"/>
    </row>
    <row r="10" spans="1:42">
      <c r="A10" s="753">
        <v>36312</v>
      </c>
      <c r="B10" s="759">
        <v>14.806039999999999</v>
      </c>
      <c r="C10" s="756">
        <v>3.7642370000000001</v>
      </c>
      <c r="D10" s="759">
        <v>1.3721159999999999</v>
      </c>
      <c r="E10" s="756">
        <v>61.922820000000002</v>
      </c>
      <c r="F10" s="759">
        <v>2.1109450000000001</v>
      </c>
      <c r="G10" s="756">
        <v>49.146189999999997</v>
      </c>
      <c r="H10" s="759">
        <v>10.177709999999999</v>
      </c>
      <c r="I10" s="756">
        <v>106.01584</v>
      </c>
      <c r="J10" s="759">
        <v>0.31939600000000001</v>
      </c>
      <c r="K10" s="756">
        <v>13.42855</v>
      </c>
      <c r="L10" s="759">
        <v>355.79199999999997</v>
      </c>
      <c r="M10" s="756">
        <v>3.5388470000000001</v>
      </c>
      <c r="N10" s="763">
        <f t="shared" si="0"/>
        <v>1999</v>
      </c>
      <c r="O10" s="764" t="str">
        <f t="shared" si="1"/>
        <v>2</v>
      </c>
      <c r="P10" s="1097"/>
      <c r="Q10" s="754">
        <f>LARGE(A$9:A$739,10)</f>
        <v>42979</v>
      </c>
      <c r="R10" s="779">
        <f t="shared" ref="R10:R19" si="2">IF($R$32=$B$7,SUMIF($A$9:$A$739,$Q10,B$9:B$739),IF($R$32=$D$7,SUMIF($A$9:$A$739,$Q10,D$9:D$731),IF($R$32=$F$7,SUMIF($A$9:$A$739,$Q10,F$9:F$731),IF($R$32=$H$7,SUMIF($A$9:$A$739,$Q10,H$9:H$731),IF($R$32=$J$7,SUMIF($A$9:$A$739,$Q10,J$9:J$739),IF($R$32=$L$7,SUMIF($A$9:$A$739,$Q10,L$9:L$739),""))))))</f>
        <v>38.35184801888915</v>
      </c>
      <c r="S10" s="1486">
        <f t="shared" ref="S10:S19" si="3">IF($R$32=$B$7,SUMIF($A$9:$A$739,$Q10,C$9:C$739),IF($R$32=$D$7,SUMIF($A$9:$A$739,$Q10,E$9:E$731),IF($R$32=$F$7,SUMIF($A$9:$A$739,$Q10,G$9:G$731),IF($R$32=$H$7,SUMIF($A$9:$A$739,$Q10,I$9:I$731),IF($R$32=$J$7,SUMIF($A$9:$A$739,$Q10,K$9:K$739),IF($R$32=$L$7,SUMIF($A$9:$A$739,$Q10,M$9:M$739),""))))))</f>
        <v>25.189914000000002</v>
      </c>
      <c r="T10" s="786"/>
      <c r="U10" s="786"/>
      <c r="V10" s="786"/>
      <c r="W10" s="786"/>
      <c r="X10" s="786"/>
      <c r="Y10" s="786"/>
      <c r="Z10" s="786"/>
      <c r="AA10" s="786"/>
      <c r="AB10" s="786"/>
      <c r="AC10" s="786"/>
      <c r="AD10" s="786"/>
    </row>
    <row r="11" spans="1:42">
      <c r="A11" s="753">
        <v>36404</v>
      </c>
      <c r="B11" s="758">
        <v>16.44342</v>
      </c>
      <c r="C11" s="73">
        <v>3.7416930000000002</v>
      </c>
      <c r="D11" s="758">
        <v>1.610838</v>
      </c>
      <c r="E11" s="73">
        <v>67.613169999999997</v>
      </c>
      <c r="F11" s="758">
        <v>2.2822930000000001</v>
      </c>
      <c r="G11" s="73">
        <v>53.361289999999997</v>
      </c>
      <c r="H11" s="758">
        <v>17.68383</v>
      </c>
      <c r="I11" s="73">
        <v>198.37900999999999</v>
      </c>
      <c r="J11" s="758">
        <v>0.15714699999999998</v>
      </c>
      <c r="K11" s="73">
        <v>7.2140009999999997</v>
      </c>
      <c r="L11" s="758">
        <v>198.84700000000001</v>
      </c>
      <c r="M11" s="292">
        <v>2.9512670000000001</v>
      </c>
      <c r="N11" s="763">
        <f t="shared" si="0"/>
        <v>1999</v>
      </c>
      <c r="O11" s="764" t="str">
        <f t="shared" si="1"/>
        <v>3</v>
      </c>
      <c r="P11" s="1097"/>
      <c r="Q11" s="754">
        <f>LARGE(A$9:A$739,9)</f>
        <v>43070</v>
      </c>
      <c r="R11" s="521">
        <f t="shared" si="2"/>
        <v>55.711471943068126</v>
      </c>
      <c r="S11" s="522">
        <f t="shared" si="3"/>
        <v>34.221868000000001</v>
      </c>
      <c r="T11" s="786"/>
      <c r="U11" s="786"/>
      <c r="V11" s="786"/>
      <c r="W11" s="786"/>
      <c r="X11" s="786"/>
      <c r="Y11" s="786"/>
      <c r="Z11" s="786"/>
      <c r="AA11" s="786"/>
      <c r="AB11" s="786"/>
      <c r="AC11" s="786"/>
      <c r="AD11" s="786"/>
    </row>
    <row r="12" spans="1:42">
      <c r="A12" s="753">
        <v>36495</v>
      </c>
      <c r="B12" s="759">
        <v>20.329879999999999</v>
      </c>
      <c r="C12" s="756">
        <v>4.9106420000000002</v>
      </c>
      <c r="D12" s="759">
        <v>1.66896</v>
      </c>
      <c r="E12" s="756">
        <v>68.676630000000003</v>
      </c>
      <c r="F12" s="759">
        <v>2.729635</v>
      </c>
      <c r="G12" s="756">
        <v>63.780630000000002</v>
      </c>
      <c r="H12" s="759">
        <v>5.2963899999999997</v>
      </c>
      <c r="I12" s="756">
        <v>116.18223999999999</v>
      </c>
      <c r="J12" s="759">
        <v>0.36314299999999999</v>
      </c>
      <c r="K12" s="756">
        <v>11.712628</v>
      </c>
      <c r="L12" s="759">
        <v>293.99200000000002</v>
      </c>
      <c r="M12" s="756">
        <v>5.0616390000000004</v>
      </c>
      <c r="N12" s="763">
        <f t="shared" si="0"/>
        <v>1999</v>
      </c>
      <c r="O12" s="764" t="str">
        <f t="shared" si="1"/>
        <v>4</v>
      </c>
      <c r="P12" s="1097"/>
      <c r="Q12" s="754">
        <f>LARGE(A$9:A$739,8)</f>
        <v>43160</v>
      </c>
      <c r="R12" s="1487">
        <f t="shared" si="2"/>
        <v>26.355252109596368</v>
      </c>
      <c r="S12" s="780">
        <f t="shared" si="3"/>
        <v>17.711662</v>
      </c>
      <c r="T12" s="786"/>
      <c r="U12" s="786"/>
      <c r="V12" s="786"/>
      <c r="W12" s="786"/>
      <c r="X12" s="786"/>
      <c r="Y12" s="786"/>
      <c r="Z12" s="786"/>
      <c r="AA12" s="786"/>
      <c r="AB12" s="786"/>
      <c r="AC12" s="786"/>
      <c r="AD12" s="786"/>
    </row>
    <row r="13" spans="1:42">
      <c r="A13" s="753">
        <v>36586</v>
      </c>
      <c r="B13" s="758">
        <v>20.281870000000001</v>
      </c>
      <c r="C13" s="73">
        <v>5.3519800000000002</v>
      </c>
      <c r="D13" s="758">
        <v>1.626428</v>
      </c>
      <c r="E13" s="73">
        <v>67.772890000000004</v>
      </c>
      <c r="F13" s="758">
        <v>2.1116389999999998</v>
      </c>
      <c r="G13" s="73">
        <v>49.039890999999997</v>
      </c>
      <c r="H13" s="758">
        <v>17.765540000000001</v>
      </c>
      <c r="I13" s="73">
        <v>226.41005999999999</v>
      </c>
      <c r="J13" s="758">
        <v>0.56810000000000005</v>
      </c>
      <c r="K13" s="73">
        <v>19.984059999999999</v>
      </c>
      <c r="L13" s="758">
        <v>240.303</v>
      </c>
      <c r="M13" s="292">
        <v>6.2399279999999999</v>
      </c>
      <c r="N13" s="763">
        <f t="shared" si="0"/>
        <v>2000</v>
      </c>
      <c r="O13" s="764" t="str">
        <f t="shared" si="1"/>
        <v>1</v>
      </c>
      <c r="P13" s="1097"/>
      <c r="Q13" s="754">
        <f>LARGE(A$9:A$739,7)</f>
        <v>43252</v>
      </c>
      <c r="R13" s="521">
        <f t="shared" si="2"/>
        <v>42.67987291100971</v>
      </c>
      <c r="S13" s="522">
        <f t="shared" si="3"/>
        <v>28.203759999999999</v>
      </c>
      <c r="T13" s="786"/>
      <c r="U13" s="786"/>
      <c r="V13" s="786"/>
      <c r="W13" s="786"/>
      <c r="X13" s="786"/>
      <c r="Y13" s="786"/>
      <c r="Z13" s="786"/>
      <c r="AA13" s="786"/>
      <c r="AB13" s="786"/>
      <c r="AC13" s="786"/>
      <c r="AD13" s="786"/>
    </row>
    <row r="14" spans="1:42">
      <c r="A14" s="753">
        <v>36678</v>
      </c>
      <c r="B14" s="759">
        <v>53.063160000000003</v>
      </c>
      <c r="C14" s="756">
        <v>10.98086</v>
      </c>
      <c r="D14" s="759">
        <v>1.5982799999999999</v>
      </c>
      <c r="E14" s="756">
        <v>67.468779999999995</v>
      </c>
      <c r="F14" s="759">
        <v>1.686202</v>
      </c>
      <c r="G14" s="756">
        <v>42.396659999999997</v>
      </c>
      <c r="H14" s="759">
        <v>10.23887</v>
      </c>
      <c r="I14" s="756">
        <v>162.69863000000001</v>
      </c>
      <c r="J14" s="759">
        <v>0.82822000000000007</v>
      </c>
      <c r="K14" s="756">
        <v>37.767986999999998</v>
      </c>
      <c r="L14" s="759">
        <v>179.32599999999999</v>
      </c>
      <c r="M14" s="756">
        <v>5.5992490000000004</v>
      </c>
      <c r="N14" s="763">
        <f t="shared" si="0"/>
        <v>2000</v>
      </c>
      <c r="O14" s="764" t="str">
        <f t="shared" si="1"/>
        <v>2</v>
      </c>
      <c r="P14" s="1097"/>
      <c r="Q14" s="754">
        <f>LARGE(A$9:A$739,6)</f>
        <v>43344</v>
      </c>
      <c r="R14" s="1487">
        <f t="shared" si="2"/>
        <v>31.913538660458411</v>
      </c>
      <c r="S14" s="780">
        <f t="shared" si="3"/>
        <v>20.453320999999999</v>
      </c>
      <c r="T14" s="786"/>
      <c r="U14" s="786"/>
      <c r="V14" s="786"/>
      <c r="W14" s="786"/>
      <c r="X14" s="786"/>
      <c r="Y14" s="786"/>
      <c r="Z14" s="786"/>
      <c r="AA14" s="786"/>
      <c r="AB14" s="786"/>
      <c r="AC14" s="786"/>
      <c r="AD14" s="786"/>
    </row>
    <row r="15" spans="1:42">
      <c r="A15" s="753">
        <v>36770</v>
      </c>
      <c r="B15" s="758">
        <v>48.170050000000003</v>
      </c>
      <c r="C15" s="73">
        <v>12.125999999999999</v>
      </c>
      <c r="D15" s="758">
        <v>1.5842620000000001</v>
      </c>
      <c r="E15" s="73">
        <v>64.46011</v>
      </c>
      <c r="F15" s="758">
        <v>1.5742499999999999</v>
      </c>
      <c r="G15" s="73">
        <v>40.654631999999999</v>
      </c>
      <c r="H15" s="758">
        <v>7.151688</v>
      </c>
      <c r="I15" s="73">
        <v>186.05951999999999</v>
      </c>
      <c r="J15" s="758">
        <v>0.99601100000000009</v>
      </c>
      <c r="K15" s="73">
        <v>43.441274999999997</v>
      </c>
      <c r="L15" s="758">
        <v>314.51</v>
      </c>
      <c r="M15" s="292">
        <v>10.692036999999999</v>
      </c>
      <c r="N15" s="763">
        <f t="shared" si="0"/>
        <v>2000</v>
      </c>
      <c r="O15" s="764" t="str">
        <f t="shared" si="1"/>
        <v>3</v>
      </c>
      <c r="P15" s="1097"/>
      <c r="Q15" s="754">
        <f>LARGE(A$9:A$739,5)</f>
        <v>43435</v>
      </c>
      <c r="R15" s="521">
        <f t="shared" si="2"/>
        <v>43.256379777942627</v>
      </c>
      <c r="S15" s="522">
        <f t="shared" si="3"/>
        <v>27.697673999999999</v>
      </c>
      <c r="T15" s="786"/>
      <c r="U15" s="786"/>
      <c r="V15" s="786"/>
      <c r="W15" s="786"/>
      <c r="X15" s="786"/>
      <c r="Y15" s="786"/>
      <c r="Z15" s="786"/>
      <c r="AA15" s="786"/>
      <c r="AB15" s="786"/>
      <c r="AC15" s="786"/>
      <c r="AD15" s="786"/>
    </row>
    <row r="16" spans="1:42">
      <c r="A16" s="753">
        <v>36861</v>
      </c>
      <c r="B16" s="759">
        <v>36.123550000000002</v>
      </c>
      <c r="C16" s="756">
        <v>8.9040750000000006</v>
      </c>
      <c r="D16" s="759">
        <v>1.395618</v>
      </c>
      <c r="E16" s="756">
        <v>58.137219999999999</v>
      </c>
      <c r="F16" s="759">
        <v>2.3333339999999998</v>
      </c>
      <c r="G16" s="756">
        <v>65.224576999999996</v>
      </c>
      <c r="H16" s="759">
        <v>7.1440130000000002</v>
      </c>
      <c r="I16" s="756">
        <v>138.51633000000001</v>
      </c>
      <c r="J16" s="759">
        <v>1.2061489999999999</v>
      </c>
      <c r="K16" s="756">
        <v>56.461489999999998</v>
      </c>
      <c r="L16" s="759">
        <v>248.636</v>
      </c>
      <c r="M16" s="756">
        <v>10.725585000000001</v>
      </c>
      <c r="N16" s="763">
        <f t="shared" si="0"/>
        <v>2000</v>
      </c>
      <c r="O16" s="764" t="str">
        <f t="shared" si="1"/>
        <v>4</v>
      </c>
      <c r="P16" s="1097"/>
      <c r="Q16" s="754">
        <f>LARGE(A$9:A$739,4)</f>
        <v>43525</v>
      </c>
      <c r="R16" s="1487">
        <f t="shared" si="2"/>
        <v>32.181532159486416</v>
      </c>
      <c r="S16" s="780">
        <f t="shared" si="3"/>
        <v>21.291260000000001</v>
      </c>
      <c r="T16" s="786"/>
      <c r="U16" s="786"/>
      <c r="V16" s="786"/>
      <c r="W16" s="786"/>
      <c r="X16" s="786"/>
      <c r="Y16" s="786"/>
      <c r="Z16" s="786"/>
      <c r="AA16" s="786"/>
      <c r="AB16" s="786"/>
      <c r="AC16" s="786"/>
      <c r="AD16" s="786"/>
    </row>
    <row r="17" spans="1:30">
      <c r="A17" s="753">
        <v>36951</v>
      </c>
      <c r="B17" s="758">
        <v>54.526189000000002</v>
      </c>
      <c r="C17" s="73">
        <v>14.99315</v>
      </c>
      <c r="D17" s="758">
        <v>1.5618970000000001</v>
      </c>
      <c r="E17" s="73">
        <v>64.973159999999993</v>
      </c>
      <c r="F17" s="758">
        <v>2.2834430000000001</v>
      </c>
      <c r="G17" s="73">
        <v>64.993669999999995</v>
      </c>
      <c r="H17" s="758">
        <v>7.5364909999999998</v>
      </c>
      <c r="I17" s="73">
        <v>192.1585</v>
      </c>
      <c r="J17" s="758">
        <v>1.0214529999999999</v>
      </c>
      <c r="K17" s="73">
        <v>37.440311000000001</v>
      </c>
      <c r="L17" s="758">
        <v>259.02</v>
      </c>
      <c r="M17" s="292">
        <v>14.713063</v>
      </c>
      <c r="N17" s="763">
        <f t="shared" si="0"/>
        <v>2001</v>
      </c>
      <c r="O17" s="764" t="str">
        <f t="shared" si="1"/>
        <v>1</v>
      </c>
      <c r="P17" s="1097"/>
      <c r="Q17" s="754">
        <f>LARGE(A$9:A$739,3)</f>
        <v>43617</v>
      </c>
      <c r="R17" s="521">
        <f t="shared" si="2"/>
        <v>22.549511519189316</v>
      </c>
      <c r="S17" s="522">
        <f t="shared" si="3"/>
        <v>15.400172</v>
      </c>
      <c r="T17" s="786"/>
      <c r="U17" s="786"/>
      <c r="V17" s="786"/>
      <c r="W17" s="786"/>
      <c r="X17" s="786"/>
      <c r="Y17" s="786"/>
      <c r="Z17" s="786"/>
      <c r="AA17" s="786"/>
      <c r="AB17" s="786"/>
      <c r="AC17" s="786"/>
      <c r="AD17" s="786"/>
    </row>
    <row r="18" spans="1:30">
      <c r="A18" s="753">
        <v>37043</v>
      </c>
      <c r="B18" s="759">
        <v>15.433811</v>
      </c>
      <c r="C18" s="756">
        <v>3.898466</v>
      </c>
      <c r="D18" s="759">
        <v>1.5610360000000001</v>
      </c>
      <c r="E18" s="756">
        <v>64.711269999999999</v>
      </c>
      <c r="F18" s="759">
        <v>2.1126010000000002</v>
      </c>
      <c r="G18" s="756">
        <v>62.208860000000001</v>
      </c>
      <c r="H18" s="759">
        <v>3.5872389999999998</v>
      </c>
      <c r="I18" s="756">
        <v>97.719009999999997</v>
      </c>
      <c r="J18" s="759">
        <v>0.96547000000000005</v>
      </c>
      <c r="K18" s="756">
        <v>37.037523999999998</v>
      </c>
      <c r="L18" s="759">
        <v>229</v>
      </c>
      <c r="M18" s="756">
        <v>9.1052979999999994</v>
      </c>
      <c r="N18" s="763">
        <f t="shared" si="0"/>
        <v>2001</v>
      </c>
      <c r="O18" s="764" t="str">
        <f t="shared" si="1"/>
        <v>2</v>
      </c>
      <c r="P18" s="1097"/>
      <c r="Q18" s="754">
        <f>LARGE(A$9:A$739,2)</f>
        <v>43709</v>
      </c>
      <c r="R18" s="1487">
        <f t="shared" si="2"/>
        <v>41.648860833512195</v>
      </c>
      <c r="S18" s="780">
        <f t="shared" si="3"/>
        <v>31.517075999999999</v>
      </c>
      <c r="T18" s="786"/>
      <c r="U18" s="786"/>
      <c r="V18" s="786"/>
      <c r="W18" s="786"/>
      <c r="X18" s="786"/>
      <c r="Y18" s="786"/>
      <c r="Z18" s="786"/>
      <c r="AA18" s="786"/>
      <c r="AB18" s="786"/>
      <c r="AC18" s="786"/>
      <c r="AD18" s="786"/>
    </row>
    <row r="19" spans="1:30" ht="15.75" thickBot="1">
      <c r="A19" s="753">
        <v>37135</v>
      </c>
      <c r="B19" s="758">
        <v>10.779284799999999</v>
      </c>
      <c r="C19" s="73">
        <v>2.9351850000000002</v>
      </c>
      <c r="D19" s="758">
        <v>1.6005370000000001</v>
      </c>
      <c r="E19" s="73">
        <v>66.351070000000007</v>
      </c>
      <c r="F19" s="758">
        <v>1.954604</v>
      </c>
      <c r="G19" s="73">
        <v>56.981020000000001</v>
      </c>
      <c r="H19" s="758">
        <v>8.3431879999999996</v>
      </c>
      <c r="I19" s="73">
        <v>163.57499999999999</v>
      </c>
      <c r="J19" s="758">
        <v>1.0345039999999999</v>
      </c>
      <c r="K19" s="73">
        <v>35.395420999999999</v>
      </c>
      <c r="L19" s="758">
        <v>268.209</v>
      </c>
      <c r="M19" s="292">
        <v>8.3445169999999997</v>
      </c>
      <c r="N19" s="763">
        <f t="shared" si="0"/>
        <v>2001</v>
      </c>
      <c r="O19" s="764" t="str">
        <f t="shared" si="1"/>
        <v>3</v>
      </c>
      <c r="P19" s="1097"/>
      <c r="Q19" s="1873">
        <f>LARGE(A$9:A$739,1)</f>
        <v>43800</v>
      </c>
      <c r="R19" s="523">
        <f t="shared" si="2"/>
        <v>38.092938424544414</v>
      </c>
      <c r="S19" s="524">
        <f t="shared" si="3"/>
        <v>26.825990999999998</v>
      </c>
      <c r="T19" s="786"/>
      <c r="U19" s="786"/>
      <c r="V19" s="786"/>
      <c r="W19" s="786"/>
      <c r="X19" s="786"/>
      <c r="Y19" s="786"/>
      <c r="Z19" s="786"/>
      <c r="AA19" s="786"/>
      <c r="AB19" s="786"/>
      <c r="AC19" s="786"/>
      <c r="AD19" s="786"/>
    </row>
    <row r="20" spans="1:30">
      <c r="A20" s="753">
        <v>37226</v>
      </c>
      <c r="B20" s="759">
        <v>42.040999999999997</v>
      </c>
      <c r="C20" s="756">
        <v>8.8894350000000006</v>
      </c>
      <c r="D20" s="759">
        <v>1.481225</v>
      </c>
      <c r="E20" s="756">
        <v>62.176290000000002</v>
      </c>
      <c r="F20" s="759">
        <v>2.2257669999999998</v>
      </c>
      <c r="G20" s="756">
        <v>65.056740000000005</v>
      </c>
      <c r="H20" s="759">
        <v>2.213012</v>
      </c>
      <c r="I20" s="756">
        <v>46.081600000000002</v>
      </c>
      <c r="J20" s="759">
        <v>1.290513</v>
      </c>
      <c r="K20" s="756">
        <v>34.973458999999998</v>
      </c>
      <c r="L20" s="759">
        <v>245.17</v>
      </c>
      <c r="M20" s="756">
        <v>5.4069849999999997</v>
      </c>
      <c r="N20" s="763">
        <f t="shared" si="0"/>
        <v>2001</v>
      </c>
      <c r="O20" s="764" t="str">
        <f t="shared" si="1"/>
        <v>4</v>
      </c>
      <c r="P20" s="1097"/>
      <c r="Q20" s="3"/>
      <c r="T20" s="786"/>
      <c r="U20" s="786"/>
      <c r="V20" s="786"/>
      <c r="W20" s="786"/>
      <c r="X20" s="786"/>
      <c r="Y20" s="786"/>
      <c r="Z20" s="786"/>
      <c r="AA20" s="786"/>
      <c r="AB20" s="786"/>
      <c r="AC20" s="786"/>
      <c r="AD20" s="786"/>
    </row>
    <row r="21" spans="1:30">
      <c r="A21" s="753">
        <v>37316</v>
      </c>
      <c r="B21" s="758">
        <v>8.5067913884426201</v>
      </c>
      <c r="C21" s="73">
        <v>2.7064270000000001</v>
      </c>
      <c r="D21" s="758">
        <v>1.505015</v>
      </c>
      <c r="E21" s="73">
        <v>64.021928000000003</v>
      </c>
      <c r="F21" s="758">
        <v>2.3002959999999999</v>
      </c>
      <c r="G21" s="73">
        <v>68.604766999999995</v>
      </c>
      <c r="H21" s="758">
        <v>12.646680999999999</v>
      </c>
      <c r="I21" s="73">
        <v>253.815437</v>
      </c>
      <c r="J21" s="758">
        <v>1.0311630000000001</v>
      </c>
      <c r="K21" s="73">
        <v>27.725504999999998</v>
      </c>
      <c r="L21" s="758">
        <v>225.58</v>
      </c>
      <c r="M21" s="292">
        <v>5.3030109999999997</v>
      </c>
      <c r="N21" s="763">
        <f t="shared" si="0"/>
        <v>2002</v>
      </c>
      <c r="O21" s="764" t="str">
        <f t="shared" si="1"/>
        <v>1</v>
      </c>
      <c r="P21" s="1097"/>
      <c r="Q21" s="3"/>
      <c r="T21" s="786"/>
      <c r="U21" s="786"/>
      <c r="V21" s="786"/>
      <c r="W21" s="786"/>
      <c r="X21" s="786"/>
      <c r="Y21" s="786"/>
      <c r="Z21" s="786"/>
      <c r="AA21" s="786"/>
      <c r="AB21" s="786"/>
      <c r="AC21" s="786"/>
      <c r="AD21" s="786"/>
    </row>
    <row r="22" spans="1:30">
      <c r="A22" s="753">
        <v>37408</v>
      </c>
      <c r="B22" s="759">
        <v>41.200089999999996</v>
      </c>
      <c r="C22" s="756">
        <v>10.031777999999999</v>
      </c>
      <c r="D22" s="759">
        <v>1.5774170000000001</v>
      </c>
      <c r="E22" s="756">
        <v>65.576620000000005</v>
      </c>
      <c r="F22" s="759">
        <v>2.1654870000000002</v>
      </c>
      <c r="G22" s="756">
        <v>60.399329999999999</v>
      </c>
      <c r="H22" s="759">
        <v>7.0153869999999996</v>
      </c>
      <c r="I22" s="756">
        <v>146.80247900000001</v>
      </c>
      <c r="J22" s="759">
        <v>1.19547</v>
      </c>
      <c r="K22" s="756">
        <v>32.521793000000002</v>
      </c>
      <c r="L22" s="759">
        <v>232.72</v>
      </c>
      <c r="M22" s="756">
        <v>4.9676169999999997</v>
      </c>
      <c r="N22" s="763">
        <f t="shared" si="0"/>
        <v>2002</v>
      </c>
      <c r="O22" s="764" t="str">
        <f t="shared" si="1"/>
        <v>2</v>
      </c>
      <c r="P22" s="1097"/>
      <c r="Q22" s="3"/>
      <c r="T22" s="786"/>
      <c r="U22" s="786"/>
      <c r="V22" s="786"/>
      <c r="W22" s="786"/>
      <c r="X22" s="786"/>
      <c r="Y22" s="786"/>
      <c r="Z22" s="786"/>
      <c r="AA22" s="786"/>
      <c r="AB22" s="786"/>
      <c r="AC22" s="786"/>
      <c r="AD22" s="786"/>
    </row>
    <row r="23" spans="1:30">
      <c r="A23" s="753">
        <v>37500</v>
      </c>
      <c r="B23" s="758">
        <v>15.169086724195569</v>
      </c>
      <c r="C23" s="73">
        <v>3.9290959999999999</v>
      </c>
      <c r="D23" s="758">
        <v>1.626439</v>
      </c>
      <c r="E23" s="73">
        <v>69.443230999999997</v>
      </c>
      <c r="F23" s="758">
        <v>2.092015</v>
      </c>
      <c r="G23" s="73">
        <v>56.626885999999999</v>
      </c>
      <c r="H23" s="758">
        <v>7.9505169999999996</v>
      </c>
      <c r="I23" s="73">
        <v>147.228297</v>
      </c>
      <c r="J23" s="758">
        <v>1.2979349999999998</v>
      </c>
      <c r="K23" s="73">
        <v>31.53819</v>
      </c>
      <c r="L23" s="758">
        <v>189.24100000000001</v>
      </c>
      <c r="M23" s="292">
        <v>3.459381</v>
      </c>
      <c r="N23" s="763">
        <f t="shared" si="0"/>
        <v>2002</v>
      </c>
      <c r="O23" s="764" t="str">
        <f t="shared" si="1"/>
        <v>3</v>
      </c>
      <c r="P23" s="1097"/>
      <c r="Q23" s="3"/>
      <c r="T23" s="786"/>
      <c r="U23" s="786"/>
      <c r="V23" s="786"/>
      <c r="W23" s="786"/>
      <c r="X23" s="786"/>
      <c r="Y23" s="786"/>
      <c r="Z23" s="786"/>
      <c r="AA23" s="786"/>
      <c r="AB23" s="786"/>
      <c r="AC23" s="786"/>
      <c r="AD23" s="786"/>
    </row>
    <row r="24" spans="1:30">
      <c r="A24" s="753">
        <v>37591</v>
      </c>
      <c r="B24" s="759">
        <v>34.019711772046264</v>
      </c>
      <c r="C24" s="756">
        <v>8.2505400000000009</v>
      </c>
      <c r="D24" s="759">
        <v>1.5536669999999999</v>
      </c>
      <c r="E24" s="756">
        <v>67.360894000000002</v>
      </c>
      <c r="F24" s="759">
        <v>2.6136650000000001</v>
      </c>
      <c r="G24" s="756">
        <v>64.895644000000004</v>
      </c>
      <c r="H24" s="759">
        <v>7.8663959999999999</v>
      </c>
      <c r="I24" s="756">
        <v>114.01141699999999</v>
      </c>
      <c r="J24" s="759">
        <v>1.175405</v>
      </c>
      <c r="K24" s="756">
        <v>27.168202999999998</v>
      </c>
      <c r="L24" s="759">
        <v>165.81700000000001</v>
      </c>
      <c r="M24" s="756">
        <v>3.1514899999999999</v>
      </c>
      <c r="N24" s="763">
        <f t="shared" si="0"/>
        <v>2002</v>
      </c>
      <c r="O24" s="764" t="str">
        <f t="shared" si="1"/>
        <v>4</v>
      </c>
      <c r="P24" s="1097"/>
      <c r="Q24" s="3"/>
      <c r="T24" s="786"/>
      <c r="U24" s="786"/>
      <c r="V24" s="786"/>
      <c r="W24" s="786"/>
      <c r="X24" s="786"/>
      <c r="Y24" s="786"/>
      <c r="Z24" s="786"/>
      <c r="AA24" s="786"/>
      <c r="AB24" s="786"/>
      <c r="AC24" s="786"/>
      <c r="AD24" s="786"/>
    </row>
    <row r="25" spans="1:30">
      <c r="A25" s="753">
        <v>37681</v>
      </c>
      <c r="B25" s="758">
        <v>10.363415549847053</v>
      </c>
      <c r="C25" s="73">
        <v>2.3356549392733785</v>
      </c>
      <c r="D25" s="758">
        <v>1.59413</v>
      </c>
      <c r="E25" s="73">
        <v>69.661443000000006</v>
      </c>
      <c r="F25" s="758">
        <v>2.4200170000000001</v>
      </c>
      <c r="G25" s="73">
        <v>54.355421999999997</v>
      </c>
      <c r="H25" s="758">
        <v>12.646680999999999</v>
      </c>
      <c r="I25" s="73">
        <v>253.86191199999999</v>
      </c>
      <c r="J25" s="758">
        <v>1.1724480000000002</v>
      </c>
      <c r="K25" s="73">
        <v>30.158299</v>
      </c>
      <c r="L25" s="758">
        <v>161.61000000000001</v>
      </c>
      <c r="M25" s="292">
        <v>2.9535019999999998</v>
      </c>
      <c r="N25" s="763">
        <f t="shared" si="0"/>
        <v>2003</v>
      </c>
      <c r="O25" s="764" t="str">
        <f t="shared" si="1"/>
        <v>1</v>
      </c>
      <c r="P25" s="1097"/>
      <c r="Q25" s="3"/>
      <c r="T25" s="786"/>
      <c r="U25" s="786"/>
      <c r="V25" s="786"/>
      <c r="W25" s="786"/>
      <c r="X25" s="786"/>
      <c r="Y25" s="786"/>
      <c r="Z25" s="786"/>
      <c r="AA25" s="786"/>
      <c r="AB25" s="786"/>
      <c r="AC25" s="786"/>
      <c r="AD25" s="786"/>
    </row>
    <row r="26" spans="1:30">
      <c r="A26" s="753">
        <v>37773</v>
      </c>
      <c r="B26" s="759">
        <v>23.004932622460245</v>
      </c>
      <c r="C26" s="756">
        <v>5.7236078169604818</v>
      </c>
      <c r="D26" s="759">
        <v>1.548961</v>
      </c>
      <c r="E26" s="756">
        <v>66.421180000000007</v>
      </c>
      <c r="F26" s="759">
        <v>2.481233</v>
      </c>
      <c r="G26" s="756">
        <v>52.071703999999997</v>
      </c>
      <c r="H26" s="759">
        <v>7.0153879999999997</v>
      </c>
      <c r="I26" s="756">
        <v>146.84101100000001</v>
      </c>
      <c r="J26" s="759">
        <v>1.2773699999999999</v>
      </c>
      <c r="K26" s="756">
        <v>33.387242000000001</v>
      </c>
      <c r="L26" s="759">
        <v>152.66999999999999</v>
      </c>
      <c r="M26" s="756">
        <v>2.2418100000000001</v>
      </c>
      <c r="N26" s="763">
        <f t="shared" si="0"/>
        <v>2003</v>
      </c>
      <c r="O26" s="764" t="str">
        <f t="shared" si="1"/>
        <v>2</v>
      </c>
      <c r="P26" s="1097"/>
      <c r="Q26" s="3"/>
      <c r="T26" s="786"/>
      <c r="U26" s="786"/>
      <c r="V26" s="786"/>
      <c r="W26" s="786"/>
      <c r="X26" s="786"/>
      <c r="Y26" s="786"/>
      <c r="Z26" s="786"/>
      <c r="AA26" s="786"/>
      <c r="AB26" s="786"/>
      <c r="AC26" s="786"/>
      <c r="AD26" s="786"/>
    </row>
    <row r="27" spans="1:30">
      <c r="A27" s="753">
        <v>37865</v>
      </c>
      <c r="B27" s="758">
        <v>27.48</v>
      </c>
      <c r="C27" s="73">
        <v>4.6400335400000001</v>
      </c>
      <c r="D27" s="758">
        <v>1.494164</v>
      </c>
      <c r="E27" s="292">
        <v>65.080843000000002</v>
      </c>
      <c r="F27" s="758">
        <v>2.1555275300000001</v>
      </c>
      <c r="G27" s="73">
        <v>42.955953039999997</v>
      </c>
      <c r="H27" s="758">
        <v>7.9505169999999996</v>
      </c>
      <c r="I27" s="73">
        <v>147.25605200000001</v>
      </c>
      <c r="J27" s="758">
        <v>1.152933</v>
      </c>
      <c r="K27" s="292">
        <v>34.490805999999999</v>
      </c>
      <c r="L27" s="758">
        <v>150.25200000000001</v>
      </c>
      <c r="M27" s="292">
        <v>1.3383670000000001</v>
      </c>
      <c r="N27" s="763">
        <f t="shared" si="0"/>
        <v>2003</v>
      </c>
      <c r="O27" s="764" t="str">
        <f t="shared" si="1"/>
        <v>3</v>
      </c>
      <c r="P27" s="1097"/>
      <c r="T27" s="786"/>
      <c r="U27" s="786"/>
      <c r="V27" s="786"/>
      <c r="W27" s="786"/>
      <c r="X27" s="786"/>
      <c r="Y27" s="786"/>
      <c r="Z27" s="786"/>
      <c r="AA27" s="786"/>
      <c r="AB27" s="786"/>
      <c r="AC27" s="786"/>
      <c r="AD27" s="786"/>
    </row>
    <row r="28" spans="1:30">
      <c r="A28" s="753">
        <v>37956</v>
      </c>
      <c r="B28" s="759">
        <v>11.35</v>
      </c>
      <c r="C28" s="756">
        <v>2.5258398899999999</v>
      </c>
      <c r="D28" s="759">
        <v>1.3893260000000001</v>
      </c>
      <c r="E28" s="756">
        <v>60.2582825</v>
      </c>
      <c r="F28" s="759">
        <v>2.6791669300000001</v>
      </c>
      <c r="G28" s="756">
        <v>47.156611499999997</v>
      </c>
      <c r="H28" s="759">
        <v>7.8663959999999999</v>
      </c>
      <c r="I28" s="756">
        <v>114.102937</v>
      </c>
      <c r="J28" s="759">
        <v>1.3972260000000001</v>
      </c>
      <c r="K28" s="756">
        <v>47.001964000000001</v>
      </c>
      <c r="L28" s="759">
        <v>145.874</v>
      </c>
      <c r="M28" s="756">
        <v>1.775582</v>
      </c>
      <c r="N28" s="300">
        <f t="shared" si="0"/>
        <v>2003</v>
      </c>
      <c r="O28" s="302" t="str">
        <f t="shared" si="1"/>
        <v>4</v>
      </c>
      <c r="P28" s="1097"/>
      <c r="T28" s="786"/>
      <c r="U28" s="786"/>
      <c r="V28" s="786"/>
      <c r="W28" s="786"/>
      <c r="X28" s="786"/>
      <c r="Y28" s="786"/>
      <c r="Z28" s="786"/>
      <c r="AA28" s="786"/>
      <c r="AB28" s="786"/>
      <c r="AC28" s="786"/>
      <c r="AD28" s="786"/>
    </row>
    <row r="29" spans="1:30">
      <c r="A29" s="753">
        <v>38047</v>
      </c>
      <c r="B29" s="758">
        <v>13.29</v>
      </c>
      <c r="C29" s="73">
        <v>3.1044165100000001</v>
      </c>
      <c r="D29" s="758">
        <v>1.5455429999999999</v>
      </c>
      <c r="E29" s="292">
        <v>74.215363999999994</v>
      </c>
      <c r="F29" s="758">
        <v>2.4372070799999999</v>
      </c>
      <c r="G29" s="73">
        <v>41.628523899999998</v>
      </c>
      <c r="H29" s="758">
        <v>10.401199</v>
      </c>
      <c r="I29" s="73">
        <v>150.60917900000001</v>
      </c>
      <c r="J29" s="758">
        <v>0.98941699999999999</v>
      </c>
      <c r="K29" s="292">
        <v>60.842170000000003</v>
      </c>
      <c r="L29" s="758">
        <v>163.95</v>
      </c>
      <c r="M29" s="292">
        <v>1.946752</v>
      </c>
      <c r="N29" s="300">
        <f t="shared" si="0"/>
        <v>2004</v>
      </c>
      <c r="O29" s="302" t="str">
        <f t="shared" si="1"/>
        <v>1</v>
      </c>
      <c r="P29" s="1097"/>
      <c r="T29" s="786"/>
      <c r="U29" s="786"/>
      <c r="V29" s="786"/>
      <c r="W29" s="786"/>
      <c r="X29" s="786"/>
      <c r="Y29" s="786"/>
      <c r="Z29" s="786"/>
      <c r="AA29" s="786"/>
      <c r="AB29" s="786"/>
      <c r="AC29" s="786"/>
      <c r="AD29" s="786"/>
    </row>
    <row r="30" spans="1:30">
      <c r="A30" s="753">
        <v>38139</v>
      </c>
      <c r="B30" s="759">
        <v>45.94</v>
      </c>
      <c r="C30" s="756">
        <v>2.8316377400000001</v>
      </c>
      <c r="D30" s="759">
        <v>1.5439799999999999</v>
      </c>
      <c r="E30" s="756">
        <v>69.288295000000005</v>
      </c>
      <c r="F30" s="759">
        <v>2.6841794399999999</v>
      </c>
      <c r="G30" s="756">
        <v>49.179690200000003</v>
      </c>
      <c r="H30" s="759">
        <v>6.2809999999999997</v>
      </c>
      <c r="I30" s="756">
        <v>107.897165</v>
      </c>
      <c r="J30" s="759">
        <v>1.1341509999999999</v>
      </c>
      <c r="K30" s="756">
        <v>72.180019999999999</v>
      </c>
      <c r="L30" s="759">
        <v>206.61</v>
      </c>
      <c r="M30" s="756">
        <v>3.1444960000000002</v>
      </c>
      <c r="N30" s="300">
        <f t="shared" si="0"/>
        <v>2004</v>
      </c>
      <c r="O30" s="302" t="str">
        <f t="shared" si="1"/>
        <v>2</v>
      </c>
      <c r="P30" s="1097"/>
      <c r="T30" s="786"/>
      <c r="U30" s="786"/>
      <c r="V30" s="786"/>
      <c r="W30" s="786"/>
      <c r="X30" s="786"/>
      <c r="Y30" s="786"/>
      <c r="Z30" s="786"/>
      <c r="AA30" s="786"/>
      <c r="AB30" s="786"/>
      <c r="AC30" s="786"/>
      <c r="AD30" s="786"/>
    </row>
    <row r="31" spans="1:30" ht="15.75" thickBot="1">
      <c r="A31" s="753">
        <v>38231</v>
      </c>
      <c r="B31" s="758">
        <v>34.18</v>
      </c>
      <c r="C31" s="73">
        <v>10.586493279999999</v>
      </c>
      <c r="D31" s="758">
        <v>1.5242880000000001</v>
      </c>
      <c r="E31" s="292">
        <v>65.108678999999995</v>
      </c>
      <c r="F31" s="758">
        <v>2.5136058600000002</v>
      </c>
      <c r="G31" s="73">
        <v>46.099858400000002</v>
      </c>
      <c r="H31" s="758">
        <v>2.9031189999999998</v>
      </c>
      <c r="I31" s="73">
        <v>68.935257000000007</v>
      </c>
      <c r="J31" s="758">
        <v>1.2430099999999999</v>
      </c>
      <c r="K31" s="292">
        <v>73.460751000000002</v>
      </c>
      <c r="L31" s="758">
        <v>342.62</v>
      </c>
      <c r="M31" s="292">
        <v>3.0398429999999999</v>
      </c>
      <c r="N31" s="300">
        <f t="shared" si="0"/>
        <v>2004</v>
      </c>
      <c r="O31" s="302" t="str">
        <f t="shared" si="1"/>
        <v>3</v>
      </c>
      <c r="P31" s="1097"/>
    </row>
    <row r="32" spans="1:30">
      <c r="A32" s="753">
        <v>38322</v>
      </c>
      <c r="B32" s="759">
        <v>28.13</v>
      </c>
      <c r="C32" s="756">
        <v>8.1323652699999993</v>
      </c>
      <c r="D32" s="759">
        <v>1.6876340000000001</v>
      </c>
      <c r="E32" s="756">
        <v>72.845381000000003</v>
      </c>
      <c r="F32" s="759">
        <v>2.851439536</v>
      </c>
      <c r="G32" s="756">
        <v>49.721344600000002</v>
      </c>
      <c r="H32" s="759">
        <v>4.639805</v>
      </c>
      <c r="I32" s="756">
        <v>93.302954</v>
      </c>
      <c r="J32" s="759">
        <v>1.0302899999999999</v>
      </c>
      <c r="K32" s="756">
        <v>54.704602000000001</v>
      </c>
      <c r="L32" s="759">
        <v>328.83</v>
      </c>
      <c r="M32" s="756">
        <v>2.4366889999999999</v>
      </c>
      <c r="N32" s="300">
        <f t="shared" si="0"/>
        <v>2004</v>
      </c>
      <c r="O32" s="302" t="str">
        <f t="shared" si="1"/>
        <v>4</v>
      </c>
      <c r="P32" s="1097"/>
      <c r="Q32" s="1001" t="s">
        <v>534</v>
      </c>
      <c r="R32" s="2032" t="s">
        <v>527</v>
      </c>
      <c r="S32" s="2033"/>
    </row>
    <row r="33" spans="1:30" ht="15.75" thickBot="1">
      <c r="A33" s="753">
        <v>38412</v>
      </c>
      <c r="B33" s="758">
        <v>69.63</v>
      </c>
      <c r="C33" s="73">
        <v>18.353739430000001</v>
      </c>
      <c r="D33" s="758">
        <v>1.542613</v>
      </c>
      <c r="E33" s="292">
        <v>66.680474000000004</v>
      </c>
      <c r="F33" s="758">
        <v>3.0537117500000002</v>
      </c>
      <c r="G33" s="73">
        <v>55.3390998</v>
      </c>
      <c r="H33" s="758">
        <v>9.3064780000000003</v>
      </c>
      <c r="I33" s="73">
        <v>175.62052700000001</v>
      </c>
      <c r="J33" s="758">
        <v>1.0505500000000001</v>
      </c>
      <c r="K33" s="292">
        <v>40.748783000000003</v>
      </c>
      <c r="L33" s="758">
        <v>212.22</v>
      </c>
      <c r="M33" s="292">
        <v>2.0615700000000001</v>
      </c>
      <c r="N33" s="300">
        <f t="shared" si="0"/>
        <v>2005</v>
      </c>
      <c r="O33" s="302" t="str">
        <f t="shared" si="1"/>
        <v>1</v>
      </c>
      <c r="P33" s="1097"/>
      <c r="Q33" s="1002" t="s">
        <v>619</v>
      </c>
      <c r="R33" s="2034" t="s">
        <v>429</v>
      </c>
      <c r="S33" s="2035"/>
    </row>
    <row r="34" spans="1:30" ht="16.5" customHeight="1" thickBot="1">
      <c r="A34" s="785">
        <v>38504</v>
      </c>
      <c r="B34" s="781">
        <v>10.46</v>
      </c>
      <c r="C34" s="782">
        <v>2.9647892699999998</v>
      </c>
      <c r="D34" s="781">
        <v>1.44953</v>
      </c>
      <c r="E34" s="782">
        <v>64.003716999999995</v>
      </c>
      <c r="F34" s="781">
        <v>3.0877919999999999</v>
      </c>
      <c r="G34" s="782">
        <v>52.637320799999998</v>
      </c>
      <c r="H34" s="781">
        <v>5.9503709999999996</v>
      </c>
      <c r="I34" s="782">
        <v>141.983859</v>
      </c>
      <c r="J34" s="781">
        <v>1.01464</v>
      </c>
      <c r="K34" s="782">
        <v>34.349407999999997</v>
      </c>
      <c r="L34" s="781">
        <v>167.33</v>
      </c>
      <c r="M34" s="782">
        <v>1.6127419999999999</v>
      </c>
      <c r="N34" s="783">
        <f t="shared" si="0"/>
        <v>2005</v>
      </c>
      <c r="O34" s="784" t="str">
        <f t="shared" si="1"/>
        <v>2</v>
      </c>
      <c r="P34" s="1097"/>
      <c r="Q34" s="1958" t="str">
        <f>CONCATENATE(R32," Quantity and Value by ",R33)</f>
        <v>Silver Quantity and Value by Calendar Year</v>
      </c>
      <c r="R34" s="1959"/>
      <c r="S34" s="1960"/>
      <c r="T34" s="786"/>
      <c r="U34" s="2028" t="str">
        <f>R32</f>
        <v>Silver</v>
      </c>
      <c r="V34" s="2028"/>
      <c r="W34" s="2028"/>
      <c r="X34" s="2028"/>
      <c r="Y34" s="2028"/>
      <c r="Z34" s="2028"/>
      <c r="AA34" s="2028"/>
      <c r="AB34" s="2028"/>
      <c r="AC34" s="2028"/>
      <c r="AD34" s="786"/>
    </row>
    <row r="35" spans="1:30" ht="15.75" thickBot="1">
      <c r="A35" s="753">
        <v>38596</v>
      </c>
      <c r="B35" s="758">
        <v>8.11</v>
      </c>
      <c r="C35" s="73">
        <v>2.3440821299999999</v>
      </c>
      <c r="D35" s="758">
        <v>1.659041</v>
      </c>
      <c r="E35" s="292">
        <v>73.671881999999997</v>
      </c>
      <c r="F35" s="758">
        <v>2.5908350000000002</v>
      </c>
      <c r="G35" s="73">
        <v>50.711830509999999</v>
      </c>
      <c r="H35" s="758">
        <v>12.544718</v>
      </c>
      <c r="I35" s="73">
        <v>273.347419</v>
      </c>
      <c r="J35" s="758">
        <v>1.304505</v>
      </c>
      <c r="K35" s="292">
        <v>47.096665999999999</v>
      </c>
      <c r="L35" s="758">
        <v>211.44</v>
      </c>
      <c r="M35" s="292">
        <v>1.719373</v>
      </c>
      <c r="N35" s="300">
        <f t="shared" si="0"/>
        <v>2005</v>
      </c>
      <c r="O35" s="302" t="str">
        <f t="shared" si="1"/>
        <v>3</v>
      </c>
      <c r="P35" s="1097"/>
      <c r="Q35" s="768" t="str">
        <f>R33</f>
        <v>Calendar Year</v>
      </c>
      <c r="R35" s="772" t="str">
        <f ca="1">INDIRECT(CONCATENATE(AN1,"8"),TRUE)</f>
        <v>Quantity (Kt)</v>
      </c>
      <c r="S35" s="773" t="str">
        <f ca="1">INDIRECT(CONCATENATE(AN2,"8"),TRUE)</f>
        <v>Value ($ Million)</v>
      </c>
      <c r="T35" s="786"/>
      <c r="U35" s="2029" t="s">
        <v>535</v>
      </c>
      <c r="V35" s="2029"/>
      <c r="W35" s="2029"/>
      <c r="X35" s="2029"/>
      <c r="Y35" s="2029"/>
      <c r="Z35" s="2029"/>
      <c r="AA35" s="2029"/>
      <c r="AB35" s="2029"/>
      <c r="AC35" s="2029"/>
      <c r="AD35" s="786"/>
    </row>
    <row r="36" spans="1:30">
      <c r="A36" s="753">
        <v>38687</v>
      </c>
      <c r="B36" s="759">
        <v>39.32</v>
      </c>
      <c r="C36" s="756">
        <v>15.440655530000001</v>
      </c>
      <c r="D36" s="759">
        <v>1.6833</v>
      </c>
      <c r="E36" s="756">
        <v>75.830461999999997</v>
      </c>
      <c r="F36" s="759">
        <v>2.7428681699999999</v>
      </c>
      <c r="G36" s="756">
        <v>55.094403900000003</v>
      </c>
      <c r="H36" s="759">
        <v>6.505312</v>
      </c>
      <c r="I36" s="756">
        <v>149.196808</v>
      </c>
      <c r="J36" s="759">
        <v>1.197765</v>
      </c>
      <c r="K36" s="756">
        <v>44.737943000000001</v>
      </c>
      <c r="L36" s="759">
        <v>70.22</v>
      </c>
      <c r="M36" s="756">
        <v>0.62642600000000004</v>
      </c>
      <c r="N36" s="300">
        <f t="shared" si="0"/>
        <v>2005</v>
      </c>
      <c r="O36" s="302" t="str">
        <f t="shared" si="1"/>
        <v>4</v>
      </c>
      <c r="P36" s="1097"/>
      <c r="Q36" s="769">
        <f>IF($R$33="Calendar Year",YEAR(MIN($A$9:$A$201)),CONCATENATE(YEAR(MIN($A$9:$A$201)),"-",((YEAR(MIN($A$9:$A$201))+1))))</f>
        <v>1999</v>
      </c>
      <c r="R36" s="495">
        <f ca="1">IF($R$33="Calendar Year",SUMIF($N$9:$N$201,$Q36,INDIRECT(CONCATENATE($AN$1,"9:",$AN$1,"201"),TRUE)),SUMIFS(INDIRECT(CONCATENATE($AN$1,"9:",$AN$1,"201"),TRUE),$N$9:$N$201,LEFT($Q36,4),$O$9:$O$201,3)+SUMIFS(INDIRECT(CONCATENATE($AN$1,"9:",$AN$1,"201"),TRUE),$N$9:$N$201,LEFT($Q36,4),$O$9:$O$201,4)+SUMIFS(INDIRECT(CONCATENATE($AN$1,"9:",$AN$1,"201"),TRUE),$N$9:$N$201,LEFT($Q36,4)+1,$O$9:$O$201,1)+SUMIFS(INDIRECT(CONCATENATE($AN$1,"9:",$AN$1,"201"),TRUE),$N$9:$N$201,LEFT($Q36,4)+1,$O$9:$O$201,2))</f>
        <v>81.85269000000001</v>
      </c>
      <c r="S36" s="508">
        <f ca="1">IF($R$33="Calendar Year",SUMIF($N$9:$N$201,$Q36,INDIRECT(CONCATENATE($AN$2,"9:",$AN$2,"201"),TRUE)),SUMIFS(INDIRECT(CONCATENATE($AN$2,"9:",$AN$2,"201"),TRUE),$N$9:$N$201,LEFT($Q36,4),$O$9:$O$201,3)+SUMIFS(INDIRECT(CONCATENATE($AN$2,"9:",$AN$2,"201"),TRUE),$N$9:$N$201,LEFT($Q36,4),$O$9:$O$201,4)+SUMIFS(INDIRECT(CONCATENATE($AN$2,"9:",$AN$2,"201"),TRUE),$N$9:$N$201,LEFT($Q36,4)+1,$O$9:$O$201,1)+SUMIFS(INDIRECT(CONCATENATE($AN$2,"9:",$AN$2,"201"),TRUE),$N$9:$N$201,LEFT($Q36,4)+1,$O$9:$O$201,2))</f>
        <v>18.771360000000001</v>
      </c>
      <c r="T36" s="786"/>
      <c r="U36" s="786"/>
      <c r="V36" s="786"/>
      <c r="W36" s="786"/>
      <c r="X36" s="786"/>
      <c r="Y36" s="786"/>
      <c r="Z36" s="786"/>
      <c r="AA36" s="786"/>
      <c r="AB36" s="786"/>
      <c r="AC36" s="786"/>
      <c r="AD36" s="786"/>
    </row>
    <row r="37" spans="1:30">
      <c r="A37" s="753">
        <v>38777</v>
      </c>
      <c r="B37" s="758">
        <v>22.42</v>
      </c>
      <c r="C37" s="73">
        <v>9.8991357999999998</v>
      </c>
      <c r="D37" s="758">
        <v>1.7069209999999999</v>
      </c>
      <c r="E37" s="292">
        <v>76.768270000000001</v>
      </c>
      <c r="F37" s="758">
        <v>2.6257728199999999</v>
      </c>
      <c r="G37" s="73">
        <v>58.0638668</v>
      </c>
      <c r="H37" s="758">
        <v>5.6266639999999999</v>
      </c>
      <c r="I37" s="73">
        <v>146.639973</v>
      </c>
      <c r="J37" s="758">
        <v>1.377065</v>
      </c>
      <c r="K37" s="292">
        <v>45.229629000000003</v>
      </c>
      <c r="L37" s="758">
        <v>228.24</v>
      </c>
      <c r="M37" s="292">
        <v>2.6912660000000002</v>
      </c>
      <c r="N37" s="300">
        <f t="shared" si="0"/>
        <v>2006</v>
      </c>
      <c r="O37" s="302" t="str">
        <f t="shared" si="1"/>
        <v>1</v>
      </c>
      <c r="P37" s="1097"/>
      <c r="Q37" s="770">
        <f>IFERROR(IF(YEAR(MAX('Data - Monthly Commodity Prices'!$C$9:$C4984))=VALUE(RIGHT(Q36,4)),"",IF($R$33="Calendar Year",Q36+1,CONCATENATE(LEFT(Q36,4)+1,"-",RIGHT(Q36,4)+1))),"")</f>
        <v>2000</v>
      </c>
      <c r="R37" s="1785">
        <f t="shared" ref="R37:R60" ca="1" si="4">IF(Q37="","",IF($R$33="Calendar Year",SUMIF($N$9:$N$201,$Q37,INDIRECT(CONCATENATE($AN$1,"9:",$AN$1,"201"),TRUE)),SUMIFS(INDIRECT(CONCATENATE($AN$1,"9:",$AN$1,"201"),TRUE),$N$9:$N$201,LEFT($Q37,4),$O$9:$O$201,3)+SUMIFS(INDIRECT(CONCATENATE($AN$1,"9:",$AN$1,"201"),TRUE),$N$9:$N$201,LEFT($Q37,4),$O$9:$O$201,4)+SUMIFS(INDIRECT(CONCATENATE($AN$1,"9:",$AN$1,"201"),TRUE),$N$9:$N$201,LEFT($Q37,4)+1,$O$9:$O$201,1)+SUMIFS(INDIRECT(CONCATENATE($AN$1,"9:",$AN$1,"201"),TRUE),$N$9:$N$201,LEFT($Q37,4)+1,$O$9:$O$201,2)))</f>
        <v>157.63863000000001</v>
      </c>
      <c r="S37" s="1786">
        <f t="shared" ref="S37:S60" ca="1" si="5">IF(Q37="","",IF($R$33="Calendar Year",SUMIF($N$9:$N$201,$Q37,INDIRECT(CONCATENATE($AN$2,"9:",$AN$2,"201"),TRUE)),SUMIFS(INDIRECT(CONCATENATE($AN$2,"9:",$AN$2,"201"),TRUE),$N$9:$N$201,LEFT($Q37,4),$O$9:$O$201,3)+SUMIFS(INDIRECT(CONCATENATE($AN$2,"9:",$AN$2,"201"),TRUE),$N$9:$N$201,LEFT($Q37,4),$O$9:$O$201,4)+SUMIFS(INDIRECT(CONCATENATE($AN$2,"9:",$AN$2,"201"),TRUE),$N$9:$N$201,LEFT($Q37,4)+1,$O$9:$O$201,1)+SUMIFS(INDIRECT(CONCATENATE($AN$2,"9:",$AN$2,"201"),TRUE),$N$9:$N$201,LEFT($Q37,4)+1,$O$9:$O$201,2)))</f>
        <v>37.362915000000001</v>
      </c>
      <c r="T37" s="786"/>
      <c r="U37" s="786"/>
      <c r="V37" s="786"/>
      <c r="W37" s="786"/>
      <c r="X37" s="786"/>
      <c r="Y37" s="786"/>
      <c r="Z37" s="786"/>
      <c r="AA37" s="786"/>
      <c r="AB37" s="786"/>
      <c r="AC37" s="786"/>
      <c r="AD37" s="786"/>
    </row>
    <row r="38" spans="1:30">
      <c r="A38" s="753">
        <v>38869</v>
      </c>
      <c r="B38" s="759">
        <v>24.65</v>
      </c>
      <c r="C38" s="756">
        <v>11.868411</v>
      </c>
      <c r="D38" s="759">
        <v>1.6514359999999999</v>
      </c>
      <c r="E38" s="756">
        <v>70.647069000000002</v>
      </c>
      <c r="F38" s="759">
        <v>2.8747203899999998</v>
      </c>
      <c r="G38" s="756">
        <v>65.980252629999995</v>
      </c>
      <c r="H38" s="759">
        <v>4.5871750000000002</v>
      </c>
      <c r="I38" s="756">
        <v>127.02534799999999</v>
      </c>
      <c r="J38" s="759">
        <v>1.15002</v>
      </c>
      <c r="K38" s="756">
        <v>47.843569000000002</v>
      </c>
      <c r="L38" s="759">
        <v>349.73</v>
      </c>
      <c r="M38" s="756">
        <v>4.7056250000000004</v>
      </c>
      <c r="N38" s="300">
        <f t="shared" si="0"/>
        <v>2006</v>
      </c>
      <c r="O38" s="302" t="str">
        <f t="shared" si="1"/>
        <v>2</v>
      </c>
      <c r="P38" s="1097"/>
      <c r="Q38" s="770">
        <f>IFERROR(IF(YEAR(MAX('Data - Monthly Commodity Prices'!$C$9:$C4985))=VALUE(RIGHT(Q37,4)),"",IF($R$33="Calendar Year",Q37+1,CONCATENATE(LEFT(Q37,4)+1,"-",RIGHT(Q37,4)+1))),"")</f>
        <v>2001</v>
      </c>
      <c r="R38" s="497">
        <f t="shared" ca="1" si="4"/>
        <v>122.7802848</v>
      </c>
      <c r="S38" s="511">
        <f t="shared" ca="1" si="5"/>
        <v>30.716236000000002</v>
      </c>
      <c r="T38" s="786"/>
      <c r="U38" s="786"/>
      <c r="V38" s="786"/>
      <c r="W38" s="786"/>
      <c r="X38" s="786"/>
      <c r="Y38" s="786"/>
      <c r="Z38" s="786"/>
      <c r="AA38" s="786"/>
      <c r="AB38" s="786"/>
      <c r="AC38" s="786"/>
      <c r="AD38" s="786"/>
    </row>
    <row r="39" spans="1:30">
      <c r="A39" s="753">
        <v>38961</v>
      </c>
      <c r="B39" s="758">
        <v>36.42</v>
      </c>
      <c r="C39" s="73">
        <v>17.337604290000002</v>
      </c>
      <c r="D39" s="758">
        <v>1.7047909999999999</v>
      </c>
      <c r="E39" s="292">
        <v>73.083579</v>
      </c>
      <c r="F39" s="758">
        <v>2.30997195</v>
      </c>
      <c r="G39" s="73">
        <v>52.865980049999997</v>
      </c>
      <c r="H39" s="758">
        <v>1.761682</v>
      </c>
      <c r="I39" s="73">
        <v>73.637056999999999</v>
      </c>
      <c r="J39" s="758">
        <v>1.1085940000000001</v>
      </c>
      <c r="K39" s="292">
        <v>50.308590000000002</v>
      </c>
      <c r="L39" s="758">
        <v>170.28</v>
      </c>
      <c r="M39" s="292">
        <v>2.322508</v>
      </c>
      <c r="N39" s="300">
        <f t="shared" si="0"/>
        <v>2006</v>
      </c>
      <c r="O39" s="302" t="str">
        <f t="shared" si="1"/>
        <v>3</v>
      </c>
      <c r="P39" s="1097"/>
      <c r="Q39" s="770">
        <f>IFERROR(IF(YEAR(MAX('Data - Monthly Commodity Prices'!$C$9:$C4986))=VALUE(RIGHT(Q38,4)),"",IF($R$33="Calendar Year",Q38+1,CONCATENATE(LEFT(Q38,4)+1,"-",RIGHT(Q38,4)+1))),"")</f>
        <v>2002</v>
      </c>
      <c r="R39" s="1785">
        <f t="shared" ca="1" si="4"/>
        <v>98.895679884684455</v>
      </c>
      <c r="S39" s="1786">
        <f t="shared" ca="1" si="5"/>
        <v>24.917840999999999</v>
      </c>
      <c r="T39" s="786"/>
      <c r="U39" s="786"/>
      <c r="V39" s="786"/>
      <c r="W39" s="786"/>
      <c r="X39" s="786"/>
      <c r="Y39" s="786"/>
      <c r="Z39" s="786"/>
      <c r="AA39" s="786"/>
      <c r="AB39" s="786"/>
      <c r="AC39" s="786"/>
      <c r="AD39" s="786"/>
    </row>
    <row r="40" spans="1:30">
      <c r="A40" s="753">
        <v>39052</v>
      </c>
      <c r="B40" s="759">
        <v>19.53</v>
      </c>
      <c r="C40" s="756">
        <v>10.765750329999999</v>
      </c>
      <c r="D40" s="759">
        <v>1.5482750000000001</v>
      </c>
      <c r="E40" s="756">
        <v>69.227222999999995</v>
      </c>
      <c r="F40" s="759">
        <v>2.9054620600000001</v>
      </c>
      <c r="G40" s="756">
        <v>64.732898629999994</v>
      </c>
      <c r="H40" s="759">
        <v>5.0948669999999998</v>
      </c>
      <c r="I40" s="756">
        <v>115.15518299999999</v>
      </c>
      <c r="J40" s="759">
        <v>1.4931460000000001</v>
      </c>
      <c r="K40" s="756">
        <v>77.043387999999993</v>
      </c>
      <c r="L40" s="759">
        <v>210.83</v>
      </c>
      <c r="M40" s="756">
        <v>2.785895</v>
      </c>
      <c r="N40" s="300">
        <f t="shared" si="0"/>
        <v>2006</v>
      </c>
      <c r="O40" s="302" t="str">
        <f t="shared" si="1"/>
        <v>4</v>
      </c>
      <c r="P40" s="1097"/>
      <c r="Q40" s="770">
        <f>IFERROR(IF(YEAR(MAX('Data - Monthly Commodity Prices'!$C$9:$C4987))=VALUE(RIGHT(Q39,4)),"",IF($R$33="Calendar Year",Q39+1,CONCATENATE(LEFT(Q39,4)+1,"-",RIGHT(Q39,4)+1))),"")</f>
        <v>2003</v>
      </c>
      <c r="R40" s="497">
        <f t="shared" ca="1" si="4"/>
        <v>72.198348172307291</v>
      </c>
      <c r="S40" s="511">
        <f t="shared" ca="1" si="5"/>
        <v>15.225136186233861</v>
      </c>
      <c r="T40" s="786"/>
      <c r="U40" s="786"/>
      <c r="V40" s="786"/>
      <c r="W40" s="786"/>
      <c r="X40" s="786"/>
      <c r="Y40" s="786"/>
      <c r="Z40" s="786"/>
      <c r="AA40" s="786"/>
      <c r="AB40" s="786"/>
      <c r="AC40" s="786"/>
      <c r="AD40" s="786"/>
    </row>
    <row r="41" spans="1:30">
      <c r="A41" s="753">
        <v>39142</v>
      </c>
      <c r="B41" s="758">
        <v>47.54</v>
      </c>
      <c r="C41" s="73">
        <v>25.048839940000001</v>
      </c>
      <c r="D41" s="758">
        <v>1.5245740000000001</v>
      </c>
      <c r="E41" s="292">
        <v>67.910944000000001</v>
      </c>
      <c r="F41" s="758">
        <v>2.4805410000000001</v>
      </c>
      <c r="G41" s="73">
        <v>56.473620269999998</v>
      </c>
      <c r="H41" s="758">
        <v>6.8600599999999998</v>
      </c>
      <c r="I41" s="73">
        <v>158.19950399999999</v>
      </c>
      <c r="J41" s="758">
        <v>1.122004</v>
      </c>
      <c r="K41" s="292">
        <v>80.026346000000004</v>
      </c>
      <c r="L41" s="758">
        <v>185.07</v>
      </c>
      <c r="M41" s="292">
        <v>2.497878</v>
      </c>
      <c r="N41" s="300">
        <f t="shared" ref="N41:N72" si="6">YEAR(A41)</f>
        <v>2007</v>
      </c>
      <c r="O41" s="302" t="str">
        <f t="shared" ref="O41:O72" si="7">IF(MONTH(A41)=3,"1",IF(MONTH(A41)=6,"2",IF(MONTH(A41)=9,"3","4")))</f>
        <v>1</v>
      </c>
      <c r="P41" s="1097"/>
      <c r="Q41" s="770">
        <f>IFERROR(IF(YEAR(MAX('Data - Monthly Commodity Prices'!$C$9:$C4988))=VALUE(RIGHT(Q40,4)),"",IF($R$33="Calendar Year",Q40+1,CONCATENATE(LEFT(Q40,4)+1,"-",RIGHT(Q40,4)+1))),"")</f>
        <v>2004</v>
      </c>
      <c r="R41" s="1785">
        <f t="shared" ca="1" si="4"/>
        <v>121.53999999999999</v>
      </c>
      <c r="S41" s="1786">
        <f t="shared" ca="1" si="5"/>
        <v>24.654912799999998</v>
      </c>
      <c r="T41" s="786"/>
      <c r="U41" s="786"/>
      <c r="V41" s="786"/>
      <c r="W41" s="786"/>
      <c r="X41" s="786"/>
      <c r="Y41" s="786"/>
      <c r="Z41" s="786"/>
      <c r="AA41" s="786"/>
      <c r="AB41" s="786"/>
      <c r="AC41" s="786"/>
      <c r="AD41" s="786"/>
    </row>
    <row r="42" spans="1:30">
      <c r="A42" s="753">
        <v>39234</v>
      </c>
      <c r="B42" s="759">
        <v>16.77</v>
      </c>
      <c r="C42" s="756">
        <v>8.61645854</v>
      </c>
      <c r="D42" s="759">
        <v>1.239987</v>
      </c>
      <c r="E42" s="756">
        <v>61.301450000000003</v>
      </c>
      <c r="F42" s="759">
        <v>2.7276129930000002</v>
      </c>
      <c r="G42" s="756">
        <v>62.079069779999998</v>
      </c>
      <c r="H42" s="759">
        <v>4.50671</v>
      </c>
      <c r="I42" s="756">
        <v>114.932017</v>
      </c>
      <c r="J42" s="759">
        <v>0.93303400000000003</v>
      </c>
      <c r="K42" s="756">
        <v>70.114502999999999</v>
      </c>
      <c r="L42" s="759">
        <v>147.41</v>
      </c>
      <c r="M42" s="756">
        <v>2.0869070000000001</v>
      </c>
      <c r="N42" s="300">
        <f t="shared" si="6"/>
        <v>2007</v>
      </c>
      <c r="O42" s="302" t="str">
        <f t="shared" si="7"/>
        <v>2</v>
      </c>
      <c r="P42" s="1097"/>
      <c r="Q42" s="770">
        <f>IFERROR(IF(YEAR(MAX('Data - Monthly Commodity Prices'!$C$9:$C4989))=VALUE(RIGHT(Q41,4)),"",IF($R$33="Calendar Year",Q41+1,CONCATENATE(LEFT(Q41,4)+1,"-",RIGHT(Q41,4)+1))),"")</f>
        <v>2005</v>
      </c>
      <c r="R42" s="497">
        <f t="shared" ca="1" si="4"/>
        <v>127.52000000000001</v>
      </c>
      <c r="S42" s="511">
        <f t="shared" ca="1" si="5"/>
        <v>39.103266360000006</v>
      </c>
      <c r="T42" s="786"/>
      <c r="U42" s="786"/>
      <c r="V42" s="786"/>
      <c r="W42" s="786"/>
      <c r="X42" s="786"/>
      <c r="Y42" s="786"/>
      <c r="Z42" s="786"/>
      <c r="AA42" s="786"/>
      <c r="AB42" s="786"/>
      <c r="AC42" s="786"/>
      <c r="AD42" s="786"/>
    </row>
    <row r="43" spans="1:30">
      <c r="A43" s="753">
        <v>39326</v>
      </c>
      <c r="B43" s="758">
        <v>18.52</v>
      </c>
      <c r="C43" s="73">
        <v>9.3160715599999993</v>
      </c>
      <c r="D43" s="758">
        <v>1.5507040000000001</v>
      </c>
      <c r="E43" s="292">
        <v>68.732557999999997</v>
      </c>
      <c r="F43" s="758">
        <v>2.4074020159999998</v>
      </c>
      <c r="G43" s="73">
        <v>52.282478830000002</v>
      </c>
      <c r="H43" s="758">
        <v>7.3817740000000001</v>
      </c>
      <c r="I43" s="73">
        <v>178.80596</v>
      </c>
      <c r="J43" s="758">
        <v>1.3634200000000001</v>
      </c>
      <c r="K43" s="292">
        <v>88.325033000000005</v>
      </c>
      <c r="L43" s="758">
        <v>195.93</v>
      </c>
      <c r="M43" s="292">
        <v>2.6050979999999999</v>
      </c>
      <c r="N43" s="300">
        <f t="shared" si="6"/>
        <v>2007</v>
      </c>
      <c r="O43" s="302" t="str">
        <f t="shared" si="7"/>
        <v>3</v>
      </c>
      <c r="P43" s="1097"/>
      <c r="Q43" s="770">
        <f>IFERROR(IF(YEAR(MAX('Data - Monthly Commodity Prices'!$C$9:$C4990))=VALUE(RIGHT(Q42,4)),"",IF($R$33="Calendar Year",Q42+1,CONCATENATE(LEFT(Q42,4)+1,"-",RIGHT(Q42,4)+1))),"")</f>
        <v>2006</v>
      </c>
      <c r="R43" s="1785">
        <f t="shared" ca="1" si="4"/>
        <v>103.02000000000001</v>
      </c>
      <c r="S43" s="1786">
        <f t="shared" ca="1" si="5"/>
        <v>49.870901419999996</v>
      </c>
      <c r="T43" s="786"/>
      <c r="U43" s="786"/>
      <c r="V43" s="786"/>
      <c r="W43" s="786"/>
      <c r="X43" s="786"/>
      <c r="Y43" s="786"/>
      <c r="Z43" s="786"/>
      <c r="AA43" s="786"/>
      <c r="AB43" s="786"/>
      <c r="AC43" s="786"/>
      <c r="AD43" s="786"/>
    </row>
    <row r="44" spans="1:30">
      <c r="A44" s="753">
        <v>39417</v>
      </c>
      <c r="B44" s="759">
        <v>37.5</v>
      </c>
      <c r="C44" s="756">
        <v>20.241108180000001</v>
      </c>
      <c r="D44" s="759">
        <v>1.4948269999999999</v>
      </c>
      <c r="E44" s="756">
        <v>66.016675000000006</v>
      </c>
      <c r="F44" s="759">
        <v>2.7701297199999999</v>
      </c>
      <c r="G44" s="756">
        <v>58.769180030000001</v>
      </c>
      <c r="H44" s="759">
        <v>4.788233</v>
      </c>
      <c r="I44" s="756">
        <v>108.79293800000001</v>
      </c>
      <c r="J44" s="759">
        <v>1.3118879999999999</v>
      </c>
      <c r="K44" s="756">
        <v>110.52490299999999</v>
      </c>
      <c r="L44" s="759">
        <v>213.29</v>
      </c>
      <c r="M44" s="756">
        <v>2.9729890000000001</v>
      </c>
      <c r="N44" s="300">
        <f t="shared" si="6"/>
        <v>2007</v>
      </c>
      <c r="O44" s="302" t="str">
        <f t="shared" si="7"/>
        <v>4</v>
      </c>
      <c r="P44" s="1097"/>
      <c r="Q44" s="770">
        <f>IFERROR(IF(YEAR(MAX('Data - Monthly Commodity Prices'!$C$9:$C4991))=VALUE(RIGHT(Q43,4)),"",IF($R$33="Calendar Year",Q43+1,CONCATENATE(LEFT(Q43,4)+1,"-",RIGHT(Q43,4)+1))),"")</f>
        <v>2007</v>
      </c>
      <c r="R44" s="497">
        <f t="shared" ca="1" si="4"/>
        <v>120.33</v>
      </c>
      <c r="S44" s="511">
        <f t="shared" ca="1" si="5"/>
        <v>63.222478219999999</v>
      </c>
      <c r="T44" s="786"/>
      <c r="U44" s="786"/>
      <c r="V44" s="786"/>
      <c r="W44" s="786"/>
      <c r="X44" s="786"/>
      <c r="Y44" s="786"/>
      <c r="Z44" s="786"/>
      <c r="AA44" s="786"/>
      <c r="AB44" s="786"/>
      <c r="AC44" s="786"/>
      <c r="AD44" s="786"/>
    </row>
    <row r="45" spans="1:30">
      <c r="A45" s="753">
        <v>39508</v>
      </c>
      <c r="B45" s="758">
        <v>27.14</v>
      </c>
      <c r="C45" s="73">
        <v>19.41808911</v>
      </c>
      <c r="D45" s="758">
        <v>1.770068</v>
      </c>
      <c r="E45" s="292">
        <v>66.554670000000002</v>
      </c>
      <c r="F45" s="758">
        <v>2.6357444330000002</v>
      </c>
      <c r="G45" s="73">
        <v>59.606044660000002</v>
      </c>
      <c r="H45" s="758">
        <v>7.8271360000000003</v>
      </c>
      <c r="I45" s="73">
        <v>165.86742699999999</v>
      </c>
      <c r="J45" s="758">
        <v>1.342203</v>
      </c>
      <c r="K45" s="292">
        <v>142.59106600000001</v>
      </c>
      <c r="L45" s="758">
        <v>268.24</v>
      </c>
      <c r="M45" s="292">
        <v>3.4054549999999999</v>
      </c>
      <c r="N45" s="300">
        <f t="shared" si="6"/>
        <v>2008</v>
      </c>
      <c r="O45" s="302" t="str">
        <f t="shared" si="7"/>
        <v>1</v>
      </c>
      <c r="P45" s="1097"/>
      <c r="Q45" s="770">
        <f>IFERROR(IF(YEAR(MAX('Data - Monthly Commodity Prices'!$C$9:$C4992))=VALUE(RIGHT(Q44,4)),"",IF($R$33="Calendar Year",Q44+1,CONCATENATE(LEFT(Q44,4)+1,"-",RIGHT(Q44,4)+1))),"")</f>
        <v>2008</v>
      </c>
      <c r="R45" s="1785">
        <f t="shared" ca="1" si="4"/>
        <v>88.06</v>
      </c>
      <c r="S45" s="1786">
        <f t="shared" ca="1" si="5"/>
        <v>51.411615130000001</v>
      </c>
      <c r="T45" s="786"/>
      <c r="U45" s="786"/>
      <c r="V45" s="786"/>
      <c r="W45" s="786"/>
      <c r="X45" s="786"/>
      <c r="Y45" s="786"/>
      <c r="Z45" s="786"/>
      <c r="AA45" s="786"/>
      <c r="AB45" s="786"/>
      <c r="AC45" s="786"/>
      <c r="AD45" s="786"/>
    </row>
    <row r="46" spans="1:30">
      <c r="A46" s="753">
        <v>39600</v>
      </c>
      <c r="B46" s="759">
        <v>12.21</v>
      </c>
      <c r="C46" s="756">
        <v>7.2493447</v>
      </c>
      <c r="D46" s="759">
        <v>1.4158269999999999</v>
      </c>
      <c r="E46" s="756">
        <v>69.120554999999996</v>
      </c>
      <c r="F46" s="759">
        <v>2.7758882429999998</v>
      </c>
      <c r="G46" s="756">
        <v>62.27136514</v>
      </c>
      <c r="H46" s="759">
        <v>7.970955</v>
      </c>
      <c r="I46" s="756">
        <v>159.51923300000001</v>
      </c>
      <c r="J46" s="759">
        <v>1.05532</v>
      </c>
      <c r="K46" s="756">
        <v>101.614395</v>
      </c>
      <c r="L46" s="759">
        <v>270.3</v>
      </c>
      <c r="M46" s="756">
        <v>4.2303030000000001</v>
      </c>
      <c r="N46" s="300">
        <f t="shared" si="6"/>
        <v>2008</v>
      </c>
      <c r="O46" s="302" t="str">
        <f t="shared" si="7"/>
        <v>2</v>
      </c>
      <c r="P46" s="1097"/>
      <c r="Q46" s="770">
        <f>IFERROR(IF(YEAR(MAX('Data - Monthly Commodity Prices'!$C$9:$C4993))=VALUE(RIGHT(Q45,4)),"",IF($R$33="Calendar Year",Q45+1,CONCATENATE(LEFT(Q45,4)+1,"-",RIGHT(Q45,4)+1))),"")</f>
        <v>2009</v>
      </c>
      <c r="R46" s="497">
        <f t="shared" ca="1" si="4"/>
        <v>124.14</v>
      </c>
      <c r="S46" s="511">
        <f t="shared" ca="1" si="5"/>
        <v>74.044649460000002</v>
      </c>
      <c r="T46" s="786"/>
      <c r="U46" s="786"/>
      <c r="V46" s="786"/>
      <c r="W46" s="786"/>
      <c r="X46" s="786"/>
      <c r="Y46" s="786"/>
      <c r="Z46" s="786"/>
      <c r="AA46" s="786"/>
      <c r="AB46" s="786"/>
      <c r="AC46" s="786"/>
      <c r="AD46" s="786"/>
    </row>
    <row r="47" spans="1:30">
      <c r="A47" s="753">
        <v>39692</v>
      </c>
      <c r="B47" s="758">
        <v>10.3</v>
      </c>
      <c r="C47" s="73">
        <v>4.4101695699999999</v>
      </c>
      <c r="D47" s="758">
        <v>1.7424539999999999</v>
      </c>
      <c r="E47" s="292">
        <v>79.352620999999999</v>
      </c>
      <c r="F47" s="758">
        <v>2.863122529</v>
      </c>
      <c r="G47" s="73">
        <v>66.936909240000006</v>
      </c>
      <c r="H47" s="758">
        <v>3.7200730000000002</v>
      </c>
      <c r="I47" s="73">
        <v>96.447017000000002</v>
      </c>
      <c r="J47" s="758">
        <v>1.0820959999999999</v>
      </c>
      <c r="K47" s="292">
        <v>65.441090000000003</v>
      </c>
      <c r="L47" s="758">
        <v>0</v>
      </c>
      <c r="M47" s="73">
        <v>0</v>
      </c>
      <c r="N47" s="300">
        <f t="shared" si="6"/>
        <v>2008</v>
      </c>
      <c r="O47" s="302" t="str">
        <f t="shared" si="7"/>
        <v>3</v>
      </c>
      <c r="P47" s="1097"/>
      <c r="Q47" s="770">
        <f>IFERROR(IF(YEAR(MAX('Data - Monthly Commodity Prices'!$C$9:$C4994))=VALUE(RIGHT(Q46,4)),"",IF($R$33="Calendar Year",Q46+1,CONCATENATE(LEFT(Q46,4)+1,"-",RIGHT(Q46,4)+1))),"")</f>
        <v>2010</v>
      </c>
      <c r="R47" s="1785">
        <f t="shared" ca="1" si="4"/>
        <v>112.99000000000001</v>
      </c>
      <c r="S47" s="1786">
        <f t="shared" ca="1" si="5"/>
        <v>80.654205189999999</v>
      </c>
      <c r="T47" s="786"/>
      <c r="U47" s="786"/>
      <c r="V47" s="786"/>
      <c r="W47" s="786"/>
      <c r="X47" s="786"/>
      <c r="Y47" s="786"/>
      <c r="Z47" s="786"/>
      <c r="AA47" s="786"/>
      <c r="AB47" s="786"/>
      <c r="AC47" s="786"/>
      <c r="AD47" s="786"/>
    </row>
    <row r="48" spans="1:30">
      <c r="A48" s="753">
        <v>39783</v>
      </c>
      <c r="B48" s="759">
        <v>38.409999999999997</v>
      </c>
      <c r="C48" s="756">
        <v>20.334011749999998</v>
      </c>
      <c r="D48" s="759">
        <v>1.8029170000000001</v>
      </c>
      <c r="E48" s="756">
        <v>90.471787000000006</v>
      </c>
      <c r="F48" s="759">
        <v>3.2138775800000001</v>
      </c>
      <c r="G48" s="756">
        <v>102.13609687</v>
      </c>
      <c r="H48" s="759">
        <v>15.722381</v>
      </c>
      <c r="I48" s="756">
        <v>80.908032000000006</v>
      </c>
      <c r="J48" s="759">
        <v>1.305056</v>
      </c>
      <c r="K48" s="756">
        <v>68.013240999999994</v>
      </c>
      <c r="L48" s="759">
        <v>171.21</v>
      </c>
      <c r="M48" s="756">
        <v>1.1179429999999999</v>
      </c>
      <c r="N48" s="300">
        <f t="shared" si="6"/>
        <v>2008</v>
      </c>
      <c r="O48" s="302" t="str">
        <f t="shared" si="7"/>
        <v>4</v>
      </c>
      <c r="P48" s="1097"/>
      <c r="Q48" s="770">
        <f>IFERROR(IF(YEAR(MAX('Data - Monthly Commodity Prices'!$C$9:$C4995))=VALUE(RIGHT(Q47,4)),"",IF($R$33="Calendar Year",Q47+1,CONCATENATE(LEFT(Q47,4)+1,"-",RIGHT(Q47,4)+1))),"")</f>
        <v>2011</v>
      </c>
      <c r="R48" s="497">
        <f t="shared" ca="1" si="4"/>
        <v>91.47</v>
      </c>
      <c r="S48" s="511">
        <f t="shared" ca="1" si="5"/>
        <v>96.223977849999997</v>
      </c>
      <c r="T48" s="786"/>
      <c r="U48" s="786"/>
      <c r="V48" s="786"/>
      <c r="W48" s="786"/>
      <c r="X48" s="786"/>
      <c r="Y48" s="786"/>
      <c r="Z48" s="786"/>
      <c r="AA48" s="786"/>
      <c r="AB48" s="786"/>
      <c r="AC48" s="786"/>
      <c r="AD48" s="786"/>
    </row>
    <row r="49" spans="1:30">
      <c r="A49" s="753">
        <v>39873</v>
      </c>
      <c r="B49" s="758">
        <v>62.38</v>
      </c>
      <c r="C49" s="73">
        <v>37.984293219999998</v>
      </c>
      <c r="D49" s="758">
        <v>1.8383700000000001</v>
      </c>
      <c r="E49" s="292">
        <v>86.200013999999996</v>
      </c>
      <c r="F49" s="758">
        <v>2.0130125520000002</v>
      </c>
      <c r="G49" s="73">
        <v>101.59605414000001</v>
      </c>
      <c r="H49" s="758">
        <v>1.3585210000000001</v>
      </c>
      <c r="I49" s="73">
        <v>45.526029999999999</v>
      </c>
      <c r="J49" s="758">
        <v>1.2589349999999999</v>
      </c>
      <c r="K49" s="292">
        <v>43.519669999999998</v>
      </c>
      <c r="L49" s="758">
        <v>304.72000000000003</v>
      </c>
      <c r="M49" s="292">
        <v>2.8010679999999999</v>
      </c>
      <c r="N49" s="300">
        <f t="shared" si="6"/>
        <v>2009</v>
      </c>
      <c r="O49" s="302" t="str">
        <f t="shared" si="7"/>
        <v>1</v>
      </c>
      <c r="P49" s="1097"/>
      <c r="Q49" s="770">
        <f>IFERROR(IF(YEAR(MAX('Data - Monthly Commodity Prices'!$C$9:$C4996))=VALUE(RIGHT(Q48,4)),"",IF($R$33="Calendar Year",Q48+1,CONCATENATE(LEFT(Q48,4)+1,"-",RIGHT(Q48,4)+1))),"")</f>
        <v>2012</v>
      </c>
      <c r="R49" s="1785">
        <f t="shared" ca="1" si="4"/>
        <v>134.67000000000002</v>
      </c>
      <c r="S49" s="1786">
        <f t="shared" ca="1" si="5"/>
        <v>120.73252181000001</v>
      </c>
      <c r="T49" s="786"/>
      <c r="U49" s="786"/>
      <c r="V49" s="786"/>
      <c r="W49" s="786"/>
      <c r="X49" s="786"/>
      <c r="Y49" s="786"/>
      <c r="Z49" s="786"/>
      <c r="AA49" s="786"/>
      <c r="AB49" s="786"/>
      <c r="AC49" s="786"/>
      <c r="AD49" s="786"/>
    </row>
    <row r="50" spans="1:30">
      <c r="A50" s="753">
        <v>39965</v>
      </c>
      <c r="B50" s="759">
        <v>25.98</v>
      </c>
      <c r="C50" s="756">
        <v>14.67079275</v>
      </c>
      <c r="D50" s="759">
        <v>1.5954680000000001</v>
      </c>
      <c r="E50" s="756">
        <v>76.548077000000006</v>
      </c>
      <c r="F50" s="759">
        <v>2.4294787229999999</v>
      </c>
      <c r="G50" s="756">
        <v>115.58531923</v>
      </c>
      <c r="H50" s="759">
        <v>2.3868670000000001</v>
      </c>
      <c r="I50" s="756">
        <v>49.811923999999998</v>
      </c>
      <c r="J50" s="759">
        <v>1.0288809999999999</v>
      </c>
      <c r="K50" s="756">
        <v>42.097343000000002</v>
      </c>
      <c r="L50" s="759">
        <v>166.26</v>
      </c>
      <c r="M50" s="756">
        <v>1.5335909999999999</v>
      </c>
      <c r="N50" s="300">
        <f t="shared" si="6"/>
        <v>2009</v>
      </c>
      <c r="O50" s="302" t="str">
        <f t="shared" si="7"/>
        <v>2</v>
      </c>
      <c r="P50" s="1097"/>
      <c r="Q50" s="770">
        <f>IFERROR(IF(YEAR(MAX('Data - Monthly Commodity Prices'!$C$9:$C4997))=VALUE(RIGHT(Q49,4)),"",IF($R$33="Calendar Year",Q49+1,CONCATENATE(LEFT(Q49,4)+1,"-",RIGHT(Q49,4)+1))),"")</f>
        <v>2013</v>
      </c>
      <c r="R50" s="497">
        <f t="shared" ca="1" si="4"/>
        <v>126.35</v>
      </c>
      <c r="S50" s="511">
        <f t="shared" ca="1" si="5"/>
        <v>88.375709990000004</v>
      </c>
      <c r="T50" s="786"/>
      <c r="U50" s="786"/>
      <c r="V50" s="786"/>
      <c r="W50" s="786"/>
      <c r="X50" s="786"/>
      <c r="Y50" s="786"/>
      <c r="Z50" s="786"/>
      <c r="AA50" s="786"/>
      <c r="AB50" s="786"/>
      <c r="AC50" s="786"/>
      <c r="AD50" s="786"/>
    </row>
    <row r="51" spans="1:30">
      <c r="A51" s="753">
        <v>40057</v>
      </c>
      <c r="B51" s="758">
        <v>9.17</v>
      </c>
      <c r="C51" s="73">
        <v>5.1613192699999999</v>
      </c>
      <c r="D51" s="758">
        <v>1.484505</v>
      </c>
      <c r="E51" s="292">
        <v>70.118567999999996</v>
      </c>
      <c r="F51" s="758">
        <v>2.4854636719999998</v>
      </c>
      <c r="G51" s="73">
        <v>105.69789523999999</v>
      </c>
      <c r="H51" s="758">
        <v>4.6985549999999998</v>
      </c>
      <c r="I51" s="73">
        <v>73.393354000000002</v>
      </c>
      <c r="J51" s="758">
        <v>1.229719</v>
      </c>
      <c r="K51" s="292">
        <v>52.648847000000004</v>
      </c>
      <c r="L51" s="758">
        <v>329.54</v>
      </c>
      <c r="M51" s="292">
        <v>3.1176499999999998</v>
      </c>
      <c r="N51" s="300">
        <f t="shared" si="6"/>
        <v>2009</v>
      </c>
      <c r="O51" s="302" t="str">
        <f t="shared" si="7"/>
        <v>3</v>
      </c>
      <c r="P51" s="1097"/>
      <c r="Q51" s="770">
        <f>IFERROR(IF(YEAR(MAX('Data - Monthly Commodity Prices'!$C$9:$C4998))=VALUE(RIGHT(Q50,4)),"",IF($R$33="Calendar Year",Q50+1,CONCATENATE(LEFT(Q50,4)+1,"-",RIGHT(Q50,4)+1))),"")</f>
        <v>2014</v>
      </c>
      <c r="R51" s="1785">
        <f t="shared" ca="1" si="4"/>
        <v>147.46935516178496</v>
      </c>
      <c r="S51" s="1786">
        <f t="shared" ca="1" si="5"/>
        <v>94.609190000000012</v>
      </c>
      <c r="T51" s="786"/>
      <c r="U51" s="786"/>
      <c r="V51" s="786"/>
      <c r="W51" s="786"/>
      <c r="X51" s="786"/>
      <c r="Y51" s="786"/>
      <c r="Z51" s="786"/>
      <c r="AA51" s="786"/>
      <c r="AB51" s="786"/>
      <c r="AC51" s="786"/>
      <c r="AD51" s="786"/>
    </row>
    <row r="52" spans="1:30">
      <c r="A52" s="753">
        <v>40148</v>
      </c>
      <c r="B52" s="759">
        <v>26.61</v>
      </c>
      <c r="C52" s="756">
        <v>16.228244220000001</v>
      </c>
      <c r="D52" s="759">
        <v>1.640514</v>
      </c>
      <c r="E52" s="756">
        <v>75.290215000000003</v>
      </c>
      <c r="F52" s="759">
        <v>3.135597985</v>
      </c>
      <c r="G52" s="756">
        <v>124.71293206999999</v>
      </c>
      <c r="H52" s="759">
        <v>3.45566</v>
      </c>
      <c r="I52" s="756">
        <v>62.770829999999997</v>
      </c>
      <c r="J52" s="759">
        <v>1.1528529999999999</v>
      </c>
      <c r="K52" s="756">
        <v>45.606217000000001</v>
      </c>
      <c r="L52" s="759">
        <v>233.53</v>
      </c>
      <c r="M52" s="756">
        <v>2.5488360000000001</v>
      </c>
      <c r="N52" s="300">
        <f t="shared" si="6"/>
        <v>2009</v>
      </c>
      <c r="O52" s="302" t="str">
        <f t="shared" si="7"/>
        <v>4</v>
      </c>
      <c r="P52" s="1097"/>
      <c r="Q52" s="770">
        <f>IFERROR(IF(YEAR(MAX('Data - Monthly Commodity Prices'!$C$9:$C4999))=VALUE(RIGHT(Q51,4)),"",IF($R$33="Calendar Year",Q51+1,CONCATENATE(LEFT(Q51,4)+1,"-",RIGHT(Q51,4)+1))),"")</f>
        <v>2015</v>
      </c>
      <c r="R52" s="497">
        <f t="shared" ca="1" si="4"/>
        <v>149.76098616826386</v>
      </c>
      <c r="S52" s="511">
        <f t="shared" ca="1" si="5"/>
        <v>96.075520000000012</v>
      </c>
      <c r="T52" s="786"/>
      <c r="U52" s="786"/>
      <c r="V52" s="786"/>
      <c r="W52" s="786"/>
      <c r="X52" s="786"/>
      <c r="Y52" s="786"/>
      <c r="Z52" s="786"/>
      <c r="AA52" s="786"/>
      <c r="AB52" s="786"/>
      <c r="AC52" s="786"/>
      <c r="AD52" s="786"/>
    </row>
    <row r="53" spans="1:30">
      <c r="A53" s="753">
        <v>40238</v>
      </c>
      <c r="B53" s="758">
        <v>37.049999999999997</v>
      </c>
      <c r="C53" s="73">
        <v>23.140494889999999</v>
      </c>
      <c r="D53" s="758">
        <v>1.9090879999999999</v>
      </c>
      <c r="E53" s="292">
        <v>87.708416</v>
      </c>
      <c r="F53" s="758">
        <v>2.56266522</v>
      </c>
      <c r="G53" s="73">
        <v>92.637926379999996</v>
      </c>
      <c r="H53" s="758">
        <v>4.8594660000000003</v>
      </c>
      <c r="I53" s="73">
        <v>90.533727999999996</v>
      </c>
      <c r="J53" s="758">
        <v>1.04125</v>
      </c>
      <c r="K53" s="292">
        <v>50.073636999999998</v>
      </c>
      <c r="L53" s="758">
        <v>278.91000000000003</v>
      </c>
      <c r="M53" s="292">
        <v>3.0311279999999998</v>
      </c>
      <c r="N53" s="300">
        <f t="shared" si="6"/>
        <v>2010</v>
      </c>
      <c r="O53" s="302" t="str">
        <f t="shared" si="7"/>
        <v>1</v>
      </c>
      <c r="P53" s="1097"/>
      <c r="Q53" s="770">
        <f>IFERROR(IF(YEAR(MAX('Data - Monthly Commodity Prices'!$C$9:$C5000))=VALUE(RIGHT(Q52,4)),"",IF($R$33="Calendar Year",Q52+1,CONCATENATE(LEFT(Q52,4)+1,"-",RIGHT(Q52,4)+1))),"")</f>
        <v>2016</v>
      </c>
      <c r="R53" s="1785">
        <f t="shared" ca="1" si="4"/>
        <v>158.0240303321545</v>
      </c>
      <c r="S53" s="1786">
        <f t="shared" ca="1" si="5"/>
        <v>111.613164</v>
      </c>
      <c r="T53" s="786"/>
      <c r="U53" s="786"/>
      <c r="V53" s="786"/>
      <c r="W53" s="786"/>
      <c r="X53" s="786"/>
      <c r="Y53" s="786"/>
      <c r="Z53" s="786"/>
      <c r="AA53" s="786"/>
      <c r="AB53" s="786"/>
      <c r="AC53" s="786"/>
      <c r="AD53" s="786"/>
    </row>
    <row r="54" spans="1:30">
      <c r="A54" s="753">
        <v>40330</v>
      </c>
      <c r="B54" s="759">
        <v>27.2</v>
      </c>
      <c r="C54" s="756">
        <v>19.315009280000002</v>
      </c>
      <c r="D54" s="759">
        <v>1.6779120000000001</v>
      </c>
      <c r="E54" s="756">
        <v>92.738175999999996</v>
      </c>
      <c r="F54" s="759">
        <v>2.7857517700000001</v>
      </c>
      <c r="G54" s="756">
        <v>94.411674640000001</v>
      </c>
      <c r="H54" s="759">
        <v>3.2670759999999999</v>
      </c>
      <c r="I54" s="756">
        <v>77.634621999999993</v>
      </c>
      <c r="J54" s="759">
        <v>0.97460999999999998</v>
      </c>
      <c r="K54" s="756">
        <v>44.997244999999999</v>
      </c>
      <c r="L54" s="759">
        <v>247.37</v>
      </c>
      <c r="M54" s="756">
        <v>2.4043049999999999</v>
      </c>
      <c r="N54" s="300">
        <f t="shared" si="6"/>
        <v>2010</v>
      </c>
      <c r="O54" s="302" t="str">
        <f t="shared" si="7"/>
        <v>2</v>
      </c>
      <c r="P54" s="1097"/>
      <c r="Q54" s="770">
        <f>IFERROR(IF(YEAR(MAX('Data - Monthly Commodity Prices'!$C$9:$C5001))=VALUE(RIGHT(Q53,4)),"",IF($R$33="Calendar Year",Q53+1,CONCATENATE(LEFT(Q53,4)+1,"-",RIGHT(Q53,4)+1))),"")</f>
        <v>2017</v>
      </c>
      <c r="R54" s="497">
        <f t="shared" ca="1" si="4"/>
        <v>150.86610314033285</v>
      </c>
      <c r="S54" s="511">
        <f t="shared" ca="1" si="5"/>
        <v>98.551907</v>
      </c>
      <c r="T54" s="786"/>
      <c r="U54" s="786"/>
      <c r="V54" s="786"/>
      <c r="W54" s="786"/>
      <c r="X54" s="786"/>
      <c r="Y54" s="786"/>
      <c r="Z54" s="786"/>
      <c r="AA54" s="786"/>
      <c r="AB54" s="786"/>
      <c r="AC54" s="786"/>
      <c r="AD54" s="786"/>
    </row>
    <row r="55" spans="1:30">
      <c r="A55" s="753">
        <v>40422</v>
      </c>
      <c r="B55" s="758">
        <v>23.34</v>
      </c>
      <c r="C55" s="73">
        <v>17.1025399</v>
      </c>
      <c r="D55" s="758">
        <v>1.701068</v>
      </c>
      <c r="E55" s="292">
        <v>69.848280000000003</v>
      </c>
      <c r="F55" s="758">
        <v>2.60718396</v>
      </c>
      <c r="G55" s="73">
        <v>96.228769650000004</v>
      </c>
      <c r="H55" s="758">
        <v>4.0734579999999996</v>
      </c>
      <c r="I55" s="73">
        <v>98.612891000000005</v>
      </c>
      <c r="J55" s="758">
        <v>1.1013010000000001</v>
      </c>
      <c r="K55" s="292">
        <v>47.525984000000001</v>
      </c>
      <c r="L55" s="758">
        <v>183.61</v>
      </c>
      <c r="M55" s="292">
        <v>1.5646549999999999</v>
      </c>
      <c r="N55" s="300">
        <f t="shared" si="6"/>
        <v>2010</v>
      </c>
      <c r="O55" s="302" t="str">
        <f t="shared" si="7"/>
        <v>3</v>
      </c>
      <c r="P55" s="1097"/>
      <c r="Q55" s="770">
        <f>IFERROR(IF(YEAR(MAX('Data - Monthly Commodity Prices'!$C$9:$C5002))=VALUE(RIGHT(Q54,4)),"",IF($R$33="Calendar Year",Q54+1,CONCATENATE(LEFT(Q54,4)+1,"-",RIGHT(Q54,4)+1))),"")</f>
        <v>2018</v>
      </c>
      <c r="R55" s="1785">
        <f t="shared" ca="1" si="4"/>
        <v>144.20504345900713</v>
      </c>
      <c r="S55" s="1786">
        <f t="shared" ca="1" si="5"/>
        <v>94.066417000000001</v>
      </c>
      <c r="T55" s="786"/>
      <c r="U55" s="786"/>
      <c r="V55" s="786"/>
      <c r="W55" s="786"/>
      <c r="X55" s="786"/>
      <c r="Y55" s="786"/>
      <c r="Z55" s="786"/>
      <c r="AA55" s="786"/>
      <c r="AB55" s="786"/>
      <c r="AC55" s="786"/>
      <c r="AD55" s="786"/>
    </row>
    <row r="56" spans="1:30">
      <c r="A56" s="753">
        <v>40513</v>
      </c>
      <c r="B56" s="759">
        <v>25.4</v>
      </c>
      <c r="C56" s="756">
        <v>21.096161120000001</v>
      </c>
      <c r="D56" s="759">
        <v>1.710453</v>
      </c>
      <c r="E56" s="756">
        <v>67.973329000000007</v>
      </c>
      <c r="F56" s="759">
        <v>3.5870354600000001</v>
      </c>
      <c r="G56" s="756">
        <v>103.39044622999999</v>
      </c>
      <c r="H56" s="759">
        <v>2.216656</v>
      </c>
      <c r="I56" s="756">
        <v>78.762479999999996</v>
      </c>
      <c r="J56" s="759">
        <v>0.825851</v>
      </c>
      <c r="K56" s="756">
        <v>31.190370000000001</v>
      </c>
      <c r="L56" s="759">
        <v>71.14</v>
      </c>
      <c r="M56" s="756">
        <v>1.225393</v>
      </c>
      <c r="N56" s="300">
        <f t="shared" si="6"/>
        <v>2010</v>
      </c>
      <c r="O56" s="302" t="str">
        <f t="shared" si="7"/>
        <v>4</v>
      </c>
      <c r="P56" s="1097"/>
      <c r="Q56" s="770">
        <f>IFERROR(IF(YEAR(MAX('Data - Monthly Commodity Prices'!$C$9:$C5003))=VALUE(RIGHT(Q55,4)),"",IF($R$33="Calendar Year",Q55+1,CONCATENATE(LEFT(Q55,4)+1,"-",RIGHT(Q55,4)+1))),"")</f>
        <v>2019</v>
      </c>
      <c r="R56" s="497">
        <f t="shared" ca="1" si="4"/>
        <v>134.47284293673232</v>
      </c>
      <c r="S56" s="511">
        <f t="shared" ca="1" si="5"/>
        <v>95.034498999999997</v>
      </c>
      <c r="T56" s="786"/>
      <c r="U56" s="786"/>
      <c r="V56" s="786"/>
      <c r="W56" s="786"/>
      <c r="X56" s="786"/>
      <c r="Y56" s="786"/>
      <c r="Z56" s="786"/>
      <c r="AA56" s="786"/>
      <c r="AB56" s="786"/>
      <c r="AC56" s="786"/>
      <c r="AD56" s="786"/>
    </row>
    <row r="57" spans="1:30">
      <c r="A57" s="753">
        <v>40603</v>
      </c>
      <c r="B57" s="758">
        <v>21.82</v>
      </c>
      <c r="C57" s="73">
        <v>23.41780352</v>
      </c>
      <c r="D57" s="758">
        <v>2.0381130000000001</v>
      </c>
      <c r="E57" s="292">
        <v>82.415342999999993</v>
      </c>
      <c r="F57" s="758">
        <v>2.9696917300000001</v>
      </c>
      <c r="G57" s="73">
        <v>85.056352700000005</v>
      </c>
      <c r="H57" s="758">
        <v>2.6453880000000001</v>
      </c>
      <c r="I57" s="73">
        <v>76.294087000000005</v>
      </c>
      <c r="J57" s="758">
        <v>0.95</v>
      </c>
      <c r="K57" s="292">
        <v>35.871651</v>
      </c>
      <c r="L57" s="758">
        <v>98.93</v>
      </c>
      <c r="M57" s="292">
        <v>2.3594650000000001</v>
      </c>
      <c r="N57" s="300">
        <f t="shared" si="6"/>
        <v>2011</v>
      </c>
      <c r="O57" s="302" t="str">
        <f t="shared" si="7"/>
        <v>1</v>
      </c>
      <c r="P57" s="1097"/>
      <c r="Q57" s="770" t="str">
        <f>IFERROR(IF(YEAR(MAX('Data - Monthly Commodity Prices'!$C$9:$C5004))=VALUE(RIGHT(Q56,4)),"",IF($R$33="Calendar Year",Q56+1,CONCATENATE(LEFT(Q56,4)+1,"-",RIGHT(Q56,4)+1))),"")</f>
        <v/>
      </c>
      <c r="R57" s="766" t="str">
        <f t="shared" ca="1" si="4"/>
        <v/>
      </c>
      <c r="S57" s="767" t="str">
        <f t="shared" ca="1" si="5"/>
        <v/>
      </c>
    </row>
    <row r="58" spans="1:30">
      <c r="A58" s="753">
        <v>40695</v>
      </c>
      <c r="B58" s="759">
        <v>12.99</v>
      </c>
      <c r="C58" s="756">
        <v>14.448582829999999</v>
      </c>
      <c r="D58" s="759">
        <v>1.784821</v>
      </c>
      <c r="E58" s="756">
        <v>76.022599</v>
      </c>
      <c r="F58" s="759">
        <v>3.0825931400000002</v>
      </c>
      <c r="G58" s="756">
        <v>82.260321869999999</v>
      </c>
      <c r="H58" s="759">
        <v>1.1860850000000001</v>
      </c>
      <c r="I58" s="756">
        <v>49.423012999999997</v>
      </c>
      <c r="J58" s="759">
        <v>0.89</v>
      </c>
      <c r="K58" s="756">
        <v>31.892309999999998</v>
      </c>
      <c r="L58" s="759">
        <v>86.55</v>
      </c>
      <c r="M58" s="756">
        <v>1.886584</v>
      </c>
      <c r="N58" s="300">
        <f t="shared" si="6"/>
        <v>2011</v>
      </c>
      <c r="O58" s="302" t="str">
        <f t="shared" si="7"/>
        <v>2</v>
      </c>
      <c r="P58" s="1097"/>
      <c r="Q58" s="770" t="str">
        <f>IFERROR(IF(YEAR(MAX('Data - Monthly Commodity Prices'!$C$9:$C5005))=VALUE(RIGHT(Q57,4)),"",IF($R$33="Calendar Year",Q57+1,CONCATENATE(LEFT(Q57,4)+1,"-",RIGHT(Q57,4)+1))),"")</f>
        <v/>
      </c>
      <c r="R58" s="351" t="str">
        <f t="shared" ca="1" si="4"/>
        <v/>
      </c>
      <c r="S58" s="352" t="str">
        <f t="shared" ca="1" si="5"/>
        <v/>
      </c>
    </row>
    <row r="59" spans="1:30">
      <c r="A59" s="753">
        <v>40787</v>
      </c>
      <c r="B59" s="758">
        <v>14.88</v>
      </c>
      <c r="C59" s="73">
        <v>15.980396170000001</v>
      </c>
      <c r="D59" s="758">
        <v>1.5109030000000001</v>
      </c>
      <c r="E59" s="292">
        <v>59.122332</v>
      </c>
      <c r="F59" s="758">
        <v>2.7683849500000002</v>
      </c>
      <c r="G59" s="73">
        <v>72.734708470000001</v>
      </c>
      <c r="H59" s="758">
        <v>2.0016669999999999</v>
      </c>
      <c r="I59" s="73">
        <v>80.265319000000005</v>
      </c>
      <c r="J59" s="758">
        <v>0.91</v>
      </c>
      <c r="K59" s="292">
        <v>28.49305</v>
      </c>
      <c r="L59" s="758">
        <v>135.39346800000001</v>
      </c>
      <c r="M59" s="292">
        <v>3.548203</v>
      </c>
      <c r="N59" s="300">
        <f t="shared" si="6"/>
        <v>2011</v>
      </c>
      <c r="O59" s="302" t="str">
        <f t="shared" si="7"/>
        <v>3</v>
      </c>
      <c r="P59" s="1097"/>
      <c r="Q59" s="770" t="str">
        <f>IFERROR(IF(YEAR(MAX('Data - Monthly Commodity Prices'!$C$9:$C5006))=VALUE(RIGHT(Q58,4)),"",IF($R$33="Calendar Year",Q58+1,CONCATENATE(LEFT(Q58,4)+1,"-",RIGHT(Q58,4)+1))),"")</f>
        <v/>
      </c>
      <c r="R59" s="766" t="str">
        <f t="shared" ca="1" si="4"/>
        <v/>
      </c>
      <c r="S59" s="767" t="str">
        <f t="shared" ca="1" si="5"/>
        <v/>
      </c>
    </row>
    <row r="60" spans="1:30" ht="15.75" thickBot="1">
      <c r="A60" s="753">
        <v>40878</v>
      </c>
      <c r="B60" s="759">
        <v>41.78</v>
      </c>
      <c r="C60" s="756">
        <v>42.377195329999999</v>
      </c>
      <c r="D60" s="759">
        <v>1.6480699999999999</v>
      </c>
      <c r="E60" s="756">
        <v>65.935260999999997</v>
      </c>
      <c r="F60" s="759">
        <v>3.4319052800000001</v>
      </c>
      <c r="G60" s="756">
        <v>95.719509610000003</v>
      </c>
      <c r="H60" s="759">
        <v>1.801585</v>
      </c>
      <c r="I60" s="756">
        <v>85.195436999999998</v>
      </c>
      <c r="J60" s="759">
        <v>1.1299999999999999</v>
      </c>
      <c r="K60" s="756">
        <v>31.738264999999998</v>
      </c>
      <c r="L60" s="759">
        <v>117.733437</v>
      </c>
      <c r="M60" s="756">
        <v>2.8119420000000002</v>
      </c>
      <c r="N60" s="300">
        <f t="shared" si="6"/>
        <v>2011</v>
      </c>
      <c r="O60" s="302" t="str">
        <f t="shared" si="7"/>
        <v>4</v>
      </c>
      <c r="P60" s="1097"/>
      <c r="Q60" s="771" t="str">
        <f>IFERROR(IF(YEAR(MAX('Data - Monthly Commodity Prices'!$C$9:$C5007))=VALUE(RIGHT(Q59,4)),"",IF($R$33="Calendar Year",Q59+1,CONCATENATE(LEFT(Q59,4)+1,"-",RIGHT(Q59,4)+1))),"")</f>
        <v/>
      </c>
      <c r="R60" s="374" t="str">
        <f t="shared" ca="1" si="4"/>
        <v/>
      </c>
      <c r="S60" s="375" t="str">
        <f t="shared" ca="1" si="5"/>
        <v/>
      </c>
    </row>
    <row r="61" spans="1:30">
      <c r="A61" s="753">
        <v>40969</v>
      </c>
      <c r="B61" s="758">
        <v>27.45</v>
      </c>
      <c r="C61" s="73">
        <v>26.347134390000001</v>
      </c>
      <c r="D61" s="758">
        <v>2.0367510000000002</v>
      </c>
      <c r="E61" s="292">
        <v>85.819766999999999</v>
      </c>
      <c r="F61" s="758">
        <v>3.3678653700000001</v>
      </c>
      <c r="G61" s="73">
        <v>91.287571049999997</v>
      </c>
      <c r="H61" s="758">
        <v>2.9122300000000001</v>
      </c>
      <c r="I61" s="73">
        <v>93.107989000000003</v>
      </c>
      <c r="J61" s="758">
        <v>1.34</v>
      </c>
      <c r="K61" s="292">
        <v>38.508535999999999</v>
      </c>
      <c r="L61" s="758">
        <v>174.24354588</v>
      </c>
      <c r="M61" s="292">
        <v>4.0192905300000001</v>
      </c>
      <c r="N61" s="300">
        <f t="shared" si="6"/>
        <v>2012</v>
      </c>
      <c r="O61" s="302" t="str">
        <f t="shared" si="7"/>
        <v>1</v>
      </c>
      <c r="P61" s="1097"/>
    </row>
    <row r="62" spans="1:30">
      <c r="A62" s="753">
        <v>41061</v>
      </c>
      <c r="B62" s="759">
        <v>35.97</v>
      </c>
      <c r="C62" s="756">
        <v>31.000170000000001</v>
      </c>
      <c r="D62" s="759">
        <v>1.7907090000000001</v>
      </c>
      <c r="E62" s="756">
        <v>78.751891999999998</v>
      </c>
      <c r="F62" s="759">
        <v>3.2393057500000002</v>
      </c>
      <c r="G62" s="756">
        <v>94.034657839999994</v>
      </c>
      <c r="H62" s="759">
        <v>1.974019</v>
      </c>
      <c r="I62" s="756">
        <v>84.724648999999999</v>
      </c>
      <c r="J62" s="759">
        <v>1.57</v>
      </c>
      <c r="K62" s="756">
        <v>44.887745000000002</v>
      </c>
      <c r="L62" s="759">
        <v>198.71228615999999</v>
      </c>
      <c r="M62" s="756">
        <v>4.5300076300000001</v>
      </c>
      <c r="N62" s="300">
        <f t="shared" si="6"/>
        <v>2012</v>
      </c>
      <c r="O62" s="302" t="str">
        <f t="shared" si="7"/>
        <v>2</v>
      </c>
      <c r="P62" s="1097"/>
    </row>
    <row r="63" spans="1:30">
      <c r="A63" s="753">
        <v>41153</v>
      </c>
      <c r="B63" s="758">
        <v>29.33</v>
      </c>
      <c r="C63" s="73">
        <v>25.6647666</v>
      </c>
      <c r="D63" s="758">
        <v>1.801199</v>
      </c>
      <c r="E63" s="292">
        <v>75.452189000000004</v>
      </c>
      <c r="F63" s="758">
        <v>2.9870367999999998</v>
      </c>
      <c r="G63" s="73">
        <v>91.389328610000007</v>
      </c>
      <c r="H63" s="758">
        <v>1.6756359999999999</v>
      </c>
      <c r="I63" s="73">
        <v>65.373769999999993</v>
      </c>
      <c r="J63" s="758">
        <v>1.44</v>
      </c>
      <c r="K63" s="292">
        <v>36.547936999999997</v>
      </c>
      <c r="L63" s="758">
        <v>206.58351500000001</v>
      </c>
      <c r="M63" s="292">
        <v>4.3636460000000001</v>
      </c>
      <c r="N63" s="300">
        <f t="shared" si="6"/>
        <v>2012</v>
      </c>
      <c r="O63" s="302" t="str">
        <f t="shared" si="7"/>
        <v>3</v>
      </c>
      <c r="P63" s="1097"/>
    </row>
    <row r="64" spans="1:30">
      <c r="A64" s="753">
        <v>41244</v>
      </c>
      <c r="B64" s="759">
        <v>41.92</v>
      </c>
      <c r="C64" s="756">
        <v>37.720450820000003</v>
      </c>
      <c r="D64" s="759">
        <v>1.8295969999999999</v>
      </c>
      <c r="E64" s="756">
        <v>75.062442000000004</v>
      </c>
      <c r="F64" s="759">
        <v>2.9106186200000002</v>
      </c>
      <c r="G64" s="756">
        <v>87.797827339999998</v>
      </c>
      <c r="H64" s="759">
        <v>3.3162400000000001</v>
      </c>
      <c r="I64" s="756">
        <v>107.196268</v>
      </c>
      <c r="J64" s="759">
        <v>1.56</v>
      </c>
      <c r="K64" s="756">
        <v>35.505099999999999</v>
      </c>
      <c r="L64" s="759">
        <v>126.793468</v>
      </c>
      <c r="M64" s="756">
        <v>2.7670539999999999</v>
      </c>
      <c r="N64" s="300">
        <f t="shared" si="6"/>
        <v>2012</v>
      </c>
      <c r="O64" s="302" t="str">
        <f t="shared" si="7"/>
        <v>4</v>
      </c>
      <c r="P64" s="1097"/>
      <c r="V64" s="2"/>
    </row>
    <row r="65" spans="1:22">
      <c r="A65" s="753">
        <v>41334</v>
      </c>
      <c r="B65" s="758">
        <v>27.33</v>
      </c>
      <c r="C65" s="73">
        <v>21.169591780000001</v>
      </c>
      <c r="D65" s="758">
        <v>1.7805550000000001</v>
      </c>
      <c r="E65" s="292">
        <v>72.932895000000002</v>
      </c>
      <c r="F65" s="758">
        <v>3.4895649259999999</v>
      </c>
      <c r="G65" s="73">
        <v>104.78750985000001</v>
      </c>
      <c r="H65" s="758">
        <v>1.736796</v>
      </c>
      <c r="I65" s="73">
        <v>81.857669000000001</v>
      </c>
      <c r="J65" s="758">
        <v>1.46</v>
      </c>
      <c r="K65" s="292">
        <v>40.403044000000001</v>
      </c>
      <c r="L65" s="758">
        <v>146.04696734000001</v>
      </c>
      <c r="M65" s="292">
        <v>3.56503397</v>
      </c>
      <c r="N65" s="300">
        <f t="shared" si="6"/>
        <v>2013</v>
      </c>
      <c r="O65" s="302" t="str">
        <f t="shared" si="7"/>
        <v>1</v>
      </c>
      <c r="P65" s="1097"/>
      <c r="V65" s="2"/>
    </row>
    <row r="66" spans="1:22">
      <c r="A66" s="753">
        <v>41426</v>
      </c>
      <c r="B66" s="759">
        <v>25.16</v>
      </c>
      <c r="C66" s="756">
        <v>16.005870160000001</v>
      </c>
      <c r="D66" s="759">
        <v>2.082929</v>
      </c>
      <c r="E66" s="756">
        <v>87.365359999999995</v>
      </c>
      <c r="F66" s="759">
        <v>3.002422336</v>
      </c>
      <c r="G66" s="756">
        <v>97.678222329999997</v>
      </c>
      <c r="H66" s="759">
        <v>2.8800129999999999</v>
      </c>
      <c r="I66" s="756">
        <v>101.53717</v>
      </c>
      <c r="J66" s="759">
        <v>1.74</v>
      </c>
      <c r="K66" s="756">
        <v>46.691724000000001</v>
      </c>
      <c r="L66" s="759">
        <v>178.31415240999999</v>
      </c>
      <c r="M66" s="756">
        <v>4.3498851299999997</v>
      </c>
      <c r="N66" s="300">
        <f t="shared" si="6"/>
        <v>2013</v>
      </c>
      <c r="O66" s="302" t="str">
        <f t="shared" si="7"/>
        <v>2</v>
      </c>
      <c r="P66" s="1097"/>
      <c r="U66" s="1488"/>
      <c r="V66" s="2"/>
    </row>
    <row r="67" spans="1:22">
      <c r="A67" s="753">
        <v>41518</v>
      </c>
      <c r="B67" s="758">
        <v>43.25</v>
      </c>
      <c r="C67" s="73">
        <v>30.699013059999999</v>
      </c>
      <c r="D67" s="758">
        <v>1.629858</v>
      </c>
      <c r="E67" s="292">
        <v>68.871536000000006</v>
      </c>
      <c r="F67" s="758">
        <v>3.1063485000000002</v>
      </c>
      <c r="G67" s="73">
        <v>99.398332929999995</v>
      </c>
      <c r="H67" s="758">
        <v>2.6419769999999998</v>
      </c>
      <c r="I67" s="73">
        <v>93.623329999999996</v>
      </c>
      <c r="J67" s="758">
        <v>1.65</v>
      </c>
      <c r="K67" s="292">
        <v>44.131681</v>
      </c>
      <c r="L67" s="758">
        <v>228.29517899999999</v>
      </c>
      <c r="M67" s="292">
        <v>6.1167610000000003</v>
      </c>
      <c r="N67" s="300">
        <f t="shared" si="6"/>
        <v>2013</v>
      </c>
      <c r="O67" s="302" t="str">
        <f t="shared" si="7"/>
        <v>3</v>
      </c>
      <c r="P67" s="1097"/>
      <c r="V67" s="2"/>
    </row>
    <row r="68" spans="1:22">
      <c r="A68" s="753">
        <v>41609</v>
      </c>
      <c r="B68" s="759">
        <v>30.61</v>
      </c>
      <c r="C68" s="756">
        <v>20.50123499</v>
      </c>
      <c r="D68" s="759">
        <v>1.593982</v>
      </c>
      <c r="E68" s="756">
        <v>67.435451</v>
      </c>
      <c r="F68" s="759">
        <v>3.3018478500000001</v>
      </c>
      <c r="G68" s="756">
        <v>110.5508968</v>
      </c>
      <c r="H68" s="759">
        <v>3.4355799999999999</v>
      </c>
      <c r="I68" s="756">
        <v>112.077574</v>
      </c>
      <c r="J68" s="759">
        <v>1.55</v>
      </c>
      <c r="K68" s="756">
        <v>40.523435999999997</v>
      </c>
      <c r="L68" s="759">
        <v>233.53312600000001</v>
      </c>
      <c r="M68" s="756">
        <v>6.4107539999999998</v>
      </c>
      <c r="N68" s="300">
        <f t="shared" si="6"/>
        <v>2013</v>
      </c>
      <c r="O68" s="302" t="str">
        <f t="shared" si="7"/>
        <v>4</v>
      </c>
      <c r="P68" s="1097"/>
      <c r="V68" s="2"/>
    </row>
    <row r="69" spans="1:22">
      <c r="A69" s="753">
        <v>41699</v>
      </c>
      <c r="B69" s="758">
        <v>29.009977854292444</v>
      </c>
      <c r="C69" s="73">
        <v>19.807912000000002</v>
      </c>
      <c r="D69" s="758">
        <v>1.4728449800000001</v>
      </c>
      <c r="E69" s="292">
        <v>60.185381999999997</v>
      </c>
      <c r="F69" s="758">
        <v>3.7093536500000002</v>
      </c>
      <c r="G69" s="73">
        <v>118.49862899999999</v>
      </c>
      <c r="H69" s="758">
        <v>3.6040654600000002</v>
      </c>
      <c r="I69" s="73">
        <v>116.37214299999999</v>
      </c>
      <c r="J69" s="758">
        <v>1.5272220000000001</v>
      </c>
      <c r="K69" s="292">
        <v>46.557541000000001</v>
      </c>
      <c r="L69" s="758">
        <v>264.22161881389832</v>
      </c>
      <c r="M69" s="292">
        <v>3.0281030000000002</v>
      </c>
      <c r="N69" s="300">
        <f t="shared" si="6"/>
        <v>2014</v>
      </c>
      <c r="O69" s="302" t="str">
        <f t="shared" si="7"/>
        <v>1</v>
      </c>
      <c r="P69" s="1097"/>
      <c r="U69" s="2"/>
      <c r="V69" s="2"/>
    </row>
    <row r="70" spans="1:22">
      <c r="A70" s="753">
        <v>41791</v>
      </c>
      <c r="B70" s="759">
        <v>34.309398613404987</v>
      </c>
      <c r="C70" s="756">
        <v>22.406051999999999</v>
      </c>
      <c r="D70" s="759">
        <v>1.5787367999999997</v>
      </c>
      <c r="E70" s="756">
        <v>67.209311</v>
      </c>
      <c r="F70" s="759">
        <v>2.8744915499999997</v>
      </c>
      <c r="G70" s="756">
        <v>81.649990000000003</v>
      </c>
      <c r="H70" s="759">
        <v>1.9290085299999999</v>
      </c>
      <c r="I70" s="756">
        <v>76.137878999999998</v>
      </c>
      <c r="J70" s="759">
        <v>1.5086619999999999</v>
      </c>
      <c r="K70" s="756">
        <v>43.90513</v>
      </c>
      <c r="L70" s="759">
        <v>288.98219945444418</v>
      </c>
      <c r="M70" s="756">
        <v>3.3002639999999999</v>
      </c>
      <c r="N70" s="300">
        <f t="shared" si="6"/>
        <v>2014</v>
      </c>
      <c r="O70" s="302" t="str">
        <f t="shared" si="7"/>
        <v>2</v>
      </c>
      <c r="P70" s="1097"/>
      <c r="U70" s="2"/>
      <c r="V70" s="2"/>
    </row>
    <row r="71" spans="1:22">
      <c r="A71" s="753">
        <v>41883</v>
      </c>
      <c r="B71" s="758">
        <v>31.4168397888693</v>
      </c>
      <c r="C71" s="73">
        <v>19.796593000000001</v>
      </c>
      <c r="D71" s="758">
        <v>1.53169767</v>
      </c>
      <c r="E71" s="292">
        <v>63.946494999999999</v>
      </c>
      <c r="F71" s="758">
        <v>3.1389231899999999</v>
      </c>
      <c r="G71" s="73">
        <v>102.104128</v>
      </c>
      <c r="H71" s="758">
        <v>2.97988937</v>
      </c>
      <c r="I71" s="73">
        <v>91.957121999999998</v>
      </c>
      <c r="J71" s="758">
        <v>1.5784659999999999</v>
      </c>
      <c r="K71" s="292">
        <v>52.481675000000003</v>
      </c>
      <c r="L71" s="758">
        <v>86.259086116320958</v>
      </c>
      <c r="M71" s="292">
        <v>2.4103119999999998</v>
      </c>
      <c r="N71" s="300">
        <f t="shared" si="6"/>
        <v>2014</v>
      </c>
      <c r="O71" s="302" t="str">
        <f t="shared" si="7"/>
        <v>3</v>
      </c>
      <c r="P71" s="1097"/>
      <c r="U71" s="2"/>
      <c r="V71" s="2"/>
    </row>
    <row r="72" spans="1:22">
      <c r="A72" s="753">
        <v>41974</v>
      </c>
      <c r="B72" s="759">
        <v>52.73313890521824</v>
      </c>
      <c r="C72" s="756">
        <v>32.598633</v>
      </c>
      <c r="D72" s="759">
        <v>1.6277688300000002</v>
      </c>
      <c r="E72" s="756">
        <v>75.543021999999993</v>
      </c>
      <c r="F72" s="759">
        <v>3.2751842099999999</v>
      </c>
      <c r="G72" s="756">
        <v>104.173846</v>
      </c>
      <c r="H72" s="759">
        <v>2.11641842</v>
      </c>
      <c r="I72" s="756">
        <v>86.153610999999998</v>
      </c>
      <c r="J72" s="759">
        <v>1.5869059999999999</v>
      </c>
      <c r="K72" s="756">
        <v>54.631796000000001</v>
      </c>
      <c r="L72" s="759">
        <v>126.04173470562071</v>
      </c>
      <c r="M72" s="756">
        <v>3.4722390000000001</v>
      </c>
      <c r="N72" s="302">
        <f t="shared" si="6"/>
        <v>2014</v>
      </c>
      <c r="O72" s="302" t="str">
        <f t="shared" si="7"/>
        <v>4</v>
      </c>
      <c r="P72" s="1097"/>
      <c r="U72" s="2"/>
      <c r="V72" s="2"/>
    </row>
    <row r="73" spans="1:22">
      <c r="A73" s="754">
        <v>42064</v>
      </c>
      <c r="B73" s="758">
        <v>20.223950551620963</v>
      </c>
      <c r="C73" s="292">
        <v>13.192783</v>
      </c>
      <c r="D73" s="758">
        <v>1.73593022</v>
      </c>
      <c r="E73" s="292">
        <v>85.775346999999996</v>
      </c>
      <c r="F73" s="758">
        <v>2.7974106700000001</v>
      </c>
      <c r="G73" s="292">
        <v>94.308603000000005</v>
      </c>
      <c r="H73" s="758">
        <v>2.3001332400000001</v>
      </c>
      <c r="I73" s="292">
        <v>80.105303000000006</v>
      </c>
      <c r="J73" s="758">
        <v>1.1466620000000001</v>
      </c>
      <c r="K73" s="292">
        <v>41.786538999999998</v>
      </c>
      <c r="L73" s="758">
        <v>118.12161741835149</v>
      </c>
      <c r="M73" s="292">
        <v>3.5442749999999998</v>
      </c>
      <c r="N73" s="302">
        <f t="shared" ref="N73:N94" si="8">YEAR(A73)</f>
        <v>2015</v>
      </c>
      <c r="O73" s="302" t="str">
        <f t="shared" ref="O73:O94" si="9">IF(MONTH(A73)=3,"1",IF(MONTH(A73)=6,"2",IF(MONTH(A73)=9,"3","4")))</f>
        <v>1</v>
      </c>
      <c r="P73" s="1097"/>
      <c r="U73" s="2"/>
      <c r="V73" s="2"/>
    </row>
    <row r="74" spans="1:22">
      <c r="A74" s="754">
        <v>42156</v>
      </c>
      <c r="B74" s="759">
        <v>46.204074685776668</v>
      </c>
      <c r="C74" s="756">
        <v>30.384</v>
      </c>
      <c r="D74" s="759">
        <v>1.6576670299999998</v>
      </c>
      <c r="E74" s="756">
        <v>81.469047000000003</v>
      </c>
      <c r="F74" s="759">
        <v>2.5150882299999999</v>
      </c>
      <c r="G74" s="756">
        <v>74.035737999999995</v>
      </c>
      <c r="H74" s="759">
        <v>2.9914851900000001</v>
      </c>
      <c r="I74" s="756">
        <v>84.097628</v>
      </c>
      <c r="J74" s="759">
        <v>1.7243069999999998</v>
      </c>
      <c r="K74" s="756">
        <v>61.667501999999999</v>
      </c>
      <c r="L74" s="759">
        <v>133.1704510108865</v>
      </c>
      <c r="M74" s="756">
        <v>3.9539040000000001</v>
      </c>
      <c r="N74" s="302">
        <f t="shared" si="8"/>
        <v>2015</v>
      </c>
      <c r="O74" s="302" t="str">
        <f t="shared" si="9"/>
        <v>2</v>
      </c>
      <c r="P74" s="1097"/>
      <c r="U74" s="2"/>
      <c r="V74" s="2"/>
    </row>
    <row r="75" spans="1:22">
      <c r="A75" s="754">
        <v>42248</v>
      </c>
      <c r="B75" s="758">
        <v>46.27317482978598</v>
      </c>
      <c r="C75" s="292">
        <v>29.06352</v>
      </c>
      <c r="D75" s="758">
        <v>1.7817292199999999</v>
      </c>
      <c r="E75" s="292">
        <v>87.926783999999998</v>
      </c>
      <c r="F75" s="758">
        <v>2.8467047499999998</v>
      </c>
      <c r="G75" s="292">
        <v>88.280248999999998</v>
      </c>
      <c r="H75" s="758">
        <v>3.71488218</v>
      </c>
      <c r="I75" s="292">
        <v>89.720455999999999</v>
      </c>
      <c r="J75" s="758">
        <v>1.3063420000000001</v>
      </c>
      <c r="K75" s="292">
        <v>49.770592000000001</v>
      </c>
      <c r="L75" s="758">
        <v>161.01275272161746</v>
      </c>
      <c r="M75" s="292">
        <v>4.2429069999999998</v>
      </c>
      <c r="N75" s="302">
        <f t="shared" si="8"/>
        <v>2015</v>
      </c>
      <c r="O75" s="302" t="str">
        <f t="shared" si="9"/>
        <v>3</v>
      </c>
      <c r="P75" s="1097"/>
      <c r="U75" s="2"/>
      <c r="V75" s="2"/>
    </row>
    <row r="76" spans="1:22">
      <c r="A76" s="754">
        <v>42339</v>
      </c>
      <c r="B76" s="759">
        <v>37.059786101080235</v>
      </c>
      <c r="C76" s="756">
        <v>23.435217000000002</v>
      </c>
      <c r="D76" s="759">
        <v>1.7704526699999998</v>
      </c>
      <c r="E76" s="756">
        <v>86.281214000000006</v>
      </c>
      <c r="F76" s="759">
        <v>3.2308495499999998</v>
      </c>
      <c r="G76" s="756">
        <v>98.521816000000001</v>
      </c>
      <c r="H76" s="759">
        <v>3.6368174600000001</v>
      </c>
      <c r="I76" s="756">
        <v>96.563993999999994</v>
      </c>
      <c r="J76" s="759">
        <v>1.5433749999999999</v>
      </c>
      <c r="K76" s="756">
        <v>46.247318</v>
      </c>
      <c r="L76" s="759">
        <v>120.89938943786605</v>
      </c>
      <c r="M76" s="756">
        <v>2.9649740000000002</v>
      </c>
      <c r="N76" s="302">
        <f t="shared" si="8"/>
        <v>2015</v>
      </c>
      <c r="O76" s="302" t="str">
        <f t="shared" si="9"/>
        <v>4</v>
      </c>
      <c r="P76" s="1097"/>
      <c r="U76" s="2"/>
      <c r="V76" s="2"/>
    </row>
    <row r="77" spans="1:22">
      <c r="A77" s="754">
        <v>42430</v>
      </c>
      <c r="B77" s="758">
        <v>32.46053955279357</v>
      </c>
      <c r="C77" s="292">
        <v>22.150397999999999</v>
      </c>
      <c r="D77" s="758">
        <v>1.7477521699999998</v>
      </c>
      <c r="E77" s="292">
        <v>84.967208999999997</v>
      </c>
      <c r="F77" s="758">
        <v>2.7306514999999996</v>
      </c>
      <c r="G77" s="292">
        <v>86.755505999999997</v>
      </c>
      <c r="H77" s="758">
        <v>4.0032909400000003</v>
      </c>
      <c r="I77" s="292">
        <v>95.502229999999997</v>
      </c>
      <c r="J77" s="758">
        <v>1.3560669999999999</v>
      </c>
      <c r="K77" s="292">
        <v>40.263105000000003</v>
      </c>
      <c r="L77" s="758">
        <v>167.73320643096417</v>
      </c>
      <c r="M77" s="292">
        <v>3.5041920000000002</v>
      </c>
      <c r="N77" s="302">
        <f t="shared" si="8"/>
        <v>2016</v>
      </c>
      <c r="O77" s="302" t="str">
        <f t="shared" si="9"/>
        <v>1</v>
      </c>
      <c r="P77" s="1097"/>
      <c r="U77" s="2"/>
      <c r="V77" s="2"/>
    </row>
    <row r="78" spans="1:22">
      <c r="A78" s="754">
        <v>42522</v>
      </c>
      <c r="B78" s="759">
        <v>39.498579968709862</v>
      </c>
      <c r="C78" s="756">
        <v>30.137411</v>
      </c>
      <c r="D78" s="759">
        <v>1.5910167000000002</v>
      </c>
      <c r="E78" s="756">
        <v>77.291618</v>
      </c>
      <c r="F78" s="759">
        <v>2.1665156900000002</v>
      </c>
      <c r="G78" s="756">
        <v>62.696184000000002</v>
      </c>
      <c r="H78" s="759">
        <v>2.5145565200000002</v>
      </c>
      <c r="I78" s="756">
        <v>72.260983999999993</v>
      </c>
      <c r="J78" s="759">
        <v>1.2730859999999999</v>
      </c>
      <c r="K78" s="756">
        <v>38.565810999999997</v>
      </c>
      <c r="L78" s="759">
        <v>237.27290541107968</v>
      </c>
      <c r="M78" s="756">
        <v>5.9443679999999999</v>
      </c>
      <c r="N78" s="302">
        <f t="shared" si="8"/>
        <v>2016</v>
      </c>
      <c r="O78" s="302" t="str">
        <f t="shared" si="9"/>
        <v>2</v>
      </c>
      <c r="P78" s="1097"/>
      <c r="U78" s="2"/>
      <c r="V78" s="2"/>
    </row>
    <row r="79" spans="1:22">
      <c r="A79" s="754">
        <v>42614</v>
      </c>
      <c r="B79" s="758">
        <v>36.404920079500592</v>
      </c>
      <c r="C79" s="292">
        <v>26.293773999999999</v>
      </c>
      <c r="D79" s="758">
        <v>1.653069031</v>
      </c>
      <c r="E79" s="292">
        <v>81.075592999999998</v>
      </c>
      <c r="F79" s="758">
        <v>2.7557906299999999</v>
      </c>
      <c r="G79" s="292">
        <v>81.550015000000002</v>
      </c>
      <c r="H79" s="758">
        <v>1.56046624</v>
      </c>
      <c r="I79" s="292">
        <v>50.855893000000002</v>
      </c>
      <c r="J79" s="758">
        <v>1.25075</v>
      </c>
      <c r="K79" s="292">
        <v>41.809353000000002</v>
      </c>
      <c r="L79" s="758">
        <v>159.83555567996964</v>
      </c>
      <c r="M79" s="292">
        <v>4.2244070000000002</v>
      </c>
      <c r="N79" s="302">
        <f t="shared" si="8"/>
        <v>2016</v>
      </c>
      <c r="O79" s="302" t="str">
        <f t="shared" si="9"/>
        <v>3</v>
      </c>
      <c r="P79" s="1097"/>
      <c r="U79" s="2"/>
      <c r="V79" s="2"/>
    </row>
    <row r="80" spans="1:22">
      <c r="A80" s="754">
        <v>42705</v>
      </c>
      <c r="B80" s="759">
        <v>49.659990731150494</v>
      </c>
      <c r="C80" s="756">
        <v>33.031581000000003</v>
      </c>
      <c r="D80" s="759">
        <v>1.7466794999999999</v>
      </c>
      <c r="E80" s="756">
        <v>86.068100999999999</v>
      </c>
      <c r="F80" s="759">
        <v>2.7572323500000007</v>
      </c>
      <c r="G80" s="756">
        <v>81.741234000000006</v>
      </c>
      <c r="H80" s="759">
        <v>1.9179383300000001</v>
      </c>
      <c r="I80" s="756">
        <v>58.440088000000003</v>
      </c>
      <c r="J80" s="759">
        <v>1.259846</v>
      </c>
      <c r="K80" s="756">
        <v>48.740402000000003</v>
      </c>
      <c r="L80" s="759">
        <v>197.3710059190002</v>
      </c>
      <c r="M80" s="756">
        <v>4.572336</v>
      </c>
      <c r="N80" s="302">
        <f t="shared" si="8"/>
        <v>2016</v>
      </c>
      <c r="O80" s="302" t="str">
        <f t="shared" si="9"/>
        <v>4</v>
      </c>
      <c r="P80" s="1097"/>
      <c r="U80" s="2"/>
      <c r="V80" s="2"/>
    </row>
    <row r="81" spans="1:22">
      <c r="A81" s="754">
        <v>42795</v>
      </c>
      <c r="B81" s="758">
        <v>26.520858345230437</v>
      </c>
      <c r="C81" s="292">
        <v>18.715737000000001</v>
      </c>
      <c r="D81" s="758">
        <v>1.7377971400000001</v>
      </c>
      <c r="E81" s="292">
        <v>87.505555000000001</v>
      </c>
      <c r="F81" s="758">
        <v>2.5023846199999999</v>
      </c>
      <c r="G81" s="292">
        <v>64.982561000000004</v>
      </c>
      <c r="H81" s="758">
        <v>5.18799075</v>
      </c>
      <c r="I81" s="292">
        <v>87.443330000000003</v>
      </c>
      <c r="J81" s="758">
        <v>1.013927</v>
      </c>
      <c r="K81" s="292">
        <v>57.565624</v>
      </c>
      <c r="L81" s="758">
        <v>159.49923329818634</v>
      </c>
      <c r="M81" s="292">
        <v>4.4570040000000004</v>
      </c>
      <c r="N81" s="302">
        <f t="shared" si="8"/>
        <v>2017</v>
      </c>
      <c r="O81" s="302" t="str">
        <f t="shared" si="9"/>
        <v>1</v>
      </c>
      <c r="P81" s="1097"/>
      <c r="U81" s="2"/>
      <c r="V81" s="2"/>
    </row>
    <row r="82" spans="1:22">
      <c r="A82" s="754">
        <v>42887</v>
      </c>
      <c r="B82" s="759">
        <v>30.281924833145144</v>
      </c>
      <c r="C82" s="756">
        <v>20.424388</v>
      </c>
      <c r="D82" s="759">
        <v>1.6688435500000001</v>
      </c>
      <c r="E82" s="756">
        <v>83.785796000000005</v>
      </c>
      <c r="F82" s="759">
        <v>2.8588712200000002</v>
      </c>
      <c r="G82" s="756">
        <v>64.012016000000003</v>
      </c>
      <c r="H82" s="759">
        <v>3.9406371200000003</v>
      </c>
      <c r="I82" s="756">
        <v>71.643782999999999</v>
      </c>
      <c r="J82" s="759">
        <v>1.234326</v>
      </c>
      <c r="K82" s="756">
        <v>91.524556000000004</v>
      </c>
      <c r="L82" s="759">
        <v>266.37550659861216</v>
      </c>
      <c r="M82" s="756">
        <v>8.5546340000000001</v>
      </c>
      <c r="N82" s="302">
        <f t="shared" si="8"/>
        <v>2017</v>
      </c>
      <c r="O82" s="302" t="str">
        <f t="shared" si="9"/>
        <v>2</v>
      </c>
      <c r="P82" s="1097"/>
      <c r="U82" s="2"/>
      <c r="V82" s="2"/>
    </row>
    <row r="83" spans="1:22">
      <c r="A83" s="754">
        <v>42979</v>
      </c>
      <c r="B83" s="758">
        <v>38.35184801888915</v>
      </c>
      <c r="C83" s="292">
        <v>25.189914000000002</v>
      </c>
      <c r="D83" s="758">
        <v>1.74735079</v>
      </c>
      <c r="E83" s="292">
        <v>84.514028629999999</v>
      </c>
      <c r="F83" s="758">
        <v>2.9615462300000002</v>
      </c>
      <c r="G83" s="292">
        <v>66.401518999999993</v>
      </c>
      <c r="H83" s="758">
        <v>2.2960930499999996</v>
      </c>
      <c r="I83" s="292">
        <v>43.130329000000003</v>
      </c>
      <c r="J83" s="758">
        <v>1.4377779999999998</v>
      </c>
      <c r="K83" s="292">
        <v>111.008098</v>
      </c>
      <c r="L83" s="758">
        <v>168.03917177542013</v>
      </c>
      <c r="M83" s="292">
        <v>5.9075480000000002</v>
      </c>
      <c r="N83" s="300">
        <f t="shared" si="8"/>
        <v>2017</v>
      </c>
      <c r="O83" s="302" t="str">
        <f t="shared" si="9"/>
        <v>3</v>
      </c>
      <c r="P83" s="1097"/>
      <c r="U83" s="2"/>
      <c r="V83" s="2"/>
    </row>
    <row r="84" spans="1:22">
      <c r="A84" s="754">
        <v>43070</v>
      </c>
      <c r="B84" s="759">
        <v>55.711471943068126</v>
      </c>
      <c r="C84" s="756">
        <v>34.221868000000001</v>
      </c>
      <c r="D84" s="759">
        <v>1.6606737</v>
      </c>
      <c r="E84" s="756">
        <v>83.140252000000004</v>
      </c>
      <c r="F84" s="759">
        <v>3.3521844499999998</v>
      </c>
      <c r="G84" s="756">
        <v>78.665259000000006</v>
      </c>
      <c r="H84" s="759">
        <v>4.0531889699999999</v>
      </c>
      <c r="I84" s="756">
        <v>64.845235000000002</v>
      </c>
      <c r="J84" s="759">
        <v>1.3477970000000001</v>
      </c>
      <c r="K84" s="756">
        <v>121.121916</v>
      </c>
      <c r="L84" s="759">
        <v>171.23698706404525</v>
      </c>
      <c r="M84" s="756">
        <v>6.5911860000000004</v>
      </c>
      <c r="N84" s="300">
        <f t="shared" si="8"/>
        <v>2017</v>
      </c>
      <c r="O84" s="302" t="str">
        <f t="shared" si="9"/>
        <v>4</v>
      </c>
      <c r="P84" s="1097"/>
      <c r="U84" s="2"/>
      <c r="V84" s="2"/>
    </row>
    <row r="85" spans="1:22">
      <c r="A85" s="754">
        <v>43160</v>
      </c>
      <c r="B85" s="758">
        <v>26.355252109596368</v>
      </c>
      <c r="C85" s="292">
        <v>17.711662</v>
      </c>
      <c r="D85" s="758">
        <v>1.7157082399999999</v>
      </c>
      <c r="E85" s="292">
        <v>86.831630000000004</v>
      </c>
      <c r="F85" s="758">
        <v>3.0873070799999995</v>
      </c>
      <c r="G85" s="292">
        <v>71.347104451000007</v>
      </c>
      <c r="H85" s="758">
        <v>4.40610166</v>
      </c>
      <c r="I85" s="292">
        <v>74.533694999999994</v>
      </c>
      <c r="J85" s="758">
        <v>1.0993470000000001</v>
      </c>
      <c r="K85" s="292">
        <v>123.55183700000001</v>
      </c>
      <c r="L85" s="758">
        <v>156.47942346511894</v>
      </c>
      <c r="M85" s="292">
        <v>8.2516499999999997</v>
      </c>
      <c r="N85" s="300">
        <f t="shared" si="8"/>
        <v>2018</v>
      </c>
      <c r="O85" s="302" t="str">
        <f t="shared" si="9"/>
        <v>1</v>
      </c>
      <c r="P85" s="1097"/>
      <c r="U85" s="2"/>
      <c r="V85" s="2"/>
    </row>
    <row r="86" spans="1:22">
      <c r="A86" s="754">
        <v>43252</v>
      </c>
      <c r="B86" s="759">
        <v>42.67987291100971</v>
      </c>
      <c r="C86" s="756">
        <v>28.203759999999999</v>
      </c>
      <c r="D86" s="759">
        <v>1.5562021099999999</v>
      </c>
      <c r="E86" s="756">
        <v>77.473710999999994</v>
      </c>
      <c r="F86" s="759">
        <v>3.56273989</v>
      </c>
      <c r="G86" s="756">
        <v>86.517061999999996</v>
      </c>
      <c r="H86" s="759">
        <v>4.5259190499999997</v>
      </c>
      <c r="I86" s="756">
        <v>67.250491999999994</v>
      </c>
      <c r="J86" s="759">
        <v>1.315563</v>
      </c>
      <c r="K86" s="756">
        <v>154.56547900000001</v>
      </c>
      <c r="L86" s="759">
        <v>149.71854423076326</v>
      </c>
      <c r="M86" s="756">
        <v>5.4695239999999998</v>
      </c>
      <c r="N86" s="300">
        <f t="shared" si="8"/>
        <v>2018</v>
      </c>
      <c r="O86" s="302" t="str">
        <f t="shared" si="9"/>
        <v>2</v>
      </c>
      <c r="P86" s="1097"/>
      <c r="U86" s="2"/>
      <c r="V86" s="2"/>
    </row>
    <row r="87" spans="1:22">
      <c r="A87" s="754">
        <v>43344</v>
      </c>
      <c r="B87" s="758">
        <v>31.913538660458411</v>
      </c>
      <c r="C87" s="292">
        <v>20.453320999999999</v>
      </c>
      <c r="D87" s="758">
        <v>1.62737708</v>
      </c>
      <c r="E87" s="292">
        <v>82.302030999999999</v>
      </c>
      <c r="F87" s="758">
        <v>2.8697717200000001</v>
      </c>
      <c r="G87" s="292">
        <v>64.260886045800007</v>
      </c>
      <c r="H87" s="758">
        <v>2.30330105</v>
      </c>
      <c r="I87" s="292">
        <v>42.755681000000003</v>
      </c>
      <c r="J87" s="758">
        <v>1.2339010000000001</v>
      </c>
      <c r="K87" s="292">
        <v>119.26661900000001</v>
      </c>
      <c r="L87" s="758">
        <v>110.39834280435574</v>
      </c>
      <c r="M87" s="292">
        <v>4.2562610000000003</v>
      </c>
      <c r="N87" s="300">
        <f t="shared" si="8"/>
        <v>2018</v>
      </c>
      <c r="O87" s="302" t="str">
        <f t="shared" si="9"/>
        <v>3</v>
      </c>
      <c r="P87" s="1097"/>
      <c r="U87" s="2"/>
      <c r="V87" s="2"/>
    </row>
    <row r="88" spans="1:22">
      <c r="A88" s="754">
        <v>43435</v>
      </c>
      <c r="B88" s="759">
        <v>43.256379777942627</v>
      </c>
      <c r="C88" s="756">
        <v>27.697673999999999</v>
      </c>
      <c r="D88" s="759">
        <v>1.5663788399999998</v>
      </c>
      <c r="E88" s="756">
        <v>80.768991999999997</v>
      </c>
      <c r="F88" s="759">
        <v>3.3746348000000004</v>
      </c>
      <c r="G88" s="756">
        <v>81.504491000000002</v>
      </c>
      <c r="H88" s="759">
        <v>4.7420326199999998</v>
      </c>
      <c r="I88" s="756">
        <v>74.245384000000001</v>
      </c>
      <c r="J88" s="759">
        <v>1.229287</v>
      </c>
      <c r="K88" s="756">
        <v>105.832773</v>
      </c>
      <c r="L88" s="759">
        <v>124.16746758235435</v>
      </c>
      <c r="M88" s="756">
        <v>5.8479939999999999</v>
      </c>
      <c r="N88" s="300">
        <f t="shared" si="8"/>
        <v>2018</v>
      </c>
      <c r="O88" s="302" t="str">
        <f t="shared" si="9"/>
        <v>4</v>
      </c>
      <c r="P88" s="1097"/>
      <c r="U88" s="2"/>
      <c r="V88" s="2"/>
    </row>
    <row r="89" spans="1:22">
      <c r="A89" s="754">
        <v>43525</v>
      </c>
      <c r="B89" s="758">
        <v>32.181532159486416</v>
      </c>
      <c r="C89" s="292">
        <v>21.291260000000001</v>
      </c>
      <c r="D89" s="758">
        <v>1.5415049599999999</v>
      </c>
      <c r="E89" s="292">
        <v>78.712603000000001</v>
      </c>
      <c r="F89" s="758">
        <v>2.5285080799999999</v>
      </c>
      <c r="G89" s="292">
        <v>72.545452999999995</v>
      </c>
      <c r="H89" s="758">
        <v>1.98630818</v>
      </c>
      <c r="I89" s="292">
        <v>55.170575999999997</v>
      </c>
      <c r="J89" s="758">
        <v>1.3442499999999999</v>
      </c>
      <c r="K89" s="292">
        <v>51.695200999999997</v>
      </c>
      <c r="L89" s="758">
        <v>129.42735305918688</v>
      </c>
      <c r="M89" s="292">
        <v>7.7773760000000003</v>
      </c>
      <c r="N89" s="300">
        <f t="shared" si="8"/>
        <v>2019</v>
      </c>
      <c r="O89" s="302" t="str">
        <f t="shared" si="9"/>
        <v>1</v>
      </c>
      <c r="P89" s="1097"/>
      <c r="U89" s="2"/>
      <c r="V89" s="2"/>
    </row>
    <row r="90" spans="1:22">
      <c r="A90" s="754">
        <v>43617</v>
      </c>
      <c r="B90" s="759">
        <v>22.549511519189316</v>
      </c>
      <c r="C90" s="756">
        <v>15.400172</v>
      </c>
      <c r="D90" s="759">
        <v>1.5399295800000001</v>
      </c>
      <c r="E90" s="756">
        <v>77.586529999999996</v>
      </c>
      <c r="F90" s="759">
        <v>2.9565677799999999</v>
      </c>
      <c r="G90" s="756">
        <v>85.336044999999999</v>
      </c>
      <c r="H90" s="759">
        <v>2.1182530000000002</v>
      </c>
      <c r="I90" s="756">
        <v>47.049543</v>
      </c>
      <c r="J90" s="759">
        <v>1.420185</v>
      </c>
      <c r="K90" s="756">
        <v>55.594425000000001</v>
      </c>
      <c r="L90" s="759">
        <v>148.37935099391305</v>
      </c>
      <c r="M90" s="756">
        <v>10.194182</v>
      </c>
      <c r="N90" s="300">
        <f t="shared" si="8"/>
        <v>2019</v>
      </c>
      <c r="O90" s="302" t="str">
        <f t="shared" si="9"/>
        <v>2</v>
      </c>
      <c r="P90" s="1097"/>
      <c r="U90" s="2"/>
      <c r="V90" s="2"/>
    </row>
    <row r="91" spans="1:22">
      <c r="A91" s="754">
        <v>43709</v>
      </c>
      <c r="B91" s="758">
        <v>41.648860833512195</v>
      </c>
      <c r="C91" s="292">
        <v>31.517075999999999</v>
      </c>
      <c r="D91" s="758">
        <v>1.5846551469999999</v>
      </c>
      <c r="E91" s="292">
        <v>82.282777999999993</v>
      </c>
      <c r="F91" s="758">
        <v>2.8121460319999998</v>
      </c>
      <c r="G91" s="292">
        <v>78.885829000000001</v>
      </c>
      <c r="H91" s="758">
        <v>5.7299032199999997</v>
      </c>
      <c r="I91" s="292">
        <v>76.779437999999999</v>
      </c>
      <c r="J91" s="758">
        <v>1.4443899999999998</v>
      </c>
      <c r="K91" s="292">
        <v>70.584971999999993</v>
      </c>
      <c r="L91" s="758">
        <v>139.03305371267189</v>
      </c>
      <c r="M91" s="292">
        <v>8.4347910000000006</v>
      </c>
      <c r="N91" s="300">
        <f t="shared" si="8"/>
        <v>2019</v>
      </c>
      <c r="O91" s="302" t="str">
        <f t="shared" si="9"/>
        <v>3</v>
      </c>
      <c r="P91" s="1097"/>
      <c r="U91" s="2"/>
      <c r="V91" s="2"/>
    </row>
    <row r="92" spans="1:22" ht="15.75" thickBot="1">
      <c r="A92" s="755">
        <v>43800</v>
      </c>
      <c r="B92" s="760">
        <v>38.092938424544414</v>
      </c>
      <c r="C92" s="757">
        <v>26.825990999999998</v>
      </c>
      <c r="D92" s="760">
        <v>1.57316126</v>
      </c>
      <c r="E92" s="757">
        <v>84.787373000000002</v>
      </c>
      <c r="F92" s="760">
        <v>3.1764875509999997</v>
      </c>
      <c r="G92" s="757">
        <v>96.974654000000001</v>
      </c>
      <c r="H92" s="760">
        <v>5.9292972099999997</v>
      </c>
      <c r="I92" s="757">
        <v>72.020495999999994</v>
      </c>
      <c r="J92" s="760">
        <v>1.5328470000000001</v>
      </c>
      <c r="K92" s="757">
        <v>81.608474999999999</v>
      </c>
      <c r="L92" s="760">
        <v>66.386423934782144</v>
      </c>
      <c r="M92" s="757">
        <v>6.2005220000000003</v>
      </c>
      <c r="N92" s="300">
        <f t="shared" si="8"/>
        <v>2019</v>
      </c>
      <c r="O92" s="302" t="str">
        <f t="shared" si="9"/>
        <v>4</v>
      </c>
      <c r="P92" s="1097"/>
      <c r="U92" s="2"/>
      <c r="V92" s="2"/>
    </row>
    <row r="93" spans="1:22">
      <c r="C93" s="71"/>
      <c r="N93" s="300">
        <f t="shared" si="8"/>
        <v>1900</v>
      </c>
      <c r="O93" s="302" t="str">
        <f t="shared" si="9"/>
        <v>4</v>
      </c>
      <c r="P93" s="1097"/>
      <c r="U93" s="2"/>
      <c r="V93" s="2"/>
    </row>
    <row r="94" spans="1:22">
      <c r="C94" s="71"/>
      <c r="N94" s="300">
        <f t="shared" si="8"/>
        <v>1900</v>
      </c>
      <c r="O94" s="302" t="str">
        <f t="shared" si="9"/>
        <v>4</v>
      </c>
      <c r="P94" s="1097"/>
      <c r="U94" s="2"/>
      <c r="V94" s="2"/>
    </row>
    <row r="95" spans="1:22">
      <c r="C95" s="71"/>
      <c r="N95" s="300">
        <f t="shared" ref="N95:N136" si="10">YEAR(A95)</f>
        <v>1900</v>
      </c>
      <c r="O95" s="302" t="str">
        <f t="shared" ref="O95:O136" si="11">IF(MONTH(A95)=3,"1",IF(MONTH(A95)=6,"2",IF(MONTH(A95)=9,"3","4")))</f>
        <v>4</v>
      </c>
      <c r="P95" s="1097"/>
      <c r="U95" s="2"/>
      <c r="V95" s="2"/>
    </row>
    <row r="96" spans="1:22">
      <c r="C96" s="71"/>
      <c r="N96" s="300">
        <f t="shared" si="10"/>
        <v>1900</v>
      </c>
      <c r="O96" s="302" t="str">
        <f t="shared" si="11"/>
        <v>4</v>
      </c>
      <c r="P96" s="1097"/>
      <c r="U96" s="2"/>
      <c r="V96" s="2"/>
    </row>
    <row r="97" spans="3:22">
      <c r="C97" s="71"/>
      <c r="N97" s="300">
        <f t="shared" si="10"/>
        <v>1900</v>
      </c>
      <c r="O97" s="302" t="str">
        <f t="shared" si="11"/>
        <v>4</v>
      </c>
      <c r="P97" s="1097"/>
      <c r="U97" s="2"/>
      <c r="V97" s="2"/>
    </row>
    <row r="98" spans="3:22">
      <c r="C98" s="71"/>
      <c r="N98" s="300">
        <f t="shared" si="10"/>
        <v>1900</v>
      </c>
      <c r="O98" s="302" t="str">
        <f t="shared" si="11"/>
        <v>4</v>
      </c>
      <c r="P98" s="1097"/>
      <c r="U98" s="2"/>
      <c r="V98" s="2"/>
    </row>
    <row r="99" spans="3:22">
      <c r="C99" s="71"/>
      <c r="N99" s="300">
        <f t="shared" si="10"/>
        <v>1900</v>
      </c>
      <c r="O99" s="302" t="str">
        <f t="shared" si="11"/>
        <v>4</v>
      </c>
      <c r="P99" s="1097"/>
      <c r="U99" s="2"/>
      <c r="V99" s="2"/>
    </row>
    <row r="100" spans="3:22">
      <c r="C100" s="71"/>
      <c r="N100" s="300">
        <f t="shared" si="10"/>
        <v>1900</v>
      </c>
      <c r="O100" s="302" t="str">
        <f t="shared" si="11"/>
        <v>4</v>
      </c>
      <c r="P100" s="1097"/>
      <c r="U100" s="2"/>
      <c r="V100" s="2"/>
    </row>
    <row r="101" spans="3:22">
      <c r="C101" s="71"/>
      <c r="N101" s="300">
        <f t="shared" si="10"/>
        <v>1900</v>
      </c>
      <c r="O101" s="302" t="str">
        <f t="shared" si="11"/>
        <v>4</v>
      </c>
      <c r="P101" s="1097"/>
      <c r="U101" s="2"/>
      <c r="V101" s="2"/>
    </row>
    <row r="102" spans="3:22">
      <c r="C102" s="71"/>
      <c r="N102" s="300">
        <f t="shared" si="10"/>
        <v>1900</v>
      </c>
      <c r="O102" s="302" t="str">
        <f t="shared" si="11"/>
        <v>4</v>
      </c>
      <c r="P102" s="1097"/>
      <c r="U102" s="2"/>
      <c r="V102" s="2"/>
    </row>
    <row r="103" spans="3:22">
      <c r="C103" s="71"/>
      <c r="N103" s="300">
        <f t="shared" si="10"/>
        <v>1900</v>
      </c>
      <c r="O103" s="302" t="str">
        <f t="shared" si="11"/>
        <v>4</v>
      </c>
      <c r="P103" s="1097"/>
      <c r="U103" s="2"/>
      <c r="V103" s="2"/>
    </row>
    <row r="104" spans="3:22">
      <c r="C104" s="71"/>
      <c r="N104" s="300">
        <f t="shared" si="10"/>
        <v>1900</v>
      </c>
      <c r="O104" s="302" t="str">
        <f t="shared" si="11"/>
        <v>4</v>
      </c>
      <c r="P104" s="1097"/>
      <c r="U104" s="2"/>
      <c r="V104" s="2"/>
    </row>
    <row r="105" spans="3:22">
      <c r="C105" s="71"/>
      <c r="N105" s="300">
        <f t="shared" si="10"/>
        <v>1900</v>
      </c>
      <c r="O105" s="302" t="str">
        <f t="shared" si="11"/>
        <v>4</v>
      </c>
      <c r="P105" s="1097"/>
      <c r="U105" s="2"/>
      <c r="V105" s="2"/>
    </row>
    <row r="106" spans="3:22">
      <c r="C106" s="71"/>
      <c r="N106" s="300">
        <f t="shared" si="10"/>
        <v>1900</v>
      </c>
      <c r="O106" s="302" t="str">
        <f t="shared" si="11"/>
        <v>4</v>
      </c>
      <c r="P106" s="1097"/>
      <c r="U106" s="2"/>
      <c r="V106" s="2"/>
    </row>
    <row r="107" spans="3:22">
      <c r="C107" s="71"/>
      <c r="N107" s="300">
        <f t="shared" si="10"/>
        <v>1900</v>
      </c>
      <c r="O107" s="302" t="str">
        <f t="shared" si="11"/>
        <v>4</v>
      </c>
      <c r="P107" s="1097"/>
      <c r="U107" s="2"/>
      <c r="V107" s="2"/>
    </row>
    <row r="108" spans="3:22">
      <c r="C108" s="71"/>
      <c r="N108" s="300">
        <f t="shared" si="10"/>
        <v>1900</v>
      </c>
      <c r="O108" s="302" t="str">
        <f t="shared" si="11"/>
        <v>4</v>
      </c>
      <c r="P108" s="1097"/>
      <c r="U108" s="2"/>
      <c r="V108" s="2"/>
    </row>
    <row r="109" spans="3:22">
      <c r="C109" s="71"/>
      <c r="N109" s="300">
        <f t="shared" si="10"/>
        <v>1900</v>
      </c>
      <c r="O109" s="302" t="str">
        <f t="shared" si="11"/>
        <v>4</v>
      </c>
      <c r="P109" s="1097"/>
      <c r="U109" s="2"/>
      <c r="V109" s="2"/>
    </row>
    <row r="110" spans="3:22">
      <c r="C110" s="71"/>
      <c r="N110" s="300">
        <f t="shared" si="10"/>
        <v>1900</v>
      </c>
      <c r="O110" s="302" t="str">
        <f t="shared" si="11"/>
        <v>4</v>
      </c>
      <c r="P110" s="1097"/>
      <c r="U110" s="2"/>
      <c r="V110" s="2"/>
    </row>
    <row r="111" spans="3:22">
      <c r="C111" s="71"/>
      <c r="N111" s="300">
        <f t="shared" si="10"/>
        <v>1900</v>
      </c>
      <c r="O111" s="302" t="str">
        <f t="shared" si="11"/>
        <v>4</v>
      </c>
      <c r="P111" s="1097"/>
      <c r="U111" s="2"/>
      <c r="V111" s="2"/>
    </row>
    <row r="112" spans="3:22">
      <c r="C112" s="71"/>
      <c r="N112" s="300">
        <f t="shared" si="10"/>
        <v>1900</v>
      </c>
      <c r="O112" s="302" t="str">
        <f t="shared" si="11"/>
        <v>4</v>
      </c>
      <c r="P112" s="1097"/>
      <c r="U112" s="2"/>
      <c r="V112" s="2"/>
    </row>
    <row r="113" spans="3:22">
      <c r="C113" s="71"/>
      <c r="N113" s="300">
        <f t="shared" si="10"/>
        <v>1900</v>
      </c>
      <c r="O113" s="302" t="str">
        <f t="shared" si="11"/>
        <v>4</v>
      </c>
      <c r="P113" s="1097"/>
      <c r="U113" s="2"/>
      <c r="V113" s="2"/>
    </row>
    <row r="114" spans="3:22">
      <c r="C114" s="71"/>
      <c r="N114" s="300">
        <f t="shared" si="10"/>
        <v>1900</v>
      </c>
      <c r="O114" s="302" t="str">
        <f t="shared" si="11"/>
        <v>4</v>
      </c>
      <c r="P114" s="1097"/>
      <c r="U114" s="2"/>
      <c r="V114" s="2"/>
    </row>
    <row r="115" spans="3:22">
      <c r="C115" s="71"/>
      <c r="N115" s="300">
        <f t="shared" si="10"/>
        <v>1900</v>
      </c>
      <c r="O115" s="302" t="str">
        <f t="shared" si="11"/>
        <v>4</v>
      </c>
      <c r="P115" s="1097"/>
      <c r="U115" s="2"/>
      <c r="V115" s="2"/>
    </row>
    <row r="116" spans="3:22">
      <c r="C116" s="71"/>
      <c r="N116" s="300">
        <f t="shared" si="10"/>
        <v>1900</v>
      </c>
      <c r="O116" s="302" t="str">
        <f t="shared" si="11"/>
        <v>4</v>
      </c>
      <c r="P116" s="1097"/>
      <c r="U116" s="2"/>
      <c r="V116" s="2"/>
    </row>
    <row r="117" spans="3:22">
      <c r="C117" s="71"/>
      <c r="N117" s="300">
        <f t="shared" si="10"/>
        <v>1900</v>
      </c>
      <c r="O117" s="302" t="str">
        <f t="shared" si="11"/>
        <v>4</v>
      </c>
      <c r="P117" s="1097"/>
      <c r="U117" s="2"/>
      <c r="V117" s="2"/>
    </row>
    <row r="118" spans="3:22">
      <c r="C118" s="71"/>
      <c r="N118" s="300">
        <f t="shared" si="10"/>
        <v>1900</v>
      </c>
      <c r="O118" s="302" t="str">
        <f t="shared" si="11"/>
        <v>4</v>
      </c>
      <c r="P118" s="1097"/>
      <c r="U118" s="2"/>
      <c r="V118" s="2"/>
    </row>
    <row r="119" spans="3:22">
      <c r="C119" s="71"/>
      <c r="N119" s="300">
        <f t="shared" si="10"/>
        <v>1900</v>
      </c>
      <c r="O119" s="302" t="str">
        <f t="shared" si="11"/>
        <v>4</v>
      </c>
      <c r="P119" s="1097"/>
      <c r="U119" s="2"/>
      <c r="V119" s="2"/>
    </row>
    <row r="120" spans="3:22">
      <c r="C120" s="71"/>
      <c r="N120" s="300">
        <f t="shared" si="10"/>
        <v>1900</v>
      </c>
      <c r="O120" s="302" t="str">
        <f t="shared" si="11"/>
        <v>4</v>
      </c>
      <c r="P120" s="1097"/>
      <c r="U120" s="2"/>
      <c r="V120" s="2"/>
    </row>
    <row r="121" spans="3:22">
      <c r="C121" s="71"/>
      <c r="N121" s="300">
        <f t="shared" si="10"/>
        <v>1900</v>
      </c>
      <c r="O121" s="302" t="str">
        <f t="shared" si="11"/>
        <v>4</v>
      </c>
      <c r="P121" s="1097"/>
      <c r="U121" s="2"/>
      <c r="V121" s="2"/>
    </row>
    <row r="122" spans="3:22">
      <c r="C122" s="71"/>
      <c r="N122" s="300">
        <f t="shared" si="10"/>
        <v>1900</v>
      </c>
      <c r="O122" s="302" t="str">
        <f t="shared" si="11"/>
        <v>4</v>
      </c>
      <c r="P122" s="1097"/>
      <c r="U122" s="2"/>
      <c r="V122" s="2"/>
    </row>
    <row r="123" spans="3:22">
      <c r="C123" s="71"/>
      <c r="N123" s="300">
        <f t="shared" si="10"/>
        <v>1900</v>
      </c>
      <c r="O123" s="302" t="str">
        <f t="shared" si="11"/>
        <v>4</v>
      </c>
      <c r="P123" s="1097"/>
      <c r="U123" s="2"/>
      <c r="V123" s="2"/>
    </row>
    <row r="124" spans="3:22">
      <c r="C124" s="71"/>
      <c r="N124" s="300">
        <f t="shared" si="10"/>
        <v>1900</v>
      </c>
      <c r="O124" s="302" t="str">
        <f t="shared" si="11"/>
        <v>4</v>
      </c>
      <c r="P124" s="1097"/>
      <c r="U124" s="2"/>
      <c r="V124" s="2"/>
    </row>
    <row r="125" spans="3:22">
      <c r="C125" s="71"/>
      <c r="N125" s="300">
        <f t="shared" si="10"/>
        <v>1900</v>
      </c>
      <c r="O125" s="302" t="str">
        <f t="shared" si="11"/>
        <v>4</v>
      </c>
      <c r="P125" s="1097"/>
      <c r="U125" s="2"/>
      <c r="V125" s="2"/>
    </row>
    <row r="126" spans="3:22">
      <c r="C126" s="71"/>
      <c r="N126" s="300">
        <f t="shared" si="10"/>
        <v>1900</v>
      </c>
      <c r="O126" s="302" t="str">
        <f t="shared" si="11"/>
        <v>4</v>
      </c>
      <c r="P126" s="1097"/>
      <c r="U126" s="2"/>
      <c r="V126" s="2"/>
    </row>
    <row r="127" spans="3:22">
      <c r="C127" s="71"/>
      <c r="N127" s="300">
        <f t="shared" si="10"/>
        <v>1900</v>
      </c>
      <c r="O127" s="302" t="str">
        <f t="shared" si="11"/>
        <v>4</v>
      </c>
      <c r="P127" s="1097"/>
      <c r="U127" s="2"/>
      <c r="V127" s="2"/>
    </row>
    <row r="128" spans="3:22">
      <c r="C128" s="71"/>
      <c r="N128" s="300">
        <f t="shared" si="10"/>
        <v>1900</v>
      </c>
      <c r="O128" s="302" t="str">
        <f t="shared" si="11"/>
        <v>4</v>
      </c>
      <c r="P128" s="1097"/>
      <c r="U128" s="2"/>
      <c r="V128" s="2"/>
    </row>
    <row r="129" spans="3:22">
      <c r="C129" s="71"/>
      <c r="N129" s="300">
        <f t="shared" si="10"/>
        <v>1900</v>
      </c>
      <c r="O129" s="302" t="str">
        <f t="shared" si="11"/>
        <v>4</v>
      </c>
      <c r="P129" s="1097"/>
      <c r="U129" s="2"/>
      <c r="V129" s="2"/>
    </row>
    <row r="130" spans="3:22">
      <c r="C130" s="71"/>
      <c r="N130" s="300">
        <f t="shared" si="10"/>
        <v>1900</v>
      </c>
      <c r="O130" s="302" t="str">
        <f t="shared" si="11"/>
        <v>4</v>
      </c>
      <c r="P130" s="1097"/>
      <c r="U130" s="2"/>
      <c r="V130" s="2"/>
    </row>
    <row r="131" spans="3:22">
      <c r="C131" s="71"/>
      <c r="N131" s="300">
        <f t="shared" si="10"/>
        <v>1900</v>
      </c>
      <c r="O131" s="302" t="str">
        <f t="shared" si="11"/>
        <v>4</v>
      </c>
      <c r="P131" s="1097"/>
      <c r="U131" s="2"/>
      <c r="V131" s="2"/>
    </row>
    <row r="132" spans="3:22">
      <c r="C132" s="71"/>
      <c r="N132" s="300">
        <f t="shared" si="10"/>
        <v>1900</v>
      </c>
      <c r="O132" s="302" t="str">
        <f t="shared" si="11"/>
        <v>4</v>
      </c>
      <c r="P132" s="1097"/>
      <c r="U132" s="2"/>
      <c r="V132" s="2"/>
    </row>
    <row r="133" spans="3:22">
      <c r="C133" s="71"/>
      <c r="N133" s="300">
        <f t="shared" si="10"/>
        <v>1900</v>
      </c>
      <c r="O133" s="302" t="str">
        <f t="shared" si="11"/>
        <v>4</v>
      </c>
      <c r="P133" s="1097"/>
      <c r="U133" s="2"/>
      <c r="V133" s="2"/>
    </row>
    <row r="134" spans="3:22">
      <c r="C134" s="71"/>
      <c r="N134" s="300">
        <f t="shared" si="10"/>
        <v>1900</v>
      </c>
      <c r="O134" s="302" t="str">
        <f t="shared" si="11"/>
        <v>4</v>
      </c>
      <c r="P134" s="1097"/>
      <c r="U134" s="2"/>
      <c r="V134" s="2"/>
    </row>
    <row r="135" spans="3:22">
      <c r="C135" s="71"/>
      <c r="N135" s="300">
        <f t="shared" si="10"/>
        <v>1900</v>
      </c>
      <c r="O135" s="302" t="str">
        <f t="shared" si="11"/>
        <v>4</v>
      </c>
      <c r="P135" s="1097"/>
      <c r="U135" s="2"/>
      <c r="V135" s="2"/>
    </row>
    <row r="136" spans="3:22">
      <c r="C136" s="71"/>
      <c r="N136" s="300">
        <f t="shared" si="10"/>
        <v>1900</v>
      </c>
      <c r="O136" s="302" t="str">
        <f t="shared" si="11"/>
        <v>4</v>
      </c>
      <c r="P136" s="1097"/>
      <c r="U136" s="2"/>
      <c r="V136" s="2"/>
    </row>
    <row r="137" spans="3:22">
      <c r="C137" s="71"/>
      <c r="N137" s="300">
        <f t="shared" ref="N137:N200" si="12">YEAR(A137)</f>
        <v>1900</v>
      </c>
      <c r="O137" s="302" t="str">
        <f t="shared" ref="O137:O200" si="13">IF(MONTH(A137)=3,"1",IF(MONTH(A137)=6,"2",IF(MONTH(A137)=9,"3","4")))</f>
        <v>4</v>
      </c>
      <c r="P137" s="1097"/>
      <c r="U137" s="2"/>
      <c r="V137" s="2"/>
    </row>
    <row r="138" spans="3:22">
      <c r="C138" s="71"/>
      <c r="N138" s="300">
        <f t="shared" si="12"/>
        <v>1900</v>
      </c>
      <c r="O138" s="302" t="str">
        <f t="shared" si="13"/>
        <v>4</v>
      </c>
      <c r="P138" s="1097"/>
      <c r="U138" s="2"/>
      <c r="V138" s="2"/>
    </row>
    <row r="139" spans="3:22">
      <c r="C139" s="71"/>
      <c r="N139" s="300">
        <f t="shared" si="12"/>
        <v>1900</v>
      </c>
      <c r="O139" s="302" t="str">
        <f t="shared" si="13"/>
        <v>4</v>
      </c>
      <c r="P139" s="1097"/>
      <c r="U139" s="2"/>
      <c r="V139" s="2"/>
    </row>
    <row r="140" spans="3:22">
      <c r="C140" s="71"/>
      <c r="N140" s="300">
        <f t="shared" si="12"/>
        <v>1900</v>
      </c>
      <c r="O140" s="302" t="str">
        <f t="shared" si="13"/>
        <v>4</v>
      </c>
      <c r="P140" s="1097"/>
      <c r="U140" s="2"/>
      <c r="V140" s="2"/>
    </row>
    <row r="141" spans="3:22">
      <c r="C141" s="71"/>
      <c r="N141" s="300">
        <f t="shared" si="12"/>
        <v>1900</v>
      </c>
      <c r="O141" s="302" t="str">
        <f t="shared" si="13"/>
        <v>4</v>
      </c>
      <c r="P141" s="1097"/>
      <c r="U141" s="2"/>
      <c r="V141" s="2"/>
    </row>
    <row r="142" spans="3:22">
      <c r="C142" s="71"/>
      <c r="N142" s="300">
        <f t="shared" si="12"/>
        <v>1900</v>
      </c>
      <c r="O142" s="302" t="str">
        <f t="shared" si="13"/>
        <v>4</v>
      </c>
      <c r="P142" s="1097"/>
      <c r="U142" s="2"/>
      <c r="V142" s="2"/>
    </row>
    <row r="143" spans="3:22">
      <c r="C143" s="71"/>
      <c r="N143" s="300">
        <f t="shared" si="12"/>
        <v>1900</v>
      </c>
      <c r="O143" s="302" t="str">
        <f t="shared" si="13"/>
        <v>4</v>
      </c>
      <c r="P143" s="1097"/>
      <c r="U143" s="2"/>
      <c r="V143" s="2"/>
    </row>
    <row r="144" spans="3:22">
      <c r="C144" s="71"/>
      <c r="N144" s="300">
        <f t="shared" si="12"/>
        <v>1900</v>
      </c>
      <c r="O144" s="302" t="str">
        <f t="shared" si="13"/>
        <v>4</v>
      </c>
      <c r="P144" s="1097"/>
      <c r="U144" s="2"/>
      <c r="V144" s="2"/>
    </row>
    <row r="145" spans="3:22">
      <c r="C145" s="71"/>
      <c r="N145" s="300">
        <f t="shared" si="12"/>
        <v>1900</v>
      </c>
      <c r="O145" s="302" t="str">
        <f t="shared" si="13"/>
        <v>4</v>
      </c>
      <c r="P145" s="1097"/>
      <c r="U145" s="2"/>
      <c r="V145" s="2"/>
    </row>
    <row r="146" spans="3:22">
      <c r="C146" s="71"/>
      <c r="N146" s="300">
        <f t="shared" si="12"/>
        <v>1900</v>
      </c>
      <c r="O146" s="302" t="str">
        <f t="shared" si="13"/>
        <v>4</v>
      </c>
      <c r="P146" s="1097"/>
      <c r="U146" s="2"/>
      <c r="V146" s="2"/>
    </row>
    <row r="147" spans="3:22">
      <c r="C147" s="71"/>
      <c r="N147" s="300">
        <f t="shared" si="12"/>
        <v>1900</v>
      </c>
      <c r="O147" s="302" t="str">
        <f t="shared" si="13"/>
        <v>4</v>
      </c>
      <c r="P147" s="1097"/>
      <c r="U147" s="2"/>
      <c r="V147" s="2"/>
    </row>
    <row r="148" spans="3:22">
      <c r="C148" s="71"/>
      <c r="N148" s="300">
        <f t="shared" si="12"/>
        <v>1900</v>
      </c>
      <c r="O148" s="302" t="str">
        <f t="shared" si="13"/>
        <v>4</v>
      </c>
      <c r="P148" s="1097"/>
      <c r="U148" s="2"/>
      <c r="V148" s="2"/>
    </row>
    <row r="149" spans="3:22">
      <c r="C149" s="71"/>
      <c r="N149" s="300">
        <f t="shared" si="12"/>
        <v>1900</v>
      </c>
      <c r="O149" s="302" t="str">
        <f t="shared" si="13"/>
        <v>4</v>
      </c>
      <c r="P149" s="1097"/>
      <c r="U149" s="2"/>
      <c r="V149" s="2"/>
    </row>
    <row r="150" spans="3:22">
      <c r="C150" s="71"/>
      <c r="N150" s="300">
        <f t="shared" si="12"/>
        <v>1900</v>
      </c>
      <c r="O150" s="302" t="str">
        <f t="shared" si="13"/>
        <v>4</v>
      </c>
      <c r="P150" s="1097"/>
      <c r="U150" s="2"/>
      <c r="V150" s="2"/>
    </row>
    <row r="151" spans="3:22">
      <c r="C151" s="71"/>
      <c r="N151" s="300">
        <f t="shared" si="12"/>
        <v>1900</v>
      </c>
      <c r="O151" s="302" t="str">
        <f t="shared" si="13"/>
        <v>4</v>
      </c>
      <c r="P151" s="1097"/>
      <c r="U151" s="2"/>
      <c r="V151" s="2"/>
    </row>
    <row r="152" spans="3:22">
      <c r="C152" s="71"/>
      <c r="N152" s="300">
        <f t="shared" si="12"/>
        <v>1900</v>
      </c>
      <c r="O152" s="302" t="str">
        <f t="shared" si="13"/>
        <v>4</v>
      </c>
      <c r="P152" s="1097"/>
      <c r="U152" s="2"/>
      <c r="V152" s="2"/>
    </row>
    <row r="153" spans="3:22">
      <c r="C153" s="71"/>
      <c r="N153" s="300">
        <f t="shared" si="12"/>
        <v>1900</v>
      </c>
      <c r="O153" s="302" t="str">
        <f t="shared" si="13"/>
        <v>4</v>
      </c>
      <c r="P153" s="1097"/>
      <c r="U153" s="2"/>
      <c r="V153" s="2"/>
    </row>
    <row r="154" spans="3:22">
      <c r="C154" s="71"/>
      <c r="N154" s="300">
        <f t="shared" si="12"/>
        <v>1900</v>
      </c>
      <c r="O154" s="302" t="str">
        <f t="shared" si="13"/>
        <v>4</v>
      </c>
      <c r="P154" s="1097"/>
      <c r="U154" s="2"/>
      <c r="V154" s="2"/>
    </row>
    <row r="155" spans="3:22">
      <c r="C155" s="71"/>
      <c r="N155" s="300">
        <f t="shared" si="12"/>
        <v>1900</v>
      </c>
      <c r="O155" s="302" t="str">
        <f t="shared" si="13"/>
        <v>4</v>
      </c>
      <c r="P155" s="1097"/>
      <c r="U155" s="2"/>
      <c r="V155" s="2"/>
    </row>
    <row r="156" spans="3:22">
      <c r="C156" s="71"/>
      <c r="N156" s="300">
        <f t="shared" si="12"/>
        <v>1900</v>
      </c>
      <c r="O156" s="302" t="str">
        <f t="shared" si="13"/>
        <v>4</v>
      </c>
      <c r="P156" s="1097"/>
      <c r="U156" s="2"/>
      <c r="V156" s="2"/>
    </row>
    <row r="157" spans="3:22">
      <c r="C157" s="71"/>
      <c r="N157" s="300">
        <f t="shared" si="12"/>
        <v>1900</v>
      </c>
      <c r="O157" s="302" t="str">
        <f t="shared" si="13"/>
        <v>4</v>
      </c>
      <c r="P157" s="1097"/>
      <c r="U157" s="2"/>
      <c r="V157" s="2"/>
    </row>
    <row r="158" spans="3:22">
      <c r="C158" s="71"/>
      <c r="N158" s="300">
        <f t="shared" si="12"/>
        <v>1900</v>
      </c>
      <c r="O158" s="302" t="str">
        <f t="shared" si="13"/>
        <v>4</v>
      </c>
      <c r="P158" s="1097"/>
      <c r="U158" s="2"/>
      <c r="V158" s="2"/>
    </row>
    <row r="159" spans="3:22">
      <c r="C159" s="71"/>
      <c r="N159" s="300">
        <f t="shared" si="12"/>
        <v>1900</v>
      </c>
      <c r="O159" s="302" t="str">
        <f t="shared" si="13"/>
        <v>4</v>
      </c>
      <c r="P159" s="1097"/>
      <c r="U159" s="2"/>
      <c r="V159" s="2"/>
    </row>
    <row r="160" spans="3:22">
      <c r="C160" s="71"/>
      <c r="N160" s="300">
        <f t="shared" si="12"/>
        <v>1900</v>
      </c>
      <c r="O160" s="302" t="str">
        <f t="shared" si="13"/>
        <v>4</v>
      </c>
      <c r="P160" s="1097"/>
      <c r="U160" s="2"/>
      <c r="V160" s="2"/>
    </row>
    <row r="161" spans="3:22">
      <c r="C161" s="71"/>
      <c r="N161" s="300">
        <f t="shared" si="12"/>
        <v>1900</v>
      </c>
      <c r="O161" s="302" t="str">
        <f t="shared" si="13"/>
        <v>4</v>
      </c>
      <c r="P161" s="1097"/>
      <c r="U161" s="2"/>
      <c r="V161" s="2"/>
    </row>
    <row r="162" spans="3:22">
      <c r="C162" s="71"/>
      <c r="N162" s="300">
        <f t="shared" si="12"/>
        <v>1900</v>
      </c>
      <c r="O162" s="302" t="str">
        <f t="shared" si="13"/>
        <v>4</v>
      </c>
      <c r="P162" s="1097"/>
      <c r="U162" s="2"/>
      <c r="V162" s="2"/>
    </row>
    <row r="163" spans="3:22">
      <c r="C163" s="71"/>
      <c r="N163" s="300">
        <f t="shared" si="12"/>
        <v>1900</v>
      </c>
      <c r="O163" s="302" t="str">
        <f t="shared" si="13"/>
        <v>4</v>
      </c>
      <c r="P163" s="1097"/>
      <c r="U163" s="2"/>
      <c r="V163" s="2"/>
    </row>
    <row r="164" spans="3:22">
      <c r="C164" s="71"/>
      <c r="N164" s="300">
        <f t="shared" si="12"/>
        <v>1900</v>
      </c>
      <c r="O164" s="302" t="str">
        <f t="shared" si="13"/>
        <v>4</v>
      </c>
      <c r="P164" s="1097"/>
      <c r="U164" s="2"/>
      <c r="V164" s="2"/>
    </row>
    <row r="165" spans="3:22">
      <c r="C165" s="71"/>
      <c r="N165" s="300">
        <f t="shared" si="12"/>
        <v>1900</v>
      </c>
      <c r="O165" s="302" t="str">
        <f t="shared" si="13"/>
        <v>4</v>
      </c>
      <c r="P165" s="1097"/>
      <c r="U165" s="2"/>
      <c r="V165" s="2"/>
    </row>
    <row r="166" spans="3:22">
      <c r="C166" s="71"/>
      <c r="N166" s="300">
        <f t="shared" si="12"/>
        <v>1900</v>
      </c>
      <c r="O166" s="302" t="str">
        <f t="shared" si="13"/>
        <v>4</v>
      </c>
      <c r="P166" s="1097"/>
      <c r="U166" s="2"/>
      <c r="V166" s="2"/>
    </row>
    <row r="167" spans="3:22">
      <c r="C167" s="71"/>
      <c r="N167" s="300">
        <f t="shared" si="12"/>
        <v>1900</v>
      </c>
      <c r="O167" s="302" t="str">
        <f t="shared" si="13"/>
        <v>4</v>
      </c>
      <c r="P167" s="1097"/>
      <c r="U167" s="2"/>
      <c r="V167" s="2"/>
    </row>
    <row r="168" spans="3:22">
      <c r="C168" s="71"/>
      <c r="N168" s="300">
        <f t="shared" si="12"/>
        <v>1900</v>
      </c>
      <c r="O168" s="302" t="str">
        <f t="shared" si="13"/>
        <v>4</v>
      </c>
      <c r="P168" s="1097"/>
      <c r="U168" s="2"/>
      <c r="V168" s="2"/>
    </row>
    <row r="169" spans="3:22">
      <c r="C169" s="71"/>
      <c r="N169" s="300">
        <f t="shared" si="12"/>
        <v>1900</v>
      </c>
      <c r="O169" s="302" t="str">
        <f t="shared" si="13"/>
        <v>4</v>
      </c>
      <c r="P169" s="1097"/>
      <c r="U169" s="2"/>
      <c r="V169" s="2"/>
    </row>
    <row r="170" spans="3:22">
      <c r="C170" s="71"/>
      <c r="N170" s="300">
        <f t="shared" si="12"/>
        <v>1900</v>
      </c>
      <c r="O170" s="302" t="str">
        <f t="shared" si="13"/>
        <v>4</v>
      </c>
      <c r="P170" s="1097"/>
      <c r="U170" s="2"/>
      <c r="V170" s="2"/>
    </row>
    <row r="171" spans="3:22">
      <c r="C171" s="71"/>
      <c r="N171" s="300">
        <f t="shared" si="12"/>
        <v>1900</v>
      </c>
      <c r="O171" s="302" t="str">
        <f t="shared" si="13"/>
        <v>4</v>
      </c>
      <c r="P171" s="1097"/>
      <c r="U171" s="2"/>
      <c r="V171" s="2"/>
    </row>
    <row r="172" spans="3:22">
      <c r="C172" s="71"/>
      <c r="N172" s="300">
        <f t="shared" si="12"/>
        <v>1900</v>
      </c>
      <c r="O172" s="302" t="str">
        <f t="shared" si="13"/>
        <v>4</v>
      </c>
      <c r="P172" s="1097"/>
      <c r="U172" s="2"/>
      <c r="V172" s="2"/>
    </row>
    <row r="173" spans="3:22">
      <c r="C173" s="71"/>
      <c r="N173" s="300">
        <f t="shared" si="12"/>
        <v>1900</v>
      </c>
      <c r="O173" s="302" t="str">
        <f t="shared" si="13"/>
        <v>4</v>
      </c>
      <c r="P173" s="1097"/>
      <c r="U173" s="2"/>
      <c r="V173" s="2"/>
    </row>
    <row r="174" spans="3:22">
      <c r="C174" s="71"/>
      <c r="N174" s="300">
        <f t="shared" si="12"/>
        <v>1900</v>
      </c>
      <c r="O174" s="302" t="str">
        <f t="shared" si="13"/>
        <v>4</v>
      </c>
      <c r="P174" s="1097"/>
      <c r="U174" s="2"/>
      <c r="V174" s="2"/>
    </row>
    <row r="175" spans="3:22">
      <c r="C175" s="71"/>
      <c r="N175" s="300">
        <f t="shared" si="12"/>
        <v>1900</v>
      </c>
      <c r="O175" s="302" t="str">
        <f t="shared" si="13"/>
        <v>4</v>
      </c>
      <c r="P175" s="1097"/>
      <c r="U175" s="2"/>
      <c r="V175" s="2"/>
    </row>
    <row r="176" spans="3:22">
      <c r="C176" s="71"/>
      <c r="N176" s="300">
        <f t="shared" si="12"/>
        <v>1900</v>
      </c>
      <c r="O176" s="302" t="str">
        <f t="shared" si="13"/>
        <v>4</v>
      </c>
      <c r="P176" s="1097"/>
      <c r="U176" s="2"/>
      <c r="V176" s="2"/>
    </row>
    <row r="177" spans="3:22">
      <c r="C177" s="71"/>
      <c r="N177" s="300">
        <f t="shared" si="12"/>
        <v>1900</v>
      </c>
      <c r="O177" s="302" t="str">
        <f t="shared" si="13"/>
        <v>4</v>
      </c>
      <c r="P177" s="1097"/>
      <c r="U177" s="2"/>
      <c r="V177" s="2"/>
    </row>
    <row r="178" spans="3:22">
      <c r="C178" s="71"/>
      <c r="N178" s="300">
        <f t="shared" si="12"/>
        <v>1900</v>
      </c>
      <c r="O178" s="302" t="str">
        <f t="shared" si="13"/>
        <v>4</v>
      </c>
      <c r="P178" s="1097"/>
      <c r="U178" s="2"/>
      <c r="V178" s="2"/>
    </row>
    <row r="179" spans="3:22">
      <c r="C179" s="71"/>
      <c r="N179" s="300">
        <f t="shared" si="12"/>
        <v>1900</v>
      </c>
      <c r="O179" s="302" t="str">
        <f t="shared" si="13"/>
        <v>4</v>
      </c>
      <c r="P179" s="1097"/>
      <c r="U179" s="2"/>
      <c r="V179" s="2"/>
    </row>
    <row r="180" spans="3:22">
      <c r="C180" s="71"/>
      <c r="N180" s="300">
        <f t="shared" si="12"/>
        <v>1900</v>
      </c>
      <c r="O180" s="302" t="str">
        <f t="shared" si="13"/>
        <v>4</v>
      </c>
      <c r="P180" s="1097"/>
      <c r="U180" s="2"/>
      <c r="V180" s="2"/>
    </row>
    <row r="181" spans="3:22">
      <c r="C181" s="71"/>
      <c r="N181" s="300">
        <f t="shared" si="12"/>
        <v>1900</v>
      </c>
      <c r="O181" s="302" t="str">
        <f t="shared" si="13"/>
        <v>4</v>
      </c>
      <c r="P181" s="1097"/>
      <c r="U181" s="2"/>
      <c r="V181" s="2"/>
    </row>
    <row r="182" spans="3:22">
      <c r="C182" s="71"/>
      <c r="N182" s="300">
        <f t="shared" si="12"/>
        <v>1900</v>
      </c>
      <c r="O182" s="302" t="str">
        <f t="shared" si="13"/>
        <v>4</v>
      </c>
      <c r="P182" s="1097"/>
      <c r="U182" s="2"/>
      <c r="V182" s="2"/>
    </row>
    <row r="183" spans="3:22">
      <c r="C183" s="71"/>
      <c r="N183" s="300">
        <f t="shared" si="12"/>
        <v>1900</v>
      </c>
      <c r="O183" s="302" t="str">
        <f t="shared" si="13"/>
        <v>4</v>
      </c>
      <c r="P183" s="1097"/>
      <c r="U183" s="2"/>
      <c r="V183" s="2"/>
    </row>
    <row r="184" spans="3:22">
      <c r="C184" s="71"/>
      <c r="N184" s="300">
        <f t="shared" si="12"/>
        <v>1900</v>
      </c>
      <c r="O184" s="302" t="str">
        <f t="shared" si="13"/>
        <v>4</v>
      </c>
      <c r="P184" s="1097"/>
      <c r="U184" s="2"/>
      <c r="V184" s="2"/>
    </row>
    <row r="185" spans="3:22">
      <c r="C185" s="71"/>
      <c r="N185" s="300">
        <f t="shared" si="12"/>
        <v>1900</v>
      </c>
      <c r="O185" s="302" t="str">
        <f t="shared" si="13"/>
        <v>4</v>
      </c>
      <c r="P185" s="1097"/>
      <c r="U185" s="2"/>
      <c r="V185" s="2"/>
    </row>
    <row r="186" spans="3:22">
      <c r="C186" s="71"/>
      <c r="N186" s="300">
        <f t="shared" si="12"/>
        <v>1900</v>
      </c>
      <c r="O186" s="302" t="str">
        <f t="shared" si="13"/>
        <v>4</v>
      </c>
      <c r="P186" s="1097"/>
      <c r="U186" s="2"/>
      <c r="V186" s="2"/>
    </row>
    <row r="187" spans="3:22">
      <c r="C187" s="71"/>
      <c r="N187" s="300">
        <f t="shared" si="12"/>
        <v>1900</v>
      </c>
      <c r="O187" s="302" t="str">
        <f t="shared" si="13"/>
        <v>4</v>
      </c>
      <c r="P187" s="1097"/>
      <c r="U187" s="2"/>
      <c r="V187" s="2"/>
    </row>
    <row r="188" spans="3:22">
      <c r="C188" s="71"/>
      <c r="N188" s="300">
        <f t="shared" si="12"/>
        <v>1900</v>
      </c>
      <c r="O188" s="302" t="str">
        <f t="shared" si="13"/>
        <v>4</v>
      </c>
      <c r="P188" s="1097"/>
      <c r="U188" s="2"/>
      <c r="V188" s="2"/>
    </row>
    <row r="189" spans="3:22">
      <c r="C189" s="71"/>
      <c r="N189" s="300">
        <f t="shared" si="12"/>
        <v>1900</v>
      </c>
      <c r="O189" s="302" t="str">
        <f t="shared" si="13"/>
        <v>4</v>
      </c>
      <c r="P189" s="1097"/>
      <c r="U189" s="2"/>
      <c r="V189" s="2"/>
    </row>
    <row r="190" spans="3:22">
      <c r="C190" s="71"/>
      <c r="N190" s="300">
        <f t="shared" si="12"/>
        <v>1900</v>
      </c>
      <c r="O190" s="302" t="str">
        <f t="shared" si="13"/>
        <v>4</v>
      </c>
      <c r="P190" s="1097"/>
      <c r="U190" s="2"/>
      <c r="V190" s="2"/>
    </row>
    <row r="191" spans="3:22">
      <c r="C191" s="71"/>
      <c r="N191" s="300">
        <f t="shared" si="12"/>
        <v>1900</v>
      </c>
      <c r="O191" s="302" t="str">
        <f t="shared" si="13"/>
        <v>4</v>
      </c>
      <c r="P191" s="1097"/>
      <c r="U191" s="2"/>
      <c r="V191" s="2"/>
    </row>
    <row r="192" spans="3:22">
      <c r="C192" s="71"/>
      <c r="N192" s="300">
        <f t="shared" si="12"/>
        <v>1900</v>
      </c>
      <c r="O192" s="302" t="str">
        <f t="shared" si="13"/>
        <v>4</v>
      </c>
      <c r="P192" s="1097"/>
      <c r="U192" s="2"/>
      <c r="V192" s="2"/>
    </row>
    <row r="193" spans="3:22">
      <c r="C193" s="71"/>
      <c r="N193" s="300">
        <f t="shared" si="12"/>
        <v>1900</v>
      </c>
      <c r="O193" s="302" t="str">
        <f t="shared" si="13"/>
        <v>4</v>
      </c>
      <c r="P193" s="1097"/>
      <c r="U193" s="2"/>
      <c r="V193" s="2"/>
    </row>
    <row r="194" spans="3:22">
      <c r="C194" s="71"/>
      <c r="N194" s="300">
        <f t="shared" si="12"/>
        <v>1900</v>
      </c>
      <c r="O194" s="302" t="str">
        <f t="shared" si="13"/>
        <v>4</v>
      </c>
      <c r="P194" s="1097"/>
      <c r="U194" s="2"/>
      <c r="V194" s="2"/>
    </row>
    <row r="195" spans="3:22">
      <c r="C195" s="71"/>
      <c r="N195" s="300">
        <f t="shared" si="12"/>
        <v>1900</v>
      </c>
      <c r="O195" s="302" t="str">
        <f t="shared" si="13"/>
        <v>4</v>
      </c>
      <c r="P195" s="1097"/>
      <c r="U195" s="2"/>
      <c r="V195" s="2"/>
    </row>
    <row r="196" spans="3:22">
      <c r="C196" s="71"/>
      <c r="N196" s="300">
        <f t="shared" si="12"/>
        <v>1900</v>
      </c>
      <c r="O196" s="302" t="str">
        <f t="shared" si="13"/>
        <v>4</v>
      </c>
      <c r="P196" s="1097"/>
      <c r="U196" s="2"/>
      <c r="V196" s="2"/>
    </row>
    <row r="197" spans="3:22">
      <c r="C197" s="71"/>
      <c r="N197" s="300">
        <f t="shared" si="12"/>
        <v>1900</v>
      </c>
      <c r="O197" s="302" t="str">
        <f t="shared" si="13"/>
        <v>4</v>
      </c>
      <c r="P197" s="1097"/>
      <c r="U197" s="2"/>
      <c r="V197" s="2"/>
    </row>
    <row r="198" spans="3:22">
      <c r="C198" s="71"/>
      <c r="N198" s="300">
        <f t="shared" si="12"/>
        <v>1900</v>
      </c>
      <c r="O198" s="302" t="str">
        <f t="shared" si="13"/>
        <v>4</v>
      </c>
      <c r="P198" s="1097"/>
      <c r="U198" s="2"/>
      <c r="V198" s="2"/>
    </row>
    <row r="199" spans="3:22">
      <c r="C199" s="71"/>
      <c r="N199" s="300">
        <f t="shared" si="12"/>
        <v>1900</v>
      </c>
      <c r="O199" s="302" t="str">
        <f t="shared" si="13"/>
        <v>4</v>
      </c>
      <c r="P199" s="1097"/>
      <c r="U199" s="2"/>
      <c r="V199" s="2"/>
    </row>
    <row r="200" spans="3:22">
      <c r="C200" s="71"/>
      <c r="N200" s="300">
        <f t="shared" si="12"/>
        <v>1900</v>
      </c>
      <c r="O200" s="302" t="str">
        <f t="shared" si="13"/>
        <v>4</v>
      </c>
      <c r="P200" s="1097"/>
      <c r="U200" s="2"/>
      <c r="V200" s="2"/>
    </row>
    <row r="201" spans="3:22">
      <c r="C201" s="71"/>
      <c r="N201" s="300">
        <f t="shared" ref="N201:N251" si="14">YEAR(A201)</f>
        <v>1900</v>
      </c>
      <c r="O201" s="302" t="str">
        <f t="shared" ref="O201:O251" si="15">IF(MONTH(A201)=3,"1",IF(MONTH(A201)=6,"2",IF(MONTH(A201)=9,"3","4")))</f>
        <v>4</v>
      </c>
      <c r="P201" s="1097"/>
      <c r="U201" s="2"/>
      <c r="V201" s="2"/>
    </row>
    <row r="202" spans="3:22">
      <c r="C202" s="71"/>
      <c r="N202" s="300">
        <f t="shared" si="14"/>
        <v>1900</v>
      </c>
      <c r="O202" s="302" t="str">
        <f t="shared" si="15"/>
        <v>4</v>
      </c>
      <c r="P202" s="1097"/>
      <c r="U202" s="2"/>
      <c r="V202" s="2"/>
    </row>
    <row r="203" spans="3:22">
      <c r="C203" s="71"/>
      <c r="N203" s="300">
        <f t="shared" si="14"/>
        <v>1900</v>
      </c>
      <c r="O203" s="302" t="str">
        <f t="shared" si="15"/>
        <v>4</v>
      </c>
      <c r="P203" s="1097"/>
      <c r="U203" s="2"/>
      <c r="V203" s="2"/>
    </row>
    <row r="204" spans="3:22">
      <c r="C204" s="71"/>
      <c r="N204" s="300">
        <f t="shared" si="14"/>
        <v>1900</v>
      </c>
      <c r="O204" s="302" t="str">
        <f t="shared" si="15"/>
        <v>4</v>
      </c>
      <c r="P204" s="1097"/>
      <c r="U204" s="2"/>
      <c r="V204" s="2"/>
    </row>
    <row r="205" spans="3:22">
      <c r="C205" s="71"/>
      <c r="N205" s="300">
        <f t="shared" si="14"/>
        <v>1900</v>
      </c>
      <c r="O205" s="302" t="str">
        <f t="shared" si="15"/>
        <v>4</v>
      </c>
      <c r="P205" s="1097"/>
      <c r="U205" s="2"/>
      <c r="V205" s="2"/>
    </row>
    <row r="206" spans="3:22">
      <c r="C206" s="71"/>
      <c r="N206" s="300">
        <f t="shared" si="14"/>
        <v>1900</v>
      </c>
      <c r="O206" s="302" t="str">
        <f t="shared" si="15"/>
        <v>4</v>
      </c>
      <c r="P206" s="1097"/>
      <c r="U206" s="2"/>
      <c r="V206" s="2"/>
    </row>
    <row r="207" spans="3:22">
      <c r="C207" s="71"/>
      <c r="N207" s="300">
        <f t="shared" si="14"/>
        <v>1900</v>
      </c>
      <c r="O207" s="302" t="str">
        <f t="shared" si="15"/>
        <v>4</v>
      </c>
      <c r="P207" s="1097"/>
      <c r="U207" s="2"/>
      <c r="V207" s="2"/>
    </row>
    <row r="208" spans="3:22">
      <c r="C208" s="71"/>
      <c r="N208" s="300">
        <f t="shared" si="14"/>
        <v>1900</v>
      </c>
      <c r="O208" s="302" t="str">
        <f t="shared" si="15"/>
        <v>4</v>
      </c>
      <c r="P208" s="1097"/>
      <c r="U208" s="2"/>
      <c r="V208" s="2"/>
    </row>
    <row r="209" spans="3:22">
      <c r="C209" s="71"/>
      <c r="N209" s="300">
        <f t="shared" si="14"/>
        <v>1900</v>
      </c>
      <c r="O209" s="302" t="str">
        <f t="shared" si="15"/>
        <v>4</v>
      </c>
      <c r="P209" s="1097"/>
      <c r="U209" s="2"/>
      <c r="V209" s="2"/>
    </row>
    <row r="210" spans="3:22">
      <c r="C210" s="71"/>
      <c r="N210" s="300">
        <f t="shared" si="14"/>
        <v>1900</v>
      </c>
      <c r="O210" s="302" t="str">
        <f t="shared" si="15"/>
        <v>4</v>
      </c>
      <c r="P210" s="1097"/>
      <c r="U210" s="2"/>
      <c r="V210" s="2"/>
    </row>
    <row r="211" spans="3:22">
      <c r="C211" s="71"/>
      <c r="N211" s="300">
        <f t="shared" si="14"/>
        <v>1900</v>
      </c>
      <c r="O211" s="302" t="str">
        <f t="shared" si="15"/>
        <v>4</v>
      </c>
      <c r="P211" s="1097"/>
      <c r="U211" s="2"/>
      <c r="V211" s="2"/>
    </row>
    <row r="212" spans="3:22">
      <c r="C212" s="71"/>
      <c r="N212" s="300">
        <f t="shared" si="14"/>
        <v>1900</v>
      </c>
      <c r="O212" s="302" t="str">
        <f t="shared" si="15"/>
        <v>4</v>
      </c>
      <c r="P212" s="1097"/>
      <c r="U212" s="2"/>
      <c r="V212" s="2"/>
    </row>
    <row r="213" spans="3:22">
      <c r="C213" s="71"/>
      <c r="N213" s="300">
        <f t="shared" si="14"/>
        <v>1900</v>
      </c>
      <c r="O213" s="302" t="str">
        <f t="shared" si="15"/>
        <v>4</v>
      </c>
      <c r="P213" s="1097"/>
      <c r="U213" s="2"/>
      <c r="V213" s="2"/>
    </row>
    <row r="214" spans="3:22">
      <c r="C214" s="71"/>
      <c r="N214" s="300">
        <f t="shared" si="14"/>
        <v>1900</v>
      </c>
      <c r="O214" s="302" t="str">
        <f t="shared" si="15"/>
        <v>4</v>
      </c>
      <c r="P214" s="1097"/>
      <c r="U214" s="2"/>
      <c r="V214" s="2"/>
    </row>
    <row r="215" spans="3:22">
      <c r="C215" s="71"/>
      <c r="N215" s="300">
        <f t="shared" si="14"/>
        <v>1900</v>
      </c>
      <c r="O215" s="302" t="str">
        <f t="shared" si="15"/>
        <v>4</v>
      </c>
      <c r="P215" s="1097"/>
      <c r="U215" s="2"/>
      <c r="V215" s="2"/>
    </row>
    <row r="216" spans="3:22">
      <c r="C216" s="71"/>
      <c r="N216" s="300">
        <f t="shared" si="14"/>
        <v>1900</v>
      </c>
      <c r="O216" s="302" t="str">
        <f t="shared" si="15"/>
        <v>4</v>
      </c>
      <c r="P216" s="1097"/>
      <c r="U216" s="2"/>
      <c r="V216" s="2"/>
    </row>
    <row r="217" spans="3:22">
      <c r="C217" s="71"/>
      <c r="N217" s="300">
        <f t="shared" si="14"/>
        <v>1900</v>
      </c>
      <c r="O217" s="302" t="str">
        <f t="shared" si="15"/>
        <v>4</v>
      </c>
      <c r="P217" s="1097"/>
      <c r="U217" s="2"/>
      <c r="V217" s="2"/>
    </row>
    <row r="218" spans="3:22">
      <c r="C218" s="71"/>
      <c r="N218" s="300">
        <f t="shared" si="14"/>
        <v>1900</v>
      </c>
      <c r="O218" s="302" t="str">
        <f t="shared" si="15"/>
        <v>4</v>
      </c>
      <c r="P218" s="1097"/>
      <c r="U218" s="2"/>
      <c r="V218" s="2"/>
    </row>
    <row r="219" spans="3:22">
      <c r="C219" s="71"/>
      <c r="N219" s="300">
        <f t="shared" si="14"/>
        <v>1900</v>
      </c>
      <c r="O219" s="302" t="str">
        <f t="shared" si="15"/>
        <v>4</v>
      </c>
      <c r="P219" s="1097"/>
      <c r="U219" s="2"/>
      <c r="V219" s="2"/>
    </row>
    <row r="220" spans="3:22">
      <c r="C220" s="71"/>
      <c r="N220" s="300">
        <f t="shared" si="14"/>
        <v>1900</v>
      </c>
      <c r="O220" s="302" t="str">
        <f t="shared" si="15"/>
        <v>4</v>
      </c>
      <c r="P220" s="1097"/>
      <c r="U220" s="2"/>
      <c r="V220" s="2"/>
    </row>
    <row r="221" spans="3:22">
      <c r="C221" s="71"/>
      <c r="N221" s="300">
        <f t="shared" si="14"/>
        <v>1900</v>
      </c>
      <c r="O221" s="302" t="str">
        <f t="shared" si="15"/>
        <v>4</v>
      </c>
      <c r="P221" s="1097"/>
      <c r="U221" s="2"/>
      <c r="V221" s="2"/>
    </row>
    <row r="222" spans="3:22">
      <c r="C222" s="71"/>
      <c r="N222" s="300">
        <f t="shared" si="14"/>
        <v>1900</v>
      </c>
      <c r="O222" s="302" t="str">
        <f t="shared" si="15"/>
        <v>4</v>
      </c>
      <c r="P222" s="1097"/>
      <c r="U222" s="2"/>
      <c r="V222" s="2"/>
    </row>
    <row r="223" spans="3:22">
      <c r="C223" s="71"/>
      <c r="N223" s="300">
        <f t="shared" si="14"/>
        <v>1900</v>
      </c>
      <c r="O223" s="302" t="str">
        <f t="shared" si="15"/>
        <v>4</v>
      </c>
      <c r="P223" s="1097"/>
      <c r="U223" s="2"/>
      <c r="V223" s="2"/>
    </row>
    <row r="224" spans="3:22">
      <c r="C224" s="71"/>
      <c r="N224" s="300">
        <f t="shared" si="14"/>
        <v>1900</v>
      </c>
      <c r="O224" s="302" t="str">
        <f t="shared" si="15"/>
        <v>4</v>
      </c>
      <c r="P224" s="1097"/>
    </row>
    <row r="225" spans="3:16">
      <c r="C225" s="71"/>
      <c r="N225" s="300">
        <f t="shared" si="14"/>
        <v>1900</v>
      </c>
      <c r="O225" s="302" t="str">
        <f t="shared" si="15"/>
        <v>4</v>
      </c>
      <c r="P225" s="1097"/>
    </row>
    <row r="226" spans="3:16">
      <c r="C226" s="71"/>
      <c r="N226" s="300">
        <f t="shared" si="14"/>
        <v>1900</v>
      </c>
      <c r="O226" s="302" t="str">
        <f t="shared" si="15"/>
        <v>4</v>
      </c>
      <c r="P226" s="1097"/>
    </row>
    <row r="227" spans="3:16">
      <c r="C227" s="71"/>
      <c r="N227" s="300">
        <f t="shared" si="14"/>
        <v>1900</v>
      </c>
      <c r="O227" s="302" t="str">
        <f t="shared" si="15"/>
        <v>4</v>
      </c>
      <c r="P227" s="1097"/>
    </row>
    <row r="228" spans="3:16">
      <c r="C228" s="71"/>
      <c r="N228" s="300">
        <f t="shared" si="14"/>
        <v>1900</v>
      </c>
      <c r="O228" s="302" t="str">
        <f t="shared" si="15"/>
        <v>4</v>
      </c>
      <c r="P228" s="1097"/>
    </row>
    <row r="229" spans="3:16">
      <c r="C229" s="71"/>
      <c r="N229" s="300">
        <f t="shared" si="14"/>
        <v>1900</v>
      </c>
      <c r="O229" s="302" t="str">
        <f t="shared" si="15"/>
        <v>4</v>
      </c>
      <c r="P229" s="1097"/>
    </row>
    <row r="230" spans="3:16">
      <c r="C230" s="71"/>
      <c r="N230" s="300">
        <f t="shared" si="14"/>
        <v>1900</v>
      </c>
      <c r="O230" s="302" t="str">
        <f t="shared" si="15"/>
        <v>4</v>
      </c>
      <c r="P230" s="1097"/>
    </row>
    <row r="231" spans="3:16">
      <c r="C231" s="71"/>
      <c r="N231" s="300">
        <f t="shared" si="14"/>
        <v>1900</v>
      </c>
      <c r="O231" s="302" t="str">
        <f t="shared" si="15"/>
        <v>4</v>
      </c>
      <c r="P231" s="1097"/>
    </row>
    <row r="232" spans="3:16">
      <c r="C232" s="71"/>
      <c r="N232" s="300">
        <f t="shared" si="14"/>
        <v>1900</v>
      </c>
      <c r="O232" s="302" t="str">
        <f t="shared" si="15"/>
        <v>4</v>
      </c>
      <c r="P232" s="1097"/>
    </row>
    <row r="233" spans="3:16">
      <c r="C233" s="71"/>
      <c r="N233" s="300">
        <f t="shared" si="14"/>
        <v>1900</v>
      </c>
      <c r="O233" s="302" t="str">
        <f t="shared" si="15"/>
        <v>4</v>
      </c>
      <c r="P233" s="1097"/>
    </row>
    <row r="234" spans="3:16">
      <c r="C234" s="71"/>
      <c r="N234" s="300">
        <f t="shared" si="14"/>
        <v>1900</v>
      </c>
      <c r="O234" s="302" t="str">
        <f t="shared" si="15"/>
        <v>4</v>
      </c>
      <c r="P234" s="1097"/>
    </row>
    <row r="235" spans="3:16">
      <c r="C235" s="71"/>
      <c r="N235" s="300">
        <f t="shared" si="14"/>
        <v>1900</v>
      </c>
      <c r="O235" s="302" t="str">
        <f t="shared" si="15"/>
        <v>4</v>
      </c>
      <c r="P235" s="1097"/>
    </row>
    <row r="236" spans="3:16">
      <c r="C236" s="71"/>
      <c r="N236" s="300">
        <f t="shared" si="14"/>
        <v>1900</v>
      </c>
      <c r="O236" s="302" t="str">
        <f t="shared" si="15"/>
        <v>4</v>
      </c>
      <c r="P236" s="1097"/>
    </row>
    <row r="237" spans="3:16">
      <c r="C237" s="71"/>
      <c r="N237" s="300">
        <f t="shared" si="14"/>
        <v>1900</v>
      </c>
      <c r="O237" s="302" t="str">
        <f t="shared" si="15"/>
        <v>4</v>
      </c>
      <c r="P237" s="1097"/>
    </row>
    <row r="238" spans="3:16">
      <c r="C238" s="71"/>
      <c r="N238" s="300">
        <f t="shared" si="14"/>
        <v>1900</v>
      </c>
      <c r="O238" s="302" t="str">
        <f t="shared" si="15"/>
        <v>4</v>
      </c>
      <c r="P238" s="1097"/>
    </row>
    <row r="239" spans="3:16">
      <c r="C239" s="71"/>
      <c r="N239" s="300">
        <f t="shared" si="14"/>
        <v>1900</v>
      </c>
      <c r="O239" s="302" t="str">
        <f t="shared" si="15"/>
        <v>4</v>
      </c>
      <c r="P239" s="1097"/>
    </row>
    <row r="240" spans="3:16">
      <c r="C240" s="71"/>
      <c r="N240" s="300">
        <f t="shared" si="14"/>
        <v>1900</v>
      </c>
      <c r="O240" s="302" t="str">
        <f t="shared" si="15"/>
        <v>4</v>
      </c>
      <c r="P240" s="1097"/>
    </row>
    <row r="241" spans="3:16">
      <c r="C241" s="71"/>
      <c r="N241" s="300">
        <f t="shared" si="14"/>
        <v>1900</v>
      </c>
      <c r="O241" s="302" t="str">
        <f t="shared" si="15"/>
        <v>4</v>
      </c>
      <c r="P241" s="1097"/>
    </row>
    <row r="242" spans="3:16">
      <c r="C242" s="71"/>
      <c r="N242" s="300">
        <f t="shared" si="14"/>
        <v>1900</v>
      </c>
      <c r="O242" s="302" t="str">
        <f t="shared" si="15"/>
        <v>4</v>
      </c>
      <c r="P242" s="1097"/>
    </row>
    <row r="243" spans="3:16">
      <c r="C243" s="71"/>
      <c r="N243" s="300">
        <f t="shared" si="14"/>
        <v>1900</v>
      </c>
      <c r="O243" s="302" t="str">
        <f t="shared" si="15"/>
        <v>4</v>
      </c>
      <c r="P243" s="1097"/>
    </row>
    <row r="244" spans="3:16">
      <c r="C244" s="71"/>
      <c r="N244" s="300">
        <f t="shared" si="14"/>
        <v>1900</v>
      </c>
      <c r="O244" s="302" t="str">
        <f t="shared" si="15"/>
        <v>4</v>
      </c>
      <c r="P244" s="1097"/>
    </row>
    <row r="245" spans="3:16">
      <c r="C245" s="71"/>
      <c r="N245" s="300">
        <f t="shared" si="14"/>
        <v>1900</v>
      </c>
      <c r="O245" s="302" t="str">
        <f t="shared" si="15"/>
        <v>4</v>
      </c>
      <c r="P245" s="1097"/>
    </row>
    <row r="246" spans="3:16">
      <c r="C246" s="71"/>
      <c r="N246" s="300">
        <f t="shared" si="14"/>
        <v>1900</v>
      </c>
      <c r="O246" s="302" t="str">
        <f t="shared" si="15"/>
        <v>4</v>
      </c>
      <c r="P246" s="1097"/>
    </row>
    <row r="247" spans="3:16">
      <c r="C247" s="71"/>
      <c r="N247" s="300">
        <f t="shared" si="14"/>
        <v>1900</v>
      </c>
      <c r="O247" s="302" t="str">
        <f t="shared" si="15"/>
        <v>4</v>
      </c>
      <c r="P247" s="1097"/>
    </row>
    <row r="248" spans="3:16">
      <c r="C248" s="71"/>
      <c r="N248" s="300">
        <f t="shared" si="14"/>
        <v>1900</v>
      </c>
      <c r="O248" s="302" t="str">
        <f t="shared" si="15"/>
        <v>4</v>
      </c>
      <c r="P248" s="1097"/>
    </row>
    <row r="249" spans="3:16">
      <c r="C249" s="71"/>
      <c r="N249" s="300">
        <f t="shared" si="14"/>
        <v>1900</v>
      </c>
      <c r="O249" s="302" t="str">
        <f t="shared" si="15"/>
        <v>4</v>
      </c>
      <c r="P249" s="1097"/>
    </row>
    <row r="250" spans="3:16">
      <c r="C250" s="71"/>
      <c r="N250" s="300">
        <f t="shared" si="14"/>
        <v>1900</v>
      </c>
      <c r="O250" s="302" t="str">
        <f t="shared" si="15"/>
        <v>4</v>
      </c>
      <c r="P250" s="1097"/>
    </row>
    <row r="251" spans="3:16">
      <c r="C251" s="71"/>
      <c r="N251" s="300">
        <f t="shared" si="14"/>
        <v>1900</v>
      </c>
      <c r="O251" s="302" t="str">
        <f t="shared" si="15"/>
        <v>4</v>
      </c>
      <c r="P251" s="1097"/>
    </row>
    <row r="252" spans="3:16">
      <c r="C252" s="71"/>
      <c r="N252" s="303"/>
      <c r="O252" s="303"/>
    </row>
    <row r="253" spans="3:16">
      <c r="C253" s="71"/>
      <c r="N253" s="303"/>
      <c r="O253" s="303"/>
    </row>
    <row r="254" spans="3:16">
      <c r="C254" s="71"/>
      <c r="N254" s="303"/>
      <c r="O254" s="303"/>
    </row>
    <row r="255" spans="3:16">
      <c r="C255" s="71"/>
      <c r="N255" s="303"/>
      <c r="O255" s="303"/>
    </row>
    <row r="256" spans="3:16">
      <c r="C256" s="71"/>
      <c r="N256" s="303"/>
      <c r="O256" s="303"/>
    </row>
    <row r="257" spans="3:15">
      <c r="C257" s="71"/>
      <c r="N257" s="303"/>
      <c r="O257" s="303"/>
    </row>
    <row r="258" spans="3:15">
      <c r="C258" s="71"/>
      <c r="N258" s="303"/>
      <c r="O258" s="303"/>
    </row>
    <row r="259" spans="3:15">
      <c r="C259" s="71"/>
      <c r="N259" s="303"/>
      <c r="O259" s="303"/>
    </row>
    <row r="260" spans="3:15">
      <c r="C260" s="71"/>
      <c r="N260" s="303"/>
      <c r="O260" s="303"/>
    </row>
    <row r="261" spans="3:15">
      <c r="C261" s="71"/>
      <c r="N261" s="303"/>
      <c r="O261" s="303"/>
    </row>
    <row r="262" spans="3:15">
      <c r="C262" s="71"/>
      <c r="N262" s="303"/>
      <c r="O262" s="303"/>
    </row>
    <row r="263" spans="3:15">
      <c r="C263" s="71"/>
      <c r="N263" s="303"/>
      <c r="O263" s="303"/>
    </row>
    <row r="264" spans="3:15">
      <c r="C264" s="71"/>
      <c r="N264" s="303"/>
      <c r="O264" s="303"/>
    </row>
    <row r="265" spans="3:15">
      <c r="C265" s="71"/>
      <c r="N265" s="303"/>
      <c r="O265" s="303"/>
    </row>
    <row r="266" spans="3:15">
      <c r="C266" s="71"/>
      <c r="N266" s="303"/>
      <c r="O266" s="303"/>
    </row>
    <row r="267" spans="3:15">
      <c r="C267" s="71"/>
      <c r="N267" s="303"/>
      <c r="O267" s="303"/>
    </row>
    <row r="268" spans="3:15">
      <c r="C268" s="71"/>
      <c r="N268" s="303"/>
      <c r="O268" s="303"/>
    </row>
    <row r="269" spans="3:15">
      <c r="C269" s="71"/>
      <c r="N269" s="303"/>
      <c r="O269" s="303"/>
    </row>
    <row r="270" spans="3:15">
      <c r="C270" s="71"/>
      <c r="N270" s="303"/>
      <c r="O270" s="303"/>
    </row>
    <row r="271" spans="3:15">
      <c r="C271" s="71"/>
      <c r="N271" s="303"/>
      <c r="O271" s="303"/>
    </row>
    <row r="272" spans="3:15">
      <c r="C272" s="71"/>
      <c r="N272" s="303"/>
      <c r="O272" s="303"/>
    </row>
    <row r="273" spans="3:15">
      <c r="C273" s="71"/>
      <c r="N273" s="303"/>
      <c r="O273" s="303"/>
    </row>
    <row r="274" spans="3:15">
      <c r="C274" s="71"/>
      <c r="N274" s="303"/>
      <c r="O274" s="303"/>
    </row>
    <row r="275" spans="3:15">
      <c r="C275" s="71"/>
      <c r="N275" s="303"/>
      <c r="O275" s="303"/>
    </row>
    <row r="276" spans="3:15">
      <c r="C276" s="71"/>
      <c r="N276" s="303"/>
      <c r="O276" s="303"/>
    </row>
    <row r="277" spans="3:15">
      <c r="C277" s="71"/>
      <c r="N277" s="303"/>
      <c r="O277" s="303"/>
    </row>
    <row r="278" spans="3:15">
      <c r="C278" s="71"/>
      <c r="N278" s="303"/>
      <c r="O278" s="303"/>
    </row>
    <row r="279" spans="3:15">
      <c r="C279" s="71"/>
      <c r="N279" s="303"/>
      <c r="O279" s="303"/>
    </row>
    <row r="280" spans="3:15">
      <c r="C280" s="71"/>
      <c r="N280" s="303"/>
      <c r="O280" s="303"/>
    </row>
    <row r="281" spans="3:15">
      <c r="C281" s="71"/>
      <c r="N281" s="303"/>
      <c r="O281" s="303"/>
    </row>
    <row r="282" spans="3:15">
      <c r="C282" s="71"/>
      <c r="N282" s="303"/>
      <c r="O282" s="303"/>
    </row>
    <row r="283" spans="3:15">
      <c r="C283" s="71"/>
      <c r="N283" s="303"/>
      <c r="O283" s="303"/>
    </row>
    <row r="284" spans="3:15">
      <c r="C284" s="71"/>
      <c r="N284" s="303"/>
      <c r="O284" s="303"/>
    </row>
    <row r="285" spans="3:15">
      <c r="C285" s="71"/>
      <c r="N285" s="303"/>
      <c r="O285" s="303"/>
    </row>
    <row r="286" spans="3:15">
      <c r="C286" s="71"/>
      <c r="N286" s="303"/>
      <c r="O286" s="303"/>
    </row>
    <row r="287" spans="3:15">
      <c r="C287" s="71"/>
      <c r="N287" s="303"/>
      <c r="O287" s="303"/>
    </row>
    <row r="288" spans="3:15">
      <c r="C288" s="71"/>
      <c r="N288" s="303"/>
      <c r="O288" s="303"/>
    </row>
    <row r="289" spans="3:15">
      <c r="C289" s="71"/>
      <c r="N289" s="303"/>
      <c r="O289" s="303"/>
    </row>
    <row r="290" spans="3:15">
      <c r="C290" s="71"/>
      <c r="N290" s="303"/>
      <c r="O290" s="303"/>
    </row>
    <row r="291" spans="3:15">
      <c r="C291" s="71"/>
      <c r="N291" s="303"/>
      <c r="O291" s="303"/>
    </row>
    <row r="292" spans="3:15">
      <c r="C292" s="71"/>
      <c r="N292" s="303"/>
      <c r="O292" s="303"/>
    </row>
    <row r="293" spans="3:15">
      <c r="C293" s="71"/>
      <c r="N293" s="303"/>
      <c r="O293" s="303"/>
    </row>
    <row r="294" spans="3:15">
      <c r="C294" s="71"/>
      <c r="N294" s="303"/>
      <c r="O294" s="303"/>
    </row>
    <row r="295" spans="3:15">
      <c r="C295" s="71"/>
      <c r="N295" s="303"/>
      <c r="O295" s="303"/>
    </row>
    <row r="296" spans="3:15">
      <c r="C296" s="71"/>
      <c r="N296" s="303"/>
      <c r="O296" s="303"/>
    </row>
    <row r="297" spans="3:15">
      <c r="C297" s="71"/>
      <c r="N297" s="303"/>
      <c r="O297" s="303"/>
    </row>
    <row r="298" spans="3:15">
      <c r="C298" s="71"/>
      <c r="N298" s="303"/>
      <c r="O298" s="303"/>
    </row>
    <row r="299" spans="3:15">
      <c r="C299" s="71"/>
      <c r="N299" s="303"/>
      <c r="O299" s="303"/>
    </row>
    <row r="300" spans="3:15">
      <c r="C300" s="71"/>
      <c r="N300" s="303"/>
      <c r="O300" s="303"/>
    </row>
    <row r="301" spans="3:15">
      <c r="C301" s="71"/>
      <c r="N301" s="303"/>
      <c r="O301" s="303"/>
    </row>
    <row r="302" spans="3:15">
      <c r="C302" s="71"/>
      <c r="N302" s="303"/>
      <c r="O302" s="303"/>
    </row>
    <row r="303" spans="3:15">
      <c r="C303" s="71"/>
      <c r="N303" s="303"/>
      <c r="O303" s="303"/>
    </row>
    <row r="304" spans="3:15">
      <c r="C304" s="71"/>
      <c r="N304" s="303"/>
      <c r="O304" s="303"/>
    </row>
    <row r="305" spans="3:15">
      <c r="C305" s="71"/>
      <c r="N305" s="303"/>
      <c r="O305" s="303"/>
    </row>
    <row r="306" spans="3:15">
      <c r="C306" s="71"/>
      <c r="N306" s="303"/>
      <c r="O306" s="303"/>
    </row>
    <row r="307" spans="3:15">
      <c r="C307" s="71"/>
      <c r="N307" s="303"/>
      <c r="O307" s="303"/>
    </row>
    <row r="308" spans="3:15">
      <c r="C308" s="71"/>
      <c r="N308" s="303"/>
      <c r="O308" s="303"/>
    </row>
    <row r="309" spans="3:15">
      <c r="C309" s="71"/>
      <c r="N309" s="303"/>
      <c r="O309" s="303"/>
    </row>
    <row r="310" spans="3:15">
      <c r="C310" s="71"/>
      <c r="N310" s="303"/>
      <c r="O310" s="303"/>
    </row>
    <row r="311" spans="3:15">
      <c r="C311" s="71"/>
      <c r="N311" s="303"/>
      <c r="O311" s="303"/>
    </row>
    <row r="312" spans="3:15">
      <c r="C312" s="71"/>
      <c r="N312" s="303"/>
      <c r="O312" s="303"/>
    </row>
    <row r="313" spans="3:15">
      <c r="C313" s="71"/>
      <c r="N313" s="303"/>
      <c r="O313" s="303"/>
    </row>
    <row r="314" spans="3:15">
      <c r="C314" s="71"/>
      <c r="N314" s="303"/>
      <c r="O314" s="303"/>
    </row>
    <row r="315" spans="3:15">
      <c r="C315" s="71"/>
      <c r="N315" s="303"/>
      <c r="O315" s="303"/>
    </row>
    <row r="316" spans="3:15">
      <c r="C316" s="71"/>
      <c r="N316" s="303"/>
      <c r="O316" s="303"/>
    </row>
    <row r="317" spans="3:15">
      <c r="C317" s="71"/>
      <c r="N317" s="303"/>
      <c r="O317" s="303"/>
    </row>
    <row r="318" spans="3:15">
      <c r="C318" s="71"/>
      <c r="N318" s="303"/>
      <c r="O318" s="303"/>
    </row>
    <row r="319" spans="3:15">
      <c r="C319" s="71"/>
      <c r="N319" s="303"/>
      <c r="O319" s="303"/>
    </row>
    <row r="320" spans="3:15">
      <c r="C320" s="71"/>
      <c r="N320" s="303"/>
      <c r="O320" s="303"/>
    </row>
    <row r="321" spans="3:15">
      <c r="C321" s="71"/>
      <c r="N321" s="303"/>
      <c r="O321" s="303"/>
    </row>
    <row r="322" spans="3:15">
      <c r="C322" s="71"/>
      <c r="N322" s="303"/>
      <c r="O322" s="303"/>
    </row>
    <row r="323" spans="3:15">
      <c r="C323" s="71"/>
      <c r="N323" s="303"/>
      <c r="O323" s="303"/>
    </row>
    <row r="324" spans="3:15">
      <c r="C324" s="71"/>
      <c r="N324" s="303"/>
      <c r="O324" s="303"/>
    </row>
    <row r="325" spans="3:15">
      <c r="C325" s="71"/>
      <c r="N325" s="303"/>
      <c r="O325" s="303"/>
    </row>
    <row r="326" spans="3:15">
      <c r="C326" s="71"/>
      <c r="N326" s="303"/>
      <c r="O326" s="303"/>
    </row>
    <row r="327" spans="3:15">
      <c r="C327" s="71"/>
      <c r="N327" s="303"/>
      <c r="O327" s="303"/>
    </row>
    <row r="328" spans="3:15">
      <c r="C328" s="71"/>
      <c r="N328" s="303"/>
      <c r="O328" s="303"/>
    </row>
    <row r="329" spans="3:15">
      <c r="C329" s="71"/>
      <c r="N329" s="303"/>
      <c r="O329" s="303"/>
    </row>
    <row r="330" spans="3:15">
      <c r="C330" s="71"/>
      <c r="N330" s="303"/>
      <c r="O330" s="303"/>
    </row>
    <row r="331" spans="3:15">
      <c r="C331" s="71"/>
      <c r="N331" s="303"/>
      <c r="O331" s="303"/>
    </row>
    <row r="332" spans="3:15">
      <c r="C332" s="71"/>
      <c r="N332" s="303"/>
      <c r="O332" s="303"/>
    </row>
    <row r="333" spans="3:15">
      <c r="C333" s="71"/>
      <c r="N333" s="303"/>
      <c r="O333" s="303"/>
    </row>
    <row r="334" spans="3:15">
      <c r="C334" s="71"/>
      <c r="N334" s="303"/>
      <c r="O334" s="303"/>
    </row>
    <row r="335" spans="3:15">
      <c r="C335" s="71"/>
      <c r="N335" s="303"/>
      <c r="O335" s="303"/>
    </row>
    <row r="336" spans="3:15">
      <c r="C336" s="71"/>
      <c r="N336" s="303"/>
      <c r="O336" s="303"/>
    </row>
    <row r="337" spans="3:15">
      <c r="C337" s="71"/>
      <c r="N337" s="303"/>
      <c r="O337" s="303"/>
    </row>
    <row r="338" spans="3:15">
      <c r="C338" s="71"/>
      <c r="N338" s="303"/>
      <c r="O338" s="303"/>
    </row>
    <row r="339" spans="3:15">
      <c r="C339" s="71"/>
      <c r="N339" s="303"/>
      <c r="O339" s="303"/>
    </row>
    <row r="340" spans="3:15">
      <c r="C340" s="71"/>
      <c r="N340" s="303"/>
      <c r="O340" s="303"/>
    </row>
    <row r="341" spans="3:15">
      <c r="C341" s="71"/>
      <c r="N341" s="303"/>
      <c r="O341" s="303"/>
    </row>
    <row r="342" spans="3:15">
      <c r="C342" s="71"/>
      <c r="N342" s="303"/>
      <c r="O342" s="303"/>
    </row>
    <row r="343" spans="3:15">
      <c r="C343" s="71"/>
      <c r="N343" s="303"/>
      <c r="O343" s="303"/>
    </row>
    <row r="344" spans="3:15">
      <c r="C344" s="71"/>
      <c r="N344" s="303"/>
      <c r="O344" s="303"/>
    </row>
    <row r="345" spans="3:15">
      <c r="C345" s="71"/>
      <c r="N345" s="303"/>
      <c r="O345" s="303"/>
    </row>
    <row r="346" spans="3:15">
      <c r="C346" s="71"/>
      <c r="N346" s="303"/>
      <c r="O346" s="303"/>
    </row>
    <row r="347" spans="3:15">
      <c r="C347" s="71"/>
      <c r="N347" s="303"/>
      <c r="O347" s="303"/>
    </row>
    <row r="348" spans="3:15">
      <c r="C348" s="71"/>
      <c r="N348" s="303"/>
      <c r="O348" s="303"/>
    </row>
    <row r="349" spans="3:15">
      <c r="C349" s="71"/>
      <c r="N349" s="303"/>
      <c r="O349" s="303"/>
    </row>
    <row r="350" spans="3:15">
      <c r="C350" s="71"/>
      <c r="N350" s="303"/>
      <c r="O350" s="303"/>
    </row>
    <row r="351" spans="3:15">
      <c r="C351" s="71"/>
      <c r="N351" s="303"/>
      <c r="O351" s="303"/>
    </row>
    <row r="352" spans="3:15">
      <c r="C352" s="71"/>
      <c r="N352" s="303"/>
      <c r="O352" s="303"/>
    </row>
    <row r="353" spans="3:15">
      <c r="C353" s="71"/>
      <c r="N353" s="303"/>
      <c r="O353" s="303"/>
    </row>
    <row r="354" spans="3:15">
      <c r="C354" s="71"/>
      <c r="N354" s="303"/>
      <c r="O354" s="303"/>
    </row>
    <row r="355" spans="3:15">
      <c r="C355" s="71"/>
      <c r="N355" s="303"/>
      <c r="O355" s="303"/>
    </row>
    <row r="356" spans="3:15">
      <c r="C356" s="71"/>
      <c r="N356" s="303"/>
      <c r="O356" s="303"/>
    </row>
    <row r="357" spans="3:15">
      <c r="C357" s="71"/>
      <c r="N357" s="303"/>
      <c r="O357" s="303"/>
    </row>
    <row r="358" spans="3:15">
      <c r="C358" s="71"/>
      <c r="N358" s="303"/>
      <c r="O358" s="303"/>
    </row>
    <row r="359" spans="3:15">
      <c r="C359" s="71"/>
      <c r="N359" s="303"/>
      <c r="O359" s="303"/>
    </row>
    <row r="360" spans="3:15">
      <c r="C360" s="71"/>
      <c r="N360" s="303"/>
      <c r="O360" s="303"/>
    </row>
    <row r="361" spans="3:15">
      <c r="C361" s="71"/>
      <c r="N361" s="303"/>
      <c r="O361" s="303"/>
    </row>
    <row r="362" spans="3:15">
      <c r="C362" s="71"/>
      <c r="N362" s="303"/>
      <c r="O362" s="303"/>
    </row>
    <row r="363" spans="3:15">
      <c r="C363" s="71"/>
      <c r="N363" s="303"/>
      <c r="O363" s="303"/>
    </row>
  </sheetData>
  <mergeCells count="17">
    <mergeCell ref="U34:AC34"/>
    <mergeCell ref="U35:AC35"/>
    <mergeCell ref="U9:AC9"/>
    <mergeCell ref="U8:AC8"/>
    <mergeCell ref="Q8:S8"/>
    <mergeCell ref="Q34:S34"/>
    <mergeCell ref="R32:S32"/>
    <mergeCell ref="R33:S33"/>
    <mergeCell ref="L7:M7"/>
    <mergeCell ref="A5:C5"/>
    <mergeCell ref="A6:C6"/>
    <mergeCell ref="Q7:S7"/>
    <mergeCell ref="B7:C7"/>
    <mergeCell ref="D7:E7"/>
    <mergeCell ref="F7:G7"/>
    <mergeCell ref="H7:I7"/>
    <mergeCell ref="J7:K7"/>
  </mergeCells>
  <dataValidations count="2">
    <dataValidation type="list" allowBlank="1" showInputMessage="1" showErrorMessage="1" promptTitle="Select a Period:" prompt="Select Financial or Calendar years." sqref="R33:S33">
      <formula1>A1:A2</formula1>
    </dataValidation>
    <dataValidation type="list" allowBlank="1" showInputMessage="1" showErrorMessage="1" promptTitle="Select a Commodity:" prompt="Select a Commodity for graphical display." sqref="R32:S32">
      <formula1>$AO$1:$AO$6</formula1>
    </dataValidation>
  </dataValidation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39997558519241921"/>
  </sheetPr>
  <dimension ref="A1:V826"/>
  <sheetViews>
    <sheetView zoomScaleNormal="100" workbookViewId="0"/>
  </sheetViews>
  <sheetFormatPr defaultRowHeight="15"/>
  <cols>
    <col min="1" max="1" width="7.85546875" style="410" bestFit="1" customWidth="1"/>
    <col min="2" max="2" width="13.140625" style="410" bestFit="1" customWidth="1"/>
    <col min="3" max="3" width="15.140625" style="410" customWidth="1"/>
    <col min="4" max="4" width="6.140625" style="240" hidden="1" customWidth="1"/>
    <col min="5" max="5" width="5.5703125" style="240" hidden="1" customWidth="1"/>
    <col min="6" max="6" width="11.5703125" style="417" customWidth="1"/>
    <col min="7" max="7" width="9.140625" style="410"/>
    <col min="8" max="8" width="11.140625" style="410" bestFit="1" customWidth="1"/>
    <col min="9" max="15" width="9.140625" style="410"/>
    <col min="16" max="16" width="0" style="410" hidden="1" customWidth="1"/>
    <col min="17" max="17" width="3.28515625" style="410" customWidth="1"/>
    <col min="18" max="19" width="15.140625" style="410" customWidth="1"/>
    <col min="20" max="20" width="16" style="410" bestFit="1" customWidth="1"/>
    <col min="21" max="16384" width="9.140625" style="410"/>
  </cols>
  <sheetData>
    <row r="1" spans="1:20">
      <c r="A1" s="431" t="s">
        <v>429</v>
      </c>
    </row>
    <row r="2" spans="1:20">
      <c r="A2" s="431" t="s">
        <v>446</v>
      </c>
    </row>
    <row r="5" spans="1:20">
      <c r="A5" s="1947" t="s">
        <v>3</v>
      </c>
      <c r="B5" s="1947"/>
      <c r="C5" s="1947"/>
      <c r="D5" s="800"/>
      <c r="E5" s="800"/>
      <c r="F5" s="898"/>
    </row>
    <row r="6" spans="1:20" ht="15.75" thickBot="1">
      <c r="A6" s="1992" t="s">
        <v>657</v>
      </c>
      <c r="B6" s="1992"/>
      <c r="C6" s="1992"/>
      <c r="D6" s="799"/>
      <c r="E6" s="799"/>
      <c r="F6" s="897"/>
    </row>
    <row r="7" spans="1:20" ht="15.75" thickBot="1">
      <c r="A7" s="50" t="s">
        <v>6</v>
      </c>
      <c r="B7" s="49" t="s">
        <v>56</v>
      </c>
      <c r="C7" s="48" t="s">
        <v>804</v>
      </c>
      <c r="D7" s="297"/>
      <c r="E7" s="297"/>
      <c r="F7" s="297"/>
      <c r="R7" s="2036" t="s">
        <v>658</v>
      </c>
      <c r="S7" s="2036"/>
      <c r="T7" s="2036"/>
    </row>
    <row r="8" spans="1:20">
      <c r="A8" s="47">
        <v>36220</v>
      </c>
      <c r="B8" s="501">
        <v>17.222999999999999</v>
      </c>
      <c r="C8" s="292">
        <v>119.60600000000001</v>
      </c>
      <c r="D8" s="301">
        <f>YEAR(A8)</f>
        <v>1999</v>
      </c>
      <c r="E8" s="301" t="str">
        <f>IF(MONTH(A8)=3,"1",IF(MONTH(A8)=6,"2",IF(MONTH(A8)=9,"3","4")))</f>
        <v>1</v>
      </c>
      <c r="F8" s="302"/>
      <c r="R8" s="2037" t="s">
        <v>655</v>
      </c>
      <c r="S8" s="2037"/>
      <c r="T8" s="2037"/>
    </row>
    <row r="9" spans="1:20" ht="15.75" thickBot="1">
      <c r="A9" s="47">
        <v>36312</v>
      </c>
      <c r="B9" s="36">
        <v>34.822000000000003</v>
      </c>
      <c r="C9" s="63">
        <v>271.36399999999998</v>
      </c>
      <c r="D9" s="301">
        <f t="shared" ref="D9:D72" si="0">YEAR(A9)</f>
        <v>1999</v>
      </c>
      <c r="E9" s="301" t="str">
        <f t="shared" ref="E9:E72" si="1">IF(MONTH(A9)=3,"1",IF(MONTH(A9)=6,"2",IF(MONTH(A9)=9,"3","4")))</f>
        <v>2</v>
      </c>
      <c r="F9" s="302"/>
      <c r="R9" s="45" t="s">
        <v>6</v>
      </c>
      <c r="S9" s="44" t="str">
        <f>B7</f>
        <v>Quantity (Kt)</v>
      </c>
      <c r="T9" s="43" t="str">
        <f>C7</f>
        <v>Value ($ Million)</v>
      </c>
    </row>
    <row r="10" spans="1:20">
      <c r="A10" s="47">
        <v>36404</v>
      </c>
      <c r="B10" s="501">
        <v>34.843999999999994</v>
      </c>
      <c r="C10" s="292">
        <v>295.02716299999997</v>
      </c>
      <c r="D10" s="301">
        <f t="shared" si="0"/>
        <v>1999</v>
      </c>
      <c r="E10" s="301" t="str">
        <f t="shared" si="1"/>
        <v>3</v>
      </c>
      <c r="F10" s="302"/>
      <c r="R10" s="1797">
        <f>LARGE(A$8:A$750,10)</f>
        <v>42979</v>
      </c>
      <c r="S10" s="1448">
        <f t="shared" ref="S10:S19" si="2">SUMIF($A$8:$A$738,$R10,B$8:B$750)</f>
        <v>45.021073999999992</v>
      </c>
      <c r="T10" s="1446">
        <f t="shared" ref="T10:T19" si="3">SUMIF($A$8:$A$738,$R10,C$8:C$750)</f>
        <v>606.33826099999999</v>
      </c>
    </row>
    <row r="11" spans="1:20">
      <c r="A11" s="47">
        <v>36495</v>
      </c>
      <c r="B11" s="36">
        <v>35.907000000000004</v>
      </c>
      <c r="C11" s="63">
        <v>410.636033</v>
      </c>
      <c r="D11" s="301">
        <f t="shared" si="0"/>
        <v>1999</v>
      </c>
      <c r="E11" s="301" t="str">
        <f t="shared" si="1"/>
        <v>4</v>
      </c>
      <c r="F11" s="302"/>
      <c r="R11" s="1798">
        <f>LARGE(A$8:A$750,9)</f>
        <v>43070</v>
      </c>
      <c r="S11" s="521">
        <f t="shared" si="2"/>
        <v>41.456310999999999</v>
      </c>
      <c r="T11" s="522">
        <f t="shared" si="3"/>
        <v>644.62085100000002</v>
      </c>
    </row>
    <row r="12" spans="1:20">
      <c r="A12" s="47">
        <v>36586</v>
      </c>
      <c r="B12" s="501">
        <v>38.5</v>
      </c>
      <c r="C12" s="292">
        <v>528.45242100000007</v>
      </c>
      <c r="D12" s="301">
        <f t="shared" si="0"/>
        <v>2000</v>
      </c>
      <c r="E12" s="301" t="str">
        <f t="shared" si="1"/>
        <v>1</v>
      </c>
      <c r="F12" s="302"/>
      <c r="R12" s="1798">
        <f>LARGE(A$8:A$750,8)</f>
        <v>43160</v>
      </c>
      <c r="S12" s="1449">
        <f t="shared" si="2"/>
        <v>36.993086000000005</v>
      </c>
      <c r="T12" s="1447">
        <f t="shared" si="3"/>
        <v>641.376036</v>
      </c>
    </row>
    <row r="13" spans="1:20">
      <c r="A13" s="47">
        <v>36678</v>
      </c>
      <c r="B13" s="36">
        <v>34.683</v>
      </c>
      <c r="C13" s="63">
        <v>572.169444</v>
      </c>
      <c r="D13" s="301">
        <f t="shared" si="0"/>
        <v>2000</v>
      </c>
      <c r="E13" s="301" t="str">
        <f t="shared" si="1"/>
        <v>2</v>
      </c>
      <c r="F13" s="302"/>
      <c r="R13" s="1798">
        <f>LARGE(A$8:A$750,7)</f>
        <v>43252</v>
      </c>
      <c r="S13" s="521">
        <f t="shared" si="2"/>
        <v>39.903061000000001</v>
      </c>
      <c r="T13" s="522">
        <f t="shared" si="3"/>
        <v>743.49472400000002</v>
      </c>
    </row>
    <row r="14" spans="1:20">
      <c r="A14" s="47">
        <v>36770</v>
      </c>
      <c r="B14" s="501">
        <v>38.913999999999994</v>
      </c>
      <c r="C14" s="292">
        <v>552.074479</v>
      </c>
      <c r="D14" s="301">
        <f t="shared" si="0"/>
        <v>2000</v>
      </c>
      <c r="E14" s="301" t="str">
        <f t="shared" si="1"/>
        <v>3</v>
      </c>
      <c r="F14" s="302"/>
      <c r="R14" s="1798">
        <f>LARGE(A$8:A$750,6)</f>
        <v>43344</v>
      </c>
      <c r="S14" s="1449">
        <f t="shared" si="2"/>
        <v>33.196140999999997</v>
      </c>
      <c r="T14" s="1447">
        <f t="shared" si="3"/>
        <v>586.79589199999998</v>
      </c>
    </row>
    <row r="15" spans="1:20">
      <c r="A15" s="47">
        <v>36861</v>
      </c>
      <c r="B15" s="36">
        <v>41.976999999999997</v>
      </c>
      <c r="C15" s="63">
        <v>598.97182499999997</v>
      </c>
      <c r="D15" s="301">
        <f t="shared" si="0"/>
        <v>2000</v>
      </c>
      <c r="E15" s="301" t="str">
        <f t="shared" si="1"/>
        <v>4</v>
      </c>
      <c r="F15" s="302"/>
      <c r="R15" s="1798">
        <f>LARGE(A$8:A$750,5)</f>
        <v>43435</v>
      </c>
      <c r="S15" s="521">
        <f t="shared" si="2"/>
        <v>39.613717000000001</v>
      </c>
      <c r="T15" s="522">
        <f t="shared" si="3"/>
        <v>644.59699799999999</v>
      </c>
    </row>
    <row r="16" spans="1:20">
      <c r="A16" s="47">
        <v>36951</v>
      </c>
      <c r="B16" s="501">
        <v>43.210999999999999</v>
      </c>
      <c r="C16" s="292">
        <v>556.122838</v>
      </c>
      <c r="D16" s="301">
        <f t="shared" si="0"/>
        <v>2001</v>
      </c>
      <c r="E16" s="301" t="str">
        <f t="shared" si="1"/>
        <v>1</v>
      </c>
      <c r="F16" s="302"/>
      <c r="R16" s="1798">
        <f>LARGE(A$8:A$750,4)</f>
        <v>43525</v>
      </c>
      <c r="S16" s="1449">
        <f t="shared" si="2"/>
        <v>37.137700000000002</v>
      </c>
      <c r="T16" s="1447">
        <f t="shared" si="3"/>
        <v>651.67899599999998</v>
      </c>
    </row>
    <row r="17" spans="1:20">
      <c r="A17" s="47">
        <v>37043</v>
      </c>
      <c r="B17" s="36">
        <v>43.347999999999999</v>
      </c>
      <c r="C17" s="63">
        <v>531.56001000000003</v>
      </c>
      <c r="D17" s="301">
        <f t="shared" si="0"/>
        <v>2001</v>
      </c>
      <c r="E17" s="301" t="str">
        <f t="shared" si="1"/>
        <v>2</v>
      </c>
      <c r="F17" s="302"/>
      <c r="R17" s="1798">
        <f>LARGE(A$8:A$750,3)</f>
        <v>43617</v>
      </c>
      <c r="S17" s="521">
        <f t="shared" si="2"/>
        <v>44.435909999999993</v>
      </c>
      <c r="T17" s="522">
        <f t="shared" si="3"/>
        <v>816.82622500000002</v>
      </c>
    </row>
    <row r="18" spans="1:20">
      <c r="A18" s="47">
        <v>37135</v>
      </c>
      <c r="B18" s="501">
        <v>47.738</v>
      </c>
      <c r="C18" s="292">
        <v>532.50429900000006</v>
      </c>
      <c r="D18" s="301">
        <f t="shared" si="0"/>
        <v>2001</v>
      </c>
      <c r="E18" s="301" t="str">
        <f t="shared" si="1"/>
        <v>3</v>
      </c>
      <c r="F18" s="302"/>
      <c r="R18" s="1798">
        <f>LARGE(A$8:A$750,2)</f>
        <v>43709</v>
      </c>
      <c r="S18" s="1449">
        <f t="shared" si="2"/>
        <v>40.445700000000002</v>
      </c>
      <c r="T18" s="1447">
        <f t="shared" si="3"/>
        <v>939.07239000000004</v>
      </c>
    </row>
    <row r="19" spans="1:20" ht="15.75" thickBot="1">
      <c r="A19" s="47">
        <v>37226</v>
      </c>
      <c r="B19" s="36">
        <v>46.872</v>
      </c>
      <c r="C19" s="63">
        <v>454.29322500000001</v>
      </c>
      <c r="D19" s="301">
        <f t="shared" si="0"/>
        <v>2001</v>
      </c>
      <c r="E19" s="301" t="str">
        <f t="shared" si="1"/>
        <v>4</v>
      </c>
      <c r="F19" s="302"/>
      <c r="R19" s="1799">
        <f>LARGE(A$8:A$750,1)</f>
        <v>43800</v>
      </c>
      <c r="S19" s="523">
        <f t="shared" si="2"/>
        <v>31.904769999999999</v>
      </c>
      <c r="T19" s="524">
        <f t="shared" si="3"/>
        <v>703.55750999999998</v>
      </c>
    </row>
    <row r="20" spans="1:20">
      <c r="A20" s="47">
        <v>37316</v>
      </c>
      <c r="B20" s="501">
        <v>41.893000000000001</v>
      </c>
      <c r="C20" s="292">
        <v>471.177167</v>
      </c>
      <c r="D20" s="301">
        <f t="shared" si="0"/>
        <v>2002</v>
      </c>
      <c r="E20" s="301" t="str">
        <f t="shared" si="1"/>
        <v>1</v>
      </c>
      <c r="F20" s="302"/>
      <c r="R20" s="801"/>
    </row>
    <row r="21" spans="1:20">
      <c r="A21" s="47">
        <v>37408</v>
      </c>
      <c r="B21" s="36">
        <v>42.975000000000001</v>
      </c>
      <c r="C21" s="63">
        <v>534.85670400000004</v>
      </c>
      <c r="D21" s="301">
        <f t="shared" si="0"/>
        <v>2002</v>
      </c>
      <c r="E21" s="301" t="str">
        <f t="shared" si="1"/>
        <v>2</v>
      </c>
      <c r="F21" s="302"/>
      <c r="R21" s="801"/>
    </row>
    <row r="22" spans="1:20">
      <c r="A22" s="47">
        <v>37500</v>
      </c>
      <c r="B22" s="501">
        <v>53.133000000000003</v>
      </c>
      <c r="C22" s="292">
        <v>666.64412799999991</v>
      </c>
      <c r="D22" s="301">
        <f t="shared" si="0"/>
        <v>2002</v>
      </c>
      <c r="E22" s="301" t="str">
        <f t="shared" si="1"/>
        <v>3</v>
      </c>
      <c r="F22" s="302"/>
      <c r="R22" s="801"/>
    </row>
    <row r="23" spans="1:20">
      <c r="A23" s="47">
        <v>37591</v>
      </c>
      <c r="B23" s="36">
        <v>45.000999999999998</v>
      </c>
      <c r="C23" s="63">
        <v>569.058988</v>
      </c>
      <c r="D23" s="301">
        <f t="shared" si="0"/>
        <v>2002</v>
      </c>
      <c r="E23" s="301" t="str">
        <f t="shared" si="1"/>
        <v>4</v>
      </c>
      <c r="F23" s="302"/>
      <c r="R23" s="801"/>
    </row>
    <row r="24" spans="1:20">
      <c r="A24" s="47">
        <v>37681</v>
      </c>
      <c r="B24" s="501">
        <v>45.094999999999999</v>
      </c>
      <c r="C24" s="292">
        <v>605.23837300000002</v>
      </c>
      <c r="D24" s="301">
        <f t="shared" si="0"/>
        <v>2003</v>
      </c>
      <c r="E24" s="301" t="str">
        <f t="shared" si="1"/>
        <v>1</v>
      </c>
      <c r="F24" s="302"/>
      <c r="R24" s="801"/>
    </row>
    <row r="25" spans="1:20">
      <c r="A25" s="47">
        <v>37773</v>
      </c>
      <c r="B25" s="36">
        <v>48.561999999999998</v>
      </c>
      <c r="C25" s="63">
        <v>616.64654700000006</v>
      </c>
      <c r="D25" s="301">
        <f t="shared" si="0"/>
        <v>2003</v>
      </c>
      <c r="E25" s="301" t="str">
        <f t="shared" si="1"/>
        <v>2</v>
      </c>
      <c r="F25" s="302"/>
      <c r="R25" s="801"/>
    </row>
    <row r="26" spans="1:20">
      <c r="A26" s="47">
        <v>37865</v>
      </c>
      <c r="B26" s="501">
        <v>48.596999999999994</v>
      </c>
      <c r="C26" s="292">
        <v>682.53408300000001</v>
      </c>
      <c r="D26" s="301">
        <f t="shared" si="0"/>
        <v>2003</v>
      </c>
      <c r="E26" s="301" t="str">
        <f t="shared" si="1"/>
        <v>3</v>
      </c>
      <c r="F26" s="302"/>
      <c r="G26" s="802"/>
      <c r="H26" s="803"/>
      <c r="I26" s="802"/>
      <c r="J26" s="802"/>
      <c r="R26" s="801"/>
    </row>
    <row r="27" spans="1:20" ht="15.75" thickBot="1">
      <c r="A27" s="47">
        <v>37956</v>
      </c>
      <c r="B27" s="36">
        <v>47.955999999999996</v>
      </c>
      <c r="C27" s="63">
        <v>775.82492999999999</v>
      </c>
      <c r="D27" s="301">
        <f t="shared" si="0"/>
        <v>2003</v>
      </c>
      <c r="E27" s="301" t="str">
        <f t="shared" si="1"/>
        <v>4</v>
      </c>
      <c r="F27" s="302"/>
      <c r="G27" s="802"/>
      <c r="H27" s="803"/>
      <c r="I27" s="802"/>
      <c r="J27" s="802"/>
    </row>
    <row r="28" spans="1:20" ht="15.75" thickBot="1">
      <c r="A28" s="47">
        <v>38047</v>
      </c>
      <c r="B28" s="501">
        <v>40.414000000000001</v>
      </c>
      <c r="C28" s="292">
        <v>756.27366199999994</v>
      </c>
      <c r="D28" s="301">
        <f t="shared" si="0"/>
        <v>2004</v>
      </c>
      <c r="E28" s="301" t="str">
        <f t="shared" si="1"/>
        <v>1</v>
      </c>
      <c r="F28" s="302"/>
      <c r="G28" s="802"/>
      <c r="H28" s="803"/>
      <c r="I28" s="802"/>
      <c r="J28" s="802"/>
      <c r="R28" s="999" t="s">
        <v>447</v>
      </c>
      <c r="S28" s="2038" t="s">
        <v>429</v>
      </c>
      <c r="T28" s="2039"/>
    </row>
    <row r="29" spans="1:20" ht="15.75" thickBot="1">
      <c r="A29" s="47">
        <v>38139</v>
      </c>
      <c r="B29" s="36">
        <v>45.637999999999998</v>
      </c>
      <c r="C29" s="63">
        <v>821.30489499999999</v>
      </c>
      <c r="D29" s="301">
        <f t="shared" si="0"/>
        <v>2004</v>
      </c>
      <c r="E29" s="301" t="str">
        <f t="shared" si="1"/>
        <v>2</v>
      </c>
      <c r="F29" s="302"/>
      <c r="G29" s="802"/>
      <c r="H29" s="803"/>
      <c r="I29" s="802"/>
      <c r="J29" s="802"/>
      <c r="R29" s="1958" t="str">
        <f>CONCATENATE(A5," quantity and value by ",S28)</f>
        <v>Nickel quantity and value by Calendar Year</v>
      </c>
      <c r="S29" s="1959"/>
      <c r="T29" s="1960"/>
    </row>
    <row r="30" spans="1:20" ht="15.75" thickBot="1">
      <c r="A30" s="47">
        <v>38231</v>
      </c>
      <c r="B30" s="501">
        <v>42.868000000000002</v>
      </c>
      <c r="C30" s="292">
        <v>843.74164199999996</v>
      </c>
      <c r="D30" s="301">
        <f t="shared" si="0"/>
        <v>2004</v>
      </c>
      <c r="E30" s="301" t="str">
        <f t="shared" si="1"/>
        <v>3</v>
      </c>
      <c r="F30" s="302"/>
      <c r="G30" s="802"/>
      <c r="H30" s="803"/>
      <c r="I30" s="802"/>
      <c r="J30" s="802"/>
      <c r="R30" s="367" t="str">
        <f>S28</f>
        <v>Calendar Year</v>
      </c>
      <c r="S30" s="368" t="str">
        <f>B7</f>
        <v>Quantity (Kt)</v>
      </c>
      <c r="T30" s="369" t="str">
        <f>C7</f>
        <v>Value ($ Million)</v>
      </c>
    </row>
    <row r="31" spans="1:20">
      <c r="A31" s="47">
        <v>38322</v>
      </c>
      <c r="B31" s="36">
        <v>45.780999999999999</v>
      </c>
      <c r="C31" s="63">
        <v>848.88762299999996</v>
      </c>
      <c r="D31" s="301">
        <f t="shared" si="0"/>
        <v>2004</v>
      </c>
      <c r="E31" s="301" t="str">
        <f t="shared" si="1"/>
        <v>4</v>
      </c>
      <c r="F31" s="302"/>
      <c r="G31" s="802"/>
      <c r="H31" s="803"/>
      <c r="I31" s="802"/>
      <c r="J31" s="802"/>
      <c r="R31" s="370">
        <f>IF($S$28="Calendar Year",YEAR(MIN($A$8:$A$200)),CONCATENATE(YEAR(MIN($A$8:$A$200)),"-",((YEAR(MIN($A$8:$A$200))+1))))</f>
        <v>1999</v>
      </c>
      <c r="S31" s="1429">
        <f>IF($S$28="Calendar Year",SUMIF($D$8:$D$200,$R31,$B$8:$B$200),SUMIFS($B$8:$B$200,$D$8:$D$200,LEFT($R31,4),$E$8:$E$200,3)+SUMIFS($B$8:$B$200,$D$8:$D$200,LEFT($R31,4),$E$8:$E$200,4)+SUMIFS($B$8:$B$200,$D$8:$D$200,LEFT($R31,4)+1,$E$8:$E$200,1)+SUMIFS($B$8:$B$200,$D$8:$D$200,LEFT($R31,4)+1,$E$8:$E$200,2))</f>
        <v>122.79599999999999</v>
      </c>
      <c r="T31" s="1442">
        <f>IF($S$28="Calendar Year",SUMIF($D$8:$D$200,$R31,$C$8:$C$200),SUMIFS($C$8:$C$200,$D$8:$D$200,LEFT($R31,4),$E$8:$E$200,3)+SUMIFS($C$8:$C$200,$D$8:$D$200,LEFT($R31,4),$E$8:$E$200,4)+SUMIFS($C$8:$C$200,$D$8:$D$200,LEFT($R31,4)+1,$E$8:$E$200,1)+SUMIFS($C$8:$C$200,$D$8:$D$200,LEFT($R31,4)+1,$E$8:$E$200,2))</f>
        <v>1096.633196</v>
      </c>
    </row>
    <row r="32" spans="1:20">
      <c r="A32" s="47">
        <v>38412</v>
      </c>
      <c r="B32" s="501">
        <v>49.765999999999998</v>
      </c>
      <c r="C32" s="292">
        <v>951.74659999999994</v>
      </c>
      <c r="D32" s="301">
        <f t="shared" si="0"/>
        <v>2005</v>
      </c>
      <c r="E32" s="301" t="str">
        <f t="shared" si="1"/>
        <v>1</v>
      </c>
      <c r="F32" s="302"/>
      <c r="G32" s="802"/>
      <c r="H32" s="803"/>
      <c r="I32" s="802"/>
      <c r="J32" s="802"/>
      <c r="R32" s="371">
        <f>IFERROR(IF(YEAR(MAX('Data - Monthly Commodity Prices'!$C$9:$C4984))=VALUE(RIGHT(R31,4)),"",IF($S$28="Calendar Year",R31+1,CONCATENATE(LEFT(R31,4)+1,"-",RIGHT(R31,4)+1))),"")</f>
        <v>2000</v>
      </c>
      <c r="S32" s="1445">
        <f t="shared" ref="S32:S55" si="4">IF(R32="","",IF($S$28="Calendar Year",SUMIF($D$8:$D$200,$R32,$B$8:$B$200),SUMIFS($B$8:$B$200,$D$8:$D$200,LEFT($R32,4),$E$8:$E$200,3)+SUMIFS($B$8:$B$200,$D$8:$D$200,LEFT($R32,4),$E$8:$E$200,4)+SUMIFS($B$8:$B$200,$D$8:$D$200,LEFT($R32,4)+1,$E$8:$E$200,1)+SUMIFS($B$8:$B$200,$D$8:$D$200,LEFT($R32,4)+1,$E$8:$E$200,2)))</f>
        <v>154.07399999999998</v>
      </c>
      <c r="T32" s="1443">
        <f t="shared" ref="T32:T55" si="5">IF(R32="","",IF($S$28="Calendar Year",SUMIF($D$8:$D$200,$R32,$C$8:$C$200),SUMIFS($C$8:$C$200,$D$8:$D$200,LEFT($R32,4),$E$8:$E$200,3)+SUMIFS($C$8:$C$200,$D$8:$D$200,LEFT($R32,4),$E$8:$E$200,4)+SUMIFS($C$8:$C$200,$D$8:$D$200,LEFT($R32,4)+1,$E$8:$E$200,1)+SUMIFS($C$8:$C$200,$D$8:$D$200,LEFT($R32,4)+1,$E$8:$E$200,2)))</f>
        <v>2251.668169</v>
      </c>
    </row>
    <row r="33" spans="1:22">
      <c r="A33" s="47">
        <v>38504</v>
      </c>
      <c r="B33" s="36">
        <v>41.970999999999997</v>
      </c>
      <c r="C33" s="63">
        <v>857.09074399999997</v>
      </c>
      <c r="D33" s="301">
        <f t="shared" si="0"/>
        <v>2005</v>
      </c>
      <c r="E33" s="301" t="str">
        <f t="shared" si="1"/>
        <v>2</v>
      </c>
      <c r="F33" s="302"/>
      <c r="G33" s="802"/>
      <c r="H33" s="803"/>
      <c r="I33" s="802"/>
      <c r="J33" s="802"/>
      <c r="R33" s="371">
        <f>IFERROR(IF(YEAR(MAX('Data - Monthly Commodity Prices'!$C$9:$C4985))=VALUE(RIGHT(R32,4)),"",IF($S$28="Calendar Year",R32+1,CONCATENATE(LEFT(R32,4)+1,"-",RIGHT(R32,4)+1))),"")</f>
        <v>2001</v>
      </c>
      <c r="S33" s="1428">
        <f t="shared" si="4"/>
        <v>181.16899999999998</v>
      </c>
      <c r="T33" s="1444">
        <f t="shared" si="5"/>
        <v>2074.480372</v>
      </c>
    </row>
    <row r="34" spans="1:22">
      <c r="A34" s="47">
        <v>38596</v>
      </c>
      <c r="B34" s="501">
        <v>42.753999999999998</v>
      </c>
      <c r="C34" s="292">
        <v>711.73360100000002</v>
      </c>
      <c r="D34" s="301">
        <f t="shared" si="0"/>
        <v>2005</v>
      </c>
      <c r="E34" s="301" t="str">
        <f t="shared" si="1"/>
        <v>3</v>
      </c>
      <c r="F34" s="302"/>
      <c r="G34" s="802"/>
      <c r="H34" s="803"/>
      <c r="I34" s="802"/>
      <c r="J34" s="802"/>
      <c r="R34" s="371">
        <f>IFERROR(IF(YEAR(MAX('Data - Monthly Commodity Prices'!$C$9:$C4986))=VALUE(RIGHT(R33,4)),"",IF($S$28="Calendar Year",R33+1,CONCATENATE(LEFT(R33,4)+1,"-",RIGHT(R33,4)+1))),"")</f>
        <v>2002</v>
      </c>
      <c r="S34" s="1445">
        <f t="shared" si="4"/>
        <v>183.00200000000001</v>
      </c>
      <c r="T34" s="1443">
        <f t="shared" si="5"/>
        <v>2241.7369870000002</v>
      </c>
    </row>
    <row r="35" spans="1:22">
      <c r="A35" s="47">
        <v>38687</v>
      </c>
      <c r="B35" s="36">
        <v>53.871000000000002</v>
      </c>
      <c r="C35" s="63">
        <v>970.16752499999996</v>
      </c>
      <c r="D35" s="301">
        <f t="shared" si="0"/>
        <v>2005</v>
      </c>
      <c r="E35" s="301" t="str">
        <f t="shared" si="1"/>
        <v>4</v>
      </c>
      <c r="F35" s="302"/>
      <c r="G35" s="802"/>
      <c r="H35" s="803"/>
      <c r="I35" s="802"/>
      <c r="J35" s="802"/>
      <c r="R35" s="371">
        <f>IFERROR(IF(YEAR(MAX('Data - Monthly Commodity Prices'!$C$9:$C4987))=VALUE(RIGHT(R34,4)),"",IF($S$28="Calendar Year",R34+1,CONCATENATE(LEFT(R34,4)+1,"-",RIGHT(R34,4)+1))),"")</f>
        <v>2003</v>
      </c>
      <c r="S35" s="1428">
        <f t="shared" si="4"/>
        <v>190.20999999999998</v>
      </c>
      <c r="T35" s="1444">
        <f t="shared" si="5"/>
        <v>2680.2439329999997</v>
      </c>
    </row>
    <row r="36" spans="1:22">
      <c r="A36" s="47">
        <v>38777</v>
      </c>
      <c r="B36" s="501">
        <v>42.780999999999999</v>
      </c>
      <c r="C36" s="292">
        <v>871.43034999999998</v>
      </c>
      <c r="D36" s="301">
        <f t="shared" si="0"/>
        <v>2006</v>
      </c>
      <c r="E36" s="301" t="str">
        <f t="shared" si="1"/>
        <v>1</v>
      </c>
      <c r="F36" s="302"/>
      <c r="G36" s="802"/>
      <c r="H36" s="803"/>
      <c r="I36" s="802"/>
      <c r="J36" s="802"/>
      <c r="R36" s="371">
        <f>IFERROR(IF(YEAR(MAX('Data - Monthly Commodity Prices'!$C$9:$C4988))=VALUE(RIGHT(R35,4)),"",IF($S$28="Calendar Year",R35+1,CONCATENATE(LEFT(R35,4)+1,"-",RIGHT(R35,4)+1))),"")</f>
        <v>2004</v>
      </c>
      <c r="S36" s="1445">
        <f t="shared" si="4"/>
        <v>174.70099999999999</v>
      </c>
      <c r="T36" s="1443">
        <f t="shared" si="5"/>
        <v>3270.2078219999999</v>
      </c>
    </row>
    <row r="37" spans="1:22">
      <c r="A37" s="47">
        <v>38869</v>
      </c>
      <c r="B37" s="36">
        <v>44.165999999999997</v>
      </c>
      <c r="C37" s="63">
        <v>1258.120529</v>
      </c>
      <c r="D37" s="301">
        <f t="shared" si="0"/>
        <v>2006</v>
      </c>
      <c r="E37" s="301" t="str">
        <f t="shared" si="1"/>
        <v>2</v>
      </c>
      <c r="F37" s="302"/>
      <c r="G37" s="802"/>
      <c r="H37" s="803"/>
      <c r="I37" s="802"/>
      <c r="J37" s="802"/>
      <c r="R37" s="371">
        <f>IFERROR(IF(YEAR(MAX('Data - Monthly Commodity Prices'!$C$9:$C4989))=VALUE(RIGHT(R36,4)),"",IF($S$28="Calendar Year",R36+1,CONCATENATE(LEFT(R36,4)+1,"-",RIGHT(R36,4)+1))),"")</f>
        <v>2005</v>
      </c>
      <c r="S37" s="1428">
        <f t="shared" si="4"/>
        <v>188.36199999999999</v>
      </c>
      <c r="T37" s="1444">
        <f t="shared" si="5"/>
        <v>3490.7384699999998</v>
      </c>
    </row>
    <row r="38" spans="1:22">
      <c r="A38" s="47">
        <v>38961</v>
      </c>
      <c r="B38" s="501">
        <v>39.345999999999997</v>
      </c>
      <c r="C38" s="292">
        <v>1474.038761</v>
      </c>
      <c r="D38" s="301">
        <f t="shared" si="0"/>
        <v>2006</v>
      </c>
      <c r="E38" s="301" t="str">
        <f t="shared" si="1"/>
        <v>3</v>
      </c>
      <c r="F38" s="302"/>
      <c r="G38" s="802"/>
      <c r="H38" s="803"/>
      <c r="I38" s="802"/>
      <c r="J38" s="802"/>
      <c r="R38" s="371">
        <f>IFERROR(IF(YEAR(MAX('Data - Monthly Commodity Prices'!$C$9:$C4990))=VALUE(RIGHT(R37,4)),"",IF($S$28="Calendar Year",R37+1,CONCATENATE(LEFT(R37,4)+1,"-",RIGHT(R37,4)+1))),"")</f>
        <v>2006</v>
      </c>
      <c r="S38" s="1445">
        <f t="shared" si="4"/>
        <v>175.08699999999999</v>
      </c>
      <c r="T38" s="1443">
        <f t="shared" si="5"/>
        <v>5844.1734319999996</v>
      </c>
    </row>
    <row r="39" spans="1:22">
      <c r="A39" s="47">
        <v>39052</v>
      </c>
      <c r="B39" s="36">
        <v>48.793999999999997</v>
      </c>
      <c r="C39" s="63">
        <v>2240.5837919999999</v>
      </c>
      <c r="D39" s="301">
        <f t="shared" si="0"/>
        <v>2006</v>
      </c>
      <c r="E39" s="301" t="str">
        <f t="shared" si="1"/>
        <v>4</v>
      </c>
      <c r="F39" s="302"/>
      <c r="G39" s="802"/>
      <c r="H39" s="803"/>
      <c r="I39" s="802"/>
      <c r="J39" s="802"/>
      <c r="R39" s="371">
        <f>IFERROR(IF(YEAR(MAX('Data - Monthly Commodity Prices'!$C$9:$C4991))=VALUE(RIGHT(R38,4)),"",IF($S$28="Calendar Year",R38+1,CONCATENATE(LEFT(R38,4)+1,"-",RIGHT(R38,4)+1))),"")</f>
        <v>2007</v>
      </c>
      <c r="S39" s="1428">
        <f t="shared" si="4"/>
        <v>162.49200000000002</v>
      </c>
      <c r="T39" s="1444">
        <f t="shared" si="5"/>
        <v>6901.8563919999997</v>
      </c>
    </row>
    <row r="40" spans="1:22">
      <c r="A40" s="47">
        <v>39142</v>
      </c>
      <c r="B40" s="501">
        <v>43.481000000000002</v>
      </c>
      <c r="C40" s="292">
        <v>2182.6945040000001</v>
      </c>
      <c r="D40" s="301">
        <f t="shared" si="0"/>
        <v>2007</v>
      </c>
      <c r="E40" s="301" t="str">
        <f t="shared" si="1"/>
        <v>1</v>
      </c>
      <c r="F40" s="302"/>
      <c r="G40" s="802"/>
      <c r="H40" s="803"/>
      <c r="I40" s="802"/>
      <c r="J40" s="802"/>
      <c r="R40" s="371">
        <f>IFERROR(IF(YEAR(MAX('Data - Monthly Commodity Prices'!$C$9:$C4992))=VALUE(RIGHT(R39,4)),"",IF($S$28="Calendar Year",R39+1,CONCATENATE(LEFT(R39,4)+1,"-",RIGHT(R39,4)+1))),"")</f>
        <v>2008</v>
      </c>
      <c r="S40" s="1445">
        <f t="shared" si="4"/>
        <v>187.791</v>
      </c>
      <c r="T40" s="1443">
        <f t="shared" si="5"/>
        <v>4059.1557379999999</v>
      </c>
    </row>
    <row r="41" spans="1:22">
      <c r="A41" s="47">
        <v>39234</v>
      </c>
      <c r="B41" s="36">
        <v>41.948</v>
      </c>
      <c r="C41" s="63">
        <v>2162.0621139999998</v>
      </c>
      <c r="D41" s="301">
        <f t="shared" si="0"/>
        <v>2007</v>
      </c>
      <c r="E41" s="301" t="str">
        <f t="shared" si="1"/>
        <v>2</v>
      </c>
      <c r="F41" s="302"/>
      <c r="G41" s="802"/>
      <c r="H41" s="803"/>
      <c r="I41" s="802"/>
      <c r="J41" s="802"/>
      <c r="R41" s="371">
        <f>IFERROR(IF(YEAR(MAX('Data - Monthly Commodity Prices'!$C$9:$C4993))=VALUE(RIGHT(R40,4)),"",IF($S$28="Calendar Year",R40+1,CONCATENATE(LEFT(R40,4)+1,"-",RIGHT(R40,4)+1))),"")</f>
        <v>2009</v>
      </c>
      <c r="S41" s="1428">
        <f t="shared" si="4"/>
        <v>171.178</v>
      </c>
      <c r="T41" s="1444">
        <f t="shared" si="5"/>
        <v>3352.9418449999998</v>
      </c>
    </row>
    <row r="42" spans="1:22">
      <c r="A42" s="47">
        <v>39326</v>
      </c>
      <c r="B42" s="501">
        <v>37.274000000000001</v>
      </c>
      <c r="C42" s="292">
        <v>1284.4866919999999</v>
      </c>
      <c r="D42" s="301">
        <f t="shared" si="0"/>
        <v>2007</v>
      </c>
      <c r="E42" s="301" t="str">
        <f t="shared" si="1"/>
        <v>3</v>
      </c>
      <c r="F42" s="302"/>
      <c r="G42" s="802"/>
      <c r="H42" s="803"/>
      <c r="I42" s="802"/>
      <c r="J42" s="802"/>
      <c r="R42" s="371">
        <f>IFERROR(IF(YEAR(MAX('Data - Monthly Commodity Prices'!$C$9:$C4994))=VALUE(RIGHT(R41,4)),"",IF($S$28="Calendar Year",R41+1,CONCATENATE(LEFT(R41,4)+1,"-",RIGHT(R41,4)+1))),"")</f>
        <v>2010</v>
      </c>
      <c r="S42" s="1445">
        <f t="shared" si="4"/>
        <v>193.25899999999999</v>
      </c>
      <c r="T42" s="1443">
        <f t="shared" si="5"/>
        <v>4550.3347899999999</v>
      </c>
    </row>
    <row r="43" spans="1:22">
      <c r="A43" s="47">
        <v>39417</v>
      </c>
      <c r="B43" s="36">
        <v>39.789000000000001</v>
      </c>
      <c r="C43" s="63">
        <v>1272.6130820000001</v>
      </c>
      <c r="D43" s="301">
        <f t="shared" si="0"/>
        <v>2007</v>
      </c>
      <c r="E43" s="301" t="str">
        <f t="shared" si="1"/>
        <v>4</v>
      </c>
      <c r="F43" s="302"/>
      <c r="G43" s="802"/>
      <c r="H43" s="803"/>
      <c r="I43" s="802"/>
      <c r="J43" s="802"/>
      <c r="R43" s="371">
        <f>IFERROR(IF(YEAR(MAX('Data - Monthly Commodity Prices'!$C$9:$C4995))=VALUE(RIGHT(R42,4)),"",IF($S$28="Calendar Year",R42+1,CONCATENATE(LEFT(R42,4)+1,"-",RIGHT(R42,4)+1))),"")</f>
        <v>2011</v>
      </c>
      <c r="S43" s="1428">
        <f t="shared" si="4"/>
        <v>185.13</v>
      </c>
      <c r="T43" s="1444">
        <f t="shared" si="5"/>
        <v>3951.580226</v>
      </c>
    </row>
    <row r="44" spans="1:22">
      <c r="A44" s="47">
        <v>39508</v>
      </c>
      <c r="B44" s="501">
        <v>47.405999999999999</v>
      </c>
      <c r="C44" s="292">
        <v>1400.58899</v>
      </c>
      <c r="D44" s="301">
        <f t="shared" si="0"/>
        <v>2008</v>
      </c>
      <c r="E44" s="301" t="str">
        <f t="shared" si="1"/>
        <v>1</v>
      </c>
      <c r="F44" s="302"/>
      <c r="G44" s="802"/>
      <c r="H44" s="803"/>
      <c r="I44" s="802"/>
      <c r="J44" s="802"/>
      <c r="R44" s="371">
        <f>IFERROR(IF(YEAR(MAX('Data - Monthly Commodity Prices'!$C$9:$C4996))=VALUE(RIGHT(R43,4)),"",IF($S$28="Calendar Year",R43+1,CONCATENATE(LEFT(R43,4)+1,"-",RIGHT(R43,4)+1))),"")</f>
        <v>2012</v>
      </c>
      <c r="S44" s="1445">
        <f t="shared" si="4"/>
        <v>230.76710035740911</v>
      </c>
      <c r="T44" s="1443">
        <f t="shared" si="5"/>
        <v>3801.1945485400001</v>
      </c>
      <c r="U44" s="900"/>
      <c r="V44" s="900"/>
    </row>
    <row r="45" spans="1:22">
      <c r="A45" s="47">
        <v>39600</v>
      </c>
      <c r="B45" s="36">
        <v>48.332000000000001</v>
      </c>
      <c r="C45" s="63">
        <v>1185.9159749999999</v>
      </c>
      <c r="D45" s="301">
        <f t="shared" si="0"/>
        <v>2008</v>
      </c>
      <c r="E45" s="301" t="str">
        <f t="shared" si="1"/>
        <v>2</v>
      </c>
      <c r="F45" s="302"/>
      <c r="G45" s="802"/>
      <c r="H45" s="803"/>
      <c r="I45" s="802"/>
      <c r="J45" s="802"/>
      <c r="R45" s="371">
        <f>IFERROR(IF(YEAR(MAX('Data - Monthly Commodity Prices'!$C$9:$C4997))=VALUE(RIGHT(R44,4)),"",IF($S$28="Calendar Year",R44+1,CONCATENATE(LEFT(R44,4)+1,"-",RIGHT(R44,4)+1))),"")</f>
        <v>2013</v>
      </c>
      <c r="S45" s="1428">
        <f t="shared" si="4"/>
        <v>229.73</v>
      </c>
      <c r="T45" s="1444">
        <f t="shared" si="5"/>
        <v>3380.5595149999999</v>
      </c>
      <c r="U45" s="900"/>
      <c r="V45" s="900"/>
    </row>
    <row r="46" spans="1:22">
      <c r="A46" s="47">
        <v>39692</v>
      </c>
      <c r="B46" s="501">
        <v>39.192</v>
      </c>
      <c r="C46" s="292">
        <v>642.03748800000005</v>
      </c>
      <c r="D46" s="301">
        <f t="shared" si="0"/>
        <v>2008</v>
      </c>
      <c r="E46" s="301" t="str">
        <f t="shared" si="1"/>
        <v>3</v>
      </c>
      <c r="F46" s="302"/>
      <c r="G46" s="802"/>
      <c r="H46" s="803"/>
      <c r="I46" s="802"/>
      <c r="J46" s="802"/>
      <c r="R46" s="371">
        <f>IFERROR(IF(YEAR(MAX('Data - Monthly Commodity Prices'!$C$9:$C4998))=VALUE(RIGHT(R45,4)),"",IF($S$28="Calendar Year",R45+1,CONCATENATE(LEFT(R45,4)+1,"-",RIGHT(R45,4)+1))),"")</f>
        <v>2014</v>
      </c>
      <c r="S46" s="1445">
        <f t="shared" si="4"/>
        <v>218.56311600000001</v>
      </c>
      <c r="T46" s="1443">
        <f t="shared" si="5"/>
        <v>3582.4981079999998</v>
      </c>
      <c r="U46" s="900"/>
      <c r="V46" s="900"/>
    </row>
    <row r="47" spans="1:22">
      <c r="A47" s="47">
        <v>39783</v>
      </c>
      <c r="B47" s="36">
        <v>52.860999999999997</v>
      </c>
      <c r="C47" s="63">
        <v>830.61328500000002</v>
      </c>
      <c r="D47" s="301">
        <f t="shared" si="0"/>
        <v>2008</v>
      </c>
      <c r="E47" s="301" t="str">
        <f t="shared" si="1"/>
        <v>4</v>
      </c>
      <c r="F47" s="302"/>
      <c r="G47" s="802"/>
      <c r="H47" s="803"/>
      <c r="I47" s="802"/>
      <c r="J47" s="802"/>
      <c r="R47" s="371">
        <f>IFERROR(IF(YEAR(MAX('Data - Monthly Commodity Prices'!$C$9:$C4999))=VALUE(RIGHT(R46,4)),"",IF($S$28="Calendar Year",R46+1,CONCATENATE(LEFT(R46,4)+1,"-",RIGHT(R46,4)+1))),"")</f>
        <v>2015</v>
      </c>
      <c r="S47" s="1428">
        <f t="shared" si="4"/>
        <v>173.97419099999999</v>
      </c>
      <c r="T47" s="1444">
        <f t="shared" si="5"/>
        <v>2557.2144789999998</v>
      </c>
      <c r="U47" s="900"/>
      <c r="V47" s="900"/>
    </row>
    <row r="48" spans="1:22">
      <c r="A48" s="47">
        <v>39873</v>
      </c>
      <c r="B48" s="501">
        <v>42.557000000000002</v>
      </c>
      <c r="C48" s="292">
        <v>703.39529100000004</v>
      </c>
      <c r="D48" s="301">
        <f t="shared" si="0"/>
        <v>2009</v>
      </c>
      <c r="E48" s="301" t="str">
        <f t="shared" si="1"/>
        <v>1</v>
      </c>
      <c r="F48" s="302"/>
      <c r="G48" s="802"/>
      <c r="H48" s="803"/>
      <c r="I48" s="802"/>
      <c r="J48" s="802"/>
      <c r="R48" s="371">
        <f>IFERROR(IF(YEAR(MAX('Data - Monthly Commodity Prices'!$C$9:$C5000))=VALUE(RIGHT(R47,4)),"",IF($S$28="Calendar Year",R47+1,CONCATENATE(LEFT(R47,4)+1,"-",RIGHT(R47,4)+1))),"")</f>
        <v>2016</v>
      </c>
      <c r="S48" s="1445">
        <f t="shared" si="4"/>
        <v>165.47567599999999</v>
      </c>
      <c r="T48" s="1443">
        <f t="shared" si="5"/>
        <v>2122.6244230000002</v>
      </c>
      <c r="U48" s="900"/>
    </row>
    <row r="49" spans="1:20">
      <c r="A49" s="47">
        <v>39965</v>
      </c>
      <c r="B49" s="36">
        <v>43.755000000000003</v>
      </c>
      <c r="C49" s="63">
        <v>820.86273000000006</v>
      </c>
      <c r="D49" s="301">
        <f t="shared" si="0"/>
        <v>2009</v>
      </c>
      <c r="E49" s="301" t="str">
        <f t="shared" si="1"/>
        <v>2</v>
      </c>
      <c r="F49" s="302"/>
      <c r="G49" s="802"/>
      <c r="H49" s="803"/>
      <c r="I49" s="802"/>
      <c r="J49" s="802"/>
      <c r="R49" s="371">
        <f>IFERROR(IF(YEAR(MAX('Data - Monthly Commodity Prices'!$C$9:$C5001))=VALUE(RIGHT(R48,4)),"",IF($S$28="Calendar Year",R48+1,CONCATENATE(LEFT(R48,4)+1,"-",RIGHT(R48,4)+1))),"")</f>
        <v>2017</v>
      </c>
      <c r="S49" s="1428">
        <f t="shared" si="4"/>
        <v>165.18295699999999</v>
      </c>
      <c r="T49" s="1444">
        <f t="shared" si="5"/>
        <v>2258.7531670000003</v>
      </c>
    </row>
    <row r="50" spans="1:20">
      <c r="A50" s="47">
        <v>40057</v>
      </c>
      <c r="B50" s="501">
        <v>39.381</v>
      </c>
      <c r="C50" s="292">
        <v>899.558718</v>
      </c>
      <c r="D50" s="301">
        <f t="shared" si="0"/>
        <v>2009</v>
      </c>
      <c r="E50" s="301" t="str">
        <f t="shared" si="1"/>
        <v>3</v>
      </c>
      <c r="F50" s="302"/>
      <c r="G50" s="802"/>
      <c r="H50" s="803"/>
      <c r="I50" s="802"/>
      <c r="J50" s="802"/>
      <c r="R50" s="371">
        <f>IFERROR(IF(YEAR(MAX('Data - Monthly Commodity Prices'!$C$9:$C5002))=VALUE(RIGHT(R49,4)),"",IF($S$28="Calendar Year",R49+1,CONCATENATE(LEFT(R49,4)+1,"-",RIGHT(R49,4)+1))),"")</f>
        <v>2018</v>
      </c>
      <c r="S50" s="1445">
        <f t="shared" si="4"/>
        <v>149.706005</v>
      </c>
      <c r="T50" s="1443">
        <f t="shared" si="5"/>
        <v>2616.2636499999999</v>
      </c>
    </row>
    <row r="51" spans="1:20">
      <c r="A51" s="47">
        <v>40148</v>
      </c>
      <c r="B51" s="36">
        <v>45.484999999999999</v>
      </c>
      <c r="C51" s="63">
        <v>929.12510599999996</v>
      </c>
      <c r="D51" s="301">
        <f t="shared" si="0"/>
        <v>2009</v>
      </c>
      <c r="E51" s="301" t="str">
        <f t="shared" si="1"/>
        <v>4</v>
      </c>
      <c r="F51" s="302"/>
      <c r="G51" s="802"/>
      <c r="H51" s="803"/>
      <c r="I51" s="802"/>
      <c r="J51" s="802"/>
      <c r="R51" s="371">
        <f>IFERROR(IF(YEAR(MAX('Data - Monthly Commodity Prices'!$C$9:$C5003))=VALUE(RIGHT(R50,4)),"",IF($S$28="Calendar Year",R50+1,CONCATENATE(LEFT(R50,4)+1,"-",RIGHT(R50,4)+1))),"")</f>
        <v>2019</v>
      </c>
      <c r="S51" s="1428">
        <f t="shared" si="4"/>
        <v>153.92408</v>
      </c>
      <c r="T51" s="1647">
        <f t="shared" si="5"/>
        <v>3111.1351209999998</v>
      </c>
    </row>
    <row r="52" spans="1:20">
      <c r="A52" s="47">
        <v>40238</v>
      </c>
      <c r="B52" s="501">
        <v>47.448</v>
      </c>
      <c r="C52" s="292">
        <v>1047.5006519999999</v>
      </c>
      <c r="D52" s="301">
        <f t="shared" si="0"/>
        <v>2010</v>
      </c>
      <c r="E52" s="301" t="str">
        <f t="shared" si="1"/>
        <v>1</v>
      </c>
      <c r="F52" s="302"/>
      <c r="G52" s="802"/>
      <c r="H52" s="803"/>
      <c r="I52" s="802"/>
      <c r="J52" s="802"/>
      <c r="R52" s="371" t="str">
        <f>IFERROR(IF(YEAR(MAX('Data - Monthly Commodity Prices'!$C$9:$C5004))=VALUE(RIGHT(R51,4)),"",IF($S$28="Calendar Year",R51+1,CONCATENATE(LEFT(R51,4)+1,"-",RIGHT(R51,4)+1))),"")</f>
        <v/>
      </c>
      <c r="S52" s="355" t="str">
        <f t="shared" si="4"/>
        <v/>
      </c>
      <c r="T52" s="356" t="str">
        <f t="shared" si="5"/>
        <v/>
      </c>
    </row>
    <row r="53" spans="1:20">
      <c r="A53" s="47">
        <v>40330</v>
      </c>
      <c r="B53" s="36">
        <v>47.838000000000001</v>
      </c>
      <c r="C53" s="63">
        <v>1100.587053</v>
      </c>
      <c r="D53" s="301">
        <f t="shared" si="0"/>
        <v>2010</v>
      </c>
      <c r="E53" s="301" t="str">
        <f t="shared" si="1"/>
        <v>2</v>
      </c>
      <c r="F53" s="302"/>
      <c r="G53" s="802"/>
      <c r="H53" s="803"/>
      <c r="I53" s="802"/>
      <c r="J53" s="802"/>
      <c r="R53" s="371" t="str">
        <f>IFERROR(IF(YEAR(MAX('Data - Monthly Commodity Prices'!$C$9:$C5005))=VALUE(RIGHT(R52,4)),"",IF($S$28="Calendar Year",R52+1,CONCATENATE(LEFT(R52,4)+1,"-",RIGHT(R52,4)+1))),"")</f>
        <v/>
      </c>
      <c r="S53" s="1415" t="str">
        <f t="shared" si="4"/>
        <v/>
      </c>
      <c r="T53" s="1431" t="str">
        <f t="shared" si="5"/>
        <v/>
      </c>
    </row>
    <row r="54" spans="1:20">
      <c r="A54" s="47">
        <v>40422</v>
      </c>
      <c r="B54" s="501">
        <v>46.356000000000002</v>
      </c>
      <c r="C54" s="292">
        <v>1138.848252</v>
      </c>
      <c r="D54" s="301">
        <f t="shared" si="0"/>
        <v>2010</v>
      </c>
      <c r="E54" s="301" t="str">
        <f t="shared" si="1"/>
        <v>3</v>
      </c>
      <c r="F54" s="302"/>
      <c r="G54" s="802"/>
      <c r="H54" s="803"/>
      <c r="I54" s="802"/>
      <c r="J54" s="802"/>
      <c r="R54" s="371" t="str">
        <f>IFERROR(IF(YEAR(MAX('Data - Monthly Commodity Prices'!$C$9:$C5006))=VALUE(RIGHT(R53,4)),"",IF($S$28="Calendar Year",R53+1,CONCATENATE(LEFT(R53,4)+1,"-",RIGHT(R53,4)+1))),"")</f>
        <v/>
      </c>
      <c r="S54" s="355" t="str">
        <f t="shared" si="4"/>
        <v/>
      </c>
      <c r="T54" s="356" t="str">
        <f t="shared" si="5"/>
        <v/>
      </c>
    </row>
    <row r="55" spans="1:20" ht="15.75" thickBot="1">
      <c r="A55" s="47">
        <v>40513</v>
      </c>
      <c r="B55" s="36">
        <v>51.616999999999997</v>
      </c>
      <c r="C55" s="63">
        <v>1263.398833</v>
      </c>
      <c r="D55" s="301">
        <f t="shared" si="0"/>
        <v>2010</v>
      </c>
      <c r="E55" s="301" t="str">
        <f t="shared" si="1"/>
        <v>4</v>
      </c>
      <c r="F55" s="302"/>
      <c r="G55" s="802"/>
      <c r="H55" s="803"/>
      <c r="I55" s="802"/>
      <c r="J55" s="802"/>
      <c r="R55" s="372" t="str">
        <f>IFERROR(IF(YEAR(MAX('Data - Monthly Commodity Prices'!$C$9:$C5007))=VALUE(RIGHT(R54,4)),"",IF($S$28="Calendar Year",R54+1,CONCATENATE(LEFT(R54,4)+1,"-",RIGHT(R54,4)+1))),"")</f>
        <v/>
      </c>
      <c r="S55" s="1419" t="str">
        <f t="shared" si="4"/>
        <v/>
      </c>
      <c r="T55" s="1430" t="str">
        <f t="shared" si="5"/>
        <v/>
      </c>
    </row>
    <row r="56" spans="1:20">
      <c r="A56" s="47">
        <v>40603</v>
      </c>
      <c r="B56" s="501">
        <v>47.896999999999998</v>
      </c>
      <c r="C56" s="292">
        <v>1231.1867629999999</v>
      </c>
      <c r="D56" s="301">
        <f t="shared" si="0"/>
        <v>2011</v>
      </c>
      <c r="E56" s="301" t="str">
        <f t="shared" si="1"/>
        <v>1</v>
      </c>
      <c r="F56" s="302"/>
      <c r="G56" s="802"/>
      <c r="H56" s="803"/>
      <c r="I56" s="802"/>
      <c r="J56" s="802"/>
    </row>
    <row r="57" spans="1:20">
      <c r="A57" s="47">
        <v>40695</v>
      </c>
      <c r="B57" s="36">
        <v>48.307000000000002</v>
      </c>
      <c r="C57" s="63">
        <v>1052.7396189999999</v>
      </c>
      <c r="D57" s="301">
        <f t="shared" si="0"/>
        <v>2011</v>
      </c>
      <c r="E57" s="301" t="str">
        <f t="shared" si="1"/>
        <v>2</v>
      </c>
      <c r="F57" s="302"/>
      <c r="G57" s="802"/>
      <c r="H57" s="803"/>
      <c r="I57" s="802"/>
      <c r="J57" s="802"/>
    </row>
    <row r="58" spans="1:20">
      <c r="A58" s="47">
        <v>40787</v>
      </c>
      <c r="B58" s="501">
        <v>36.536000000000001</v>
      </c>
      <c r="C58" s="292">
        <v>709.98296900000003</v>
      </c>
      <c r="D58" s="301">
        <f t="shared" si="0"/>
        <v>2011</v>
      </c>
      <c r="E58" s="301" t="str">
        <f t="shared" si="1"/>
        <v>3</v>
      </c>
      <c r="F58" s="302"/>
      <c r="G58" s="802"/>
      <c r="H58" s="803"/>
      <c r="I58" s="802"/>
      <c r="J58" s="802"/>
    </row>
    <row r="59" spans="1:20">
      <c r="A59" s="47">
        <v>40878</v>
      </c>
      <c r="B59" s="36">
        <v>52.39</v>
      </c>
      <c r="C59" s="63">
        <v>957.67087500000002</v>
      </c>
      <c r="D59" s="301">
        <f t="shared" si="0"/>
        <v>2011</v>
      </c>
      <c r="E59" s="301" t="str">
        <f t="shared" si="1"/>
        <v>4</v>
      </c>
      <c r="F59" s="1197"/>
      <c r="G59" s="1197"/>
      <c r="H59" s="803"/>
      <c r="I59" s="802"/>
      <c r="J59" s="802"/>
    </row>
    <row r="60" spans="1:20">
      <c r="A60" s="47">
        <v>40969</v>
      </c>
      <c r="B60" s="501">
        <v>53.831647400000001</v>
      </c>
      <c r="C60" s="292">
        <v>963.20574728999998</v>
      </c>
      <c r="D60" s="301">
        <f t="shared" si="0"/>
        <v>2012</v>
      </c>
      <c r="E60" s="301" t="str">
        <f t="shared" si="1"/>
        <v>1</v>
      </c>
      <c r="F60" s="1197"/>
      <c r="G60" s="1197"/>
      <c r="H60" s="803"/>
      <c r="I60" s="802"/>
      <c r="J60" s="802"/>
    </row>
    <row r="61" spans="1:20">
      <c r="A61" s="47">
        <v>41061</v>
      </c>
      <c r="B61" s="36">
        <v>66.612116999999998</v>
      </c>
      <c r="C61" s="63">
        <v>1091.1048049400001</v>
      </c>
      <c r="D61" s="301">
        <f t="shared" si="0"/>
        <v>2012</v>
      </c>
      <c r="E61" s="301" t="str">
        <f t="shared" si="1"/>
        <v>2</v>
      </c>
      <c r="F61" s="1197"/>
      <c r="G61" s="1197"/>
      <c r="H61" s="803"/>
      <c r="I61" s="802"/>
      <c r="J61" s="802"/>
    </row>
    <row r="62" spans="1:20">
      <c r="A62" s="47">
        <v>41153</v>
      </c>
      <c r="B62" s="501">
        <v>55.94000005327063</v>
      </c>
      <c r="C62" s="292">
        <v>864.43799043000001</v>
      </c>
      <c r="D62" s="301">
        <f t="shared" si="0"/>
        <v>2012</v>
      </c>
      <c r="E62" s="301" t="str">
        <f t="shared" si="1"/>
        <v>3</v>
      </c>
      <c r="F62" s="1197"/>
      <c r="G62" s="1197"/>
      <c r="H62" s="803"/>
      <c r="I62" s="802"/>
      <c r="J62" s="802"/>
    </row>
    <row r="63" spans="1:20">
      <c r="A63" s="47">
        <v>41244</v>
      </c>
      <c r="B63" s="36">
        <v>54.38333590413847</v>
      </c>
      <c r="C63" s="63">
        <v>882.44600588000003</v>
      </c>
      <c r="D63" s="301">
        <f t="shared" si="0"/>
        <v>2012</v>
      </c>
      <c r="E63" s="301" t="str">
        <f t="shared" si="1"/>
        <v>4</v>
      </c>
      <c r="F63" s="1197"/>
      <c r="G63" s="1197"/>
      <c r="H63" s="803"/>
      <c r="I63" s="802"/>
      <c r="J63" s="802"/>
    </row>
    <row r="64" spans="1:20">
      <c r="A64" s="47">
        <v>41334</v>
      </c>
      <c r="B64" s="501">
        <v>58.11</v>
      </c>
      <c r="C64" s="292">
        <v>928.90185599999995</v>
      </c>
      <c r="D64" s="301">
        <f t="shared" si="0"/>
        <v>2013</v>
      </c>
      <c r="E64" s="301" t="str">
        <f t="shared" si="1"/>
        <v>1</v>
      </c>
      <c r="F64" s="1197"/>
      <c r="G64" s="1197"/>
      <c r="H64" s="803"/>
      <c r="I64" s="802"/>
      <c r="J64" s="802"/>
    </row>
    <row r="65" spans="1:10">
      <c r="A65" s="47">
        <v>41426</v>
      </c>
      <c r="B65" s="36">
        <v>59.03</v>
      </c>
      <c r="C65" s="63">
        <v>835.92591000000004</v>
      </c>
      <c r="D65" s="301">
        <f t="shared" si="0"/>
        <v>2013</v>
      </c>
      <c r="E65" s="301" t="str">
        <f t="shared" si="1"/>
        <v>2</v>
      </c>
      <c r="F65" s="1197"/>
      <c r="G65" s="1197"/>
      <c r="H65" s="803"/>
      <c r="I65" s="802"/>
      <c r="J65" s="802"/>
    </row>
    <row r="66" spans="1:10">
      <c r="A66" s="47">
        <v>41518</v>
      </c>
      <c r="B66" s="501">
        <v>57.37</v>
      </c>
      <c r="C66" s="292">
        <v>831.86759199999995</v>
      </c>
      <c r="D66" s="301">
        <f t="shared" si="0"/>
        <v>2013</v>
      </c>
      <c r="E66" s="301" t="str">
        <f t="shared" si="1"/>
        <v>3</v>
      </c>
      <c r="F66" s="1197"/>
      <c r="G66" s="1197"/>
      <c r="H66" s="803"/>
      <c r="I66" s="802"/>
      <c r="J66" s="802"/>
    </row>
    <row r="67" spans="1:10">
      <c r="A67" s="47">
        <v>41609</v>
      </c>
      <c r="B67" s="36">
        <v>55.22</v>
      </c>
      <c r="C67" s="63">
        <v>783.86415699999998</v>
      </c>
      <c r="D67" s="301">
        <f t="shared" si="0"/>
        <v>2013</v>
      </c>
      <c r="E67" s="301" t="str">
        <f t="shared" si="1"/>
        <v>4</v>
      </c>
      <c r="F67" s="1197"/>
      <c r="G67" s="1197"/>
      <c r="H67" s="803"/>
      <c r="I67" s="802"/>
      <c r="J67" s="802"/>
    </row>
    <row r="68" spans="1:10">
      <c r="A68" s="47">
        <v>41699</v>
      </c>
      <c r="B68" s="501">
        <v>59.844214000000008</v>
      </c>
      <c r="C68" s="292">
        <v>846.20660599999997</v>
      </c>
      <c r="D68" s="301">
        <f t="shared" si="0"/>
        <v>2014</v>
      </c>
      <c r="E68" s="301" t="str">
        <f t="shared" si="1"/>
        <v>1</v>
      </c>
      <c r="F68" s="1197"/>
      <c r="G68" s="1197"/>
      <c r="H68" s="803"/>
      <c r="I68" s="802"/>
      <c r="J68" s="802"/>
    </row>
    <row r="69" spans="1:10">
      <c r="A69" s="47">
        <v>41791</v>
      </c>
      <c r="B69" s="36">
        <v>60.238544000000012</v>
      </c>
      <c r="C69" s="63">
        <v>957.08476499999995</v>
      </c>
      <c r="D69" s="301">
        <f t="shared" si="0"/>
        <v>2014</v>
      </c>
      <c r="E69" s="301" t="str">
        <f t="shared" si="1"/>
        <v>2</v>
      </c>
      <c r="F69" s="1197"/>
      <c r="G69" s="1197"/>
      <c r="H69" s="803"/>
      <c r="I69" s="802"/>
      <c r="J69" s="802"/>
    </row>
    <row r="70" spans="1:10">
      <c r="A70" s="47">
        <v>41883</v>
      </c>
      <c r="B70" s="501">
        <v>46.894491999999993</v>
      </c>
      <c r="C70" s="292">
        <v>867.60104799999999</v>
      </c>
      <c r="D70" s="301">
        <f t="shared" si="0"/>
        <v>2014</v>
      </c>
      <c r="E70" s="301" t="str">
        <f t="shared" si="1"/>
        <v>3</v>
      </c>
      <c r="F70" s="1197"/>
      <c r="G70" s="1197"/>
      <c r="H70" s="803"/>
      <c r="I70" s="802"/>
      <c r="J70" s="802"/>
    </row>
    <row r="71" spans="1:10">
      <c r="A71" s="47">
        <v>41974</v>
      </c>
      <c r="B71" s="36">
        <v>51.585866000000003</v>
      </c>
      <c r="C71" s="63">
        <v>911.60568899999998</v>
      </c>
      <c r="D71" s="301">
        <f t="shared" si="0"/>
        <v>2014</v>
      </c>
      <c r="E71" s="301" t="str">
        <f t="shared" si="1"/>
        <v>4</v>
      </c>
      <c r="F71" s="1197"/>
      <c r="G71" s="1197"/>
      <c r="H71" s="803"/>
      <c r="I71" s="802"/>
      <c r="J71" s="802"/>
    </row>
    <row r="72" spans="1:10">
      <c r="A72" s="47">
        <v>42064</v>
      </c>
      <c r="B72" s="501">
        <v>39.123603999999993</v>
      </c>
      <c r="C72" s="292">
        <v>675.54155800000001</v>
      </c>
      <c r="D72" s="301">
        <f t="shared" si="0"/>
        <v>2015</v>
      </c>
      <c r="E72" s="301" t="str">
        <f t="shared" si="1"/>
        <v>1</v>
      </c>
      <c r="F72" s="1197"/>
      <c r="G72" s="1197"/>
      <c r="I72" s="802"/>
      <c r="J72" s="802"/>
    </row>
    <row r="73" spans="1:10">
      <c r="A73" s="47">
        <v>42156</v>
      </c>
      <c r="B73" s="36">
        <v>45.715990000000005</v>
      </c>
      <c r="C73" s="63">
        <v>714.85670600000003</v>
      </c>
      <c r="D73" s="301">
        <f>YEAR(A73)</f>
        <v>2015</v>
      </c>
      <c r="E73" s="301" t="str">
        <f>IF(MONTH(A73)=3,"1",IF(MONTH(A73)=6,"2",IF(MONTH(A73)=9,"3","4")))</f>
        <v>2</v>
      </c>
      <c r="F73" s="1197"/>
      <c r="G73" s="1197"/>
      <c r="I73" s="802"/>
      <c r="J73" s="802"/>
    </row>
    <row r="74" spans="1:10">
      <c r="A74" s="47">
        <v>42248</v>
      </c>
      <c r="B74" s="501">
        <v>46.322647000000003</v>
      </c>
      <c r="C74" s="292">
        <v>638.45772099999999</v>
      </c>
      <c r="D74" s="301">
        <f>YEAR(A74)</f>
        <v>2015</v>
      </c>
      <c r="E74" s="301" t="str">
        <f>IF(MONTH(A74)=3,"1",IF(MONTH(A74)=6,"2",IF(MONTH(A74)=9,"3","4")))</f>
        <v>3</v>
      </c>
      <c r="F74" s="1198"/>
      <c r="G74" s="1197"/>
      <c r="I74" s="802"/>
      <c r="J74" s="802"/>
    </row>
    <row r="75" spans="1:10">
      <c r="A75" s="47">
        <v>42339</v>
      </c>
      <c r="B75" s="36">
        <v>42.811950000000003</v>
      </c>
      <c r="C75" s="63">
        <v>528.35849399999995</v>
      </c>
      <c r="D75" s="301">
        <f>YEAR(A75)</f>
        <v>2015</v>
      </c>
      <c r="E75" s="301" t="str">
        <f>IF(MONTH(A75)=3,"1",IF(MONTH(A75)=6,"2",IF(MONTH(A75)=9,"3","4")))</f>
        <v>4</v>
      </c>
      <c r="F75" s="1197"/>
      <c r="G75" s="1197"/>
      <c r="I75" s="802"/>
      <c r="J75" s="802"/>
    </row>
    <row r="76" spans="1:10">
      <c r="A76" s="47">
        <v>42430</v>
      </c>
      <c r="B76" s="501">
        <v>43.988477000000003</v>
      </c>
      <c r="C76" s="292">
        <v>518.42369199999996</v>
      </c>
      <c r="D76" s="301">
        <f t="shared" ref="D76:D139" si="6">YEAR(A76)</f>
        <v>2016</v>
      </c>
      <c r="E76" s="301" t="str">
        <f t="shared" ref="E76:E139" si="7">IF(MONTH(A76)=3,"1",IF(MONTH(A76)=6,"2",IF(MONTH(A76)=9,"3","4")))</f>
        <v>1</v>
      </c>
      <c r="F76" s="1197"/>
      <c r="G76" s="1197"/>
      <c r="I76" s="802"/>
    </row>
    <row r="77" spans="1:10">
      <c r="A77" s="47">
        <v>42522</v>
      </c>
      <c r="B77" s="36">
        <v>42.62845699999999</v>
      </c>
      <c r="C77" s="63">
        <v>517.49454400000002</v>
      </c>
      <c r="D77" s="301">
        <f t="shared" si="6"/>
        <v>2016</v>
      </c>
      <c r="E77" s="301" t="str">
        <f t="shared" si="7"/>
        <v>2</v>
      </c>
      <c r="F77" s="1197"/>
      <c r="G77" s="1198"/>
      <c r="I77" s="802"/>
    </row>
    <row r="78" spans="1:10">
      <c r="A78" s="47">
        <v>42614</v>
      </c>
      <c r="B78" s="501">
        <v>36.742851000000002</v>
      </c>
      <c r="C78" s="292">
        <v>493.70278000000002</v>
      </c>
      <c r="D78" s="301">
        <f t="shared" si="6"/>
        <v>2016</v>
      </c>
      <c r="E78" s="301" t="str">
        <f t="shared" si="7"/>
        <v>3</v>
      </c>
      <c r="F78" s="1197"/>
      <c r="G78" s="1197"/>
      <c r="I78" s="802"/>
    </row>
    <row r="79" spans="1:10">
      <c r="A79" s="47">
        <v>42705</v>
      </c>
      <c r="B79" s="36">
        <v>42.115891000000005</v>
      </c>
      <c r="C79" s="63">
        <v>593.00340700000004</v>
      </c>
      <c r="D79" s="301">
        <f t="shared" si="6"/>
        <v>2016</v>
      </c>
      <c r="E79" s="301" t="str">
        <f t="shared" si="7"/>
        <v>4</v>
      </c>
      <c r="F79" s="1197"/>
      <c r="G79" s="1197"/>
      <c r="H79" s="1193"/>
      <c r="I79" s="1193"/>
    </row>
    <row r="80" spans="1:10">
      <c r="A80" s="47">
        <v>42795</v>
      </c>
      <c r="B80" s="501">
        <v>36.610709</v>
      </c>
      <c r="C80" s="292">
        <v>483.453688</v>
      </c>
      <c r="D80" s="301">
        <f t="shared" si="6"/>
        <v>2017</v>
      </c>
      <c r="E80" s="301" t="str">
        <f t="shared" si="7"/>
        <v>1</v>
      </c>
      <c r="F80" s="302"/>
      <c r="I80" s="802"/>
    </row>
    <row r="81" spans="1:9">
      <c r="A81" s="47">
        <v>42887</v>
      </c>
      <c r="B81" s="36">
        <v>42.094862999999997</v>
      </c>
      <c r="C81" s="63">
        <v>524.34036700000001</v>
      </c>
      <c r="D81" s="301">
        <f t="shared" si="6"/>
        <v>2017</v>
      </c>
      <c r="E81" s="301" t="str">
        <f t="shared" si="7"/>
        <v>2</v>
      </c>
      <c r="F81" s="302"/>
      <c r="I81" s="802"/>
    </row>
    <row r="82" spans="1:9">
      <c r="A82" s="47">
        <v>42979</v>
      </c>
      <c r="B82" s="501">
        <v>45.021073999999992</v>
      </c>
      <c r="C82" s="292">
        <v>606.33826099999999</v>
      </c>
      <c r="D82" s="301">
        <f t="shared" si="6"/>
        <v>2017</v>
      </c>
      <c r="E82" s="301" t="str">
        <f t="shared" si="7"/>
        <v>3</v>
      </c>
      <c r="F82" s="302"/>
      <c r="I82" s="802"/>
    </row>
    <row r="83" spans="1:9">
      <c r="A83" s="47">
        <v>43070</v>
      </c>
      <c r="B83" s="36">
        <v>41.456310999999999</v>
      </c>
      <c r="C83" s="63">
        <v>644.62085100000002</v>
      </c>
      <c r="D83" s="301">
        <f t="shared" si="6"/>
        <v>2017</v>
      </c>
      <c r="E83" s="301" t="str">
        <f t="shared" si="7"/>
        <v>4</v>
      </c>
      <c r="F83" s="302"/>
      <c r="I83" s="802"/>
    </row>
    <row r="84" spans="1:9">
      <c r="A84" s="47">
        <v>43160</v>
      </c>
      <c r="B84" s="501">
        <v>36.993086000000005</v>
      </c>
      <c r="C84" s="292">
        <v>641.376036</v>
      </c>
      <c r="D84" s="301">
        <f t="shared" si="6"/>
        <v>2018</v>
      </c>
      <c r="E84" s="301" t="str">
        <f t="shared" si="7"/>
        <v>1</v>
      </c>
      <c r="F84" s="302"/>
      <c r="I84" s="802"/>
    </row>
    <row r="85" spans="1:9">
      <c r="A85" s="47">
        <v>43252</v>
      </c>
      <c r="B85" s="36">
        <v>39.903061000000001</v>
      </c>
      <c r="C85" s="63">
        <v>743.49472400000002</v>
      </c>
      <c r="D85" s="301">
        <f t="shared" si="6"/>
        <v>2018</v>
      </c>
      <c r="E85" s="301" t="str">
        <f t="shared" si="7"/>
        <v>2</v>
      </c>
      <c r="F85" s="302"/>
      <c r="I85" s="802"/>
    </row>
    <row r="86" spans="1:9">
      <c r="A86" s="47">
        <v>43344</v>
      </c>
      <c r="B86" s="501">
        <v>33.196140999999997</v>
      </c>
      <c r="C86" s="1528">
        <v>586.79589199999998</v>
      </c>
      <c r="D86" s="301">
        <f t="shared" si="6"/>
        <v>2018</v>
      </c>
      <c r="E86" s="301" t="str">
        <f t="shared" si="7"/>
        <v>3</v>
      </c>
      <c r="F86" s="302"/>
      <c r="I86" s="802"/>
    </row>
    <row r="87" spans="1:9">
      <c r="A87" s="47">
        <v>43435</v>
      </c>
      <c r="B87" s="36">
        <v>39.613717000000001</v>
      </c>
      <c r="C87" s="63">
        <v>644.59699799999999</v>
      </c>
      <c r="D87" s="301">
        <f t="shared" si="6"/>
        <v>2018</v>
      </c>
      <c r="E87" s="301" t="str">
        <f t="shared" si="7"/>
        <v>4</v>
      </c>
      <c r="F87" s="302"/>
      <c r="I87" s="802"/>
    </row>
    <row r="88" spans="1:9">
      <c r="A88" s="47">
        <v>43525</v>
      </c>
      <c r="B88" s="501">
        <v>37.137700000000002</v>
      </c>
      <c r="C88" s="1528">
        <v>651.67899599999998</v>
      </c>
      <c r="D88" s="301">
        <f t="shared" si="6"/>
        <v>2019</v>
      </c>
      <c r="E88" s="301" t="str">
        <f t="shared" si="7"/>
        <v>1</v>
      </c>
      <c r="F88" s="302"/>
      <c r="G88" s="874"/>
      <c r="H88" s="874"/>
      <c r="I88" s="802"/>
    </row>
    <row r="89" spans="1:9">
      <c r="A89" s="47">
        <v>43617</v>
      </c>
      <c r="B89" s="36">
        <v>44.435909999999993</v>
      </c>
      <c r="C89" s="63">
        <v>816.82622500000002</v>
      </c>
      <c r="D89" s="240">
        <v>2019</v>
      </c>
      <c r="E89" s="302" t="str">
        <f t="shared" si="7"/>
        <v>2</v>
      </c>
      <c r="F89" s="302"/>
      <c r="G89" s="1670"/>
      <c r="H89" s="1661"/>
      <c r="I89" s="802"/>
    </row>
    <row r="90" spans="1:9">
      <c r="A90" s="47">
        <v>43709</v>
      </c>
      <c r="B90" s="501">
        <v>40.445700000000002</v>
      </c>
      <c r="C90" s="1528">
        <v>939.07239000000004</v>
      </c>
      <c r="D90" s="301">
        <f t="shared" si="6"/>
        <v>2019</v>
      </c>
      <c r="E90" s="301" t="str">
        <f t="shared" si="7"/>
        <v>3</v>
      </c>
      <c r="F90" s="302"/>
      <c r="G90" s="874"/>
      <c r="H90" s="874"/>
      <c r="I90" s="802"/>
    </row>
    <row r="91" spans="1:9" ht="15.75" thickBot="1">
      <c r="A91" s="46">
        <v>43800</v>
      </c>
      <c r="B91" s="498">
        <v>31.904769999999999</v>
      </c>
      <c r="C91" s="70">
        <v>703.55750999999998</v>
      </c>
      <c r="D91" s="301">
        <f t="shared" si="6"/>
        <v>2019</v>
      </c>
      <c r="E91" s="301" t="str">
        <f t="shared" si="7"/>
        <v>4</v>
      </c>
      <c r="F91" s="302"/>
      <c r="I91" s="802"/>
    </row>
    <row r="92" spans="1:9">
      <c r="B92" s="802"/>
      <c r="C92" s="804"/>
      <c r="D92" s="301">
        <f t="shared" si="6"/>
        <v>1900</v>
      </c>
      <c r="E92" s="301" t="str">
        <f t="shared" si="7"/>
        <v>4</v>
      </c>
      <c r="F92" s="302"/>
      <c r="I92" s="802"/>
    </row>
    <row r="93" spans="1:9">
      <c r="B93" s="802"/>
      <c r="C93" s="804"/>
      <c r="D93" s="301">
        <f t="shared" si="6"/>
        <v>1900</v>
      </c>
      <c r="E93" s="301" t="str">
        <f t="shared" si="7"/>
        <v>4</v>
      </c>
      <c r="F93" s="302"/>
      <c r="I93" s="802"/>
    </row>
    <row r="94" spans="1:9">
      <c r="B94" s="802"/>
      <c r="C94" s="804"/>
      <c r="D94" s="301">
        <f t="shared" si="6"/>
        <v>1900</v>
      </c>
      <c r="E94" s="301" t="str">
        <f t="shared" si="7"/>
        <v>4</v>
      </c>
      <c r="F94" s="302"/>
      <c r="I94" s="802"/>
    </row>
    <row r="95" spans="1:9">
      <c r="B95" s="802"/>
      <c r="C95" s="804"/>
      <c r="D95" s="301">
        <f t="shared" si="6"/>
        <v>1900</v>
      </c>
      <c r="E95" s="301" t="str">
        <f t="shared" si="7"/>
        <v>4</v>
      </c>
      <c r="F95" s="302"/>
      <c r="I95" s="802"/>
    </row>
    <row r="96" spans="1:9">
      <c r="B96" s="802"/>
      <c r="C96" s="804"/>
      <c r="D96" s="301">
        <f t="shared" si="6"/>
        <v>1900</v>
      </c>
      <c r="E96" s="301" t="str">
        <f t="shared" si="7"/>
        <v>4</v>
      </c>
      <c r="F96" s="302"/>
      <c r="I96" s="802"/>
    </row>
    <row r="97" spans="2:9">
      <c r="B97" s="802"/>
      <c r="C97" s="804"/>
      <c r="D97" s="301">
        <f t="shared" si="6"/>
        <v>1900</v>
      </c>
      <c r="E97" s="301" t="str">
        <f t="shared" si="7"/>
        <v>4</v>
      </c>
      <c r="F97" s="302"/>
      <c r="I97" s="802"/>
    </row>
    <row r="98" spans="2:9">
      <c r="B98" s="802"/>
      <c r="C98" s="804"/>
      <c r="D98" s="301">
        <f t="shared" si="6"/>
        <v>1900</v>
      </c>
      <c r="E98" s="301" t="str">
        <f t="shared" si="7"/>
        <v>4</v>
      </c>
      <c r="F98" s="302"/>
      <c r="I98" s="802"/>
    </row>
    <row r="99" spans="2:9">
      <c r="B99" s="802"/>
      <c r="C99" s="804"/>
      <c r="D99" s="301">
        <f t="shared" si="6"/>
        <v>1900</v>
      </c>
      <c r="E99" s="301" t="str">
        <f t="shared" si="7"/>
        <v>4</v>
      </c>
      <c r="F99" s="302"/>
      <c r="I99" s="802"/>
    </row>
    <row r="100" spans="2:9">
      <c r="B100" s="802"/>
      <c r="C100" s="804"/>
      <c r="D100" s="301">
        <f t="shared" si="6"/>
        <v>1900</v>
      </c>
      <c r="E100" s="301" t="str">
        <f t="shared" si="7"/>
        <v>4</v>
      </c>
      <c r="F100" s="302"/>
      <c r="I100" s="802"/>
    </row>
    <row r="101" spans="2:9">
      <c r="B101" s="802"/>
      <c r="C101" s="804"/>
      <c r="D101" s="301">
        <f t="shared" si="6"/>
        <v>1900</v>
      </c>
      <c r="E101" s="301" t="str">
        <f t="shared" si="7"/>
        <v>4</v>
      </c>
      <c r="F101" s="302"/>
      <c r="I101" s="802"/>
    </row>
    <row r="102" spans="2:9">
      <c r="B102" s="802"/>
      <c r="C102" s="804"/>
      <c r="D102" s="301">
        <f t="shared" si="6"/>
        <v>1900</v>
      </c>
      <c r="E102" s="301" t="str">
        <f t="shared" si="7"/>
        <v>4</v>
      </c>
      <c r="F102" s="302"/>
      <c r="I102" s="802"/>
    </row>
    <row r="103" spans="2:9">
      <c r="B103" s="802"/>
      <c r="C103" s="804"/>
      <c r="D103" s="301">
        <f t="shared" si="6"/>
        <v>1900</v>
      </c>
      <c r="E103" s="301" t="str">
        <f t="shared" si="7"/>
        <v>4</v>
      </c>
      <c r="F103" s="302"/>
      <c r="I103" s="802"/>
    </row>
    <row r="104" spans="2:9">
      <c r="B104" s="802"/>
      <c r="C104" s="804"/>
      <c r="D104" s="301">
        <f t="shared" si="6"/>
        <v>1900</v>
      </c>
      <c r="E104" s="301" t="str">
        <f t="shared" si="7"/>
        <v>4</v>
      </c>
      <c r="F104" s="302"/>
      <c r="I104" s="802"/>
    </row>
    <row r="105" spans="2:9">
      <c r="B105" s="802"/>
      <c r="C105" s="804"/>
      <c r="D105" s="301">
        <f t="shared" si="6"/>
        <v>1900</v>
      </c>
      <c r="E105" s="301" t="str">
        <f t="shared" si="7"/>
        <v>4</v>
      </c>
      <c r="F105" s="302"/>
      <c r="I105" s="802"/>
    </row>
    <row r="106" spans="2:9">
      <c r="B106" s="802"/>
      <c r="C106" s="804"/>
      <c r="D106" s="301">
        <f t="shared" si="6"/>
        <v>1900</v>
      </c>
      <c r="E106" s="301" t="str">
        <f t="shared" si="7"/>
        <v>4</v>
      </c>
      <c r="F106" s="302"/>
      <c r="I106" s="802"/>
    </row>
    <row r="107" spans="2:9">
      <c r="B107" s="802"/>
      <c r="C107" s="804"/>
      <c r="D107" s="301">
        <f t="shared" si="6"/>
        <v>1900</v>
      </c>
      <c r="E107" s="301" t="str">
        <f t="shared" si="7"/>
        <v>4</v>
      </c>
      <c r="F107" s="302"/>
      <c r="I107" s="802"/>
    </row>
    <row r="108" spans="2:9">
      <c r="B108" s="802"/>
      <c r="C108" s="804"/>
      <c r="D108" s="301">
        <f t="shared" si="6"/>
        <v>1900</v>
      </c>
      <c r="E108" s="301" t="str">
        <f t="shared" si="7"/>
        <v>4</v>
      </c>
      <c r="F108" s="302"/>
      <c r="I108" s="802"/>
    </row>
    <row r="109" spans="2:9">
      <c r="B109" s="802"/>
      <c r="C109" s="804"/>
      <c r="D109" s="301">
        <f t="shared" si="6"/>
        <v>1900</v>
      </c>
      <c r="E109" s="301" t="str">
        <f t="shared" si="7"/>
        <v>4</v>
      </c>
      <c r="F109" s="302"/>
      <c r="I109" s="802"/>
    </row>
    <row r="110" spans="2:9">
      <c r="B110" s="802"/>
      <c r="C110" s="804"/>
      <c r="D110" s="301">
        <f t="shared" si="6"/>
        <v>1900</v>
      </c>
      <c r="E110" s="301" t="str">
        <f t="shared" si="7"/>
        <v>4</v>
      </c>
      <c r="F110" s="302"/>
      <c r="I110" s="802"/>
    </row>
    <row r="111" spans="2:9">
      <c r="B111" s="802"/>
      <c r="C111" s="804"/>
      <c r="D111" s="301">
        <f t="shared" si="6"/>
        <v>1900</v>
      </c>
      <c r="E111" s="301" t="str">
        <f t="shared" si="7"/>
        <v>4</v>
      </c>
      <c r="F111" s="302"/>
      <c r="I111" s="802"/>
    </row>
    <row r="112" spans="2:9">
      <c r="B112" s="802"/>
      <c r="C112" s="804"/>
      <c r="D112" s="301">
        <f t="shared" si="6"/>
        <v>1900</v>
      </c>
      <c r="E112" s="301" t="str">
        <f t="shared" si="7"/>
        <v>4</v>
      </c>
      <c r="F112" s="302"/>
      <c r="I112" s="802"/>
    </row>
    <row r="113" spans="2:9">
      <c r="B113" s="802"/>
      <c r="C113" s="804"/>
      <c r="D113" s="301">
        <f t="shared" si="6"/>
        <v>1900</v>
      </c>
      <c r="E113" s="301" t="str">
        <f t="shared" si="7"/>
        <v>4</v>
      </c>
      <c r="F113" s="302"/>
      <c r="I113" s="802"/>
    </row>
    <row r="114" spans="2:9">
      <c r="B114" s="802"/>
      <c r="C114" s="804"/>
      <c r="D114" s="301">
        <f t="shared" si="6"/>
        <v>1900</v>
      </c>
      <c r="E114" s="301" t="str">
        <f t="shared" si="7"/>
        <v>4</v>
      </c>
      <c r="F114" s="302"/>
      <c r="I114" s="802"/>
    </row>
    <row r="115" spans="2:9">
      <c r="B115" s="802"/>
      <c r="C115" s="804"/>
      <c r="D115" s="301">
        <f t="shared" si="6"/>
        <v>1900</v>
      </c>
      <c r="E115" s="301" t="str">
        <f t="shared" si="7"/>
        <v>4</v>
      </c>
      <c r="F115" s="302"/>
      <c r="I115" s="802"/>
    </row>
    <row r="116" spans="2:9">
      <c r="B116" s="802"/>
      <c r="C116" s="804"/>
      <c r="D116" s="301">
        <f t="shared" si="6"/>
        <v>1900</v>
      </c>
      <c r="E116" s="301" t="str">
        <f t="shared" si="7"/>
        <v>4</v>
      </c>
      <c r="F116" s="302"/>
      <c r="I116" s="802"/>
    </row>
    <row r="117" spans="2:9">
      <c r="B117" s="802"/>
      <c r="C117" s="804"/>
      <c r="D117" s="301">
        <f t="shared" si="6"/>
        <v>1900</v>
      </c>
      <c r="E117" s="301" t="str">
        <f t="shared" si="7"/>
        <v>4</v>
      </c>
      <c r="F117" s="302"/>
      <c r="I117" s="802"/>
    </row>
    <row r="118" spans="2:9">
      <c r="B118" s="802"/>
      <c r="C118" s="804"/>
      <c r="D118" s="301">
        <f t="shared" si="6"/>
        <v>1900</v>
      </c>
      <c r="E118" s="301" t="str">
        <f t="shared" si="7"/>
        <v>4</v>
      </c>
      <c r="F118" s="302"/>
      <c r="I118" s="802"/>
    </row>
    <row r="119" spans="2:9">
      <c r="B119" s="802"/>
      <c r="C119" s="804"/>
      <c r="D119" s="301">
        <f t="shared" si="6"/>
        <v>1900</v>
      </c>
      <c r="E119" s="301" t="str">
        <f t="shared" si="7"/>
        <v>4</v>
      </c>
      <c r="F119" s="302"/>
      <c r="I119" s="802"/>
    </row>
    <row r="120" spans="2:9">
      <c r="B120" s="802"/>
      <c r="C120" s="804"/>
      <c r="D120" s="301">
        <f t="shared" si="6"/>
        <v>1900</v>
      </c>
      <c r="E120" s="301" t="str">
        <f t="shared" si="7"/>
        <v>4</v>
      </c>
      <c r="F120" s="302"/>
      <c r="I120" s="802"/>
    </row>
    <row r="121" spans="2:9">
      <c r="B121" s="802"/>
      <c r="C121" s="804"/>
      <c r="D121" s="301">
        <f t="shared" si="6"/>
        <v>1900</v>
      </c>
      <c r="E121" s="301" t="str">
        <f t="shared" si="7"/>
        <v>4</v>
      </c>
      <c r="F121" s="302"/>
      <c r="I121" s="802"/>
    </row>
    <row r="122" spans="2:9">
      <c r="B122" s="802"/>
      <c r="C122" s="804"/>
      <c r="D122" s="301">
        <f t="shared" si="6"/>
        <v>1900</v>
      </c>
      <c r="E122" s="301" t="str">
        <f t="shared" si="7"/>
        <v>4</v>
      </c>
      <c r="F122" s="302"/>
      <c r="I122" s="802"/>
    </row>
    <row r="123" spans="2:9">
      <c r="B123" s="802"/>
      <c r="C123" s="804"/>
      <c r="D123" s="301">
        <f t="shared" si="6"/>
        <v>1900</v>
      </c>
      <c r="E123" s="301" t="str">
        <f t="shared" si="7"/>
        <v>4</v>
      </c>
      <c r="F123" s="302"/>
      <c r="I123" s="802"/>
    </row>
    <row r="124" spans="2:9">
      <c r="B124" s="802"/>
      <c r="C124" s="804"/>
      <c r="D124" s="301">
        <f t="shared" si="6"/>
        <v>1900</v>
      </c>
      <c r="E124" s="301" t="str">
        <f t="shared" si="7"/>
        <v>4</v>
      </c>
      <c r="F124" s="302"/>
      <c r="I124" s="802"/>
    </row>
    <row r="125" spans="2:9">
      <c r="B125" s="802"/>
      <c r="C125" s="804"/>
      <c r="D125" s="301">
        <f t="shared" si="6"/>
        <v>1900</v>
      </c>
      <c r="E125" s="301" t="str">
        <f t="shared" si="7"/>
        <v>4</v>
      </c>
      <c r="F125" s="302"/>
      <c r="I125" s="802"/>
    </row>
    <row r="126" spans="2:9">
      <c r="B126" s="802"/>
      <c r="C126" s="804"/>
      <c r="D126" s="301">
        <f t="shared" si="6"/>
        <v>1900</v>
      </c>
      <c r="E126" s="301" t="str">
        <f t="shared" si="7"/>
        <v>4</v>
      </c>
      <c r="F126" s="302"/>
      <c r="I126" s="802"/>
    </row>
    <row r="127" spans="2:9">
      <c r="B127" s="802"/>
      <c r="C127" s="804"/>
      <c r="D127" s="301">
        <f t="shared" si="6"/>
        <v>1900</v>
      </c>
      <c r="E127" s="301" t="str">
        <f t="shared" si="7"/>
        <v>4</v>
      </c>
      <c r="F127" s="302"/>
      <c r="I127" s="802"/>
    </row>
    <row r="128" spans="2:9">
      <c r="B128" s="802"/>
      <c r="C128" s="804"/>
      <c r="D128" s="301">
        <f t="shared" si="6"/>
        <v>1900</v>
      </c>
      <c r="E128" s="301" t="str">
        <f t="shared" si="7"/>
        <v>4</v>
      </c>
      <c r="F128" s="302"/>
      <c r="I128" s="802"/>
    </row>
    <row r="129" spans="2:9">
      <c r="B129" s="802"/>
      <c r="C129" s="804"/>
      <c r="D129" s="301">
        <f t="shared" si="6"/>
        <v>1900</v>
      </c>
      <c r="E129" s="301" t="str">
        <f t="shared" si="7"/>
        <v>4</v>
      </c>
      <c r="F129" s="302"/>
      <c r="I129" s="802"/>
    </row>
    <row r="130" spans="2:9">
      <c r="B130" s="802"/>
      <c r="C130" s="804"/>
      <c r="D130" s="301">
        <f t="shared" si="6"/>
        <v>1900</v>
      </c>
      <c r="E130" s="301" t="str">
        <f t="shared" si="7"/>
        <v>4</v>
      </c>
      <c r="F130" s="302"/>
      <c r="I130" s="802"/>
    </row>
    <row r="131" spans="2:9">
      <c r="B131" s="802"/>
      <c r="C131" s="804"/>
      <c r="D131" s="301">
        <f t="shared" si="6"/>
        <v>1900</v>
      </c>
      <c r="E131" s="301" t="str">
        <f t="shared" si="7"/>
        <v>4</v>
      </c>
      <c r="F131" s="302"/>
      <c r="I131" s="802"/>
    </row>
    <row r="132" spans="2:9">
      <c r="B132" s="802"/>
      <c r="C132" s="804"/>
      <c r="D132" s="301">
        <f t="shared" si="6"/>
        <v>1900</v>
      </c>
      <c r="E132" s="301" t="str">
        <f t="shared" si="7"/>
        <v>4</v>
      </c>
      <c r="F132" s="302"/>
      <c r="I132" s="802"/>
    </row>
    <row r="133" spans="2:9">
      <c r="B133" s="802"/>
      <c r="C133" s="804"/>
      <c r="D133" s="301">
        <f t="shared" si="6"/>
        <v>1900</v>
      </c>
      <c r="E133" s="301" t="str">
        <f t="shared" si="7"/>
        <v>4</v>
      </c>
      <c r="F133" s="302"/>
      <c r="I133" s="802"/>
    </row>
    <row r="134" spans="2:9">
      <c r="B134" s="802"/>
      <c r="C134" s="804"/>
      <c r="D134" s="301">
        <f t="shared" si="6"/>
        <v>1900</v>
      </c>
      <c r="E134" s="301" t="str">
        <f t="shared" si="7"/>
        <v>4</v>
      </c>
      <c r="F134" s="302"/>
      <c r="I134" s="802"/>
    </row>
    <row r="135" spans="2:9">
      <c r="B135" s="802"/>
      <c r="C135" s="804"/>
      <c r="D135" s="301">
        <f t="shared" si="6"/>
        <v>1900</v>
      </c>
      <c r="E135" s="301" t="str">
        <f t="shared" si="7"/>
        <v>4</v>
      </c>
      <c r="F135" s="302"/>
      <c r="I135" s="802"/>
    </row>
    <row r="136" spans="2:9">
      <c r="B136" s="802"/>
      <c r="C136" s="804"/>
      <c r="D136" s="301">
        <f t="shared" si="6"/>
        <v>1900</v>
      </c>
      <c r="E136" s="301" t="str">
        <f t="shared" si="7"/>
        <v>4</v>
      </c>
      <c r="F136" s="302"/>
      <c r="I136" s="802"/>
    </row>
    <row r="137" spans="2:9">
      <c r="B137" s="802"/>
      <c r="C137" s="804"/>
      <c r="D137" s="301">
        <f t="shared" si="6"/>
        <v>1900</v>
      </c>
      <c r="E137" s="301" t="str">
        <f t="shared" si="7"/>
        <v>4</v>
      </c>
      <c r="F137" s="302"/>
      <c r="I137" s="802"/>
    </row>
    <row r="138" spans="2:9">
      <c r="B138" s="802"/>
      <c r="C138" s="804"/>
      <c r="D138" s="301">
        <f t="shared" si="6"/>
        <v>1900</v>
      </c>
      <c r="E138" s="301" t="str">
        <f t="shared" si="7"/>
        <v>4</v>
      </c>
      <c r="F138" s="302"/>
      <c r="I138" s="802"/>
    </row>
    <row r="139" spans="2:9">
      <c r="B139" s="802"/>
      <c r="C139" s="804"/>
      <c r="D139" s="301">
        <f t="shared" si="6"/>
        <v>1900</v>
      </c>
      <c r="E139" s="301" t="str">
        <f t="shared" si="7"/>
        <v>4</v>
      </c>
      <c r="F139" s="302"/>
      <c r="I139" s="802"/>
    </row>
    <row r="140" spans="2:9">
      <c r="B140" s="802"/>
      <c r="C140" s="804"/>
      <c r="D140" s="301">
        <f t="shared" ref="D140:D203" si="8">YEAR(A140)</f>
        <v>1900</v>
      </c>
      <c r="E140" s="301" t="str">
        <f t="shared" ref="E140:E203" si="9">IF(MONTH(A140)=3,"1",IF(MONTH(A140)=6,"2",IF(MONTH(A140)=9,"3","4")))</f>
        <v>4</v>
      </c>
      <c r="F140" s="302"/>
      <c r="I140" s="802"/>
    </row>
    <row r="141" spans="2:9">
      <c r="B141" s="802"/>
      <c r="C141" s="804"/>
      <c r="D141" s="301">
        <f t="shared" si="8"/>
        <v>1900</v>
      </c>
      <c r="E141" s="301" t="str">
        <f t="shared" si="9"/>
        <v>4</v>
      </c>
      <c r="F141" s="302"/>
      <c r="I141" s="802"/>
    </row>
    <row r="142" spans="2:9">
      <c r="B142" s="802"/>
      <c r="C142" s="804"/>
      <c r="D142" s="301">
        <f t="shared" si="8"/>
        <v>1900</v>
      </c>
      <c r="E142" s="301" t="str">
        <f t="shared" si="9"/>
        <v>4</v>
      </c>
      <c r="F142" s="302"/>
      <c r="I142" s="802"/>
    </row>
    <row r="143" spans="2:9">
      <c r="B143" s="802"/>
      <c r="C143" s="804"/>
      <c r="D143" s="301">
        <f t="shared" si="8"/>
        <v>1900</v>
      </c>
      <c r="E143" s="301" t="str">
        <f t="shared" si="9"/>
        <v>4</v>
      </c>
      <c r="F143" s="302"/>
      <c r="I143" s="802"/>
    </row>
    <row r="144" spans="2:9">
      <c r="B144" s="802"/>
      <c r="C144" s="804"/>
      <c r="D144" s="301">
        <f t="shared" si="8"/>
        <v>1900</v>
      </c>
      <c r="E144" s="301" t="str">
        <f t="shared" si="9"/>
        <v>4</v>
      </c>
      <c r="F144" s="302"/>
      <c r="I144" s="802"/>
    </row>
    <row r="145" spans="2:9">
      <c r="B145" s="802"/>
      <c r="C145" s="804"/>
      <c r="D145" s="301">
        <f t="shared" si="8"/>
        <v>1900</v>
      </c>
      <c r="E145" s="301" t="str">
        <f t="shared" si="9"/>
        <v>4</v>
      </c>
      <c r="F145" s="302"/>
      <c r="I145" s="802"/>
    </row>
    <row r="146" spans="2:9">
      <c r="B146" s="802"/>
      <c r="C146" s="804"/>
      <c r="D146" s="301">
        <f t="shared" si="8"/>
        <v>1900</v>
      </c>
      <c r="E146" s="301" t="str">
        <f t="shared" si="9"/>
        <v>4</v>
      </c>
      <c r="F146" s="302"/>
      <c r="I146" s="802"/>
    </row>
    <row r="147" spans="2:9">
      <c r="B147" s="802"/>
      <c r="C147" s="804"/>
      <c r="D147" s="301">
        <f t="shared" si="8"/>
        <v>1900</v>
      </c>
      <c r="E147" s="301" t="str">
        <f t="shared" si="9"/>
        <v>4</v>
      </c>
      <c r="F147" s="302"/>
      <c r="I147" s="802"/>
    </row>
    <row r="148" spans="2:9">
      <c r="B148" s="802"/>
      <c r="C148" s="804"/>
      <c r="D148" s="301">
        <f t="shared" si="8"/>
        <v>1900</v>
      </c>
      <c r="E148" s="301" t="str">
        <f t="shared" si="9"/>
        <v>4</v>
      </c>
      <c r="F148" s="302"/>
      <c r="I148" s="802"/>
    </row>
    <row r="149" spans="2:9">
      <c r="B149" s="802"/>
      <c r="C149" s="804"/>
      <c r="D149" s="301">
        <f t="shared" si="8"/>
        <v>1900</v>
      </c>
      <c r="E149" s="301" t="str">
        <f t="shared" si="9"/>
        <v>4</v>
      </c>
      <c r="F149" s="302"/>
      <c r="I149" s="802"/>
    </row>
    <row r="150" spans="2:9">
      <c r="B150" s="802"/>
      <c r="C150" s="804"/>
      <c r="D150" s="301">
        <f t="shared" si="8"/>
        <v>1900</v>
      </c>
      <c r="E150" s="301" t="str">
        <f t="shared" si="9"/>
        <v>4</v>
      </c>
      <c r="F150" s="302"/>
      <c r="I150" s="802"/>
    </row>
    <row r="151" spans="2:9">
      <c r="B151" s="802"/>
      <c r="C151" s="804"/>
      <c r="D151" s="301">
        <f t="shared" si="8"/>
        <v>1900</v>
      </c>
      <c r="E151" s="301" t="str">
        <f t="shared" si="9"/>
        <v>4</v>
      </c>
      <c r="F151" s="302"/>
      <c r="I151" s="802"/>
    </row>
    <row r="152" spans="2:9">
      <c r="B152" s="802"/>
      <c r="C152" s="804"/>
      <c r="D152" s="301">
        <f t="shared" si="8"/>
        <v>1900</v>
      </c>
      <c r="E152" s="301" t="str">
        <f t="shared" si="9"/>
        <v>4</v>
      </c>
      <c r="F152" s="302"/>
      <c r="I152" s="802"/>
    </row>
    <row r="153" spans="2:9">
      <c r="B153" s="802"/>
      <c r="C153" s="804"/>
      <c r="D153" s="301">
        <f t="shared" si="8"/>
        <v>1900</v>
      </c>
      <c r="E153" s="301" t="str">
        <f t="shared" si="9"/>
        <v>4</v>
      </c>
      <c r="F153" s="302"/>
      <c r="I153" s="802"/>
    </row>
    <row r="154" spans="2:9">
      <c r="B154" s="802"/>
      <c r="C154" s="804"/>
      <c r="D154" s="301">
        <f t="shared" si="8"/>
        <v>1900</v>
      </c>
      <c r="E154" s="301" t="str">
        <f t="shared" si="9"/>
        <v>4</v>
      </c>
      <c r="F154" s="302"/>
      <c r="I154" s="802"/>
    </row>
    <row r="155" spans="2:9">
      <c r="B155" s="802"/>
      <c r="C155" s="804"/>
      <c r="D155" s="301">
        <f t="shared" si="8"/>
        <v>1900</v>
      </c>
      <c r="E155" s="301" t="str">
        <f t="shared" si="9"/>
        <v>4</v>
      </c>
      <c r="F155" s="302"/>
      <c r="I155" s="802"/>
    </row>
    <row r="156" spans="2:9">
      <c r="B156" s="802"/>
      <c r="C156" s="804"/>
      <c r="D156" s="301">
        <f t="shared" si="8"/>
        <v>1900</v>
      </c>
      <c r="E156" s="301" t="str">
        <f t="shared" si="9"/>
        <v>4</v>
      </c>
      <c r="F156" s="302"/>
      <c r="I156" s="802"/>
    </row>
    <row r="157" spans="2:9">
      <c r="B157" s="802"/>
      <c r="C157" s="804"/>
      <c r="D157" s="301">
        <f t="shared" si="8"/>
        <v>1900</v>
      </c>
      <c r="E157" s="301" t="str">
        <f t="shared" si="9"/>
        <v>4</v>
      </c>
      <c r="F157" s="302"/>
      <c r="I157" s="802"/>
    </row>
    <row r="158" spans="2:9">
      <c r="B158" s="802"/>
      <c r="C158" s="804"/>
      <c r="D158" s="301">
        <f t="shared" si="8"/>
        <v>1900</v>
      </c>
      <c r="E158" s="301" t="str">
        <f t="shared" si="9"/>
        <v>4</v>
      </c>
      <c r="F158" s="302"/>
      <c r="I158" s="802"/>
    </row>
    <row r="159" spans="2:9">
      <c r="B159" s="802"/>
      <c r="C159" s="804"/>
      <c r="D159" s="301">
        <f t="shared" si="8"/>
        <v>1900</v>
      </c>
      <c r="E159" s="301" t="str">
        <f t="shared" si="9"/>
        <v>4</v>
      </c>
      <c r="F159" s="302"/>
      <c r="I159" s="802"/>
    </row>
    <row r="160" spans="2:9">
      <c r="B160" s="802"/>
      <c r="C160" s="804"/>
      <c r="D160" s="301">
        <f t="shared" si="8"/>
        <v>1900</v>
      </c>
      <c r="E160" s="301" t="str">
        <f t="shared" si="9"/>
        <v>4</v>
      </c>
      <c r="F160" s="302"/>
      <c r="I160" s="802"/>
    </row>
    <row r="161" spans="2:9">
      <c r="B161" s="802"/>
      <c r="C161" s="804"/>
      <c r="D161" s="301">
        <f t="shared" si="8"/>
        <v>1900</v>
      </c>
      <c r="E161" s="301" t="str">
        <f t="shared" si="9"/>
        <v>4</v>
      </c>
      <c r="F161" s="302"/>
      <c r="I161" s="802"/>
    </row>
    <row r="162" spans="2:9">
      <c r="C162" s="804"/>
      <c r="D162" s="301">
        <f t="shared" si="8"/>
        <v>1900</v>
      </c>
      <c r="E162" s="301" t="str">
        <f t="shared" si="9"/>
        <v>4</v>
      </c>
      <c r="F162" s="302"/>
      <c r="I162" s="802"/>
    </row>
    <row r="163" spans="2:9">
      <c r="C163" s="804"/>
      <c r="D163" s="301">
        <f t="shared" si="8"/>
        <v>1900</v>
      </c>
      <c r="E163" s="301" t="str">
        <f t="shared" si="9"/>
        <v>4</v>
      </c>
      <c r="F163" s="302"/>
      <c r="I163" s="802"/>
    </row>
    <row r="164" spans="2:9">
      <c r="C164" s="804"/>
      <c r="D164" s="301">
        <f t="shared" si="8"/>
        <v>1900</v>
      </c>
      <c r="E164" s="301" t="str">
        <f t="shared" si="9"/>
        <v>4</v>
      </c>
      <c r="F164" s="302"/>
      <c r="I164" s="802"/>
    </row>
    <row r="165" spans="2:9">
      <c r="C165" s="804"/>
      <c r="D165" s="301">
        <f t="shared" si="8"/>
        <v>1900</v>
      </c>
      <c r="E165" s="301" t="str">
        <f t="shared" si="9"/>
        <v>4</v>
      </c>
      <c r="F165" s="302"/>
      <c r="I165" s="802"/>
    </row>
    <row r="166" spans="2:9">
      <c r="C166" s="804"/>
      <c r="D166" s="301">
        <f t="shared" si="8"/>
        <v>1900</v>
      </c>
      <c r="E166" s="301" t="str">
        <f t="shared" si="9"/>
        <v>4</v>
      </c>
      <c r="F166" s="302"/>
      <c r="I166" s="802"/>
    </row>
    <row r="167" spans="2:9">
      <c r="C167" s="804"/>
      <c r="D167" s="301">
        <f t="shared" si="8"/>
        <v>1900</v>
      </c>
      <c r="E167" s="301" t="str">
        <f t="shared" si="9"/>
        <v>4</v>
      </c>
      <c r="F167" s="302"/>
      <c r="I167" s="802"/>
    </row>
    <row r="168" spans="2:9">
      <c r="C168" s="804"/>
      <c r="D168" s="301">
        <f t="shared" si="8"/>
        <v>1900</v>
      </c>
      <c r="E168" s="301" t="str">
        <f t="shared" si="9"/>
        <v>4</v>
      </c>
      <c r="F168" s="302"/>
      <c r="I168" s="802"/>
    </row>
    <row r="169" spans="2:9">
      <c r="C169" s="804"/>
      <c r="D169" s="301">
        <f t="shared" si="8"/>
        <v>1900</v>
      </c>
      <c r="E169" s="301" t="str">
        <f t="shared" si="9"/>
        <v>4</v>
      </c>
      <c r="F169" s="302"/>
      <c r="I169" s="802"/>
    </row>
    <row r="170" spans="2:9">
      <c r="C170" s="804"/>
      <c r="D170" s="301">
        <f t="shared" si="8"/>
        <v>1900</v>
      </c>
      <c r="E170" s="301" t="str">
        <f t="shared" si="9"/>
        <v>4</v>
      </c>
      <c r="F170" s="302"/>
      <c r="I170" s="802"/>
    </row>
    <row r="171" spans="2:9">
      <c r="C171" s="804"/>
      <c r="D171" s="301">
        <f t="shared" si="8"/>
        <v>1900</v>
      </c>
      <c r="E171" s="301" t="str">
        <f t="shared" si="9"/>
        <v>4</v>
      </c>
      <c r="F171" s="302"/>
      <c r="I171" s="802"/>
    </row>
    <row r="172" spans="2:9">
      <c r="C172" s="804"/>
      <c r="D172" s="301">
        <f t="shared" si="8"/>
        <v>1900</v>
      </c>
      <c r="E172" s="301" t="str">
        <f t="shared" si="9"/>
        <v>4</v>
      </c>
      <c r="F172" s="302"/>
      <c r="I172" s="802"/>
    </row>
    <row r="173" spans="2:9">
      <c r="C173" s="804"/>
      <c r="D173" s="301">
        <f t="shared" si="8"/>
        <v>1900</v>
      </c>
      <c r="E173" s="301" t="str">
        <f t="shared" si="9"/>
        <v>4</v>
      </c>
      <c r="F173" s="302"/>
      <c r="I173" s="802"/>
    </row>
    <row r="174" spans="2:9">
      <c r="C174" s="804"/>
      <c r="D174" s="301">
        <f t="shared" si="8"/>
        <v>1900</v>
      </c>
      <c r="E174" s="301" t="str">
        <f t="shared" si="9"/>
        <v>4</v>
      </c>
      <c r="F174" s="302"/>
      <c r="I174" s="802"/>
    </row>
    <row r="175" spans="2:9">
      <c r="C175" s="804"/>
      <c r="D175" s="301">
        <f t="shared" si="8"/>
        <v>1900</v>
      </c>
      <c r="E175" s="301" t="str">
        <f t="shared" si="9"/>
        <v>4</v>
      </c>
      <c r="F175" s="302"/>
      <c r="I175" s="802"/>
    </row>
    <row r="176" spans="2:9">
      <c r="C176" s="804"/>
      <c r="D176" s="301">
        <f t="shared" si="8"/>
        <v>1900</v>
      </c>
      <c r="E176" s="301" t="str">
        <f t="shared" si="9"/>
        <v>4</v>
      </c>
      <c r="F176" s="302"/>
      <c r="I176" s="802"/>
    </row>
    <row r="177" spans="3:9">
      <c r="C177" s="804"/>
      <c r="D177" s="301">
        <f t="shared" si="8"/>
        <v>1900</v>
      </c>
      <c r="E177" s="301" t="str">
        <f t="shared" si="9"/>
        <v>4</v>
      </c>
      <c r="F177" s="302"/>
      <c r="I177" s="802"/>
    </row>
    <row r="178" spans="3:9">
      <c r="C178" s="804"/>
      <c r="D178" s="301">
        <f t="shared" si="8"/>
        <v>1900</v>
      </c>
      <c r="E178" s="301" t="str">
        <f t="shared" si="9"/>
        <v>4</v>
      </c>
      <c r="F178" s="302"/>
      <c r="I178" s="802"/>
    </row>
    <row r="179" spans="3:9">
      <c r="C179" s="804"/>
      <c r="D179" s="301">
        <f t="shared" si="8"/>
        <v>1900</v>
      </c>
      <c r="E179" s="301" t="str">
        <f t="shared" si="9"/>
        <v>4</v>
      </c>
      <c r="F179" s="302"/>
      <c r="I179" s="802"/>
    </row>
    <row r="180" spans="3:9">
      <c r="C180" s="804"/>
      <c r="D180" s="301">
        <f t="shared" si="8"/>
        <v>1900</v>
      </c>
      <c r="E180" s="301" t="str">
        <f t="shared" si="9"/>
        <v>4</v>
      </c>
      <c r="F180" s="302"/>
      <c r="I180" s="802"/>
    </row>
    <row r="181" spans="3:9">
      <c r="C181" s="804"/>
      <c r="D181" s="301">
        <f t="shared" si="8"/>
        <v>1900</v>
      </c>
      <c r="E181" s="301" t="str">
        <f t="shared" si="9"/>
        <v>4</v>
      </c>
      <c r="F181" s="302"/>
      <c r="I181" s="802"/>
    </row>
    <row r="182" spans="3:9">
      <c r="C182" s="804"/>
      <c r="D182" s="301">
        <f t="shared" si="8"/>
        <v>1900</v>
      </c>
      <c r="E182" s="301" t="str">
        <f t="shared" si="9"/>
        <v>4</v>
      </c>
      <c r="F182" s="302"/>
      <c r="I182" s="802"/>
    </row>
    <row r="183" spans="3:9">
      <c r="C183" s="804"/>
      <c r="D183" s="301">
        <f t="shared" si="8"/>
        <v>1900</v>
      </c>
      <c r="E183" s="301" t="str">
        <f t="shared" si="9"/>
        <v>4</v>
      </c>
      <c r="F183" s="302"/>
      <c r="I183" s="802"/>
    </row>
    <row r="184" spans="3:9">
      <c r="C184" s="804"/>
      <c r="D184" s="301">
        <f t="shared" si="8"/>
        <v>1900</v>
      </c>
      <c r="E184" s="301" t="str">
        <f t="shared" si="9"/>
        <v>4</v>
      </c>
      <c r="F184" s="302"/>
      <c r="I184" s="802"/>
    </row>
    <row r="185" spans="3:9">
      <c r="C185" s="804"/>
      <c r="D185" s="301">
        <f t="shared" si="8"/>
        <v>1900</v>
      </c>
      <c r="E185" s="301" t="str">
        <f t="shared" si="9"/>
        <v>4</v>
      </c>
      <c r="F185" s="302"/>
      <c r="I185" s="802"/>
    </row>
    <row r="186" spans="3:9">
      <c r="C186" s="804"/>
      <c r="D186" s="301">
        <f t="shared" si="8"/>
        <v>1900</v>
      </c>
      <c r="E186" s="301" t="str">
        <f t="shared" si="9"/>
        <v>4</v>
      </c>
      <c r="F186" s="302"/>
      <c r="I186" s="802"/>
    </row>
    <row r="187" spans="3:9">
      <c r="C187" s="804"/>
      <c r="D187" s="301">
        <f t="shared" si="8"/>
        <v>1900</v>
      </c>
      <c r="E187" s="301" t="str">
        <f t="shared" si="9"/>
        <v>4</v>
      </c>
      <c r="F187" s="302"/>
      <c r="I187" s="802"/>
    </row>
    <row r="188" spans="3:9">
      <c r="C188" s="804"/>
      <c r="D188" s="301">
        <f t="shared" si="8"/>
        <v>1900</v>
      </c>
      <c r="E188" s="301" t="str">
        <f t="shared" si="9"/>
        <v>4</v>
      </c>
      <c r="F188" s="302"/>
      <c r="I188" s="802"/>
    </row>
    <row r="189" spans="3:9">
      <c r="C189" s="804"/>
      <c r="D189" s="301">
        <f t="shared" si="8"/>
        <v>1900</v>
      </c>
      <c r="E189" s="301" t="str">
        <f t="shared" si="9"/>
        <v>4</v>
      </c>
      <c r="F189" s="302"/>
      <c r="I189" s="802"/>
    </row>
    <row r="190" spans="3:9">
      <c r="C190" s="804"/>
      <c r="D190" s="301">
        <f t="shared" si="8"/>
        <v>1900</v>
      </c>
      <c r="E190" s="301" t="str">
        <f t="shared" si="9"/>
        <v>4</v>
      </c>
      <c r="F190" s="302"/>
      <c r="I190" s="802"/>
    </row>
    <row r="191" spans="3:9">
      <c r="C191" s="804"/>
      <c r="D191" s="301">
        <f t="shared" si="8"/>
        <v>1900</v>
      </c>
      <c r="E191" s="301" t="str">
        <f t="shared" si="9"/>
        <v>4</v>
      </c>
      <c r="F191" s="302"/>
      <c r="I191" s="802"/>
    </row>
    <row r="192" spans="3:9">
      <c r="C192" s="804"/>
      <c r="D192" s="301">
        <f t="shared" si="8"/>
        <v>1900</v>
      </c>
      <c r="E192" s="301" t="str">
        <f t="shared" si="9"/>
        <v>4</v>
      </c>
      <c r="F192" s="302"/>
      <c r="I192" s="802"/>
    </row>
    <row r="193" spans="3:9">
      <c r="C193" s="804"/>
      <c r="D193" s="301">
        <f t="shared" si="8"/>
        <v>1900</v>
      </c>
      <c r="E193" s="301" t="str">
        <f t="shared" si="9"/>
        <v>4</v>
      </c>
      <c r="F193" s="302"/>
      <c r="I193" s="802"/>
    </row>
    <row r="194" spans="3:9">
      <c r="C194" s="804"/>
      <c r="D194" s="301">
        <f t="shared" si="8"/>
        <v>1900</v>
      </c>
      <c r="E194" s="301" t="str">
        <f t="shared" si="9"/>
        <v>4</v>
      </c>
      <c r="F194" s="302"/>
      <c r="I194" s="802"/>
    </row>
    <row r="195" spans="3:9">
      <c r="C195" s="804"/>
      <c r="D195" s="301">
        <f t="shared" si="8"/>
        <v>1900</v>
      </c>
      <c r="E195" s="301" t="str">
        <f t="shared" si="9"/>
        <v>4</v>
      </c>
      <c r="F195" s="302"/>
      <c r="I195" s="802"/>
    </row>
    <row r="196" spans="3:9">
      <c r="C196" s="804"/>
      <c r="D196" s="301">
        <f t="shared" si="8"/>
        <v>1900</v>
      </c>
      <c r="E196" s="301" t="str">
        <f t="shared" si="9"/>
        <v>4</v>
      </c>
      <c r="F196" s="302"/>
      <c r="I196" s="802"/>
    </row>
    <row r="197" spans="3:9">
      <c r="C197" s="804"/>
      <c r="D197" s="301">
        <f t="shared" si="8"/>
        <v>1900</v>
      </c>
      <c r="E197" s="301" t="str">
        <f t="shared" si="9"/>
        <v>4</v>
      </c>
      <c r="F197" s="302"/>
      <c r="I197" s="802"/>
    </row>
    <row r="198" spans="3:9">
      <c r="C198" s="804"/>
      <c r="D198" s="301">
        <f t="shared" si="8"/>
        <v>1900</v>
      </c>
      <c r="E198" s="301" t="str">
        <f t="shared" si="9"/>
        <v>4</v>
      </c>
      <c r="F198" s="302"/>
      <c r="I198" s="802"/>
    </row>
    <row r="199" spans="3:9">
      <c r="C199" s="804"/>
      <c r="D199" s="301">
        <f t="shared" si="8"/>
        <v>1900</v>
      </c>
      <c r="E199" s="301" t="str">
        <f t="shared" si="9"/>
        <v>4</v>
      </c>
      <c r="F199" s="302"/>
      <c r="I199" s="802"/>
    </row>
    <row r="200" spans="3:9">
      <c r="C200" s="804"/>
      <c r="D200" s="301">
        <f t="shared" si="8"/>
        <v>1900</v>
      </c>
      <c r="E200" s="301" t="str">
        <f t="shared" si="9"/>
        <v>4</v>
      </c>
      <c r="F200" s="302"/>
      <c r="I200" s="802"/>
    </row>
    <row r="201" spans="3:9">
      <c r="C201" s="804"/>
      <c r="D201" s="301">
        <f t="shared" si="8"/>
        <v>1900</v>
      </c>
      <c r="E201" s="301" t="str">
        <f t="shared" si="9"/>
        <v>4</v>
      </c>
      <c r="F201" s="302"/>
      <c r="I201" s="802"/>
    </row>
    <row r="202" spans="3:9">
      <c r="C202" s="804"/>
      <c r="D202" s="301">
        <f t="shared" si="8"/>
        <v>1900</v>
      </c>
      <c r="E202" s="301" t="str">
        <f t="shared" si="9"/>
        <v>4</v>
      </c>
      <c r="F202" s="302"/>
      <c r="I202" s="802"/>
    </row>
    <row r="203" spans="3:9">
      <c r="C203" s="804"/>
      <c r="D203" s="301">
        <f t="shared" si="8"/>
        <v>1900</v>
      </c>
      <c r="E203" s="301" t="str">
        <f t="shared" si="9"/>
        <v>4</v>
      </c>
      <c r="F203" s="302"/>
      <c r="I203" s="802"/>
    </row>
    <row r="204" spans="3:9">
      <c r="C204" s="804"/>
      <c r="D204" s="301">
        <f t="shared" ref="D204:D250" si="10">YEAR(A204)</f>
        <v>1900</v>
      </c>
      <c r="E204" s="301" t="str">
        <f t="shared" ref="E204:E250" si="11">IF(MONTH(A204)=3,"1",IF(MONTH(A204)=6,"2",IF(MONTH(A204)=9,"3","4")))</f>
        <v>4</v>
      </c>
      <c r="F204" s="302"/>
      <c r="I204" s="802"/>
    </row>
    <row r="205" spans="3:9">
      <c r="C205" s="804"/>
      <c r="D205" s="301">
        <f t="shared" si="10"/>
        <v>1900</v>
      </c>
      <c r="E205" s="301" t="str">
        <f t="shared" si="11"/>
        <v>4</v>
      </c>
      <c r="F205" s="302"/>
      <c r="I205" s="802"/>
    </row>
    <row r="206" spans="3:9">
      <c r="C206" s="804"/>
      <c r="D206" s="301">
        <f t="shared" si="10"/>
        <v>1900</v>
      </c>
      <c r="E206" s="301" t="str">
        <f t="shared" si="11"/>
        <v>4</v>
      </c>
      <c r="F206" s="302"/>
      <c r="I206" s="802"/>
    </row>
    <row r="207" spans="3:9">
      <c r="C207" s="804"/>
      <c r="D207" s="301">
        <f t="shared" si="10"/>
        <v>1900</v>
      </c>
      <c r="E207" s="301" t="str">
        <f t="shared" si="11"/>
        <v>4</v>
      </c>
      <c r="F207" s="302"/>
      <c r="I207" s="802"/>
    </row>
    <row r="208" spans="3:9">
      <c r="C208" s="804"/>
      <c r="D208" s="301">
        <f t="shared" si="10"/>
        <v>1900</v>
      </c>
      <c r="E208" s="301" t="str">
        <f t="shared" si="11"/>
        <v>4</v>
      </c>
      <c r="F208" s="302"/>
      <c r="I208" s="802"/>
    </row>
    <row r="209" spans="3:9">
      <c r="C209" s="804"/>
      <c r="D209" s="301">
        <f t="shared" si="10"/>
        <v>1900</v>
      </c>
      <c r="E209" s="301" t="str">
        <f t="shared" si="11"/>
        <v>4</v>
      </c>
      <c r="F209" s="302"/>
      <c r="I209" s="802"/>
    </row>
    <row r="210" spans="3:9">
      <c r="C210" s="804"/>
      <c r="D210" s="301">
        <f t="shared" si="10"/>
        <v>1900</v>
      </c>
      <c r="E210" s="301" t="str">
        <f t="shared" si="11"/>
        <v>4</v>
      </c>
      <c r="F210" s="302"/>
      <c r="I210" s="802"/>
    </row>
    <row r="211" spans="3:9">
      <c r="C211" s="804"/>
      <c r="D211" s="301">
        <f t="shared" si="10"/>
        <v>1900</v>
      </c>
      <c r="E211" s="301" t="str">
        <f t="shared" si="11"/>
        <v>4</v>
      </c>
      <c r="F211" s="302"/>
      <c r="I211" s="802"/>
    </row>
    <row r="212" spans="3:9">
      <c r="C212" s="804"/>
      <c r="D212" s="301">
        <f t="shared" si="10"/>
        <v>1900</v>
      </c>
      <c r="E212" s="301" t="str">
        <f t="shared" si="11"/>
        <v>4</v>
      </c>
      <c r="F212" s="302"/>
      <c r="I212" s="802"/>
    </row>
    <row r="213" spans="3:9">
      <c r="C213" s="804"/>
      <c r="D213" s="301">
        <f t="shared" si="10"/>
        <v>1900</v>
      </c>
      <c r="E213" s="301" t="str">
        <f t="shared" si="11"/>
        <v>4</v>
      </c>
      <c r="F213" s="302"/>
      <c r="I213" s="802"/>
    </row>
    <row r="214" spans="3:9">
      <c r="C214" s="804"/>
      <c r="D214" s="301">
        <f t="shared" si="10"/>
        <v>1900</v>
      </c>
      <c r="E214" s="301" t="str">
        <f t="shared" si="11"/>
        <v>4</v>
      </c>
      <c r="F214" s="302"/>
      <c r="I214" s="802"/>
    </row>
    <row r="215" spans="3:9">
      <c r="C215" s="804"/>
      <c r="D215" s="301">
        <f t="shared" si="10"/>
        <v>1900</v>
      </c>
      <c r="E215" s="301" t="str">
        <f t="shared" si="11"/>
        <v>4</v>
      </c>
      <c r="F215" s="302"/>
      <c r="I215" s="802"/>
    </row>
    <row r="216" spans="3:9">
      <c r="C216" s="804"/>
      <c r="D216" s="301">
        <f t="shared" si="10"/>
        <v>1900</v>
      </c>
      <c r="E216" s="301" t="str">
        <f t="shared" si="11"/>
        <v>4</v>
      </c>
      <c r="F216" s="302"/>
      <c r="I216" s="802"/>
    </row>
    <row r="217" spans="3:9">
      <c r="C217" s="804"/>
      <c r="D217" s="301">
        <f t="shared" si="10"/>
        <v>1900</v>
      </c>
      <c r="E217" s="301" t="str">
        <f t="shared" si="11"/>
        <v>4</v>
      </c>
      <c r="F217" s="302"/>
      <c r="I217" s="802"/>
    </row>
    <row r="218" spans="3:9">
      <c r="C218" s="804"/>
      <c r="D218" s="301">
        <f t="shared" si="10"/>
        <v>1900</v>
      </c>
      <c r="E218" s="301" t="str">
        <f t="shared" si="11"/>
        <v>4</v>
      </c>
      <c r="F218" s="302"/>
      <c r="I218" s="802"/>
    </row>
    <row r="219" spans="3:9">
      <c r="C219" s="804"/>
      <c r="D219" s="301">
        <f t="shared" si="10"/>
        <v>1900</v>
      </c>
      <c r="E219" s="301" t="str">
        <f t="shared" si="11"/>
        <v>4</v>
      </c>
      <c r="F219" s="302"/>
      <c r="I219" s="802"/>
    </row>
    <row r="220" spans="3:9">
      <c r="C220" s="804"/>
      <c r="D220" s="301">
        <f t="shared" si="10"/>
        <v>1900</v>
      </c>
      <c r="E220" s="301" t="str">
        <f t="shared" si="11"/>
        <v>4</v>
      </c>
      <c r="F220" s="302"/>
      <c r="I220" s="802"/>
    </row>
    <row r="221" spans="3:9">
      <c r="C221" s="804"/>
      <c r="D221" s="301">
        <f t="shared" si="10"/>
        <v>1900</v>
      </c>
      <c r="E221" s="301" t="str">
        <f t="shared" si="11"/>
        <v>4</v>
      </c>
      <c r="F221" s="302"/>
      <c r="I221" s="802"/>
    </row>
    <row r="222" spans="3:9">
      <c r="C222" s="804"/>
      <c r="D222" s="301">
        <f t="shared" si="10"/>
        <v>1900</v>
      </c>
      <c r="E222" s="301" t="str">
        <f t="shared" si="11"/>
        <v>4</v>
      </c>
      <c r="F222" s="302"/>
      <c r="I222" s="802"/>
    </row>
    <row r="223" spans="3:9">
      <c r="C223" s="804"/>
      <c r="D223" s="301">
        <f t="shared" si="10"/>
        <v>1900</v>
      </c>
      <c r="E223" s="301" t="str">
        <f t="shared" si="11"/>
        <v>4</v>
      </c>
      <c r="F223" s="302"/>
      <c r="I223" s="802"/>
    </row>
    <row r="224" spans="3:9">
      <c r="C224" s="804"/>
      <c r="D224" s="301">
        <f t="shared" si="10"/>
        <v>1900</v>
      </c>
      <c r="E224" s="301" t="str">
        <f t="shared" si="11"/>
        <v>4</v>
      </c>
      <c r="F224" s="302"/>
      <c r="I224" s="802"/>
    </row>
    <row r="225" spans="3:9">
      <c r="C225" s="804"/>
      <c r="D225" s="301">
        <f t="shared" si="10"/>
        <v>1900</v>
      </c>
      <c r="E225" s="301" t="str">
        <f t="shared" si="11"/>
        <v>4</v>
      </c>
      <c r="F225" s="302"/>
      <c r="I225" s="802"/>
    </row>
    <row r="226" spans="3:9">
      <c r="C226" s="804"/>
      <c r="D226" s="301">
        <f t="shared" si="10"/>
        <v>1900</v>
      </c>
      <c r="E226" s="301" t="str">
        <f t="shared" si="11"/>
        <v>4</v>
      </c>
      <c r="F226" s="302"/>
      <c r="I226" s="802"/>
    </row>
    <row r="227" spans="3:9">
      <c r="C227" s="804"/>
      <c r="D227" s="301">
        <f t="shared" si="10"/>
        <v>1900</v>
      </c>
      <c r="E227" s="301" t="str">
        <f t="shared" si="11"/>
        <v>4</v>
      </c>
      <c r="F227" s="302"/>
      <c r="I227" s="802"/>
    </row>
    <row r="228" spans="3:9">
      <c r="C228" s="804"/>
      <c r="D228" s="301">
        <f t="shared" si="10"/>
        <v>1900</v>
      </c>
      <c r="E228" s="301" t="str">
        <f t="shared" si="11"/>
        <v>4</v>
      </c>
      <c r="F228" s="302"/>
      <c r="I228" s="802"/>
    </row>
    <row r="229" spans="3:9">
      <c r="C229" s="804"/>
      <c r="D229" s="301">
        <f t="shared" si="10"/>
        <v>1900</v>
      </c>
      <c r="E229" s="301" t="str">
        <f t="shared" si="11"/>
        <v>4</v>
      </c>
      <c r="F229" s="302"/>
      <c r="I229" s="802"/>
    </row>
    <row r="230" spans="3:9">
      <c r="C230" s="804"/>
      <c r="D230" s="301">
        <f t="shared" si="10"/>
        <v>1900</v>
      </c>
      <c r="E230" s="301" t="str">
        <f t="shared" si="11"/>
        <v>4</v>
      </c>
      <c r="F230" s="302"/>
      <c r="I230" s="802"/>
    </row>
    <row r="231" spans="3:9">
      <c r="C231" s="804"/>
      <c r="D231" s="301">
        <f t="shared" si="10"/>
        <v>1900</v>
      </c>
      <c r="E231" s="301" t="str">
        <f t="shared" si="11"/>
        <v>4</v>
      </c>
      <c r="F231" s="302"/>
      <c r="I231" s="802"/>
    </row>
    <row r="232" spans="3:9">
      <c r="C232" s="804"/>
      <c r="D232" s="301">
        <f t="shared" si="10"/>
        <v>1900</v>
      </c>
      <c r="E232" s="301" t="str">
        <f t="shared" si="11"/>
        <v>4</v>
      </c>
      <c r="F232" s="302"/>
      <c r="I232" s="802"/>
    </row>
    <row r="233" spans="3:9">
      <c r="C233" s="804"/>
      <c r="D233" s="301">
        <f t="shared" si="10"/>
        <v>1900</v>
      </c>
      <c r="E233" s="301" t="str">
        <f t="shared" si="11"/>
        <v>4</v>
      </c>
      <c r="F233" s="302"/>
      <c r="I233" s="802"/>
    </row>
    <row r="234" spans="3:9">
      <c r="C234" s="804"/>
      <c r="D234" s="301">
        <f t="shared" si="10"/>
        <v>1900</v>
      </c>
      <c r="E234" s="301" t="str">
        <f t="shared" si="11"/>
        <v>4</v>
      </c>
      <c r="F234" s="302"/>
      <c r="I234" s="802"/>
    </row>
    <row r="235" spans="3:9">
      <c r="C235" s="804"/>
      <c r="D235" s="301">
        <f t="shared" si="10"/>
        <v>1900</v>
      </c>
      <c r="E235" s="301" t="str">
        <f t="shared" si="11"/>
        <v>4</v>
      </c>
      <c r="F235" s="302"/>
      <c r="I235" s="802"/>
    </row>
    <row r="236" spans="3:9">
      <c r="C236" s="804"/>
      <c r="D236" s="301">
        <f t="shared" si="10"/>
        <v>1900</v>
      </c>
      <c r="E236" s="301" t="str">
        <f t="shared" si="11"/>
        <v>4</v>
      </c>
      <c r="F236" s="302"/>
      <c r="I236" s="802"/>
    </row>
    <row r="237" spans="3:9">
      <c r="C237" s="804"/>
      <c r="D237" s="301">
        <f t="shared" si="10"/>
        <v>1900</v>
      </c>
      <c r="E237" s="301" t="str">
        <f t="shared" si="11"/>
        <v>4</v>
      </c>
      <c r="F237" s="302"/>
      <c r="I237" s="802"/>
    </row>
    <row r="238" spans="3:9">
      <c r="C238" s="804"/>
      <c r="D238" s="301">
        <f t="shared" si="10"/>
        <v>1900</v>
      </c>
      <c r="E238" s="301" t="str">
        <f t="shared" si="11"/>
        <v>4</v>
      </c>
      <c r="F238" s="302"/>
      <c r="I238" s="802"/>
    </row>
    <row r="239" spans="3:9">
      <c r="C239" s="804"/>
      <c r="D239" s="301">
        <f t="shared" si="10"/>
        <v>1900</v>
      </c>
      <c r="E239" s="301" t="str">
        <f t="shared" si="11"/>
        <v>4</v>
      </c>
      <c r="F239" s="302"/>
      <c r="I239" s="802"/>
    </row>
    <row r="240" spans="3:9">
      <c r="C240" s="804"/>
      <c r="D240" s="301">
        <f t="shared" si="10"/>
        <v>1900</v>
      </c>
      <c r="E240" s="301" t="str">
        <f t="shared" si="11"/>
        <v>4</v>
      </c>
      <c r="F240" s="302"/>
      <c r="I240" s="802"/>
    </row>
    <row r="241" spans="3:9">
      <c r="C241" s="804"/>
      <c r="D241" s="301">
        <f t="shared" si="10"/>
        <v>1900</v>
      </c>
      <c r="E241" s="301" t="str">
        <f t="shared" si="11"/>
        <v>4</v>
      </c>
      <c r="F241" s="302"/>
      <c r="I241" s="802"/>
    </row>
    <row r="242" spans="3:9">
      <c r="C242" s="804"/>
      <c r="D242" s="301">
        <f t="shared" si="10"/>
        <v>1900</v>
      </c>
      <c r="E242" s="301" t="str">
        <f t="shared" si="11"/>
        <v>4</v>
      </c>
      <c r="F242" s="302"/>
      <c r="I242" s="802"/>
    </row>
    <row r="243" spans="3:9">
      <c r="C243" s="804"/>
      <c r="D243" s="301">
        <f t="shared" si="10"/>
        <v>1900</v>
      </c>
      <c r="E243" s="301" t="str">
        <f t="shared" si="11"/>
        <v>4</v>
      </c>
      <c r="F243" s="302"/>
      <c r="I243" s="802"/>
    </row>
    <row r="244" spans="3:9">
      <c r="C244" s="804"/>
      <c r="D244" s="301">
        <f t="shared" si="10"/>
        <v>1900</v>
      </c>
      <c r="E244" s="301" t="str">
        <f t="shared" si="11"/>
        <v>4</v>
      </c>
      <c r="F244" s="302"/>
      <c r="I244" s="802"/>
    </row>
    <row r="245" spans="3:9">
      <c r="C245" s="804"/>
      <c r="D245" s="301">
        <f t="shared" si="10"/>
        <v>1900</v>
      </c>
      <c r="E245" s="301" t="str">
        <f t="shared" si="11"/>
        <v>4</v>
      </c>
      <c r="F245" s="302"/>
      <c r="I245" s="802"/>
    </row>
    <row r="246" spans="3:9">
      <c r="C246" s="804"/>
      <c r="D246" s="301">
        <f t="shared" si="10"/>
        <v>1900</v>
      </c>
      <c r="E246" s="301" t="str">
        <f t="shared" si="11"/>
        <v>4</v>
      </c>
      <c r="F246" s="302"/>
      <c r="I246" s="802"/>
    </row>
    <row r="247" spans="3:9">
      <c r="C247" s="804"/>
      <c r="D247" s="301">
        <f t="shared" si="10"/>
        <v>1900</v>
      </c>
      <c r="E247" s="301" t="str">
        <f t="shared" si="11"/>
        <v>4</v>
      </c>
      <c r="F247" s="302"/>
      <c r="I247" s="802"/>
    </row>
    <row r="248" spans="3:9">
      <c r="C248" s="804"/>
      <c r="D248" s="301">
        <f t="shared" si="10"/>
        <v>1900</v>
      </c>
      <c r="E248" s="301" t="str">
        <f t="shared" si="11"/>
        <v>4</v>
      </c>
      <c r="F248" s="302"/>
      <c r="I248" s="802"/>
    </row>
    <row r="249" spans="3:9">
      <c r="C249" s="804"/>
      <c r="D249" s="301">
        <f t="shared" si="10"/>
        <v>1900</v>
      </c>
      <c r="E249" s="301" t="str">
        <f t="shared" si="11"/>
        <v>4</v>
      </c>
      <c r="F249" s="302"/>
      <c r="I249" s="802"/>
    </row>
    <row r="250" spans="3:9">
      <c r="C250" s="804"/>
      <c r="D250" s="301">
        <f t="shared" si="10"/>
        <v>1900</v>
      </c>
      <c r="E250" s="301" t="str">
        <f t="shared" si="11"/>
        <v>4</v>
      </c>
      <c r="F250" s="302"/>
      <c r="I250" s="802"/>
    </row>
    <row r="251" spans="3:9">
      <c r="C251" s="804"/>
      <c r="D251" s="805"/>
      <c r="E251" s="805"/>
      <c r="F251" s="805"/>
    </row>
    <row r="252" spans="3:9">
      <c r="C252" s="804"/>
      <c r="D252" s="805"/>
      <c r="E252" s="805"/>
      <c r="F252" s="805"/>
    </row>
    <row r="253" spans="3:9">
      <c r="C253" s="804"/>
      <c r="D253" s="805"/>
      <c r="E253" s="805"/>
      <c r="F253" s="805"/>
    </row>
    <row r="254" spans="3:9">
      <c r="C254" s="804"/>
      <c r="D254" s="805"/>
      <c r="E254" s="805"/>
      <c r="F254" s="805"/>
    </row>
    <row r="255" spans="3:9">
      <c r="C255" s="804"/>
      <c r="D255" s="805"/>
      <c r="E255" s="805"/>
      <c r="F255" s="805"/>
    </row>
    <row r="256" spans="3:9">
      <c r="C256" s="804"/>
      <c r="D256" s="805"/>
      <c r="E256" s="805"/>
      <c r="F256" s="805"/>
    </row>
    <row r="257" spans="3:6">
      <c r="C257" s="804"/>
      <c r="D257" s="805"/>
      <c r="E257" s="805"/>
      <c r="F257" s="805"/>
    </row>
    <row r="258" spans="3:6">
      <c r="C258" s="804"/>
      <c r="D258" s="805"/>
      <c r="E258" s="805"/>
      <c r="F258" s="805"/>
    </row>
    <row r="259" spans="3:6">
      <c r="C259" s="804"/>
      <c r="D259" s="805"/>
      <c r="E259" s="805"/>
      <c r="F259" s="805"/>
    </row>
    <row r="260" spans="3:6">
      <c r="C260" s="804"/>
      <c r="D260" s="805"/>
      <c r="E260" s="805"/>
      <c r="F260" s="805"/>
    </row>
    <row r="261" spans="3:6">
      <c r="C261" s="804"/>
      <c r="D261" s="805"/>
      <c r="E261" s="805"/>
      <c r="F261" s="805"/>
    </row>
    <row r="262" spans="3:6">
      <c r="C262" s="804"/>
      <c r="D262" s="805"/>
      <c r="E262" s="805"/>
      <c r="F262" s="805"/>
    </row>
    <row r="263" spans="3:6">
      <c r="C263" s="804"/>
      <c r="D263" s="805"/>
      <c r="E263" s="805"/>
      <c r="F263" s="805"/>
    </row>
    <row r="264" spans="3:6">
      <c r="C264" s="804"/>
      <c r="D264" s="805"/>
      <c r="E264" s="805"/>
      <c r="F264" s="805"/>
    </row>
    <row r="265" spans="3:6">
      <c r="C265" s="804"/>
      <c r="D265" s="805"/>
      <c r="E265" s="805"/>
      <c r="F265" s="805"/>
    </row>
    <row r="266" spans="3:6">
      <c r="C266" s="804"/>
      <c r="D266" s="805"/>
      <c r="E266" s="805"/>
      <c r="F266" s="805"/>
    </row>
    <row r="267" spans="3:6">
      <c r="C267" s="804"/>
      <c r="D267" s="805"/>
      <c r="E267" s="805"/>
      <c r="F267" s="805"/>
    </row>
    <row r="268" spans="3:6">
      <c r="C268" s="804"/>
      <c r="D268" s="805"/>
      <c r="E268" s="805"/>
      <c r="F268" s="805"/>
    </row>
    <row r="269" spans="3:6">
      <c r="C269" s="804"/>
      <c r="D269" s="805"/>
      <c r="E269" s="805"/>
      <c r="F269" s="805"/>
    </row>
    <row r="270" spans="3:6">
      <c r="C270" s="804"/>
      <c r="D270" s="805"/>
      <c r="E270" s="805"/>
      <c r="F270" s="805"/>
    </row>
    <row r="271" spans="3:6">
      <c r="C271" s="804"/>
      <c r="D271" s="805"/>
      <c r="E271" s="805"/>
      <c r="F271" s="805"/>
    </row>
    <row r="272" spans="3:6">
      <c r="C272" s="804"/>
      <c r="D272" s="805"/>
      <c r="E272" s="805"/>
      <c r="F272" s="805"/>
    </row>
    <row r="273" spans="3:6">
      <c r="C273" s="804"/>
      <c r="D273" s="805"/>
      <c r="E273" s="805"/>
      <c r="F273" s="805"/>
    </row>
    <row r="274" spans="3:6">
      <c r="C274" s="804"/>
      <c r="D274" s="805"/>
      <c r="E274" s="805"/>
      <c r="F274" s="805"/>
    </row>
    <row r="275" spans="3:6">
      <c r="C275" s="804"/>
      <c r="D275" s="805"/>
      <c r="E275" s="805"/>
      <c r="F275" s="805"/>
    </row>
    <row r="276" spans="3:6">
      <c r="C276" s="804"/>
      <c r="D276" s="805"/>
      <c r="E276" s="805"/>
      <c r="F276" s="805"/>
    </row>
    <row r="277" spans="3:6">
      <c r="C277" s="804"/>
      <c r="D277" s="805"/>
      <c r="E277" s="805"/>
      <c r="F277" s="805"/>
    </row>
    <row r="278" spans="3:6">
      <c r="C278" s="804"/>
      <c r="D278" s="805"/>
      <c r="E278" s="805"/>
      <c r="F278" s="805"/>
    </row>
    <row r="279" spans="3:6">
      <c r="C279" s="804"/>
      <c r="D279" s="805"/>
      <c r="E279" s="805"/>
      <c r="F279" s="805"/>
    </row>
    <row r="280" spans="3:6">
      <c r="C280" s="804"/>
      <c r="D280" s="805"/>
      <c r="E280" s="805"/>
      <c r="F280" s="805"/>
    </row>
    <row r="281" spans="3:6">
      <c r="C281" s="804"/>
      <c r="D281" s="805"/>
      <c r="E281" s="805"/>
      <c r="F281" s="805"/>
    </row>
    <row r="282" spans="3:6">
      <c r="C282" s="804"/>
      <c r="D282" s="805"/>
      <c r="E282" s="805"/>
      <c r="F282" s="805"/>
    </row>
    <row r="283" spans="3:6">
      <c r="C283" s="804"/>
      <c r="D283" s="805"/>
      <c r="E283" s="805"/>
      <c r="F283" s="805"/>
    </row>
    <row r="284" spans="3:6">
      <c r="C284" s="804"/>
      <c r="D284" s="805"/>
      <c r="E284" s="805"/>
      <c r="F284" s="805"/>
    </row>
    <row r="285" spans="3:6">
      <c r="C285" s="804"/>
      <c r="D285" s="805"/>
      <c r="E285" s="805"/>
      <c r="F285" s="805"/>
    </row>
    <row r="286" spans="3:6">
      <c r="C286" s="804"/>
      <c r="D286" s="805"/>
      <c r="E286" s="805"/>
      <c r="F286" s="805"/>
    </row>
    <row r="287" spans="3:6">
      <c r="C287" s="804"/>
      <c r="D287" s="805"/>
      <c r="E287" s="805"/>
      <c r="F287" s="805"/>
    </row>
    <row r="288" spans="3:6">
      <c r="C288" s="804"/>
      <c r="D288" s="805"/>
      <c r="E288" s="805"/>
      <c r="F288" s="805"/>
    </row>
    <row r="289" spans="3:6">
      <c r="C289" s="804"/>
      <c r="D289" s="805"/>
      <c r="E289" s="805"/>
      <c r="F289" s="805"/>
    </row>
    <row r="290" spans="3:6">
      <c r="C290" s="804"/>
      <c r="D290" s="805"/>
      <c r="E290" s="805"/>
      <c r="F290" s="805"/>
    </row>
    <row r="291" spans="3:6">
      <c r="C291" s="804"/>
      <c r="D291" s="805"/>
      <c r="E291" s="805"/>
      <c r="F291" s="805"/>
    </row>
    <row r="292" spans="3:6">
      <c r="C292" s="804"/>
      <c r="D292" s="805"/>
      <c r="E292" s="805"/>
      <c r="F292" s="805"/>
    </row>
    <row r="293" spans="3:6">
      <c r="C293" s="804"/>
      <c r="D293" s="805"/>
      <c r="E293" s="805"/>
      <c r="F293" s="805"/>
    </row>
    <row r="294" spans="3:6">
      <c r="C294" s="804"/>
      <c r="D294" s="805"/>
      <c r="E294" s="805"/>
      <c r="F294" s="805"/>
    </row>
    <row r="295" spans="3:6">
      <c r="C295" s="804"/>
      <c r="D295" s="805"/>
      <c r="E295" s="805"/>
      <c r="F295" s="805"/>
    </row>
    <row r="296" spans="3:6">
      <c r="C296" s="804"/>
      <c r="D296" s="805"/>
      <c r="E296" s="805"/>
      <c r="F296" s="805"/>
    </row>
    <row r="297" spans="3:6">
      <c r="C297" s="804"/>
      <c r="D297" s="805"/>
      <c r="E297" s="805"/>
      <c r="F297" s="805"/>
    </row>
    <row r="298" spans="3:6">
      <c r="C298" s="804"/>
      <c r="D298" s="805"/>
      <c r="E298" s="805"/>
      <c r="F298" s="805"/>
    </row>
    <row r="299" spans="3:6">
      <c r="C299" s="804"/>
      <c r="D299" s="805"/>
      <c r="E299" s="805"/>
      <c r="F299" s="805"/>
    </row>
    <row r="300" spans="3:6">
      <c r="C300" s="804"/>
      <c r="D300" s="805"/>
      <c r="E300" s="805"/>
      <c r="F300" s="805"/>
    </row>
    <row r="301" spans="3:6">
      <c r="C301" s="804"/>
      <c r="D301" s="805"/>
      <c r="E301" s="805"/>
      <c r="F301" s="805"/>
    </row>
    <row r="302" spans="3:6">
      <c r="C302" s="804"/>
      <c r="D302" s="805"/>
      <c r="E302" s="805"/>
      <c r="F302" s="805"/>
    </row>
    <row r="303" spans="3:6">
      <c r="C303" s="804"/>
      <c r="D303" s="805"/>
      <c r="E303" s="805"/>
      <c r="F303" s="805"/>
    </row>
    <row r="304" spans="3:6">
      <c r="C304" s="804"/>
      <c r="D304" s="805"/>
      <c r="E304" s="805"/>
      <c r="F304" s="805"/>
    </row>
    <row r="305" spans="3:6">
      <c r="C305" s="804"/>
      <c r="D305" s="805"/>
      <c r="E305" s="805"/>
      <c r="F305" s="805"/>
    </row>
    <row r="306" spans="3:6">
      <c r="C306" s="804"/>
      <c r="D306" s="805"/>
      <c r="E306" s="805"/>
      <c r="F306" s="805"/>
    </row>
    <row r="307" spans="3:6">
      <c r="C307" s="804"/>
      <c r="D307" s="805"/>
      <c r="E307" s="805"/>
      <c r="F307" s="805"/>
    </row>
    <row r="308" spans="3:6">
      <c r="C308" s="804"/>
      <c r="D308" s="805"/>
      <c r="E308" s="805"/>
      <c r="F308" s="805"/>
    </row>
    <row r="309" spans="3:6">
      <c r="C309" s="804"/>
      <c r="D309" s="805"/>
      <c r="E309" s="805"/>
      <c r="F309" s="805"/>
    </row>
    <row r="310" spans="3:6">
      <c r="C310" s="804"/>
      <c r="D310" s="805"/>
      <c r="E310" s="805"/>
      <c r="F310" s="805"/>
    </row>
    <row r="311" spans="3:6">
      <c r="C311" s="804"/>
      <c r="D311" s="805"/>
      <c r="E311" s="805"/>
      <c r="F311" s="805"/>
    </row>
    <row r="312" spans="3:6">
      <c r="C312" s="804"/>
      <c r="D312" s="805"/>
      <c r="E312" s="805"/>
      <c r="F312" s="805"/>
    </row>
    <row r="313" spans="3:6">
      <c r="C313" s="804"/>
      <c r="D313" s="805"/>
      <c r="E313" s="805"/>
      <c r="F313" s="805"/>
    </row>
    <row r="314" spans="3:6">
      <c r="C314" s="804"/>
      <c r="D314" s="805"/>
      <c r="E314" s="805"/>
      <c r="F314" s="805"/>
    </row>
    <row r="315" spans="3:6">
      <c r="C315" s="804"/>
      <c r="D315" s="805"/>
      <c r="E315" s="805"/>
      <c r="F315" s="805"/>
    </row>
    <row r="316" spans="3:6">
      <c r="C316" s="804"/>
      <c r="D316" s="805"/>
      <c r="E316" s="805"/>
      <c r="F316" s="805"/>
    </row>
    <row r="317" spans="3:6">
      <c r="C317" s="804"/>
      <c r="D317" s="805"/>
      <c r="E317" s="805"/>
      <c r="F317" s="805"/>
    </row>
    <row r="318" spans="3:6">
      <c r="C318" s="804"/>
      <c r="D318" s="805"/>
      <c r="E318" s="805"/>
      <c r="F318" s="805"/>
    </row>
    <row r="319" spans="3:6">
      <c r="C319" s="804"/>
      <c r="D319" s="805"/>
      <c r="E319" s="805"/>
      <c r="F319" s="805"/>
    </row>
    <row r="320" spans="3:6">
      <c r="C320" s="804"/>
      <c r="D320" s="805"/>
      <c r="E320" s="805"/>
      <c r="F320" s="805"/>
    </row>
    <row r="321" spans="3:6">
      <c r="C321" s="804"/>
      <c r="D321" s="805"/>
      <c r="E321" s="805"/>
      <c r="F321" s="805"/>
    </row>
    <row r="322" spans="3:6">
      <c r="C322" s="804"/>
      <c r="D322" s="805"/>
      <c r="E322" s="805"/>
      <c r="F322" s="805"/>
    </row>
    <row r="323" spans="3:6">
      <c r="C323" s="804"/>
      <c r="D323" s="805"/>
      <c r="E323" s="805"/>
      <c r="F323" s="805"/>
    </row>
    <row r="324" spans="3:6">
      <c r="C324" s="804"/>
      <c r="D324" s="805"/>
      <c r="E324" s="805"/>
      <c r="F324" s="805"/>
    </row>
    <row r="325" spans="3:6">
      <c r="C325" s="804"/>
      <c r="D325" s="805"/>
      <c r="E325" s="805"/>
      <c r="F325" s="805"/>
    </row>
    <row r="326" spans="3:6">
      <c r="C326" s="804"/>
      <c r="D326" s="805"/>
      <c r="E326" s="805"/>
      <c r="F326" s="805"/>
    </row>
    <row r="327" spans="3:6">
      <c r="C327" s="804"/>
      <c r="D327" s="805"/>
      <c r="E327" s="805"/>
      <c r="F327" s="805"/>
    </row>
    <row r="328" spans="3:6">
      <c r="C328" s="804"/>
      <c r="D328" s="805"/>
      <c r="E328" s="805"/>
      <c r="F328" s="805"/>
    </row>
    <row r="329" spans="3:6">
      <c r="C329" s="804"/>
      <c r="D329" s="805"/>
      <c r="E329" s="805"/>
      <c r="F329" s="805"/>
    </row>
    <row r="330" spans="3:6">
      <c r="C330" s="804"/>
      <c r="D330" s="805"/>
      <c r="E330" s="805"/>
      <c r="F330" s="805"/>
    </row>
    <row r="331" spans="3:6">
      <c r="C331" s="804"/>
      <c r="D331" s="805"/>
      <c r="E331" s="805"/>
      <c r="F331" s="805"/>
    </row>
    <row r="332" spans="3:6">
      <c r="C332" s="804"/>
      <c r="D332" s="805"/>
      <c r="E332" s="805"/>
      <c r="F332" s="805"/>
    </row>
    <row r="333" spans="3:6">
      <c r="C333" s="804"/>
      <c r="D333" s="805"/>
      <c r="E333" s="805"/>
      <c r="F333" s="805"/>
    </row>
    <row r="334" spans="3:6">
      <c r="C334" s="804"/>
      <c r="D334" s="805"/>
      <c r="E334" s="805"/>
      <c r="F334" s="805"/>
    </row>
    <row r="335" spans="3:6">
      <c r="C335" s="804"/>
      <c r="D335" s="805"/>
      <c r="E335" s="805"/>
      <c r="F335" s="805"/>
    </row>
    <row r="336" spans="3:6">
      <c r="C336" s="804"/>
      <c r="D336" s="805"/>
      <c r="E336" s="805"/>
      <c r="F336" s="805"/>
    </row>
    <row r="337" spans="3:6">
      <c r="C337" s="804"/>
      <c r="D337" s="805"/>
      <c r="E337" s="805"/>
      <c r="F337" s="805"/>
    </row>
    <row r="338" spans="3:6">
      <c r="C338" s="804"/>
      <c r="D338" s="805"/>
      <c r="E338" s="805"/>
      <c r="F338" s="805"/>
    </row>
    <row r="339" spans="3:6">
      <c r="C339" s="804"/>
      <c r="D339" s="805"/>
      <c r="E339" s="805"/>
      <c r="F339" s="805"/>
    </row>
    <row r="340" spans="3:6">
      <c r="C340" s="804"/>
      <c r="D340" s="805"/>
      <c r="E340" s="805"/>
      <c r="F340" s="805"/>
    </row>
    <row r="341" spans="3:6">
      <c r="C341" s="804"/>
      <c r="D341" s="805"/>
      <c r="E341" s="805"/>
      <c r="F341" s="805"/>
    </row>
    <row r="342" spans="3:6">
      <c r="C342" s="804"/>
      <c r="D342" s="805"/>
      <c r="E342" s="805"/>
      <c r="F342" s="805"/>
    </row>
    <row r="343" spans="3:6">
      <c r="C343" s="804"/>
      <c r="D343" s="805"/>
      <c r="E343" s="805"/>
      <c r="F343" s="805"/>
    </row>
    <row r="344" spans="3:6">
      <c r="C344" s="804"/>
      <c r="D344" s="805"/>
      <c r="E344" s="805"/>
      <c r="F344" s="805"/>
    </row>
    <row r="345" spans="3:6">
      <c r="C345" s="804"/>
      <c r="D345" s="805"/>
      <c r="E345" s="805"/>
      <c r="F345" s="805"/>
    </row>
    <row r="346" spans="3:6">
      <c r="C346" s="804"/>
      <c r="D346" s="805"/>
      <c r="E346" s="805"/>
      <c r="F346" s="805"/>
    </row>
    <row r="347" spans="3:6">
      <c r="C347" s="804"/>
      <c r="D347" s="805"/>
      <c r="E347" s="805"/>
      <c r="F347" s="805"/>
    </row>
    <row r="348" spans="3:6">
      <c r="C348" s="804"/>
      <c r="D348" s="805"/>
      <c r="E348" s="805"/>
      <c r="F348" s="805"/>
    </row>
    <row r="349" spans="3:6">
      <c r="C349" s="804"/>
      <c r="D349" s="805"/>
      <c r="E349" s="805"/>
      <c r="F349" s="805"/>
    </row>
    <row r="350" spans="3:6">
      <c r="C350" s="804"/>
      <c r="D350" s="805"/>
      <c r="E350" s="805"/>
      <c r="F350" s="805"/>
    </row>
    <row r="351" spans="3:6">
      <c r="C351" s="804"/>
      <c r="D351" s="805"/>
      <c r="E351" s="805"/>
      <c r="F351" s="805"/>
    </row>
    <row r="352" spans="3:6">
      <c r="C352" s="804"/>
      <c r="D352" s="805"/>
      <c r="E352" s="805"/>
      <c r="F352" s="805"/>
    </row>
    <row r="353" spans="3:6">
      <c r="C353" s="804"/>
      <c r="D353" s="805"/>
      <c r="E353" s="805"/>
      <c r="F353" s="805"/>
    </row>
    <row r="354" spans="3:6">
      <c r="C354" s="804"/>
      <c r="D354" s="805"/>
      <c r="E354" s="805"/>
      <c r="F354" s="805"/>
    </row>
    <row r="355" spans="3:6">
      <c r="C355" s="804"/>
      <c r="D355" s="805"/>
      <c r="E355" s="805"/>
      <c r="F355" s="805"/>
    </row>
    <row r="356" spans="3:6">
      <c r="C356" s="804"/>
      <c r="D356" s="805"/>
      <c r="E356" s="805"/>
      <c r="F356" s="805"/>
    </row>
    <row r="357" spans="3:6">
      <c r="C357" s="804"/>
      <c r="D357" s="805"/>
      <c r="E357" s="805"/>
      <c r="F357" s="805"/>
    </row>
    <row r="358" spans="3:6">
      <c r="C358" s="804"/>
      <c r="D358" s="805"/>
      <c r="E358" s="805"/>
      <c r="F358" s="805"/>
    </row>
    <row r="359" spans="3:6">
      <c r="C359" s="804"/>
      <c r="D359" s="805"/>
      <c r="E359" s="805"/>
      <c r="F359" s="805"/>
    </row>
    <row r="360" spans="3:6">
      <c r="C360" s="804"/>
      <c r="D360" s="805"/>
      <c r="E360" s="805"/>
      <c r="F360" s="805"/>
    </row>
    <row r="361" spans="3:6">
      <c r="C361" s="804"/>
      <c r="D361" s="805"/>
      <c r="E361" s="805"/>
      <c r="F361" s="805"/>
    </row>
    <row r="362" spans="3:6">
      <c r="C362" s="804"/>
      <c r="D362" s="805"/>
      <c r="E362" s="805"/>
      <c r="F362" s="805"/>
    </row>
    <row r="363" spans="3:6">
      <c r="C363" s="804"/>
      <c r="D363" s="805"/>
      <c r="E363" s="805"/>
      <c r="F363" s="805"/>
    </row>
    <row r="364" spans="3:6">
      <c r="C364" s="804"/>
      <c r="D364" s="805"/>
      <c r="E364" s="805"/>
      <c r="F364" s="805"/>
    </row>
    <row r="365" spans="3:6">
      <c r="C365" s="804"/>
      <c r="D365" s="805"/>
      <c r="E365" s="805"/>
      <c r="F365" s="805"/>
    </row>
    <row r="366" spans="3:6">
      <c r="C366" s="804"/>
      <c r="D366" s="805"/>
      <c r="E366" s="805"/>
      <c r="F366" s="805"/>
    </row>
    <row r="367" spans="3:6">
      <c r="C367" s="804"/>
      <c r="D367" s="805"/>
      <c r="E367" s="805"/>
      <c r="F367" s="805"/>
    </row>
    <row r="368" spans="3:6">
      <c r="C368" s="804"/>
      <c r="D368" s="805"/>
      <c r="E368" s="805"/>
      <c r="F368" s="805"/>
    </row>
    <row r="369" spans="3:6">
      <c r="C369" s="804"/>
      <c r="D369" s="805"/>
      <c r="E369" s="805"/>
      <c r="F369" s="805"/>
    </row>
    <row r="370" spans="3:6">
      <c r="C370" s="804"/>
      <c r="D370" s="805"/>
      <c r="E370" s="805"/>
      <c r="F370" s="805"/>
    </row>
    <row r="371" spans="3:6">
      <c r="C371" s="804"/>
      <c r="D371" s="805"/>
      <c r="E371" s="805"/>
      <c r="F371" s="805"/>
    </row>
    <row r="372" spans="3:6">
      <c r="C372" s="804"/>
      <c r="D372" s="805"/>
      <c r="E372" s="805"/>
      <c r="F372" s="805"/>
    </row>
    <row r="373" spans="3:6">
      <c r="C373" s="804"/>
      <c r="D373" s="805"/>
      <c r="E373" s="805"/>
      <c r="F373" s="805"/>
    </row>
    <row r="374" spans="3:6">
      <c r="C374" s="804"/>
      <c r="D374" s="805"/>
      <c r="E374" s="805"/>
      <c r="F374" s="805"/>
    </row>
    <row r="375" spans="3:6">
      <c r="C375" s="804"/>
      <c r="D375" s="805"/>
      <c r="E375" s="805"/>
      <c r="F375" s="805"/>
    </row>
    <row r="376" spans="3:6">
      <c r="C376" s="804"/>
      <c r="D376" s="805"/>
      <c r="E376" s="805"/>
      <c r="F376" s="805"/>
    </row>
    <row r="377" spans="3:6">
      <c r="C377" s="804"/>
      <c r="D377" s="805"/>
      <c r="E377" s="805"/>
      <c r="F377" s="805"/>
    </row>
    <row r="378" spans="3:6">
      <c r="C378" s="804"/>
      <c r="D378" s="805"/>
      <c r="E378" s="805"/>
      <c r="F378" s="805"/>
    </row>
    <row r="379" spans="3:6">
      <c r="C379" s="804"/>
      <c r="D379" s="805"/>
      <c r="E379" s="805"/>
      <c r="F379" s="805"/>
    </row>
    <row r="380" spans="3:6">
      <c r="C380" s="804"/>
      <c r="D380" s="805"/>
      <c r="E380" s="805"/>
      <c r="F380" s="805"/>
    </row>
    <row r="381" spans="3:6">
      <c r="C381" s="804"/>
      <c r="D381" s="805"/>
      <c r="E381" s="805"/>
      <c r="F381" s="805"/>
    </row>
    <row r="382" spans="3:6">
      <c r="C382" s="804"/>
      <c r="D382" s="805"/>
      <c r="E382" s="805"/>
      <c r="F382" s="805"/>
    </row>
    <row r="383" spans="3:6">
      <c r="C383" s="804"/>
      <c r="D383" s="805"/>
      <c r="E383" s="805"/>
      <c r="F383" s="805"/>
    </row>
    <row r="384" spans="3:6">
      <c r="C384" s="804"/>
      <c r="D384" s="805"/>
      <c r="E384" s="805"/>
      <c r="F384" s="805"/>
    </row>
    <row r="385" spans="3:6">
      <c r="C385" s="804"/>
      <c r="D385" s="805"/>
      <c r="E385" s="805"/>
      <c r="F385" s="805"/>
    </row>
    <row r="386" spans="3:6">
      <c r="C386" s="804"/>
      <c r="D386" s="805"/>
      <c r="E386" s="805"/>
      <c r="F386" s="805"/>
    </row>
    <row r="387" spans="3:6">
      <c r="C387" s="804"/>
      <c r="D387" s="805"/>
      <c r="E387" s="805"/>
      <c r="F387" s="805"/>
    </row>
    <row r="388" spans="3:6">
      <c r="C388" s="804"/>
      <c r="D388" s="805"/>
      <c r="E388" s="805"/>
      <c r="F388" s="805"/>
    </row>
    <row r="389" spans="3:6">
      <c r="C389" s="804"/>
      <c r="D389" s="805"/>
      <c r="E389" s="805"/>
      <c r="F389" s="805"/>
    </row>
    <row r="390" spans="3:6">
      <c r="C390" s="804"/>
      <c r="D390" s="805"/>
      <c r="E390" s="805"/>
      <c r="F390" s="805"/>
    </row>
    <row r="391" spans="3:6">
      <c r="C391" s="804"/>
      <c r="D391" s="805"/>
      <c r="E391" s="805"/>
      <c r="F391" s="805"/>
    </row>
    <row r="392" spans="3:6">
      <c r="C392" s="804"/>
      <c r="D392" s="805"/>
      <c r="E392" s="805"/>
      <c r="F392" s="805"/>
    </row>
    <row r="393" spans="3:6">
      <c r="C393" s="804"/>
      <c r="D393" s="805"/>
      <c r="E393" s="805"/>
      <c r="F393" s="805"/>
    </row>
    <row r="394" spans="3:6">
      <c r="C394" s="804"/>
      <c r="D394" s="805"/>
      <c r="E394" s="805"/>
      <c r="F394" s="805"/>
    </row>
    <row r="395" spans="3:6">
      <c r="C395" s="804"/>
      <c r="D395" s="805"/>
      <c r="E395" s="805"/>
      <c r="F395" s="805"/>
    </row>
    <row r="396" spans="3:6">
      <c r="C396" s="804"/>
      <c r="D396" s="805"/>
      <c r="E396" s="805"/>
      <c r="F396" s="805"/>
    </row>
    <row r="397" spans="3:6">
      <c r="C397" s="804"/>
      <c r="D397" s="805"/>
      <c r="E397" s="805"/>
      <c r="F397" s="805"/>
    </row>
    <row r="398" spans="3:6">
      <c r="C398" s="804"/>
      <c r="D398" s="805"/>
      <c r="E398" s="805"/>
      <c r="F398" s="805"/>
    </row>
    <row r="399" spans="3:6">
      <c r="C399" s="804"/>
      <c r="D399" s="805"/>
      <c r="E399" s="805"/>
      <c r="F399" s="805"/>
    </row>
    <row r="400" spans="3:6">
      <c r="C400" s="804"/>
      <c r="D400" s="805"/>
      <c r="E400" s="805"/>
      <c r="F400" s="805"/>
    </row>
    <row r="401" spans="3:6">
      <c r="C401" s="804"/>
      <c r="D401" s="805"/>
      <c r="E401" s="805"/>
      <c r="F401" s="805"/>
    </row>
    <row r="402" spans="3:6">
      <c r="C402" s="804"/>
      <c r="D402" s="805"/>
      <c r="E402" s="805"/>
      <c r="F402" s="805"/>
    </row>
    <row r="403" spans="3:6">
      <c r="C403" s="804"/>
      <c r="D403" s="805"/>
      <c r="E403" s="805"/>
      <c r="F403" s="805"/>
    </row>
    <row r="404" spans="3:6">
      <c r="C404" s="804"/>
      <c r="D404" s="805"/>
      <c r="E404" s="805"/>
      <c r="F404" s="805"/>
    </row>
    <row r="405" spans="3:6">
      <c r="C405" s="804"/>
      <c r="D405" s="805"/>
      <c r="E405" s="805"/>
      <c r="F405" s="805"/>
    </row>
    <row r="406" spans="3:6">
      <c r="C406" s="804"/>
      <c r="D406" s="805"/>
      <c r="E406" s="805"/>
      <c r="F406" s="805"/>
    </row>
    <row r="407" spans="3:6">
      <c r="C407" s="804"/>
      <c r="D407" s="805"/>
      <c r="E407" s="805"/>
      <c r="F407" s="805"/>
    </row>
    <row r="408" spans="3:6">
      <c r="C408" s="804"/>
      <c r="D408" s="805"/>
      <c r="E408" s="805"/>
      <c r="F408" s="805"/>
    </row>
    <row r="409" spans="3:6">
      <c r="C409" s="804"/>
      <c r="D409" s="805"/>
      <c r="E409" s="805"/>
      <c r="F409" s="805"/>
    </row>
    <row r="410" spans="3:6">
      <c r="C410" s="804"/>
      <c r="D410" s="805"/>
      <c r="E410" s="805"/>
      <c r="F410" s="805"/>
    </row>
    <row r="411" spans="3:6">
      <c r="C411" s="804"/>
      <c r="D411" s="805"/>
      <c r="E411" s="805"/>
      <c r="F411" s="805"/>
    </row>
    <row r="412" spans="3:6">
      <c r="C412" s="804"/>
      <c r="D412" s="805"/>
      <c r="E412" s="805"/>
      <c r="F412" s="805"/>
    </row>
    <row r="413" spans="3:6">
      <c r="C413" s="804"/>
      <c r="D413" s="805"/>
      <c r="E413" s="805"/>
      <c r="F413" s="805"/>
    </row>
    <row r="414" spans="3:6">
      <c r="C414" s="804"/>
      <c r="D414" s="805"/>
      <c r="E414" s="805"/>
      <c r="F414" s="805"/>
    </row>
    <row r="415" spans="3:6">
      <c r="C415" s="804"/>
      <c r="D415" s="805"/>
      <c r="E415" s="805"/>
      <c r="F415" s="805"/>
    </row>
    <row r="416" spans="3:6">
      <c r="C416" s="804"/>
      <c r="D416" s="805"/>
      <c r="E416" s="805"/>
      <c r="F416" s="805"/>
    </row>
    <row r="417" spans="3:6">
      <c r="C417" s="804"/>
      <c r="D417" s="805"/>
      <c r="E417" s="805"/>
      <c r="F417" s="805"/>
    </row>
    <row r="418" spans="3:6">
      <c r="C418" s="804"/>
      <c r="D418" s="805"/>
      <c r="E418" s="805"/>
      <c r="F418" s="805"/>
    </row>
    <row r="419" spans="3:6">
      <c r="C419" s="804"/>
      <c r="D419" s="805"/>
      <c r="E419" s="805"/>
      <c r="F419" s="805"/>
    </row>
    <row r="420" spans="3:6">
      <c r="C420" s="804"/>
      <c r="D420" s="805"/>
      <c r="E420" s="805"/>
      <c r="F420" s="805"/>
    </row>
    <row r="421" spans="3:6">
      <c r="C421" s="804"/>
      <c r="D421" s="805"/>
      <c r="E421" s="805"/>
      <c r="F421" s="805"/>
    </row>
    <row r="422" spans="3:6">
      <c r="C422" s="804"/>
      <c r="D422" s="805"/>
      <c r="E422" s="805"/>
      <c r="F422" s="805"/>
    </row>
    <row r="423" spans="3:6">
      <c r="C423" s="804"/>
      <c r="D423" s="805"/>
      <c r="E423" s="805"/>
      <c r="F423" s="805"/>
    </row>
    <row r="424" spans="3:6">
      <c r="C424" s="804"/>
      <c r="D424" s="805"/>
      <c r="E424" s="805"/>
      <c r="F424" s="805"/>
    </row>
    <row r="425" spans="3:6">
      <c r="C425" s="804"/>
      <c r="D425" s="805"/>
      <c r="E425" s="805"/>
      <c r="F425" s="805"/>
    </row>
    <row r="426" spans="3:6">
      <c r="C426" s="804"/>
      <c r="D426" s="805"/>
      <c r="E426" s="805"/>
      <c r="F426" s="805"/>
    </row>
    <row r="427" spans="3:6">
      <c r="C427" s="804"/>
      <c r="D427" s="805"/>
      <c r="E427" s="805"/>
      <c r="F427" s="805"/>
    </row>
    <row r="428" spans="3:6">
      <c r="C428" s="804"/>
      <c r="D428" s="805"/>
      <c r="E428" s="805"/>
      <c r="F428" s="805"/>
    </row>
    <row r="429" spans="3:6">
      <c r="C429" s="804"/>
      <c r="D429" s="805"/>
      <c r="E429" s="805"/>
      <c r="F429" s="805"/>
    </row>
    <row r="430" spans="3:6">
      <c r="C430" s="804"/>
      <c r="D430" s="805"/>
      <c r="E430" s="805"/>
      <c r="F430" s="805"/>
    </row>
    <row r="431" spans="3:6">
      <c r="C431" s="804"/>
      <c r="D431" s="805"/>
      <c r="E431" s="805"/>
      <c r="F431" s="805"/>
    </row>
    <row r="432" spans="3:6">
      <c r="C432" s="804"/>
      <c r="D432" s="805"/>
      <c r="E432" s="805"/>
      <c r="F432" s="805"/>
    </row>
    <row r="433" spans="3:6">
      <c r="C433" s="804"/>
      <c r="D433" s="805"/>
      <c r="E433" s="805"/>
      <c r="F433" s="805"/>
    </row>
    <row r="434" spans="3:6">
      <c r="C434" s="804"/>
      <c r="D434" s="805"/>
      <c r="E434" s="805"/>
      <c r="F434" s="805"/>
    </row>
    <row r="435" spans="3:6">
      <c r="C435" s="804"/>
      <c r="D435" s="805"/>
      <c r="E435" s="805"/>
      <c r="F435" s="805"/>
    </row>
    <row r="436" spans="3:6">
      <c r="C436" s="804"/>
      <c r="D436" s="805"/>
      <c r="E436" s="805"/>
      <c r="F436" s="805"/>
    </row>
    <row r="437" spans="3:6">
      <c r="C437" s="804"/>
      <c r="D437" s="805"/>
      <c r="E437" s="805"/>
      <c r="F437" s="805"/>
    </row>
    <row r="438" spans="3:6">
      <c r="C438" s="804"/>
      <c r="D438" s="805"/>
      <c r="E438" s="805"/>
      <c r="F438" s="805"/>
    </row>
    <row r="439" spans="3:6">
      <c r="C439" s="804"/>
      <c r="D439" s="805"/>
      <c r="E439" s="805"/>
      <c r="F439" s="805"/>
    </row>
    <row r="440" spans="3:6">
      <c r="C440" s="804"/>
      <c r="D440" s="805"/>
      <c r="E440" s="805"/>
      <c r="F440" s="805"/>
    </row>
    <row r="441" spans="3:6">
      <c r="C441" s="804"/>
      <c r="D441" s="805"/>
      <c r="E441" s="805"/>
      <c r="F441" s="805"/>
    </row>
    <row r="442" spans="3:6">
      <c r="C442" s="804"/>
      <c r="D442" s="805"/>
      <c r="E442" s="805"/>
      <c r="F442" s="805"/>
    </row>
    <row r="443" spans="3:6">
      <c r="C443" s="804"/>
      <c r="D443" s="805"/>
      <c r="E443" s="805"/>
      <c r="F443" s="805"/>
    </row>
    <row r="444" spans="3:6">
      <c r="C444" s="804"/>
      <c r="D444" s="805"/>
      <c r="E444" s="805"/>
      <c r="F444" s="805"/>
    </row>
    <row r="445" spans="3:6">
      <c r="C445" s="804"/>
      <c r="D445" s="805"/>
      <c r="E445" s="805"/>
      <c r="F445" s="805"/>
    </row>
    <row r="446" spans="3:6">
      <c r="C446" s="804"/>
      <c r="D446" s="805"/>
      <c r="E446" s="805"/>
      <c r="F446" s="805"/>
    </row>
    <row r="447" spans="3:6">
      <c r="C447" s="804"/>
      <c r="D447" s="805"/>
      <c r="E447" s="805"/>
      <c r="F447" s="805"/>
    </row>
    <row r="448" spans="3:6">
      <c r="C448" s="804"/>
      <c r="D448" s="805"/>
      <c r="E448" s="805"/>
      <c r="F448" s="805"/>
    </row>
    <row r="449" spans="3:6">
      <c r="C449" s="804"/>
      <c r="D449" s="805"/>
      <c r="E449" s="805"/>
      <c r="F449" s="805"/>
    </row>
    <row r="450" spans="3:6">
      <c r="C450" s="804"/>
      <c r="D450" s="805"/>
      <c r="E450" s="805"/>
      <c r="F450" s="805"/>
    </row>
    <row r="451" spans="3:6">
      <c r="C451" s="804"/>
      <c r="D451" s="805"/>
      <c r="E451" s="805"/>
      <c r="F451" s="805"/>
    </row>
    <row r="452" spans="3:6">
      <c r="C452" s="804"/>
      <c r="D452" s="805"/>
      <c r="E452" s="805"/>
      <c r="F452" s="805"/>
    </row>
    <row r="453" spans="3:6">
      <c r="C453" s="804"/>
      <c r="D453" s="805"/>
      <c r="E453" s="805"/>
      <c r="F453" s="805"/>
    </row>
    <row r="454" spans="3:6">
      <c r="C454" s="804"/>
      <c r="D454" s="805"/>
      <c r="E454" s="805"/>
      <c r="F454" s="805"/>
    </row>
    <row r="455" spans="3:6">
      <c r="C455" s="804"/>
      <c r="D455" s="805"/>
      <c r="E455" s="805"/>
      <c r="F455" s="805"/>
    </row>
    <row r="456" spans="3:6">
      <c r="C456" s="804"/>
      <c r="D456" s="805"/>
      <c r="E456" s="805"/>
      <c r="F456" s="805"/>
    </row>
    <row r="457" spans="3:6">
      <c r="C457" s="804"/>
      <c r="D457" s="805"/>
      <c r="E457" s="805"/>
      <c r="F457" s="805"/>
    </row>
    <row r="458" spans="3:6">
      <c r="C458" s="804"/>
      <c r="D458" s="805"/>
      <c r="E458" s="805"/>
      <c r="F458" s="805"/>
    </row>
    <row r="459" spans="3:6">
      <c r="C459" s="804"/>
      <c r="D459" s="805"/>
      <c r="E459" s="805"/>
      <c r="F459" s="805"/>
    </row>
    <row r="460" spans="3:6">
      <c r="C460" s="804"/>
      <c r="D460" s="805"/>
      <c r="E460" s="805"/>
      <c r="F460" s="805"/>
    </row>
    <row r="461" spans="3:6">
      <c r="C461" s="804"/>
      <c r="D461" s="805"/>
      <c r="E461" s="805"/>
      <c r="F461" s="805"/>
    </row>
    <row r="462" spans="3:6">
      <c r="C462" s="804"/>
      <c r="D462" s="805"/>
      <c r="E462" s="805"/>
      <c r="F462" s="805"/>
    </row>
    <row r="463" spans="3:6">
      <c r="C463" s="804"/>
      <c r="D463" s="805"/>
      <c r="E463" s="805"/>
      <c r="F463" s="805"/>
    </row>
    <row r="464" spans="3:6">
      <c r="C464" s="804"/>
      <c r="D464" s="805"/>
      <c r="E464" s="805"/>
      <c r="F464" s="805"/>
    </row>
    <row r="465" spans="3:6">
      <c r="C465" s="804"/>
      <c r="D465" s="805"/>
      <c r="E465" s="805"/>
      <c r="F465" s="805"/>
    </row>
    <row r="466" spans="3:6">
      <c r="C466" s="804"/>
      <c r="D466" s="805"/>
      <c r="E466" s="805"/>
      <c r="F466" s="805"/>
    </row>
    <row r="467" spans="3:6">
      <c r="C467" s="804"/>
      <c r="D467" s="805"/>
      <c r="E467" s="805"/>
      <c r="F467" s="805"/>
    </row>
    <row r="468" spans="3:6">
      <c r="C468" s="804"/>
      <c r="D468" s="805"/>
      <c r="E468" s="805"/>
      <c r="F468" s="805"/>
    </row>
    <row r="469" spans="3:6">
      <c r="C469" s="804"/>
      <c r="D469" s="805"/>
      <c r="E469" s="805"/>
      <c r="F469" s="805"/>
    </row>
    <row r="470" spans="3:6">
      <c r="C470" s="804"/>
      <c r="D470" s="805"/>
      <c r="E470" s="805"/>
      <c r="F470" s="805"/>
    </row>
    <row r="471" spans="3:6">
      <c r="C471" s="804"/>
      <c r="D471" s="805"/>
      <c r="E471" s="805"/>
      <c r="F471" s="805"/>
    </row>
    <row r="472" spans="3:6">
      <c r="C472" s="804"/>
      <c r="D472" s="805"/>
      <c r="E472" s="805"/>
      <c r="F472" s="805"/>
    </row>
    <row r="473" spans="3:6">
      <c r="C473" s="804"/>
      <c r="D473" s="805"/>
      <c r="E473" s="805"/>
      <c r="F473" s="805"/>
    </row>
    <row r="474" spans="3:6">
      <c r="C474" s="804"/>
      <c r="D474" s="805"/>
      <c r="E474" s="805"/>
      <c r="F474" s="805"/>
    </row>
    <row r="475" spans="3:6">
      <c r="C475" s="804"/>
      <c r="D475" s="805"/>
      <c r="E475" s="805"/>
      <c r="F475" s="805"/>
    </row>
    <row r="476" spans="3:6">
      <c r="C476" s="804"/>
      <c r="D476" s="805"/>
      <c r="E476" s="805"/>
      <c r="F476" s="805"/>
    </row>
    <row r="477" spans="3:6">
      <c r="C477" s="804"/>
      <c r="D477" s="805"/>
      <c r="E477" s="805"/>
      <c r="F477" s="805"/>
    </row>
    <row r="478" spans="3:6">
      <c r="C478" s="804"/>
      <c r="D478" s="805"/>
      <c r="E478" s="805"/>
      <c r="F478" s="805"/>
    </row>
    <row r="479" spans="3:6">
      <c r="C479" s="804"/>
      <c r="D479" s="805"/>
      <c r="E479" s="805"/>
      <c r="F479" s="805"/>
    </row>
    <row r="480" spans="3:6">
      <c r="C480" s="804"/>
      <c r="D480" s="805"/>
      <c r="E480" s="805"/>
      <c r="F480" s="805"/>
    </row>
    <row r="481" spans="3:6">
      <c r="C481" s="804"/>
      <c r="D481" s="805"/>
      <c r="E481" s="805"/>
      <c r="F481" s="805"/>
    </row>
    <row r="482" spans="3:6">
      <c r="C482" s="804"/>
      <c r="D482" s="805"/>
      <c r="E482" s="805"/>
      <c r="F482" s="805"/>
    </row>
    <row r="483" spans="3:6">
      <c r="C483" s="804"/>
      <c r="D483" s="805"/>
      <c r="E483" s="805"/>
      <c r="F483" s="805"/>
    </row>
    <row r="484" spans="3:6">
      <c r="C484" s="804"/>
      <c r="D484" s="805"/>
      <c r="E484" s="805"/>
      <c r="F484" s="805"/>
    </row>
    <row r="485" spans="3:6">
      <c r="C485" s="804"/>
      <c r="D485" s="805"/>
      <c r="E485" s="805"/>
      <c r="F485" s="805"/>
    </row>
    <row r="486" spans="3:6">
      <c r="C486" s="804"/>
      <c r="D486" s="805"/>
      <c r="E486" s="805"/>
      <c r="F486" s="805"/>
    </row>
    <row r="487" spans="3:6">
      <c r="C487" s="804"/>
      <c r="D487" s="805"/>
      <c r="E487" s="805"/>
      <c r="F487" s="805"/>
    </row>
    <row r="488" spans="3:6">
      <c r="C488" s="804"/>
      <c r="D488" s="805"/>
      <c r="E488" s="805"/>
      <c r="F488" s="805"/>
    </row>
    <row r="489" spans="3:6">
      <c r="C489" s="804"/>
      <c r="D489" s="805"/>
      <c r="E489" s="805"/>
      <c r="F489" s="805"/>
    </row>
    <row r="490" spans="3:6">
      <c r="C490" s="804"/>
      <c r="D490" s="805"/>
      <c r="E490" s="805"/>
      <c r="F490" s="805"/>
    </row>
    <row r="491" spans="3:6">
      <c r="C491" s="804"/>
      <c r="D491" s="805"/>
      <c r="E491" s="805"/>
      <c r="F491" s="805"/>
    </row>
    <row r="492" spans="3:6">
      <c r="C492" s="804"/>
      <c r="D492" s="805"/>
      <c r="E492" s="805"/>
      <c r="F492" s="805"/>
    </row>
    <row r="493" spans="3:6">
      <c r="C493" s="804"/>
      <c r="D493" s="805"/>
      <c r="E493" s="805"/>
      <c r="F493" s="805"/>
    </row>
    <row r="494" spans="3:6">
      <c r="C494" s="804"/>
      <c r="D494" s="805"/>
      <c r="E494" s="805"/>
      <c r="F494" s="805"/>
    </row>
    <row r="495" spans="3:6">
      <c r="C495" s="804"/>
      <c r="D495" s="805"/>
      <c r="E495" s="805"/>
      <c r="F495" s="805"/>
    </row>
    <row r="496" spans="3:6">
      <c r="C496" s="804"/>
      <c r="D496" s="805"/>
      <c r="E496" s="805"/>
      <c r="F496" s="805"/>
    </row>
    <row r="497" spans="3:6">
      <c r="C497" s="804"/>
      <c r="D497" s="805"/>
      <c r="E497" s="805"/>
      <c r="F497" s="805"/>
    </row>
    <row r="498" spans="3:6">
      <c r="C498" s="804"/>
      <c r="D498" s="805"/>
      <c r="E498" s="805"/>
      <c r="F498" s="805"/>
    </row>
    <row r="499" spans="3:6">
      <c r="C499" s="804"/>
      <c r="D499" s="805"/>
      <c r="E499" s="805"/>
      <c r="F499" s="805"/>
    </row>
    <row r="500" spans="3:6">
      <c r="C500" s="804"/>
      <c r="D500" s="805"/>
      <c r="E500" s="805"/>
      <c r="F500" s="805"/>
    </row>
    <row r="501" spans="3:6">
      <c r="C501" s="804"/>
      <c r="D501" s="805"/>
      <c r="E501" s="805"/>
      <c r="F501" s="805"/>
    </row>
    <row r="502" spans="3:6">
      <c r="C502" s="804"/>
      <c r="D502" s="805"/>
      <c r="E502" s="805"/>
      <c r="F502" s="805"/>
    </row>
    <row r="503" spans="3:6">
      <c r="C503" s="804"/>
      <c r="D503" s="805"/>
      <c r="E503" s="805"/>
      <c r="F503" s="805"/>
    </row>
    <row r="504" spans="3:6">
      <c r="C504" s="804"/>
      <c r="D504" s="805"/>
      <c r="E504" s="805"/>
      <c r="F504" s="805"/>
    </row>
    <row r="505" spans="3:6">
      <c r="C505" s="804"/>
      <c r="D505" s="805"/>
      <c r="E505" s="805"/>
      <c r="F505" s="805"/>
    </row>
    <row r="506" spans="3:6">
      <c r="C506" s="804"/>
      <c r="D506" s="805"/>
      <c r="E506" s="805"/>
      <c r="F506" s="805"/>
    </row>
    <row r="507" spans="3:6">
      <c r="C507" s="804"/>
      <c r="D507" s="805"/>
      <c r="E507" s="805"/>
      <c r="F507" s="805"/>
    </row>
    <row r="508" spans="3:6">
      <c r="C508" s="804"/>
      <c r="D508" s="805"/>
      <c r="E508" s="805"/>
      <c r="F508" s="805"/>
    </row>
    <row r="509" spans="3:6">
      <c r="C509" s="804"/>
      <c r="D509" s="805"/>
      <c r="E509" s="805"/>
      <c r="F509" s="805"/>
    </row>
    <row r="510" spans="3:6">
      <c r="C510" s="804"/>
      <c r="D510" s="805"/>
      <c r="E510" s="805"/>
      <c r="F510" s="805"/>
    </row>
    <row r="511" spans="3:6">
      <c r="C511" s="804"/>
      <c r="D511" s="805"/>
      <c r="E511" s="805"/>
      <c r="F511" s="805"/>
    </row>
    <row r="512" spans="3:6">
      <c r="C512" s="804"/>
      <c r="D512" s="805"/>
      <c r="E512" s="805"/>
      <c r="F512" s="805"/>
    </row>
    <row r="513" spans="3:6">
      <c r="C513" s="804"/>
      <c r="D513" s="805"/>
      <c r="E513" s="805"/>
      <c r="F513" s="805"/>
    </row>
    <row r="514" spans="3:6">
      <c r="C514" s="804"/>
      <c r="D514" s="805"/>
      <c r="E514" s="805"/>
      <c r="F514" s="805"/>
    </row>
    <row r="515" spans="3:6">
      <c r="C515" s="804"/>
      <c r="D515" s="805"/>
      <c r="E515" s="805"/>
      <c r="F515" s="805"/>
    </row>
    <row r="516" spans="3:6">
      <c r="C516" s="804"/>
      <c r="D516" s="805"/>
      <c r="E516" s="805"/>
      <c r="F516" s="805"/>
    </row>
    <row r="517" spans="3:6">
      <c r="C517" s="804"/>
      <c r="D517" s="805"/>
      <c r="E517" s="805"/>
      <c r="F517" s="805"/>
    </row>
    <row r="518" spans="3:6">
      <c r="C518" s="804"/>
      <c r="D518" s="805"/>
      <c r="E518" s="805"/>
      <c r="F518" s="805"/>
    </row>
    <row r="519" spans="3:6">
      <c r="C519" s="804"/>
      <c r="D519" s="805"/>
      <c r="E519" s="805"/>
      <c r="F519" s="805"/>
    </row>
    <row r="520" spans="3:6">
      <c r="C520" s="804"/>
      <c r="D520" s="805"/>
      <c r="E520" s="805"/>
      <c r="F520" s="805"/>
    </row>
    <row r="521" spans="3:6">
      <c r="C521" s="804"/>
      <c r="D521" s="805"/>
      <c r="E521" s="805"/>
      <c r="F521" s="805"/>
    </row>
    <row r="522" spans="3:6">
      <c r="C522" s="804"/>
      <c r="D522" s="805"/>
      <c r="E522" s="805"/>
      <c r="F522" s="805"/>
    </row>
    <row r="523" spans="3:6">
      <c r="C523" s="804"/>
      <c r="D523" s="805"/>
      <c r="E523" s="805"/>
      <c r="F523" s="805"/>
    </row>
    <row r="524" spans="3:6">
      <c r="C524" s="804"/>
      <c r="D524" s="805"/>
      <c r="E524" s="805"/>
      <c r="F524" s="805"/>
    </row>
    <row r="525" spans="3:6">
      <c r="C525" s="804"/>
      <c r="D525" s="805"/>
      <c r="E525" s="805"/>
      <c r="F525" s="805"/>
    </row>
    <row r="526" spans="3:6">
      <c r="C526" s="804"/>
      <c r="D526" s="805"/>
      <c r="E526" s="805"/>
      <c r="F526" s="805"/>
    </row>
    <row r="527" spans="3:6">
      <c r="C527" s="804"/>
      <c r="D527" s="805"/>
      <c r="E527" s="805"/>
      <c r="F527" s="805"/>
    </row>
    <row r="528" spans="3:6">
      <c r="C528" s="804"/>
      <c r="D528" s="805"/>
      <c r="E528" s="805"/>
      <c r="F528" s="805"/>
    </row>
    <row r="529" spans="3:6">
      <c r="C529" s="804"/>
      <c r="D529" s="805"/>
      <c r="E529" s="805"/>
      <c r="F529" s="805"/>
    </row>
    <row r="530" spans="3:6">
      <c r="C530" s="804"/>
      <c r="D530" s="805"/>
      <c r="E530" s="805"/>
      <c r="F530" s="805"/>
    </row>
    <row r="531" spans="3:6">
      <c r="C531" s="804"/>
      <c r="D531" s="805"/>
      <c r="E531" s="805"/>
      <c r="F531" s="805"/>
    </row>
    <row r="532" spans="3:6">
      <c r="C532" s="804"/>
      <c r="D532" s="805"/>
      <c r="E532" s="805"/>
      <c r="F532" s="805"/>
    </row>
    <row r="533" spans="3:6">
      <c r="C533" s="804"/>
      <c r="D533" s="805"/>
      <c r="E533" s="805"/>
      <c r="F533" s="805"/>
    </row>
    <row r="534" spans="3:6">
      <c r="C534" s="804"/>
      <c r="D534" s="805"/>
      <c r="E534" s="805"/>
      <c r="F534" s="805"/>
    </row>
    <row r="535" spans="3:6">
      <c r="C535" s="804"/>
      <c r="D535" s="805"/>
      <c r="E535" s="805"/>
      <c r="F535" s="805"/>
    </row>
    <row r="536" spans="3:6">
      <c r="C536" s="804"/>
      <c r="D536" s="805"/>
      <c r="E536" s="805"/>
      <c r="F536" s="805"/>
    </row>
    <row r="537" spans="3:6">
      <c r="C537" s="804"/>
      <c r="D537" s="805"/>
      <c r="E537" s="805"/>
      <c r="F537" s="805"/>
    </row>
    <row r="538" spans="3:6">
      <c r="C538" s="804"/>
      <c r="D538" s="805"/>
      <c r="E538" s="805"/>
      <c r="F538" s="805"/>
    </row>
    <row r="539" spans="3:6">
      <c r="C539" s="804"/>
      <c r="D539" s="805"/>
      <c r="E539" s="805"/>
      <c r="F539" s="805"/>
    </row>
    <row r="540" spans="3:6">
      <c r="C540" s="804"/>
      <c r="D540" s="805"/>
      <c r="E540" s="805"/>
      <c r="F540" s="805"/>
    </row>
    <row r="541" spans="3:6">
      <c r="C541" s="804"/>
      <c r="D541" s="805"/>
      <c r="E541" s="805"/>
      <c r="F541" s="805"/>
    </row>
    <row r="542" spans="3:6">
      <c r="C542" s="804"/>
      <c r="D542" s="805"/>
      <c r="E542" s="805"/>
      <c r="F542" s="805"/>
    </row>
    <row r="543" spans="3:6">
      <c r="C543" s="804"/>
      <c r="D543" s="805"/>
      <c r="E543" s="805"/>
      <c r="F543" s="805"/>
    </row>
    <row r="544" spans="3:6">
      <c r="C544" s="804"/>
      <c r="D544" s="805"/>
      <c r="E544" s="805"/>
      <c r="F544" s="805"/>
    </row>
    <row r="545" spans="3:6">
      <c r="C545" s="804"/>
      <c r="D545" s="805"/>
      <c r="E545" s="805"/>
      <c r="F545" s="805"/>
    </row>
    <row r="546" spans="3:6">
      <c r="C546" s="804"/>
      <c r="D546" s="805"/>
      <c r="E546" s="805"/>
      <c r="F546" s="805"/>
    </row>
    <row r="547" spans="3:6">
      <c r="C547" s="804"/>
      <c r="D547" s="805"/>
      <c r="E547" s="805"/>
      <c r="F547" s="805"/>
    </row>
    <row r="548" spans="3:6">
      <c r="C548" s="804"/>
      <c r="D548" s="805"/>
      <c r="E548" s="805"/>
      <c r="F548" s="805"/>
    </row>
    <row r="549" spans="3:6">
      <c r="C549" s="804"/>
      <c r="D549" s="805"/>
      <c r="E549" s="805"/>
      <c r="F549" s="805"/>
    </row>
    <row r="550" spans="3:6">
      <c r="C550" s="804"/>
      <c r="D550" s="805"/>
      <c r="E550" s="805"/>
      <c r="F550" s="805"/>
    </row>
    <row r="551" spans="3:6">
      <c r="C551" s="804"/>
      <c r="D551" s="805"/>
      <c r="E551" s="805"/>
      <c r="F551" s="805"/>
    </row>
    <row r="552" spans="3:6">
      <c r="C552" s="804"/>
      <c r="D552" s="805"/>
      <c r="E552" s="805"/>
      <c r="F552" s="805"/>
    </row>
    <row r="553" spans="3:6">
      <c r="C553" s="804"/>
      <c r="D553" s="805"/>
      <c r="E553" s="805"/>
      <c r="F553" s="805"/>
    </row>
    <row r="554" spans="3:6">
      <c r="C554" s="804"/>
      <c r="D554" s="805"/>
      <c r="E554" s="805"/>
      <c r="F554" s="805"/>
    </row>
    <row r="555" spans="3:6">
      <c r="C555" s="804"/>
      <c r="D555" s="805"/>
      <c r="E555" s="805"/>
      <c r="F555" s="805"/>
    </row>
    <row r="556" spans="3:6">
      <c r="C556" s="804"/>
      <c r="D556" s="805"/>
      <c r="E556" s="805"/>
      <c r="F556" s="805"/>
    </row>
    <row r="557" spans="3:6">
      <c r="C557" s="804"/>
      <c r="D557" s="805"/>
      <c r="E557" s="805"/>
      <c r="F557" s="805"/>
    </row>
    <row r="558" spans="3:6">
      <c r="C558" s="804"/>
      <c r="D558" s="805"/>
      <c r="E558" s="805"/>
      <c r="F558" s="805"/>
    </row>
    <row r="559" spans="3:6">
      <c r="C559" s="804"/>
      <c r="D559" s="805"/>
      <c r="E559" s="805"/>
      <c r="F559" s="805"/>
    </row>
    <row r="560" spans="3:6">
      <c r="C560" s="804"/>
      <c r="D560" s="805"/>
      <c r="E560" s="805"/>
      <c r="F560" s="805"/>
    </row>
    <row r="561" spans="3:6">
      <c r="C561" s="804"/>
      <c r="D561" s="805"/>
      <c r="E561" s="805"/>
      <c r="F561" s="805"/>
    </row>
    <row r="562" spans="3:6">
      <c r="C562" s="804"/>
      <c r="D562" s="805"/>
      <c r="E562" s="805"/>
      <c r="F562" s="805"/>
    </row>
    <row r="563" spans="3:6">
      <c r="C563" s="804"/>
      <c r="D563" s="805"/>
      <c r="E563" s="805"/>
      <c r="F563" s="805"/>
    </row>
    <row r="564" spans="3:6">
      <c r="C564" s="804"/>
      <c r="D564" s="805"/>
      <c r="E564" s="805"/>
      <c r="F564" s="805"/>
    </row>
    <row r="565" spans="3:6">
      <c r="C565" s="804"/>
      <c r="D565" s="805"/>
      <c r="E565" s="805"/>
      <c r="F565" s="805"/>
    </row>
    <row r="566" spans="3:6">
      <c r="C566" s="804"/>
      <c r="D566" s="805"/>
      <c r="E566" s="805"/>
      <c r="F566" s="805"/>
    </row>
    <row r="567" spans="3:6">
      <c r="C567" s="804"/>
      <c r="D567" s="805"/>
      <c r="E567" s="805"/>
      <c r="F567" s="805"/>
    </row>
    <row r="568" spans="3:6">
      <c r="C568" s="804"/>
      <c r="D568" s="805"/>
      <c r="E568" s="805"/>
      <c r="F568" s="805"/>
    </row>
    <row r="569" spans="3:6">
      <c r="C569" s="804"/>
      <c r="D569" s="805"/>
      <c r="E569" s="805"/>
      <c r="F569" s="805"/>
    </row>
    <row r="570" spans="3:6">
      <c r="C570" s="804"/>
      <c r="D570" s="805"/>
      <c r="E570" s="805"/>
      <c r="F570" s="805"/>
    </row>
    <row r="571" spans="3:6">
      <c r="C571" s="804"/>
      <c r="D571" s="805"/>
      <c r="E571" s="805"/>
      <c r="F571" s="805"/>
    </row>
    <row r="572" spans="3:6">
      <c r="C572" s="804"/>
      <c r="D572" s="805"/>
      <c r="E572" s="805"/>
      <c r="F572" s="805"/>
    </row>
    <row r="573" spans="3:6">
      <c r="C573" s="804"/>
      <c r="D573" s="805"/>
      <c r="E573" s="805"/>
      <c r="F573" s="805"/>
    </row>
    <row r="574" spans="3:6">
      <c r="C574" s="804"/>
      <c r="D574" s="805"/>
      <c r="E574" s="805"/>
      <c r="F574" s="805"/>
    </row>
    <row r="575" spans="3:6">
      <c r="C575" s="804"/>
      <c r="D575" s="805"/>
      <c r="E575" s="805"/>
      <c r="F575" s="805"/>
    </row>
    <row r="576" spans="3:6">
      <c r="C576" s="804"/>
      <c r="D576" s="805"/>
      <c r="E576" s="805"/>
      <c r="F576" s="805"/>
    </row>
    <row r="577" spans="3:6">
      <c r="C577" s="804"/>
      <c r="D577" s="805"/>
      <c r="E577" s="805"/>
      <c r="F577" s="805"/>
    </row>
    <row r="578" spans="3:6">
      <c r="C578" s="804"/>
      <c r="D578" s="805"/>
      <c r="E578" s="805"/>
      <c r="F578" s="805"/>
    </row>
    <row r="579" spans="3:6">
      <c r="C579" s="804"/>
      <c r="D579" s="805"/>
      <c r="E579" s="805"/>
      <c r="F579" s="805"/>
    </row>
    <row r="580" spans="3:6">
      <c r="C580" s="804"/>
      <c r="D580" s="805"/>
      <c r="E580" s="805"/>
      <c r="F580" s="805"/>
    </row>
    <row r="581" spans="3:6">
      <c r="C581" s="804"/>
      <c r="D581" s="805"/>
      <c r="E581" s="805"/>
      <c r="F581" s="805"/>
    </row>
    <row r="582" spans="3:6">
      <c r="C582" s="804"/>
      <c r="D582" s="805"/>
      <c r="E582" s="805"/>
      <c r="F582" s="805"/>
    </row>
    <row r="583" spans="3:6">
      <c r="C583" s="804"/>
      <c r="D583" s="805"/>
      <c r="E583" s="805"/>
      <c r="F583" s="805"/>
    </row>
    <row r="584" spans="3:6">
      <c r="C584" s="804"/>
      <c r="D584" s="805"/>
      <c r="E584" s="805"/>
      <c r="F584" s="805"/>
    </row>
    <row r="585" spans="3:6">
      <c r="C585" s="804"/>
      <c r="D585" s="805"/>
      <c r="E585" s="805"/>
      <c r="F585" s="805"/>
    </row>
    <row r="586" spans="3:6">
      <c r="C586" s="804"/>
      <c r="D586" s="805"/>
      <c r="E586" s="805"/>
      <c r="F586" s="805"/>
    </row>
    <row r="587" spans="3:6">
      <c r="C587" s="804"/>
      <c r="D587" s="805"/>
      <c r="E587" s="805"/>
      <c r="F587" s="805"/>
    </row>
    <row r="588" spans="3:6">
      <c r="C588" s="804"/>
      <c r="D588" s="805"/>
      <c r="E588" s="805"/>
      <c r="F588" s="805"/>
    </row>
    <row r="589" spans="3:6">
      <c r="C589" s="804"/>
      <c r="D589" s="805"/>
      <c r="E589" s="805"/>
      <c r="F589" s="805"/>
    </row>
    <row r="590" spans="3:6">
      <c r="C590" s="804"/>
      <c r="D590" s="805"/>
      <c r="E590" s="805"/>
      <c r="F590" s="805"/>
    </row>
    <row r="591" spans="3:6">
      <c r="C591" s="804"/>
      <c r="D591" s="805"/>
      <c r="E591" s="805"/>
      <c r="F591" s="805"/>
    </row>
    <row r="592" spans="3:6">
      <c r="C592" s="804"/>
      <c r="D592" s="805"/>
      <c r="E592" s="805"/>
      <c r="F592" s="805"/>
    </row>
    <row r="593" spans="3:6">
      <c r="C593" s="804"/>
      <c r="D593" s="805"/>
      <c r="E593" s="805"/>
      <c r="F593" s="805"/>
    </row>
    <row r="594" spans="3:6">
      <c r="C594" s="804"/>
      <c r="D594" s="805"/>
      <c r="E594" s="805"/>
      <c r="F594" s="805"/>
    </row>
    <row r="595" spans="3:6">
      <c r="C595" s="804"/>
      <c r="D595" s="805"/>
      <c r="E595" s="805"/>
      <c r="F595" s="805"/>
    </row>
    <row r="596" spans="3:6">
      <c r="C596" s="804"/>
      <c r="D596" s="805"/>
      <c r="E596" s="805"/>
      <c r="F596" s="805"/>
    </row>
    <row r="597" spans="3:6">
      <c r="C597" s="804"/>
      <c r="D597" s="805"/>
      <c r="E597" s="805"/>
      <c r="F597" s="805"/>
    </row>
    <row r="598" spans="3:6">
      <c r="C598" s="804"/>
      <c r="D598" s="805"/>
      <c r="E598" s="805"/>
      <c r="F598" s="805"/>
    </row>
    <row r="599" spans="3:6">
      <c r="C599" s="804"/>
      <c r="D599" s="805"/>
      <c r="E599" s="805"/>
      <c r="F599" s="805"/>
    </row>
    <row r="600" spans="3:6">
      <c r="C600" s="804"/>
      <c r="D600" s="805"/>
      <c r="E600" s="805"/>
      <c r="F600" s="805"/>
    </row>
    <row r="601" spans="3:6">
      <c r="C601" s="804"/>
      <c r="D601" s="805"/>
      <c r="E601" s="805"/>
      <c r="F601" s="805"/>
    </row>
    <row r="602" spans="3:6">
      <c r="C602" s="804"/>
      <c r="D602" s="805"/>
      <c r="E602" s="805"/>
      <c r="F602" s="805"/>
    </row>
    <row r="603" spans="3:6">
      <c r="C603" s="804"/>
      <c r="D603" s="805"/>
      <c r="E603" s="805"/>
      <c r="F603" s="805"/>
    </row>
    <row r="604" spans="3:6">
      <c r="C604" s="804"/>
      <c r="D604" s="805"/>
      <c r="E604" s="805"/>
      <c r="F604" s="805"/>
    </row>
    <row r="605" spans="3:6">
      <c r="C605" s="804"/>
      <c r="D605" s="805"/>
      <c r="E605" s="805"/>
      <c r="F605" s="805"/>
    </row>
    <row r="606" spans="3:6">
      <c r="C606" s="804"/>
      <c r="D606" s="805"/>
      <c r="E606" s="805"/>
      <c r="F606" s="805"/>
    </row>
    <row r="607" spans="3:6">
      <c r="C607" s="804"/>
      <c r="D607" s="805"/>
      <c r="E607" s="805"/>
      <c r="F607" s="805"/>
    </row>
    <row r="608" spans="3:6">
      <c r="C608" s="804"/>
      <c r="D608" s="805"/>
      <c r="E608" s="805"/>
      <c r="F608" s="805"/>
    </row>
    <row r="609" spans="3:6">
      <c r="C609" s="804"/>
      <c r="D609" s="805"/>
      <c r="E609" s="805"/>
      <c r="F609" s="805"/>
    </row>
    <row r="610" spans="3:6">
      <c r="C610" s="804"/>
      <c r="D610" s="805"/>
      <c r="E610" s="805"/>
      <c r="F610" s="805"/>
    </row>
    <row r="611" spans="3:6">
      <c r="C611" s="804"/>
      <c r="D611" s="805"/>
      <c r="E611" s="805"/>
      <c r="F611" s="805"/>
    </row>
    <row r="612" spans="3:6">
      <c r="C612" s="804"/>
      <c r="D612" s="805"/>
      <c r="E612" s="805"/>
      <c r="F612" s="805"/>
    </row>
    <row r="613" spans="3:6">
      <c r="C613" s="804"/>
      <c r="D613" s="805"/>
      <c r="E613" s="805"/>
      <c r="F613" s="805"/>
    </row>
    <row r="614" spans="3:6">
      <c r="C614" s="804"/>
      <c r="D614" s="805"/>
      <c r="E614" s="805"/>
      <c r="F614" s="805"/>
    </row>
    <row r="615" spans="3:6">
      <c r="C615" s="804"/>
      <c r="D615" s="805"/>
      <c r="E615" s="805"/>
      <c r="F615" s="805"/>
    </row>
    <row r="616" spans="3:6">
      <c r="C616" s="804"/>
      <c r="D616" s="805"/>
      <c r="E616" s="805"/>
      <c r="F616" s="805"/>
    </row>
    <row r="617" spans="3:6">
      <c r="C617" s="804"/>
      <c r="D617" s="805"/>
      <c r="E617" s="805"/>
      <c r="F617" s="805"/>
    </row>
    <row r="618" spans="3:6">
      <c r="C618" s="804"/>
      <c r="D618" s="805"/>
      <c r="E618" s="805"/>
      <c r="F618" s="805"/>
    </row>
    <row r="619" spans="3:6">
      <c r="C619" s="804"/>
      <c r="D619" s="805"/>
      <c r="E619" s="805"/>
      <c r="F619" s="805"/>
    </row>
    <row r="620" spans="3:6">
      <c r="C620" s="804"/>
      <c r="D620" s="805"/>
      <c r="E620" s="805"/>
      <c r="F620" s="805"/>
    </row>
    <row r="621" spans="3:6">
      <c r="C621" s="804"/>
      <c r="D621" s="805"/>
      <c r="E621" s="805"/>
      <c r="F621" s="805"/>
    </row>
    <row r="622" spans="3:6">
      <c r="C622" s="804"/>
      <c r="D622" s="805"/>
      <c r="E622" s="805"/>
      <c r="F622" s="805"/>
    </row>
    <row r="623" spans="3:6">
      <c r="C623" s="804"/>
      <c r="D623" s="805"/>
      <c r="E623" s="805"/>
      <c r="F623" s="805"/>
    </row>
    <row r="624" spans="3:6">
      <c r="C624" s="804"/>
      <c r="D624" s="805"/>
      <c r="E624" s="805"/>
      <c r="F624" s="805"/>
    </row>
    <row r="625" spans="3:6">
      <c r="C625" s="804"/>
      <c r="D625" s="805"/>
      <c r="E625" s="805"/>
      <c r="F625" s="805"/>
    </row>
    <row r="626" spans="3:6">
      <c r="C626" s="804"/>
      <c r="D626" s="805"/>
      <c r="E626" s="805"/>
      <c r="F626" s="805"/>
    </row>
    <row r="627" spans="3:6">
      <c r="C627" s="804"/>
      <c r="D627" s="805"/>
      <c r="E627" s="805"/>
      <c r="F627" s="805"/>
    </row>
    <row r="628" spans="3:6">
      <c r="C628" s="804"/>
      <c r="D628" s="805"/>
      <c r="E628" s="805"/>
      <c r="F628" s="805"/>
    </row>
    <row r="629" spans="3:6">
      <c r="C629" s="804"/>
      <c r="D629" s="805"/>
      <c r="E629" s="805"/>
      <c r="F629" s="805"/>
    </row>
    <row r="630" spans="3:6">
      <c r="C630" s="804"/>
      <c r="D630" s="805"/>
      <c r="E630" s="805"/>
      <c r="F630" s="805"/>
    </row>
    <row r="631" spans="3:6">
      <c r="C631" s="804"/>
      <c r="D631" s="805"/>
      <c r="E631" s="805"/>
      <c r="F631" s="805"/>
    </row>
    <row r="632" spans="3:6">
      <c r="C632" s="804"/>
      <c r="D632" s="805"/>
      <c r="E632" s="805"/>
      <c r="F632" s="805"/>
    </row>
    <row r="633" spans="3:6">
      <c r="C633" s="804"/>
      <c r="D633" s="805"/>
      <c r="E633" s="805"/>
      <c r="F633" s="805"/>
    </row>
    <row r="634" spans="3:6">
      <c r="C634" s="804"/>
      <c r="D634" s="805"/>
      <c r="E634" s="805"/>
      <c r="F634" s="805"/>
    </row>
    <row r="635" spans="3:6">
      <c r="C635" s="804"/>
      <c r="D635" s="805"/>
      <c r="E635" s="805"/>
      <c r="F635" s="805"/>
    </row>
    <row r="636" spans="3:6">
      <c r="C636" s="804"/>
      <c r="D636" s="805"/>
      <c r="E636" s="805"/>
      <c r="F636" s="805"/>
    </row>
    <row r="637" spans="3:6">
      <c r="C637" s="804"/>
      <c r="D637" s="805"/>
      <c r="E637" s="805"/>
      <c r="F637" s="805"/>
    </row>
    <row r="638" spans="3:6">
      <c r="C638" s="804"/>
      <c r="D638" s="805"/>
      <c r="E638" s="805"/>
      <c r="F638" s="805"/>
    </row>
    <row r="639" spans="3:6">
      <c r="C639" s="804"/>
      <c r="D639" s="805"/>
      <c r="E639" s="805"/>
      <c r="F639" s="805"/>
    </row>
    <row r="640" spans="3:6">
      <c r="C640" s="804"/>
      <c r="D640" s="805"/>
      <c r="E640" s="805"/>
      <c r="F640" s="805"/>
    </row>
    <row r="641" spans="3:6">
      <c r="C641" s="804"/>
      <c r="D641" s="805"/>
      <c r="E641" s="805"/>
      <c r="F641" s="805"/>
    </row>
    <row r="642" spans="3:6">
      <c r="C642" s="804"/>
      <c r="D642" s="805"/>
      <c r="E642" s="805"/>
      <c r="F642" s="805"/>
    </row>
    <row r="643" spans="3:6">
      <c r="C643" s="804"/>
      <c r="D643" s="805"/>
      <c r="E643" s="805"/>
      <c r="F643" s="805"/>
    </row>
    <row r="644" spans="3:6">
      <c r="C644" s="804"/>
      <c r="D644" s="805"/>
      <c r="E644" s="805"/>
      <c r="F644" s="805"/>
    </row>
    <row r="645" spans="3:6">
      <c r="C645" s="804"/>
      <c r="D645" s="805"/>
      <c r="E645" s="805"/>
      <c r="F645" s="805"/>
    </row>
    <row r="646" spans="3:6">
      <c r="C646" s="804"/>
      <c r="D646" s="805"/>
      <c r="E646" s="805"/>
      <c r="F646" s="805"/>
    </row>
    <row r="647" spans="3:6">
      <c r="C647" s="804"/>
      <c r="D647" s="805"/>
      <c r="E647" s="805"/>
      <c r="F647" s="805"/>
    </row>
    <row r="648" spans="3:6">
      <c r="C648" s="804"/>
      <c r="D648" s="805"/>
      <c r="E648" s="805"/>
      <c r="F648" s="805"/>
    </row>
    <row r="649" spans="3:6">
      <c r="C649" s="804"/>
      <c r="D649" s="805"/>
      <c r="E649" s="805"/>
      <c r="F649" s="805"/>
    </row>
    <row r="650" spans="3:6">
      <c r="C650" s="804"/>
      <c r="D650" s="805"/>
      <c r="E650" s="805"/>
      <c r="F650" s="805"/>
    </row>
    <row r="651" spans="3:6">
      <c r="C651" s="804"/>
      <c r="D651" s="805"/>
      <c r="E651" s="805"/>
      <c r="F651" s="805"/>
    </row>
    <row r="652" spans="3:6">
      <c r="C652" s="804"/>
      <c r="D652" s="805"/>
      <c r="E652" s="805"/>
      <c r="F652" s="805"/>
    </row>
    <row r="653" spans="3:6">
      <c r="C653" s="804"/>
      <c r="D653" s="805"/>
      <c r="E653" s="805"/>
      <c r="F653" s="805"/>
    </row>
    <row r="654" spans="3:6">
      <c r="C654" s="804"/>
      <c r="D654" s="805"/>
      <c r="E654" s="805"/>
      <c r="F654" s="805"/>
    </row>
    <row r="655" spans="3:6">
      <c r="C655" s="804"/>
      <c r="D655" s="805"/>
      <c r="E655" s="805"/>
      <c r="F655" s="805"/>
    </row>
    <row r="656" spans="3:6">
      <c r="C656" s="804"/>
      <c r="D656" s="805"/>
      <c r="E656" s="805"/>
      <c r="F656" s="805"/>
    </row>
    <row r="657" spans="3:6">
      <c r="C657" s="804"/>
      <c r="D657" s="805"/>
      <c r="E657" s="805"/>
      <c r="F657" s="805"/>
    </row>
    <row r="658" spans="3:6">
      <c r="C658" s="804"/>
      <c r="D658" s="805"/>
      <c r="E658" s="805"/>
      <c r="F658" s="805"/>
    </row>
    <row r="659" spans="3:6">
      <c r="C659" s="804"/>
      <c r="D659" s="805"/>
      <c r="E659" s="805"/>
      <c r="F659" s="805"/>
    </row>
    <row r="660" spans="3:6">
      <c r="C660" s="804"/>
      <c r="D660" s="805"/>
      <c r="E660" s="805"/>
      <c r="F660" s="805"/>
    </row>
    <row r="661" spans="3:6">
      <c r="C661" s="804"/>
      <c r="D661" s="805"/>
      <c r="E661" s="805"/>
      <c r="F661" s="805"/>
    </row>
    <row r="662" spans="3:6">
      <c r="C662" s="804"/>
      <c r="D662" s="805"/>
      <c r="E662" s="805"/>
      <c r="F662" s="805"/>
    </row>
    <row r="663" spans="3:6">
      <c r="C663" s="804"/>
      <c r="D663" s="805"/>
      <c r="E663" s="805"/>
      <c r="F663" s="805"/>
    </row>
    <row r="664" spans="3:6">
      <c r="C664" s="804"/>
      <c r="D664" s="805"/>
      <c r="E664" s="805"/>
      <c r="F664" s="805"/>
    </row>
    <row r="665" spans="3:6">
      <c r="C665" s="804"/>
      <c r="D665" s="805"/>
      <c r="E665" s="805"/>
      <c r="F665" s="805"/>
    </row>
    <row r="666" spans="3:6">
      <c r="C666" s="804"/>
      <c r="D666" s="805"/>
      <c r="E666" s="805"/>
      <c r="F666" s="805"/>
    </row>
    <row r="667" spans="3:6">
      <c r="C667" s="804"/>
      <c r="D667" s="805"/>
      <c r="E667" s="805"/>
      <c r="F667" s="805"/>
    </row>
    <row r="668" spans="3:6">
      <c r="C668" s="804"/>
      <c r="D668" s="805"/>
      <c r="E668" s="805"/>
      <c r="F668" s="805"/>
    </row>
    <row r="669" spans="3:6">
      <c r="C669" s="804"/>
      <c r="D669" s="805"/>
      <c r="E669" s="805"/>
      <c r="F669" s="805"/>
    </row>
    <row r="670" spans="3:6">
      <c r="C670" s="804"/>
      <c r="D670" s="805"/>
      <c r="E670" s="805"/>
      <c r="F670" s="805"/>
    </row>
    <row r="671" spans="3:6">
      <c r="C671" s="804"/>
      <c r="D671" s="805"/>
      <c r="E671" s="805"/>
      <c r="F671" s="805"/>
    </row>
    <row r="672" spans="3:6">
      <c r="C672" s="804"/>
      <c r="D672" s="805"/>
      <c r="E672" s="805"/>
      <c r="F672" s="805"/>
    </row>
    <row r="673" spans="3:6">
      <c r="C673" s="804"/>
      <c r="D673" s="805"/>
      <c r="E673" s="805"/>
      <c r="F673" s="805"/>
    </row>
    <row r="674" spans="3:6">
      <c r="C674" s="804"/>
      <c r="D674" s="805"/>
      <c r="E674" s="805"/>
      <c r="F674" s="805"/>
    </row>
    <row r="675" spans="3:6">
      <c r="C675" s="804"/>
      <c r="D675" s="805"/>
      <c r="E675" s="805"/>
      <c r="F675" s="805"/>
    </row>
    <row r="676" spans="3:6">
      <c r="C676" s="804"/>
      <c r="D676" s="805"/>
      <c r="E676" s="805"/>
      <c r="F676" s="805"/>
    </row>
    <row r="677" spans="3:6">
      <c r="C677" s="804"/>
      <c r="D677" s="805"/>
      <c r="E677" s="805"/>
      <c r="F677" s="805"/>
    </row>
    <row r="678" spans="3:6">
      <c r="C678" s="804"/>
      <c r="D678" s="805"/>
      <c r="E678" s="805"/>
      <c r="F678" s="805"/>
    </row>
    <row r="679" spans="3:6">
      <c r="C679" s="804"/>
      <c r="D679" s="805"/>
      <c r="E679" s="805"/>
      <c r="F679" s="805"/>
    </row>
    <row r="680" spans="3:6">
      <c r="C680" s="804"/>
      <c r="D680" s="805"/>
      <c r="E680" s="805"/>
      <c r="F680" s="805"/>
    </row>
    <row r="681" spans="3:6">
      <c r="C681" s="804"/>
      <c r="D681" s="805"/>
      <c r="E681" s="805"/>
      <c r="F681" s="805"/>
    </row>
    <row r="682" spans="3:6">
      <c r="C682" s="804"/>
      <c r="D682" s="805"/>
      <c r="E682" s="805"/>
      <c r="F682" s="805"/>
    </row>
    <row r="683" spans="3:6">
      <c r="C683" s="804"/>
      <c r="D683" s="805"/>
      <c r="E683" s="805"/>
      <c r="F683" s="805"/>
    </row>
    <row r="684" spans="3:6">
      <c r="C684" s="804"/>
      <c r="D684" s="805"/>
      <c r="E684" s="805"/>
      <c r="F684" s="805"/>
    </row>
    <row r="685" spans="3:6">
      <c r="C685" s="804"/>
      <c r="D685" s="805"/>
      <c r="E685" s="805"/>
      <c r="F685" s="805"/>
    </row>
    <row r="686" spans="3:6">
      <c r="C686" s="804"/>
      <c r="D686" s="805"/>
      <c r="E686" s="805"/>
      <c r="F686" s="805"/>
    </row>
    <row r="687" spans="3:6">
      <c r="C687" s="804"/>
      <c r="D687" s="805"/>
      <c r="E687" s="805"/>
      <c r="F687" s="805"/>
    </row>
    <row r="688" spans="3:6">
      <c r="C688" s="804"/>
      <c r="D688" s="805"/>
      <c r="E688" s="805"/>
      <c r="F688" s="805"/>
    </row>
    <row r="689" spans="3:6">
      <c r="C689" s="804"/>
      <c r="D689" s="805"/>
      <c r="E689" s="805"/>
      <c r="F689" s="805"/>
    </row>
    <row r="690" spans="3:6">
      <c r="C690" s="804"/>
      <c r="D690" s="805"/>
      <c r="E690" s="805"/>
      <c r="F690" s="805"/>
    </row>
    <row r="691" spans="3:6">
      <c r="C691" s="804"/>
      <c r="D691" s="805"/>
      <c r="E691" s="805"/>
      <c r="F691" s="805"/>
    </row>
    <row r="692" spans="3:6">
      <c r="C692" s="804"/>
      <c r="D692" s="805"/>
      <c r="E692" s="805"/>
      <c r="F692" s="805"/>
    </row>
    <row r="693" spans="3:6">
      <c r="C693" s="804"/>
      <c r="D693" s="805"/>
      <c r="E693" s="805"/>
      <c r="F693" s="805"/>
    </row>
    <row r="694" spans="3:6">
      <c r="C694" s="804"/>
      <c r="D694" s="805"/>
      <c r="E694" s="805"/>
      <c r="F694" s="805"/>
    </row>
    <row r="695" spans="3:6">
      <c r="C695" s="804"/>
      <c r="D695" s="805"/>
      <c r="E695" s="805"/>
      <c r="F695" s="805"/>
    </row>
    <row r="696" spans="3:6">
      <c r="C696" s="804"/>
      <c r="D696" s="805"/>
      <c r="E696" s="805"/>
      <c r="F696" s="805"/>
    </row>
    <row r="697" spans="3:6">
      <c r="C697" s="804"/>
      <c r="D697" s="805"/>
      <c r="E697" s="805"/>
      <c r="F697" s="805"/>
    </row>
    <row r="698" spans="3:6">
      <c r="C698" s="804"/>
      <c r="D698" s="805"/>
      <c r="E698" s="805"/>
      <c r="F698" s="805"/>
    </row>
    <row r="699" spans="3:6">
      <c r="C699" s="804"/>
      <c r="D699" s="805"/>
      <c r="E699" s="805"/>
      <c r="F699" s="805"/>
    </row>
    <row r="700" spans="3:6">
      <c r="C700" s="804"/>
      <c r="D700" s="805"/>
      <c r="E700" s="805"/>
      <c r="F700" s="805"/>
    </row>
    <row r="701" spans="3:6">
      <c r="C701" s="804"/>
      <c r="D701" s="805"/>
      <c r="E701" s="805"/>
      <c r="F701" s="805"/>
    </row>
    <row r="702" spans="3:6">
      <c r="C702" s="804"/>
      <c r="D702" s="805"/>
      <c r="E702" s="805"/>
      <c r="F702" s="805"/>
    </row>
    <row r="703" spans="3:6">
      <c r="C703" s="804"/>
      <c r="D703" s="805"/>
      <c r="E703" s="805"/>
      <c r="F703" s="805"/>
    </row>
    <row r="704" spans="3:6">
      <c r="C704" s="804"/>
      <c r="D704" s="805"/>
      <c r="E704" s="805"/>
      <c r="F704" s="805"/>
    </row>
    <row r="705" spans="3:6">
      <c r="C705" s="804"/>
      <c r="D705" s="805"/>
      <c r="E705" s="805"/>
      <c r="F705" s="805"/>
    </row>
    <row r="706" spans="3:6">
      <c r="C706" s="804"/>
      <c r="D706" s="805"/>
      <c r="E706" s="805"/>
      <c r="F706" s="805"/>
    </row>
    <row r="707" spans="3:6">
      <c r="C707" s="804"/>
      <c r="D707" s="805"/>
      <c r="E707" s="805"/>
      <c r="F707" s="805"/>
    </row>
    <row r="708" spans="3:6">
      <c r="C708" s="804"/>
      <c r="D708" s="805"/>
      <c r="E708" s="805"/>
      <c r="F708" s="805"/>
    </row>
    <row r="709" spans="3:6">
      <c r="C709" s="804"/>
      <c r="D709" s="805"/>
      <c r="E709" s="805"/>
      <c r="F709" s="805"/>
    </row>
    <row r="710" spans="3:6">
      <c r="C710" s="804"/>
      <c r="D710" s="805"/>
      <c r="E710" s="805"/>
      <c r="F710" s="805"/>
    </row>
    <row r="711" spans="3:6">
      <c r="C711" s="804"/>
      <c r="D711" s="805"/>
      <c r="E711" s="805"/>
      <c r="F711" s="805"/>
    </row>
    <row r="712" spans="3:6">
      <c r="C712" s="804"/>
      <c r="D712" s="805"/>
      <c r="E712" s="805"/>
      <c r="F712" s="805"/>
    </row>
    <row r="713" spans="3:6">
      <c r="C713" s="804"/>
      <c r="D713" s="805"/>
      <c r="E713" s="805"/>
      <c r="F713" s="805"/>
    </row>
    <row r="714" spans="3:6">
      <c r="C714" s="804"/>
      <c r="D714" s="805"/>
      <c r="E714" s="805"/>
      <c r="F714" s="805"/>
    </row>
    <row r="715" spans="3:6">
      <c r="C715" s="804"/>
      <c r="D715" s="805"/>
      <c r="E715" s="805"/>
      <c r="F715" s="805"/>
    </row>
    <row r="716" spans="3:6">
      <c r="C716" s="804"/>
      <c r="D716" s="805"/>
      <c r="E716" s="805"/>
      <c r="F716" s="805"/>
    </row>
    <row r="717" spans="3:6">
      <c r="C717" s="804"/>
      <c r="D717" s="805"/>
      <c r="E717" s="805"/>
      <c r="F717" s="805"/>
    </row>
    <row r="718" spans="3:6">
      <c r="C718" s="804"/>
      <c r="D718" s="805"/>
      <c r="E718" s="805"/>
      <c r="F718" s="805"/>
    </row>
    <row r="719" spans="3:6">
      <c r="C719" s="804"/>
      <c r="D719" s="805"/>
      <c r="E719" s="805"/>
      <c r="F719" s="805"/>
    </row>
    <row r="720" spans="3:6">
      <c r="C720" s="804"/>
      <c r="D720" s="805"/>
      <c r="E720" s="805"/>
      <c r="F720" s="805"/>
    </row>
    <row r="721" spans="3:6">
      <c r="C721" s="804"/>
      <c r="D721" s="805"/>
      <c r="E721" s="805"/>
      <c r="F721" s="805"/>
    </row>
    <row r="722" spans="3:6">
      <c r="C722" s="804"/>
      <c r="D722" s="805"/>
      <c r="E722" s="805"/>
      <c r="F722" s="805"/>
    </row>
    <row r="723" spans="3:6">
      <c r="C723" s="804"/>
      <c r="D723" s="805"/>
      <c r="E723" s="805"/>
      <c r="F723" s="805"/>
    </row>
    <row r="724" spans="3:6">
      <c r="C724" s="804"/>
      <c r="D724" s="805"/>
      <c r="E724" s="805"/>
      <c r="F724" s="805"/>
    </row>
    <row r="725" spans="3:6">
      <c r="C725" s="804"/>
      <c r="D725" s="805"/>
      <c r="E725" s="805"/>
      <c r="F725" s="805"/>
    </row>
    <row r="726" spans="3:6">
      <c r="C726" s="804"/>
      <c r="D726" s="805"/>
      <c r="E726" s="805"/>
      <c r="F726" s="805"/>
    </row>
    <row r="727" spans="3:6">
      <c r="C727" s="804"/>
      <c r="D727" s="805"/>
      <c r="E727" s="805"/>
      <c r="F727" s="805"/>
    </row>
    <row r="728" spans="3:6">
      <c r="C728" s="804"/>
      <c r="D728" s="805"/>
      <c r="E728" s="805"/>
      <c r="F728" s="805"/>
    </row>
    <row r="729" spans="3:6">
      <c r="C729" s="804"/>
      <c r="D729" s="805"/>
      <c r="E729" s="805"/>
      <c r="F729" s="805"/>
    </row>
    <row r="730" spans="3:6">
      <c r="C730" s="804"/>
      <c r="D730" s="805"/>
      <c r="E730" s="805"/>
      <c r="F730" s="805"/>
    </row>
    <row r="731" spans="3:6">
      <c r="C731" s="804"/>
      <c r="D731" s="805"/>
      <c r="E731" s="805"/>
      <c r="F731" s="805"/>
    </row>
    <row r="732" spans="3:6">
      <c r="C732" s="804"/>
      <c r="D732" s="805"/>
      <c r="E732" s="805"/>
      <c r="F732" s="805"/>
    </row>
    <row r="733" spans="3:6">
      <c r="C733" s="804"/>
      <c r="D733" s="805"/>
      <c r="E733" s="805"/>
      <c r="F733" s="805"/>
    </row>
    <row r="734" spans="3:6">
      <c r="C734" s="804"/>
      <c r="D734" s="805"/>
      <c r="E734" s="805"/>
      <c r="F734" s="805"/>
    </row>
    <row r="735" spans="3:6">
      <c r="C735" s="804"/>
      <c r="D735" s="805"/>
      <c r="E735" s="805"/>
      <c r="F735" s="805"/>
    </row>
    <row r="736" spans="3:6">
      <c r="C736" s="804"/>
      <c r="D736" s="805"/>
      <c r="E736" s="805"/>
      <c r="F736" s="805"/>
    </row>
    <row r="737" spans="3:6">
      <c r="C737" s="804"/>
      <c r="D737" s="805"/>
      <c r="E737" s="805"/>
      <c r="F737" s="805"/>
    </row>
    <row r="738" spans="3:6">
      <c r="C738" s="804"/>
      <c r="D738" s="805"/>
      <c r="E738" s="805"/>
      <c r="F738" s="805"/>
    </row>
    <row r="739" spans="3:6">
      <c r="C739" s="804"/>
      <c r="D739" s="805"/>
      <c r="E739" s="805"/>
      <c r="F739" s="805"/>
    </row>
    <row r="740" spans="3:6">
      <c r="C740" s="804"/>
      <c r="D740" s="805"/>
      <c r="E740" s="805"/>
      <c r="F740" s="805"/>
    </row>
    <row r="741" spans="3:6">
      <c r="C741" s="804"/>
      <c r="D741" s="805"/>
      <c r="E741" s="805"/>
      <c r="F741" s="805"/>
    </row>
    <row r="742" spans="3:6">
      <c r="C742" s="804"/>
      <c r="D742" s="805"/>
      <c r="E742" s="805"/>
      <c r="F742" s="805"/>
    </row>
    <row r="743" spans="3:6">
      <c r="C743" s="804"/>
      <c r="D743" s="805"/>
      <c r="E743" s="805"/>
      <c r="F743" s="805"/>
    </row>
    <row r="744" spans="3:6">
      <c r="C744" s="804"/>
      <c r="D744" s="805"/>
      <c r="E744" s="805"/>
      <c r="F744" s="805"/>
    </row>
    <row r="745" spans="3:6">
      <c r="C745" s="804"/>
      <c r="D745" s="805"/>
      <c r="E745" s="805"/>
      <c r="F745" s="805"/>
    </row>
    <row r="746" spans="3:6">
      <c r="C746" s="804"/>
      <c r="D746" s="805"/>
      <c r="E746" s="805"/>
      <c r="F746" s="805"/>
    </row>
    <row r="747" spans="3:6">
      <c r="C747" s="804"/>
      <c r="D747" s="805"/>
      <c r="E747" s="805"/>
      <c r="F747" s="805"/>
    </row>
    <row r="748" spans="3:6">
      <c r="C748" s="804"/>
      <c r="D748" s="805"/>
      <c r="E748" s="805"/>
      <c r="F748" s="805"/>
    </row>
    <row r="749" spans="3:6">
      <c r="C749" s="804"/>
      <c r="D749" s="805"/>
      <c r="E749" s="805"/>
      <c r="F749" s="805"/>
    </row>
    <row r="750" spans="3:6">
      <c r="C750" s="804"/>
      <c r="D750" s="805"/>
      <c r="E750" s="805"/>
      <c r="F750" s="805"/>
    </row>
    <row r="751" spans="3:6">
      <c r="C751" s="804"/>
      <c r="D751" s="805"/>
      <c r="E751" s="805"/>
      <c r="F751" s="805"/>
    </row>
    <row r="752" spans="3:6">
      <c r="C752" s="804"/>
      <c r="D752" s="805"/>
      <c r="E752" s="805"/>
      <c r="F752" s="805"/>
    </row>
    <row r="753" spans="3:6">
      <c r="C753" s="804"/>
      <c r="D753" s="805"/>
      <c r="E753" s="805"/>
      <c r="F753" s="805"/>
    </row>
    <row r="754" spans="3:6">
      <c r="C754" s="804"/>
      <c r="D754" s="805"/>
      <c r="E754" s="805"/>
      <c r="F754" s="805"/>
    </row>
    <row r="755" spans="3:6">
      <c r="C755" s="804"/>
      <c r="D755" s="805"/>
      <c r="E755" s="805"/>
      <c r="F755" s="805"/>
    </row>
    <row r="756" spans="3:6">
      <c r="C756" s="804"/>
      <c r="D756" s="805"/>
      <c r="E756" s="805"/>
      <c r="F756" s="805"/>
    </row>
    <row r="757" spans="3:6">
      <c r="C757" s="804"/>
      <c r="D757" s="805"/>
      <c r="E757" s="805"/>
      <c r="F757" s="805"/>
    </row>
    <row r="758" spans="3:6">
      <c r="C758" s="804"/>
      <c r="D758" s="805"/>
      <c r="E758" s="805"/>
      <c r="F758" s="805"/>
    </row>
    <row r="759" spans="3:6">
      <c r="C759" s="804"/>
      <c r="D759" s="805"/>
      <c r="E759" s="805"/>
      <c r="F759" s="805"/>
    </row>
    <row r="760" spans="3:6">
      <c r="C760" s="804"/>
      <c r="D760" s="805"/>
      <c r="E760" s="805"/>
      <c r="F760" s="805"/>
    </row>
    <row r="761" spans="3:6">
      <c r="C761" s="804"/>
      <c r="D761" s="805"/>
      <c r="E761" s="805"/>
      <c r="F761" s="805"/>
    </row>
    <row r="762" spans="3:6">
      <c r="C762" s="804"/>
      <c r="D762" s="805"/>
      <c r="E762" s="805"/>
      <c r="F762" s="805"/>
    </row>
    <row r="763" spans="3:6">
      <c r="C763" s="804"/>
      <c r="D763" s="805"/>
      <c r="E763" s="805"/>
      <c r="F763" s="805"/>
    </row>
    <row r="764" spans="3:6">
      <c r="C764" s="804"/>
      <c r="D764" s="805"/>
      <c r="E764" s="805"/>
      <c r="F764" s="805"/>
    </row>
    <row r="765" spans="3:6">
      <c r="C765" s="804"/>
      <c r="D765" s="805"/>
      <c r="E765" s="805"/>
      <c r="F765" s="805"/>
    </row>
    <row r="766" spans="3:6">
      <c r="C766" s="804"/>
      <c r="D766" s="805"/>
      <c r="E766" s="805"/>
      <c r="F766" s="805"/>
    </row>
    <row r="767" spans="3:6">
      <c r="C767" s="804"/>
      <c r="D767" s="805"/>
      <c r="E767" s="805"/>
      <c r="F767" s="805"/>
    </row>
    <row r="768" spans="3:6">
      <c r="C768" s="804"/>
      <c r="D768" s="805"/>
      <c r="E768" s="805"/>
      <c r="F768" s="805"/>
    </row>
    <row r="769" spans="3:6">
      <c r="C769" s="804"/>
      <c r="D769" s="805"/>
      <c r="E769" s="805"/>
      <c r="F769" s="805"/>
    </row>
    <row r="770" spans="3:6">
      <c r="C770" s="804"/>
      <c r="D770" s="805"/>
      <c r="E770" s="805"/>
      <c r="F770" s="805"/>
    </row>
    <row r="771" spans="3:6">
      <c r="C771" s="804"/>
      <c r="D771" s="805"/>
      <c r="E771" s="805"/>
      <c r="F771" s="805"/>
    </row>
    <row r="772" spans="3:6">
      <c r="C772" s="804"/>
      <c r="D772" s="805"/>
      <c r="E772" s="805"/>
      <c r="F772" s="805"/>
    </row>
    <row r="773" spans="3:6">
      <c r="C773" s="804"/>
      <c r="D773" s="805"/>
      <c r="E773" s="805"/>
      <c r="F773" s="805"/>
    </row>
    <row r="774" spans="3:6">
      <c r="C774" s="804"/>
      <c r="D774" s="805"/>
      <c r="E774" s="805"/>
      <c r="F774" s="805"/>
    </row>
    <row r="775" spans="3:6">
      <c r="C775" s="804"/>
      <c r="D775" s="805"/>
      <c r="E775" s="805"/>
      <c r="F775" s="805"/>
    </row>
    <row r="776" spans="3:6">
      <c r="C776" s="804"/>
      <c r="D776" s="805"/>
      <c r="E776" s="805"/>
      <c r="F776" s="805"/>
    </row>
    <row r="777" spans="3:6">
      <c r="C777" s="804"/>
      <c r="D777" s="805"/>
      <c r="E777" s="805"/>
      <c r="F777" s="805"/>
    </row>
    <row r="778" spans="3:6">
      <c r="C778" s="804"/>
      <c r="D778" s="805"/>
      <c r="E778" s="805"/>
      <c r="F778" s="805"/>
    </row>
    <row r="779" spans="3:6">
      <c r="C779" s="804"/>
      <c r="D779" s="805"/>
      <c r="E779" s="805"/>
      <c r="F779" s="805"/>
    </row>
    <row r="780" spans="3:6">
      <c r="C780" s="804"/>
      <c r="D780" s="805"/>
      <c r="E780" s="805"/>
      <c r="F780" s="805"/>
    </row>
    <row r="781" spans="3:6">
      <c r="C781" s="804"/>
      <c r="D781" s="805"/>
      <c r="E781" s="805"/>
      <c r="F781" s="805"/>
    </row>
    <row r="782" spans="3:6">
      <c r="C782" s="804"/>
      <c r="D782" s="805"/>
      <c r="E782" s="805"/>
      <c r="F782" s="805"/>
    </row>
    <row r="783" spans="3:6">
      <c r="C783" s="804"/>
      <c r="D783" s="805"/>
      <c r="E783" s="805"/>
      <c r="F783" s="805"/>
    </row>
    <row r="784" spans="3:6">
      <c r="C784" s="804"/>
      <c r="D784" s="805"/>
      <c r="E784" s="805"/>
      <c r="F784" s="805"/>
    </row>
    <row r="785" spans="3:6">
      <c r="C785" s="804"/>
      <c r="D785" s="805"/>
      <c r="E785" s="805"/>
      <c r="F785" s="805"/>
    </row>
    <row r="786" spans="3:6">
      <c r="C786" s="804"/>
      <c r="D786" s="805"/>
      <c r="E786" s="805"/>
      <c r="F786" s="805"/>
    </row>
    <row r="787" spans="3:6">
      <c r="C787" s="804"/>
      <c r="D787" s="805"/>
      <c r="E787" s="805"/>
      <c r="F787" s="805"/>
    </row>
    <row r="788" spans="3:6">
      <c r="C788" s="804"/>
      <c r="D788" s="805"/>
      <c r="E788" s="805"/>
      <c r="F788" s="805"/>
    </row>
    <row r="789" spans="3:6">
      <c r="C789" s="804"/>
      <c r="D789" s="805"/>
      <c r="E789" s="805"/>
      <c r="F789" s="805"/>
    </row>
    <row r="790" spans="3:6">
      <c r="C790" s="804"/>
      <c r="D790" s="805"/>
      <c r="E790" s="805"/>
      <c r="F790" s="805"/>
    </row>
    <row r="791" spans="3:6">
      <c r="C791" s="804"/>
      <c r="D791" s="805"/>
      <c r="E791" s="805"/>
      <c r="F791" s="805"/>
    </row>
    <row r="792" spans="3:6">
      <c r="C792" s="804"/>
      <c r="D792" s="805"/>
      <c r="E792" s="805"/>
      <c r="F792" s="805"/>
    </row>
    <row r="793" spans="3:6">
      <c r="C793" s="804"/>
      <c r="D793" s="805"/>
      <c r="E793" s="805"/>
      <c r="F793" s="805"/>
    </row>
    <row r="794" spans="3:6">
      <c r="C794" s="804"/>
      <c r="D794" s="805"/>
      <c r="E794" s="805"/>
      <c r="F794" s="805"/>
    </row>
    <row r="795" spans="3:6">
      <c r="C795" s="804"/>
      <c r="D795" s="805"/>
      <c r="E795" s="805"/>
      <c r="F795" s="805"/>
    </row>
    <row r="796" spans="3:6">
      <c r="C796" s="804"/>
      <c r="D796" s="805"/>
      <c r="E796" s="805"/>
      <c r="F796" s="805"/>
    </row>
    <row r="797" spans="3:6">
      <c r="C797" s="804"/>
      <c r="D797" s="805"/>
      <c r="E797" s="805"/>
      <c r="F797" s="805"/>
    </row>
    <row r="798" spans="3:6">
      <c r="C798" s="804"/>
      <c r="D798" s="805"/>
      <c r="E798" s="805"/>
      <c r="F798" s="805"/>
    </row>
    <row r="799" spans="3:6">
      <c r="C799" s="804"/>
      <c r="D799" s="805"/>
      <c r="E799" s="805"/>
      <c r="F799" s="805"/>
    </row>
    <row r="800" spans="3:6">
      <c r="C800" s="804"/>
      <c r="D800" s="805"/>
      <c r="E800" s="805"/>
      <c r="F800" s="805"/>
    </row>
    <row r="801" spans="3:6">
      <c r="C801" s="804"/>
      <c r="D801" s="805"/>
      <c r="E801" s="805"/>
      <c r="F801" s="805"/>
    </row>
    <row r="802" spans="3:6">
      <c r="C802" s="804"/>
      <c r="D802" s="805"/>
      <c r="E802" s="805"/>
      <c r="F802" s="805"/>
    </row>
    <row r="803" spans="3:6">
      <c r="C803" s="804"/>
      <c r="D803" s="805"/>
      <c r="E803" s="805"/>
      <c r="F803" s="805"/>
    </row>
    <row r="804" spans="3:6">
      <c r="C804" s="804"/>
      <c r="D804" s="805"/>
      <c r="E804" s="805"/>
      <c r="F804" s="805"/>
    </row>
    <row r="805" spans="3:6">
      <c r="C805" s="804"/>
      <c r="D805" s="805"/>
      <c r="E805" s="805"/>
      <c r="F805" s="805"/>
    </row>
    <row r="806" spans="3:6">
      <c r="C806" s="804"/>
      <c r="D806" s="805"/>
      <c r="E806" s="805"/>
      <c r="F806" s="805"/>
    </row>
    <row r="807" spans="3:6">
      <c r="C807" s="804"/>
      <c r="D807" s="805"/>
      <c r="E807" s="805"/>
      <c r="F807" s="805"/>
    </row>
    <row r="808" spans="3:6">
      <c r="C808" s="804"/>
      <c r="D808" s="805"/>
      <c r="E808" s="805"/>
      <c r="F808" s="805"/>
    </row>
    <row r="809" spans="3:6">
      <c r="C809" s="804"/>
      <c r="D809" s="805"/>
      <c r="E809" s="805"/>
      <c r="F809" s="805"/>
    </row>
    <row r="810" spans="3:6">
      <c r="C810" s="804"/>
      <c r="D810" s="805"/>
      <c r="E810" s="805"/>
      <c r="F810" s="805"/>
    </row>
    <row r="811" spans="3:6">
      <c r="C811" s="804"/>
      <c r="D811" s="805"/>
      <c r="E811" s="805"/>
      <c r="F811" s="805"/>
    </row>
    <row r="812" spans="3:6">
      <c r="C812" s="804"/>
      <c r="D812" s="805"/>
      <c r="E812" s="805"/>
      <c r="F812" s="805"/>
    </row>
    <row r="813" spans="3:6">
      <c r="C813" s="804"/>
      <c r="D813" s="805"/>
      <c r="E813" s="805"/>
      <c r="F813" s="805"/>
    </row>
    <row r="814" spans="3:6">
      <c r="C814" s="804"/>
      <c r="D814" s="805"/>
      <c r="E814" s="805"/>
      <c r="F814" s="805"/>
    </row>
    <row r="815" spans="3:6">
      <c r="C815" s="804"/>
      <c r="D815" s="805"/>
      <c r="E815" s="805"/>
      <c r="F815" s="805"/>
    </row>
    <row r="816" spans="3:6">
      <c r="C816" s="804"/>
      <c r="D816" s="805"/>
      <c r="E816" s="805"/>
      <c r="F816" s="805"/>
    </row>
    <row r="817" spans="3:6">
      <c r="C817" s="804"/>
      <c r="D817" s="805"/>
      <c r="E817" s="805"/>
      <c r="F817" s="805"/>
    </row>
    <row r="818" spans="3:6">
      <c r="C818" s="804"/>
      <c r="D818" s="805"/>
      <c r="E818" s="805"/>
      <c r="F818" s="805"/>
    </row>
    <row r="819" spans="3:6">
      <c r="C819" s="804"/>
      <c r="D819" s="805"/>
      <c r="E819" s="805"/>
      <c r="F819" s="805"/>
    </row>
    <row r="820" spans="3:6">
      <c r="C820" s="804"/>
      <c r="D820" s="805"/>
      <c r="E820" s="805"/>
      <c r="F820" s="805"/>
    </row>
    <row r="821" spans="3:6">
      <c r="C821" s="804"/>
      <c r="D821" s="805"/>
      <c r="E821" s="805"/>
      <c r="F821" s="805"/>
    </row>
    <row r="822" spans="3:6">
      <c r="C822" s="804"/>
      <c r="D822" s="805"/>
      <c r="E822" s="805"/>
      <c r="F822" s="805"/>
    </row>
    <row r="823" spans="3:6">
      <c r="C823" s="804"/>
      <c r="D823" s="805"/>
      <c r="E823" s="805"/>
      <c r="F823" s="805"/>
    </row>
    <row r="824" spans="3:6">
      <c r="C824" s="804"/>
      <c r="D824" s="805"/>
      <c r="E824" s="805"/>
      <c r="F824" s="805"/>
    </row>
    <row r="825" spans="3:6">
      <c r="C825" s="804"/>
      <c r="D825" s="805"/>
      <c r="E825" s="805"/>
      <c r="F825" s="805"/>
    </row>
    <row r="826" spans="3:6">
      <c r="C826" s="804"/>
      <c r="D826" s="805"/>
      <c r="E826" s="805"/>
      <c r="F826" s="805"/>
    </row>
  </sheetData>
  <mergeCells count="6">
    <mergeCell ref="R29:T29"/>
    <mergeCell ref="A5:C5"/>
    <mergeCell ref="A6:C6"/>
    <mergeCell ref="R7:T7"/>
    <mergeCell ref="R8:T8"/>
    <mergeCell ref="S28:T28"/>
  </mergeCells>
  <conditionalFormatting sqref="F59:F79">
    <cfRule type="colorScale" priority="2">
      <colorScale>
        <cfvo type="min"/>
        <cfvo type="percentile" val="50"/>
        <cfvo type="max"/>
        <color rgb="FFF8696B"/>
        <color rgb="FFFCFCFF"/>
        <color rgb="FF5A8AC6"/>
      </colorScale>
    </cfRule>
  </conditionalFormatting>
  <conditionalFormatting sqref="G59:G79">
    <cfRule type="colorScale" priority="1">
      <colorScale>
        <cfvo type="min"/>
        <cfvo type="percentile" val="50"/>
        <cfvo type="max"/>
        <color rgb="FFF8696B"/>
        <color rgb="FFFCFCFF"/>
        <color rgb="FF5A8AC6"/>
      </colorScale>
    </cfRule>
  </conditionalFormatting>
  <dataValidations count="1">
    <dataValidation type="list" allowBlank="1" showInputMessage="1" showErrorMessage="1" promptTitle="Select a Period:" prompt="Select Financial or Calendar years." sqref="S28:T28">
      <formula1>A1:A2</formula1>
    </dataValidation>
  </dataValidation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sheetPr>
  <dimension ref="A1:AA67"/>
  <sheetViews>
    <sheetView workbookViewId="0"/>
  </sheetViews>
  <sheetFormatPr defaultRowHeight="15"/>
  <cols>
    <col min="1" max="1" width="9.140625" style="52"/>
    <col min="2" max="2" width="15.85546875" style="52" bestFit="1" customWidth="1"/>
    <col min="3" max="3" width="16.28515625" style="948" customWidth="1"/>
    <col min="4" max="4" width="9.28515625" style="52" customWidth="1"/>
    <col min="5" max="6" width="9.28515625" style="798" hidden="1" customWidth="1"/>
    <col min="7" max="7" width="9.28515625" style="52" customWidth="1"/>
    <col min="8" max="8" width="19.7109375" style="948" customWidth="1"/>
    <col min="9" max="9" width="21" style="52" customWidth="1"/>
    <col min="10" max="11" width="9.140625" style="52" hidden="1" customWidth="1"/>
    <col min="12" max="16384" width="9.140625" style="52"/>
  </cols>
  <sheetData>
    <row r="1" spans="1:27">
      <c r="AA1" s="807" t="s">
        <v>545</v>
      </c>
    </row>
    <row r="2" spans="1:27">
      <c r="I2" s="808"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c r="AA2" s="807" t="s">
        <v>546</v>
      </c>
    </row>
    <row r="4" spans="1:27">
      <c r="H4" s="808"/>
    </row>
    <row r="5" spans="1:27">
      <c r="A5" s="1937" t="s">
        <v>61</v>
      </c>
      <c r="B5" s="1937"/>
      <c r="C5" s="1937"/>
      <c r="D5" s="24"/>
      <c r="E5" s="410"/>
      <c r="F5" s="410"/>
      <c r="G5" s="1937" t="s">
        <v>62</v>
      </c>
      <c r="H5" s="1937"/>
      <c r="I5" s="1937"/>
    </row>
    <row r="6" spans="1:27" ht="15.75" thickBot="1">
      <c r="A6" s="1966" t="s">
        <v>54</v>
      </c>
      <c r="B6" s="1966"/>
      <c r="C6" s="1966"/>
      <c r="D6" s="24"/>
      <c r="E6" s="410"/>
      <c r="F6" s="410"/>
      <c r="G6" s="1937" t="str">
        <f>G45</f>
        <v>Historic Calendar Year</v>
      </c>
      <c r="H6" s="1937"/>
      <c r="I6" s="1937"/>
    </row>
    <row r="7" spans="1:27" ht="15.75" thickBot="1">
      <c r="A7" s="1874" t="s">
        <v>52</v>
      </c>
      <c r="B7" s="1035" t="s">
        <v>53</v>
      </c>
      <c r="C7" s="1038" t="s">
        <v>631</v>
      </c>
      <c r="D7" s="24"/>
      <c r="E7" s="410"/>
      <c r="F7" s="410"/>
      <c r="G7" s="28" t="s">
        <v>49</v>
      </c>
      <c r="H7" s="27" t="s">
        <v>55</v>
      </c>
      <c r="I7" s="27" t="s">
        <v>632</v>
      </c>
    </row>
    <row r="8" spans="1:27">
      <c r="A8" s="1875">
        <f>LARGE('Data - Monthly Commodity Prices'!C$159:C$902,60)</f>
        <v>42005</v>
      </c>
      <c r="B8" s="1036">
        <f>SUMIF('Data - Monthly Commodity Prices'!C$159:C$902,A8,'Data - Monthly Commodity Prices'!K$159:K$902)</f>
        <v>18326.243672456574</v>
      </c>
      <c r="C8" s="1037">
        <f>SUMIF('Data - Monthly Commodity Prices'!C$159:C$902,A8,'Data - Monthly Commodity Prices'!L$159:L$902)</f>
        <v>14770.95</v>
      </c>
      <c r="D8" s="24"/>
      <c r="E8" s="410">
        <v>1986</v>
      </c>
      <c r="F8" s="410">
        <v>1987</v>
      </c>
      <c r="G8" s="1878">
        <f>IF($G$6="Historic Calendar Year",1986,CONCATENATE(E8,"-",RIGHT(F8,2)))</f>
        <v>1986</v>
      </c>
      <c r="H8" s="32">
        <f t="array" ref="H8">IF($G$6="Historic Calendar Year",IFERROR(AVERAGE(IF($G8=YEAR('Data - Monthly Commodity Prices'!$C$100:$C$1000),'Data - Monthly Commodity Prices'!$K$100:$K$1000)),"NA"),IFERROR(IF(J8=0,"NA",J8),"NA"))</f>
        <v>5807.2150261370289</v>
      </c>
      <c r="I8" s="32">
        <f t="array" ref="I8">IF($G$6="Historic Calendar Year",IFERROR(AVERAGE(IF($G8=YEAR('Data - Monthly Commodity Prices'!$C$100:$C$1000),'Data - Monthly Commodity Prices'!$L$100:$L$995)),"NA"),IFERROR(IF(K8=0,"NA",K8),"NA"))</f>
        <v>3885.1725000000001</v>
      </c>
      <c r="J8" s="52">
        <f>(SUMIFS('Data - Monthly Commodity Prices'!$K$9:$K$2500,'Data - Monthly Commodity Prices'!$A$9:$A$2500,'Nickel - Prices'!E8,'Data - Monthly Commodity Prices'!$B$9:$B$2500,3)+
SUMIFS('Data - Monthly Commodity Prices'!$K$9:$K$2500,'Data - Monthly Commodity Prices'!$A$9:$A$2500,'Nickel - Prices'!E8,'Data - Monthly Commodity Prices'!$B$9:$B$2500,4)+
SUMIFS('Data - Monthly Commodity Prices'!$K$9:$K$2500,'Data - Monthly Commodity Prices'!$A$9:$A$2500,'Nickel - Prices'!F8,'Data - Monthly Commodity Prices'!$B$9:$B$2500,1)+
SUMIFS('Data - Monthly Commodity Prices'!$K$9:$K$2500,'Data - Monthly Commodity Prices'!$A$9:$A$2500,'Nickel - Prices'!F8,'Data - Monthly Commodity Prices'!$B$9:$B$2500,2))
/(COUNTIFS('Data - Monthly Commodity Prices'!$A$9:$A$2500,'Nickel - Prices'!E8,'Data - Monthly Commodity Prices'!$B$9:$B$2500,3)+
COUNTIFS('Data - Monthly Commodity Prices'!$A$9:$A$2500,'Nickel - Prices'!E8,'Data - Monthly Commodity Prices'!$B$9:$B$2500,4)+
COUNTIFS('Data - Monthly Commodity Prices'!$A$9:$A$2500,'Nickel - Prices'!F8,'Data - Monthly Commodity Prices'!$B$9:$B$2500,1)+
COUNTIFS('Data - Monthly Commodity Prices'!$A$9:$A$2500,'Nickel - Prices'!F8,'Data - Monthly Commodity Prices'!$B$9:$B$2500,2))</f>
        <v>5800.0291876857073</v>
      </c>
      <c r="K8" s="948">
        <f>(SUMIFS('Data - Monthly Commodity Prices'!$L$9:$L$2500,'Data - Monthly Commodity Prices'!$A$9:$A$2500,'Nickel - Prices'!E8,'Data - Monthly Commodity Prices'!$B$9:$B$2500,3)+
SUMIFS('Data - Monthly Commodity Prices'!$L$9:$L$2500,'Data - Monthly Commodity Prices'!$A$9:$A$2500,'Nickel - Prices'!E8,'Data - Monthly Commodity Prices'!$B$9:$B$2500,4)+
SUMIFS('Data - Monthly Commodity Prices'!$L$9:$L$2500,'Data - Monthly Commodity Prices'!$A$9:$A$2500,'Nickel - Prices'!F8,'Data - Monthly Commodity Prices'!$B$9:$B$2500,1)+
SUMIFS('Data - Monthly Commodity Prices'!$L$9:$L$2500,'Data - Monthly Commodity Prices'!$A$9:$A$2500,'Nickel - Prices'!F8,'Data - Monthly Commodity Prices'!$B$9:$B$2500,2))
/(COUNTIFS('Data - Monthly Commodity Prices'!$A$9:$A$2500,'Nickel - Prices'!E8,'Data - Monthly Commodity Prices'!$B$9:$B$2500,3)+
COUNTIFS('Data - Monthly Commodity Prices'!$A$9:$A$2500,'Nickel - Prices'!E8,'Data - Monthly Commodity Prices'!$B$9:$B$2500,4)+
COUNTIFS('Data - Monthly Commodity Prices'!$A$9:$A$2500,'Nickel - Prices'!F8,'Data - Monthly Commodity Prices'!$B$9:$B$2500,1)+
COUNTIFS('Data - Monthly Commodity Prices'!$A$9:$A$2500,'Nickel - Prices'!F8,'Data - Monthly Commodity Prices'!$B$9:$B$2500,2))</f>
        <v>3845.5941666666672</v>
      </c>
    </row>
    <row r="9" spans="1:27">
      <c r="A9" s="1876">
        <f>LARGE('Data - Monthly Commodity Prices'!C$159:C$902,59)</f>
        <v>42036</v>
      </c>
      <c r="B9" s="79">
        <f>SUMIF('Data - Monthly Commodity Prices'!C$159:C$902,A9,'Data - Monthly Commodity Prices'!K$159:K$902)</f>
        <v>18650.712177595276</v>
      </c>
      <c r="C9" s="61">
        <f>SUMIF('Data - Monthly Commodity Prices'!C$159:C$902,A9,'Data - Monthly Commodity Prices'!L$159:L$902)</f>
        <v>14534.5</v>
      </c>
      <c r="D9" s="24"/>
      <c r="E9" s="410">
        <f>E8+1</f>
        <v>1987</v>
      </c>
      <c r="F9" s="410">
        <f>F8+1</f>
        <v>1988</v>
      </c>
      <c r="G9" s="1879">
        <f t="shared" ref="G9:G42" si="0">IF($G$6="Historic Calendar Year",G8+1,CONCATENATE(E9,"-",RIGHT(F9,2)))</f>
        <v>1987</v>
      </c>
      <c r="H9" s="31">
        <f t="array" ref="H9">IF($G$6="Historic Calendar Year",IFERROR(AVERAGE(IF($G9=YEAR('Data - Monthly Commodity Prices'!$C$100:$C$1000),'Data - Monthly Commodity Prices'!$K$100:$K$1000)),"NA"),IFERROR(IF(J9=0,"NA",J9),"NA"))</f>
        <v>6915.6166865840269</v>
      </c>
      <c r="I9" s="31">
        <f t="array" ref="I9">IF($G$6="Historic Calendar Year",IFERROR(AVERAGE(IF($G9=YEAR('Data - Monthly Commodity Prices'!$C$100:$C$1000),'Data - Monthly Commodity Prices'!$L$100:$L$995)),"NA"),IFERROR(IF(K9=0,"NA",K9),"NA"))</f>
        <v>4847.6766666666672</v>
      </c>
      <c r="J9" s="52">
        <f>(SUMIFS('Data - Monthly Commodity Prices'!$K$9:$K$2500,'Data - Monthly Commodity Prices'!$A$9:$A$2500,'Nickel - Prices'!E9,'Data - Monthly Commodity Prices'!$B$9:$B$2500,3)+
SUMIFS('Data - Monthly Commodity Prices'!$K$9:$K$2500,'Data - Monthly Commodity Prices'!$A$9:$A$2500,'Nickel - Prices'!E9,'Data - Monthly Commodity Prices'!$B$9:$B$2500,4)+
SUMIFS('Data - Monthly Commodity Prices'!$K$9:$K$2500,'Data - Monthly Commodity Prices'!$A$9:$A$2500,'Nickel - Prices'!F9,'Data - Monthly Commodity Prices'!$B$9:$B$2500,1)+
SUMIFS('Data - Monthly Commodity Prices'!$K$9:$K$2500,'Data - Monthly Commodity Prices'!$A$9:$A$2500,'Nickel - Prices'!F9,'Data - Monthly Commodity Prices'!$B$9:$B$2500,2))
/(COUNTIFS('Data - Monthly Commodity Prices'!$A$9:$A$2500,'Nickel - Prices'!E9,'Data - Monthly Commodity Prices'!$B$9:$B$2500,3)+
COUNTIFS('Data - Monthly Commodity Prices'!$A$9:$A$2500,'Nickel - Prices'!E9,'Data - Monthly Commodity Prices'!$B$9:$B$2500,4)+
COUNTIFS('Data - Monthly Commodity Prices'!$A$9:$A$2500,'Nickel - Prices'!F9,'Data - Monthly Commodity Prices'!$B$9:$B$2500,1)+
COUNTIFS('Data - Monthly Commodity Prices'!$A$9:$A$2500,'Nickel - Prices'!F9,'Data - Monthly Commodity Prices'!$B$9:$B$2500,2))</f>
        <v>13287.801364695746</v>
      </c>
      <c r="K9" s="1348">
        <f>(SUMIFS('Data - Monthly Commodity Prices'!$L$9:$L$2500,'Data - Monthly Commodity Prices'!$A$9:$A$2500,'Nickel - Prices'!E9,'Data - Monthly Commodity Prices'!$B$9:$B$2500,3)+
SUMIFS('Data - Monthly Commodity Prices'!$L$9:$L$2500,'Data - Monthly Commodity Prices'!$A$9:$A$2500,'Nickel - Prices'!E9,'Data - Monthly Commodity Prices'!$B$9:$B$2500,4)+
SUMIFS('Data - Monthly Commodity Prices'!$L$9:$L$2500,'Data - Monthly Commodity Prices'!$A$9:$A$2500,'Nickel - Prices'!F9,'Data - Monthly Commodity Prices'!$B$9:$B$2500,1)+
SUMIFS('Data - Monthly Commodity Prices'!$L$9:$L$2500,'Data - Monthly Commodity Prices'!$A$9:$A$2500,'Nickel - Prices'!F9,'Data - Monthly Commodity Prices'!$B$9:$B$2500,2))
/(COUNTIFS('Data - Monthly Commodity Prices'!$A$9:$A$2500,'Nickel - Prices'!E9,'Data - Monthly Commodity Prices'!$B$9:$B$2500,3)+
COUNTIFS('Data - Monthly Commodity Prices'!$A$9:$A$2500,'Nickel - Prices'!E9,'Data - Monthly Commodity Prices'!$B$9:$B$2500,4)+
COUNTIFS('Data - Monthly Commodity Prices'!$A$9:$A$2500,'Nickel - Prices'!F9,'Data - Monthly Commodity Prices'!$B$9:$B$2500,1)+
COUNTIFS('Data - Monthly Commodity Prices'!$A$9:$A$2500,'Nickel - Prices'!F9,'Data - Monthly Commodity Prices'!$B$9:$B$2500,2))</f>
        <v>9799.5291666666672</v>
      </c>
    </row>
    <row r="10" spans="1:27">
      <c r="A10" s="1875">
        <f>LARGE('Data - Monthly Commodity Prices'!C$159:C$902,58)</f>
        <v>42064</v>
      </c>
      <c r="B10" s="1036">
        <f>SUMIF('Data - Monthly Commodity Prices'!C$159:C$902,A10,'Data - Monthly Commodity Prices'!K$159:K$902)</f>
        <v>17782.253298835705</v>
      </c>
      <c r="C10" s="1037">
        <f>SUMIF('Data - Monthly Commodity Prices'!C$159:C$902,A10,'Data - Monthly Commodity Prices'!L$159:L$902)</f>
        <v>13745.68</v>
      </c>
      <c r="D10" s="24"/>
      <c r="E10" s="410">
        <f t="shared" ref="E10:F42" si="1">E9+1</f>
        <v>1988</v>
      </c>
      <c r="F10" s="410">
        <f t="shared" si="1"/>
        <v>1989</v>
      </c>
      <c r="G10" s="1880">
        <f t="shared" si="0"/>
        <v>1988</v>
      </c>
      <c r="H10" s="30">
        <f t="array" ref="H10">IF($G$6="Historic Calendar Year",IFERROR(AVERAGE(IF($G10=YEAR('Data - Monthly Commodity Prices'!$C$100:$C$1000),'Data - Monthly Commodity Prices'!$K$100:$K$1000)),"NA"),IFERROR(IF(J10=0,"NA",J10),"NA"))</f>
        <v>17501.997491591781</v>
      </c>
      <c r="I10" s="30">
        <f t="array" ref="I10">IF($G$6="Historic Calendar Year",IFERROR(AVERAGE(IF($G10=YEAR('Data - Monthly Commodity Prices'!$C$100:$C$1000),'Data - Monthly Commodity Prices'!$L$100:$L$995)),"NA"),IFERROR(IF(K10=0,"NA",K10),"NA"))</f>
        <v>13777.604166666666</v>
      </c>
      <c r="J10" s="52">
        <f>(SUMIFS('Data - Monthly Commodity Prices'!$K$9:$K$2500,'Data - Monthly Commodity Prices'!$A$9:$A$2500,'Nickel - Prices'!E10,'Data - Monthly Commodity Prices'!$B$9:$B$2500,3)+
SUMIFS('Data - Monthly Commodity Prices'!$K$9:$K$2500,'Data - Monthly Commodity Prices'!$A$9:$A$2500,'Nickel - Prices'!E10,'Data - Monthly Commodity Prices'!$B$9:$B$2500,4)+
SUMIFS('Data - Monthly Commodity Prices'!$K$9:$K$2500,'Data - Monthly Commodity Prices'!$A$9:$A$2500,'Nickel - Prices'!F10,'Data - Monthly Commodity Prices'!$B$9:$B$2500,1)+
SUMIFS('Data - Monthly Commodity Prices'!$K$9:$K$2500,'Data - Monthly Commodity Prices'!$A$9:$A$2500,'Nickel - Prices'!F10,'Data - Monthly Commodity Prices'!$B$9:$B$2500,2))
/(COUNTIFS('Data - Monthly Commodity Prices'!$A$9:$A$2500,'Nickel - Prices'!E10,'Data - Monthly Commodity Prices'!$B$9:$B$2500,3)+
COUNTIFS('Data - Monthly Commodity Prices'!$A$9:$A$2500,'Nickel - Prices'!E10,'Data - Monthly Commodity Prices'!$B$9:$B$2500,4)+
COUNTIFS('Data - Monthly Commodity Prices'!$A$9:$A$2500,'Nickel - Prices'!F10,'Data - Monthly Commodity Prices'!$B$9:$B$2500,1)+
COUNTIFS('Data - Monthly Commodity Prices'!$A$9:$A$2500,'Nickel - Prices'!F10,'Data - Monthly Commodity Prices'!$B$9:$B$2500,2))</f>
        <v>18020.125593330991</v>
      </c>
      <c r="K10" s="1348">
        <f>(SUMIFS('Data - Monthly Commodity Prices'!$L$9:$L$2500,'Data - Monthly Commodity Prices'!$A$9:$A$2500,'Nickel - Prices'!E10,'Data - Monthly Commodity Prices'!$B$9:$B$2500,3)+
SUMIFS('Data - Monthly Commodity Prices'!$L$9:$L$2500,'Data - Monthly Commodity Prices'!$A$9:$A$2500,'Nickel - Prices'!E10,'Data - Monthly Commodity Prices'!$B$9:$B$2500,4)+
SUMIFS('Data - Monthly Commodity Prices'!$L$9:$L$2500,'Data - Monthly Commodity Prices'!$A$9:$A$2500,'Nickel - Prices'!F10,'Data - Monthly Commodity Prices'!$B$9:$B$2500,1)+
SUMIFS('Data - Monthly Commodity Prices'!$L$9:$L$2500,'Data - Monthly Commodity Prices'!$A$9:$A$2500,'Nickel - Prices'!F10,'Data - Monthly Commodity Prices'!$B$9:$B$2500,2))
/(COUNTIFS('Data - Monthly Commodity Prices'!$A$9:$A$2500,'Nickel - Prices'!E10,'Data - Monthly Commodity Prices'!$B$9:$B$2500,3)+
COUNTIFS('Data - Monthly Commodity Prices'!$A$9:$A$2500,'Nickel - Prices'!E10,'Data - Monthly Commodity Prices'!$B$9:$B$2500,4)+
COUNTIFS('Data - Monthly Commodity Prices'!$A$9:$A$2500,'Nickel - Prices'!F10,'Data - Monthly Commodity Prices'!$B$9:$B$2500,1)+
COUNTIFS('Data - Monthly Commodity Prices'!$A$9:$A$2500,'Nickel - Prices'!F10,'Data - Monthly Commodity Prices'!$B$9:$B$2500,2))</f>
        <v>14658.825000000003</v>
      </c>
    </row>
    <row r="11" spans="1:27">
      <c r="A11" s="1876">
        <f>LARGE('Data - Monthly Commodity Prices'!C$159:C$902,57)</f>
        <v>42095</v>
      </c>
      <c r="B11" s="79">
        <f>SUMIF('Data - Monthly Commodity Prices'!C$159:C$902,A11,'Data - Monthly Commodity Prices'!K$159:K$902)</f>
        <v>16525.856496444732</v>
      </c>
      <c r="C11" s="61">
        <f>SUMIF('Data - Monthly Commodity Prices'!C$159:C$902,A11,'Data - Monthly Commodity Prices'!L$159:L$902)</f>
        <v>12782.75</v>
      </c>
      <c r="D11" s="24"/>
      <c r="E11" s="410">
        <f t="shared" si="1"/>
        <v>1989</v>
      </c>
      <c r="F11" s="410">
        <f t="shared" si="1"/>
        <v>1990</v>
      </c>
      <c r="G11" s="1879">
        <f t="shared" si="0"/>
        <v>1989</v>
      </c>
      <c r="H11" s="31">
        <f t="array" ref="H11">IF($G$6="Historic Calendar Year",IFERROR(AVERAGE(IF($G11=YEAR('Data - Monthly Commodity Prices'!$C$100:$C$1000),'Data - Monthly Commodity Prices'!$K$100:$K$1000)),"NA"),IFERROR(IF(J11=0,"NA",J11),"NA"))</f>
        <v>16739.080022841492</v>
      </c>
      <c r="I11" s="31">
        <f t="array" ref="I11">IF($G$6="Historic Calendar Year",IFERROR(AVERAGE(IF($G11=YEAR('Data - Monthly Commodity Prices'!$C$100:$C$1000),'Data - Monthly Commodity Prices'!$L$100:$L$995)),"NA"),IFERROR(IF(K11=0,"NA",K11),"NA"))</f>
        <v>13236.366666666669</v>
      </c>
      <c r="J11" s="948">
        <f>(SUMIFS('Data - Monthly Commodity Prices'!$K$9:$K$2500,'Data - Monthly Commodity Prices'!$A$9:$A$2500,'Nickel - Prices'!E11,'Data - Monthly Commodity Prices'!$B$9:$B$2500,3)+
SUMIFS('Data - Monthly Commodity Prices'!$K$9:$K$2500,'Data - Monthly Commodity Prices'!$A$9:$A$2500,'Nickel - Prices'!E11,'Data - Monthly Commodity Prices'!$B$9:$B$2500,4)+
SUMIFS('Data - Monthly Commodity Prices'!$K$9:$K$2500,'Data - Monthly Commodity Prices'!$A$9:$A$2500,'Nickel - Prices'!F11,'Data - Monthly Commodity Prices'!$B$9:$B$2500,1)+
SUMIFS('Data - Monthly Commodity Prices'!$K$9:$K$2500,'Data - Monthly Commodity Prices'!$A$9:$A$2500,'Nickel - Prices'!F11,'Data - Monthly Commodity Prices'!$B$9:$B$2500,2))
/(COUNTIFS('Data - Monthly Commodity Prices'!$A$9:$A$2500,'Nickel - Prices'!E11,'Data - Monthly Commodity Prices'!$B$9:$B$2500,3)+
COUNTIFS('Data - Monthly Commodity Prices'!$A$9:$A$2500,'Nickel - Prices'!E11,'Data - Monthly Commodity Prices'!$B$9:$B$2500,4)+
COUNTIFS('Data - Monthly Commodity Prices'!$A$9:$A$2500,'Nickel - Prices'!F11,'Data - Monthly Commodity Prices'!$B$9:$B$2500,1)+
COUNTIFS('Data - Monthly Commodity Prices'!$A$9:$A$2500,'Nickel - Prices'!F11,'Data - Monthly Commodity Prices'!$B$9:$B$2500,2))</f>
        <v>12383.399686602605</v>
      </c>
      <c r="K11" s="1348">
        <f>(SUMIFS('Data - Monthly Commodity Prices'!$L$9:$L$2500,'Data - Monthly Commodity Prices'!$A$9:$A$2500,'Nickel - Prices'!E11,'Data - Monthly Commodity Prices'!$B$9:$B$2500,3)+
SUMIFS('Data - Monthly Commodity Prices'!$L$9:$L$2500,'Data - Monthly Commodity Prices'!$A$9:$A$2500,'Nickel - Prices'!E11,'Data - Monthly Commodity Prices'!$B$9:$B$2500,4)+
SUMIFS('Data - Monthly Commodity Prices'!$L$9:$L$2500,'Data - Monthly Commodity Prices'!$A$9:$A$2500,'Nickel - Prices'!F11,'Data - Monthly Commodity Prices'!$B$9:$B$2500,1)+
SUMIFS('Data - Monthly Commodity Prices'!$L$9:$L$2500,'Data - Monthly Commodity Prices'!$A$9:$A$2500,'Nickel - Prices'!F11,'Data - Monthly Commodity Prices'!$B$9:$B$2500,2))
/(COUNTIFS('Data - Monthly Commodity Prices'!$A$9:$A$2500,'Nickel - Prices'!E11,'Data - Monthly Commodity Prices'!$B$9:$B$2500,3)+
COUNTIFS('Data - Monthly Commodity Prices'!$A$9:$A$2500,'Nickel - Prices'!E11,'Data - Monthly Commodity Prices'!$B$9:$B$2500,4)+
COUNTIFS('Data - Monthly Commodity Prices'!$A$9:$A$2500,'Nickel - Prices'!F11,'Data - Monthly Commodity Prices'!$B$9:$B$2500,1)+
COUNTIFS('Data - Monthly Commodity Prices'!$A$9:$A$2500,'Nickel - Prices'!F11,'Data - Monthly Commodity Prices'!$B$9:$B$2500,2))</f>
        <v>9534.4166666666661</v>
      </c>
    </row>
    <row r="12" spans="1:27">
      <c r="A12" s="1875">
        <f>LARGE('Data - Monthly Commodity Prices'!C$159:C$902,56)</f>
        <v>42125</v>
      </c>
      <c r="B12" s="1036">
        <f>SUMIF('Data - Monthly Commodity Prices'!C$159:C$902,A12,'Data - Monthly Commodity Prices'!K$159:K$902)</f>
        <v>17130.290895257418</v>
      </c>
      <c r="C12" s="1037">
        <f>SUMIF('Data - Monthly Commodity Prices'!C$159:C$902,A12,'Data - Monthly Commodity Prices'!L$159:L$902)</f>
        <v>13508.95</v>
      </c>
      <c r="D12" s="24"/>
      <c r="E12" s="410">
        <f t="shared" si="1"/>
        <v>1990</v>
      </c>
      <c r="F12" s="410">
        <f t="shared" si="1"/>
        <v>1991</v>
      </c>
      <c r="G12" s="1880">
        <f t="shared" si="0"/>
        <v>1990</v>
      </c>
      <c r="H12" s="30">
        <f t="array" ref="H12">IF($G$6="Historic Calendar Year",IFERROR(AVERAGE(IF($G12=YEAR('Data - Monthly Commodity Prices'!$C$100:$C$1000),'Data - Monthly Commodity Prices'!$K$100:$K$1000)),"NA"),IFERROR(IF(J12=0,"NA",J12),"NA"))</f>
        <v>11327.307748945481</v>
      </c>
      <c r="I12" s="30">
        <f t="array" ref="I12">IF($G$6="Historic Calendar Year",IFERROR(AVERAGE(IF($G12=YEAR('Data - Monthly Commodity Prices'!$C$100:$C$1000),'Data - Monthly Commodity Prices'!$L$100:$L$995)),"NA"),IFERROR(IF(K12=0,"NA",K12),"NA"))</f>
        <v>8849.7666666666682</v>
      </c>
      <c r="J12" s="948">
        <f>(SUMIFS('Data - Monthly Commodity Prices'!$K$9:$K$2500,'Data - Monthly Commodity Prices'!$A$9:$A$2500,'Nickel - Prices'!E12,'Data - Monthly Commodity Prices'!$B$9:$B$2500,3)+
SUMIFS('Data - Monthly Commodity Prices'!$K$9:$K$2500,'Data - Monthly Commodity Prices'!$A$9:$A$2500,'Nickel - Prices'!E12,'Data - Monthly Commodity Prices'!$B$9:$B$2500,4)+
SUMIFS('Data - Monthly Commodity Prices'!$K$9:$K$2500,'Data - Monthly Commodity Prices'!$A$9:$A$2500,'Nickel - Prices'!F12,'Data - Monthly Commodity Prices'!$B$9:$B$2500,1)+
SUMIFS('Data - Monthly Commodity Prices'!$K$9:$K$2500,'Data - Monthly Commodity Prices'!$A$9:$A$2500,'Nickel - Prices'!F12,'Data - Monthly Commodity Prices'!$B$9:$B$2500,2))
/(COUNTIFS('Data - Monthly Commodity Prices'!$A$9:$A$2500,'Nickel - Prices'!E12,'Data - Monthly Commodity Prices'!$B$9:$B$2500,3)+
COUNTIFS('Data - Monthly Commodity Prices'!$A$9:$A$2500,'Nickel - Prices'!E12,'Data - Monthly Commodity Prices'!$B$9:$B$2500,4)+
COUNTIFS('Data - Monthly Commodity Prices'!$A$9:$A$2500,'Nickel - Prices'!F12,'Data - Monthly Commodity Prices'!$B$9:$B$2500,1)+
COUNTIFS('Data - Monthly Commodity Prices'!$A$9:$A$2500,'Nickel - Prices'!F12,'Data - Monthly Commodity Prices'!$B$9:$B$2500,2))</f>
        <v>11492.850463917444</v>
      </c>
      <c r="K12" s="1348">
        <f>(SUMIFS('Data - Monthly Commodity Prices'!$L$9:$L$2500,'Data - Monthly Commodity Prices'!$A$9:$A$2500,'Nickel - Prices'!E12,'Data - Monthly Commodity Prices'!$B$9:$B$2500,3)+
SUMIFS('Data - Monthly Commodity Prices'!$L$9:$L$2500,'Data - Monthly Commodity Prices'!$A$9:$A$2500,'Nickel - Prices'!E12,'Data - Monthly Commodity Prices'!$B$9:$B$2500,4)+
SUMIFS('Data - Monthly Commodity Prices'!$L$9:$L$2500,'Data - Monthly Commodity Prices'!$A$9:$A$2500,'Nickel - Prices'!F12,'Data - Monthly Commodity Prices'!$B$9:$B$2500,1)+
SUMIFS('Data - Monthly Commodity Prices'!$L$9:$L$2500,'Data - Monthly Commodity Prices'!$A$9:$A$2500,'Nickel - Prices'!F12,'Data - Monthly Commodity Prices'!$B$9:$B$2500,2))
/(COUNTIFS('Data - Monthly Commodity Prices'!$A$9:$A$2500,'Nickel - Prices'!E12,'Data - Monthly Commodity Prices'!$B$9:$B$2500,3)+
COUNTIFS('Data - Monthly Commodity Prices'!$A$9:$A$2500,'Nickel - Prices'!E12,'Data - Monthly Commodity Prices'!$B$9:$B$2500,4)+
COUNTIFS('Data - Monthly Commodity Prices'!$A$9:$A$2500,'Nickel - Prices'!F12,'Data - Monthly Commodity Prices'!$B$9:$B$2500,1)+
COUNTIFS('Data - Monthly Commodity Prices'!$A$9:$A$2500,'Nickel - Prices'!F12,'Data - Monthly Commodity Prices'!$B$9:$B$2500,2))</f>
        <v>9036.7616666666654</v>
      </c>
    </row>
    <row r="13" spans="1:27">
      <c r="A13" s="1876">
        <f>LARGE('Data - Monthly Commodity Prices'!C$159:C$902,55)</f>
        <v>42156</v>
      </c>
      <c r="B13" s="79">
        <f>SUMIF('Data - Monthly Commodity Prices'!C$159:C$902,A13,'Data - Monthly Commodity Prices'!K$159:K$902)</f>
        <v>16547.679269713841</v>
      </c>
      <c r="C13" s="61">
        <f>SUMIF('Data - Monthly Commodity Prices'!C$159:C$902,A13,'Data - Monthly Commodity Prices'!L$159:L$902)</f>
        <v>12779.77</v>
      </c>
      <c r="D13" s="24"/>
      <c r="E13" s="410">
        <f t="shared" si="1"/>
        <v>1991</v>
      </c>
      <c r="F13" s="410">
        <f t="shared" si="1"/>
        <v>1992</v>
      </c>
      <c r="G13" s="1879">
        <f t="shared" si="0"/>
        <v>1991</v>
      </c>
      <c r="H13" s="31">
        <f t="array" ref="H13">IF($G$6="Historic Calendar Year",IFERROR(AVERAGE(IF($G13=YEAR('Data - Monthly Commodity Prices'!$C$100:$C$1000),'Data - Monthly Commodity Prices'!$K$100:$K$1000)),"NA"),IFERROR(IF(J13=0,"NA",J13),"NA"))</f>
        <v>10446.445002742164</v>
      </c>
      <c r="I13" s="31">
        <f t="array" ref="I13">IF($G$6="Historic Calendar Year",IFERROR(AVERAGE(IF($G13=YEAR('Data - Monthly Commodity Prices'!$C$100:$C$1000),'Data - Monthly Commodity Prices'!$L$100:$L$995)),"NA"),IFERROR(IF(K13=0,"NA",K13),"NA"))</f>
        <v>8148.1041666666679</v>
      </c>
      <c r="J13" s="948">
        <f>(SUMIFS('Data - Monthly Commodity Prices'!$K$9:$K$2500,'Data - Monthly Commodity Prices'!$A$9:$A$2500,'Nickel - Prices'!E13,'Data - Monthly Commodity Prices'!$B$9:$B$2500,3)+
SUMIFS('Data - Monthly Commodity Prices'!$K$9:$K$2500,'Data - Monthly Commodity Prices'!$A$9:$A$2500,'Nickel - Prices'!E13,'Data - Monthly Commodity Prices'!$B$9:$B$2500,4)+
SUMIFS('Data - Monthly Commodity Prices'!$K$9:$K$2500,'Data - Monthly Commodity Prices'!$A$9:$A$2500,'Nickel - Prices'!F13,'Data - Monthly Commodity Prices'!$B$9:$B$2500,1)+
SUMIFS('Data - Monthly Commodity Prices'!$K$9:$K$2500,'Data - Monthly Commodity Prices'!$A$9:$A$2500,'Nickel - Prices'!F13,'Data - Monthly Commodity Prices'!$B$9:$B$2500,2))
/(COUNTIFS('Data - Monthly Commodity Prices'!$A$9:$A$2500,'Nickel - Prices'!E13,'Data - Monthly Commodity Prices'!$B$9:$B$2500,3)+
COUNTIFS('Data - Monthly Commodity Prices'!$A$9:$A$2500,'Nickel - Prices'!E13,'Data - Monthly Commodity Prices'!$B$9:$B$2500,4)+
COUNTIFS('Data - Monthly Commodity Prices'!$A$9:$A$2500,'Nickel - Prices'!F13,'Data - Monthly Commodity Prices'!$B$9:$B$2500,1)+
COUNTIFS('Data - Monthly Commodity Prices'!$A$9:$A$2500,'Nickel - Prices'!F13,'Data - Monthly Commodity Prices'!$B$9:$B$2500,2))</f>
        <v>9826.3122063005649</v>
      </c>
      <c r="K13" s="1348">
        <f>(SUMIFS('Data - Monthly Commodity Prices'!$L$9:$L$2500,'Data - Monthly Commodity Prices'!$A$9:$A$2500,'Nickel - Prices'!E13,'Data - Monthly Commodity Prices'!$B$9:$B$2500,3)+
SUMIFS('Data - Monthly Commodity Prices'!$L$9:$L$2500,'Data - Monthly Commodity Prices'!$A$9:$A$2500,'Nickel - Prices'!E13,'Data - Monthly Commodity Prices'!$B$9:$B$2500,4)+
SUMIFS('Data - Monthly Commodity Prices'!$L$9:$L$2500,'Data - Monthly Commodity Prices'!$A$9:$A$2500,'Nickel - Prices'!F13,'Data - Monthly Commodity Prices'!$B$9:$B$2500,1)+
SUMIFS('Data - Monthly Commodity Prices'!$L$9:$L$2500,'Data - Monthly Commodity Prices'!$A$9:$A$2500,'Nickel - Prices'!F13,'Data - Monthly Commodity Prices'!$B$9:$B$2500,2))
/(COUNTIFS('Data - Monthly Commodity Prices'!$A$9:$A$2500,'Nickel - Prices'!E13,'Data - Monthly Commodity Prices'!$B$9:$B$2500,3)+
COUNTIFS('Data - Monthly Commodity Prices'!$A$9:$A$2500,'Nickel - Prices'!E13,'Data - Monthly Commodity Prices'!$B$9:$B$2500,4)+
COUNTIFS('Data - Monthly Commodity Prices'!$A$9:$A$2500,'Nickel - Prices'!F13,'Data - Monthly Commodity Prices'!$B$9:$B$2500,1)+
COUNTIFS('Data - Monthly Commodity Prices'!$A$9:$A$2500,'Nickel - Prices'!F13,'Data - Monthly Commodity Prices'!$B$9:$B$2500,2))</f>
        <v>7569.251666666667</v>
      </c>
    </row>
    <row r="14" spans="1:27">
      <c r="A14" s="1875">
        <f>LARGE('Data - Monthly Commodity Prices'!C$159:C$902,54)</f>
        <v>42186</v>
      </c>
      <c r="B14" s="1036">
        <f>SUMIF('Data - Monthly Commodity Prices'!C$159:C$902,A14,'Data - Monthly Commodity Prices'!K$159:K$902)</f>
        <v>15367.619921716831</v>
      </c>
      <c r="C14" s="1037">
        <f>SUMIF('Data - Monthly Commodity Prices'!C$159:C$902,A14,'Data - Monthly Commodity Prices'!L$159:L$902)</f>
        <v>11385.87</v>
      </c>
      <c r="D14" s="24"/>
      <c r="E14" s="410">
        <f t="shared" si="1"/>
        <v>1992</v>
      </c>
      <c r="F14" s="410">
        <f t="shared" si="1"/>
        <v>1993</v>
      </c>
      <c r="G14" s="1880">
        <f t="shared" si="0"/>
        <v>1992</v>
      </c>
      <c r="H14" s="30">
        <f t="array" ref="H14">IF($G$6="Historic Calendar Year",IFERROR(AVERAGE(IF($G14=YEAR('Data - Monthly Commodity Prices'!$C$100:$C$1000),'Data - Monthly Commodity Prices'!$K$100:$K$1000)),"NA"),IFERROR(IF(J14=0,"NA",J14),"NA"))</f>
        <v>9561.6627223322776</v>
      </c>
      <c r="I14" s="30">
        <f t="array" ref="I14">IF($G$6="Historic Calendar Year",IFERROR(AVERAGE(IF($G14=YEAR('Data - Monthly Commodity Prices'!$C$100:$C$1000),'Data - Monthly Commodity Prices'!$L$100:$L$995)),"NA"),IFERROR(IF(K14=0,"NA",K14),"NA"))</f>
        <v>7005.3058333333347</v>
      </c>
      <c r="J14" s="948">
        <f>(SUMIFS('Data - Monthly Commodity Prices'!$K$9:$K$2500,'Data - Monthly Commodity Prices'!$A$9:$A$2500,'Nickel - Prices'!E14,'Data - Monthly Commodity Prices'!$B$9:$B$2500,3)+
SUMIFS('Data - Monthly Commodity Prices'!$K$9:$K$2500,'Data - Monthly Commodity Prices'!$A$9:$A$2500,'Nickel - Prices'!E14,'Data - Monthly Commodity Prices'!$B$9:$B$2500,4)+
SUMIFS('Data - Monthly Commodity Prices'!$K$9:$K$2500,'Data - Monthly Commodity Prices'!$A$9:$A$2500,'Nickel - Prices'!F14,'Data - Monthly Commodity Prices'!$B$9:$B$2500,1)+
SUMIFS('Data - Monthly Commodity Prices'!$K$9:$K$2500,'Data - Monthly Commodity Prices'!$A$9:$A$2500,'Nickel - Prices'!F14,'Data - Monthly Commodity Prices'!$B$9:$B$2500,2))
/(COUNTIFS('Data - Monthly Commodity Prices'!$A$9:$A$2500,'Nickel - Prices'!E14,'Data - Monthly Commodity Prices'!$B$9:$B$2500,3)+
COUNTIFS('Data - Monthly Commodity Prices'!$A$9:$A$2500,'Nickel - Prices'!E14,'Data - Monthly Commodity Prices'!$B$9:$B$2500,4)+
COUNTIFS('Data - Monthly Commodity Prices'!$A$9:$A$2500,'Nickel - Prices'!F14,'Data - Monthly Commodity Prices'!$B$9:$B$2500,1)+
COUNTIFS('Data - Monthly Commodity Prices'!$A$9:$A$2500,'Nickel - Prices'!F14,'Data - Monthly Commodity Prices'!$B$9:$B$2500,2))</f>
        <v>8877.8727609293946</v>
      </c>
      <c r="K14" s="1348">
        <f>(SUMIFS('Data - Monthly Commodity Prices'!$L$9:$L$2500,'Data - Monthly Commodity Prices'!$A$9:$A$2500,'Nickel - Prices'!E14,'Data - Monthly Commodity Prices'!$B$9:$B$2500,3)+
SUMIFS('Data - Monthly Commodity Prices'!$L$9:$L$2500,'Data - Monthly Commodity Prices'!$A$9:$A$2500,'Nickel - Prices'!E14,'Data - Monthly Commodity Prices'!$B$9:$B$2500,4)+
SUMIFS('Data - Monthly Commodity Prices'!$L$9:$L$2500,'Data - Monthly Commodity Prices'!$A$9:$A$2500,'Nickel - Prices'!F14,'Data - Monthly Commodity Prices'!$B$9:$B$2500,1)+
SUMIFS('Data - Monthly Commodity Prices'!$L$9:$L$2500,'Data - Monthly Commodity Prices'!$A$9:$A$2500,'Nickel - Prices'!F14,'Data - Monthly Commodity Prices'!$B$9:$B$2500,2))
/(COUNTIFS('Data - Monthly Commodity Prices'!$A$9:$A$2500,'Nickel - Prices'!E14,'Data - Monthly Commodity Prices'!$B$9:$B$2500,3)+
COUNTIFS('Data - Monthly Commodity Prices'!$A$9:$A$2500,'Nickel - Prices'!E14,'Data - Monthly Commodity Prices'!$B$9:$B$2500,4)+
COUNTIFS('Data - Monthly Commodity Prices'!$A$9:$A$2500,'Nickel - Prices'!F14,'Data - Monthly Commodity Prices'!$B$9:$B$2500,1)+
COUNTIFS('Data - Monthly Commodity Prices'!$A$9:$A$2500,'Nickel - Prices'!F14,'Data - Monthly Commodity Prices'!$B$9:$B$2500,2))</f>
        <v>6219.1308333333336</v>
      </c>
    </row>
    <row r="15" spans="1:27">
      <c r="A15" s="1876">
        <f>LARGE('Data - Monthly Commodity Prices'!C$159:C$902,53)</f>
        <v>42217</v>
      </c>
      <c r="B15" s="79">
        <f>SUMIF('Data - Monthly Commodity Prices'!C$159:C$902,A15,'Data - Monthly Commodity Prices'!K$159:K$902)</f>
        <v>14175.233004385964</v>
      </c>
      <c r="C15" s="61">
        <f>SUMIF('Data - Monthly Commodity Prices'!C$159:C$902,A15,'Data - Monthly Commodity Prices'!L$159:L$902)</f>
        <v>10342.25</v>
      </c>
      <c r="D15" s="24"/>
      <c r="E15" s="410">
        <f t="shared" si="1"/>
        <v>1993</v>
      </c>
      <c r="F15" s="410">
        <f t="shared" si="1"/>
        <v>1994</v>
      </c>
      <c r="G15" s="1879">
        <f t="shared" si="0"/>
        <v>1993</v>
      </c>
      <c r="H15" s="31">
        <f t="array" ref="H15">IF($G$6="Historic Calendar Year",IFERROR(AVERAGE(IF($G15=YEAR('Data - Monthly Commodity Prices'!$C$100:$C$1000),'Data - Monthly Commodity Prices'!$K$100:$K$1000)),"NA"),IFERROR(IF(J15=0,"NA",J15),"NA"))</f>
        <v>7771.1658552236213</v>
      </c>
      <c r="I15" s="31">
        <f t="array" ref="I15">IF($G$6="Historic Calendar Year",IFERROR(AVERAGE(IF($G15=YEAR('Data - Monthly Commodity Prices'!$C$100:$C$1000),'Data - Monthly Commodity Prices'!$L$100:$L$995)),"NA"),IFERROR(IF(K15=0,"NA",K15),"NA"))</f>
        <v>5292.8183333333336</v>
      </c>
      <c r="J15" s="948">
        <f>(SUMIFS('Data - Monthly Commodity Prices'!$K$9:$K$2500,'Data - Monthly Commodity Prices'!$A$9:$A$2500,'Nickel - Prices'!E15,'Data - Monthly Commodity Prices'!$B$9:$B$2500,3)+
SUMIFS('Data - Monthly Commodity Prices'!$K$9:$K$2500,'Data - Monthly Commodity Prices'!$A$9:$A$2500,'Nickel - Prices'!E15,'Data - Monthly Commodity Prices'!$B$9:$B$2500,4)+
SUMIFS('Data - Monthly Commodity Prices'!$K$9:$K$2500,'Data - Monthly Commodity Prices'!$A$9:$A$2500,'Nickel - Prices'!F15,'Data - Monthly Commodity Prices'!$B$9:$B$2500,1)+
SUMIFS('Data - Monthly Commodity Prices'!$K$9:$K$2500,'Data - Monthly Commodity Prices'!$A$9:$A$2500,'Nickel - Prices'!F15,'Data - Monthly Commodity Prices'!$B$9:$B$2500,2))
/(COUNTIFS('Data - Monthly Commodity Prices'!$A$9:$A$2500,'Nickel - Prices'!E15,'Data - Monthly Commodity Prices'!$B$9:$B$2500,3)+
COUNTIFS('Data - Monthly Commodity Prices'!$A$9:$A$2500,'Nickel - Prices'!E15,'Data - Monthly Commodity Prices'!$B$9:$B$2500,4)+
COUNTIFS('Data - Monthly Commodity Prices'!$A$9:$A$2500,'Nickel - Prices'!F15,'Data - Monthly Commodity Prices'!$B$9:$B$2500,1)+
COUNTIFS('Data - Monthly Commodity Prices'!$A$9:$A$2500,'Nickel - Prices'!F15,'Data - Monthly Commodity Prices'!$B$9:$B$2500,2))</f>
        <v>7570.9526926432527</v>
      </c>
      <c r="K15" s="1348">
        <f>(SUMIFS('Data - Monthly Commodity Prices'!$L$9:$L$2500,'Data - Monthly Commodity Prices'!$A$9:$A$2500,'Nickel - Prices'!E15,'Data - Monthly Commodity Prices'!$B$9:$B$2500,3)+
SUMIFS('Data - Monthly Commodity Prices'!$L$9:$L$2500,'Data - Monthly Commodity Prices'!$A$9:$A$2500,'Nickel - Prices'!E15,'Data - Monthly Commodity Prices'!$B$9:$B$2500,4)+
SUMIFS('Data - Monthly Commodity Prices'!$L$9:$L$2500,'Data - Monthly Commodity Prices'!$A$9:$A$2500,'Nickel - Prices'!F15,'Data - Monthly Commodity Prices'!$B$9:$B$2500,1)+
SUMIFS('Data - Monthly Commodity Prices'!$L$9:$L$2500,'Data - Monthly Commodity Prices'!$A$9:$A$2500,'Nickel - Prices'!F15,'Data - Monthly Commodity Prices'!$B$9:$B$2500,2))
/(COUNTIFS('Data - Monthly Commodity Prices'!$A$9:$A$2500,'Nickel - Prices'!E15,'Data - Monthly Commodity Prices'!$B$9:$B$2500,3)+
COUNTIFS('Data - Monthly Commodity Prices'!$A$9:$A$2500,'Nickel - Prices'!E15,'Data - Monthly Commodity Prices'!$B$9:$B$2500,4)+
COUNTIFS('Data - Monthly Commodity Prices'!$A$9:$A$2500,'Nickel - Prices'!F15,'Data - Monthly Commodity Prices'!$B$9:$B$2500,1)+
COUNTIFS('Data - Monthly Commodity Prices'!$A$9:$A$2500,'Nickel - Prices'!F15,'Data - Monthly Commodity Prices'!$B$9:$B$2500,2))</f>
        <v>5257.4966666666669</v>
      </c>
    </row>
    <row r="16" spans="1:27">
      <c r="A16" s="1875">
        <f>LARGE('Data - Monthly Commodity Prices'!C$159:C$902,52)</f>
        <v>42248</v>
      </c>
      <c r="B16" s="1036">
        <f>SUMIF('Data - Monthly Commodity Prices'!C$159:C$902,A16,'Data - Monthly Commodity Prices'!K$159:K$902)</f>
        <v>14030.345995747697</v>
      </c>
      <c r="C16" s="1037">
        <f>SUMIF('Data - Monthly Commodity Prices'!C$159:C$902,A16,'Data - Monthly Commodity Prices'!L$159:L$902)</f>
        <v>9898.41</v>
      </c>
      <c r="D16" s="24"/>
      <c r="E16" s="410">
        <f t="shared" si="1"/>
        <v>1994</v>
      </c>
      <c r="F16" s="410">
        <f t="shared" si="1"/>
        <v>1995</v>
      </c>
      <c r="G16" s="1880">
        <f t="shared" si="0"/>
        <v>1994</v>
      </c>
      <c r="H16" s="30">
        <f t="array" ref="H16">IF($G$6="Historic Calendar Year",IFERROR(AVERAGE(IF($G16=YEAR('Data - Monthly Commodity Prices'!$C$100:$C$1000),'Data - Monthly Commodity Prices'!$K$100:$K$1000)),"NA"),IFERROR(IF(J16=0,"NA",J16),"NA"))</f>
        <v>8607.6626839952078</v>
      </c>
      <c r="I16" s="30">
        <f t="array" ref="I16">IF($G$6="Historic Calendar Year",IFERROR(AVERAGE(IF($G16=YEAR('Data - Monthly Commodity Prices'!$C$100:$C$1000),'Data - Monthly Commodity Prices'!$L$100:$L$995)),"NA"),IFERROR(IF(K16=0,"NA",K16),"NA"))</f>
        <v>6340.3233333333337</v>
      </c>
      <c r="J16" s="948">
        <f>(SUMIFS('Data - Monthly Commodity Prices'!$K$9:$K$2500,'Data - Monthly Commodity Prices'!$A$9:$A$2500,'Nickel - Prices'!E16,'Data - Monthly Commodity Prices'!$B$9:$B$2500,3)+
SUMIFS('Data - Monthly Commodity Prices'!$K$9:$K$2500,'Data - Monthly Commodity Prices'!$A$9:$A$2500,'Nickel - Prices'!E16,'Data - Monthly Commodity Prices'!$B$9:$B$2500,4)+
SUMIFS('Data - Monthly Commodity Prices'!$K$9:$K$2500,'Data - Monthly Commodity Prices'!$A$9:$A$2500,'Nickel - Prices'!F16,'Data - Monthly Commodity Prices'!$B$9:$B$2500,1)+
SUMIFS('Data - Monthly Commodity Prices'!$K$9:$K$2500,'Data - Monthly Commodity Prices'!$A$9:$A$2500,'Nickel - Prices'!F16,'Data - Monthly Commodity Prices'!$B$9:$B$2500,2))
/(COUNTIFS('Data - Monthly Commodity Prices'!$A$9:$A$2500,'Nickel - Prices'!E16,'Data - Monthly Commodity Prices'!$B$9:$B$2500,3)+
COUNTIFS('Data - Monthly Commodity Prices'!$A$9:$A$2500,'Nickel - Prices'!E16,'Data - Monthly Commodity Prices'!$B$9:$B$2500,4)+
COUNTIFS('Data - Monthly Commodity Prices'!$A$9:$A$2500,'Nickel - Prices'!F16,'Data - Monthly Commodity Prices'!$B$9:$B$2500,1)+
COUNTIFS('Data - Monthly Commodity Prices'!$A$9:$A$2500,'Nickel - Prices'!F16,'Data - Monthly Commodity Prices'!$B$9:$B$2500,2))</f>
        <v>10063.282960094786</v>
      </c>
      <c r="K16" s="1348">
        <f>(SUMIFS('Data - Monthly Commodity Prices'!$L$9:$L$2500,'Data - Monthly Commodity Prices'!$A$9:$A$2500,'Nickel - Prices'!E16,'Data - Monthly Commodity Prices'!$B$9:$B$2500,3)+
SUMIFS('Data - Monthly Commodity Prices'!$L$9:$L$2500,'Data - Monthly Commodity Prices'!$A$9:$A$2500,'Nickel - Prices'!E16,'Data - Monthly Commodity Prices'!$B$9:$B$2500,4)+
SUMIFS('Data - Monthly Commodity Prices'!$L$9:$L$2500,'Data - Monthly Commodity Prices'!$A$9:$A$2500,'Nickel - Prices'!F16,'Data - Monthly Commodity Prices'!$B$9:$B$2500,1)+
SUMIFS('Data - Monthly Commodity Prices'!$L$9:$L$2500,'Data - Monthly Commodity Prices'!$A$9:$A$2500,'Nickel - Prices'!F16,'Data - Monthly Commodity Prices'!$B$9:$B$2500,2))
/(COUNTIFS('Data - Monthly Commodity Prices'!$A$9:$A$2500,'Nickel - Prices'!E16,'Data - Monthly Commodity Prices'!$B$9:$B$2500,3)+
COUNTIFS('Data - Monthly Commodity Prices'!$A$9:$A$2500,'Nickel - Prices'!E16,'Data - Monthly Commodity Prices'!$B$9:$B$2500,4)+
COUNTIFS('Data - Monthly Commodity Prices'!$A$9:$A$2500,'Nickel - Prices'!F16,'Data - Monthly Commodity Prices'!$B$9:$B$2500,1)+
COUNTIFS('Data - Monthly Commodity Prices'!$A$9:$A$2500,'Nickel - Prices'!F16,'Data - Monthly Commodity Prices'!$B$9:$B$2500,2))</f>
        <v>7454.0808333333334</v>
      </c>
    </row>
    <row r="17" spans="1:11">
      <c r="A17" s="1876">
        <f>LARGE('Data - Monthly Commodity Prices'!C$159:C$902,51)</f>
        <v>42278</v>
      </c>
      <c r="B17" s="79">
        <f>SUMIF('Data - Monthly Commodity Prices'!C$159:C$902,A17,'Data - Monthly Commodity Prices'!K$159:K$902)</f>
        <v>14354.830557868441</v>
      </c>
      <c r="C17" s="61">
        <f>SUMIF('Data - Monthly Commodity Prices'!C$159:C$902,A17,'Data - Monthly Commodity Prices'!L$159:L$902)</f>
        <v>10344.09</v>
      </c>
      <c r="D17" s="24"/>
      <c r="E17" s="410">
        <f t="shared" si="1"/>
        <v>1995</v>
      </c>
      <c r="F17" s="410">
        <f t="shared" si="1"/>
        <v>1996</v>
      </c>
      <c r="G17" s="1879">
        <f t="shared" si="0"/>
        <v>1995</v>
      </c>
      <c r="H17" s="31">
        <f t="array" ref="H17">IF($G$6="Historic Calendar Year",IFERROR(AVERAGE(IF($G17=YEAR('Data - Monthly Commodity Prices'!$C$100:$C$1000),'Data - Monthly Commodity Prices'!$K$100:$K$1000)),"NA"),IFERROR(IF(J17=0,"NA",J17),"NA"))</f>
        <v>11126.848042733107</v>
      </c>
      <c r="I17" s="31">
        <f t="array" ref="I17">IF($G$6="Historic Calendar Year",IFERROR(AVERAGE(IF($G17=YEAR('Data - Monthly Commodity Prices'!$C$100:$C$1000),'Data - Monthly Commodity Prices'!$L$100:$L$995)),"NA"),IFERROR(IF(K17=0,"NA",K17),"NA"))</f>
        <v>8233.5949999999993</v>
      </c>
      <c r="J17" s="948">
        <f>(SUMIFS('Data - Monthly Commodity Prices'!$K$9:$K$2500,'Data - Monthly Commodity Prices'!$A$9:$A$2500,'Nickel - Prices'!E17,'Data - Monthly Commodity Prices'!$B$9:$B$2500,3)+
SUMIFS('Data - Monthly Commodity Prices'!$K$9:$K$2500,'Data - Monthly Commodity Prices'!$A$9:$A$2500,'Nickel - Prices'!E17,'Data - Monthly Commodity Prices'!$B$9:$B$2500,4)+
SUMIFS('Data - Monthly Commodity Prices'!$K$9:$K$2500,'Data - Monthly Commodity Prices'!$A$9:$A$2500,'Nickel - Prices'!F17,'Data - Monthly Commodity Prices'!$B$9:$B$2500,1)+
SUMIFS('Data - Monthly Commodity Prices'!$K$9:$K$2500,'Data - Monthly Commodity Prices'!$A$9:$A$2500,'Nickel - Prices'!F17,'Data - Monthly Commodity Prices'!$B$9:$B$2500,2))
/(COUNTIFS('Data - Monthly Commodity Prices'!$A$9:$A$2500,'Nickel - Prices'!E17,'Data - Monthly Commodity Prices'!$B$9:$B$2500,3)+
COUNTIFS('Data - Monthly Commodity Prices'!$A$9:$A$2500,'Nickel - Prices'!E17,'Data - Monthly Commodity Prices'!$B$9:$B$2500,4)+
COUNTIFS('Data - Monthly Commodity Prices'!$A$9:$A$2500,'Nickel - Prices'!F17,'Data - Monthly Commodity Prices'!$B$9:$B$2500,1)+
COUNTIFS('Data - Monthly Commodity Prices'!$A$9:$A$2500,'Nickel - Prices'!F17,'Data - Monthly Commodity Prices'!$B$9:$B$2500,2))</f>
        <v>10785.720134162924</v>
      </c>
      <c r="K17" s="1348">
        <f>(SUMIFS('Data - Monthly Commodity Prices'!$L$9:$L$2500,'Data - Monthly Commodity Prices'!$A$9:$A$2500,'Nickel - Prices'!E17,'Data - Monthly Commodity Prices'!$B$9:$B$2500,3)+
SUMIFS('Data - Monthly Commodity Prices'!$L$9:$L$2500,'Data - Monthly Commodity Prices'!$A$9:$A$2500,'Nickel - Prices'!E17,'Data - Monthly Commodity Prices'!$B$9:$B$2500,4)+
SUMIFS('Data - Monthly Commodity Prices'!$L$9:$L$2500,'Data - Monthly Commodity Prices'!$A$9:$A$2500,'Nickel - Prices'!F17,'Data - Monthly Commodity Prices'!$B$9:$B$2500,1)+
SUMIFS('Data - Monthly Commodity Prices'!$L$9:$L$2500,'Data - Monthly Commodity Prices'!$A$9:$A$2500,'Nickel - Prices'!F17,'Data - Monthly Commodity Prices'!$B$9:$B$2500,2))
/(COUNTIFS('Data - Monthly Commodity Prices'!$A$9:$A$2500,'Nickel - Prices'!E17,'Data - Monthly Commodity Prices'!$B$9:$B$2500,3)+
COUNTIFS('Data - Monthly Commodity Prices'!$A$9:$A$2500,'Nickel - Prices'!E17,'Data - Monthly Commodity Prices'!$B$9:$B$2500,4)+
COUNTIFS('Data - Monthly Commodity Prices'!$A$9:$A$2500,'Nickel - Prices'!F17,'Data - Monthly Commodity Prices'!$B$9:$B$2500,1)+
COUNTIFS('Data - Monthly Commodity Prices'!$A$9:$A$2500,'Nickel - Prices'!F17,'Data - Monthly Commodity Prices'!$B$9:$B$2500,2))</f>
        <v>8219.2416666666668</v>
      </c>
    </row>
    <row r="18" spans="1:11">
      <c r="A18" s="1875">
        <f>LARGE('Data - Monthly Commodity Prices'!C$159:C$902,50)</f>
        <v>42309</v>
      </c>
      <c r="B18" s="1036">
        <f>SUMIF('Data - Monthly Commodity Prices'!C$159:C$902,A18,'Data - Monthly Commodity Prices'!K$159:K$902)</f>
        <v>12912.087972027974</v>
      </c>
      <c r="C18" s="1037">
        <f>SUMIF('Data - Monthly Commodity Prices'!C$159:C$902,A18,'Data - Monthly Commodity Prices'!L$159:L$902)</f>
        <v>9232.14</v>
      </c>
      <c r="D18" s="24"/>
      <c r="E18" s="410">
        <f t="shared" si="1"/>
        <v>1996</v>
      </c>
      <c r="F18" s="410">
        <f t="shared" si="1"/>
        <v>1997</v>
      </c>
      <c r="G18" s="1880">
        <f t="shared" si="0"/>
        <v>1996</v>
      </c>
      <c r="H18" s="30">
        <f t="array" ref="H18">IF($G$6="Historic Calendar Year",IFERROR(AVERAGE(IF($G18=YEAR('Data - Monthly Commodity Prices'!$C$100:$C$1000),'Data - Monthly Commodity Prices'!$K$100:$K$1000)),"NA"),IFERROR(IF(J18=0,"NA",J18),"NA"))</f>
        <v>9611.0646747059127</v>
      </c>
      <c r="I18" s="30">
        <f t="array" ref="I18">IF($G$6="Historic Calendar Year",IFERROR(AVERAGE(IF($G18=YEAR('Data - Monthly Commodity Prices'!$C$100:$C$1000),'Data - Monthly Commodity Prices'!$L$100:$L$995)),"NA"),IFERROR(IF(K18=0,"NA",K18),"NA"))</f>
        <v>7531.4583333333348</v>
      </c>
      <c r="J18" s="948">
        <f>(SUMIFS('Data - Monthly Commodity Prices'!$K$9:$K$2500,'Data - Monthly Commodity Prices'!$A$9:$A$2500,'Nickel - Prices'!E18,'Data - Monthly Commodity Prices'!$B$9:$B$2500,3)+
SUMIFS('Data - Monthly Commodity Prices'!$K$9:$K$2500,'Data - Monthly Commodity Prices'!$A$9:$A$2500,'Nickel - Prices'!E18,'Data - Monthly Commodity Prices'!$B$9:$B$2500,4)+
SUMIFS('Data - Monthly Commodity Prices'!$K$9:$K$2500,'Data - Monthly Commodity Prices'!$A$9:$A$2500,'Nickel - Prices'!F18,'Data - Monthly Commodity Prices'!$B$9:$B$2500,1)+
SUMIFS('Data - Monthly Commodity Prices'!$K$9:$K$2500,'Data - Monthly Commodity Prices'!$A$9:$A$2500,'Nickel - Prices'!F18,'Data - Monthly Commodity Prices'!$B$9:$B$2500,2))
/(COUNTIFS('Data - Monthly Commodity Prices'!$A$9:$A$2500,'Nickel - Prices'!E18,'Data - Monthly Commodity Prices'!$B$9:$B$2500,3)+
COUNTIFS('Data - Monthly Commodity Prices'!$A$9:$A$2500,'Nickel - Prices'!E18,'Data - Monthly Commodity Prices'!$B$9:$B$2500,4)+
COUNTIFS('Data - Monthly Commodity Prices'!$A$9:$A$2500,'Nickel - Prices'!F18,'Data - Monthly Commodity Prices'!$B$9:$B$2500,1)+
COUNTIFS('Data - Monthly Commodity Prices'!$A$9:$A$2500,'Nickel - Prices'!F18,'Data - Monthly Commodity Prices'!$B$9:$B$2500,2))</f>
        <v>9285.8800592560237</v>
      </c>
      <c r="K18" s="1348">
        <f>(SUMIFS('Data - Monthly Commodity Prices'!$L$9:$L$2500,'Data - Monthly Commodity Prices'!$A$9:$A$2500,'Nickel - Prices'!E18,'Data - Monthly Commodity Prices'!$B$9:$B$2500,3)+
SUMIFS('Data - Monthly Commodity Prices'!$L$9:$L$2500,'Data - Monthly Commodity Prices'!$A$9:$A$2500,'Nickel - Prices'!E18,'Data - Monthly Commodity Prices'!$B$9:$B$2500,4)+
SUMIFS('Data - Monthly Commodity Prices'!$L$9:$L$2500,'Data - Monthly Commodity Prices'!$A$9:$A$2500,'Nickel - Prices'!F18,'Data - Monthly Commodity Prices'!$B$9:$B$2500,1)+
SUMIFS('Data - Monthly Commodity Prices'!$L$9:$L$2500,'Data - Monthly Commodity Prices'!$A$9:$A$2500,'Nickel - Prices'!F18,'Data - Monthly Commodity Prices'!$B$9:$B$2500,2))
/(COUNTIFS('Data - Monthly Commodity Prices'!$A$9:$A$2500,'Nickel - Prices'!E18,'Data - Monthly Commodity Prices'!$B$9:$B$2500,3)+
COUNTIFS('Data - Monthly Commodity Prices'!$A$9:$A$2500,'Nickel - Prices'!E18,'Data - Monthly Commodity Prices'!$B$9:$B$2500,4)+
COUNTIFS('Data - Monthly Commodity Prices'!$A$9:$A$2500,'Nickel - Prices'!F18,'Data - Monthly Commodity Prices'!$B$9:$B$2500,1)+
COUNTIFS('Data - Monthly Commodity Prices'!$A$9:$A$2500,'Nickel - Prices'!F18,'Data - Monthly Commodity Prices'!$B$9:$B$2500,2))</f>
        <v>7243.3249999999998</v>
      </c>
    </row>
    <row r="19" spans="1:11">
      <c r="A19" s="1876">
        <f>LARGE('Data - Monthly Commodity Prices'!C$159:C$902,49)</f>
        <v>42339</v>
      </c>
      <c r="B19" s="79">
        <f>SUMIF('Data - Monthly Commodity Prices'!C$159:C$902,A19,'Data - Monthly Commodity Prices'!K$159:K$902)</f>
        <v>11985.85617760618</v>
      </c>
      <c r="C19" s="61">
        <f>SUMIF('Data - Monthly Commodity Prices'!C$159:C$902,A19,'Data - Monthly Commodity Prices'!L$159:L$902)</f>
        <v>8692.14</v>
      </c>
      <c r="D19" s="24"/>
      <c r="E19" s="410">
        <f t="shared" si="1"/>
        <v>1997</v>
      </c>
      <c r="F19" s="410">
        <f t="shared" si="1"/>
        <v>1998</v>
      </c>
      <c r="G19" s="1879">
        <f t="shared" si="0"/>
        <v>1997</v>
      </c>
      <c r="H19" s="31">
        <f t="array" ref="H19">IF($G$6="Historic Calendar Year",IFERROR(AVERAGE(IF($G19=YEAR('Data - Monthly Commodity Prices'!$C$100:$C$1000),'Data - Monthly Commodity Prices'!$K$100:$K$1000)),"NA"),IFERROR(IF(J19=0,"NA",J19),"NA"))</f>
        <v>9362.3756272976552</v>
      </c>
      <c r="I19" s="31">
        <f t="array" ref="I19">IF($G$6="Historic Calendar Year",IFERROR(AVERAGE(IF($G19=YEAR('Data - Monthly Commodity Prices'!$C$100:$C$1000),'Data - Monthly Commodity Prices'!$L$100:$L$995)),"NA"),IFERROR(IF(K19=0,"NA",K19),"NA"))</f>
        <v>6924.1499999999987</v>
      </c>
      <c r="J19" s="948">
        <f>(SUMIFS('Data - Monthly Commodity Prices'!$K$9:$K$2500,'Data - Monthly Commodity Prices'!$A$9:$A$2500,'Nickel - Prices'!E19,'Data - Monthly Commodity Prices'!$B$9:$B$2500,3)+
SUMIFS('Data - Monthly Commodity Prices'!$K$9:$K$2500,'Data - Monthly Commodity Prices'!$A$9:$A$2500,'Nickel - Prices'!E19,'Data - Monthly Commodity Prices'!$B$9:$B$2500,4)+
SUMIFS('Data - Monthly Commodity Prices'!$K$9:$K$2500,'Data - Monthly Commodity Prices'!$A$9:$A$2500,'Nickel - Prices'!F19,'Data - Monthly Commodity Prices'!$B$9:$B$2500,1)+
SUMIFS('Data - Monthly Commodity Prices'!$K$9:$K$2500,'Data - Monthly Commodity Prices'!$A$9:$A$2500,'Nickel - Prices'!F19,'Data - Monthly Commodity Prices'!$B$9:$B$2500,2))
/(COUNTIFS('Data - Monthly Commodity Prices'!$A$9:$A$2500,'Nickel - Prices'!E19,'Data - Monthly Commodity Prices'!$B$9:$B$2500,3)+
COUNTIFS('Data - Monthly Commodity Prices'!$A$9:$A$2500,'Nickel - Prices'!E19,'Data - Monthly Commodity Prices'!$B$9:$B$2500,4)+
COUNTIFS('Data - Monthly Commodity Prices'!$A$9:$A$2500,'Nickel - Prices'!F19,'Data - Monthly Commodity Prices'!$B$9:$B$2500,1)+
COUNTIFS('Data - Monthly Commodity Prices'!$A$9:$A$2500,'Nickel - Prices'!F19,'Data - Monthly Commodity Prices'!$B$9:$B$2500,2))</f>
        <v>8540.3657876970065</v>
      </c>
      <c r="K19" s="1348">
        <f>(SUMIFS('Data - Monthly Commodity Prices'!$L$9:$L$2500,'Data - Monthly Commodity Prices'!$A$9:$A$2500,'Nickel - Prices'!E19,'Data - Monthly Commodity Prices'!$B$9:$B$2500,3)+
SUMIFS('Data - Monthly Commodity Prices'!$L$9:$L$2500,'Data - Monthly Commodity Prices'!$A$9:$A$2500,'Nickel - Prices'!E19,'Data - Monthly Commodity Prices'!$B$9:$B$2500,4)+
SUMIFS('Data - Monthly Commodity Prices'!$L$9:$L$2500,'Data - Monthly Commodity Prices'!$A$9:$A$2500,'Nickel - Prices'!F19,'Data - Monthly Commodity Prices'!$B$9:$B$2500,1)+
SUMIFS('Data - Monthly Commodity Prices'!$L$9:$L$2500,'Data - Monthly Commodity Prices'!$A$9:$A$2500,'Nickel - Prices'!F19,'Data - Monthly Commodity Prices'!$B$9:$B$2500,2))
/(COUNTIFS('Data - Monthly Commodity Prices'!$A$9:$A$2500,'Nickel - Prices'!E19,'Data - Monthly Commodity Prices'!$B$9:$B$2500,3)+
COUNTIFS('Data - Monthly Commodity Prices'!$A$9:$A$2500,'Nickel - Prices'!E19,'Data - Monthly Commodity Prices'!$B$9:$B$2500,4)+
COUNTIFS('Data - Monthly Commodity Prices'!$A$9:$A$2500,'Nickel - Prices'!F19,'Data - Monthly Commodity Prices'!$B$9:$B$2500,1)+
COUNTIFS('Data - Monthly Commodity Prices'!$A$9:$A$2500,'Nickel - Prices'!F19,'Data - Monthly Commodity Prices'!$B$9:$B$2500,2))</f>
        <v>5813.9175000000005</v>
      </c>
    </row>
    <row r="20" spans="1:11">
      <c r="A20" s="1875">
        <f>LARGE('Data - Monthly Commodity Prices'!C$159:C$902,48)</f>
        <v>42370</v>
      </c>
      <c r="B20" s="1036">
        <f>SUMIF('Data - Monthly Commodity Prices'!C$159:C$902,A20,'Data - Monthly Commodity Prices'!K$159:K$902)</f>
        <v>12092.658600000001</v>
      </c>
      <c r="C20" s="1037">
        <f>SUMIF('Data - Monthly Commodity Prices'!C$159:C$902,A20,'Data - Monthly Commodity Prices'!L$159:L$902)</f>
        <v>8483</v>
      </c>
      <c r="D20" s="24"/>
      <c r="E20" s="410">
        <f t="shared" si="1"/>
        <v>1998</v>
      </c>
      <c r="F20" s="410">
        <f t="shared" si="1"/>
        <v>1999</v>
      </c>
      <c r="G20" s="1880">
        <f t="shared" si="0"/>
        <v>1998</v>
      </c>
      <c r="H20" s="30">
        <f t="array" ref="H20">IF($G$6="Historic Calendar Year",IFERROR(AVERAGE(IF($G20=YEAR('Data - Monthly Commodity Prices'!$C$100:$C$1000),'Data - Monthly Commodity Prices'!$K$100:$K$1000)),"NA"),IFERROR(IF(J20=0,"NA",J20),"NA"))</f>
        <v>7332.6431649185479</v>
      </c>
      <c r="I20" s="30">
        <f t="array" ref="I20">IF($G$6="Historic Calendar Year",IFERROR(AVERAGE(IF($G20=YEAR('Data - Monthly Commodity Prices'!$C$100:$C$1000),'Data - Monthly Commodity Prices'!$L$100:$L$995)),"NA"),IFERROR(IF(K20=0,"NA",K20),"NA"))</f>
        <v>4632.6191666666664</v>
      </c>
      <c r="J20" s="948">
        <f>(SUMIFS('Data - Monthly Commodity Prices'!$K$9:$K$2500,'Data - Monthly Commodity Prices'!$A$9:$A$2500,'Nickel - Prices'!E20,'Data - Monthly Commodity Prices'!$B$9:$B$2500,3)+
SUMIFS('Data - Monthly Commodity Prices'!$K$9:$K$2500,'Data - Monthly Commodity Prices'!$A$9:$A$2500,'Nickel - Prices'!E20,'Data - Monthly Commodity Prices'!$B$9:$B$2500,4)+
SUMIFS('Data - Monthly Commodity Prices'!$K$9:$K$2500,'Data - Monthly Commodity Prices'!$A$9:$A$2500,'Nickel - Prices'!F20,'Data - Monthly Commodity Prices'!$B$9:$B$2500,1)+
SUMIFS('Data - Monthly Commodity Prices'!$K$9:$K$2500,'Data - Monthly Commodity Prices'!$A$9:$A$2500,'Nickel - Prices'!F20,'Data - Monthly Commodity Prices'!$B$9:$B$2500,2))
/(COUNTIFS('Data - Monthly Commodity Prices'!$A$9:$A$2500,'Nickel - Prices'!E20,'Data - Monthly Commodity Prices'!$B$9:$B$2500,3)+
COUNTIFS('Data - Monthly Commodity Prices'!$A$9:$A$2500,'Nickel - Prices'!E20,'Data - Monthly Commodity Prices'!$B$9:$B$2500,4)+
COUNTIFS('Data - Monthly Commodity Prices'!$A$9:$A$2500,'Nickel - Prices'!F20,'Data - Monthly Commodity Prices'!$B$9:$B$2500,1)+
COUNTIFS('Data - Monthly Commodity Prices'!$A$9:$A$2500,'Nickel - Prices'!F20,'Data - Monthly Commodity Prices'!$B$9:$B$2500,2))</f>
        <v>7164.9004899168367</v>
      </c>
      <c r="K20" s="1348">
        <f>(SUMIFS('Data - Monthly Commodity Prices'!$L$9:$L$2500,'Data - Monthly Commodity Prices'!$A$9:$A$2500,'Nickel - Prices'!E20,'Data - Monthly Commodity Prices'!$B$9:$B$2500,3)+
SUMIFS('Data - Monthly Commodity Prices'!$L$9:$L$2500,'Data - Monthly Commodity Prices'!$A$9:$A$2500,'Nickel - Prices'!E20,'Data - Monthly Commodity Prices'!$B$9:$B$2500,4)+
SUMIFS('Data - Monthly Commodity Prices'!$L$9:$L$2500,'Data - Monthly Commodity Prices'!$A$9:$A$2500,'Nickel - Prices'!F20,'Data - Monthly Commodity Prices'!$B$9:$B$2500,1)+
SUMIFS('Data - Monthly Commodity Prices'!$L$9:$L$2500,'Data - Monthly Commodity Prices'!$A$9:$A$2500,'Nickel - Prices'!F20,'Data - Monthly Commodity Prices'!$B$9:$B$2500,2))
/(COUNTIFS('Data - Monthly Commodity Prices'!$A$9:$A$2500,'Nickel - Prices'!E20,'Data - Monthly Commodity Prices'!$B$9:$B$2500,3)+
COUNTIFS('Data - Monthly Commodity Prices'!$A$9:$A$2500,'Nickel - Prices'!E20,'Data - Monthly Commodity Prices'!$B$9:$B$2500,4)+
COUNTIFS('Data - Monthly Commodity Prices'!$A$9:$A$2500,'Nickel - Prices'!F20,'Data - Monthly Commodity Prices'!$B$9:$B$2500,1)+
COUNTIFS('Data - Monthly Commodity Prices'!$A$9:$A$2500,'Nickel - Prices'!F20,'Data - Monthly Commodity Prices'!$B$9:$B$2500,2))</f>
        <v>4502.7716666666665</v>
      </c>
    </row>
    <row r="21" spans="1:11">
      <c r="A21" s="1876">
        <f>LARGE('Data - Monthly Commodity Prices'!C$159:C$902,47)</f>
        <v>42401</v>
      </c>
      <c r="B21" s="79">
        <f>SUMIF('Data - Monthly Commodity Prices'!C$159:C$902,A21,'Data - Monthly Commodity Prices'!K$159:K$902)</f>
        <v>11637.988499999999</v>
      </c>
      <c r="C21" s="61">
        <f>SUMIF('Data - Monthly Commodity Prices'!C$159:C$902,A21,'Data - Monthly Commodity Prices'!L$159:L$902)</f>
        <v>8309.52</v>
      </c>
      <c r="D21" s="24"/>
      <c r="E21" s="410">
        <f t="shared" si="1"/>
        <v>1999</v>
      </c>
      <c r="F21" s="410">
        <f t="shared" si="1"/>
        <v>2000</v>
      </c>
      <c r="G21" s="1879">
        <f t="shared" si="0"/>
        <v>1999</v>
      </c>
      <c r="H21" s="31">
        <f t="array" ref="H21">IF($G$6="Historic Calendar Year",IFERROR(AVERAGE(IF($G21=YEAR('Data - Monthly Commodity Prices'!$C$100:$C$1000),'Data - Monthly Commodity Prices'!$K$100:$K$1000)),"NA"),IFERROR(IF(J21=0,"NA",J21),"NA"))</f>
        <v>9318.7424486239743</v>
      </c>
      <c r="I21" s="31">
        <f t="array" ref="I21">IF($G$6="Historic Calendar Year",IFERROR(AVERAGE(IF($G21=YEAR('Data - Monthly Commodity Prices'!$C$100:$C$1000),'Data - Monthly Commodity Prices'!$L$100:$L$995)),"NA"),IFERROR(IF(K21=0,"NA",K21),"NA"))</f>
        <v>6014.5916666666672</v>
      </c>
      <c r="J21" s="948">
        <f>(SUMIFS('Data - Monthly Commodity Prices'!$K$9:$K$2500,'Data - Monthly Commodity Prices'!$A$9:$A$2500,'Nickel - Prices'!E21,'Data - Monthly Commodity Prices'!$B$9:$B$2500,3)+
SUMIFS('Data - Monthly Commodity Prices'!$K$9:$K$2500,'Data - Monthly Commodity Prices'!$A$9:$A$2500,'Nickel - Prices'!E21,'Data - Monthly Commodity Prices'!$B$9:$B$2500,4)+
SUMIFS('Data - Monthly Commodity Prices'!$K$9:$K$2500,'Data - Monthly Commodity Prices'!$A$9:$A$2500,'Nickel - Prices'!F21,'Data - Monthly Commodity Prices'!$B$9:$B$2500,1)+
SUMIFS('Data - Monthly Commodity Prices'!$K$9:$K$2500,'Data - Monthly Commodity Prices'!$A$9:$A$2500,'Nickel - Prices'!F21,'Data - Monthly Commodity Prices'!$B$9:$B$2500,2))
/(COUNTIFS('Data - Monthly Commodity Prices'!$A$9:$A$2500,'Nickel - Prices'!E21,'Data - Monthly Commodity Prices'!$B$9:$B$2500,3)+
COUNTIFS('Data - Monthly Commodity Prices'!$A$9:$A$2500,'Nickel - Prices'!E21,'Data - Monthly Commodity Prices'!$B$9:$B$2500,4)+
COUNTIFS('Data - Monthly Commodity Prices'!$A$9:$A$2500,'Nickel - Prices'!F21,'Data - Monthly Commodity Prices'!$B$9:$B$2500,1)+
COUNTIFS('Data - Monthly Commodity Prices'!$A$9:$A$2500,'Nickel - Prices'!F21,'Data - Monthly Commodity Prices'!$B$9:$B$2500,2))</f>
        <v>13229.861897751151</v>
      </c>
      <c r="K21" s="1348">
        <f>(SUMIFS('Data - Monthly Commodity Prices'!$L$9:$L$2500,'Data - Monthly Commodity Prices'!$A$9:$A$2500,'Nickel - Prices'!E21,'Data - Monthly Commodity Prices'!$B$9:$B$2500,3)+
SUMIFS('Data - Monthly Commodity Prices'!$L$9:$L$2500,'Data - Monthly Commodity Prices'!$A$9:$A$2500,'Nickel - Prices'!E21,'Data - Monthly Commodity Prices'!$B$9:$B$2500,4)+
SUMIFS('Data - Monthly Commodity Prices'!$L$9:$L$2500,'Data - Monthly Commodity Prices'!$A$9:$A$2500,'Nickel - Prices'!F21,'Data - Monthly Commodity Prices'!$B$9:$B$2500,1)+
SUMIFS('Data - Monthly Commodity Prices'!$L$9:$L$2500,'Data - Monthly Commodity Prices'!$A$9:$A$2500,'Nickel - Prices'!F21,'Data - Monthly Commodity Prices'!$B$9:$B$2500,2))
/(COUNTIFS('Data - Monthly Commodity Prices'!$A$9:$A$2500,'Nickel - Prices'!E21,'Data - Monthly Commodity Prices'!$B$9:$B$2500,3)+
COUNTIFS('Data - Monthly Commodity Prices'!$A$9:$A$2500,'Nickel - Prices'!E21,'Data - Monthly Commodity Prices'!$B$9:$B$2500,4)+
COUNTIFS('Data - Monthly Commodity Prices'!$A$9:$A$2500,'Nickel - Prices'!F21,'Data - Monthly Commodity Prices'!$B$9:$B$2500,1)+
COUNTIFS('Data - Monthly Commodity Prices'!$A$9:$A$2500,'Nickel - Prices'!F21,'Data - Monthly Commodity Prices'!$B$9:$B$2500,2))</f>
        <v>8257.3924999999999</v>
      </c>
    </row>
    <row r="22" spans="1:11">
      <c r="A22" s="1875">
        <f>LARGE('Data - Monthly Commodity Prices'!C$159:C$902,46)</f>
        <v>42430</v>
      </c>
      <c r="B22" s="1036">
        <f>SUMIF('Data - Monthly Commodity Prices'!C$159:C$902,A22,'Data - Monthly Commodity Prices'!K$159:K$902)</f>
        <v>11589.943499999999</v>
      </c>
      <c r="C22" s="1037">
        <f>SUMIF('Data - Monthly Commodity Prices'!C$159:C$902,A22,'Data - Monthly Commodity Prices'!L$159:L$902)</f>
        <v>8704.0499999999993</v>
      </c>
      <c r="D22" s="24"/>
      <c r="E22" s="410">
        <f t="shared" si="1"/>
        <v>2000</v>
      </c>
      <c r="F22" s="410">
        <f t="shared" si="1"/>
        <v>2001</v>
      </c>
      <c r="G22" s="1880">
        <f t="shared" si="0"/>
        <v>2000</v>
      </c>
      <c r="H22" s="30">
        <f t="array" ref="H22">IF($G$6="Historic Calendar Year",IFERROR(AVERAGE(IF($G22=YEAR('Data - Monthly Commodity Prices'!$C$100:$C$1000),'Data - Monthly Commodity Prices'!$K$100:$K$1000)),"NA"),IFERROR(IF(J22=0,"NA",J22),"NA"))</f>
        <v>14851.146974329624</v>
      </c>
      <c r="I22" s="30">
        <f t="array" ref="I22">IF($G$6="Historic Calendar Year",IFERROR(AVERAGE(IF($G22=YEAR('Data - Monthly Commodity Prices'!$C$100:$C$1000),'Data - Monthly Commodity Prices'!$L$100:$L$995)),"NA"),IFERROR(IF(K22=0,"NA",K22),"NA"))</f>
        <v>8641.8808333333345</v>
      </c>
      <c r="J22" s="948">
        <f>(SUMIFS('Data - Monthly Commodity Prices'!$K$9:$K$2500,'Data - Monthly Commodity Prices'!$A$9:$A$2500,'Nickel - Prices'!E22,'Data - Monthly Commodity Prices'!$B$9:$B$2500,3)+
SUMIFS('Data - Monthly Commodity Prices'!$K$9:$K$2500,'Data - Monthly Commodity Prices'!$A$9:$A$2500,'Nickel - Prices'!E22,'Data - Monthly Commodity Prices'!$B$9:$B$2500,4)+
SUMIFS('Data - Monthly Commodity Prices'!$K$9:$K$2500,'Data - Monthly Commodity Prices'!$A$9:$A$2500,'Nickel - Prices'!F22,'Data - Monthly Commodity Prices'!$B$9:$B$2500,1)+
SUMIFS('Data - Monthly Commodity Prices'!$K$9:$K$2500,'Data - Monthly Commodity Prices'!$A$9:$A$2500,'Nickel - Prices'!F22,'Data - Monthly Commodity Prices'!$B$9:$B$2500,2))
/(COUNTIFS('Data - Monthly Commodity Prices'!$A$9:$A$2500,'Nickel - Prices'!E22,'Data - Monthly Commodity Prices'!$B$9:$B$2500,3)+
COUNTIFS('Data - Monthly Commodity Prices'!$A$9:$A$2500,'Nickel - Prices'!E22,'Data - Monthly Commodity Prices'!$B$9:$B$2500,4)+
COUNTIFS('Data - Monthly Commodity Prices'!$A$9:$A$2500,'Nickel - Prices'!F22,'Data - Monthly Commodity Prices'!$B$9:$B$2500,1)+
COUNTIFS('Data - Monthly Commodity Prices'!$A$9:$A$2500,'Nickel - Prices'!F22,'Data - Monthly Commodity Prices'!$B$9:$B$2500,2))</f>
        <v>13443.145366426224</v>
      </c>
      <c r="K22" s="1348">
        <f>(SUMIFS('Data - Monthly Commodity Prices'!$L$9:$L$2500,'Data - Monthly Commodity Prices'!$A$9:$A$2500,'Nickel - Prices'!E22,'Data - Monthly Commodity Prices'!$B$9:$B$2500,3)+
SUMIFS('Data - Monthly Commodity Prices'!$L$9:$L$2500,'Data - Monthly Commodity Prices'!$A$9:$A$2500,'Nickel - Prices'!E22,'Data - Monthly Commodity Prices'!$B$9:$B$2500,4)+
SUMIFS('Data - Monthly Commodity Prices'!$L$9:$L$2500,'Data - Monthly Commodity Prices'!$A$9:$A$2500,'Nickel - Prices'!F22,'Data - Monthly Commodity Prices'!$B$9:$B$2500,1)+
SUMIFS('Data - Monthly Commodity Prices'!$L$9:$L$2500,'Data - Monthly Commodity Prices'!$A$9:$A$2500,'Nickel - Prices'!F22,'Data - Monthly Commodity Prices'!$B$9:$B$2500,2))
/(COUNTIFS('Data - Monthly Commodity Prices'!$A$9:$A$2500,'Nickel - Prices'!E22,'Data - Monthly Commodity Prices'!$B$9:$B$2500,3)+
COUNTIFS('Data - Monthly Commodity Prices'!$A$9:$A$2500,'Nickel - Prices'!E22,'Data - Monthly Commodity Prices'!$B$9:$B$2500,4)+
COUNTIFS('Data - Monthly Commodity Prices'!$A$9:$A$2500,'Nickel - Prices'!F22,'Data - Monthly Commodity Prices'!$B$9:$B$2500,1)+
COUNTIFS('Data - Monthly Commodity Prices'!$A$9:$A$2500,'Nickel - Prices'!F22,'Data - Monthly Commodity Prices'!$B$9:$B$2500,2))</f>
        <v>7239.4783333333335</v>
      </c>
    </row>
    <row r="23" spans="1:11">
      <c r="A23" s="1876">
        <f>LARGE('Data - Monthly Commodity Prices'!C$159:C$902,45)</f>
        <v>42461</v>
      </c>
      <c r="B23" s="79">
        <f>SUMIF('Data - Monthly Commodity Prices'!C$159:C$902,A23,'Data - Monthly Commodity Prices'!K$159:K$902)</f>
        <v>11552.419400000001</v>
      </c>
      <c r="C23" s="61">
        <f>SUMIF('Data - Monthly Commodity Prices'!C$159:C$902,A23,'Data - Monthly Commodity Prices'!L$159:L$902)</f>
        <v>8852.6200000000008</v>
      </c>
      <c r="D23" s="24"/>
      <c r="E23" s="410">
        <f t="shared" si="1"/>
        <v>2001</v>
      </c>
      <c r="F23" s="410">
        <f t="shared" si="1"/>
        <v>2002</v>
      </c>
      <c r="G23" s="1879">
        <f t="shared" si="0"/>
        <v>2001</v>
      </c>
      <c r="H23" s="31">
        <f t="array" ref="H23">IF($G$6="Historic Calendar Year",IFERROR(AVERAGE(IF($G23=YEAR('Data - Monthly Commodity Prices'!$C$100:$C$1000),'Data - Monthly Commodity Prices'!$K$100:$K$1000)),"NA"),IFERROR(IF(J23=0,"NA",J23),"NA"))</f>
        <v>11486.72717244394</v>
      </c>
      <c r="I23" s="31">
        <f t="array" ref="I23">IF($G$6="Historic Calendar Year",IFERROR(AVERAGE(IF($G23=YEAR('Data - Monthly Commodity Prices'!$C$100:$C$1000),'Data - Monthly Commodity Prices'!$L$100:$L$995)),"NA"),IFERROR(IF(K23=0,"NA",K23),"NA"))</f>
        <v>5949.4933333333347</v>
      </c>
      <c r="J23" s="948">
        <f>(SUMIFS('Data - Monthly Commodity Prices'!$K$9:$K$2500,'Data - Monthly Commodity Prices'!$A$9:$A$2500,'Nickel - Prices'!E23,'Data - Monthly Commodity Prices'!$B$9:$B$2500,3)+
SUMIFS('Data - Monthly Commodity Prices'!$K$9:$K$2500,'Data - Monthly Commodity Prices'!$A$9:$A$2500,'Nickel - Prices'!E23,'Data - Monthly Commodity Prices'!$B$9:$B$2500,4)+
SUMIFS('Data - Monthly Commodity Prices'!$K$9:$K$2500,'Data - Monthly Commodity Prices'!$A$9:$A$2500,'Nickel - Prices'!F23,'Data - Monthly Commodity Prices'!$B$9:$B$2500,1)+
SUMIFS('Data - Monthly Commodity Prices'!$K$9:$K$2500,'Data - Monthly Commodity Prices'!$A$9:$A$2500,'Nickel - Prices'!F23,'Data - Monthly Commodity Prices'!$B$9:$B$2500,2))
/(COUNTIFS('Data - Monthly Commodity Prices'!$A$9:$A$2500,'Nickel - Prices'!E23,'Data - Monthly Commodity Prices'!$B$9:$B$2500,3)+
COUNTIFS('Data - Monthly Commodity Prices'!$A$9:$A$2500,'Nickel - Prices'!E23,'Data - Monthly Commodity Prices'!$B$9:$B$2500,4)+
COUNTIFS('Data - Monthly Commodity Prices'!$A$9:$A$2500,'Nickel - Prices'!F23,'Data - Monthly Commodity Prices'!$B$9:$B$2500,1)+
COUNTIFS('Data - Monthly Commodity Prices'!$A$9:$A$2500,'Nickel - Prices'!F23,'Data - Monthly Commodity Prices'!$B$9:$B$2500,2))</f>
        <v>11324.836261773538</v>
      </c>
      <c r="K23" s="1348">
        <f>(SUMIFS('Data - Monthly Commodity Prices'!$L$9:$L$2500,'Data - Monthly Commodity Prices'!$A$9:$A$2500,'Nickel - Prices'!E23,'Data - Monthly Commodity Prices'!$B$9:$B$2500,3)+
SUMIFS('Data - Monthly Commodity Prices'!$L$9:$L$2500,'Data - Monthly Commodity Prices'!$A$9:$A$2500,'Nickel - Prices'!E23,'Data - Monthly Commodity Prices'!$B$9:$B$2500,4)+
SUMIFS('Data - Monthly Commodity Prices'!$L$9:$L$2500,'Data - Monthly Commodity Prices'!$A$9:$A$2500,'Nickel - Prices'!F23,'Data - Monthly Commodity Prices'!$B$9:$B$2500,1)+
SUMIFS('Data - Monthly Commodity Prices'!$L$9:$L$2500,'Data - Monthly Commodity Prices'!$A$9:$A$2500,'Nickel - Prices'!F23,'Data - Monthly Commodity Prices'!$B$9:$B$2500,2))
/(COUNTIFS('Data - Monthly Commodity Prices'!$A$9:$A$2500,'Nickel - Prices'!E23,'Data - Monthly Commodity Prices'!$B$9:$B$2500,3)+
COUNTIFS('Data - Monthly Commodity Prices'!$A$9:$A$2500,'Nickel - Prices'!E23,'Data - Monthly Commodity Prices'!$B$9:$B$2500,4)+
COUNTIFS('Data - Monthly Commodity Prices'!$A$9:$A$2500,'Nickel - Prices'!F23,'Data - Monthly Commodity Prices'!$B$9:$B$2500,1)+
COUNTIFS('Data - Monthly Commodity Prices'!$A$9:$A$2500,'Nickel - Prices'!F23,'Data - Monthly Commodity Prices'!$B$9:$B$2500,2))</f>
        <v>5946.2391666666663</v>
      </c>
    </row>
    <row r="24" spans="1:11">
      <c r="A24" s="1875">
        <f>LARGE('Data - Monthly Commodity Prices'!C$159:C$902,44)</f>
        <v>42491</v>
      </c>
      <c r="B24" s="1036">
        <f>SUMIF('Data - Monthly Commodity Prices'!C$159:C$902,A24,'Data - Monthly Commodity Prices'!K$159:K$902)</f>
        <v>11867.3177</v>
      </c>
      <c r="C24" s="1037">
        <f>SUMIF('Data - Monthly Commodity Prices'!C$159:C$902,A24,'Data - Monthly Commodity Prices'!L$159:L$902)</f>
        <v>8689.25</v>
      </c>
      <c r="D24" s="24"/>
      <c r="E24" s="410">
        <f t="shared" si="1"/>
        <v>2002</v>
      </c>
      <c r="F24" s="410">
        <f t="shared" si="1"/>
        <v>2003</v>
      </c>
      <c r="G24" s="1880">
        <f t="shared" si="0"/>
        <v>2002</v>
      </c>
      <c r="H24" s="30">
        <f t="array" ref="H24">IF($G$6="Historic Calendar Year",IFERROR(AVERAGE(IF($G24=YEAR('Data - Monthly Commodity Prices'!$C$100:$C$1000),'Data - Monthly Commodity Prices'!$K$100:$K$1000)),"NA"),IFERROR(IF(J24=0,"NA",J24),"NA"))</f>
        <v>12479.956965595158</v>
      </c>
      <c r="I24" s="30">
        <f t="array" ref="I24">IF($G$6="Historic Calendar Year",IFERROR(AVERAGE(IF($G24=YEAR('Data - Monthly Commodity Prices'!$C$100:$C$1000),'Data - Monthly Commodity Prices'!$L$100:$L$995)),"NA"),IFERROR(IF(K24=0,"NA",K24),"NA"))</f>
        <v>6793.0508333333337</v>
      </c>
      <c r="J24" s="948">
        <f>(SUMIFS('Data - Monthly Commodity Prices'!$K$9:$K$2500,'Data - Monthly Commodity Prices'!$A$9:$A$2500,'Nickel - Prices'!E24,'Data - Monthly Commodity Prices'!$B$9:$B$2500,3)+
SUMIFS('Data - Monthly Commodity Prices'!$K$9:$K$2500,'Data - Monthly Commodity Prices'!$A$9:$A$2500,'Nickel - Prices'!E24,'Data - Monthly Commodity Prices'!$B$9:$B$2500,4)+
SUMIFS('Data - Monthly Commodity Prices'!$K$9:$K$2500,'Data - Monthly Commodity Prices'!$A$9:$A$2500,'Nickel - Prices'!F24,'Data - Monthly Commodity Prices'!$B$9:$B$2500,1)+
SUMIFS('Data - Monthly Commodity Prices'!$K$9:$K$2500,'Data - Monthly Commodity Prices'!$A$9:$A$2500,'Nickel - Prices'!F24,'Data - Monthly Commodity Prices'!$B$9:$B$2500,2))
/(COUNTIFS('Data - Monthly Commodity Prices'!$A$9:$A$2500,'Nickel - Prices'!E24,'Data - Monthly Commodity Prices'!$B$9:$B$2500,3)+
COUNTIFS('Data - Monthly Commodity Prices'!$A$9:$A$2500,'Nickel - Prices'!E24,'Data - Monthly Commodity Prices'!$B$9:$B$2500,4)+
COUNTIFS('Data - Monthly Commodity Prices'!$A$9:$A$2500,'Nickel - Prices'!F24,'Data - Monthly Commodity Prices'!$B$9:$B$2500,1)+
COUNTIFS('Data - Monthly Commodity Prices'!$A$9:$A$2500,'Nickel - Prices'!F24,'Data - Monthly Commodity Prices'!$B$9:$B$2500,2))</f>
        <v>13089.734579704245</v>
      </c>
      <c r="K24" s="1348">
        <f>(SUMIFS('Data - Monthly Commodity Prices'!$L$9:$L$2500,'Data - Monthly Commodity Prices'!$A$9:$A$2500,'Nickel - Prices'!E24,'Data - Monthly Commodity Prices'!$B$9:$B$2500,3)+
SUMIFS('Data - Monthly Commodity Prices'!$L$9:$L$2500,'Data - Monthly Commodity Prices'!$A$9:$A$2500,'Nickel - Prices'!E24,'Data - Monthly Commodity Prices'!$B$9:$B$2500,4)+
SUMIFS('Data - Monthly Commodity Prices'!$L$9:$L$2500,'Data - Monthly Commodity Prices'!$A$9:$A$2500,'Nickel - Prices'!F24,'Data - Monthly Commodity Prices'!$B$9:$B$2500,1)+
SUMIFS('Data - Monthly Commodity Prices'!$L$9:$L$2500,'Data - Monthly Commodity Prices'!$A$9:$A$2500,'Nickel - Prices'!F24,'Data - Monthly Commodity Prices'!$B$9:$B$2500,2))
/(COUNTIFS('Data - Monthly Commodity Prices'!$A$9:$A$2500,'Nickel - Prices'!E24,'Data - Monthly Commodity Prices'!$B$9:$B$2500,3)+
COUNTIFS('Data - Monthly Commodity Prices'!$A$9:$A$2500,'Nickel - Prices'!E24,'Data - Monthly Commodity Prices'!$B$9:$B$2500,4)+
COUNTIFS('Data - Monthly Commodity Prices'!$A$9:$A$2500,'Nickel - Prices'!F24,'Data - Monthly Commodity Prices'!$B$9:$B$2500,1)+
COUNTIFS('Data - Monthly Commodity Prices'!$A$9:$A$2500,'Nickel - Prices'!F24,'Data - Monthly Commodity Prices'!$B$9:$B$2500,2))</f>
        <v>7667.6566666666658</v>
      </c>
    </row>
    <row r="25" spans="1:11">
      <c r="A25" s="1876">
        <f>LARGE('Data - Monthly Commodity Prices'!C$159:C$902,43)</f>
        <v>42522</v>
      </c>
      <c r="B25" s="79">
        <f>SUMIF('Data - Monthly Commodity Prices'!C$159:C$902,A25,'Data - Monthly Commodity Prices'!K$159:K$902)</f>
        <v>12036.53</v>
      </c>
      <c r="C25" s="61">
        <f>SUMIF('Data - Monthly Commodity Prices'!C$159:C$902,A25,'Data - Monthly Commodity Prices'!L$159:L$902)</f>
        <v>8915.4500000000007</v>
      </c>
      <c r="D25" s="24"/>
      <c r="E25" s="410">
        <f t="shared" si="1"/>
        <v>2003</v>
      </c>
      <c r="F25" s="410">
        <f t="shared" si="1"/>
        <v>2004</v>
      </c>
      <c r="G25" s="1879">
        <f t="shared" si="0"/>
        <v>2003</v>
      </c>
      <c r="H25" s="31">
        <f t="array" ref="H25">IF($G$6="Historic Calendar Year",IFERROR(AVERAGE(IF($G25=YEAR('Data - Monthly Commodity Prices'!$C$100:$C$1000),'Data - Monthly Commodity Prices'!$K$100:$K$1000)),"NA"),IFERROR(IF(J25=0,"NA",J25),"NA"))</f>
        <v>14663.069069092722</v>
      </c>
      <c r="I25" s="31">
        <f t="array" ref="I25">IF($G$6="Historic Calendar Year",IFERROR(AVERAGE(IF($G25=YEAR('Data - Monthly Commodity Prices'!$C$100:$C$1000),'Data - Monthly Commodity Prices'!$L$100:$L$995)),"NA"),IFERROR(IF(K25=0,"NA",K25),"NA"))</f>
        <v>9633.3608333333341</v>
      </c>
      <c r="J25" s="948">
        <f>(SUMIFS('Data - Monthly Commodity Prices'!$K$9:$K$2500,'Data - Monthly Commodity Prices'!$A$9:$A$2500,'Nickel - Prices'!E25,'Data - Monthly Commodity Prices'!$B$9:$B$2500,3)+
SUMIFS('Data - Monthly Commodity Prices'!$K$9:$K$2500,'Data - Monthly Commodity Prices'!$A$9:$A$2500,'Nickel - Prices'!E25,'Data - Monthly Commodity Prices'!$B$9:$B$2500,4)+
SUMIFS('Data - Monthly Commodity Prices'!$K$9:$K$2500,'Data - Monthly Commodity Prices'!$A$9:$A$2500,'Nickel - Prices'!F25,'Data - Monthly Commodity Prices'!$B$9:$B$2500,1)+
SUMIFS('Data - Monthly Commodity Prices'!$K$9:$K$2500,'Data - Monthly Commodity Prices'!$A$9:$A$2500,'Nickel - Prices'!F25,'Data - Monthly Commodity Prices'!$B$9:$B$2500,2))
/(COUNTIFS('Data - Monthly Commodity Prices'!$A$9:$A$2500,'Nickel - Prices'!E25,'Data - Monthly Commodity Prices'!$B$9:$B$2500,3)+
COUNTIFS('Data - Monthly Commodity Prices'!$A$9:$A$2500,'Nickel - Prices'!E25,'Data - Monthly Commodity Prices'!$B$9:$B$2500,4)+
COUNTIFS('Data - Monthly Commodity Prices'!$A$9:$A$2500,'Nickel - Prices'!F25,'Data - Monthly Commodity Prices'!$B$9:$B$2500,1)+
COUNTIFS('Data - Monthly Commodity Prices'!$A$9:$A$2500,'Nickel - Prices'!F25,'Data - Monthly Commodity Prices'!$B$9:$B$2500,2))</f>
        <v>17066.800172646705</v>
      </c>
      <c r="K25" s="1348">
        <f>(SUMIFS('Data - Monthly Commodity Prices'!$L$9:$L$2500,'Data - Monthly Commodity Prices'!$A$9:$A$2500,'Nickel - Prices'!E25,'Data - Monthly Commodity Prices'!$B$9:$B$2500,3)+
SUMIFS('Data - Monthly Commodity Prices'!$L$9:$L$2500,'Data - Monthly Commodity Prices'!$A$9:$A$2500,'Nickel - Prices'!E25,'Data - Monthly Commodity Prices'!$B$9:$B$2500,4)+
SUMIFS('Data - Monthly Commodity Prices'!$L$9:$L$2500,'Data - Monthly Commodity Prices'!$A$9:$A$2500,'Nickel - Prices'!F25,'Data - Monthly Commodity Prices'!$B$9:$B$2500,1)+
SUMIFS('Data - Monthly Commodity Prices'!$L$9:$L$2500,'Data - Monthly Commodity Prices'!$A$9:$A$2500,'Nickel - Prices'!F25,'Data - Monthly Commodity Prices'!$B$9:$B$2500,2))
/(COUNTIFS('Data - Monthly Commodity Prices'!$A$9:$A$2500,'Nickel - Prices'!E25,'Data - Monthly Commodity Prices'!$B$9:$B$2500,3)+
COUNTIFS('Data - Monthly Commodity Prices'!$A$9:$A$2500,'Nickel - Prices'!E25,'Data - Monthly Commodity Prices'!$B$9:$B$2500,4)+
COUNTIFS('Data - Monthly Commodity Prices'!$A$9:$A$2500,'Nickel - Prices'!F25,'Data - Monthly Commodity Prices'!$B$9:$B$2500,1)+
COUNTIFS('Data - Monthly Commodity Prices'!$A$9:$A$2500,'Nickel - Prices'!F25,'Data - Monthly Commodity Prices'!$B$9:$B$2500,2))</f>
        <v>12263.713333333333</v>
      </c>
    </row>
    <row r="26" spans="1:11">
      <c r="A26" s="1875">
        <f>LARGE('Data - Monthly Commodity Prices'!C$159:C$902,42)</f>
        <v>42552</v>
      </c>
      <c r="B26" s="1036">
        <f>SUMIF('Data - Monthly Commodity Prices'!C$159:C$902,A26,'Data - Monthly Commodity Prices'!K$159:K$902)</f>
        <v>13614.75</v>
      </c>
      <c r="C26" s="1037">
        <f>SUMIF('Data - Monthly Commodity Prices'!C$159:C$902,A26,'Data - Monthly Commodity Prices'!L$159:L$902)</f>
        <v>10251.9</v>
      </c>
      <c r="D26" s="24"/>
      <c r="E26" s="410">
        <f t="shared" si="1"/>
        <v>2004</v>
      </c>
      <c r="F26" s="410">
        <f t="shared" si="1"/>
        <v>2005</v>
      </c>
      <c r="G26" s="1880">
        <f t="shared" si="0"/>
        <v>2004</v>
      </c>
      <c r="H26" s="30">
        <f t="array" ref="H26">IF($G$6="Historic Calendar Year",IFERROR(AVERAGE(IF($G26=YEAR('Data - Monthly Commodity Prices'!$C$100:$C$1000),'Data - Monthly Commodity Prices'!$K$100:$K$1000)),"NA"),IFERROR(IF(J26=0,"NA",J26),"NA"))</f>
        <v>18824.970220926218</v>
      </c>
      <c r="I26" s="30">
        <f t="array" ref="I26">IF($G$6="Historic Calendar Year",IFERROR(AVERAGE(IF($G26=YEAR('Data - Monthly Commodity Prices'!$C$100:$C$1000),'Data - Monthly Commodity Prices'!$L$100:$L$995)),"NA"),IFERROR(IF(K26=0,"NA",K26),"NA"))</f>
        <v>13830.259166666665</v>
      </c>
      <c r="J26" s="948">
        <f>(SUMIFS('Data - Monthly Commodity Prices'!$K$9:$K$2500,'Data - Monthly Commodity Prices'!$A$9:$A$2500,'Nickel - Prices'!E26,'Data - Monthly Commodity Prices'!$B$9:$B$2500,3)+
SUMIFS('Data - Monthly Commodity Prices'!$K$9:$K$2500,'Data - Monthly Commodity Prices'!$A$9:$A$2500,'Nickel - Prices'!E26,'Data - Monthly Commodity Prices'!$B$9:$B$2500,4)+
SUMIFS('Data - Monthly Commodity Prices'!$K$9:$K$2500,'Data - Monthly Commodity Prices'!$A$9:$A$2500,'Nickel - Prices'!F26,'Data - Monthly Commodity Prices'!$B$9:$B$2500,1)+
SUMIFS('Data - Monthly Commodity Prices'!$K$9:$K$2500,'Data - Monthly Commodity Prices'!$A$9:$A$2500,'Nickel - Prices'!F26,'Data - Monthly Commodity Prices'!$B$9:$B$2500,2))
/(COUNTIFS('Data - Monthly Commodity Prices'!$A$9:$A$2500,'Nickel - Prices'!E26,'Data - Monthly Commodity Prices'!$B$9:$B$2500,3)+
COUNTIFS('Data - Monthly Commodity Prices'!$A$9:$A$2500,'Nickel - Prices'!E26,'Data - Monthly Commodity Prices'!$B$9:$B$2500,4)+
COUNTIFS('Data - Monthly Commodity Prices'!$A$9:$A$2500,'Nickel - Prices'!F26,'Data - Monthly Commodity Prices'!$B$9:$B$2500,1)+
COUNTIFS('Data - Monthly Commodity Prices'!$A$9:$A$2500,'Nickel - Prices'!F26,'Data - Monthly Commodity Prices'!$B$9:$B$2500,2))</f>
        <v>19913.798329830272</v>
      </c>
      <c r="K26" s="1348">
        <f>(SUMIFS('Data - Monthly Commodity Prices'!$L$9:$L$2500,'Data - Monthly Commodity Prices'!$A$9:$A$2500,'Nickel - Prices'!E26,'Data - Monthly Commodity Prices'!$B$9:$B$2500,3)+
SUMIFS('Data - Monthly Commodity Prices'!$L$9:$L$2500,'Data - Monthly Commodity Prices'!$A$9:$A$2500,'Nickel - Prices'!E26,'Data - Monthly Commodity Prices'!$B$9:$B$2500,4)+
SUMIFS('Data - Monthly Commodity Prices'!$L$9:$L$2500,'Data - Monthly Commodity Prices'!$A$9:$A$2500,'Nickel - Prices'!F26,'Data - Monthly Commodity Prices'!$B$9:$B$2500,1)+
SUMIFS('Data - Monthly Commodity Prices'!$L$9:$L$2500,'Data - Monthly Commodity Prices'!$A$9:$A$2500,'Nickel - Prices'!F26,'Data - Monthly Commodity Prices'!$B$9:$B$2500,2))
/(COUNTIFS('Data - Monthly Commodity Prices'!$A$9:$A$2500,'Nickel - Prices'!E26,'Data - Monthly Commodity Prices'!$B$9:$B$2500,3)+
COUNTIFS('Data - Monthly Commodity Prices'!$A$9:$A$2500,'Nickel - Prices'!E26,'Data - Monthly Commodity Prices'!$B$9:$B$2500,4)+
COUNTIFS('Data - Monthly Commodity Prices'!$A$9:$A$2500,'Nickel - Prices'!F26,'Data - Monthly Commodity Prices'!$B$9:$B$2500,1)+
COUNTIFS('Data - Monthly Commodity Prices'!$A$9:$A$2500,'Nickel - Prices'!F26,'Data - Monthly Commodity Prices'!$B$9:$B$2500,2))</f>
        <v>14959.340833333334</v>
      </c>
    </row>
    <row r="27" spans="1:11">
      <c r="A27" s="1876">
        <f>LARGE('Data - Monthly Commodity Prices'!C$159:C$902,41)</f>
        <v>42583</v>
      </c>
      <c r="B27" s="79">
        <f>SUMIF('Data - Monthly Commodity Prices'!C$159:C$902,A27,'Data - Monthly Commodity Prices'!K$159:K$902)</f>
        <v>13582.4</v>
      </c>
      <c r="C27" s="61">
        <f>SUMIF('Data - Monthly Commodity Prices'!C$159:C$902,A27,'Data - Monthly Commodity Prices'!L$159:L$902)</f>
        <v>10353.86</v>
      </c>
      <c r="D27" s="24"/>
      <c r="E27" s="410">
        <f t="shared" si="1"/>
        <v>2005</v>
      </c>
      <c r="F27" s="410">
        <f t="shared" si="1"/>
        <v>2006</v>
      </c>
      <c r="G27" s="1879">
        <f t="shared" si="0"/>
        <v>2005</v>
      </c>
      <c r="H27" s="31">
        <f t="array" ref="H27">IF($G$6="Historic Calendar Year",IFERROR(AVERAGE(IF($G27=YEAR('Data - Monthly Commodity Prices'!$C$100:$C$1000),'Data - Monthly Commodity Prices'!$K$100:$K$1000)),"NA"),IFERROR(IF(J27=0,"NA",J27),"NA"))</f>
        <v>19322.256555007676</v>
      </c>
      <c r="I27" s="31">
        <f t="array" ref="I27">IF($G$6="Historic Calendar Year",IFERROR(AVERAGE(IF($G27=YEAR('Data - Monthly Commodity Prices'!$C$100:$C$1000),'Data - Monthly Commodity Prices'!$L$100:$L$995)),"NA"),IFERROR(IF(K27=0,"NA",K27),"NA"))</f>
        <v>14743.910000000002</v>
      </c>
      <c r="J27" s="948">
        <f>(SUMIFS('Data - Monthly Commodity Prices'!$K$9:$K$2500,'Data - Monthly Commodity Prices'!$A$9:$A$2500,'Nickel - Prices'!E27,'Data - Monthly Commodity Prices'!$B$9:$B$2500,3)+
SUMIFS('Data - Monthly Commodity Prices'!$K$9:$K$2500,'Data - Monthly Commodity Prices'!$A$9:$A$2500,'Nickel - Prices'!E27,'Data - Monthly Commodity Prices'!$B$9:$B$2500,4)+
SUMIFS('Data - Monthly Commodity Prices'!$K$9:$K$2500,'Data - Monthly Commodity Prices'!$A$9:$A$2500,'Nickel - Prices'!F27,'Data - Monthly Commodity Prices'!$B$9:$B$2500,1)+
SUMIFS('Data - Monthly Commodity Prices'!$K$9:$K$2500,'Data - Monthly Commodity Prices'!$A$9:$A$2500,'Nickel - Prices'!F27,'Data - Monthly Commodity Prices'!$B$9:$B$2500,2))
/(COUNTIFS('Data - Monthly Commodity Prices'!$A$9:$A$2500,'Nickel - Prices'!E27,'Data - Monthly Commodity Prices'!$B$9:$B$2500,3)+
COUNTIFS('Data - Monthly Commodity Prices'!$A$9:$A$2500,'Nickel - Prices'!E27,'Data - Monthly Commodity Prices'!$B$9:$B$2500,4)+
COUNTIFS('Data - Monthly Commodity Prices'!$A$9:$A$2500,'Nickel - Prices'!F27,'Data - Monthly Commodity Prices'!$B$9:$B$2500,1)+
COUNTIFS('Data - Monthly Commodity Prices'!$A$9:$A$2500,'Nickel - Prices'!F27,'Data - Monthly Commodity Prices'!$B$9:$B$2500,2))</f>
        <v>20723.067339844882</v>
      </c>
      <c r="K27" s="1348">
        <f>(SUMIFS('Data - Monthly Commodity Prices'!$L$9:$L$2500,'Data - Monthly Commodity Prices'!$A$9:$A$2500,'Nickel - Prices'!E27,'Data - Monthly Commodity Prices'!$B$9:$B$2500,3)+
SUMIFS('Data - Monthly Commodity Prices'!$L$9:$L$2500,'Data - Monthly Commodity Prices'!$A$9:$A$2500,'Nickel - Prices'!E27,'Data - Monthly Commodity Prices'!$B$9:$B$2500,4)+
SUMIFS('Data - Monthly Commodity Prices'!$L$9:$L$2500,'Data - Monthly Commodity Prices'!$A$9:$A$2500,'Nickel - Prices'!F27,'Data - Monthly Commodity Prices'!$B$9:$B$2500,1)+
SUMIFS('Data - Monthly Commodity Prices'!$L$9:$L$2500,'Data - Monthly Commodity Prices'!$A$9:$A$2500,'Nickel - Prices'!F27,'Data - Monthly Commodity Prices'!$B$9:$B$2500,2))
/(COUNTIFS('Data - Monthly Commodity Prices'!$A$9:$A$2500,'Nickel - Prices'!E27,'Data - Monthly Commodity Prices'!$B$9:$B$2500,3)+
COUNTIFS('Data - Monthly Commodity Prices'!$A$9:$A$2500,'Nickel - Prices'!E27,'Data - Monthly Commodity Prices'!$B$9:$B$2500,4)+
COUNTIFS('Data - Monthly Commodity Prices'!$A$9:$A$2500,'Nickel - Prices'!F27,'Data - Monthly Commodity Prices'!$B$9:$B$2500,1)+
COUNTIFS('Data - Monthly Commodity Prices'!$A$9:$A$2500,'Nickel - Prices'!F27,'Data - Monthly Commodity Prices'!$B$9:$B$2500,2))</f>
        <v>15487.896666666667</v>
      </c>
    </row>
    <row r="28" spans="1:11">
      <c r="A28" s="1875">
        <f>LARGE('Data - Monthly Commodity Prices'!C$159:C$902,40)</f>
        <v>42614</v>
      </c>
      <c r="B28" s="1036">
        <f>SUMIF('Data - Monthly Commodity Prices'!C$159:C$902,A28,'Data - Monthly Commodity Prices'!K$159:K$902)</f>
        <v>13419.93</v>
      </c>
      <c r="C28" s="1037">
        <f>SUMIF('Data - Monthly Commodity Prices'!C$159:C$902,A28,'Data - Monthly Commodity Prices'!L$159:L$902)</f>
        <v>10188.41</v>
      </c>
      <c r="D28" s="24"/>
      <c r="E28" s="410">
        <f t="shared" si="1"/>
        <v>2006</v>
      </c>
      <c r="F28" s="410">
        <f t="shared" si="1"/>
        <v>2007</v>
      </c>
      <c r="G28" s="1880">
        <f t="shared" si="0"/>
        <v>2006</v>
      </c>
      <c r="H28" s="30">
        <f t="array" ref="H28">IF($G$6="Historic Calendar Year",IFERROR(AVERAGE(IF($G28=YEAR('Data - Monthly Commodity Prices'!$C$100:$C$1000),'Data - Monthly Commodity Prices'!$K$100:$K$1000)),"NA"),IFERROR(IF(J28=0,"NA",J28),"NA"))</f>
        <v>32189.148704467352</v>
      </c>
      <c r="I28" s="30">
        <f t="array" ref="I28">IF($G$6="Historic Calendar Year",IFERROR(AVERAGE(IF($G28=YEAR('Data - Monthly Commodity Prices'!$C$100:$C$1000),'Data - Monthly Commodity Prices'!$L$100:$L$995)),"NA"),IFERROR(IF(K28=0,"NA",K28),"NA"))</f>
        <v>24360.182499999999</v>
      </c>
      <c r="J28" s="948">
        <f>(SUMIFS('Data - Monthly Commodity Prices'!$K$9:$K$2500,'Data - Monthly Commodity Prices'!$A$9:$A$2500,'Nickel - Prices'!E28,'Data - Monthly Commodity Prices'!$B$9:$B$2500,3)+
SUMIFS('Data - Monthly Commodity Prices'!$K$9:$K$2500,'Data - Monthly Commodity Prices'!$A$9:$A$2500,'Nickel - Prices'!E28,'Data - Monthly Commodity Prices'!$B$9:$B$2500,4)+
SUMIFS('Data - Monthly Commodity Prices'!$K$9:$K$2500,'Data - Monthly Commodity Prices'!$A$9:$A$2500,'Nickel - Prices'!F28,'Data - Monthly Commodity Prices'!$B$9:$B$2500,1)+
SUMIFS('Data - Monthly Commodity Prices'!$K$9:$K$2500,'Data - Monthly Commodity Prices'!$A$9:$A$2500,'Nickel - Prices'!F28,'Data - Monthly Commodity Prices'!$B$9:$B$2500,2))
/(COUNTIFS('Data - Monthly Commodity Prices'!$A$9:$A$2500,'Nickel - Prices'!E28,'Data - Monthly Commodity Prices'!$B$9:$B$2500,3)+
COUNTIFS('Data - Monthly Commodity Prices'!$A$9:$A$2500,'Nickel - Prices'!E28,'Data - Monthly Commodity Prices'!$B$9:$B$2500,4)+
COUNTIFS('Data - Monthly Commodity Prices'!$A$9:$A$2500,'Nickel - Prices'!F28,'Data - Monthly Commodity Prices'!$B$9:$B$2500,1)+
COUNTIFS('Data - Monthly Commodity Prices'!$A$9:$A$2500,'Nickel - Prices'!F28,'Data - Monthly Commodity Prices'!$B$9:$B$2500,2))</f>
        <v>48149.828724798164</v>
      </c>
      <c r="K28" s="1348">
        <f>(SUMIFS('Data - Monthly Commodity Prices'!$L$9:$L$2500,'Data - Monthly Commodity Prices'!$A$9:$A$2500,'Nickel - Prices'!E28,'Data - Monthly Commodity Prices'!$B$9:$B$2500,3)+
SUMIFS('Data - Monthly Commodity Prices'!$L$9:$L$2500,'Data - Monthly Commodity Prices'!$A$9:$A$2500,'Nickel - Prices'!E28,'Data - Monthly Commodity Prices'!$B$9:$B$2500,4)+
SUMIFS('Data - Monthly Commodity Prices'!$L$9:$L$2500,'Data - Monthly Commodity Prices'!$A$9:$A$2500,'Nickel - Prices'!F28,'Data - Monthly Commodity Prices'!$B$9:$B$2500,1)+
SUMIFS('Data - Monthly Commodity Prices'!$L$9:$L$2500,'Data - Monthly Commodity Prices'!$A$9:$A$2500,'Nickel - Prices'!F28,'Data - Monthly Commodity Prices'!$B$9:$B$2500,2))
/(COUNTIFS('Data - Monthly Commodity Prices'!$A$9:$A$2500,'Nickel - Prices'!E28,'Data - Monthly Commodity Prices'!$B$9:$B$2500,3)+
COUNTIFS('Data - Monthly Commodity Prices'!$A$9:$A$2500,'Nickel - Prices'!E28,'Data - Monthly Commodity Prices'!$B$9:$B$2500,4)+
COUNTIFS('Data - Monthly Commodity Prices'!$A$9:$A$2500,'Nickel - Prices'!F28,'Data - Monthly Commodity Prices'!$B$9:$B$2500,1)+
COUNTIFS('Data - Monthly Commodity Prices'!$A$9:$A$2500,'Nickel - Prices'!F28,'Data - Monthly Commodity Prices'!$B$9:$B$2500,2))</f>
        <v>38050.126666666671</v>
      </c>
    </row>
    <row r="29" spans="1:11">
      <c r="A29" s="1876">
        <f>LARGE('Data - Monthly Commodity Prices'!C$159:C$902,39)</f>
        <v>42644</v>
      </c>
      <c r="B29" s="79">
        <f>SUMIF('Data - Monthly Commodity Prices'!C$159:C$902,A29,'Data - Monthly Commodity Prices'!K$159:K$902)</f>
        <v>13480.08</v>
      </c>
      <c r="C29" s="61">
        <f>SUMIF('Data - Monthly Commodity Prices'!C$159:C$902,A29,'Data - Monthly Commodity Prices'!L$159:L$902)</f>
        <v>10266.43</v>
      </c>
      <c r="D29" s="24"/>
      <c r="E29" s="410">
        <f t="shared" si="1"/>
        <v>2007</v>
      </c>
      <c r="F29" s="410">
        <f t="shared" si="1"/>
        <v>2008</v>
      </c>
      <c r="G29" s="1879">
        <f t="shared" si="0"/>
        <v>2007</v>
      </c>
      <c r="H29" s="31">
        <f t="array" ref="H29">IF($G$6="Historic Calendar Year",IFERROR(AVERAGE(IF($G29=YEAR('Data - Monthly Commodity Prices'!$C$100:$C$1000),'Data - Monthly Commodity Prices'!$K$100:$K$1000)),"NA"),IFERROR(IF(J29=0,"NA",J29),"NA"))</f>
        <v>44745.710555369158</v>
      </c>
      <c r="I29" s="31">
        <f t="array" ref="I29">IF($G$6="Historic Calendar Year",IFERROR(AVERAGE(IF($G29=YEAR('Data - Monthly Commodity Prices'!$C$100:$C$1000),'Data - Monthly Commodity Prices'!$L$100:$L$995)),"NA"),IFERROR(IF(K29=0,"NA",K29),"NA"))</f>
        <v>37229.805833333332</v>
      </c>
      <c r="J29" s="948">
        <f>(SUMIFS('Data - Monthly Commodity Prices'!$K$9:$K$2500,'Data - Monthly Commodity Prices'!$A$9:$A$2500,'Nickel - Prices'!E29,'Data - Monthly Commodity Prices'!$B$9:$B$2500,3)+
SUMIFS('Data - Monthly Commodity Prices'!$K$9:$K$2500,'Data - Monthly Commodity Prices'!$A$9:$A$2500,'Nickel - Prices'!E29,'Data - Monthly Commodity Prices'!$B$9:$B$2500,4)+
SUMIFS('Data - Monthly Commodity Prices'!$K$9:$K$2500,'Data - Monthly Commodity Prices'!$A$9:$A$2500,'Nickel - Prices'!F29,'Data - Monthly Commodity Prices'!$B$9:$B$2500,1)+
SUMIFS('Data - Monthly Commodity Prices'!$K$9:$K$2500,'Data - Monthly Commodity Prices'!$A$9:$A$2500,'Nickel - Prices'!F29,'Data - Monthly Commodity Prices'!$B$9:$B$2500,2))
/(COUNTIFS('Data - Monthly Commodity Prices'!$A$9:$A$2500,'Nickel - Prices'!E29,'Data - Monthly Commodity Prices'!$B$9:$B$2500,3)+
COUNTIFS('Data - Monthly Commodity Prices'!$A$9:$A$2500,'Nickel - Prices'!E29,'Data - Monthly Commodity Prices'!$B$9:$B$2500,4)+
COUNTIFS('Data - Monthly Commodity Prices'!$A$9:$A$2500,'Nickel - Prices'!F29,'Data - Monthly Commodity Prices'!$B$9:$B$2500,1)+
COUNTIFS('Data - Monthly Commodity Prices'!$A$9:$A$2500,'Nickel - Prices'!F29,'Data - Monthly Commodity Prices'!$B$9:$B$2500,2))</f>
        <v>31907.79114399348</v>
      </c>
      <c r="K29" s="1348">
        <f>(SUMIFS('Data - Monthly Commodity Prices'!$L$9:$L$2500,'Data - Monthly Commodity Prices'!$A$9:$A$2500,'Nickel - Prices'!E29,'Data - Monthly Commodity Prices'!$B$9:$B$2500,3)+
SUMIFS('Data - Monthly Commodity Prices'!$L$9:$L$2500,'Data - Monthly Commodity Prices'!$A$9:$A$2500,'Nickel - Prices'!E29,'Data - Monthly Commodity Prices'!$B$9:$B$2500,4)+
SUMIFS('Data - Monthly Commodity Prices'!$L$9:$L$2500,'Data - Monthly Commodity Prices'!$A$9:$A$2500,'Nickel - Prices'!F29,'Data - Monthly Commodity Prices'!$B$9:$B$2500,1)+
SUMIFS('Data - Monthly Commodity Prices'!$L$9:$L$2500,'Data - Monthly Commodity Prices'!$A$9:$A$2500,'Nickel - Prices'!F29,'Data - Monthly Commodity Prices'!$B$9:$B$2500,2))
/(COUNTIFS('Data - Monthly Commodity Prices'!$A$9:$A$2500,'Nickel - Prices'!E29,'Data - Monthly Commodity Prices'!$B$9:$B$2500,3)+
COUNTIFS('Data - Monthly Commodity Prices'!$A$9:$A$2500,'Nickel - Prices'!E29,'Data - Monthly Commodity Prices'!$B$9:$B$2500,4)+
COUNTIFS('Data - Monthly Commodity Prices'!$A$9:$A$2500,'Nickel - Prices'!F29,'Data - Monthly Commodity Prices'!$B$9:$B$2500,1)+
COUNTIFS('Data - Monthly Commodity Prices'!$A$9:$A$2500,'Nickel - Prices'!F29,'Data - Monthly Commodity Prices'!$B$9:$B$2500,2))</f>
        <v>28518.380833333329</v>
      </c>
    </row>
    <row r="30" spans="1:11">
      <c r="A30" s="1875">
        <f>LARGE('Data - Monthly Commodity Prices'!C$159:C$902,38)</f>
        <v>42675</v>
      </c>
      <c r="B30" s="1036">
        <f>SUMIF('Data - Monthly Commodity Prices'!C$159:C$902,A30,'Data - Monthly Commodity Prices'!K$159:K$902)</f>
        <v>14800.05</v>
      </c>
      <c r="C30" s="1037">
        <f>SUMIF('Data - Monthly Commodity Prices'!C$159:C$902,A30,'Data - Monthly Commodity Prices'!L$159:L$902)</f>
        <v>11142.95</v>
      </c>
      <c r="D30" s="24"/>
      <c r="E30" s="410">
        <f t="shared" si="1"/>
        <v>2008</v>
      </c>
      <c r="F30" s="410">
        <f t="shared" si="1"/>
        <v>2009</v>
      </c>
      <c r="G30" s="1880">
        <f t="shared" si="0"/>
        <v>2008</v>
      </c>
      <c r="H30" s="30">
        <f t="array" ref="H30">IF($G$6="Historic Calendar Year",IFERROR(AVERAGE(IF($G30=YEAR('Data - Monthly Commodity Prices'!$C$100:$C$1000),'Data - Monthly Commodity Prices'!$K$100:$K$1000)),"NA"),IFERROR(IF(J30=0,"NA",J30),"NA"))</f>
        <v>24174.775716755652</v>
      </c>
      <c r="I30" s="30">
        <f t="array" ref="I30">IF($G$6="Historic Calendar Year",IFERROR(AVERAGE(IF($G30=YEAR('Data - Monthly Commodity Prices'!$C$100:$C$1000),'Data - Monthly Commodity Prices'!$L$100:$L$995)),"NA"),IFERROR(IF(K30=0,"NA",K30),"NA"))</f>
        <v>21113.145833333332</v>
      </c>
      <c r="J30" s="948">
        <f>(SUMIFS('Data - Monthly Commodity Prices'!$K$9:$K$2500,'Data - Monthly Commodity Prices'!$A$9:$A$2500,'Nickel - Prices'!E30,'Data - Monthly Commodity Prices'!$B$9:$B$2500,3)+
SUMIFS('Data - Monthly Commodity Prices'!$K$9:$K$2500,'Data - Monthly Commodity Prices'!$A$9:$A$2500,'Nickel - Prices'!E30,'Data - Monthly Commodity Prices'!$B$9:$B$2500,4)+
SUMIFS('Data - Monthly Commodity Prices'!$K$9:$K$2500,'Data - Monthly Commodity Prices'!$A$9:$A$2500,'Nickel - Prices'!F30,'Data - Monthly Commodity Prices'!$B$9:$B$2500,1)+
SUMIFS('Data - Monthly Commodity Prices'!$K$9:$K$2500,'Data - Monthly Commodity Prices'!$A$9:$A$2500,'Nickel - Prices'!F30,'Data - Monthly Commodity Prices'!$B$9:$B$2500,2))
/(COUNTIFS('Data - Monthly Commodity Prices'!$A$9:$A$2500,'Nickel - Prices'!E30,'Data - Monthly Commodity Prices'!$B$9:$B$2500,3)+
COUNTIFS('Data - Monthly Commodity Prices'!$A$9:$A$2500,'Nickel - Prices'!E30,'Data - Monthly Commodity Prices'!$B$9:$B$2500,4)+
COUNTIFS('Data - Monthly Commodity Prices'!$A$9:$A$2500,'Nickel - Prices'!F30,'Data - Monthly Commodity Prices'!$B$9:$B$2500,1)+
COUNTIFS('Data - Monthly Commodity Prices'!$A$9:$A$2500,'Nickel - Prices'!F30,'Data - Monthly Commodity Prices'!$B$9:$B$2500,2))</f>
        <v>17626.086587819034</v>
      </c>
      <c r="K30" s="1348">
        <f>(SUMIFS('Data - Monthly Commodity Prices'!$L$9:$L$2500,'Data - Monthly Commodity Prices'!$A$9:$A$2500,'Nickel - Prices'!E30,'Data - Monthly Commodity Prices'!$B$9:$B$2500,3)+
SUMIFS('Data - Monthly Commodity Prices'!$L$9:$L$2500,'Data - Monthly Commodity Prices'!$A$9:$A$2500,'Nickel - Prices'!E30,'Data - Monthly Commodity Prices'!$B$9:$B$2500,4)+
SUMIFS('Data - Monthly Commodity Prices'!$L$9:$L$2500,'Data - Monthly Commodity Prices'!$A$9:$A$2500,'Nickel - Prices'!F30,'Data - Monthly Commodity Prices'!$B$9:$B$2500,1)+
SUMIFS('Data - Monthly Commodity Prices'!$L$9:$L$2500,'Data - Monthly Commodity Prices'!$A$9:$A$2500,'Nickel - Prices'!F30,'Data - Monthly Commodity Prices'!$B$9:$B$2500,2))
/(COUNTIFS('Data - Monthly Commodity Prices'!$A$9:$A$2500,'Nickel - Prices'!E30,'Data - Monthly Commodity Prices'!$B$9:$B$2500,3)+
COUNTIFS('Data - Monthly Commodity Prices'!$A$9:$A$2500,'Nickel - Prices'!E30,'Data - Monthly Commodity Prices'!$B$9:$B$2500,4)+
COUNTIFS('Data - Monthly Commodity Prices'!$A$9:$A$2500,'Nickel - Prices'!F30,'Data - Monthly Commodity Prices'!$B$9:$B$2500,1)+
COUNTIFS('Data - Monthly Commodity Prices'!$A$9:$A$2500,'Nickel - Prices'!F30,'Data - Monthly Commodity Prices'!$B$9:$B$2500,2))</f>
        <v>13366.498333333335</v>
      </c>
    </row>
    <row r="31" spans="1:11">
      <c r="A31" s="1876">
        <f>LARGE('Data - Monthly Commodity Prices'!C$159:C$902,37)</f>
        <v>42705</v>
      </c>
      <c r="B31" s="79">
        <f>SUMIF('Data - Monthly Commodity Prices'!C$159:C$902,A31,'Data - Monthly Commodity Prices'!K$159:K$902)</f>
        <v>15014.66</v>
      </c>
      <c r="C31" s="61">
        <f>SUMIF('Data - Monthly Commodity Prices'!C$159:C$902,A31,'Data - Monthly Commodity Prices'!L$159:L$902)</f>
        <v>11013.25</v>
      </c>
      <c r="D31" s="24"/>
      <c r="E31" s="410">
        <f t="shared" si="1"/>
        <v>2009</v>
      </c>
      <c r="F31" s="410">
        <f t="shared" si="1"/>
        <v>2010</v>
      </c>
      <c r="G31" s="1879">
        <f t="shared" si="0"/>
        <v>2009</v>
      </c>
      <c r="H31" s="31">
        <f t="array" ref="H31">IF($G$6="Historic Calendar Year",IFERROR(AVERAGE(IF($G31=YEAR('Data - Monthly Commodity Prices'!$C$100:$C$1000),'Data - Monthly Commodity Prices'!$K$100:$K$1000)),"NA"),IFERROR(IF(J31=0,"NA",J31),"NA"))</f>
        <v>18370.267904634788</v>
      </c>
      <c r="I31" s="31">
        <f t="array" ref="I31">IF($G$6="Historic Calendar Year",IFERROR(AVERAGE(IF($G31=YEAR('Data - Monthly Commodity Prices'!$C$100:$C$1000),'Data - Monthly Commodity Prices'!$L$100:$L$995)),"NA"),IFERROR(IF(K31=0,"NA",K31),"NA"))</f>
        <v>14721.555833333334</v>
      </c>
      <c r="J31" s="948">
        <f>(SUMIFS('Data - Monthly Commodity Prices'!$K$9:$K$2500,'Data - Monthly Commodity Prices'!$A$9:$A$2500,'Nickel - Prices'!E31,'Data - Monthly Commodity Prices'!$B$9:$B$2500,3)+
SUMIFS('Data - Monthly Commodity Prices'!$K$9:$K$2500,'Data - Monthly Commodity Prices'!$A$9:$A$2500,'Nickel - Prices'!E31,'Data - Monthly Commodity Prices'!$B$9:$B$2500,4)+
SUMIFS('Data - Monthly Commodity Prices'!$K$9:$K$2500,'Data - Monthly Commodity Prices'!$A$9:$A$2500,'Nickel - Prices'!F31,'Data - Monthly Commodity Prices'!$B$9:$B$2500,1)+
SUMIFS('Data - Monthly Commodity Prices'!$K$9:$K$2500,'Data - Monthly Commodity Prices'!$A$9:$A$2500,'Nickel - Prices'!F31,'Data - Monthly Commodity Prices'!$B$9:$B$2500,2))
/(COUNTIFS('Data - Monthly Commodity Prices'!$A$9:$A$2500,'Nickel - Prices'!E31,'Data - Monthly Commodity Prices'!$B$9:$B$2500,3)+
COUNTIFS('Data - Monthly Commodity Prices'!$A$9:$A$2500,'Nickel - Prices'!E31,'Data - Monthly Commodity Prices'!$B$9:$B$2500,4)+
COUNTIFS('Data - Monthly Commodity Prices'!$A$9:$A$2500,'Nickel - Prices'!F31,'Data - Monthly Commodity Prices'!$B$9:$B$2500,1)+
COUNTIFS('Data - Monthly Commodity Prices'!$A$9:$A$2500,'Nickel - Prices'!F31,'Data - Monthly Commodity Prices'!$B$9:$B$2500,2))</f>
        <v>21984.030810607346</v>
      </c>
      <c r="K31" s="1348">
        <f>(SUMIFS('Data - Monthly Commodity Prices'!$L$9:$L$2500,'Data - Monthly Commodity Prices'!$A$9:$A$2500,'Nickel - Prices'!E31,'Data - Monthly Commodity Prices'!$B$9:$B$2500,3)+
SUMIFS('Data - Monthly Commodity Prices'!$L$9:$L$2500,'Data - Monthly Commodity Prices'!$A$9:$A$2500,'Nickel - Prices'!E31,'Data - Monthly Commodity Prices'!$B$9:$B$2500,4)+
SUMIFS('Data - Monthly Commodity Prices'!$L$9:$L$2500,'Data - Monthly Commodity Prices'!$A$9:$A$2500,'Nickel - Prices'!F31,'Data - Monthly Commodity Prices'!$B$9:$B$2500,1)+
SUMIFS('Data - Monthly Commodity Prices'!$L$9:$L$2500,'Data - Monthly Commodity Prices'!$A$9:$A$2500,'Nickel - Prices'!F31,'Data - Monthly Commodity Prices'!$B$9:$B$2500,2))
/(COUNTIFS('Data - Monthly Commodity Prices'!$A$9:$A$2500,'Nickel - Prices'!E31,'Data - Monthly Commodity Prices'!$B$9:$B$2500,3)+
COUNTIFS('Data - Monthly Commodity Prices'!$A$9:$A$2500,'Nickel - Prices'!E31,'Data - Monthly Commodity Prices'!$B$9:$B$2500,4)+
COUNTIFS('Data - Monthly Commodity Prices'!$A$9:$A$2500,'Nickel - Prices'!F31,'Data - Monthly Commodity Prices'!$B$9:$B$2500,1)+
COUNTIFS('Data - Monthly Commodity Prices'!$A$9:$A$2500,'Nickel - Prices'!F31,'Data - Monthly Commodity Prices'!$B$9:$B$2500,2))</f>
        <v>19414.585000000003</v>
      </c>
    </row>
    <row r="32" spans="1:11">
      <c r="A32" s="1875">
        <f>LARGE('Data - Monthly Commodity Prices'!C$159:C$902,36)</f>
        <v>42736</v>
      </c>
      <c r="B32" s="1036">
        <f>SUMIF('Data - Monthly Commodity Prices'!C$159:C$902,A32,'Data - Monthly Commodity Prices'!K$159:K$902)</f>
        <v>13385.56</v>
      </c>
      <c r="C32" s="1037">
        <f>SUMIF('Data - Monthly Commodity Prices'!C$159:C$902,A32,'Data - Monthly Commodity Prices'!L$159:L$902)</f>
        <v>9984.2900000000009</v>
      </c>
      <c r="D32" s="24"/>
      <c r="E32" s="410">
        <f t="shared" si="1"/>
        <v>2010</v>
      </c>
      <c r="F32" s="410">
        <f t="shared" si="1"/>
        <v>2011</v>
      </c>
      <c r="G32" s="1880">
        <f t="shared" si="0"/>
        <v>2010</v>
      </c>
      <c r="H32" s="30">
        <f t="array" ref="H32">IF($G$6="Historic Calendar Year",IFERROR(AVERAGE(IF($G32=YEAR('Data - Monthly Commodity Prices'!$C$100:$C$1000),'Data - Monthly Commodity Prices'!$K$100:$K$1000)),"NA"),IFERROR(IF(J32=0,"NA",J32),"NA"))</f>
        <v>23680.196384916082</v>
      </c>
      <c r="I32" s="30">
        <f t="array" ref="I32">IF($G$6="Historic Calendar Year",IFERROR(AVERAGE(IF($G32=YEAR('Data - Monthly Commodity Prices'!$C$100:$C$1000),'Data - Monthly Commodity Prices'!$L$100:$L$995)),"NA"),IFERROR(IF(K32=0,"NA",K32),"NA"))</f>
        <v>21808.852500000001</v>
      </c>
      <c r="J32" s="948">
        <f>(SUMIFS('Data - Monthly Commodity Prices'!$K$9:$K$2500,'Data - Monthly Commodity Prices'!$A$9:$A$2500,'Nickel - Prices'!E32,'Data - Monthly Commodity Prices'!$B$9:$B$2500,3)+
SUMIFS('Data - Monthly Commodity Prices'!$K$9:$K$2500,'Data - Monthly Commodity Prices'!$A$9:$A$2500,'Nickel - Prices'!E32,'Data - Monthly Commodity Prices'!$B$9:$B$2500,4)+
SUMIFS('Data - Monthly Commodity Prices'!$K$9:$K$2500,'Data - Monthly Commodity Prices'!$A$9:$A$2500,'Nickel - Prices'!F32,'Data - Monthly Commodity Prices'!$B$9:$B$2500,1)+
SUMIFS('Data - Monthly Commodity Prices'!$K$9:$K$2500,'Data - Monthly Commodity Prices'!$A$9:$A$2500,'Nickel - Prices'!F32,'Data - Monthly Commodity Prices'!$B$9:$B$2500,2))
/(COUNTIFS('Data - Monthly Commodity Prices'!$A$9:$A$2500,'Nickel - Prices'!E32,'Data - Monthly Commodity Prices'!$B$9:$B$2500,3)+
COUNTIFS('Data - Monthly Commodity Prices'!$A$9:$A$2500,'Nickel - Prices'!E32,'Data - Monthly Commodity Prices'!$B$9:$B$2500,4)+
COUNTIFS('Data - Monthly Commodity Prices'!$A$9:$A$2500,'Nickel - Prices'!F32,'Data - Monthly Commodity Prices'!$B$9:$B$2500,1)+
COUNTIFS('Data - Monthly Commodity Prices'!$A$9:$A$2500,'Nickel - Prices'!F32,'Data - Monthly Commodity Prices'!$B$9:$B$2500,2))</f>
        <v>24270.953935883615</v>
      </c>
      <c r="K32" s="1348">
        <f>(SUMIFS('Data - Monthly Commodity Prices'!$L$9:$L$2500,'Data - Monthly Commodity Prices'!$A$9:$A$2500,'Nickel - Prices'!E32,'Data - Monthly Commodity Prices'!$B$9:$B$2500,3)+
SUMIFS('Data - Monthly Commodity Prices'!$L$9:$L$2500,'Data - Monthly Commodity Prices'!$A$9:$A$2500,'Nickel - Prices'!E32,'Data - Monthly Commodity Prices'!$B$9:$B$2500,4)+
SUMIFS('Data - Monthly Commodity Prices'!$L$9:$L$2500,'Data - Monthly Commodity Prices'!$A$9:$A$2500,'Nickel - Prices'!F32,'Data - Monthly Commodity Prices'!$B$9:$B$2500,1)+
SUMIFS('Data - Monthly Commodity Prices'!$L$9:$L$2500,'Data - Monthly Commodity Prices'!$A$9:$A$2500,'Nickel - Prices'!F32,'Data - Monthly Commodity Prices'!$B$9:$B$2500,2))
/(COUNTIFS('Data - Monthly Commodity Prices'!$A$9:$A$2500,'Nickel - Prices'!E32,'Data - Monthly Commodity Prices'!$B$9:$B$2500,3)+
COUNTIFS('Data - Monthly Commodity Prices'!$A$9:$A$2500,'Nickel - Prices'!E32,'Data - Monthly Commodity Prices'!$B$9:$B$2500,4)+
COUNTIFS('Data - Monthly Commodity Prices'!$A$9:$A$2500,'Nickel - Prices'!F32,'Data - Monthly Commodity Prices'!$B$9:$B$2500,1)+
COUNTIFS('Data - Monthly Commodity Prices'!$A$9:$A$2500,'Nickel - Prices'!F32,'Data - Monthly Commodity Prices'!$B$9:$B$2500,2))</f>
        <v>24000.445833333331</v>
      </c>
    </row>
    <row r="33" spans="1:11">
      <c r="A33" s="1876">
        <f>LARGE('Data - Monthly Commodity Prices'!C$159:C$902,35)</f>
        <v>42767</v>
      </c>
      <c r="B33" s="79">
        <f>SUMIF('Data - Monthly Commodity Prices'!C$159:C$902,A33,'Data - Monthly Commodity Prices'!K$159:K$902)</f>
        <v>13852.73</v>
      </c>
      <c r="C33" s="61">
        <f>SUMIF('Data - Monthly Commodity Prices'!C$159:C$902,A33,'Data - Monthly Commodity Prices'!L$159:L$902)</f>
        <v>10619.5</v>
      </c>
      <c r="D33" s="24"/>
      <c r="E33" s="410">
        <f t="shared" si="1"/>
        <v>2011</v>
      </c>
      <c r="F33" s="410">
        <f t="shared" si="1"/>
        <v>2012</v>
      </c>
      <c r="G33" s="1879">
        <f t="shared" si="0"/>
        <v>2011</v>
      </c>
      <c r="H33" s="31">
        <f t="array" ref="H33">IF($G$6="Historic Calendar Year",IFERROR(AVERAGE(IF($G33=YEAR('Data - Monthly Commodity Prices'!$C$100:$C$1000),'Data - Monthly Commodity Prices'!$K$100:$K$1000)),"NA"),IFERROR(IF(J33=0,"NA",J33),"NA"))</f>
        <v>22223.791700942267</v>
      </c>
      <c r="I33" s="31">
        <f t="array" ref="I33">IF($G$6="Historic Calendar Year",IFERROR(AVERAGE(IF($G33=YEAR('Data - Monthly Commodity Prices'!$C$100:$C$1000),'Data - Monthly Commodity Prices'!$L$100:$L$995)),"NA"),IFERROR(IF(K33=0,"NA",K33),"NA"))</f>
        <v>22894.358333333334</v>
      </c>
      <c r="J33" s="948">
        <f>(SUMIFS('Data - Monthly Commodity Prices'!$K$9:$K$2500,'Data - Monthly Commodity Prices'!$A$9:$A$2500,'Nickel - Prices'!E33,'Data - Monthly Commodity Prices'!$B$9:$B$2500,3)+
SUMIFS('Data - Monthly Commodity Prices'!$K$9:$K$2500,'Data - Monthly Commodity Prices'!$A$9:$A$2500,'Nickel - Prices'!E33,'Data - Monthly Commodity Prices'!$B$9:$B$2500,4)+
SUMIFS('Data - Monthly Commodity Prices'!$K$9:$K$2500,'Data - Monthly Commodity Prices'!$A$9:$A$2500,'Nickel - Prices'!F33,'Data - Monthly Commodity Prices'!$B$9:$B$2500,1)+
SUMIFS('Data - Monthly Commodity Prices'!$K$9:$K$2500,'Data - Monthly Commodity Prices'!$A$9:$A$2500,'Nickel - Prices'!F33,'Data - Monthly Commodity Prices'!$B$9:$B$2500,2))
/(COUNTIFS('Data - Monthly Commodity Prices'!$A$9:$A$2500,'Nickel - Prices'!E33,'Data - Monthly Commodity Prices'!$B$9:$B$2500,3)+
COUNTIFS('Data - Monthly Commodity Prices'!$A$9:$A$2500,'Nickel - Prices'!E33,'Data - Monthly Commodity Prices'!$B$9:$B$2500,4)+
COUNTIFS('Data - Monthly Commodity Prices'!$A$9:$A$2500,'Nickel - Prices'!F33,'Data - Monthly Commodity Prices'!$B$9:$B$2500,1)+
COUNTIFS('Data - Monthly Commodity Prices'!$A$9:$A$2500,'Nickel - Prices'!F33,'Data - Monthly Commodity Prices'!$B$9:$B$2500,2))</f>
        <v>18666.716205859433</v>
      </c>
      <c r="K33" s="1348">
        <f>(SUMIFS('Data - Monthly Commodity Prices'!$L$9:$L$2500,'Data - Monthly Commodity Prices'!$A$9:$A$2500,'Nickel - Prices'!E33,'Data - Monthly Commodity Prices'!$B$9:$B$2500,3)+
SUMIFS('Data - Monthly Commodity Prices'!$L$9:$L$2500,'Data - Monthly Commodity Prices'!$A$9:$A$2500,'Nickel - Prices'!E33,'Data - Monthly Commodity Prices'!$B$9:$B$2500,4)+
SUMIFS('Data - Monthly Commodity Prices'!$L$9:$L$2500,'Data - Monthly Commodity Prices'!$A$9:$A$2500,'Nickel - Prices'!F33,'Data - Monthly Commodity Prices'!$B$9:$B$2500,1)+
SUMIFS('Data - Monthly Commodity Prices'!$L$9:$L$2500,'Data - Monthly Commodity Prices'!$A$9:$A$2500,'Nickel - Prices'!F33,'Data - Monthly Commodity Prices'!$B$9:$B$2500,2))
/(COUNTIFS('Data - Monthly Commodity Prices'!$A$9:$A$2500,'Nickel - Prices'!E33,'Data - Monthly Commodity Prices'!$B$9:$B$2500,3)+
COUNTIFS('Data - Monthly Commodity Prices'!$A$9:$A$2500,'Nickel - Prices'!E33,'Data - Monthly Commodity Prices'!$B$9:$B$2500,4)+
COUNTIFS('Data - Monthly Commodity Prices'!$A$9:$A$2500,'Nickel - Prices'!F33,'Data - Monthly Commodity Prices'!$B$9:$B$2500,1)+
COUNTIFS('Data - Monthly Commodity Prices'!$A$9:$A$2500,'Nickel - Prices'!F33,'Data - Monthly Commodity Prices'!$B$9:$B$2500,2))</f>
        <v>19297.845833333333</v>
      </c>
    </row>
    <row r="34" spans="1:11">
      <c r="A34" s="1875">
        <f>LARGE('Data - Monthly Commodity Prices'!C$159:C$902,34)</f>
        <v>42795</v>
      </c>
      <c r="B34" s="1036">
        <f>SUMIF('Data - Monthly Commodity Prices'!C$159:C$902,A34,'Data - Monthly Commodity Prices'!K$159:K$902)</f>
        <v>13418.72</v>
      </c>
      <c r="C34" s="1037">
        <f>SUMIF('Data - Monthly Commodity Prices'!C$159:C$902,A34,'Data - Monthly Commodity Prices'!L$159:L$902)</f>
        <v>10230.43</v>
      </c>
      <c r="D34" s="24"/>
      <c r="E34" s="410">
        <f t="shared" si="1"/>
        <v>2012</v>
      </c>
      <c r="F34" s="410">
        <f t="shared" si="1"/>
        <v>2013</v>
      </c>
      <c r="G34" s="1880">
        <f t="shared" si="0"/>
        <v>2012</v>
      </c>
      <c r="H34" s="30">
        <f t="array" ref="H34">IF($G$6="Historic Calendar Year",IFERROR(AVERAGE(IF($G34=YEAR('Data - Monthly Commodity Prices'!$C$100:$C$1000),'Data - Monthly Commodity Prices'!$K$100:$K$1000)),"NA"),IFERROR(IF(J34=0,"NA",J34),"NA"))</f>
        <v>16931.934044811562</v>
      </c>
      <c r="I34" s="30">
        <f t="array" ref="I34">IF($G$6="Historic Calendar Year",IFERROR(AVERAGE(IF($G34=YEAR('Data - Monthly Commodity Prices'!$C$100:$C$1000),'Data - Monthly Commodity Prices'!$L$100:$L$995)),"NA"),IFERROR(IF(K34=0,"NA",K34),"NA"))</f>
        <v>17535.575000000001</v>
      </c>
      <c r="J34" s="948">
        <f>(SUMIFS('Data - Monthly Commodity Prices'!$K$9:$K$2500,'Data - Monthly Commodity Prices'!$A$9:$A$2500,'Nickel - Prices'!E34,'Data - Monthly Commodity Prices'!$B$9:$B$2500,3)+
SUMIFS('Data - Monthly Commodity Prices'!$K$9:$K$2500,'Data - Monthly Commodity Prices'!$A$9:$A$2500,'Nickel - Prices'!E34,'Data - Monthly Commodity Prices'!$B$9:$B$2500,4)+
SUMIFS('Data - Monthly Commodity Prices'!$K$9:$K$2500,'Data - Monthly Commodity Prices'!$A$9:$A$2500,'Nickel - Prices'!F34,'Data - Monthly Commodity Prices'!$B$9:$B$2500,1)+
SUMIFS('Data - Monthly Commodity Prices'!$K$9:$K$2500,'Data - Monthly Commodity Prices'!$A$9:$A$2500,'Nickel - Prices'!F34,'Data - Monthly Commodity Prices'!$B$9:$B$2500,2))
/(COUNTIFS('Data - Monthly Commodity Prices'!$A$9:$A$2500,'Nickel - Prices'!E34,'Data - Monthly Commodity Prices'!$B$9:$B$2500,3)+
COUNTIFS('Data - Monthly Commodity Prices'!$A$9:$A$2500,'Nickel - Prices'!E34,'Data - Monthly Commodity Prices'!$B$9:$B$2500,4)+
COUNTIFS('Data - Monthly Commodity Prices'!$A$9:$A$2500,'Nickel - Prices'!F34,'Data - Monthly Commodity Prices'!$B$9:$B$2500,1)+
COUNTIFS('Data - Monthly Commodity Prices'!$A$9:$A$2500,'Nickel - Prices'!F34,'Data - Monthly Commodity Prices'!$B$9:$B$2500,2))</f>
        <v>15973.97176112026</v>
      </c>
      <c r="K34" s="1348">
        <f>(SUMIFS('Data - Monthly Commodity Prices'!$L$9:$L$2500,'Data - Monthly Commodity Prices'!$A$9:$A$2500,'Nickel - Prices'!E34,'Data - Monthly Commodity Prices'!$B$9:$B$2500,3)+
SUMIFS('Data - Monthly Commodity Prices'!$L$9:$L$2500,'Data - Monthly Commodity Prices'!$A$9:$A$2500,'Nickel - Prices'!E34,'Data - Monthly Commodity Prices'!$B$9:$B$2500,4)+
SUMIFS('Data - Monthly Commodity Prices'!$L$9:$L$2500,'Data - Monthly Commodity Prices'!$A$9:$A$2500,'Nickel - Prices'!F34,'Data - Monthly Commodity Prices'!$B$9:$B$2500,1)+
SUMIFS('Data - Monthly Commodity Prices'!$L$9:$L$2500,'Data - Monthly Commodity Prices'!$A$9:$A$2500,'Nickel - Prices'!F34,'Data - Monthly Commodity Prices'!$B$9:$B$2500,2))
/(COUNTIFS('Data - Monthly Commodity Prices'!$A$9:$A$2500,'Nickel - Prices'!E34,'Data - Monthly Commodity Prices'!$B$9:$B$2500,3)+
COUNTIFS('Data - Monthly Commodity Prices'!$A$9:$A$2500,'Nickel - Prices'!E34,'Data - Monthly Commodity Prices'!$B$9:$B$2500,4)+
COUNTIFS('Data - Monthly Commodity Prices'!$A$9:$A$2500,'Nickel - Prices'!F34,'Data - Monthly Commodity Prices'!$B$9:$B$2500,1)+
COUNTIFS('Data - Monthly Commodity Prices'!$A$9:$A$2500,'Nickel - Prices'!F34,'Data - Monthly Commodity Prices'!$B$9:$B$2500,2))</f>
        <v>16397.045833333334</v>
      </c>
    </row>
    <row r="35" spans="1:11">
      <c r="A35" s="1876">
        <f>LARGE('Data - Monthly Commodity Prices'!C$159:C$902,33)</f>
        <v>42826</v>
      </c>
      <c r="B35" s="79">
        <f>SUMIF('Data - Monthly Commodity Prices'!C$159:C$902,A35,'Data - Monthly Commodity Prices'!K$159:K$902)</f>
        <v>12831.6</v>
      </c>
      <c r="C35" s="61">
        <f>SUMIF('Data - Monthly Commodity Prices'!C$159:C$902,A35,'Data - Monthly Commodity Prices'!L$159:L$902)</f>
        <v>9668.61</v>
      </c>
      <c r="D35" s="24"/>
      <c r="E35" s="410">
        <f t="shared" si="1"/>
        <v>2013</v>
      </c>
      <c r="F35" s="410">
        <f t="shared" si="1"/>
        <v>2014</v>
      </c>
      <c r="G35" s="1879">
        <f t="shared" si="0"/>
        <v>2013</v>
      </c>
      <c r="H35" s="31">
        <f t="array" ref="H35">IF($G$6="Historic Calendar Year",IFERROR(AVERAGE(IF($G35=YEAR('Data - Monthly Commodity Prices'!$C$100:$C$1000),'Data - Monthly Commodity Prices'!$K$100:$K$1000)),"NA"),IFERROR(IF(J35=0,"NA",J35),"NA"))</f>
        <v>15502.270527550427</v>
      </c>
      <c r="I35" s="31">
        <f t="array" ref="I35">IF($G$6="Historic Calendar Year",IFERROR(AVERAGE(IF($G35=YEAR('Data - Monthly Commodity Prices'!$C$100:$C$1000),'Data - Monthly Commodity Prices'!$L$100:$L$995)),"NA"),IFERROR(IF(K35=0,"NA",K35),"NA"))</f>
        <v>15021.8925</v>
      </c>
      <c r="J35" s="948">
        <f>(SUMIFS('Data - Monthly Commodity Prices'!$K$9:$K$2500,'Data - Monthly Commodity Prices'!$A$9:$A$2500,'Nickel - Prices'!E35,'Data - Monthly Commodity Prices'!$B$9:$B$2500,3)+
SUMIFS('Data - Monthly Commodity Prices'!$K$9:$K$2500,'Data - Monthly Commodity Prices'!$A$9:$A$2500,'Nickel - Prices'!E35,'Data - Monthly Commodity Prices'!$B$9:$B$2500,4)+
SUMIFS('Data - Monthly Commodity Prices'!$K$9:$K$2500,'Data - Monthly Commodity Prices'!$A$9:$A$2500,'Nickel - Prices'!F35,'Data - Monthly Commodity Prices'!$B$9:$B$2500,1)+
SUMIFS('Data - Monthly Commodity Prices'!$K$9:$K$2500,'Data - Monthly Commodity Prices'!$A$9:$A$2500,'Nickel - Prices'!F35,'Data - Monthly Commodity Prices'!$B$9:$B$2500,2))
/(COUNTIFS('Data - Monthly Commodity Prices'!$A$9:$A$2500,'Nickel - Prices'!E35,'Data - Monthly Commodity Prices'!$B$9:$B$2500,3)+
COUNTIFS('Data - Monthly Commodity Prices'!$A$9:$A$2500,'Nickel - Prices'!E35,'Data - Monthly Commodity Prices'!$B$9:$B$2500,4)+
COUNTIFS('Data - Monthly Commodity Prices'!$A$9:$A$2500,'Nickel - Prices'!F35,'Data - Monthly Commodity Prices'!$B$9:$B$2500,1)+
COUNTIFS('Data - Monthly Commodity Prices'!$A$9:$A$2500,'Nickel - Prices'!F35,'Data - Monthly Commodity Prices'!$B$9:$B$2500,2))</f>
        <v>16586.714212093484</v>
      </c>
      <c r="K35" s="1348">
        <f>(SUMIFS('Data - Monthly Commodity Prices'!$L$9:$L$2500,'Data - Monthly Commodity Prices'!$A$9:$A$2500,'Nickel - Prices'!E35,'Data - Monthly Commodity Prices'!$B$9:$B$2500,3)+
SUMIFS('Data - Monthly Commodity Prices'!$L$9:$L$2500,'Data - Monthly Commodity Prices'!$A$9:$A$2500,'Nickel - Prices'!E35,'Data - Monthly Commodity Prices'!$B$9:$B$2500,4)+
SUMIFS('Data - Monthly Commodity Prices'!$L$9:$L$2500,'Data - Monthly Commodity Prices'!$A$9:$A$2500,'Nickel - Prices'!F35,'Data - Monthly Commodity Prices'!$B$9:$B$2500,1)+
SUMIFS('Data - Monthly Commodity Prices'!$L$9:$L$2500,'Data - Monthly Commodity Prices'!$A$9:$A$2500,'Nickel - Prices'!F35,'Data - Monthly Commodity Prices'!$B$9:$B$2500,2))
/(COUNTIFS('Data - Monthly Commodity Prices'!$A$9:$A$2500,'Nickel - Prices'!E35,'Data - Monthly Commodity Prices'!$B$9:$B$2500,3)+
COUNTIFS('Data - Monthly Commodity Prices'!$A$9:$A$2500,'Nickel - Prices'!E35,'Data - Monthly Commodity Prices'!$B$9:$B$2500,4)+
COUNTIFS('Data - Monthly Commodity Prices'!$A$9:$A$2500,'Nickel - Prices'!F35,'Data - Monthly Commodity Prices'!$B$9:$B$2500,1)+
COUNTIFS('Data - Monthly Commodity Prices'!$A$9:$A$2500,'Nickel - Prices'!F35,'Data - Monthly Commodity Prices'!$B$9:$B$2500,2))</f>
        <v>15233.490833333335</v>
      </c>
    </row>
    <row r="36" spans="1:11">
      <c r="A36" s="1875">
        <f>LARGE('Data - Monthly Commodity Prices'!C$159:C$902,32)</f>
        <v>42856</v>
      </c>
      <c r="B36" s="1036">
        <f>SUMIF('Data - Monthly Commodity Prices'!C$159:C$902,A36,'Data - Monthly Commodity Prices'!K$159:K$902)</f>
        <v>12310.77</v>
      </c>
      <c r="C36" s="1037">
        <f>SUMIF('Data - Monthly Commodity Prices'!C$159:C$902,A36,'Data - Monthly Commodity Prices'!L$159:L$902)</f>
        <v>9154.2900000000009</v>
      </c>
      <c r="D36" s="24"/>
      <c r="E36" s="410">
        <f t="shared" si="1"/>
        <v>2014</v>
      </c>
      <c r="F36" s="410">
        <f t="shared" si="1"/>
        <v>2015</v>
      </c>
      <c r="G36" s="1880">
        <f t="shared" si="0"/>
        <v>2014</v>
      </c>
      <c r="H36" s="30">
        <f t="array" ref="H36">IF($G$6="Historic Calendar Year",IFERROR(AVERAGE(IF($G36=YEAR('Data - Monthly Commodity Prices'!$C$100:$C$1000),'Data - Monthly Commodity Prices'!$K$100:$K$1000)),"NA"),IFERROR(IF(J36=0,"NA",J36),"NA"))</f>
        <v>18667.853190278471</v>
      </c>
      <c r="I36" s="30">
        <f t="array" ref="I36">IF($G$6="Historic Calendar Year",IFERROR(AVERAGE(IF($G36=YEAR('Data - Monthly Commodity Prices'!$C$100:$C$1000),'Data - Monthly Commodity Prices'!$L$100:$L$995)),"NA"),IFERROR(IF(K36=0,"NA",K36),"NA"))</f>
        <v>16868.554166666665</v>
      </c>
      <c r="J36" s="948">
        <f>(SUMIFS('Data - Monthly Commodity Prices'!$K$9:$K$2500,'Data - Monthly Commodity Prices'!$A$9:$A$2500,'Nickel - Prices'!E36,'Data - Monthly Commodity Prices'!$B$9:$B$2500,3)+
SUMIFS('Data - Monthly Commodity Prices'!$K$9:$K$2500,'Data - Monthly Commodity Prices'!$A$9:$A$2500,'Nickel - Prices'!E36,'Data - Monthly Commodity Prices'!$B$9:$B$2500,4)+
SUMIFS('Data - Monthly Commodity Prices'!$K$9:$K$2500,'Data - Monthly Commodity Prices'!$A$9:$A$2500,'Nickel - Prices'!F36,'Data - Monthly Commodity Prices'!$B$9:$B$2500,1)+
SUMIFS('Data - Monthly Commodity Prices'!$K$9:$K$2500,'Data - Monthly Commodity Prices'!$A$9:$A$2500,'Nickel - Prices'!F36,'Data - Monthly Commodity Prices'!$B$9:$B$2500,2))
/(COUNTIFS('Data - Monthly Commodity Prices'!$A$9:$A$2500,'Nickel - Prices'!E36,'Data - Monthly Commodity Prices'!$B$9:$B$2500,3)+
COUNTIFS('Data - Monthly Commodity Prices'!$A$9:$A$2500,'Nickel - Prices'!E36,'Data - Monthly Commodity Prices'!$B$9:$B$2500,4)+
COUNTIFS('Data - Monthly Commodity Prices'!$A$9:$A$2500,'Nickel - Prices'!F36,'Data - Monthly Commodity Prices'!$B$9:$B$2500,1)+
COUNTIFS('Data - Monthly Commodity Prices'!$A$9:$A$2500,'Nickel - Prices'!F36,'Data - Monthly Commodity Prices'!$B$9:$B$2500,2))</f>
        <v>18388.69112585095</v>
      </c>
      <c r="K36" s="1348">
        <f>(SUMIFS('Data - Monthly Commodity Prices'!$L$9:$L$2500,'Data - Monthly Commodity Prices'!$A$9:$A$2500,'Nickel - Prices'!E36,'Data - Monthly Commodity Prices'!$B$9:$B$2500,3)+
SUMIFS('Data - Monthly Commodity Prices'!$L$9:$L$2500,'Data - Monthly Commodity Prices'!$A$9:$A$2500,'Nickel - Prices'!E36,'Data - Monthly Commodity Prices'!$B$9:$B$2500,4)+
SUMIFS('Data - Monthly Commodity Prices'!$L$9:$L$2500,'Data - Monthly Commodity Prices'!$A$9:$A$2500,'Nickel - Prices'!F36,'Data - Monthly Commodity Prices'!$B$9:$B$2500,1)+
SUMIFS('Data - Monthly Commodity Prices'!$L$9:$L$2500,'Data - Monthly Commodity Prices'!$A$9:$A$2500,'Nickel - Prices'!F36,'Data - Monthly Commodity Prices'!$B$9:$B$2500,2))
/(COUNTIFS('Data - Monthly Commodity Prices'!$A$9:$A$2500,'Nickel - Prices'!E36,'Data - Monthly Commodity Prices'!$B$9:$B$2500,3)+
COUNTIFS('Data - Monthly Commodity Prices'!$A$9:$A$2500,'Nickel - Prices'!E36,'Data - Monthly Commodity Prices'!$B$9:$B$2500,4)+
COUNTIFS('Data - Monthly Commodity Prices'!$A$9:$A$2500,'Nickel - Prices'!F36,'Data - Monthly Commodity Prices'!$B$9:$B$2500,1)+
COUNTIFS('Data - Monthly Commodity Prices'!$A$9:$A$2500,'Nickel - Prices'!F36,'Data - Monthly Commodity Prices'!$B$9:$B$2500,2))</f>
        <v>15435.279166666667</v>
      </c>
    </row>
    <row r="37" spans="1:11">
      <c r="A37" s="1876">
        <f>LARGE('Data - Monthly Commodity Prices'!C$159:C$902,31)</f>
        <v>42887</v>
      </c>
      <c r="B37" s="79">
        <f>SUMIF('Data - Monthly Commodity Prices'!C$159:C$902,A37,'Data - Monthly Commodity Prices'!K$159:K$902)</f>
        <v>11813.071164021165</v>
      </c>
      <c r="C37" s="61">
        <f>SUMIF('Data - Monthly Commodity Prices'!C$159:C$902,A37,'Data - Monthly Commodity Prices'!L$159:L$902)</f>
        <v>8930.6818000000003</v>
      </c>
      <c r="D37" s="24"/>
      <c r="E37" s="410">
        <f t="shared" si="1"/>
        <v>2015</v>
      </c>
      <c r="F37" s="410">
        <f t="shared" si="1"/>
        <v>2016</v>
      </c>
      <c r="G37" s="1879">
        <f t="shared" si="0"/>
        <v>2015</v>
      </c>
      <c r="H37" s="31">
        <f t="array" ref="H37">IF($G$6="Historic Calendar Year",IFERROR(AVERAGE(IF($G37=YEAR('Data - Monthly Commodity Prices'!$C$100:$C$1000),'Data - Monthly Commodity Prices'!$K$100:$K$1000)),"NA"),IFERROR(IF(J37=0,"NA",J37),"NA"))</f>
        <v>15649.084119971385</v>
      </c>
      <c r="I37" s="31">
        <f t="array" ref="I37">IF($G$6="Historic Calendar Year",IFERROR(AVERAGE(IF($G37=YEAR('Data - Monthly Commodity Prices'!$C$100:$C$1000),'Data - Monthly Commodity Prices'!$L$100:$L$995)),"NA"),IFERROR(IF(K37=0,"NA",K37),"NA"))</f>
        <v>11834.791666666666</v>
      </c>
      <c r="J37" s="948">
        <f>(SUMIFS('Data - Monthly Commodity Prices'!$K$9:$K$2500,'Data - Monthly Commodity Prices'!$A$9:$A$2500,'Nickel - Prices'!E37,'Data - Monthly Commodity Prices'!$B$9:$B$2500,3)+
SUMIFS('Data - Monthly Commodity Prices'!$K$9:$K$2500,'Data - Monthly Commodity Prices'!$A$9:$A$2500,'Nickel - Prices'!E37,'Data - Monthly Commodity Prices'!$B$9:$B$2500,4)+
SUMIFS('Data - Monthly Commodity Prices'!$K$9:$K$2500,'Data - Monthly Commodity Prices'!$A$9:$A$2500,'Nickel - Prices'!F37,'Data - Monthly Commodity Prices'!$B$9:$B$2500,1)+
SUMIFS('Data - Monthly Commodity Prices'!$K$9:$K$2500,'Data - Monthly Commodity Prices'!$A$9:$A$2500,'Nickel - Prices'!F37,'Data - Monthly Commodity Prices'!$B$9:$B$2500,2))
/(COUNTIFS('Data - Monthly Commodity Prices'!$A$9:$A$2500,'Nickel - Prices'!E37,'Data - Monthly Commodity Prices'!$B$9:$B$2500,3)+
COUNTIFS('Data - Monthly Commodity Prices'!$A$9:$A$2500,'Nickel - Prices'!E37,'Data - Monthly Commodity Prices'!$B$9:$B$2500,4)+
COUNTIFS('Data - Monthly Commodity Prices'!$A$9:$A$2500,'Nickel - Prices'!F37,'Data - Monthly Commodity Prices'!$B$9:$B$2500,1)+
COUNTIFS('Data - Monthly Commodity Prices'!$A$9:$A$2500,'Nickel - Prices'!F37,'Data - Monthly Commodity Prices'!$B$9:$B$2500,2))</f>
        <v>12800.235944112757</v>
      </c>
      <c r="K37" s="1348">
        <f>(SUMIFS('Data - Monthly Commodity Prices'!$L$9:$L$2500,'Data - Monthly Commodity Prices'!$A$9:$A$2500,'Nickel - Prices'!E37,'Data - Monthly Commodity Prices'!$B$9:$B$2500,3)+
SUMIFS('Data - Monthly Commodity Prices'!$L$9:$L$2500,'Data - Monthly Commodity Prices'!$A$9:$A$2500,'Nickel - Prices'!E37,'Data - Monthly Commodity Prices'!$B$9:$B$2500,4)+
SUMIFS('Data - Monthly Commodity Prices'!$L$9:$L$2500,'Data - Monthly Commodity Prices'!$A$9:$A$2500,'Nickel - Prices'!F37,'Data - Monthly Commodity Prices'!$B$9:$B$2500,1)+
SUMIFS('Data - Monthly Commodity Prices'!$L$9:$L$2500,'Data - Monthly Commodity Prices'!$A$9:$A$2500,'Nickel - Prices'!F37,'Data - Monthly Commodity Prices'!$B$9:$B$2500,2))
/(COUNTIFS('Data - Monthly Commodity Prices'!$A$9:$A$2500,'Nickel - Prices'!E37,'Data - Monthly Commodity Prices'!$B$9:$B$2500,3)+
COUNTIFS('Data - Monthly Commodity Prices'!$A$9:$A$2500,'Nickel - Prices'!E37,'Data - Monthly Commodity Prices'!$B$9:$B$2500,4)+
COUNTIFS('Data - Monthly Commodity Prices'!$A$9:$A$2500,'Nickel - Prices'!F37,'Data - Monthly Commodity Prices'!$B$9:$B$2500,1)+
COUNTIFS('Data - Monthly Commodity Prices'!$A$9:$A$2500,'Nickel - Prices'!F37,'Data - Monthly Commodity Prices'!$B$9:$B$2500,2))</f>
        <v>9320.7325000000001</v>
      </c>
    </row>
    <row r="38" spans="1:11">
      <c r="A38" s="1875">
        <f>LARGE('Data - Monthly Commodity Prices'!C$159:C$902,30)</f>
        <v>42917</v>
      </c>
      <c r="B38" s="1036">
        <f>SUMIF('Data - Monthly Commodity Prices'!C$159:C$902,A38,'Data - Monthly Commodity Prices'!K$159:K$902)</f>
        <v>12148.19602818706</v>
      </c>
      <c r="C38" s="1037">
        <f>SUMIF('Data - Monthly Commodity Prices'!C$159:C$902,A38,'Data - Monthly Commodity Prices'!L$159:L$902)</f>
        <v>9481.6669999999995</v>
      </c>
      <c r="D38" s="24"/>
      <c r="E38" s="410">
        <f t="shared" si="1"/>
        <v>2016</v>
      </c>
      <c r="F38" s="410">
        <f t="shared" si="1"/>
        <v>2017</v>
      </c>
      <c r="G38" s="1880">
        <f t="shared" si="0"/>
        <v>2016</v>
      </c>
      <c r="H38" s="30">
        <f t="array" ref="H38">IF($G$6="Historic Calendar Year",IFERROR(AVERAGE(IF($G38=YEAR('Data - Monthly Commodity Prices'!$C$100:$C$1000),'Data - Monthly Commodity Prices'!$K$100:$K$1000)),"NA"),IFERROR(IF(J38=0,"NA",J38),"NA"))</f>
        <v>12890.727308333335</v>
      </c>
      <c r="I38" s="30">
        <f t="array" ref="I38">IF($G$6="Historic Calendar Year",IFERROR(AVERAGE(IF($G38=YEAR('Data - Monthly Commodity Prices'!$C$100:$C$1000),'Data - Monthly Commodity Prices'!$L$100:$L$995)),"NA"),IFERROR(IF(K38=0,"NA",K38),"NA"))</f>
        <v>9597.557499999999</v>
      </c>
      <c r="J38" s="948">
        <f>(SUMIFS('Data - Monthly Commodity Prices'!$K$9:$K$2500,'Data - Monthly Commodity Prices'!$A$9:$A$2500,'Nickel - Prices'!E38,'Data - Monthly Commodity Prices'!$B$9:$B$2500,3)+
SUMIFS('Data - Monthly Commodity Prices'!$K$9:$K$2500,'Data - Monthly Commodity Prices'!$A$9:$A$2500,'Nickel - Prices'!E38,'Data - Monthly Commodity Prices'!$B$9:$B$2500,4)+
SUMIFS('Data - Monthly Commodity Prices'!$K$9:$K$2500,'Data - Monthly Commodity Prices'!$A$9:$A$2500,'Nickel - Prices'!F38,'Data - Monthly Commodity Prices'!$B$9:$B$2500,1)+
SUMIFS('Data - Monthly Commodity Prices'!$K$9:$K$2500,'Data - Monthly Commodity Prices'!$A$9:$A$2500,'Nickel - Prices'!F38,'Data - Monthly Commodity Prices'!$B$9:$B$2500,2))
/(COUNTIFS('Data - Monthly Commodity Prices'!$A$9:$A$2500,'Nickel - Prices'!E38,'Data - Monthly Commodity Prices'!$B$9:$B$2500,3)+
COUNTIFS('Data - Monthly Commodity Prices'!$A$9:$A$2500,'Nickel - Prices'!E38,'Data - Monthly Commodity Prices'!$B$9:$B$2500,4)+
COUNTIFS('Data - Monthly Commodity Prices'!$A$9:$A$2500,'Nickel - Prices'!F38,'Data - Monthly Commodity Prices'!$B$9:$B$2500,1)+
COUNTIFS('Data - Monthly Commodity Prices'!$A$9:$A$2500,'Nickel - Prices'!F38,'Data - Monthly Commodity Prices'!$B$9:$B$2500,2))</f>
        <v>13460.360097001765</v>
      </c>
      <c r="K38" s="1348">
        <f>(SUMIFS('Data - Monthly Commodity Prices'!$L$9:$L$2500,'Data - Monthly Commodity Prices'!$A$9:$A$2500,'Nickel - Prices'!E38,'Data - Monthly Commodity Prices'!$B$9:$B$2500,3)+
SUMIFS('Data - Monthly Commodity Prices'!$L$9:$L$2500,'Data - Monthly Commodity Prices'!$A$9:$A$2500,'Nickel - Prices'!E38,'Data - Monthly Commodity Prices'!$B$9:$B$2500,4)+
SUMIFS('Data - Monthly Commodity Prices'!$L$9:$L$2500,'Data - Monthly Commodity Prices'!$A$9:$A$2500,'Nickel - Prices'!F38,'Data - Monthly Commodity Prices'!$B$9:$B$2500,1)+
SUMIFS('Data - Monthly Commodity Prices'!$L$9:$L$2500,'Data - Monthly Commodity Prices'!$A$9:$A$2500,'Nickel - Prices'!F38,'Data - Monthly Commodity Prices'!$B$9:$B$2500,2))
/(COUNTIFS('Data - Monthly Commodity Prices'!$A$9:$A$2500,'Nickel - Prices'!E38,'Data - Monthly Commodity Prices'!$B$9:$B$2500,3)+
COUNTIFS('Data - Monthly Commodity Prices'!$A$9:$A$2500,'Nickel - Prices'!E38,'Data - Monthly Commodity Prices'!$B$9:$B$2500,4)+
COUNTIFS('Data - Monthly Commodity Prices'!$A$9:$A$2500,'Nickel - Prices'!F38,'Data - Monthly Commodity Prices'!$B$9:$B$2500,1)+
COUNTIFS('Data - Monthly Commodity Prices'!$A$9:$A$2500,'Nickel - Prices'!F38,'Data - Monthly Commodity Prices'!$B$9:$B$2500,2))</f>
        <v>10150.383483333333</v>
      </c>
    </row>
    <row r="39" spans="1:11">
      <c r="A39" s="1876">
        <f>LARGE('Data - Monthly Commodity Prices'!C$159:C$902,29)</f>
        <v>42948</v>
      </c>
      <c r="B39" s="79">
        <f>SUMIF('Data - Monthly Commodity Prices'!C$159:C$902,A39,'Data - Monthly Commodity Prices'!K$159:K$902)</f>
        <v>13710.149754237678</v>
      </c>
      <c r="C39" s="61">
        <f>SUMIF('Data - Monthly Commodity Prices'!C$159:C$902,A39,'Data - Monthly Commodity Prices'!L$159:L$902)</f>
        <v>10852.954545454546</v>
      </c>
      <c r="D39" s="24"/>
      <c r="E39" s="410">
        <f t="shared" si="1"/>
        <v>2017</v>
      </c>
      <c r="F39" s="410">
        <f t="shared" si="1"/>
        <v>2018</v>
      </c>
      <c r="G39" s="1879">
        <f t="shared" si="0"/>
        <v>2017</v>
      </c>
      <c r="H39" s="31">
        <f t="array" ref="H39">IF($G$6="Historic Calendar Year",IFERROR(AVERAGE(IF($G39=YEAR('Data - Monthly Commodity Prices'!$C$100:$C$1000),'Data - Monthly Commodity Prices'!$K$100:$K$1000)),"NA"),IFERROR(IF(J39=0,"NA",J39),"NA"))</f>
        <v>13563.390538127425</v>
      </c>
      <c r="I39" s="31">
        <f t="array" ref="I39">IF($G$6="Historic Calendar Year",IFERROR(AVERAGE(IF($G39=YEAR('Data - Monthly Commodity Prices'!$C$100:$C$1000),'Data - Monthly Commodity Prices'!$L$100:$L$995)),"NA"),IFERROR(IF(K39=0,"NA",K39),"NA"))</f>
        <v>10406.910928787878</v>
      </c>
      <c r="J39" s="948">
        <f>(SUMIFS('Data - Monthly Commodity Prices'!$K$9:$K$2500,'Data - Monthly Commodity Prices'!$A$9:$A$2500,'Nickel - Prices'!E39,'Data - Monthly Commodity Prices'!$B$9:$B$2500,3)+
SUMIFS('Data - Monthly Commodity Prices'!$K$9:$K$2500,'Data - Monthly Commodity Prices'!$A$9:$A$2500,'Nickel - Prices'!E39,'Data - Monthly Commodity Prices'!$B$9:$B$2500,4)+
SUMIFS('Data - Monthly Commodity Prices'!$K$9:$K$2500,'Data - Monthly Commodity Prices'!$A$9:$A$2500,'Nickel - Prices'!F39,'Data - Monthly Commodity Prices'!$B$9:$B$2500,1)+
SUMIFS('Data - Monthly Commodity Prices'!$K$9:$K$2500,'Data - Monthly Commodity Prices'!$A$9:$A$2500,'Nickel - Prices'!F39,'Data - Monthly Commodity Prices'!$B$9:$B$2500,2))
/(COUNTIFS('Data - Monthly Commodity Prices'!$A$9:$A$2500,'Nickel - Prices'!E39,'Data - Monthly Commodity Prices'!$B$9:$B$2500,3)+
COUNTIFS('Data - Monthly Commodity Prices'!$A$9:$A$2500,'Nickel - Prices'!E39,'Data - Monthly Commodity Prices'!$B$9:$B$2500,4)+
COUNTIFS('Data - Monthly Commodity Prices'!$A$9:$A$2500,'Nickel - Prices'!F39,'Data - Monthly Commodity Prices'!$B$9:$B$2500,1)+
COUNTIFS('Data - Monthly Commodity Prices'!$A$9:$A$2500,'Nickel - Prices'!F39,'Data - Monthly Commodity Prices'!$B$9:$B$2500,2))</f>
        <v>16103.808272712697</v>
      </c>
      <c r="K39" s="1348">
        <f>(SUMIFS('Data - Monthly Commodity Prices'!$L$9:$L$2500,'Data - Monthly Commodity Prices'!$A$9:$A$2500,'Nickel - Prices'!E39,'Data - Monthly Commodity Prices'!$B$9:$B$2500,3)+
SUMIFS('Data - Monthly Commodity Prices'!$L$9:$L$2500,'Data - Monthly Commodity Prices'!$A$9:$A$2500,'Nickel - Prices'!E39,'Data - Monthly Commodity Prices'!$B$9:$B$2500,4)+
SUMIFS('Data - Monthly Commodity Prices'!$L$9:$L$2500,'Data - Monthly Commodity Prices'!$A$9:$A$2500,'Nickel - Prices'!F39,'Data - Monthly Commodity Prices'!$B$9:$B$2500,1)+
SUMIFS('Data - Monthly Commodity Prices'!$L$9:$L$2500,'Data - Monthly Commodity Prices'!$A$9:$A$2500,'Nickel - Prices'!F39,'Data - Monthly Commodity Prices'!$B$9:$B$2500,2))
/(COUNTIFS('Data - Monthly Commodity Prices'!$A$9:$A$2500,'Nickel - Prices'!E39,'Data - Monthly Commodity Prices'!$B$9:$B$2500,3)+
COUNTIFS('Data - Monthly Commodity Prices'!$A$9:$A$2500,'Nickel - Prices'!E39,'Data - Monthly Commodity Prices'!$B$9:$B$2500,4)+
COUNTIFS('Data - Monthly Commodity Prices'!$A$9:$A$2500,'Nickel - Prices'!F39,'Data - Monthly Commodity Prices'!$B$9:$B$2500,1)+
COUNTIFS('Data - Monthly Commodity Prices'!$A$9:$A$2500,'Nickel - Prices'!F39,'Data - Monthly Commodity Prices'!$B$9:$B$2500,2))</f>
        <v>12463.130024819626</v>
      </c>
    </row>
    <row r="40" spans="1:11">
      <c r="A40" s="1875">
        <f>LARGE('Data - Monthly Commodity Prices'!C$159:C$902,28)</f>
        <v>42979</v>
      </c>
      <c r="B40" s="1036">
        <f>SUMIF('Data - Monthly Commodity Prices'!C$159:C$902,A40,'Data - Monthly Commodity Prices'!K$159:K$902)</f>
        <v>14100.125517760764</v>
      </c>
      <c r="C40" s="1037">
        <f>SUMIF('Data - Monthly Commodity Prices'!C$159:C$902,A40,'Data - Monthly Commodity Prices'!L$159:L$902)</f>
        <v>11233.57</v>
      </c>
      <c r="D40" s="24"/>
      <c r="E40" s="410">
        <f t="shared" si="1"/>
        <v>2018</v>
      </c>
      <c r="F40" s="410">
        <f t="shared" si="1"/>
        <v>2019</v>
      </c>
      <c r="G40" s="1880">
        <f t="shared" si="0"/>
        <v>2018</v>
      </c>
      <c r="H40" s="30">
        <f t="array" ref="H40">IF($G$6="Historic Calendar Year",IFERROR(AVERAGE(IF($G40=YEAR('Data - Monthly Commodity Prices'!$C$100:$C$1000),'Data - Monthly Commodity Prices'!$K$100:$K$1000)),"NA"),IFERROR(IF(J40=0,"NA",J40),"NA"))</f>
        <v>17536.82988770607</v>
      </c>
      <c r="I40" s="30">
        <f t="array" ref="I40">IF($G$6="Historic Calendar Year",IFERROR(AVERAGE(IF($G40=YEAR('Data - Monthly Commodity Prices'!$C$100:$C$1000),'Data - Monthly Commodity Prices'!$L$100:$L$995)),"NA"),IFERROR(IF(K40=0,"NA",K40),"NA"))</f>
        <v>13117.675179440836</v>
      </c>
      <c r="J40" s="948">
        <f>(SUMIFS('Data - Monthly Commodity Prices'!$K$9:$K$2500,'Data - Monthly Commodity Prices'!$A$9:$A$2500,'Nickel - Prices'!E40,'Data - Monthly Commodity Prices'!$B$9:$B$2500,3)+
SUMIFS('Data - Monthly Commodity Prices'!$K$9:$K$2500,'Data - Monthly Commodity Prices'!$A$9:$A$2500,'Nickel - Prices'!E40,'Data - Monthly Commodity Prices'!$B$9:$B$2500,4)+
SUMIFS('Data - Monthly Commodity Prices'!$K$9:$K$2500,'Data - Monthly Commodity Prices'!$A$9:$A$2500,'Nickel - Prices'!F40,'Data - Monthly Commodity Prices'!$B$9:$B$2500,1)+
SUMIFS('Data - Monthly Commodity Prices'!$K$9:$K$2500,'Data - Monthly Commodity Prices'!$A$9:$A$2500,'Nickel - Prices'!F40,'Data - Monthly Commodity Prices'!$B$9:$B$2500,2))
/(COUNTIFS('Data - Monthly Commodity Prices'!$A$9:$A$2500,'Nickel - Prices'!E40,'Data - Monthly Commodity Prices'!$B$9:$B$2500,3)+
COUNTIFS('Data - Monthly Commodity Prices'!$A$9:$A$2500,'Nickel - Prices'!E40,'Data - Monthly Commodity Prices'!$B$9:$B$2500,4)+
COUNTIFS('Data - Monthly Commodity Prices'!$A$9:$A$2500,'Nickel - Prices'!F40,'Data - Monthly Commodity Prices'!$B$9:$B$2500,1)+
COUNTIFS('Data - Monthly Commodity Prices'!$A$9:$A$2500,'Nickel - Prices'!F40,'Data - Monthly Commodity Prices'!$B$9:$B$2500,2))</f>
        <v>17254.580661857704</v>
      </c>
      <c r="K40" s="1348">
        <f>(SUMIFS('Data - Monthly Commodity Prices'!$L$9:$L$2500,'Data - Monthly Commodity Prices'!$A$9:$A$2500,'Nickel - Prices'!E40,'Data - Monthly Commodity Prices'!$B$9:$B$2500,3)+
SUMIFS('Data - Monthly Commodity Prices'!$L$9:$L$2500,'Data - Monthly Commodity Prices'!$A$9:$A$2500,'Nickel - Prices'!E40,'Data - Monthly Commodity Prices'!$B$9:$B$2500,4)+
SUMIFS('Data - Monthly Commodity Prices'!$L$9:$L$2500,'Data - Monthly Commodity Prices'!$A$9:$A$2500,'Nickel - Prices'!F40,'Data - Monthly Commodity Prices'!$B$9:$B$2500,1)+
SUMIFS('Data - Monthly Commodity Prices'!$L$9:$L$2500,'Data - Monthly Commodity Prices'!$A$9:$A$2500,'Nickel - Prices'!F40,'Data - Monthly Commodity Prices'!$B$9:$B$2500,2))
/(COUNTIFS('Data - Monthly Commodity Prices'!$A$9:$A$2500,'Nickel - Prices'!E40,'Data - Monthly Commodity Prices'!$B$9:$B$2500,3)+
COUNTIFS('Data - Monthly Commodity Prices'!$A$9:$A$2500,'Nickel - Prices'!E40,'Data - Monthly Commodity Prices'!$B$9:$B$2500,4)+
COUNTIFS('Data - Monthly Commodity Prices'!$A$9:$A$2500,'Nickel - Prices'!F40,'Data - Monthly Commodity Prices'!$B$9:$B$2500,1)+
COUNTIFS('Data - Monthly Commodity Prices'!$A$9:$A$2500,'Nickel - Prices'!F40,'Data - Monthly Commodity Prices'!$B$9:$B$2500,2))</f>
        <v>12341.834266742424</v>
      </c>
    </row>
    <row r="41" spans="1:11">
      <c r="A41" s="1876">
        <f>LARGE('Data - Monthly Commodity Prices'!C$159:C$902,27)</f>
        <v>43009</v>
      </c>
      <c r="B41" s="79">
        <f>SUMIF('Data - Monthly Commodity Prices'!C$159:C$902,A41,'Data - Monthly Commodity Prices'!K$159:K$902)</f>
        <v>14543.469885706949</v>
      </c>
      <c r="C41" s="61">
        <f>SUMIF('Data - Monthly Commodity Prices'!C$159:C$902,A41,'Data - Monthly Commodity Prices'!L$159:L$902)</f>
        <v>11325</v>
      </c>
      <c r="D41" s="24"/>
      <c r="E41" s="410">
        <f t="shared" si="1"/>
        <v>2019</v>
      </c>
      <c r="F41" s="410">
        <f t="shared" si="1"/>
        <v>2020</v>
      </c>
      <c r="G41" s="1879">
        <f t="shared" si="0"/>
        <v>2019</v>
      </c>
      <c r="H41" s="31">
        <f t="array" ref="H41">IF($G$6="Historic Calendar Year",IFERROR(AVERAGE(IF($G41=YEAR('Data - Monthly Commodity Prices'!$C$100:$C$1000),'Data - Monthly Commodity Prices'!$K$100:$K$1000)),"NA"),IFERROR(IF(J41=0,"NA",J41),"NA"))</f>
        <v>20031.777890413952</v>
      </c>
      <c r="I41" s="31">
        <f t="array" ref="I41">IF($G$6="Historic Calendar Year",IFERROR(AVERAGE(IF($G41=YEAR('Data - Monthly Commodity Prices'!$C$100:$C$1000),'Data - Monthly Commodity Prices'!$L$100:$L$995)),"NA"),IFERROR(IF(K41=0,"NA",K41),"NA"))</f>
        <v>13906.955833333333</v>
      </c>
      <c r="J41" s="948">
        <f>(SUMIFS('Data - Monthly Commodity Prices'!$K$9:$K$2500,'Data - Monthly Commodity Prices'!$A$9:$A$2500,'Nickel - Prices'!E41,'Data - Monthly Commodity Prices'!$B$9:$B$2500,3)+
SUMIFS('Data - Monthly Commodity Prices'!$K$9:$K$2500,'Data - Monthly Commodity Prices'!$A$9:$A$2500,'Nickel - Prices'!E41,'Data - Monthly Commodity Prices'!$B$9:$B$2500,4)+
SUMIFS('Data - Monthly Commodity Prices'!$K$9:$K$2500,'Data - Monthly Commodity Prices'!$A$9:$A$2500,'Nickel - Prices'!F41,'Data - Monthly Commodity Prices'!$B$9:$B$2500,1)+
SUMIFS('Data - Monthly Commodity Prices'!$K$9:$K$2500,'Data - Monthly Commodity Prices'!$A$9:$A$2500,'Nickel - Prices'!F41,'Data - Monthly Commodity Prices'!$B$9:$B$2500,2))
/(COUNTIFS('Data - Monthly Commodity Prices'!$A$9:$A$2500,'Nickel - Prices'!E41,'Data - Monthly Commodity Prices'!$B$9:$B$2500,3)+
COUNTIFS('Data - Monthly Commodity Prices'!$A$9:$A$2500,'Nickel - Prices'!E41,'Data - Monthly Commodity Prices'!$B$9:$B$2500,4)+
COUNTIFS('Data - Monthly Commodity Prices'!$A$9:$A$2500,'Nickel - Prices'!F41,'Data - Monthly Commodity Prices'!$B$9:$B$2500,1)+
COUNTIFS('Data - Monthly Commodity Prices'!$A$9:$A$2500,'Nickel - Prices'!F41,'Data - Monthly Commodity Prices'!$B$9:$B$2500,2))</f>
        <v>22611.810236017231</v>
      </c>
      <c r="K41" s="1348">
        <f>(SUMIFS('Data - Monthly Commodity Prices'!$L$9:$L$2500,'Data - Monthly Commodity Prices'!$A$9:$A$2500,'Nickel - Prices'!E41,'Data - Monthly Commodity Prices'!$B$9:$B$2500,3)+
SUMIFS('Data - Monthly Commodity Prices'!$L$9:$L$2500,'Data - Monthly Commodity Prices'!$A$9:$A$2500,'Nickel - Prices'!E41,'Data - Monthly Commodity Prices'!$B$9:$B$2500,4)+
SUMIFS('Data - Monthly Commodity Prices'!$L$9:$L$2500,'Data - Monthly Commodity Prices'!$A$9:$A$2500,'Nickel - Prices'!F41,'Data - Monthly Commodity Prices'!$B$9:$B$2500,1)+
SUMIFS('Data - Monthly Commodity Prices'!$L$9:$L$2500,'Data - Monthly Commodity Prices'!$A$9:$A$2500,'Nickel - Prices'!F41,'Data - Monthly Commodity Prices'!$B$9:$B$2500,2))
/(COUNTIFS('Data - Monthly Commodity Prices'!$A$9:$A$2500,'Nickel - Prices'!E41,'Data - Monthly Commodity Prices'!$B$9:$B$2500,3)+
COUNTIFS('Data - Monthly Commodity Prices'!$A$9:$A$2500,'Nickel - Prices'!E41,'Data - Monthly Commodity Prices'!$B$9:$B$2500,4)+
COUNTIFS('Data - Monthly Commodity Prices'!$A$9:$A$2500,'Nickel - Prices'!F41,'Data - Monthly Commodity Prices'!$B$9:$B$2500,1)+
COUNTIFS('Data - Monthly Commodity Prices'!$A$9:$A$2500,'Nickel - Prices'!F41,'Data - Monthly Commodity Prices'!$B$9:$B$2500,2))</f>
        <v>15488.521666666667</v>
      </c>
    </row>
    <row r="42" spans="1:11" ht="15.75" thickBot="1">
      <c r="A42" s="1875">
        <f>LARGE('Data - Monthly Commodity Prices'!C$159:C$902,26)</f>
        <v>43040</v>
      </c>
      <c r="B42" s="1036">
        <f>SUMIF('Data - Monthly Commodity Prices'!C$159:C$902,A42,'Data - Monthly Commodity Prices'!K$159:K$902)</f>
        <v>15732.293454020728</v>
      </c>
      <c r="C42" s="1037">
        <f>SUMIF('Data - Monthly Commodity Prices'!C$159:C$902,A42,'Data - Monthly Commodity Prices'!L$159:L$902)</f>
        <v>11992.7273</v>
      </c>
      <c r="D42" s="24"/>
      <c r="E42" s="410">
        <f t="shared" si="1"/>
        <v>2020</v>
      </c>
      <c r="F42" s="410">
        <f t="shared" si="1"/>
        <v>2021</v>
      </c>
      <c r="G42" s="1881">
        <f t="shared" si="0"/>
        <v>2020</v>
      </c>
      <c r="H42" s="1603" t="str">
        <f>IF($G$6="Historic Calendar Year",IFERROR(AVERAGE(IF($G42=YEAR('Data - Monthly Commodity Prices'!$C$100:$C$1000),'Data - Monthly Commodity Prices'!$K$100:$K$1000)),"N/A"),IFERROR(IF(J42=0,"N/A",J42),"N/A"))</f>
        <v>N/A</v>
      </c>
      <c r="I42" s="1603" t="str">
        <f>IF($G$6="Historic Calendar Year",IFERROR(AVERAGE(IF($G42=YEAR('Data - Monthly Commodity Prices'!$C$100:$C$1000),'Data - Monthly Commodity Prices'!$L$100:$L$995)),"N/A"),IFERROR(IF(K42=0,"N/A",K42),"N/A"))</f>
        <v>N/A</v>
      </c>
      <c r="J42" s="948" t="e">
        <f>(SUMIFS('Data - Monthly Commodity Prices'!$K$9:$K$2500,'Data - Monthly Commodity Prices'!$A$9:$A$2500,'Nickel - Prices'!E42,'Data - Monthly Commodity Prices'!$B$9:$B$2500,3)+
SUMIFS('Data - Monthly Commodity Prices'!$K$9:$K$2500,'Data - Monthly Commodity Prices'!$A$9:$A$2500,'Nickel - Prices'!E42,'Data - Monthly Commodity Prices'!$B$9:$B$2500,4)+
SUMIFS('Data - Monthly Commodity Prices'!$K$9:$K$2500,'Data - Monthly Commodity Prices'!$A$9:$A$2500,'Nickel - Prices'!F42,'Data - Monthly Commodity Prices'!$B$9:$B$2500,1)+
SUMIFS('Data - Monthly Commodity Prices'!$K$9:$K$2500,'Data - Monthly Commodity Prices'!$A$9:$A$2500,'Nickel - Prices'!F42,'Data - Monthly Commodity Prices'!$B$9:$B$2500,2))
/(COUNTIFS('Data - Monthly Commodity Prices'!$A$9:$A$2500,'Nickel - Prices'!E42,'Data - Monthly Commodity Prices'!$B$9:$B$2500,3)+
COUNTIFS('Data - Monthly Commodity Prices'!$A$9:$A$2500,'Nickel - Prices'!E42,'Data - Monthly Commodity Prices'!$B$9:$B$2500,4)+
COUNTIFS('Data - Monthly Commodity Prices'!$A$9:$A$2500,'Nickel - Prices'!F42,'Data - Monthly Commodity Prices'!$B$9:$B$2500,1)+
COUNTIFS('Data - Monthly Commodity Prices'!$A$9:$A$2500,'Nickel - Prices'!F42,'Data - Monthly Commodity Prices'!$B$9:$B$2500,2))</f>
        <v>#DIV/0!</v>
      </c>
      <c r="K42" s="1348" t="e">
        <f>(SUMIFS('Data - Monthly Commodity Prices'!$L$9:$L$2500,'Data - Monthly Commodity Prices'!$A$9:$A$2500,'Nickel - Prices'!E42,'Data - Monthly Commodity Prices'!$B$9:$B$2500,3)+
SUMIFS('Data - Monthly Commodity Prices'!$L$9:$L$2500,'Data - Monthly Commodity Prices'!$A$9:$A$2500,'Nickel - Prices'!E42,'Data - Monthly Commodity Prices'!$B$9:$B$2500,4)+
SUMIFS('Data - Monthly Commodity Prices'!$L$9:$L$2500,'Data - Monthly Commodity Prices'!$A$9:$A$2500,'Nickel - Prices'!F42,'Data - Monthly Commodity Prices'!$B$9:$B$2500,1)+
SUMIFS('Data - Monthly Commodity Prices'!$L$9:$L$2500,'Data - Monthly Commodity Prices'!$A$9:$A$2500,'Nickel - Prices'!F42,'Data - Monthly Commodity Prices'!$B$9:$B$2500,2))
/(COUNTIFS('Data - Monthly Commodity Prices'!$A$9:$A$2500,'Nickel - Prices'!E42,'Data - Monthly Commodity Prices'!$B$9:$B$2500,3)+
COUNTIFS('Data - Monthly Commodity Prices'!$A$9:$A$2500,'Nickel - Prices'!E42,'Data - Monthly Commodity Prices'!$B$9:$B$2500,4)+
COUNTIFS('Data - Monthly Commodity Prices'!$A$9:$A$2500,'Nickel - Prices'!F42,'Data - Monthly Commodity Prices'!$B$9:$B$2500,1)+
COUNTIFS('Data - Monthly Commodity Prices'!$A$9:$A$2500,'Nickel - Prices'!F42,'Data - Monthly Commodity Prices'!$B$9:$B$2500,2))</f>
        <v>#DIV/0!</v>
      </c>
    </row>
    <row r="43" spans="1:11" ht="15.75" thickBot="1">
      <c r="A43" s="1876">
        <f>LARGE('Data - Monthly Commodity Prices'!C$159:C$902,25)</f>
        <v>43070</v>
      </c>
      <c r="B43" s="79">
        <f>SUMIF('Data - Monthly Commodity Prices'!C$159:C$902,A43,'Data - Monthly Commodity Prices'!K$159:K$902)</f>
        <v>14914.00065359477</v>
      </c>
      <c r="C43" s="61">
        <f>SUMIF('Data - Monthly Commodity Prices'!C$159:C$902,A43,'Data - Monthly Commodity Prices'!L$159:L$902)</f>
        <v>11409.210499999999</v>
      </c>
      <c r="D43" s="24"/>
      <c r="E43" s="410"/>
      <c r="F43" s="410"/>
      <c r="G43" s="24"/>
      <c r="H43" s="900"/>
      <c r="I43" s="24"/>
    </row>
    <row r="44" spans="1:11" ht="15.75" thickBot="1">
      <c r="A44" s="1875">
        <f>LARGE('Data - Monthly Commodity Prices'!C$159:C$902,24)</f>
        <v>43101</v>
      </c>
      <c r="B44" s="1036">
        <f>SUMIF('Data - Monthly Commodity Prices'!C$159:C$902,A44,'Data - Monthly Commodity Prices'!K$159:K$902)</f>
        <v>16187.29420635918</v>
      </c>
      <c r="C44" s="1037">
        <f>SUMIF('Data - Monthly Commodity Prices'!C$159:C$902,A44,'Data - Monthly Commodity Prices'!L$159:L$902)</f>
        <v>12880.23</v>
      </c>
      <c r="D44" s="24"/>
      <c r="E44" s="410"/>
      <c r="F44" s="410"/>
      <c r="G44" s="2040" t="s">
        <v>617</v>
      </c>
      <c r="H44" s="2041"/>
      <c r="I44" s="2042"/>
    </row>
    <row r="45" spans="1:11" ht="15.75" thickBot="1">
      <c r="A45" s="1876">
        <f>LARGE('Data - Monthly Commodity Prices'!C$159:C$902,23)</f>
        <v>43132</v>
      </c>
      <c r="B45" s="79">
        <f>SUMIF('Data - Monthly Commodity Prices'!C$159:C$902,A45,'Data - Monthly Commodity Prices'!K$159:K$902)</f>
        <v>17255.655821047279</v>
      </c>
      <c r="C45" s="61">
        <f>SUMIF('Data - Monthly Commodity Prices'!C$159:C$902,A45,'Data - Monthly Commodity Prices'!L$159:L$902)</f>
        <v>13576.75</v>
      </c>
      <c r="D45" s="24"/>
      <c r="E45" s="410"/>
      <c r="F45" s="410"/>
      <c r="G45" s="1963" t="s">
        <v>545</v>
      </c>
      <c r="H45" s="1966"/>
      <c r="I45" s="1964"/>
    </row>
    <row r="46" spans="1:11">
      <c r="A46" s="1875">
        <f>LARGE('Data - Monthly Commodity Prices'!C$159:C$902,22)</f>
        <v>43160</v>
      </c>
      <c r="B46" s="1036">
        <f>SUMIF('Data - Monthly Commodity Prices'!C$159:C$902,A46,'Data - Monthly Commodity Prices'!K$159:K$902)</f>
        <v>17274.867895347339</v>
      </c>
      <c r="C46" s="1037">
        <f>SUMIF('Data - Monthly Commodity Prices'!C$159:C$902,A46,'Data - Monthly Commodity Prices'!L$159:L$902)</f>
        <v>13403.57</v>
      </c>
      <c r="D46" s="24"/>
      <c r="E46" s="410"/>
      <c r="F46" s="410"/>
      <c r="G46" s="1965" t="s">
        <v>618</v>
      </c>
      <c r="H46" s="1965"/>
      <c r="I46" s="1965"/>
    </row>
    <row r="47" spans="1:11">
      <c r="A47" s="1876">
        <f>LARGE('Data - Monthly Commodity Prices'!C$159:C$902,21)</f>
        <v>43191</v>
      </c>
      <c r="B47" s="79">
        <f>SUMIF('Data - Monthly Commodity Prices'!C$159:C$902,A47,'Data - Monthly Commodity Prices'!K$159:K$902)</f>
        <v>18136.795522582324</v>
      </c>
      <c r="C47" s="61">
        <f>SUMIF('Data - Monthly Commodity Prices'!C$159:C$902,A47,'Data - Monthly Commodity Prices'!L$159:L$902)</f>
        <v>13934.5</v>
      </c>
      <c r="D47" s="24"/>
      <c r="E47" s="410"/>
      <c r="F47" s="410"/>
      <c r="G47" s="24"/>
      <c r="H47" s="900"/>
      <c r="I47" s="24"/>
    </row>
    <row r="48" spans="1:11">
      <c r="A48" s="1875">
        <f>LARGE('Data - Monthly Commodity Prices'!C$159:C$902,20)</f>
        <v>43221</v>
      </c>
      <c r="B48" s="1036">
        <f>SUMIF('Data - Monthly Commodity Prices'!C$159:C$902,A48,'Data - Monthly Commodity Prices'!K$159:K$902)</f>
        <v>19070.707454076208</v>
      </c>
      <c r="C48" s="1037">
        <f>SUMIF('Data - Monthly Commodity Prices'!C$159:C$902,A48,'Data - Monthly Commodity Prices'!L$159:L$902)</f>
        <v>14356.428571428571</v>
      </c>
      <c r="D48" s="24"/>
      <c r="E48" s="410"/>
      <c r="F48" s="410"/>
      <c r="G48" s="24"/>
      <c r="H48" s="900"/>
      <c r="I48" s="24"/>
    </row>
    <row r="49" spans="1:9">
      <c r="A49" s="1876">
        <f>LARGE('Data - Monthly Commodity Prices'!C$159:C$902,19)</f>
        <v>43252</v>
      </c>
      <c r="B49" s="79">
        <f>SUMIF('Data - Monthly Commodity Prices'!C$159:C$902,A49,'Data - Monthly Commodity Prices'!K$159:K$902)</f>
        <v>20172.143079632067</v>
      </c>
      <c r="C49" s="61">
        <f>SUMIF('Data - Monthly Commodity Prices'!C$159:C$902,A49,'Data - Monthly Commodity Prices'!L$159:L$902)</f>
        <v>15110.952380952382</v>
      </c>
      <c r="D49" s="24"/>
      <c r="E49" s="410"/>
      <c r="F49" s="410"/>
      <c r="G49" s="24"/>
      <c r="H49" s="900"/>
      <c r="I49" s="24"/>
    </row>
    <row r="50" spans="1:9">
      <c r="A50" s="1875">
        <f>LARGE('Data - Monthly Commodity Prices'!C$159:C$902,18)</f>
        <v>43282</v>
      </c>
      <c r="B50" s="1036">
        <f>SUMIF('Data - Monthly Commodity Prices'!C$159:C$902,A50,'Data - Monthly Commodity Prices'!K$159:K$902)</f>
        <v>18598.305813025596</v>
      </c>
      <c r="C50" s="1037">
        <f>SUMIF('Data - Monthly Commodity Prices'!C$159:C$902,A50,'Data - Monthly Commodity Prices'!L$159:L$902)</f>
        <v>13772.045454545454</v>
      </c>
      <c r="D50" s="24"/>
      <c r="E50" s="410"/>
      <c r="F50" s="410"/>
      <c r="G50" s="24"/>
      <c r="H50" s="900"/>
      <c r="I50" s="24"/>
    </row>
    <row r="51" spans="1:9">
      <c r="A51" s="1876">
        <f>LARGE('Data - Monthly Commodity Prices'!C$159:C$902,17)</f>
        <v>43313</v>
      </c>
      <c r="B51" s="79">
        <f>SUMIF('Data - Monthly Commodity Prices'!C$159:C$902,A51,'Data - Monthly Commodity Prices'!K$159:K$902)</f>
        <v>18336.001290546745</v>
      </c>
      <c r="C51" s="61">
        <f>SUMIF('Data - Monthly Commodity Prices'!C$159:C$902,A51,'Data - Monthly Commodity Prices'!L$159:L$902)</f>
        <v>13432.954545454546</v>
      </c>
      <c r="D51" s="24"/>
      <c r="E51" s="410"/>
      <c r="F51" s="410"/>
      <c r="G51" s="24"/>
      <c r="H51" s="900"/>
      <c r="I51" s="24"/>
    </row>
    <row r="52" spans="1:9">
      <c r="A52" s="1875">
        <f>LARGE('Data - Monthly Commodity Prices'!C$159:C$902,16)</f>
        <v>43344</v>
      </c>
      <c r="B52" s="1036">
        <f>SUMIF('Data - Monthly Commodity Prices'!C$159:C$902,A52,'Data - Monthly Commodity Prices'!K$159:K$902)</f>
        <v>17389.297612437535</v>
      </c>
      <c r="C52" s="1037">
        <f>SUMIF('Data - Monthly Commodity Prices'!C$159:C$902,A52,'Data - Monthly Commodity Prices'!L$159:L$902)</f>
        <v>12527.25</v>
      </c>
      <c r="D52" s="24"/>
      <c r="E52" s="410"/>
      <c r="F52" s="410"/>
      <c r="G52" s="24"/>
      <c r="H52" s="900"/>
      <c r="I52" s="24"/>
    </row>
    <row r="53" spans="1:9">
      <c r="A53" s="1876">
        <f>LARGE('Data - Monthly Commodity Prices'!C$159:C$902,15)</f>
        <v>43374</v>
      </c>
      <c r="B53" s="79">
        <f>SUMIF('Data - Monthly Commodity Prices'!C$159:C$902,A53,'Data - Monthly Commodity Prices'!K$159:K$902)</f>
        <v>17357.321881160235</v>
      </c>
      <c r="C53" s="61">
        <f>SUMIF('Data - Monthly Commodity Prices'!C$159:C$902,A53,'Data - Monthly Commodity Prices'!L$159:L$902)</f>
        <v>12327.17</v>
      </c>
      <c r="D53" s="24"/>
      <c r="E53" s="410"/>
      <c r="F53" s="410"/>
      <c r="G53" s="24"/>
      <c r="H53" s="900"/>
      <c r="I53" s="24"/>
    </row>
    <row r="54" spans="1:9">
      <c r="A54" s="1875">
        <f>LARGE('Data - Monthly Commodity Prices'!C$159:C$902,14)</f>
        <v>43405</v>
      </c>
      <c r="B54" s="1036">
        <f>SUMIF('Data - Monthly Commodity Prices'!C$159:C$902,A54,'Data - Monthly Commodity Prices'!K$159:K$902)</f>
        <v>15524.084826747263</v>
      </c>
      <c r="C54" s="1037">
        <f>SUMIF('Data - Monthly Commodity Prices'!C$159:C$902,A54,'Data - Monthly Commodity Prices'!L$159:L$902)</f>
        <v>11253.40909090909</v>
      </c>
      <c r="D54" s="24"/>
      <c r="E54" s="410"/>
      <c r="F54" s="410"/>
      <c r="G54" s="24"/>
      <c r="H54" s="900"/>
      <c r="I54" s="24"/>
    </row>
    <row r="55" spans="1:9">
      <c r="A55" s="1876">
        <f>LARGE('Data - Monthly Commodity Prices'!C$159:C$902,13)</f>
        <v>43435</v>
      </c>
      <c r="B55" s="79">
        <f>SUMIF('Data - Monthly Commodity Prices'!C$159:C$902,A55,'Data - Monthly Commodity Prices'!K$159:K$902)</f>
        <v>15139.483249511037</v>
      </c>
      <c r="C55" s="61">
        <f>SUMIF('Data - Monthly Commodity Prices'!C$159:C$902,A55,'Data - Monthly Commodity Prices'!L$159:L$902)</f>
        <v>10836.84211</v>
      </c>
      <c r="D55" s="24"/>
      <c r="E55" s="410"/>
      <c r="F55" s="410"/>
      <c r="G55" s="24"/>
      <c r="H55" s="900"/>
      <c r="I55" s="24"/>
    </row>
    <row r="56" spans="1:9">
      <c r="A56" s="1875">
        <f>LARGE('Data - Monthly Commodity Prices'!C$159:C$902,12)</f>
        <v>43466</v>
      </c>
      <c r="B56" s="1036">
        <f>SUMIF('Data - Monthly Commodity Prices'!C$159:C$902,A56,'Data - Monthly Commodity Prices'!K$159:K$902)</f>
        <v>16018.109355334918</v>
      </c>
      <c r="C56" s="1037">
        <f>SUMIF('Data - Monthly Commodity Prices'!C$159:C$902,A56,'Data - Monthly Commodity Prices'!L$159:L$902)</f>
        <v>11454.55</v>
      </c>
      <c r="D56" s="24"/>
      <c r="E56" s="410"/>
      <c r="F56" s="410"/>
      <c r="G56" s="24"/>
      <c r="H56" s="900"/>
      <c r="I56" s="24"/>
    </row>
    <row r="57" spans="1:9">
      <c r="A57" s="1876">
        <f>LARGE('Data - Monthly Commodity Prices'!C$159:C$902,11)</f>
        <v>43497</v>
      </c>
      <c r="B57" s="79">
        <f>SUMIF('Data - Monthly Commodity Prices'!C$159:C$902,A57,'Data - Monthly Commodity Prices'!K$159:K$902)</f>
        <v>17721.70075651443</v>
      </c>
      <c r="C57" s="61">
        <f>SUMIF('Data - Monthly Commodity Prices'!C$159:C$902,A57,'Data - Monthly Commodity Prices'!L$159:L$902)</f>
        <v>12649.75</v>
      </c>
      <c r="D57" s="24"/>
      <c r="E57" s="410"/>
      <c r="F57" s="410"/>
      <c r="G57" s="24"/>
      <c r="H57" s="900"/>
      <c r="I57" s="24"/>
    </row>
    <row r="58" spans="1:9">
      <c r="A58" s="1875">
        <f>LARGE('Data - Monthly Commodity Prices'!C$159:C$902,10)</f>
        <v>43525</v>
      </c>
      <c r="B58" s="1036">
        <f>SUMIF('Data - Monthly Commodity Prices'!C$159:C$902,A58,'Data - Monthly Commodity Prices'!K$159:K$902)</f>
        <v>18439.517153748409</v>
      </c>
      <c r="C58" s="1037">
        <f>SUMIF('Data - Monthly Commodity Prices'!C$159:C$902,A58,'Data - Monthly Commodity Prices'!L$159:L$902)</f>
        <v>13060.71</v>
      </c>
      <c r="D58" s="24"/>
      <c r="E58" s="410"/>
      <c r="F58" s="410"/>
      <c r="G58" s="24"/>
      <c r="H58" s="900"/>
      <c r="I58" s="24"/>
    </row>
    <row r="59" spans="1:9">
      <c r="A59" s="1876">
        <f>LARGE('Data - Monthly Commodity Prices'!C$159:C$902,9)</f>
        <v>43556</v>
      </c>
      <c r="B59" s="79">
        <f>SUMIF('Data - Monthly Commodity Prices'!C$159:C$902,A59,'Data - Monthly Commodity Prices'!K$159:K$902)</f>
        <v>18024.465691788526</v>
      </c>
      <c r="C59" s="61">
        <f>SUMIF('Data - Monthly Commodity Prices'!C$159:C$902,A59,'Data - Monthly Commodity Prices'!L$159:L$902)</f>
        <v>12819</v>
      </c>
      <c r="D59" s="24"/>
      <c r="E59" s="410"/>
      <c r="F59" s="410"/>
      <c r="G59" s="24"/>
      <c r="H59" s="900"/>
      <c r="I59" s="24"/>
    </row>
    <row r="60" spans="1:9">
      <c r="A60" s="1875">
        <f>LARGE('Data - Monthly Commodity Prices'!C$159:C$902,8)</f>
        <v>43586</v>
      </c>
      <c r="B60" s="1036">
        <f>SUMIF('Data - Monthly Commodity Prices'!C$159:C$902,A60,'Data - Monthly Commodity Prices'!K$159:K$902)</f>
        <v>17278.701036866358</v>
      </c>
      <c r="C60" s="1037">
        <f>SUMIF('Data - Monthly Commodity Prices'!C$159:C$902,A60,'Data - Monthly Commodity Prices'!L$159:L$902)</f>
        <v>11998.33</v>
      </c>
      <c r="D60" s="24"/>
      <c r="E60" s="410"/>
      <c r="F60" s="410"/>
      <c r="G60" s="24"/>
      <c r="H60" s="900"/>
      <c r="I60" s="24"/>
    </row>
    <row r="61" spans="1:9">
      <c r="A61" s="1876">
        <f>LARGE('Data - Monthly Commodity Prices'!C$159:C$902,7)</f>
        <v>43617</v>
      </c>
      <c r="B61" s="79">
        <f>SUMIF('Data - Monthly Commodity Prices'!C$159:C$902,A61,'Data - Monthly Commodity Prices'!K$159:K$902)</f>
        <v>17227.9792746114</v>
      </c>
      <c r="C61" s="61">
        <f>SUMIF('Data - Monthly Commodity Prices'!C$159:C$902,A61,'Data - Monthly Commodity Prices'!L$159:L$902)</f>
        <v>11970</v>
      </c>
      <c r="D61" s="24"/>
      <c r="E61" s="410"/>
      <c r="F61" s="410"/>
      <c r="G61" s="24"/>
      <c r="H61" s="900"/>
      <c r="I61" s="24"/>
    </row>
    <row r="62" spans="1:9">
      <c r="A62" s="1875">
        <f>LARGE('Data - Monthly Commodity Prices'!C$159:C$902,6)</f>
        <v>43647</v>
      </c>
      <c r="B62" s="1036">
        <f>SUMIF('Data - Monthly Commodity Prices'!C$159:C$902,A62,'Data - Monthly Commodity Prices'!K$159:K$902)</f>
        <v>19289.855280126092</v>
      </c>
      <c r="C62" s="1037">
        <f>SUMIF('Data - Monthly Commodity Prices'!C$159:C$902,A62,'Data - Monthly Commodity Prices'!L$159:L$902)</f>
        <v>13462.39</v>
      </c>
      <c r="D62" s="24"/>
      <c r="E62" s="410"/>
      <c r="F62" s="410"/>
      <c r="G62" s="24"/>
      <c r="H62" s="900"/>
      <c r="I62" s="24"/>
    </row>
    <row r="63" spans="1:9">
      <c r="A63" s="1876">
        <f>LARGE('Data - Monthly Commodity Prices'!C$159:C$902,5)</f>
        <v>43678</v>
      </c>
      <c r="B63" s="79">
        <f>SUMIF('Data - Monthly Commodity Prices'!C$159:C$902,A63,'Data - Monthly Commodity Prices'!K$159:K$902)</f>
        <v>23174.434756908526</v>
      </c>
      <c r="C63" s="61">
        <f>SUMIF('Data - Monthly Commodity Prices'!C$159:C$902,A63,'Data - Monthly Commodity Prices'!L$159:L$902)</f>
        <v>15682.14</v>
      </c>
      <c r="D63" s="24"/>
      <c r="E63" s="410"/>
      <c r="F63" s="410"/>
      <c r="G63" s="24"/>
      <c r="H63" s="900"/>
      <c r="I63" s="24"/>
    </row>
    <row r="64" spans="1:9">
      <c r="A64" s="1875">
        <f>LARGE('Data - Monthly Commodity Prices'!C$159:C$902,4)</f>
        <v>43709</v>
      </c>
      <c r="B64" s="1036">
        <f>SUMIF('Data - Monthly Commodity Prices'!C$159:C$902,A64,'Data - Monthly Commodity Prices'!K$159:K$902)</f>
        <v>25732.527664531157</v>
      </c>
      <c r="C64" s="1037">
        <f>SUMIF('Data - Monthly Commodity Prices'!C$159:C$902,A64,'Data - Monthly Commodity Prices'!L$159:L$902)</f>
        <v>17673.099999999999</v>
      </c>
      <c r="D64" s="24"/>
      <c r="E64" s="410"/>
      <c r="F64" s="410"/>
      <c r="G64" s="24"/>
      <c r="H64" s="900"/>
      <c r="I64" s="24"/>
    </row>
    <row r="65" spans="1:9">
      <c r="A65" s="1876">
        <f>LARGE('Data - Monthly Commodity Prices'!C$159:C$902,3)</f>
        <v>43739</v>
      </c>
      <c r="B65" s="79">
        <f>SUMIF('Data - Monthly Commodity Prices'!C$159:C$902,A65,'Data - Monthly Commodity Prices'!K$159:K$902)</f>
        <v>25174.286554869079</v>
      </c>
      <c r="C65" s="61">
        <f>SUMIF('Data - Monthly Commodity Prices'!C$159:C$902,A65,'Data - Monthly Commodity Prices'!L$159:L$902)</f>
        <v>17113.48</v>
      </c>
      <c r="D65" s="24"/>
      <c r="E65" s="410"/>
      <c r="F65" s="410"/>
      <c r="G65" s="24"/>
      <c r="H65" s="900"/>
      <c r="I65" s="24"/>
    </row>
    <row r="66" spans="1:9">
      <c r="A66" s="1875">
        <f>LARGE('Data - Monthly Commodity Prices'!C$159:C$902,2)</f>
        <v>43770</v>
      </c>
      <c r="B66" s="1036">
        <f>SUMIF('Data - Monthly Commodity Prices'!C$159:C$902,A66,'Data - Monthly Commodity Prices'!K$159:K$902)</f>
        <v>22267.096396132434</v>
      </c>
      <c r="C66" s="1037">
        <f>SUMIF('Data - Monthly Commodity Prices'!C$159:C$902,A66,'Data - Monthly Commodity Prices'!L$159:L$902)</f>
        <v>15199.52</v>
      </c>
      <c r="D66" s="24"/>
      <c r="E66" s="410"/>
      <c r="F66" s="410"/>
      <c r="G66" s="24"/>
      <c r="H66" s="900"/>
      <c r="I66" s="24"/>
    </row>
    <row r="67" spans="1:9" ht="15.75" thickBot="1">
      <c r="A67" s="1877">
        <f>LARGE('Data - Monthly Commodity Prices'!C$159:C$902,1)</f>
        <v>43800</v>
      </c>
      <c r="B67" s="77">
        <f>SUMIF('Data - Monthly Commodity Prices'!C$159:C$902,A67,'Data - Monthly Commodity Prices'!K$159:K$902)</f>
        <v>20032.660763536074</v>
      </c>
      <c r="C67" s="62">
        <f>SUMIF('Data - Monthly Commodity Prices'!C$159:C$902,A67,'Data - Monthly Commodity Prices'!L$159:L$902)</f>
        <v>13800.5</v>
      </c>
      <c r="D67" s="24"/>
      <c r="E67" s="410"/>
      <c r="F67" s="410"/>
      <c r="G67" s="24"/>
      <c r="H67" s="900"/>
      <c r="I67" s="24"/>
    </row>
  </sheetData>
  <mergeCells count="7">
    <mergeCell ref="A5:C5"/>
    <mergeCell ref="A6:C6"/>
    <mergeCell ref="G45:I45"/>
    <mergeCell ref="G46:I46"/>
    <mergeCell ref="G5:I5"/>
    <mergeCell ref="G6:I6"/>
    <mergeCell ref="G44:I44"/>
  </mergeCells>
  <dataValidations count="1">
    <dataValidation type="list" allowBlank="1" showInputMessage="1" showErrorMessage="1" promptTitle="Select a Period:" prompt="Select Financial or Calendar years." sqref="G45:I45">
      <formula1>$AA$1:$AA$2</formula1>
    </dataValidation>
  </dataValidation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4" tint="0.39997558519241921"/>
  </sheetPr>
  <dimension ref="A1:AD81"/>
  <sheetViews>
    <sheetView workbookViewId="0"/>
  </sheetViews>
  <sheetFormatPr defaultRowHeight="15"/>
  <cols>
    <col min="1" max="1" width="20.28515625" style="1042" customWidth="1"/>
    <col min="2" max="2" width="5.28515625" style="1042" bestFit="1" customWidth="1"/>
    <col min="3" max="3" width="15.140625" style="1042" bestFit="1" customWidth="1"/>
    <col min="4" max="4" width="28.7109375" style="1042" bestFit="1" customWidth="1"/>
    <col min="5" max="14" width="15.42578125" style="1042" customWidth="1"/>
    <col min="15" max="22" width="9.140625" style="1042"/>
    <col min="23" max="23" width="17.85546875" style="1042" customWidth="1"/>
    <col min="24" max="16384" width="9.140625" style="1042"/>
  </cols>
  <sheetData>
    <row r="1" spans="1:30">
      <c r="T1" s="537"/>
      <c r="U1" s="537"/>
      <c r="V1" s="1041" t="s">
        <v>3</v>
      </c>
      <c r="W1" s="1041" t="str">
        <f>"Western Australian Nickel Exports "&amp;B6&amp;CHAR(10)&amp;"Total Value: $"&amp;TEXT(C21,"#,###")</f>
        <v>Western Australian Nickel Exports 2019
Total Value: $4,029,555,488</v>
      </c>
      <c r="X1" s="1041" t="s">
        <v>429</v>
      </c>
      <c r="Y1" s="1041">
        <f>IF($B$5="Calendar Year",MAX('Data - Monthly Commodity Prices'!$AK$9:$AK$3501),CONCATENATE(MAX('Data - Monthly Commodity Prices'!$AW$9:$AW$3495),"-",VALUE(RIGHT(MAX('Data - Monthly Commodity Prices'!$AW$9:$AW$3495),2))+1))</f>
        <v>2019</v>
      </c>
      <c r="Z1" s="1041">
        <f t="array" ref="Z1">MIN(IF('Data - Monthly Commodity Prices'!$AJ$9:$AJ$3501=V1,'Data - Monthly Commodity Prices'!$AK$9:$AK$3501))</f>
        <v>2007</v>
      </c>
      <c r="AA1" s="537"/>
      <c r="AB1" s="537"/>
      <c r="AC1" s="537"/>
      <c r="AD1" s="537"/>
    </row>
    <row r="2" spans="1:30">
      <c r="T2" s="537"/>
      <c r="U2" s="537"/>
      <c r="V2" s="1041"/>
      <c r="W2" s="1041" t="str">
        <f>IF($B$5=X1,IF(RIGHT(LEFT(B6,5),1)="-","Mismatch Error",""),IF(LEN(B6)=4,"Mismatch Error",""))</f>
        <v/>
      </c>
      <c r="X2" s="1041" t="s">
        <v>446</v>
      </c>
      <c r="Y2" s="1041">
        <f>IFERROR(IF($B$5=$X$1,IF($Z$1&lt;=(Y1-1),Y1-1,""),IF($Z$1=VALUE(LEFT(Y1,4)),"",CONCATENATE(VALUE(LEFT(Y1,4))-1,"-",RIGHT(LEFT(Y1,4),2)))),"")</f>
        <v>2018</v>
      </c>
      <c r="Z2" s="1041"/>
      <c r="AA2" s="537"/>
      <c r="AB2" s="537"/>
      <c r="AC2" s="537"/>
      <c r="AD2" s="537"/>
    </row>
    <row r="3" spans="1:30">
      <c r="T3" s="537"/>
      <c r="U3" s="537"/>
      <c r="V3" s="1041"/>
      <c r="W3" s="1041"/>
      <c r="X3" s="1041"/>
      <c r="Y3" s="1041">
        <f t="shared" ref="Y3:Y25" si="0">IFERROR(IF($B$5=$X$1,IF($Z$1&lt;=(Y2-1),Y2-1,""),IF($Z$1=VALUE(LEFT(Y2,4)),"",CONCATENATE(VALUE(LEFT(Y2,4))-1,"-",RIGHT(LEFT(Y2,4),2)))),"")</f>
        <v>2017</v>
      </c>
      <c r="Z3" s="1041"/>
      <c r="AA3" s="537"/>
      <c r="AB3" s="537"/>
      <c r="AC3" s="537"/>
      <c r="AD3" s="537"/>
    </row>
    <row r="4" spans="1:30" ht="24.75" customHeight="1" thickBot="1">
      <c r="T4" s="537"/>
      <c r="U4" s="537"/>
      <c r="V4" s="1041"/>
      <c r="W4" s="1041"/>
      <c r="X4" s="1041"/>
      <c r="Y4" s="1041">
        <f t="shared" si="0"/>
        <v>2016</v>
      </c>
      <c r="Z4" s="1041"/>
      <c r="AA4" s="537"/>
      <c r="AB4" s="537"/>
      <c r="AC4" s="537"/>
      <c r="AD4" s="537"/>
    </row>
    <row r="5" spans="1:30" ht="15.75" thickBot="1">
      <c r="A5" s="50" t="s">
        <v>447</v>
      </c>
      <c r="B5" s="2043" t="s">
        <v>429</v>
      </c>
      <c r="C5" s="2044"/>
      <c r="D5" s="2045"/>
      <c r="E5" s="1040"/>
      <c r="T5" s="537"/>
      <c r="U5" s="537"/>
      <c r="V5" s="1041"/>
      <c r="W5" s="1041"/>
      <c r="X5" s="1041"/>
      <c r="Y5" s="1041">
        <f t="shared" si="0"/>
        <v>2015</v>
      </c>
      <c r="Z5" s="1041"/>
      <c r="AA5" s="537"/>
      <c r="AB5" s="537"/>
      <c r="AC5" s="537"/>
      <c r="AD5" s="537"/>
    </row>
    <row r="6" spans="1:30" ht="15.75" thickBot="1">
      <c r="A6" s="50" t="s">
        <v>447</v>
      </c>
      <c r="B6" s="2043">
        <v>2019</v>
      </c>
      <c r="C6" s="2044"/>
      <c r="D6" s="2045"/>
      <c r="E6" s="1040"/>
      <c r="T6" s="537"/>
      <c r="U6" s="537"/>
      <c r="V6" s="1041"/>
      <c r="W6" s="1041"/>
      <c r="X6" s="1041"/>
      <c r="Y6" s="1041">
        <f t="shared" si="0"/>
        <v>2014</v>
      </c>
      <c r="Z6" s="1041"/>
      <c r="AA6" s="537"/>
      <c r="AB6" s="537"/>
      <c r="AC6" s="537"/>
      <c r="AD6" s="537"/>
    </row>
    <row r="7" spans="1:30">
      <c r="T7" s="537"/>
      <c r="U7" s="537"/>
      <c r="V7" s="1041"/>
      <c r="W7" s="1041"/>
      <c r="X7" s="1041"/>
      <c r="Y7" s="1041">
        <f t="shared" si="0"/>
        <v>2013</v>
      </c>
      <c r="Z7" s="1041"/>
      <c r="AA7" s="537"/>
      <c r="AB7" s="537"/>
      <c r="AC7" s="537"/>
      <c r="AD7" s="537"/>
    </row>
    <row r="8" spans="1:30">
      <c r="A8" s="1937" t="str">
        <f>IF($B$6="Click here to select an option","Select a year above for display.",CONCATENATE("Western Australian Nickel Exports ",B6))</f>
        <v>Western Australian Nickel Exports 2019</v>
      </c>
      <c r="B8" s="1937"/>
      <c r="C8" s="1937"/>
      <c r="D8" s="1937"/>
      <c r="T8" s="537"/>
      <c r="U8" s="537"/>
      <c r="V8" s="1041"/>
      <c r="W8" s="1041"/>
      <c r="X8" s="1041"/>
      <c r="Y8" s="1041">
        <f t="shared" si="0"/>
        <v>2012</v>
      </c>
      <c r="Z8" s="1041"/>
      <c r="AA8" s="537"/>
      <c r="AB8" s="537"/>
      <c r="AC8" s="537"/>
      <c r="AD8" s="537"/>
    </row>
    <row r="9" spans="1:30" ht="15.75" thickBot="1">
      <c r="A9" s="1049" t="s">
        <v>43</v>
      </c>
      <c r="B9" s="1050" t="s">
        <v>44</v>
      </c>
      <c r="C9" s="1049" t="s">
        <v>805</v>
      </c>
      <c r="D9" s="1450" t="s">
        <v>47</v>
      </c>
      <c r="T9" s="537"/>
      <c r="U9" s="537"/>
      <c r="V9" s="537"/>
      <c r="W9" s="1109"/>
      <c r="X9" s="1109"/>
      <c r="Y9" s="1041">
        <f t="shared" si="0"/>
        <v>2011</v>
      </c>
      <c r="Z9" s="537"/>
      <c r="AA9" s="537"/>
      <c r="AB9" s="537"/>
      <c r="AC9" s="537"/>
      <c r="AD9" s="537"/>
    </row>
    <row r="10" spans="1:30">
      <c r="A10" s="1051" t="str">
        <f t="array" ref="A10">IF($W$2="Mismatch Error","Mismatch Error",IF($B$5=$X$1,INDEX('Data - Monthly Commodity Prices'!$AJ$9:$AO$3501,MATCH(1,(('Data - Monthly Commodity Prices'!$AJ$9:$AJ$3501)="Nickel")*(('Data - Monthly Commodity Prices'!$AK$9:$AK$3501)=$B$6)*(('Data - Monthly Commodity Prices'!$AM$9:$AM$3501)=B10),0),3),INDEX('Data - Monthly Commodity Prices'!$AQ$9:$AV$3495,MATCH(1,(('Data - Monthly Commodity Prices'!$AQ$9:$AQ$3495)="Nickel")*(('Data - Monthly Commodity Prices'!$AR$9:$AR$3495)=$B$6)*(('Data - Monthly Commodity Prices'!$AT$9:$AT$3495)=B10),0),3)))</f>
        <v>China</v>
      </c>
      <c r="B10" s="1052">
        <v>1</v>
      </c>
      <c r="C10" s="1053">
        <f t="array" ref="C10">IF($W$2="Mismatch Error","",IF($B$5=$X$1,INDEX('Data - Monthly Commodity Prices'!$AJ$9:$AO$3501,MATCH(1,(('Data - Monthly Commodity Prices'!$AJ$9:$AJ$3501)="Nickel")*(('Data - Monthly Commodity Prices'!$AK$9:$AK$3501)=$B$6)*(('Data - Monthly Commodity Prices'!$AM$9:$AM$3501)=B10),0),5),INDEX('Data - Monthly Commodity Prices'!$AQ$9:$AV$3495,MATCH(1,(('Data - Monthly Commodity Prices'!$AQ$9:$AQ$3495)="Nickel")*(('Data - Monthly Commodity Prices'!$AR$9:$AR$3495)=$B$6)*(('Data - Monthly Commodity Prices'!$AT$9:$AT$3495)=B10),0),5)))</f>
        <v>1783706083.5057464</v>
      </c>
      <c r="D10" s="1505">
        <f>IF($W$2="Mismatch Error","",C10/$C$21)</f>
        <v>0.44265579388403997</v>
      </c>
      <c r="T10" s="537"/>
      <c r="U10" s="537"/>
      <c r="V10" s="537"/>
      <c r="W10" s="1109"/>
      <c r="X10" s="1109"/>
      <c r="Y10" s="1041">
        <f t="shared" si="0"/>
        <v>2010</v>
      </c>
      <c r="Z10" s="537"/>
      <c r="AA10" s="537"/>
      <c r="AB10" s="537"/>
      <c r="AC10" s="537"/>
      <c r="AD10" s="537"/>
    </row>
    <row r="11" spans="1:30">
      <c r="A11" s="1055" t="str">
        <f t="array" ref="A11">IF($W$2="Mismatch Error","",IF($B$5=$X$1,INDEX('Data - Monthly Commodity Prices'!$AJ$9:$AO$3501,MATCH(1,(('Data - Monthly Commodity Prices'!$AJ$9:$AJ$3501)="Nickel")*(('Data - Monthly Commodity Prices'!$AK$9:$AK$3501)=$B$6)*(('Data - Monthly Commodity Prices'!$AM$9:$AM$3501)=B11),0),3),INDEX('Data - Monthly Commodity Prices'!$AQ$9:$AV$3495,MATCH(1,(('Data - Monthly Commodity Prices'!$AQ$9:$AQ$3495)="Nickel")*(('Data - Monthly Commodity Prices'!$AR$9:$AR$3495)=$B$6)*(('Data - Monthly Commodity Prices'!$AT$9:$AT$3495)=B11),0),3)))</f>
        <v>Japan</v>
      </c>
      <c r="B11" s="1056">
        <v>2</v>
      </c>
      <c r="C11" s="1057">
        <f t="array" ref="C11">IF($W$2="Mismatch Error","",IF($B$5=$X$1,INDEX('Data - Monthly Commodity Prices'!$AJ$9:$AO$3501,MATCH(1,(('Data - Monthly Commodity Prices'!$AJ$9:$AJ$3501)="Nickel")*(('Data - Monthly Commodity Prices'!$AK$9:$AK$3501)=$B$6)*(('Data - Monthly Commodity Prices'!$AM$9:$AM$3501)=B11),0),5),INDEX('Data - Monthly Commodity Prices'!$AQ$9:$AV$3495,MATCH(1,(('Data - Monthly Commodity Prices'!$AQ$9:$AQ$3495)="Nickel")*(('Data - Monthly Commodity Prices'!$AR$9:$AR$3495)=$B$6)*(('Data - Monthly Commodity Prices'!$AT$9:$AT$3495)=B11),0),5)))</f>
        <v>423780056.69589889</v>
      </c>
      <c r="D11" s="1058">
        <f t="shared" ref="D11:D20" si="1">IF($W$2="Mismatch Error","",C11/$C$21)</f>
        <v>0.10516794171619041</v>
      </c>
      <c r="T11" s="537"/>
      <c r="U11" s="537"/>
      <c r="V11" s="537"/>
      <c r="W11" s="1109"/>
      <c r="X11" s="1109"/>
      <c r="Y11" s="1041">
        <f t="shared" si="0"/>
        <v>2009</v>
      </c>
      <c r="Z11" s="537"/>
      <c r="AA11" s="537"/>
      <c r="AB11" s="537"/>
      <c r="AC11" s="537"/>
      <c r="AD11" s="537"/>
    </row>
    <row r="12" spans="1:30">
      <c r="A12" s="1051" t="str">
        <f t="array" ref="A12">IF($W$2="Mismatch Error","",IF($B$5=$X$1,INDEX('Data - Monthly Commodity Prices'!$AJ$9:$AO$3501,MATCH(1,(('Data - Monthly Commodity Prices'!$AJ$9:$AJ$3501)="Nickel")*(('Data - Monthly Commodity Prices'!$AK$9:$AK$3501)=$B$6)*(('Data - Monthly Commodity Prices'!$AM$9:$AM$3501)=B12),0),3),INDEX('Data - Monthly Commodity Prices'!$AQ$9:$AV$3495,MATCH(1,(('Data - Monthly Commodity Prices'!$AQ$9:$AQ$3495)="Nickel")*(('Data - Monthly Commodity Prices'!$AR$9:$AR$3495)=$B$6)*(('Data - Monthly Commodity Prices'!$AT$9:$AT$3495)=B12),0),3)))</f>
        <v>Malaysia</v>
      </c>
      <c r="B12" s="1052">
        <v>3</v>
      </c>
      <c r="C12" s="1053">
        <f t="array" ref="C12">IF($W$2="Mismatch Error","",IF($B$5=$X$1,INDEX('Data - Monthly Commodity Prices'!$AJ$9:$AO$3501,MATCH(1,(('Data - Monthly Commodity Prices'!$AJ$9:$AJ$3501)="Nickel")*(('Data - Monthly Commodity Prices'!$AK$9:$AK$3501)=$B$6)*(('Data - Monthly Commodity Prices'!$AM$9:$AM$3501)=B12),0),5),INDEX('Data - Monthly Commodity Prices'!$AQ$9:$AV$3495,MATCH(1,(('Data - Monthly Commodity Prices'!$AQ$9:$AQ$3495)="Nickel")*(('Data - Monthly Commodity Prices'!$AR$9:$AR$3495)=$B$6)*(('Data - Monthly Commodity Prices'!$AT$9:$AT$3495)=B12),0),5)))</f>
        <v>366680510.71748519</v>
      </c>
      <c r="D12" s="1054">
        <f t="shared" si="1"/>
        <v>9.0997756903109614E-2</v>
      </c>
      <c r="T12" s="537"/>
      <c r="U12" s="537"/>
      <c r="V12" s="537"/>
      <c r="W12" s="1109"/>
      <c r="X12" s="1109"/>
      <c r="Y12" s="1041">
        <f t="shared" si="0"/>
        <v>2008</v>
      </c>
      <c r="Z12" s="537"/>
      <c r="AA12" s="537"/>
      <c r="AB12" s="537"/>
      <c r="AC12" s="537"/>
      <c r="AD12" s="537"/>
    </row>
    <row r="13" spans="1:30">
      <c r="A13" s="1055" t="str">
        <f t="array" ref="A13">IF($W$2="Mismatch Error","",IF($B$5=$X$1,INDEX('Data - Monthly Commodity Prices'!$AJ$9:$AO$3501,MATCH(1,(('Data - Monthly Commodity Prices'!$AJ$9:$AJ$3501)="Nickel")*(('Data - Monthly Commodity Prices'!$AK$9:$AK$3501)=$B$6)*(('Data - Monthly Commodity Prices'!$AM$9:$AM$3501)=B13),0),3),INDEX('Data - Monthly Commodity Prices'!$AQ$9:$AV$3495,MATCH(1,(('Data - Monthly Commodity Prices'!$AQ$9:$AQ$3495)="Nickel")*(('Data - Monthly Commodity Prices'!$AR$9:$AR$3495)=$B$6)*(('Data - Monthly Commodity Prices'!$AT$9:$AT$3495)=B13),0),3)))</f>
        <v>Korea, Republic Of</v>
      </c>
      <c r="B13" s="1056">
        <v>4</v>
      </c>
      <c r="C13" s="1057">
        <f t="array" ref="C13">IF($W$2="Mismatch Error","",IF($B$5=$X$1,INDEX('Data - Monthly Commodity Prices'!$AJ$9:$AO$3501,MATCH(1,(('Data - Monthly Commodity Prices'!$AJ$9:$AJ$3501)="Nickel")*(('Data - Monthly Commodity Prices'!$AK$9:$AK$3501)=$B$6)*(('Data - Monthly Commodity Prices'!$AM$9:$AM$3501)=B13),0),5),INDEX('Data - Monthly Commodity Prices'!$AQ$9:$AV$3495,MATCH(1,(('Data - Monthly Commodity Prices'!$AQ$9:$AQ$3495)="Nickel")*(('Data - Monthly Commodity Prices'!$AR$9:$AR$3495)=$B$6)*(('Data - Monthly Commodity Prices'!$AT$9:$AT$3495)=B13),0),5)))</f>
        <v>360224044.49219596</v>
      </c>
      <c r="D13" s="1058">
        <f t="shared" si="1"/>
        <v>8.9395479370353928E-2</v>
      </c>
      <c r="Y13" s="1041">
        <f t="shared" si="0"/>
        <v>2007</v>
      </c>
    </row>
    <row r="14" spans="1:30">
      <c r="A14" s="1051" t="str">
        <f t="array" ref="A14">IF($W$2="Mismatch Error","",IF($B$5=$X$1,INDEX('Data - Monthly Commodity Prices'!$AJ$9:$AO$3501,MATCH(1,(('Data - Monthly Commodity Prices'!$AJ$9:$AJ$3501)="Nickel")*(('Data - Monthly Commodity Prices'!$AK$9:$AK$3501)=$B$6)*(('Data - Monthly Commodity Prices'!$AM$9:$AM$3501)=B14),0),3),INDEX('Data - Monthly Commodity Prices'!$AQ$9:$AV$3495,MATCH(1,(('Data - Monthly Commodity Prices'!$AQ$9:$AQ$3495)="Nickel")*(('Data - Monthly Commodity Prices'!$AR$9:$AR$3495)=$B$6)*(('Data - Monthly Commodity Prices'!$AT$9:$AT$3495)=B14),0),3)))</f>
        <v>Taiwan, Province Of China</v>
      </c>
      <c r="B14" s="1052">
        <v>5</v>
      </c>
      <c r="C14" s="1053">
        <f t="array" ref="C14">IF($W$2="Mismatch Error","",IF($B$5=$X$1,INDEX('Data - Monthly Commodity Prices'!$AJ$9:$AO$3501,MATCH(1,(('Data - Monthly Commodity Prices'!$AJ$9:$AJ$3501)="Nickel")*(('Data - Monthly Commodity Prices'!$AK$9:$AK$3501)=$B$6)*(('Data - Monthly Commodity Prices'!$AM$9:$AM$3501)=B14),0),5),INDEX('Data - Monthly Commodity Prices'!$AQ$9:$AV$3495,MATCH(1,(('Data - Monthly Commodity Prices'!$AQ$9:$AQ$3495)="Nickel")*(('Data - Monthly Commodity Prices'!$AR$9:$AR$3495)=$B$6)*(('Data - Monthly Commodity Prices'!$AT$9:$AT$3495)=B14),0),5)))</f>
        <v>318056053.23906589</v>
      </c>
      <c r="D14" s="1054">
        <f t="shared" si="1"/>
        <v>7.8930803705872785E-2</v>
      </c>
      <c r="Y14" s="1041" t="str">
        <f t="shared" si="0"/>
        <v/>
      </c>
    </row>
    <row r="15" spans="1:30">
      <c r="A15" s="1055" t="str">
        <f t="array" ref="A15">IF($W$2="Mismatch Error","",IF($B$5=$X$1,INDEX('Data - Monthly Commodity Prices'!$AJ$9:$AO$3501,MATCH(1,(('Data - Monthly Commodity Prices'!$AJ$9:$AJ$3501)="Nickel")*(('Data - Monthly Commodity Prices'!$AK$9:$AK$3501)=$B$6)*(('Data - Monthly Commodity Prices'!$AM$9:$AM$3501)=B15),0),3),INDEX('Data - Monthly Commodity Prices'!$AQ$9:$AV$3495,MATCH(1,(('Data - Monthly Commodity Prices'!$AQ$9:$AQ$3495)="Nickel")*(('Data - Monthly Commodity Prices'!$AR$9:$AR$3495)=$B$6)*(('Data - Monthly Commodity Prices'!$AT$9:$AT$3495)=B15),0),3)))</f>
        <v>Netherlands</v>
      </c>
      <c r="B15" s="1056">
        <v>6</v>
      </c>
      <c r="C15" s="1057">
        <f t="array" ref="C15">IF($W$2="Mismatch Error","",IF($B$5=$X$1,INDEX('Data - Monthly Commodity Prices'!$AJ$9:$AO$3501,MATCH(1,(('Data - Monthly Commodity Prices'!$AJ$9:$AJ$3501)="Nickel")*(('Data - Monthly Commodity Prices'!$AK$9:$AK$3501)=$B$6)*(('Data - Monthly Commodity Prices'!$AM$9:$AM$3501)=B15),0),5),INDEX('Data - Monthly Commodity Prices'!$AQ$9:$AV$3495,MATCH(1,(('Data - Monthly Commodity Prices'!$AQ$9:$AQ$3495)="Nickel")*(('Data - Monthly Commodity Prices'!$AR$9:$AR$3495)=$B$6)*(('Data - Monthly Commodity Prices'!$AT$9:$AT$3495)=B15),0),5)))</f>
        <v>210819257.83086553</v>
      </c>
      <c r="D15" s="1058">
        <f t="shared" si="1"/>
        <v>5.2318241667792829E-2</v>
      </c>
      <c r="Y15" s="1041" t="str">
        <f t="shared" si="0"/>
        <v/>
      </c>
    </row>
    <row r="16" spans="1:30">
      <c r="A16" s="1051" t="str">
        <f t="array" ref="A16">IF($W$2="Mismatch Error","",IF($B$5=$X$1,INDEX('Data - Monthly Commodity Prices'!$AJ$9:$AO$3501,MATCH(1,(('Data - Monthly Commodity Prices'!$AJ$9:$AJ$3501)="Nickel")*(('Data - Monthly Commodity Prices'!$AK$9:$AK$3501)=$B$6)*(('Data - Monthly Commodity Prices'!$AM$9:$AM$3501)=B16),0),3),INDEX('Data - Monthly Commodity Prices'!$AQ$9:$AV$3495,MATCH(1,(('Data - Monthly Commodity Prices'!$AQ$9:$AQ$3495)="Nickel")*(('Data - Monthly Commodity Prices'!$AR$9:$AR$3495)=$B$6)*(('Data - Monthly Commodity Prices'!$AT$9:$AT$3495)=B16),0),3)))</f>
        <v>United States</v>
      </c>
      <c r="B16" s="1052">
        <v>7</v>
      </c>
      <c r="C16" s="1053">
        <f t="array" ref="C16">IF($W$2="Mismatch Error","",IF($B$5=$X$1,INDEX('Data - Monthly Commodity Prices'!$AJ$9:$AO$3501,MATCH(1,(('Data - Monthly Commodity Prices'!$AJ$9:$AJ$3501)="Nickel")*(('Data - Monthly Commodity Prices'!$AK$9:$AK$3501)=$B$6)*(('Data - Monthly Commodity Prices'!$AM$9:$AM$3501)=B16),0),5),INDEX('Data - Monthly Commodity Prices'!$AQ$9:$AV$3495,MATCH(1,(('Data - Monthly Commodity Prices'!$AQ$9:$AQ$3495)="Nickel")*(('Data - Monthly Commodity Prices'!$AR$9:$AR$3495)=$B$6)*(('Data - Monthly Commodity Prices'!$AT$9:$AT$3495)=B16),0),5)))</f>
        <v>210707851.8669765</v>
      </c>
      <c r="D16" s="1054">
        <f t="shared" si="1"/>
        <v>5.2290594458510573E-2</v>
      </c>
      <c r="Y16" s="1041" t="str">
        <f t="shared" si="0"/>
        <v/>
      </c>
    </row>
    <row r="17" spans="1:25">
      <c r="A17" s="1055" t="str">
        <f t="array" ref="A17">IF($W$2="Mismatch Error","",IF($B$5=$X$1,INDEX('Data - Monthly Commodity Prices'!$AJ$9:$AO$3501,MATCH(1,(('Data - Monthly Commodity Prices'!$AJ$9:$AJ$3501)="Nickel")*(('Data - Monthly Commodity Prices'!$AK$9:$AK$3501)=$B$6)*(('Data - Monthly Commodity Prices'!$AM$9:$AM$3501)=B17),0),3),INDEX('Data - Monthly Commodity Prices'!$AQ$9:$AV$3495,MATCH(1,(('Data - Monthly Commodity Prices'!$AQ$9:$AQ$3495)="Nickel")*(('Data - Monthly Commodity Prices'!$AR$9:$AR$3495)=$B$6)*(('Data - Monthly Commodity Prices'!$AT$9:$AT$3495)=B17),0),3)))</f>
        <v>Norway</v>
      </c>
      <c r="B17" s="1056">
        <v>8</v>
      </c>
      <c r="C17" s="1057">
        <f t="array" ref="C17">IF($W$2="Mismatch Error","",IF($B$5=$X$1,INDEX('Data - Monthly Commodity Prices'!$AJ$9:$AO$3501,MATCH(1,(('Data - Monthly Commodity Prices'!$AJ$9:$AJ$3501)="Nickel")*(('Data - Monthly Commodity Prices'!$AK$9:$AK$3501)=$B$6)*(('Data - Monthly Commodity Prices'!$AM$9:$AM$3501)=B17),0),5),INDEX('Data - Monthly Commodity Prices'!$AQ$9:$AV$3495,MATCH(1,(('Data - Monthly Commodity Prices'!$AQ$9:$AQ$3495)="Nickel")*(('Data - Monthly Commodity Prices'!$AR$9:$AR$3495)=$B$6)*(('Data - Monthly Commodity Prices'!$AT$9:$AT$3495)=B17),0),5)))</f>
        <v>116274344.44341117</v>
      </c>
      <c r="D17" s="1058">
        <f t="shared" si="1"/>
        <v>2.8855377421141522E-2</v>
      </c>
      <c r="Y17" s="1041" t="str">
        <f t="shared" si="0"/>
        <v/>
      </c>
    </row>
    <row r="18" spans="1:25">
      <c r="A18" s="1051" t="str">
        <f t="array" ref="A18">IF($W$2="Mismatch Error","",IF($B$5=$X$1,INDEX('Data - Monthly Commodity Prices'!$AJ$9:$AO$3501,MATCH(1,(('Data - Monthly Commodity Prices'!$AJ$9:$AJ$3501)="Nickel")*(('Data - Monthly Commodity Prices'!$AK$9:$AK$3501)=$B$6)*(('Data - Monthly Commodity Prices'!$AM$9:$AM$3501)=B18),0),3),INDEX('Data - Monthly Commodity Prices'!$AQ$9:$AV$3495,MATCH(1,(('Data - Monthly Commodity Prices'!$AQ$9:$AQ$3495)="Nickel")*(('Data - Monthly Commodity Prices'!$AR$9:$AR$3495)=$B$6)*(('Data - Monthly Commodity Prices'!$AT$9:$AT$3495)=B18),0),3)))</f>
        <v>Spain</v>
      </c>
      <c r="B18" s="1052">
        <v>9</v>
      </c>
      <c r="C18" s="1053">
        <f t="array" ref="C18">IF($W$2="Mismatch Error","",IF($B$5=$X$1,INDEX('Data - Monthly Commodity Prices'!$AJ$9:$AO$3501,MATCH(1,(('Data - Monthly Commodity Prices'!$AJ$9:$AJ$3501)="Nickel")*(('Data - Monthly Commodity Prices'!$AK$9:$AK$3501)=$B$6)*(('Data - Monthly Commodity Prices'!$AM$9:$AM$3501)=B18),0),5),INDEX('Data - Monthly Commodity Prices'!$AQ$9:$AV$3495,MATCH(1,(('Data - Monthly Commodity Prices'!$AQ$9:$AQ$3495)="Nickel")*(('Data - Monthly Commodity Prices'!$AR$9:$AR$3495)=$B$6)*(('Data - Monthly Commodity Prices'!$AT$9:$AT$3495)=B18),0),5)))</f>
        <v>58976921.539999992</v>
      </c>
      <c r="D18" s="1054">
        <f t="shared" si="1"/>
        <v>1.4636086217643564E-2</v>
      </c>
      <c r="Y18" s="1041" t="str">
        <f t="shared" si="0"/>
        <v/>
      </c>
    </row>
    <row r="19" spans="1:25">
      <c r="A19" s="1055" t="str">
        <f t="array" ref="A19">IF($W$2="Mismatch Error","",IF($B$5=$X$1,INDEX('Data - Monthly Commodity Prices'!$AJ$9:$AO$3501,MATCH(1,(('Data - Monthly Commodity Prices'!$AJ$9:$AJ$3501)="Nickel")*(('Data - Monthly Commodity Prices'!$AK$9:$AK$3501)=$B$6)*(('Data - Monthly Commodity Prices'!$AM$9:$AM$3501)=B19),0),3),INDEX('Data - Monthly Commodity Prices'!$AQ$9:$AV$3495,MATCH(1,(('Data - Monthly Commodity Prices'!$AQ$9:$AQ$3495)="Nickel")*(('Data - Monthly Commodity Prices'!$AR$9:$AR$3495)=$B$6)*(('Data - Monthly Commodity Prices'!$AT$9:$AT$3495)=B19),0),3)))</f>
        <v>Singapore</v>
      </c>
      <c r="B19" s="1056">
        <v>10</v>
      </c>
      <c r="C19" s="1057">
        <f t="array" ref="C19">IF($W$2="Mismatch Error","",IF($B$5=$X$1,INDEX('Data - Monthly Commodity Prices'!$AJ$9:$AO$3501,MATCH(1,(('Data - Monthly Commodity Prices'!$AJ$9:$AJ$3501)="Nickel")*(('Data - Monthly Commodity Prices'!$AK$9:$AK$3501)=$B$6)*(('Data - Monthly Commodity Prices'!$AM$9:$AM$3501)=B19),0),5),INDEX('Data - Monthly Commodity Prices'!$AQ$9:$AV$3495,MATCH(1,(('Data - Monthly Commodity Prices'!$AQ$9:$AQ$3495)="Nickel")*(('Data - Monthly Commodity Prices'!$AR$9:$AR$3495)=$B$6)*(('Data - Monthly Commodity Prices'!$AT$9:$AT$3495)=B19),0),5)))</f>
        <v>58036221.710000001</v>
      </c>
      <c r="D19" s="1058">
        <f t="shared" si="1"/>
        <v>1.4402636192493226E-2</v>
      </c>
      <c r="Y19" s="1041" t="str">
        <f t="shared" si="0"/>
        <v/>
      </c>
    </row>
    <row r="20" spans="1:25" ht="15.75" thickBot="1">
      <c r="A20" s="1059" t="str">
        <f>IF($W$2="Mismatch Error","","Other")</f>
        <v>Other</v>
      </c>
      <c r="B20" s="1060"/>
      <c r="C20" s="1061">
        <f>IF($W$2="Mismatch Error","",IF($B$5=$X$1,SUMIFS('Data - Monthly Commodity Prices'!$AN$9:$AN$3501,'Data - Monthly Commodity Prices'!$AJ$9:$AJ$3501,"Nickel",'Data - Monthly Commodity Prices'!$AK$9:$AK$3501,$B$6,'Data - Monthly Commodity Prices'!$AL$9:$AL$3501,"TOTAL")-SUM($C$10:$C$19),SUMIFS('Data - Monthly Commodity Prices'!$AU$9:$AU$3495,'Data - Monthly Commodity Prices'!$AQ$9:$AQ$3495,"Nickel",'Data - Monthly Commodity Prices'!$AR$9:$AR$3495,$B$6,'Data - Monthly Commodity Prices'!$AS$9:$AS$3495,"TOTAL")-SUM($C$10:$C$19)))</f>
        <v>122294141.88000059</v>
      </c>
      <c r="D20" s="1062">
        <f t="shared" si="1"/>
        <v>3.0349288462851558E-2</v>
      </c>
      <c r="Y20" s="1041" t="str">
        <f t="shared" si="0"/>
        <v/>
      </c>
    </row>
    <row r="21" spans="1:25">
      <c r="A21" s="1048" t="str">
        <f>IF($W$2="Mismatch Error","","Grand Total")</f>
        <v>Grand Total</v>
      </c>
      <c r="B21" s="1045"/>
      <c r="C21" s="1046">
        <f>IF($W$2="Mismatch Error","",IF($B$5=$X$1,SUMIFS('Data - Monthly Commodity Prices'!$AN$9:$AN$3501,'Data - Monthly Commodity Prices'!$AJ$9:$AJ$3501,"Nickel",'Data - Monthly Commodity Prices'!$AK$9:$AK$3501,$B$6,'Data - Monthly Commodity Prices'!$AL$9:$AL$3501,"TOTAL"),SUMIFS('Data - Monthly Commodity Prices'!$AU$9:$AU$3495,'Data - Monthly Commodity Prices'!$AQ$9:$AQ$3495,"Nickel",'Data - Monthly Commodity Prices'!$AR$9:$AR$3495,$B$6,'Data - Monthly Commodity Prices'!$AS$9:$AS$3495,"TOTAL")))</f>
        <v>4029555487.9216461</v>
      </c>
      <c r="D21" s="1047"/>
      <c r="E21"/>
      <c r="Y21" s="1041" t="str">
        <f t="shared" si="0"/>
        <v/>
      </c>
    </row>
    <row r="22" spans="1:25">
      <c r="Y22" s="1041" t="str">
        <f t="shared" si="0"/>
        <v/>
      </c>
    </row>
    <row r="23" spans="1:25">
      <c r="A23" s="1970" t="str">
        <f>IF(A10="Mismatch Error","You have selected an incompatible year or year type. Change one or the other to display data.","")</f>
        <v/>
      </c>
      <c r="B23" s="1970"/>
      <c r="C23" s="1970"/>
      <c r="D23" s="1970"/>
      <c r="Y23" s="1041" t="str">
        <f t="shared" si="0"/>
        <v/>
      </c>
    </row>
    <row r="24" spans="1:25">
      <c r="A24" s="1970"/>
      <c r="B24" s="1970"/>
      <c r="C24" s="1970"/>
      <c r="D24" s="1970"/>
      <c r="Y24" s="1041" t="str">
        <f t="shared" si="0"/>
        <v/>
      </c>
    </row>
    <row r="25" spans="1:25" ht="15" customHeight="1">
      <c r="A25" s="1970"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70"/>
      <c r="C25" s="1970"/>
      <c r="D25" s="1970"/>
      <c r="Y25" s="1041" t="str">
        <f t="shared" si="0"/>
        <v/>
      </c>
    </row>
    <row r="26" spans="1:25">
      <c r="A26" s="1970"/>
      <c r="B26" s="1970"/>
      <c r="C26" s="1970"/>
      <c r="D26" s="1970"/>
      <c r="Y26" s="1041"/>
    </row>
    <row r="27" spans="1:25">
      <c r="A27" s="1970"/>
      <c r="B27" s="1970"/>
      <c r="C27" s="1970"/>
      <c r="D27" s="1970"/>
      <c r="Y27" s="1041"/>
    </row>
    <row r="28" spans="1:25">
      <c r="A28" s="1970"/>
      <c r="B28" s="1970"/>
      <c r="C28" s="1970"/>
      <c r="D28" s="1970"/>
      <c r="Y28" s="1041"/>
    </row>
    <row r="32" spans="1:25">
      <c r="E32" s="1043"/>
    </row>
    <row r="33" spans="5:5">
      <c r="E33" s="1043"/>
    </row>
    <row r="34" spans="5:5">
      <c r="E34" s="1043"/>
    </row>
    <row r="35" spans="5:5">
      <c r="E35" s="1043"/>
    </row>
    <row r="36" spans="5:5">
      <c r="E36" s="1043"/>
    </row>
    <row r="37" spans="5:5">
      <c r="E37" s="1043"/>
    </row>
    <row r="38" spans="5:5">
      <c r="E38" s="1043"/>
    </row>
    <row r="39" spans="5:5">
      <c r="E39" s="1043"/>
    </row>
    <row r="40" spans="5:5">
      <c r="E40" s="1043"/>
    </row>
    <row r="41" spans="5:5">
      <c r="E41" s="1043"/>
    </row>
    <row r="42" spans="5:5">
      <c r="E42" s="1043"/>
    </row>
    <row r="43" spans="5:5">
      <c r="E43" s="1043"/>
    </row>
    <row r="44" spans="5:5">
      <c r="E44" s="1043"/>
    </row>
    <row r="45" spans="5:5">
      <c r="E45" s="1043"/>
    </row>
    <row r="46" spans="5:5">
      <c r="E46" s="1043"/>
    </row>
    <row r="47" spans="5:5">
      <c r="E47" s="1043"/>
    </row>
    <row r="48" spans="5:5">
      <c r="E48" s="1043"/>
    </row>
    <row r="49" spans="5:5">
      <c r="E49" s="1043"/>
    </row>
    <row r="50" spans="5:5">
      <c r="E50" s="1043"/>
    </row>
    <row r="51" spans="5:5">
      <c r="E51" s="1043"/>
    </row>
    <row r="52" spans="5:5">
      <c r="E52" s="1043"/>
    </row>
    <row r="53" spans="5:5">
      <c r="E53" s="1043"/>
    </row>
    <row r="54" spans="5:5">
      <c r="E54" s="1043"/>
    </row>
    <row r="55" spans="5:5">
      <c r="E55" s="1043"/>
    </row>
    <row r="56" spans="5:5">
      <c r="E56" s="1043"/>
    </row>
    <row r="57" spans="5:5">
      <c r="E57" s="1043"/>
    </row>
    <row r="58" spans="5:5">
      <c r="E58" s="1043"/>
    </row>
    <row r="59" spans="5:5">
      <c r="E59" s="1043"/>
    </row>
    <row r="60" spans="5:5">
      <c r="E60" s="1043"/>
    </row>
    <row r="61" spans="5:5">
      <c r="E61" s="1043"/>
    </row>
    <row r="62" spans="5:5">
      <c r="E62" s="1043"/>
    </row>
    <row r="63" spans="5:5">
      <c r="E63" s="1043"/>
    </row>
    <row r="64" spans="5:5">
      <c r="E64" s="1043"/>
    </row>
    <row r="67" spans="5:5">
      <c r="E67" s="1043"/>
    </row>
    <row r="68" spans="5:5">
      <c r="E68" s="1043"/>
    </row>
    <row r="69" spans="5:5">
      <c r="E69" s="1043"/>
    </row>
    <row r="70" spans="5:5">
      <c r="E70" s="1043"/>
    </row>
    <row r="71" spans="5:5">
      <c r="E71" s="1043"/>
    </row>
    <row r="72" spans="5:5">
      <c r="E72" s="1043"/>
    </row>
    <row r="73" spans="5:5">
      <c r="E73" s="1043"/>
    </row>
    <row r="74" spans="5:5">
      <c r="E74" s="1043"/>
    </row>
    <row r="75" spans="5:5">
      <c r="E75" s="1043"/>
    </row>
    <row r="76" spans="5:5">
      <c r="E76" s="1043"/>
    </row>
    <row r="77" spans="5:5">
      <c r="E77" s="1043"/>
    </row>
    <row r="78" spans="5:5">
      <c r="E78" s="1043"/>
    </row>
    <row r="79" spans="5:5">
      <c r="E79" s="1043"/>
    </row>
    <row r="80" spans="5:5">
      <c r="E80" s="1043"/>
    </row>
    <row r="81" spans="5:5">
      <c r="E81" s="1043"/>
    </row>
  </sheetData>
  <mergeCells count="5">
    <mergeCell ref="B5:D5"/>
    <mergeCell ref="B6:D6"/>
    <mergeCell ref="A8:D8"/>
    <mergeCell ref="A23:D24"/>
    <mergeCell ref="A25:D28"/>
  </mergeCells>
  <conditionalFormatting sqref="A10">
    <cfRule type="containsText" dxfId="1" priority="1" operator="containsText" text="Mismatch Error">
      <formula>NOT(ISERROR(SEARCH("Mismatch Error",A10)))</formula>
    </cfRule>
  </conditionalFormatting>
  <dataValidations disablePrompts="1" count="2">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G1300"/>
  <sheetViews>
    <sheetView zoomScaleNormal="100" workbookViewId="0">
      <pane xSplit="3" ySplit="8" topLeftCell="D571" activePane="bottomRight" state="frozen"/>
      <selection activeCell="F410" sqref="F410"/>
      <selection pane="topRight" activeCell="F410" sqref="F410"/>
      <selection pane="bottomLeft" activeCell="F410" sqref="F410"/>
      <selection pane="bottomRight"/>
    </sheetView>
  </sheetViews>
  <sheetFormatPr defaultRowHeight="15"/>
  <cols>
    <col min="1" max="2" width="9.140625" style="798" hidden="1" customWidth="1"/>
    <col min="3" max="3" width="8.7109375" bestFit="1" customWidth="1"/>
    <col min="4" max="5" width="10.7109375" bestFit="1" customWidth="1"/>
    <col min="6" max="6" width="10.7109375" style="4" bestFit="1" customWidth="1"/>
    <col min="7" max="7" width="14.28515625" bestFit="1" customWidth="1"/>
    <col min="8" max="8" width="14.28515625" style="7" bestFit="1" customWidth="1"/>
    <col min="9" max="9" width="14.7109375" style="7" bestFit="1" customWidth="1"/>
    <col min="10" max="10" width="14.28515625" style="7" bestFit="1" customWidth="1"/>
    <col min="11" max="11" width="12.42578125" bestFit="1" customWidth="1"/>
    <col min="12" max="12" width="12.42578125" style="948" bestFit="1" customWidth="1"/>
    <col min="13" max="13" width="22.7109375" style="948" bestFit="1" customWidth="1"/>
    <col min="14" max="14" width="14.42578125" bestFit="1" customWidth="1"/>
    <col min="15" max="15" width="12" style="8" bestFit="1" customWidth="1"/>
    <col min="16" max="17" width="11.140625" style="8" bestFit="1" customWidth="1"/>
    <col min="18" max="18" width="11" bestFit="1" customWidth="1"/>
    <col min="19" max="19" width="14.85546875" bestFit="1" customWidth="1"/>
    <col min="20" max="20" width="11.140625" bestFit="1" customWidth="1"/>
    <col min="21" max="21" width="12.85546875" style="1244" bestFit="1" customWidth="1"/>
    <col min="22" max="22" width="17.5703125" style="1244" bestFit="1" customWidth="1"/>
    <col min="23" max="23" width="22.85546875" style="1535" customWidth="1"/>
    <col min="24" max="24" width="16.7109375" bestFit="1" customWidth="1"/>
    <col min="25" max="25" width="17.7109375" bestFit="1" customWidth="1"/>
    <col min="26" max="26" width="20.140625" customWidth="1"/>
    <col min="27" max="27" width="30.7109375" customWidth="1"/>
    <col min="28" max="28" width="20.5703125" customWidth="1"/>
    <col min="29" max="29" width="18.140625" bestFit="1" customWidth="1"/>
    <col min="30" max="30" width="21.42578125" customWidth="1"/>
    <col min="31" max="31" width="11.85546875" customWidth="1"/>
    <col min="34" max="34" width="15.85546875" bestFit="1" customWidth="1"/>
    <col min="36" max="36" width="13.5703125" style="453" bestFit="1" customWidth="1"/>
    <col min="37" max="38" width="24.42578125" style="453" bestFit="1" customWidth="1"/>
    <col min="39" max="39" width="12" style="453" bestFit="1" customWidth="1"/>
    <col min="40" max="40" width="19.5703125" style="453" customWidth="1"/>
    <col min="41" max="41" width="11.140625" style="1367" bestFit="1" customWidth="1"/>
    <col min="42" max="42" width="9.140625" style="453"/>
    <col min="43" max="43" width="46" style="453" customWidth="1"/>
    <col min="44" max="44" width="12" style="453" bestFit="1" customWidth="1"/>
    <col min="45" max="45" width="24.42578125" style="453" bestFit="1" customWidth="1"/>
    <col min="46" max="46" width="5.28515625" style="453" bestFit="1" customWidth="1"/>
    <col min="47" max="47" width="17.5703125" style="453" bestFit="1" customWidth="1"/>
    <col min="48" max="48" width="11.140625" style="453" bestFit="1" customWidth="1"/>
    <col min="49" max="49" width="8.42578125" style="453" bestFit="1" customWidth="1"/>
    <col min="50" max="50" width="13.85546875" bestFit="1" customWidth="1"/>
    <col min="51" max="51" width="18.140625" customWidth="1"/>
  </cols>
  <sheetData>
    <row r="1" spans="1:51" s="141" customFormat="1">
      <c r="A1" s="798"/>
      <c r="B1" s="798"/>
      <c r="L1" s="948"/>
      <c r="M1" s="948"/>
      <c r="U1" s="1244"/>
      <c r="V1" s="1244"/>
      <c r="W1" s="1535"/>
      <c r="AO1" s="1181"/>
    </row>
    <row r="2" spans="1:51" s="141" customFormat="1">
      <c r="A2" s="798"/>
      <c r="B2" s="798"/>
      <c r="L2" s="948"/>
      <c r="M2" s="948"/>
      <c r="U2" s="1244"/>
      <c r="V2" s="1244"/>
      <c r="W2" s="1535"/>
      <c r="AO2" s="1181"/>
    </row>
    <row r="3" spans="1:51">
      <c r="AJ3"/>
      <c r="AK3"/>
      <c r="AL3"/>
      <c r="AM3"/>
      <c r="AN3"/>
      <c r="AO3" s="1181"/>
      <c r="AP3"/>
      <c r="AQ3"/>
      <c r="AR3"/>
      <c r="AS3"/>
      <c r="AT3"/>
      <c r="AU3"/>
      <c r="AV3"/>
      <c r="AW3"/>
    </row>
    <row r="4" spans="1:51">
      <c r="AJ4"/>
      <c r="AK4"/>
      <c r="AL4"/>
      <c r="AM4"/>
      <c r="AN4"/>
      <c r="AO4" s="1181"/>
      <c r="AP4"/>
      <c r="AQ4"/>
      <c r="AR4"/>
      <c r="AS4"/>
      <c r="AT4"/>
      <c r="AU4"/>
      <c r="AV4"/>
      <c r="AW4"/>
    </row>
    <row r="5" spans="1:51">
      <c r="C5" s="900"/>
      <c r="D5" s="1092" t="s">
        <v>0</v>
      </c>
      <c r="E5" s="1092" t="s">
        <v>1</v>
      </c>
      <c r="F5" s="1092" t="s">
        <v>1</v>
      </c>
      <c r="G5" s="422" t="s">
        <v>2</v>
      </c>
      <c r="H5" s="422" t="s">
        <v>2</v>
      </c>
      <c r="I5" s="422" t="s">
        <v>2</v>
      </c>
      <c r="J5" s="422" t="s">
        <v>2</v>
      </c>
      <c r="K5" s="1092" t="s">
        <v>3</v>
      </c>
      <c r="L5" s="1092" t="s">
        <v>3</v>
      </c>
      <c r="M5" s="1092" t="s">
        <v>4</v>
      </c>
      <c r="N5" s="1092" t="s">
        <v>4</v>
      </c>
      <c r="O5" s="420" t="s">
        <v>437</v>
      </c>
      <c r="P5" s="420" t="s">
        <v>435</v>
      </c>
      <c r="Q5" s="420" t="s">
        <v>438</v>
      </c>
      <c r="R5" s="1092" t="s">
        <v>5</v>
      </c>
      <c r="S5" s="420" t="s">
        <v>353</v>
      </c>
      <c r="T5" s="420" t="s">
        <v>342</v>
      </c>
      <c r="U5" s="420" t="s">
        <v>531</v>
      </c>
      <c r="V5" s="420" t="s">
        <v>733</v>
      </c>
      <c r="W5" s="420" t="s">
        <v>670</v>
      </c>
      <c r="X5" s="420" t="s">
        <v>484</v>
      </c>
      <c r="Y5" s="419"/>
      <c r="Z5" s="419"/>
      <c r="AA5" s="419"/>
      <c r="AJ5" s="1937" t="s">
        <v>639</v>
      </c>
      <c r="AK5" s="1937"/>
      <c r="AL5" s="1937"/>
      <c r="AM5" s="1937"/>
      <c r="AN5" s="1937"/>
      <c r="AO5" s="1937"/>
      <c r="AP5"/>
      <c r="AQ5" s="1937" t="s">
        <v>642</v>
      </c>
      <c r="AR5" s="1937"/>
      <c r="AS5" s="1937"/>
      <c r="AT5" s="1937"/>
      <c r="AU5" s="1937"/>
      <c r="AV5" s="1937"/>
      <c r="AW5" s="1937"/>
    </row>
    <row r="6" spans="1:51">
      <c r="C6" s="1106" t="s">
        <v>357</v>
      </c>
      <c r="D6" s="421" t="s">
        <v>448</v>
      </c>
      <c r="E6" s="421" t="s">
        <v>11</v>
      </c>
      <c r="F6" s="421" t="s">
        <v>12</v>
      </c>
      <c r="G6" s="1091" t="s">
        <v>787</v>
      </c>
      <c r="H6" s="1180" t="s">
        <v>448</v>
      </c>
      <c r="I6" s="1180" t="s">
        <v>787</v>
      </c>
      <c r="J6" s="1180" t="s">
        <v>448</v>
      </c>
      <c r="K6" s="421" t="s">
        <v>9</v>
      </c>
      <c r="L6" s="421" t="s">
        <v>787</v>
      </c>
      <c r="M6" s="421" t="s">
        <v>740</v>
      </c>
      <c r="N6" s="421" t="s">
        <v>17</v>
      </c>
      <c r="O6" s="420" t="s">
        <v>436</v>
      </c>
      <c r="P6" s="420" t="s">
        <v>436</v>
      </c>
      <c r="Q6" s="420" t="s">
        <v>436</v>
      </c>
      <c r="R6" s="421" t="s">
        <v>10</v>
      </c>
      <c r="S6" s="420" t="s">
        <v>448</v>
      </c>
      <c r="T6" s="420" t="s">
        <v>448</v>
      </c>
      <c r="U6" s="420" t="s">
        <v>448</v>
      </c>
      <c r="V6" s="420" t="s">
        <v>448</v>
      </c>
      <c r="W6" s="420" t="s">
        <v>448</v>
      </c>
      <c r="X6" s="420" t="s">
        <v>802</v>
      </c>
      <c r="AJ6" s="9"/>
      <c r="AK6"/>
      <c r="AL6"/>
      <c r="AM6"/>
      <c r="AN6"/>
      <c r="AO6" s="1181"/>
      <c r="AP6"/>
      <c r="AQ6" s="9"/>
      <c r="AR6"/>
      <c r="AS6"/>
      <c r="AT6"/>
      <c r="AU6"/>
      <c r="AV6"/>
      <c r="AW6"/>
    </row>
    <row r="7" spans="1:51" s="6" customFormat="1">
      <c r="A7" s="798"/>
      <c r="B7" s="798"/>
      <c r="C7" s="1106"/>
      <c r="D7" s="421"/>
      <c r="E7" s="421"/>
      <c r="F7" s="421"/>
      <c r="G7" s="422" t="s">
        <v>13</v>
      </c>
      <c r="H7" s="422" t="s">
        <v>13</v>
      </c>
      <c r="I7" s="422" t="s">
        <v>14</v>
      </c>
      <c r="J7" s="422" t="s">
        <v>15</v>
      </c>
      <c r="K7" s="421"/>
      <c r="L7" s="421"/>
      <c r="M7" s="421" t="s">
        <v>145</v>
      </c>
      <c r="N7" s="421" t="s">
        <v>18</v>
      </c>
      <c r="O7" s="421"/>
      <c r="P7" s="421"/>
      <c r="Q7" s="421"/>
      <c r="R7" s="421"/>
      <c r="S7" s="1092"/>
      <c r="T7" s="1092"/>
      <c r="U7" s="1310"/>
      <c r="V7" s="1755"/>
      <c r="W7" s="1550"/>
      <c r="X7" s="900"/>
      <c r="AN7" s="9" t="s">
        <v>641</v>
      </c>
      <c r="AO7" s="1181"/>
      <c r="AU7" s="9" t="s">
        <v>641</v>
      </c>
    </row>
    <row r="8" spans="1:51" s="6" customFormat="1">
      <c r="A8" s="798"/>
      <c r="B8" s="798"/>
      <c r="C8" s="1106"/>
      <c r="D8" s="421"/>
      <c r="E8" s="421"/>
      <c r="F8" s="421"/>
      <c r="G8" s="422" t="s">
        <v>16</v>
      </c>
      <c r="H8" s="422" t="s">
        <v>16</v>
      </c>
      <c r="I8" s="422" t="s">
        <v>16</v>
      </c>
      <c r="J8" s="422" t="s">
        <v>16</v>
      </c>
      <c r="K8" s="421"/>
      <c r="L8" s="421"/>
      <c r="M8" s="421"/>
      <c r="N8" s="421"/>
      <c r="O8" s="421"/>
      <c r="P8" s="421"/>
      <c r="Q8" s="421"/>
      <c r="R8" s="421"/>
      <c r="S8" s="1092"/>
      <c r="T8" s="1092"/>
      <c r="U8" s="1310"/>
      <c r="V8" s="1310"/>
      <c r="W8" s="1550"/>
      <c r="X8" s="900"/>
      <c r="AJ8" s="9" t="s">
        <v>449</v>
      </c>
      <c r="AK8" s="9" t="s">
        <v>49</v>
      </c>
      <c r="AL8" s="9" t="s">
        <v>43</v>
      </c>
      <c r="AM8" s="9" t="s">
        <v>44</v>
      </c>
      <c r="AN8" s="9" t="s">
        <v>640</v>
      </c>
      <c r="AO8" s="1396"/>
      <c r="AP8" s="9"/>
      <c r="AQ8" s="9" t="s">
        <v>449</v>
      </c>
      <c r="AR8" s="9" t="s">
        <v>637</v>
      </c>
      <c r="AS8" s="9" t="s">
        <v>43</v>
      </c>
      <c r="AT8" s="9" t="s">
        <v>44</v>
      </c>
      <c r="AU8" s="9" t="s">
        <v>640</v>
      </c>
      <c r="AV8" s="9"/>
      <c r="AW8" s="9" t="s">
        <v>638</v>
      </c>
    </row>
    <row r="9" spans="1:51" s="86" customFormat="1">
      <c r="A9" s="798">
        <f t="shared" ref="A9:A72" si="0">YEAR(C9)</f>
        <v>1971</v>
      </c>
      <c r="B9" s="798">
        <f t="shared" ref="B9:B72" si="1">IF(OR(MONTH(C9)=1,MONTH(C9)=2,MONTH(C9)=3),1,IF(OR(MONTH(C9)=4,MONTH(C9)=5,MONTH(C9)=6),2,IF(OR(MONTH(C9)=7,MONTH(C9)=8,MONTH(C9)=9),3,4)))</f>
        <v>1</v>
      </c>
      <c r="C9" s="1104">
        <v>25937</v>
      </c>
      <c r="D9" s="934"/>
      <c r="E9" s="1100">
        <v>37.880000000000003</v>
      </c>
      <c r="F9" s="1100">
        <v>33.641190120000005</v>
      </c>
      <c r="G9" s="1101"/>
      <c r="H9" s="935"/>
      <c r="I9" s="1101"/>
      <c r="J9" s="1101"/>
      <c r="K9" s="936"/>
      <c r="L9" s="936"/>
      <c r="M9" s="936"/>
      <c r="N9" s="937"/>
      <c r="O9" s="938"/>
      <c r="P9" s="938"/>
      <c r="Q9" s="938"/>
      <c r="R9" s="939"/>
      <c r="S9" s="940"/>
      <c r="T9" s="940"/>
      <c r="U9" s="1756"/>
      <c r="V9" s="1323"/>
      <c r="W9" s="1323"/>
      <c r="AJ9" s="900" t="s">
        <v>0</v>
      </c>
      <c r="AK9" s="900">
        <v>2015</v>
      </c>
      <c r="AL9" s="874" t="s">
        <v>40</v>
      </c>
      <c r="AM9" s="874">
        <v>1</v>
      </c>
      <c r="AN9" s="1114">
        <v>932036163</v>
      </c>
      <c r="AO9" s="1112">
        <v>0.20100000000000001</v>
      </c>
      <c r="AP9" s="817"/>
      <c r="AQ9" s="817" t="s">
        <v>0</v>
      </c>
      <c r="AR9" s="817" t="s">
        <v>616</v>
      </c>
      <c r="AS9" s="874" t="s">
        <v>40</v>
      </c>
      <c r="AT9" s="874">
        <v>1</v>
      </c>
      <c r="AU9" s="1114">
        <v>976703108.16999996</v>
      </c>
      <c r="AV9" s="1113">
        <v>0.2186958337475437</v>
      </c>
      <c r="AW9" s="817">
        <v>2015</v>
      </c>
      <c r="AX9" s="453"/>
      <c r="AY9" s="431"/>
    </row>
    <row r="10" spans="1:51" s="86" customFormat="1">
      <c r="A10" s="798">
        <f t="shared" si="0"/>
        <v>1971</v>
      </c>
      <c r="B10" s="798">
        <f t="shared" si="1"/>
        <v>1</v>
      </c>
      <c r="C10" s="1104">
        <v>25965</v>
      </c>
      <c r="D10" s="805"/>
      <c r="E10" s="1102">
        <v>38.74</v>
      </c>
      <c r="F10" s="1102">
        <v>34.404955260000001</v>
      </c>
      <c r="G10" s="1103"/>
      <c r="H10" s="805"/>
      <c r="I10" s="1103"/>
      <c r="J10" s="1103"/>
      <c r="K10" s="84"/>
      <c r="L10" s="84"/>
      <c r="M10" s="84"/>
      <c r="N10" s="805"/>
      <c r="O10" s="941"/>
      <c r="P10" s="941"/>
      <c r="Q10" s="941"/>
      <c r="R10" s="805"/>
      <c r="S10" s="805"/>
      <c r="T10" s="805"/>
      <c r="U10" s="805"/>
      <c r="V10" s="805"/>
      <c r="W10" s="805"/>
      <c r="AJ10" s="817" t="s">
        <v>0</v>
      </c>
      <c r="AK10" s="817">
        <v>2015</v>
      </c>
      <c r="AL10" s="874" t="s">
        <v>24</v>
      </c>
      <c r="AM10" s="874">
        <v>2</v>
      </c>
      <c r="AN10" s="1114">
        <v>724908116</v>
      </c>
      <c r="AO10" s="1112">
        <v>0.156</v>
      </c>
      <c r="AP10" s="817"/>
      <c r="AQ10" s="817" t="s">
        <v>0</v>
      </c>
      <c r="AR10" s="817" t="s">
        <v>616</v>
      </c>
      <c r="AS10" s="874" t="s">
        <v>24</v>
      </c>
      <c r="AT10" s="874">
        <v>2</v>
      </c>
      <c r="AU10" s="1114">
        <v>629651610.97000003</v>
      </c>
      <c r="AV10" s="1113">
        <v>0.14098673678798251</v>
      </c>
      <c r="AW10" s="817">
        <v>2015</v>
      </c>
      <c r="AY10" s="431"/>
    </row>
    <row r="11" spans="1:51" s="86" customFormat="1">
      <c r="A11" s="798">
        <f t="shared" si="0"/>
        <v>1971</v>
      </c>
      <c r="B11" s="798">
        <f t="shared" si="1"/>
        <v>1</v>
      </c>
      <c r="C11" s="1104">
        <v>25993</v>
      </c>
      <c r="D11" s="934"/>
      <c r="E11" s="1100">
        <v>38.869999999999997</v>
      </c>
      <c r="F11" s="1100">
        <v>34.52040813</v>
      </c>
      <c r="G11" s="1101"/>
      <c r="H11" s="935"/>
      <c r="I11" s="1101"/>
      <c r="J11" s="1101"/>
      <c r="K11" s="936"/>
      <c r="L11" s="936"/>
      <c r="M11" s="936"/>
      <c r="N11" s="937"/>
      <c r="O11" s="938"/>
      <c r="P11" s="938"/>
      <c r="Q11" s="938"/>
      <c r="R11" s="939"/>
      <c r="S11" s="940"/>
      <c r="T11" s="940"/>
      <c r="U11" s="1756"/>
      <c r="V11" s="1323"/>
      <c r="W11" s="1323"/>
      <c r="AJ11" s="817" t="s">
        <v>0</v>
      </c>
      <c r="AK11" s="817">
        <v>2015</v>
      </c>
      <c r="AL11" s="874" t="s">
        <v>23</v>
      </c>
      <c r="AM11" s="874">
        <v>3</v>
      </c>
      <c r="AN11" s="1114">
        <v>536975610</v>
      </c>
      <c r="AO11" s="1112">
        <v>0.11600000000000001</v>
      </c>
      <c r="AP11" s="817"/>
      <c r="AQ11" s="817" t="s">
        <v>0</v>
      </c>
      <c r="AR11" s="817" t="s">
        <v>616</v>
      </c>
      <c r="AS11" s="874" t="s">
        <v>23</v>
      </c>
      <c r="AT11" s="874">
        <v>3</v>
      </c>
      <c r="AU11" s="1114">
        <v>483221527.47000003</v>
      </c>
      <c r="AV11" s="1113">
        <v>0.10819924084486418</v>
      </c>
      <c r="AW11" s="817">
        <v>2015</v>
      </c>
      <c r="AY11" s="1395">
        <f>'Alumina - Prices'!A10</f>
        <v>42064</v>
      </c>
    </row>
    <row r="12" spans="1:51" s="86" customFormat="1">
      <c r="A12" s="798">
        <f t="shared" si="0"/>
        <v>1971</v>
      </c>
      <c r="B12" s="798">
        <f t="shared" si="1"/>
        <v>2</v>
      </c>
      <c r="C12" s="1104">
        <v>26024</v>
      </c>
      <c r="D12" s="805"/>
      <c r="E12" s="1102">
        <v>39.01</v>
      </c>
      <c r="F12" s="1102">
        <v>34.64474199</v>
      </c>
      <c r="G12" s="1103"/>
      <c r="H12" s="805"/>
      <c r="I12" s="1103"/>
      <c r="J12" s="1103"/>
      <c r="K12" s="84"/>
      <c r="L12" s="84"/>
      <c r="M12" s="84"/>
      <c r="N12" s="805"/>
      <c r="O12" s="941"/>
      <c r="P12" s="941"/>
      <c r="Q12" s="941"/>
      <c r="R12" s="805"/>
      <c r="S12" s="805"/>
      <c r="T12" s="805"/>
      <c r="U12" s="805"/>
      <c r="V12" s="805"/>
      <c r="W12" s="805"/>
      <c r="AJ12" s="817" t="s">
        <v>0</v>
      </c>
      <c r="AK12" s="817">
        <v>2015</v>
      </c>
      <c r="AL12" s="874" t="s">
        <v>38</v>
      </c>
      <c r="AM12" s="874">
        <v>4</v>
      </c>
      <c r="AN12" s="1114">
        <v>489031425</v>
      </c>
      <c r="AO12" s="1112">
        <v>0.106</v>
      </c>
      <c r="AP12" s="817"/>
      <c r="AQ12" s="817" t="s">
        <v>0</v>
      </c>
      <c r="AR12" s="817" t="s">
        <v>616</v>
      </c>
      <c r="AS12" s="874" t="s">
        <v>38</v>
      </c>
      <c r="AT12" s="874">
        <v>4</v>
      </c>
      <c r="AU12" s="1114">
        <v>442160427.08999991</v>
      </c>
      <c r="AV12" s="1113">
        <v>9.9005155654513052E-2</v>
      </c>
      <c r="AW12" s="817">
        <v>2015</v>
      </c>
      <c r="AY12" s="431"/>
    </row>
    <row r="13" spans="1:51" s="86" customFormat="1">
      <c r="A13" s="798">
        <f t="shared" si="0"/>
        <v>1971</v>
      </c>
      <c r="B13" s="798">
        <f t="shared" si="1"/>
        <v>2</v>
      </c>
      <c r="C13" s="1104">
        <v>26056</v>
      </c>
      <c r="D13" s="934"/>
      <c r="E13" s="1100">
        <v>40.520000000000003</v>
      </c>
      <c r="F13" s="1100">
        <v>35.985771480000004</v>
      </c>
      <c r="G13" s="1101"/>
      <c r="H13" s="935"/>
      <c r="I13" s="1101"/>
      <c r="J13" s="1101"/>
      <c r="K13" s="936"/>
      <c r="L13" s="936"/>
      <c r="M13" s="936"/>
      <c r="N13" s="937"/>
      <c r="O13" s="938"/>
      <c r="P13" s="938"/>
      <c r="Q13" s="938"/>
      <c r="R13" s="939"/>
      <c r="S13" s="940"/>
      <c r="T13" s="940"/>
      <c r="U13" s="1756"/>
      <c r="V13" s="1323"/>
      <c r="W13" s="1323"/>
      <c r="AJ13" s="817" t="s">
        <v>0</v>
      </c>
      <c r="AK13" s="817">
        <v>2015</v>
      </c>
      <c r="AL13" s="874" t="s">
        <v>32</v>
      </c>
      <c r="AM13" s="874">
        <v>5</v>
      </c>
      <c r="AN13" s="1114">
        <v>388934786</v>
      </c>
      <c r="AO13" s="1112">
        <v>8.4000000000000005E-2</v>
      </c>
      <c r="AP13" s="817"/>
      <c r="AQ13" s="817" t="s">
        <v>0</v>
      </c>
      <c r="AR13" s="817" t="s">
        <v>616</v>
      </c>
      <c r="AS13" s="874" t="s">
        <v>32</v>
      </c>
      <c r="AT13" s="874">
        <v>5</v>
      </c>
      <c r="AU13" s="1114">
        <v>380193998.39999998</v>
      </c>
      <c r="AV13" s="1113">
        <v>8.513011044030401E-2</v>
      </c>
      <c r="AW13" s="817">
        <v>2015</v>
      </c>
      <c r="AY13" s="431"/>
    </row>
    <row r="14" spans="1:51" s="86" customFormat="1">
      <c r="A14" s="798">
        <f t="shared" si="0"/>
        <v>1971</v>
      </c>
      <c r="B14" s="798">
        <f t="shared" si="1"/>
        <v>2</v>
      </c>
      <c r="C14" s="1104">
        <v>26085</v>
      </c>
      <c r="D14" s="805"/>
      <c r="E14" s="1102">
        <v>40.1</v>
      </c>
      <c r="F14" s="1102">
        <v>35.581171099999999</v>
      </c>
      <c r="G14" s="1103"/>
      <c r="H14" s="805"/>
      <c r="I14" s="1103"/>
      <c r="J14" s="1103"/>
      <c r="K14" s="84"/>
      <c r="L14" s="84"/>
      <c r="M14" s="84"/>
      <c r="N14" s="805"/>
      <c r="O14" s="941"/>
      <c r="P14" s="941"/>
      <c r="Q14" s="941"/>
      <c r="R14" s="805"/>
      <c r="S14" s="805"/>
      <c r="T14" s="805"/>
      <c r="U14" s="805"/>
      <c r="V14" s="805"/>
      <c r="W14" s="805"/>
      <c r="AJ14" s="817" t="s">
        <v>0</v>
      </c>
      <c r="AK14" s="817">
        <v>2015</v>
      </c>
      <c r="AL14" s="874" t="s">
        <v>31</v>
      </c>
      <c r="AM14" s="874">
        <v>6</v>
      </c>
      <c r="AN14" s="1114">
        <v>238444141</v>
      </c>
      <c r="AO14" s="1112">
        <v>5.0999999999999997E-2</v>
      </c>
      <c r="AP14" s="817"/>
      <c r="AQ14" s="817" t="s">
        <v>0</v>
      </c>
      <c r="AR14" s="817" t="s">
        <v>616</v>
      </c>
      <c r="AS14" s="874" t="s">
        <v>31</v>
      </c>
      <c r="AT14" s="874">
        <v>6</v>
      </c>
      <c r="AU14" s="1114">
        <v>277963487.05000001</v>
      </c>
      <c r="AV14" s="1113">
        <v>6.2239442101983788E-2</v>
      </c>
      <c r="AW14" s="817">
        <v>2015</v>
      </c>
      <c r="AY14" s="1395">
        <f>'Alumina - Prices'!A13</f>
        <v>42156</v>
      </c>
    </row>
    <row r="15" spans="1:51" s="86" customFormat="1">
      <c r="A15" s="798">
        <f t="shared" si="0"/>
        <v>1971</v>
      </c>
      <c r="B15" s="798">
        <f t="shared" si="1"/>
        <v>3</v>
      </c>
      <c r="C15" s="1104">
        <v>26115</v>
      </c>
      <c r="D15" s="934"/>
      <c r="E15" s="1100">
        <v>40.950000000000003</v>
      </c>
      <c r="F15" s="1100">
        <v>36.238948200000003</v>
      </c>
      <c r="G15" s="1101"/>
      <c r="H15" s="935"/>
      <c r="I15" s="1101"/>
      <c r="J15" s="1101"/>
      <c r="K15" s="936"/>
      <c r="L15" s="936"/>
      <c r="M15" s="936"/>
      <c r="N15" s="937"/>
      <c r="O15" s="938"/>
      <c r="P15" s="938"/>
      <c r="Q15" s="938"/>
      <c r="R15" s="939"/>
      <c r="S15" s="940"/>
      <c r="T15" s="940"/>
      <c r="U15" s="1756"/>
      <c r="V15" s="1323"/>
      <c r="W15" s="1323"/>
      <c r="AJ15" s="817" t="s">
        <v>0</v>
      </c>
      <c r="AK15" s="817">
        <v>2015</v>
      </c>
      <c r="AL15" s="874" t="s">
        <v>41</v>
      </c>
      <c r="AM15" s="874">
        <v>7</v>
      </c>
      <c r="AN15" s="1114">
        <v>230838006</v>
      </c>
      <c r="AO15" s="1112">
        <v>0.05</v>
      </c>
      <c r="AP15" s="817"/>
      <c r="AQ15" s="817" t="s">
        <v>0</v>
      </c>
      <c r="AR15" s="817" t="s">
        <v>616</v>
      </c>
      <c r="AS15" s="874" t="s">
        <v>27</v>
      </c>
      <c r="AT15" s="874">
        <v>7</v>
      </c>
      <c r="AU15" s="1114">
        <v>188105271.33000001</v>
      </c>
      <c r="AV15" s="1113">
        <v>4.2119082863266613E-2</v>
      </c>
      <c r="AW15" s="817">
        <v>2015</v>
      </c>
      <c r="AY15" s="431"/>
    </row>
    <row r="16" spans="1:51" s="86" customFormat="1">
      <c r="A16" s="798">
        <f t="shared" si="0"/>
        <v>1971</v>
      </c>
      <c r="B16" s="798">
        <f t="shared" si="1"/>
        <v>3</v>
      </c>
      <c r="C16" s="1104">
        <v>26147</v>
      </c>
      <c r="D16" s="805"/>
      <c r="E16" s="1102">
        <v>42.71</v>
      </c>
      <c r="F16" s="1102">
        <v>37.171452620000004</v>
      </c>
      <c r="G16" s="1103"/>
      <c r="H16" s="805"/>
      <c r="I16" s="1103"/>
      <c r="J16" s="1103"/>
      <c r="K16" s="84"/>
      <c r="L16" s="84"/>
      <c r="M16" s="84"/>
      <c r="N16" s="805"/>
      <c r="O16" s="941"/>
      <c r="P16" s="941"/>
      <c r="Q16" s="941"/>
      <c r="R16" s="805"/>
      <c r="S16" s="805"/>
      <c r="T16" s="805"/>
      <c r="U16" s="805"/>
      <c r="V16" s="805"/>
      <c r="W16" s="805"/>
      <c r="AJ16" s="817" t="s">
        <v>0</v>
      </c>
      <c r="AK16" s="817">
        <v>2015</v>
      </c>
      <c r="AL16" s="874" t="s">
        <v>35</v>
      </c>
      <c r="AM16" s="874">
        <v>8</v>
      </c>
      <c r="AN16" s="1114">
        <v>189083062</v>
      </c>
      <c r="AO16" s="1112">
        <v>4.1000000000000002E-2</v>
      </c>
      <c r="AP16" s="817"/>
      <c r="AQ16" s="817" t="s">
        <v>0</v>
      </c>
      <c r="AR16" s="817" t="s">
        <v>616</v>
      </c>
      <c r="AS16" s="874" t="s">
        <v>28</v>
      </c>
      <c r="AT16" s="874">
        <v>8</v>
      </c>
      <c r="AU16" s="1114">
        <v>174073011.62999997</v>
      </c>
      <c r="AV16" s="1113">
        <v>3.8977087400383914E-2</v>
      </c>
      <c r="AW16" s="817">
        <v>2015</v>
      </c>
      <c r="AY16" s="431"/>
    </row>
    <row r="17" spans="1:51" s="86" customFormat="1">
      <c r="A17" s="798">
        <f t="shared" si="0"/>
        <v>1971</v>
      </c>
      <c r="B17" s="798">
        <f t="shared" si="1"/>
        <v>3</v>
      </c>
      <c r="C17" s="1104">
        <v>26177</v>
      </c>
      <c r="D17" s="934"/>
      <c r="E17" s="1100">
        <v>42.03</v>
      </c>
      <c r="F17" s="1100">
        <v>36.326697119999999</v>
      </c>
      <c r="G17" s="1101"/>
      <c r="H17" s="935"/>
      <c r="I17" s="1101"/>
      <c r="J17" s="1101"/>
      <c r="K17" s="936"/>
      <c r="L17" s="936"/>
      <c r="M17" s="936"/>
      <c r="N17" s="937"/>
      <c r="O17" s="938"/>
      <c r="P17" s="938"/>
      <c r="Q17" s="938"/>
      <c r="R17" s="939"/>
      <c r="S17" s="940"/>
      <c r="T17" s="940"/>
      <c r="U17" s="1756"/>
      <c r="V17" s="1323"/>
      <c r="W17" s="1323"/>
      <c r="AJ17" s="817" t="s">
        <v>0</v>
      </c>
      <c r="AK17" s="817">
        <v>2015</v>
      </c>
      <c r="AL17" s="874" t="s">
        <v>28</v>
      </c>
      <c r="AM17" s="874">
        <v>9</v>
      </c>
      <c r="AN17" s="1114">
        <v>183558887</v>
      </c>
      <c r="AO17" s="1112">
        <v>0.04</v>
      </c>
      <c r="AP17" s="817"/>
      <c r="AQ17" s="817" t="s">
        <v>0</v>
      </c>
      <c r="AR17" s="817" t="s">
        <v>616</v>
      </c>
      <c r="AS17" s="874" t="s">
        <v>41</v>
      </c>
      <c r="AT17" s="874">
        <v>9</v>
      </c>
      <c r="AU17" s="1114">
        <v>164822533.56999999</v>
      </c>
      <c r="AV17" s="1113">
        <v>3.6905791635097038E-2</v>
      </c>
      <c r="AW17" s="817">
        <v>2015</v>
      </c>
      <c r="AY17" s="1395">
        <f>'Alumina - Prices'!A16</f>
        <v>42248</v>
      </c>
    </row>
    <row r="18" spans="1:51" s="86" customFormat="1">
      <c r="A18" s="798">
        <f t="shared" si="0"/>
        <v>1971</v>
      </c>
      <c r="B18" s="798">
        <f t="shared" si="1"/>
        <v>4</v>
      </c>
      <c r="C18" s="1104">
        <v>26207</v>
      </c>
      <c r="D18" s="805"/>
      <c r="E18" s="1102">
        <v>42.5</v>
      </c>
      <c r="F18" s="1102">
        <v>36.574862500000002</v>
      </c>
      <c r="G18" s="1103"/>
      <c r="H18" s="805"/>
      <c r="I18" s="1103"/>
      <c r="J18" s="1103"/>
      <c r="K18" s="84"/>
      <c r="L18" s="84"/>
      <c r="M18" s="84"/>
      <c r="N18" s="805"/>
      <c r="O18" s="941"/>
      <c r="P18" s="941"/>
      <c r="Q18" s="941"/>
      <c r="R18" s="805"/>
      <c r="S18" s="805"/>
      <c r="T18" s="805"/>
      <c r="U18" s="805"/>
      <c r="V18" s="805"/>
      <c r="W18" s="805"/>
      <c r="AJ18" s="817" t="s">
        <v>0</v>
      </c>
      <c r="AK18" s="817">
        <v>2015</v>
      </c>
      <c r="AL18" s="874" t="s">
        <v>37</v>
      </c>
      <c r="AM18" s="874">
        <v>10</v>
      </c>
      <c r="AN18" s="1114">
        <v>176633337</v>
      </c>
      <c r="AO18" s="1112">
        <v>3.7999999999999999E-2</v>
      </c>
      <c r="AP18" s="817"/>
      <c r="AQ18" s="817" t="s">
        <v>0</v>
      </c>
      <c r="AR18" s="817" t="s">
        <v>616</v>
      </c>
      <c r="AS18" s="874" t="s">
        <v>35</v>
      </c>
      <c r="AT18" s="874">
        <v>10</v>
      </c>
      <c r="AU18" s="1114">
        <v>150690887.59999999</v>
      </c>
      <c r="AV18" s="1113">
        <v>3.3741542364482097E-2</v>
      </c>
      <c r="AW18" s="817">
        <v>2015</v>
      </c>
      <c r="AY18" s="431"/>
    </row>
    <row r="19" spans="1:51" s="86" customFormat="1">
      <c r="A19" s="798">
        <f t="shared" si="0"/>
        <v>1971</v>
      </c>
      <c r="B19" s="798">
        <f t="shared" si="1"/>
        <v>4</v>
      </c>
      <c r="C19" s="1104">
        <v>26238</v>
      </c>
      <c r="D19" s="934"/>
      <c r="E19" s="1100">
        <v>42.86</v>
      </c>
      <c r="F19" s="1100">
        <v>36.884673100000001</v>
      </c>
      <c r="G19" s="1101"/>
      <c r="H19" s="935"/>
      <c r="I19" s="1101"/>
      <c r="J19" s="1101"/>
      <c r="K19" s="936"/>
      <c r="L19" s="936"/>
      <c r="M19" s="936"/>
      <c r="N19" s="937"/>
      <c r="O19" s="938"/>
      <c r="P19" s="938"/>
      <c r="Q19" s="938"/>
      <c r="R19" s="939"/>
      <c r="S19" s="940"/>
      <c r="T19" s="940"/>
      <c r="U19" s="1756"/>
      <c r="V19" s="1323"/>
      <c r="W19" s="1323"/>
      <c r="AJ19" s="817" t="s">
        <v>0</v>
      </c>
      <c r="AK19" s="817">
        <v>2015</v>
      </c>
      <c r="AL19" s="874" t="s">
        <v>45</v>
      </c>
      <c r="AM19" s="874"/>
      <c r="AN19" s="1114">
        <v>542086836</v>
      </c>
      <c r="AO19" s="1112">
        <v>0.11700000000000001</v>
      </c>
      <c r="AP19" s="817"/>
      <c r="AQ19" s="817" t="s">
        <v>0</v>
      </c>
      <c r="AR19" s="817" t="s">
        <v>616</v>
      </c>
      <c r="AS19" s="874" t="s">
        <v>45</v>
      </c>
      <c r="AT19" s="874"/>
      <c r="AU19" s="1114">
        <v>598448497.93000078</v>
      </c>
      <c r="AV19" s="1113">
        <v>0.13399997615957901</v>
      </c>
      <c r="AW19" s="817">
        <v>2015</v>
      </c>
      <c r="AY19" s="431"/>
    </row>
    <row r="20" spans="1:51" s="86" customFormat="1">
      <c r="A20" s="798">
        <f t="shared" si="0"/>
        <v>1971</v>
      </c>
      <c r="B20" s="798">
        <f t="shared" si="1"/>
        <v>4</v>
      </c>
      <c r="C20" s="1104">
        <v>26268</v>
      </c>
      <c r="D20" s="805"/>
      <c r="E20" s="1102">
        <v>43.48</v>
      </c>
      <c r="F20" s="1102">
        <v>36.507155879999999</v>
      </c>
      <c r="G20" s="1103"/>
      <c r="H20" s="805"/>
      <c r="I20" s="1103"/>
      <c r="J20" s="1103"/>
      <c r="K20" s="84"/>
      <c r="L20" s="84"/>
      <c r="M20" s="84"/>
      <c r="N20" s="805"/>
      <c r="O20" s="941"/>
      <c r="P20" s="941"/>
      <c r="Q20" s="941"/>
      <c r="R20" s="805"/>
      <c r="S20" s="805"/>
      <c r="T20" s="805"/>
      <c r="U20" s="805"/>
      <c r="V20" s="805"/>
      <c r="W20" s="805"/>
      <c r="AJ20" s="817" t="s">
        <v>0</v>
      </c>
      <c r="AK20" s="817">
        <v>2015</v>
      </c>
      <c r="AL20" s="874" t="s">
        <v>452</v>
      </c>
      <c r="AM20" s="874"/>
      <c r="AN20" s="1114">
        <v>4632530370</v>
      </c>
      <c r="AO20" s="1112">
        <v>1</v>
      </c>
      <c r="AP20" s="817"/>
      <c r="AQ20" s="817" t="s">
        <v>0</v>
      </c>
      <c r="AR20" s="817" t="s">
        <v>616</v>
      </c>
      <c r="AS20" s="874" t="s">
        <v>452</v>
      </c>
      <c r="AT20" s="874"/>
      <c r="AU20" s="1114">
        <v>4466034361.210001</v>
      </c>
      <c r="AV20" s="874"/>
      <c r="AW20" s="817">
        <v>2015</v>
      </c>
      <c r="AY20" s="1395">
        <f>'Alumina - Prices'!A19</f>
        <v>42339</v>
      </c>
    </row>
    <row r="21" spans="1:51" s="86" customFormat="1">
      <c r="A21" s="798">
        <f t="shared" si="0"/>
        <v>1972</v>
      </c>
      <c r="B21" s="798">
        <f t="shared" si="1"/>
        <v>1</v>
      </c>
      <c r="C21" s="1104">
        <v>26301</v>
      </c>
      <c r="D21" s="934"/>
      <c r="E21" s="1100">
        <v>45.75</v>
      </c>
      <c r="F21" s="1100">
        <v>38.413118250000004</v>
      </c>
      <c r="G21" s="1101"/>
      <c r="H21" s="935"/>
      <c r="I21" s="1101"/>
      <c r="J21" s="1101"/>
      <c r="K21" s="936"/>
      <c r="L21" s="936"/>
      <c r="M21" s="936"/>
      <c r="N21" s="937"/>
      <c r="O21" s="938"/>
      <c r="P21" s="938"/>
      <c r="Q21" s="938"/>
      <c r="R21" s="939"/>
      <c r="S21" s="940"/>
      <c r="T21" s="940"/>
      <c r="U21" s="1756"/>
      <c r="V21" s="1323"/>
      <c r="W21" s="1323"/>
      <c r="AJ21" s="817" t="s">
        <v>0</v>
      </c>
      <c r="AK21" s="817">
        <v>2014</v>
      </c>
      <c r="AL21" s="874" t="s">
        <v>40</v>
      </c>
      <c r="AM21" s="874">
        <v>1</v>
      </c>
      <c r="AN21" s="1114">
        <v>640295054</v>
      </c>
      <c r="AO21" s="1112">
        <v>0.17699999999999999</v>
      </c>
      <c r="AP21" s="817"/>
      <c r="AQ21" s="817" t="s">
        <v>0</v>
      </c>
      <c r="AR21" s="817" t="s">
        <v>615</v>
      </c>
      <c r="AS21" s="874" t="s">
        <v>40</v>
      </c>
      <c r="AT21" s="874">
        <v>1</v>
      </c>
      <c r="AU21" s="1114">
        <v>758669887</v>
      </c>
      <c r="AV21" s="1113">
        <v>0.18</v>
      </c>
      <c r="AW21" s="817">
        <v>2014</v>
      </c>
      <c r="AY21" s="431"/>
    </row>
    <row r="22" spans="1:51" s="86" customFormat="1">
      <c r="A22" s="798">
        <f t="shared" si="0"/>
        <v>1972</v>
      </c>
      <c r="B22" s="798">
        <f t="shared" si="1"/>
        <v>1</v>
      </c>
      <c r="C22" s="1104">
        <v>26330</v>
      </c>
      <c r="D22" s="805"/>
      <c r="E22" s="1102">
        <v>48.26</v>
      </c>
      <c r="F22" s="1102">
        <v>40.520592059999998</v>
      </c>
      <c r="G22" s="1103"/>
      <c r="H22" s="805"/>
      <c r="I22" s="1103"/>
      <c r="J22" s="1103"/>
      <c r="K22" s="84"/>
      <c r="L22" s="84"/>
      <c r="M22" s="84"/>
      <c r="N22" s="805"/>
      <c r="O22" s="941"/>
      <c r="P22" s="941"/>
      <c r="Q22" s="941"/>
      <c r="R22" s="805"/>
      <c r="S22" s="805"/>
      <c r="T22" s="805"/>
      <c r="U22" s="805"/>
      <c r="V22" s="805"/>
      <c r="W22" s="805"/>
      <c r="AJ22" s="817" t="s">
        <v>0</v>
      </c>
      <c r="AK22" s="817">
        <v>2014</v>
      </c>
      <c r="AL22" s="874" t="s">
        <v>24</v>
      </c>
      <c r="AM22" s="874">
        <v>2</v>
      </c>
      <c r="AN22" s="1114">
        <v>554354076</v>
      </c>
      <c r="AO22" s="1112">
        <v>0.153</v>
      </c>
      <c r="AP22" s="817"/>
      <c r="AQ22" s="817" t="s">
        <v>0</v>
      </c>
      <c r="AR22" s="817" t="s">
        <v>615</v>
      </c>
      <c r="AS22" s="874" t="s">
        <v>24</v>
      </c>
      <c r="AT22" s="874">
        <v>2</v>
      </c>
      <c r="AU22" s="1114">
        <v>599875179</v>
      </c>
      <c r="AV22" s="1113">
        <v>0.14199999999999999</v>
      </c>
      <c r="AW22" s="817">
        <v>2014</v>
      </c>
      <c r="AY22" s="431"/>
    </row>
    <row r="23" spans="1:51" s="86" customFormat="1">
      <c r="A23" s="798">
        <f t="shared" si="0"/>
        <v>1972</v>
      </c>
      <c r="B23" s="798">
        <f t="shared" si="1"/>
        <v>1</v>
      </c>
      <c r="C23" s="1104">
        <v>26359</v>
      </c>
      <c r="D23" s="934"/>
      <c r="E23" s="1100">
        <v>48.33</v>
      </c>
      <c r="F23" s="1100">
        <v>40.579366229999998</v>
      </c>
      <c r="G23" s="1101"/>
      <c r="H23" s="935"/>
      <c r="I23" s="1101"/>
      <c r="J23" s="1101"/>
      <c r="K23" s="936"/>
      <c r="L23" s="936"/>
      <c r="M23" s="936"/>
      <c r="N23" s="937"/>
      <c r="O23" s="938"/>
      <c r="P23" s="938"/>
      <c r="Q23" s="938"/>
      <c r="R23" s="939"/>
      <c r="S23" s="940"/>
      <c r="T23" s="940"/>
      <c r="U23" s="1756"/>
      <c r="V23" s="1323"/>
      <c r="W23" s="1323"/>
      <c r="AJ23" s="817" t="s">
        <v>0</v>
      </c>
      <c r="AK23" s="817">
        <v>2014</v>
      </c>
      <c r="AL23" s="874" t="s">
        <v>38</v>
      </c>
      <c r="AM23" s="874">
        <v>3</v>
      </c>
      <c r="AN23" s="1114">
        <v>425506418</v>
      </c>
      <c r="AO23" s="1112">
        <v>0.11700000000000001</v>
      </c>
      <c r="AP23" s="817"/>
      <c r="AQ23" s="817" t="s">
        <v>0</v>
      </c>
      <c r="AR23" s="817" t="s">
        <v>615</v>
      </c>
      <c r="AS23" s="874" t="s">
        <v>23</v>
      </c>
      <c r="AT23" s="874">
        <v>3</v>
      </c>
      <c r="AU23" s="1114">
        <v>513421015</v>
      </c>
      <c r="AV23" s="1113">
        <v>0.122</v>
      </c>
      <c r="AW23" s="817">
        <v>2014</v>
      </c>
      <c r="AY23" s="1395">
        <f>'Alumina - Prices'!A22</f>
        <v>42430</v>
      </c>
    </row>
    <row r="24" spans="1:51" s="86" customFormat="1">
      <c r="A24" s="798">
        <f t="shared" si="0"/>
        <v>1972</v>
      </c>
      <c r="B24" s="798">
        <f t="shared" si="1"/>
        <v>2</v>
      </c>
      <c r="C24" s="1104">
        <v>26392</v>
      </c>
      <c r="D24" s="805"/>
      <c r="E24" s="1102">
        <v>49.03</v>
      </c>
      <c r="F24" s="1102">
        <v>41.16710793</v>
      </c>
      <c r="G24" s="1103"/>
      <c r="H24" s="805"/>
      <c r="I24" s="1103"/>
      <c r="J24" s="1103"/>
      <c r="K24" s="84"/>
      <c r="L24" s="84"/>
      <c r="M24" s="84"/>
      <c r="N24" s="805"/>
      <c r="O24" s="941"/>
      <c r="P24" s="941"/>
      <c r="Q24" s="941"/>
      <c r="R24" s="805"/>
      <c r="S24" s="805"/>
      <c r="T24" s="805"/>
      <c r="U24" s="805"/>
      <c r="V24" s="805"/>
      <c r="W24" s="805"/>
      <c r="AJ24" s="817" t="s">
        <v>0</v>
      </c>
      <c r="AK24" s="817">
        <v>2014</v>
      </c>
      <c r="AL24" s="874" t="s">
        <v>23</v>
      </c>
      <c r="AM24" s="874">
        <v>4</v>
      </c>
      <c r="AN24" s="1114">
        <v>384930143</v>
      </c>
      <c r="AO24" s="1112">
        <v>0.106</v>
      </c>
      <c r="AP24" s="817"/>
      <c r="AQ24" s="817" t="s">
        <v>0</v>
      </c>
      <c r="AR24" s="817" t="s">
        <v>615</v>
      </c>
      <c r="AS24" s="874" t="s">
        <v>38</v>
      </c>
      <c r="AT24" s="874">
        <v>4</v>
      </c>
      <c r="AU24" s="1114">
        <v>467013328</v>
      </c>
      <c r="AV24" s="1113">
        <v>0.111</v>
      </c>
      <c r="AW24" s="817">
        <v>2014</v>
      </c>
      <c r="AY24" s="431"/>
    </row>
    <row r="25" spans="1:51" s="86" customFormat="1">
      <c r="A25" s="798">
        <f t="shared" si="0"/>
        <v>1972</v>
      </c>
      <c r="B25" s="798">
        <f t="shared" si="1"/>
        <v>2</v>
      </c>
      <c r="C25" s="1104">
        <v>26420</v>
      </c>
      <c r="D25" s="934"/>
      <c r="E25" s="1100">
        <v>54.62</v>
      </c>
      <c r="F25" s="1100">
        <v>45.860645220000002</v>
      </c>
      <c r="G25" s="1101"/>
      <c r="H25" s="935"/>
      <c r="I25" s="1101"/>
      <c r="J25" s="1101"/>
      <c r="K25" s="936"/>
      <c r="L25" s="936"/>
      <c r="M25" s="936"/>
      <c r="N25" s="937"/>
      <c r="O25" s="938"/>
      <c r="P25" s="938"/>
      <c r="Q25" s="938"/>
      <c r="R25" s="939"/>
      <c r="S25" s="940"/>
      <c r="T25" s="940"/>
      <c r="U25" s="1756"/>
      <c r="V25" s="1323"/>
      <c r="W25" s="1323"/>
      <c r="AJ25" s="817" t="s">
        <v>0</v>
      </c>
      <c r="AK25" s="817">
        <v>2014</v>
      </c>
      <c r="AL25" s="874" t="s">
        <v>37</v>
      </c>
      <c r="AM25" s="874">
        <v>5</v>
      </c>
      <c r="AN25" s="1114">
        <v>380369918</v>
      </c>
      <c r="AO25" s="1112">
        <v>0.105</v>
      </c>
      <c r="AP25" s="817"/>
      <c r="AQ25" s="817" t="s">
        <v>0</v>
      </c>
      <c r="AR25" s="817" t="s">
        <v>615</v>
      </c>
      <c r="AS25" s="874" t="s">
        <v>32</v>
      </c>
      <c r="AT25" s="874">
        <v>5</v>
      </c>
      <c r="AU25" s="1114">
        <v>363972126</v>
      </c>
      <c r="AV25" s="1113">
        <v>8.5999999999999993E-2</v>
      </c>
      <c r="AW25" s="817">
        <v>2014</v>
      </c>
      <c r="AY25" s="431"/>
    </row>
    <row r="26" spans="1:51" s="86" customFormat="1">
      <c r="A26" s="798">
        <f t="shared" si="0"/>
        <v>1972</v>
      </c>
      <c r="B26" s="798">
        <f t="shared" si="1"/>
        <v>2</v>
      </c>
      <c r="C26" s="1104">
        <v>26451</v>
      </c>
      <c r="D26" s="805"/>
      <c r="E26" s="1102">
        <v>62.09</v>
      </c>
      <c r="F26" s="1102">
        <v>52.132688790000003</v>
      </c>
      <c r="G26" s="1103"/>
      <c r="H26" s="805"/>
      <c r="I26" s="1103"/>
      <c r="J26" s="1103"/>
      <c r="K26" s="84"/>
      <c r="L26" s="84"/>
      <c r="M26" s="84"/>
      <c r="N26" s="805"/>
      <c r="O26" s="941"/>
      <c r="P26" s="941"/>
      <c r="Q26" s="941"/>
      <c r="R26" s="805"/>
      <c r="S26" s="805"/>
      <c r="T26" s="805"/>
      <c r="U26" s="805"/>
      <c r="V26" s="805"/>
      <c r="W26" s="805"/>
      <c r="AJ26" s="817" t="s">
        <v>0</v>
      </c>
      <c r="AK26" s="817">
        <v>2014</v>
      </c>
      <c r="AL26" s="874" t="s">
        <v>32</v>
      </c>
      <c r="AM26" s="874">
        <v>6</v>
      </c>
      <c r="AN26" s="1114">
        <v>310242513</v>
      </c>
      <c r="AO26" s="1112">
        <v>8.5999999999999993E-2</v>
      </c>
      <c r="AP26" s="817"/>
      <c r="AQ26" s="817" t="s">
        <v>0</v>
      </c>
      <c r="AR26" s="817" t="s">
        <v>615</v>
      </c>
      <c r="AS26" s="874" t="s">
        <v>37</v>
      </c>
      <c r="AT26" s="874">
        <v>6</v>
      </c>
      <c r="AU26" s="1114">
        <v>346592895</v>
      </c>
      <c r="AV26" s="1113">
        <v>8.2000000000000003E-2</v>
      </c>
      <c r="AW26" s="817">
        <v>2014</v>
      </c>
      <c r="AY26" s="1395">
        <f>'Alumina - Prices'!A25</f>
        <v>42522</v>
      </c>
    </row>
    <row r="27" spans="1:51" s="86" customFormat="1">
      <c r="A27" s="798">
        <f t="shared" si="0"/>
        <v>1972</v>
      </c>
      <c r="B27" s="798">
        <f t="shared" si="1"/>
        <v>3</v>
      </c>
      <c r="C27" s="1104">
        <v>26483</v>
      </c>
      <c r="D27" s="934"/>
      <c r="E27" s="1100">
        <v>65.66</v>
      </c>
      <c r="F27" s="1100">
        <v>55.13017146</v>
      </c>
      <c r="G27" s="1101"/>
      <c r="H27" s="935"/>
      <c r="I27" s="1101"/>
      <c r="J27" s="1101"/>
      <c r="K27" s="936"/>
      <c r="L27" s="936"/>
      <c r="M27" s="936"/>
      <c r="N27" s="937"/>
      <c r="O27" s="938"/>
      <c r="P27" s="938"/>
      <c r="Q27" s="938"/>
      <c r="R27" s="939"/>
      <c r="S27" s="940"/>
      <c r="T27" s="940"/>
      <c r="U27" s="1756"/>
      <c r="V27" s="1323"/>
      <c r="W27" s="1323"/>
      <c r="AJ27" s="817" t="s">
        <v>0</v>
      </c>
      <c r="AK27" s="817">
        <v>2014</v>
      </c>
      <c r="AL27" s="874" t="s">
        <v>41</v>
      </c>
      <c r="AM27" s="874">
        <v>7</v>
      </c>
      <c r="AN27" s="1114">
        <v>177041293</v>
      </c>
      <c r="AO27" s="1112">
        <v>4.9000000000000002E-2</v>
      </c>
      <c r="AP27" s="817"/>
      <c r="AQ27" s="817" t="s">
        <v>0</v>
      </c>
      <c r="AR27" s="817" t="s">
        <v>615</v>
      </c>
      <c r="AS27" s="874" t="s">
        <v>41</v>
      </c>
      <c r="AT27" s="874">
        <v>7</v>
      </c>
      <c r="AU27" s="1114">
        <v>209137833</v>
      </c>
      <c r="AV27" s="1113">
        <v>0.05</v>
      </c>
      <c r="AW27" s="817">
        <v>2014</v>
      </c>
      <c r="AY27" s="431"/>
    </row>
    <row r="28" spans="1:51" s="86" customFormat="1">
      <c r="A28" s="798">
        <f t="shared" si="0"/>
        <v>1972</v>
      </c>
      <c r="B28" s="798">
        <f t="shared" si="1"/>
        <v>3</v>
      </c>
      <c r="C28" s="1104">
        <v>26512</v>
      </c>
      <c r="D28" s="805"/>
      <c r="E28" s="1102">
        <v>67.03</v>
      </c>
      <c r="F28" s="1102">
        <v>56.280465930000005</v>
      </c>
      <c r="G28" s="1103"/>
      <c r="H28" s="805"/>
      <c r="I28" s="1103"/>
      <c r="J28" s="1103"/>
      <c r="K28" s="84"/>
      <c r="L28" s="84"/>
      <c r="M28" s="84"/>
      <c r="N28" s="805"/>
      <c r="O28" s="941"/>
      <c r="P28" s="941"/>
      <c r="Q28" s="941"/>
      <c r="R28" s="805"/>
      <c r="S28" s="805"/>
      <c r="T28" s="805"/>
      <c r="U28" s="805"/>
      <c r="V28" s="805"/>
      <c r="W28" s="805"/>
      <c r="AJ28" s="817" t="s">
        <v>0</v>
      </c>
      <c r="AK28" s="817">
        <v>2014</v>
      </c>
      <c r="AL28" s="874" t="s">
        <v>27</v>
      </c>
      <c r="AM28" s="874">
        <v>8</v>
      </c>
      <c r="AN28" s="1114">
        <v>171734884</v>
      </c>
      <c r="AO28" s="1112">
        <v>4.7E-2</v>
      </c>
      <c r="AP28" s="817"/>
      <c r="AQ28" s="817" t="s">
        <v>0</v>
      </c>
      <c r="AR28" s="817" t="s">
        <v>615</v>
      </c>
      <c r="AS28" s="874" t="s">
        <v>35</v>
      </c>
      <c r="AT28" s="874">
        <v>8</v>
      </c>
      <c r="AU28" s="1114">
        <v>184837513</v>
      </c>
      <c r="AV28" s="1113">
        <v>4.3999999999999997E-2</v>
      </c>
      <c r="AW28" s="817">
        <v>2014</v>
      </c>
      <c r="AY28" s="431"/>
    </row>
    <row r="29" spans="1:51" s="86" customFormat="1">
      <c r="A29" s="798">
        <f t="shared" si="0"/>
        <v>1972</v>
      </c>
      <c r="B29" s="798">
        <f t="shared" si="1"/>
        <v>3</v>
      </c>
      <c r="C29" s="1104">
        <v>26543</v>
      </c>
      <c r="D29" s="934"/>
      <c r="E29" s="1100">
        <v>65.459999999999994</v>
      </c>
      <c r="F29" s="1100">
        <v>54.962245259999996</v>
      </c>
      <c r="G29" s="1101"/>
      <c r="H29" s="935"/>
      <c r="I29" s="1101"/>
      <c r="J29" s="1101"/>
      <c r="K29" s="936"/>
      <c r="L29" s="936"/>
      <c r="M29" s="936"/>
      <c r="N29" s="937"/>
      <c r="O29" s="938"/>
      <c r="P29" s="938"/>
      <c r="Q29" s="938"/>
      <c r="R29" s="939"/>
      <c r="S29" s="940"/>
      <c r="T29" s="940"/>
      <c r="U29" s="1756"/>
      <c r="V29" s="1323"/>
      <c r="W29" s="1323"/>
      <c r="AJ29" s="817" t="s">
        <v>0</v>
      </c>
      <c r="AK29" s="817">
        <v>2014</v>
      </c>
      <c r="AL29" s="874" t="s">
        <v>35</v>
      </c>
      <c r="AM29" s="874">
        <v>9</v>
      </c>
      <c r="AN29" s="1114">
        <v>155493543</v>
      </c>
      <c r="AO29" s="1112">
        <v>4.2999999999999997E-2</v>
      </c>
      <c r="AP29" s="817"/>
      <c r="AQ29" s="817" t="s">
        <v>0</v>
      </c>
      <c r="AR29" s="817" t="s">
        <v>615</v>
      </c>
      <c r="AS29" s="874" t="s">
        <v>27</v>
      </c>
      <c r="AT29" s="874">
        <v>9</v>
      </c>
      <c r="AU29" s="1114">
        <v>171200361</v>
      </c>
      <c r="AV29" s="1113">
        <v>4.1000000000000002E-2</v>
      </c>
      <c r="AW29" s="817">
        <v>2014</v>
      </c>
      <c r="AY29" s="1395">
        <f>'Alumina - Prices'!A28</f>
        <v>42614</v>
      </c>
    </row>
    <row r="30" spans="1:51" s="86" customFormat="1">
      <c r="A30" s="798">
        <f t="shared" si="0"/>
        <v>1972</v>
      </c>
      <c r="B30" s="798">
        <f t="shared" si="1"/>
        <v>4</v>
      </c>
      <c r="C30" s="1104">
        <v>26574</v>
      </c>
      <c r="D30" s="805"/>
      <c r="E30" s="1102">
        <v>64.86</v>
      </c>
      <c r="F30" s="1102">
        <v>54.458466659999999</v>
      </c>
      <c r="G30" s="1103"/>
      <c r="H30" s="805"/>
      <c r="I30" s="1103"/>
      <c r="J30" s="1103"/>
      <c r="K30" s="84"/>
      <c r="L30" s="84"/>
      <c r="M30" s="84"/>
      <c r="N30" s="805"/>
      <c r="O30" s="941"/>
      <c r="P30" s="941"/>
      <c r="Q30" s="941"/>
      <c r="R30" s="805"/>
      <c r="S30" s="805"/>
      <c r="T30" s="805"/>
      <c r="U30" s="805"/>
      <c r="V30" s="805"/>
      <c r="W30" s="805"/>
      <c r="AJ30" s="817" t="s">
        <v>0</v>
      </c>
      <c r="AK30" s="817">
        <v>2014</v>
      </c>
      <c r="AL30" s="874" t="s">
        <v>31</v>
      </c>
      <c r="AM30" s="874">
        <v>10</v>
      </c>
      <c r="AN30" s="1114">
        <v>153082446</v>
      </c>
      <c r="AO30" s="1112">
        <v>4.2000000000000003E-2</v>
      </c>
      <c r="AP30" s="817"/>
      <c r="AQ30" s="817" t="s">
        <v>0</v>
      </c>
      <c r="AR30" s="817" t="s">
        <v>615</v>
      </c>
      <c r="AS30" s="874" t="s">
        <v>31</v>
      </c>
      <c r="AT30" s="874">
        <v>10</v>
      </c>
      <c r="AU30" s="1114">
        <v>168803110</v>
      </c>
      <c r="AV30" s="1113">
        <v>0.04</v>
      </c>
      <c r="AW30" s="817">
        <v>2014</v>
      </c>
      <c r="AY30" s="431"/>
    </row>
    <row r="31" spans="1:51" s="86" customFormat="1">
      <c r="A31" s="798">
        <f t="shared" si="0"/>
        <v>1972</v>
      </c>
      <c r="B31" s="798">
        <f t="shared" si="1"/>
        <v>4</v>
      </c>
      <c r="C31" s="1104">
        <v>26604</v>
      </c>
      <c r="D31" s="934"/>
      <c r="E31" s="1100">
        <v>62.91</v>
      </c>
      <c r="F31" s="1100">
        <v>52.82118621</v>
      </c>
      <c r="G31" s="1101"/>
      <c r="H31" s="935"/>
      <c r="I31" s="1101"/>
      <c r="J31" s="1101"/>
      <c r="K31" s="936"/>
      <c r="L31" s="936"/>
      <c r="M31" s="936"/>
      <c r="N31" s="937"/>
      <c r="O31" s="938"/>
      <c r="P31" s="938"/>
      <c r="Q31" s="938"/>
      <c r="R31" s="939"/>
      <c r="S31" s="940"/>
      <c r="T31" s="940"/>
      <c r="U31" s="1756"/>
      <c r="V31" s="1323"/>
      <c r="W31" s="1323"/>
      <c r="AJ31" s="817" t="s">
        <v>0</v>
      </c>
      <c r="AK31" s="817">
        <v>2014</v>
      </c>
      <c r="AL31" s="874" t="s">
        <v>45</v>
      </c>
      <c r="AM31" s="874"/>
      <c r="AN31" s="1114">
        <v>272089657</v>
      </c>
      <c r="AO31" s="1112">
        <v>7.4999999999999997E-2</v>
      </c>
      <c r="AP31" s="817"/>
      <c r="AQ31" s="817" t="s">
        <v>0</v>
      </c>
      <c r="AR31" s="817" t="s">
        <v>615</v>
      </c>
      <c r="AS31" s="874" t="s">
        <v>45</v>
      </c>
      <c r="AT31" s="874"/>
      <c r="AU31" s="1114">
        <v>435642186</v>
      </c>
      <c r="AV31" s="1113">
        <v>0.10299999999999999</v>
      </c>
      <c r="AW31" s="817">
        <v>2014</v>
      </c>
      <c r="AY31" s="431"/>
    </row>
    <row r="32" spans="1:51" s="86" customFormat="1">
      <c r="A32" s="798">
        <f t="shared" si="0"/>
        <v>1972</v>
      </c>
      <c r="B32" s="798">
        <f t="shared" si="1"/>
        <v>4</v>
      </c>
      <c r="C32" s="1104">
        <v>26634</v>
      </c>
      <c r="D32" s="805"/>
      <c r="E32" s="1102">
        <v>63.91</v>
      </c>
      <c r="F32" s="1102">
        <v>50.125507739999996</v>
      </c>
      <c r="G32" s="1103"/>
      <c r="H32" s="805"/>
      <c r="I32" s="1103"/>
      <c r="J32" s="1103"/>
      <c r="K32" s="84"/>
      <c r="L32" s="84"/>
      <c r="M32" s="84"/>
      <c r="N32" s="805"/>
      <c r="O32" s="941"/>
      <c r="P32" s="941"/>
      <c r="Q32" s="941"/>
      <c r="R32" s="805"/>
      <c r="S32" s="805"/>
      <c r="T32" s="805"/>
      <c r="U32" s="805"/>
      <c r="V32" s="805"/>
      <c r="W32" s="805"/>
      <c r="AJ32" s="817" t="s">
        <v>0</v>
      </c>
      <c r="AK32" s="817">
        <v>2014</v>
      </c>
      <c r="AL32" s="874" t="s">
        <v>452</v>
      </c>
      <c r="AM32" s="874"/>
      <c r="AN32" s="1114">
        <v>3625139945</v>
      </c>
      <c r="AO32" s="1112">
        <v>1</v>
      </c>
      <c r="AP32" s="817"/>
      <c r="AQ32" s="817" t="s">
        <v>0</v>
      </c>
      <c r="AR32" s="817" t="s">
        <v>615</v>
      </c>
      <c r="AS32" s="874" t="s">
        <v>452</v>
      </c>
      <c r="AT32" s="874"/>
      <c r="AU32" s="1114">
        <v>4219165433</v>
      </c>
      <c r="AV32" s="1113"/>
      <c r="AW32" s="817">
        <v>2014</v>
      </c>
      <c r="AY32" s="1395">
        <f>'Alumina - Prices'!A31</f>
        <v>42705</v>
      </c>
    </row>
    <row r="33" spans="1:51" s="86" customFormat="1">
      <c r="A33" s="798">
        <f t="shared" si="0"/>
        <v>1973</v>
      </c>
      <c r="B33" s="798">
        <f t="shared" si="1"/>
        <v>1</v>
      </c>
      <c r="C33" s="1104">
        <v>26665</v>
      </c>
      <c r="D33" s="934"/>
      <c r="E33" s="1100">
        <v>65.14</v>
      </c>
      <c r="F33" s="1100">
        <v>51.09021396</v>
      </c>
      <c r="G33" s="1101"/>
      <c r="H33" s="935"/>
      <c r="I33" s="1101"/>
      <c r="J33" s="1101"/>
      <c r="K33" s="936"/>
      <c r="L33" s="936"/>
      <c r="M33" s="936"/>
      <c r="N33" s="937"/>
      <c r="O33" s="938"/>
      <c r="P33" s="938"/>
      <c r="Q33" s="938"/>
      <c r="R33" s="939"/>
      <c r="S33" s="940"/>
      <c r="T33" s="940"/>
      <c r="U33" s="1756"/>
      <c r="V33" s="1323"/>
      <c r="W33" s="1323"/>
      <c r="AJ33" s="817" t="s">
        <v>0</v>
      </c>
      <c r="AK33" s="817">
        <v>2013</v>
      </c>
      <c r="AL33" s="874" t="s">
        <v>40</v>
      </c>
      <c r="AM33" s="874">
        <v>1</v>
      </c>
      <c r="AN33" s="1114">
        <v>655295504</v>
      </c>
      <c r="AO33" s="1112">
        <v>0.182</v>
      </c>
      <c r="AP33" s="817"/>
      <c r="AQ33" s="817" t="s">
        <v>0</v>
      </c>
      <c r="AR33" s="817" t="s">
        <v>614</v>
      </c>
      <c r="AS33" s="874" t="s">
        <v>40</v>
      </c>
      <c r="AT33" s="874">
        <v>1</v>
      </c>
      <c r="AU33" s="1114">
        <v>620027344</v>
      </c>
      <c r="AV33" s="1113">
        <v>0.183</v>
      </c>
      <c r="AW33" s="817">
        <v>2013</v>
      </c>
      <c r="AY33" s="431"/>
    </row>
    <row r="34" spans="1:51" s="86" customFormat="1">
      <c r="A34" s="798">
        <f t="shared" si="0"/>
        <v>1973</v>
      </c>
      <c r="B34" s="798">
        <f t="shared" si="1"/>
        <v>1</v>
      </c>
      <c r="C34" s="1104">
        <v>26696</v>
      </c>
      <c r="D34" s="805"/>
      <c r="E34" s="1102">
        <v>74.2</v>
      </c>
      <c r="F34" s="1102">
        <v>52.364127200000006</v>
      </c>
      <c r="G34" s="1103"/>
      <c r="H34" s="805"/>
      <c r="I34" s="1103"/>
      <c r="J34" s="1103"/>
      <c r="K34" s="84"/>
      <c r="L34" s="84"/>
      <c r="M34" s="84"/>
      <c r="N34" s="805"/>
      <c r="O34" s="941"/>
      <c r="P34" s="941"/>
      <c r="Q34" s="941"/>
      <c r="R34" s="805"/>
      <c r="S34" s="805"/>
      <c r="T34" s="805"/>
      <c r="U34" s="805"/>
      <c r="V34" s="805"/>
      <c r="W34" s="805"/>
      <c r="AJ34" s="817" t="s">
        <v>0</v>
      </c>
      <c r="AK34" s="817">
        <v>2013</v>
      </c>
      <c r="AL34" s="874" t="s">
        <v>24</v>
      </c>
      <c r="AM34" s="874">
        <v>2</v>
      </c>
      <c r="AN34" s="1114">
        <v>602893544</v>
      </c>
      <c r="AO34" s="1112">
        <v>0.16700000000000001</v>
      </c>
      <c r="AP34" s="817"/>
      <c r="AQ34" s="817" t="s">
        <v>0</v>
      </c>
      <c r="AR34" s="817" t="s">
        <v>614</v>
      </c>
      <c r="AS34" s="874" t="s">
        <v>24</v>
      </c>
      <c r="AT34" s="874">
        <v>2</v>
      </c>
      <c r="AU34" s="1114">
        <v>595991097</v>
      </c>
      <c r="AV34" s="1113">
        <v>0.17599999999999999</v>
      </c>
      <c r="AW34" s="817">
        <v>2013</v>
      </c>
      <c r="AY34" s="431"/>
    </row>
    <row r="35" spans="1:51" s="86" customFormat="1">
      <c r="A35" s="798">
        <f t="shared" si="0"/>
        <v>1973</v>
      </c>
      <c r="B35" s="798">
        <f t="shared" si="1"/>
        <v>1</v>
      </c>
      <c r="C35" s="1104">
        <v>26724</v>
      </c>
      <c r="D35" s="934"/>
      <c r="E35" s="1100">
        <v>84.457954545500002</v>
      </c>
      <c r="F35" s="1100">
        <v>59.603329850032083</v>
      </c>
      <c r="G35" s="1101"/>
      <c r="H35" s="935"/>
      <c r="I35" s="1101"/>
      <c r="J35" s="1101"/>
      <c r="K35" s="936"/>
      <c r="L35" s="936"/>
      <c r="M35" s="936"/>
      <c r="N35" s="937"/>
      <c r="O35" s="938"/>
      <c r="P35" s="938"/>
      <c r="Q35" s="938"/>
      <c r="R35" s="939"/>
      <c r="S35" s="940"/>
      <c r="T35" s="940"/>
      <c r="U35" s="1756"/>
      <c r="V35" s="1323"/>
      <c r="W35" s="1323"/>
      <c r="AJ35" s="817" t="s">
        <v>0</v>
      </c>
      <c r="AK35" s="817">
        <v>2013</v>
      </c>
      <c r="AL35" s="874" t="s">
        <v>23</v>
      </c>
      <c r="AM35" s="874">
        <v>3</v>
      </c>
      <c r="AN35" s="1114">
        <v>438172534</v>
      </c>
      <c r="AO35" s="1112">
        <v>0.122</v>
      </c>
      <c r="AP35" s="817"/>
      <c r="AQ35" s="817" t="s">
        <v>0</v>
      </c>
      <c r="AR35" s="817" t="s">
        <v>614</v>
      </c>
      <c r="AS35" s="874" t="s">
        <v>38</v>
      </c>
      <c r="AT35" s="874">
        <v>3</v>
      </c>
      <c r="AU35" s="1114">
        <v>428744165</v>
      </c>
      <c r="AV35" s="1113">
        <v>0.127</v>
      </c>
      <c r="AW35" s="817">
        <v>2013</v>
      </c>
      <c r="AY35" s="1395">
        <f>'Alumina - Prices'!A34</f>
        <v>42795</v>
      </c>
    </row>
    <row r="36" spans="1:51" s="86" customFormat="1">
      <c r="A36" s="798">
        <f t="shared" si="0"/>
        <v>1973</v>
      </c>
      <c r="B36" s="798">
        <f t="shared" si="1"/>
        <v>2</v>
      </c>
      <c r="C36" s="1104">
        <v>26756</v>
      </c>
      <c r="D36" s="805"/>
      <c r="E36" s="1102">
        <v>90.509210526299995</v>
      </c>
      <c r="F36" s="1102">
        <v>63.873798015778327</v>
      </c>
      <c r="G36" s="1103"/>
      <c r="H36" s="805"/>
      <c r="I36" s="1103"/>
      <c r="J36" s="1103"/>
      <c r="K36" s="84"/>
      <c r="L36" s="84"/>
      <c r="M36" s="84"/>
      <c r="N36" s="805"/>
      <c r="O36" s="941"/>
      <c r="P36" s="941"/>
      <c r="Q36" s="941"/>
      <c r="R36" s="805"/>
      <c r="S36" s="805"/>
      <c r="T36" s="805"/>
      <c r="U36" s="805"/>
      <c r="V36" s="805"/>
      <c r="W36" s="805"/>
      <c r="AJ36" s="817" t="s">
        <v>0</v>
      </c>
      <c r="AK36" s="817">
        <v>2013</v>
      </c>
      <c r="AL36" s="874" t="s">
        <v>38</v>
      </c>
      <c r="AM36" s="874">
        <v>4</v>
      </c>
      <c r="AN36" s="1114">
        <v>431711055</v>
      </c>
      <c r="AO36" s="1112">
        <v>0.12</v>
      </c>
      <c r="AP36" s="817"/>
      <c r="AQ36" s="817" t="s">
        <v>0</v>
      </c>
      <c r="AR36" s="817" t="s">
        <v>614</v>
      </c>
      <c r="AS36" s="874" t="s">
        <v>23</v>
      </c>
      <c r="AT36" s="874">
        <v>4</v>
      </c>
      <c r="AU36" s="1114">
        <v>410494059</v>
      </c>
      <c r="AV36" s="1113">
        <v>0.121</v>
      </c>
      <c r="AW36" s="817">
        <v>2013</v>
      </c>
      <c r="AY36" s="431"/>
    </row>
    <row r="37" spans="1:51" s="86" customFormat="1">
      <c r="A37" s="798">
        <f t="shared" si="0"/>
        <v>1973</v>
      </c>
      <c r="B37" s="798">
        <f t="shared" si="1"/>
        <v>2</v>
      </c>
      <c r="C37" s="1104">
        <v>26785</v>
      </c>
      <c r="D37" s="934"/>
      <c r="E37" s="1100">
        <v>102.5625</v>
      </c>
      <c r="F37" s="1100">
        <v>72.379997250000002</v>
      </c>
      <c r="G37" s="1101"/>
      <c r="H37" s="935"/>
      <c r="I37" s="1101"/>
      <c r="J37" s="1101"/>
      <c r="K37" s="936"/>
      <c r="L37" s="936"/>
      <c r="M37" s="936"/>
      <c r="N37" s="937"/>
      <c r="O37" s="938"/>
      <c r="P37" s="938"/>
      <c r="Q37" s="938"/>
      <c r="R37" s="939"/>
      <c r="S37" s="940"/>
      <c r="T37" s="940"/>
      <c r="U37" s="1756"/>
      <c r="V37" s="1323"/>
      <c r="W37" s="1323"/>
      <c r="AJ37" s="817" t="s">
        <v>0</v>
      </c>
      <c r="AK37" s="817">
        <v>2013</v>
      </c>
      <c r="AL37" s="874" t="s">
        <v>32</v>
      </c>
      <c r="AM37" s="874">
        <v>5</v>
      </c>
      <c r="AN37" s="1114">
        <v>332391283</v>
      </c>
      <c r="AO37" s="1112">
        <v>9.1999999999999998E-2</v>
      </c>
      <c r="AP37" s="817"/>
      <c r="AQ37" s="817" t="s">
        <v>0</v>
      </c>
      <c r="AR37" s="817" t="s">
        <v>614</v>
      </c>
      <c r="AS37" s="874" t="s">
        <v>32</v>
      </c>
      <c r="AT37" s="874">
        <v>5</v>
      </c>
      <c r="AU37" s="1114">
        <v>310453814</v>
      </c>
      <c r="AV37" s="1113">
        <v>9.1999999999999998E-2</v>
      </c>
      <c r="AW37" s="817">
        <v>2013</v>
      </c>
      <c r="AY37" s="431"/>
    </row>
    <row r="38" spans="1:51" s="86" customFormat="1">
      <c r="A38" s="798">
        <f t="shared" si="0"/>
        <v>1973</v>
      </c>
      <c r="B38" s="798">
        <f t="shared" si="1"/>
        <v>2</v>
      </c>
      <c r="C38" s="1104">
        <v>26816</v>
      </c>
      <c r="D38" s="805"/>
      <c r="E38" s="1102">
        <v>120.19642857140001</v>
      </c>
      <c r="F38" s="1102">
        <v>84.824542785694121</v>
      </c>
      <c r="G38" s="1103"/>
      <c r="H38" s="805"/>
      <c r="I38" s="1103"/>
      <c r="J38" s="1103"/>
      <c r="K38" s="84"/>
      <c r="L38" s="84"/>
      <c r="M38" s="84"/>
      <c r="N38" s="805"/>
      <c r="O38" s="941"/>
      <c r="P38" s="941"/>
      <c r="Q38" s="941"/>
      <c r="R38" s="805"/>
      <c r="S38" s="805"/>
      <c r="T38" s="805"/>
      <c r="U38" s="805"/>
      <c r="V38" s="805"/>
      <c r="W38" s="805"/>
      <c r="AJ38" s="817" t="s">
        <v>0</v>
      </c>
      <c r="AK38" s="817">
        <v>2013</v>
      </c>
      <c r="AL38" s="874" t="s">
        <v>27</v>
      </c>
      <c r="AM38" s="874">
        <v>6</v>
      </c>
      <c r="AN38" s="1114">
        <v>321118019</v>
      </c>
      <c r="AO38" s="1112">
        <v>8.8999999999999996E-2</v>
      </c>
      <c r="AP38" s="817"/>
      <c r="AQ38" s="817" t="s">
        <v>0</v>
      </c>
      <c r="AR38" s="817" t="s">
        <v>614</v>
      </c>
      <c r="AS38" s="874" t="s">
        <v>37</v>
      </c>
      <c r="AT38" s="874">
        <v>6</v>
      </c>
      <c r="AU38" s="1114">
        <v>217829272</v>
      </c>
      <c r="AV38" s="1113">
        <v>6.4000000000000001E-2</v>
      </c>
      <c r="AW38" s="817">
        <v>2013</v>
      </c>
      <c r="AY38" s="1395">
        <f>'Alumina - Prices'!A37</f>
        <v>42887</v>
      </c>
    </row>
    <row r="39" spans="1:51" s="86" customFormat="1">
      <c r="A39" s="798">
        <f t="shared" si="0"/>
        <v>1973</v>
      </c>
      <c r="B39" s="798">
        <f t="shared" si="1"/>
        <v>3</v>
      </c>
      <c r="C39" s="1104">
        <v>26847</v>
      </c>
      <c r="D39" s="934"/>
      <c r="E39" s="1100">
        <v>119.9238095238</v>
      </c>
      <c r="F39" s="1100">
        <v>84.632151161898051</v>
      </c>
      <c r="G39" s="1101"/>
      <c r="H39" s="935"/>
      <c r="I39" s="1101"/>
      <c r="J39" s="1101"/>
      <c r="K39" s="936"/>
      <c r="L39" s="936"/>
      <c r="M39" s="936"/>
      <c r="N39" s="937"/>
      <c r="O39" s="938"/>
      <c r="P39" s="938"/>
      <c r="Q39" s="938"/>
      <c r="R39" s="939"/>
      <c r="S39" s="940"/>
      <c r="T39" s="940"/>
      <c r="U39" s="1756"/>
      <c r="V39" s="1323"/>
      <c r="W39" s="1323"/>
      <c r="AJ39" s="817" t="s">
        <v>0</v>
      </c>
      <c r="AK39" s="817">
        <v>2013</v>
      </c>
      <c r="AL39" s="874" t="s">
        <v>41</v>
      </c>
      <c r="AM39" s="874">
        <v>7</v>
      </c>
      <c r="AN39" s="1114">
        <v>180640631</v>
      </c>
      <c r="AO39" s="1112">
        <v>0.05</v>
      </c>
      <c r="AP39" s="817"/>
      <c r="AQ39" s="817" t="s">
        <v>0</v>
      </c>
      <c r="AR39" s="817" t="s">
        <v>614</v>
      </c>
      <c r="AS39" s="874" t="s">
        <v>41</v>
      </c>
      <c r="AT39" s="874">
        <v>7</v>
      </c>
      <c r="AU39" s="1114">
        <v>185122554</v>
      </c>
      <c r="AV39" s="1113">
        <v>5.5E-2</v>
      </c>
      <c r="AW39" s="817">
        <v>2013</v>
      </c>
      <c r="AY39" s="431"/>
    </row>
    <row r="40" spans="1:51" s="86" customFormat="1">
      <c r="A40" s="798">
        <f t="shared" si="0"/>
        <v>1973</v>
      </c>
      <c r="B40" s="798">
        <f t="shared" si="1"/>
        <v>3</v>
      </c>
      <c r="C40" s="1104">
        <v>26877</v>
      </c>
      <c r="D40" s="805"/>
      <c r="E40" s="1102">
        <v>106.5833333333</v>
      </c>
      <c r="F40" s="1102">
        <v>75.217563666643144</v>
      </c>
      <c r="G40" s="1103"/>
      <c r="H40" s="805"/>
      <c r="I40" s="1103"/>
      <c r="J40" s="1103"/>
      <c r="K40" s="84"/>
      <c r="L40" s="84"/>
      <c r="M40" s="84"/>
      <c r="N40" s="805"/>
      <c r="O40" s="941"/>
      <c r="P40" s="941"/>
      <c r="Q40" s="941"/>
      <c r="R40" s="805"/>
      <c r="S40" s="805"/>
      <c r="T40" s="805"/>
      <c r="U40" s="805"/>
      <c r="V40" s="805"/>
      <c r="W40" s="805"/>
      <c r="AJ40" s="817" t="s">
        <v>0</v>
      </c>
      <c r="AK40" s="817">
        <v>2013</v>
      </c>
      <c r="AL40" s="874" t="s">
        <v>35</v>
      </c>
      <c r="AM40" s="874">
        <v>8</v>
      </c>
      <c r="AN40" s="1114">
        <v>137961914</v>
      </c>
      <c r="AO40" s="1112">
        <v>3.7999999999999999E-2</v>
      </c>
      <c r="AP40" s="817"/>
      <c r="AQ40" s="817" t="s">
        <v>0</v>
      </c>
      <c r="AR40" s="817" t="s">
        <v>614</v>
      </c>
      <c r="AS40" s="874" t="s">
        <v>27</v>
      </c>
      <c r="AT40" s="874">
        <v>8</v>
      </c>
      <c r="AU40" s="1114">
        <v>160918742</v>
      </c>
      <c r="AV40" s="1113">
        <v>4.8000000000000001E-2</v>
      </c>
      <c r="AW40" s="817">
        <v>2013</v>
      </c>
      <c r="AY40" s="431"/>
    </row>
    <row r="41" spans="1:51" s="86" customFormat="1">
      <c r="A41" s="798">
        <f t="shared" si="0"/>
        <v>1973</v>
      </c>
      <c r="B41" s="798">
        <f t="shared" si="1"/>
        <v>3</v>
      </c>
      <c r="C41" s="1104">
        <v>26910</v>
      </c>
      <c r="D41" s="934"/>
      <c r="E41" s="1100">
        <v>102.66973684209999</v>
      </c>
      <c r="F41" s="1100">
        <v>68.905869853943827</v>
      </c>
      <c r="G41" s="1101"/>
      <c r="H41" s="935"/>
      <c r="I41" s="1101"/>
      <c r="J41" s="1101"/>
      <c r="K41" s="936"/>
      <c r="L41" s="936"/>
      <c r="M41" s="936"/>
      <c r="N41" s="937"/>
      <c r="O41" s="938"/>
      <c r="P41" s="938"/>
      <c r="Q41" s="938"/>
      <c r="R41" s="939"/>
      <c r="S41" s="940"/>
      <c r="T41" s="940"/>
      <c r="U41" s="1756"/>
      <c r="V41" s="1323"/>
      <c r="W41" s="1323"/>
      <c r="AJ41" s="817" t="s">
        <v>0</v>
      </c>
      <c r="AK41" s="817">
        <v>2013</v>
      </c>
      <c r="AL41" s="874" t="s">
        <v>37</v>
      </c>
      <c r="AM41" s="874">
        <v>9</v>
      </c>
      <c r="AN41" s="1114">
        <v>131612007</v>
      </c>
      <c r="AO41" s="1112">
        <v>3.6999999999999998E-2</v>
      </c>
      <c r="AP41" s="817"/>
      <c r="AQ41" s="817" t="s">
        <v>0</v>
      </c>
      <c r="AR41" s="817" t="s">
        <v>614</v>
      </c>
      <c r="AS41" s="874" t="s">
        <v>35</v>
      </c>
      <c r="AT41" s="874">
        <v>9</v>
      </c>
      <c r="AU41" s="1114">
        <v>149866353</v>
      </c>
      <c r="AV41" s="1113">
        <v>4.3999999999999997E-2</v>
      </c>
      <c r="AW41" s="817">
        <v>2013</v>
      </c>
      <c r="AY41" s="1395">
        <f>'Alumina - Prices'!A40</f>
        <v>42979</v>
      </c>
    </row>
    <row r="42" spans="1:51" s="86" customFormat="1">
      <c r="A42" s="798">
        <f t="shared" si="0"/>
        <v>1973</v>
      </c>
      <c r="B42" s="798">
        <f t="shared" si="1"/>
        <v>4</v>
      </c>
      <c r="C42" s="1104">
        <v>26938</v>
      </c>
      <c r="D42" s="805"/>
      <c r="E42" s="1102">
        <v>100.08369565220001</v>
      </c>
      <c r="F42" s="1102">
        <v>67.260547077191447</v>
      </c>
      <c r="G42" s="1103"/>
      <c r="H42" s="805"/>
      <c r="I42" s="1103"/>
      <c r="J42" s="1103"/>
      <c r="K42" s="84"/>
      <c r="L42" s="84"/>
      <c r="M42" s="84"/>
      <c r="N42" s="805"/>
      <c r="O42" s="941"/>
      <c r="P42" s="941"/>
      <c r="Q42" s="941"/>
      <c r="R42" s="805"/>
      <c r="S42" s="805"/>
      <c r="T42" s="805"/>
      <c r="U42" s="805"/>
      <c r="V42" s="805"/>
      <c r="W42" s="805"/>
      <c r="AJ42" s="817" t="s">
        <v>0</v>
      </c>
      <c r="AK42" s="817">
        <v>2013</v>
      </c>
      <c r="AL42" s="874" t="s">
        <v>28</v>
      </c>
      <c r="AM42" s="874">
        <v>10</v>
      </c>
      <c r="AN42" s="1114">
        <v>93354264</v>
      </c>
      <c r="AO42" s="1112">
        <v>2.5999999999999999E-2</v>
      </c>
      <c r="AP42" s="817"/>
      <c r="AQ42" s="817" t="s">
        <v>0</v>
      </c>
      <c r="AR42" s="817" t="s">
        <v>614</v>
      </c>
      <c r="AS42" s="874" t="s">
        <v>31</v>
      </c>
      <c r="AT42" s="874">
        <v>10</v>
      </c>
      <c r="AU42" s="1114">
        <v>94107146</v>
      </c>
      <c r="AV42" s="1113">
        <v>2.8000000000000001E-2</v>
      </c>
      <c r="AW42" s="817">
        <v>2013</v>
      </c>
      <c r="AY42" s="431"/>
    </row>
    <row r="43" spans="1:51" s="86" customFormat="1">
      <c r="A43" s="798">
        <f t="shared" si="0"/>
        <v>1973</v>
      </c>
      <c r="B43" s="798">
        <f t="shared" si="1"/>
        <v>4</v>
      </c>
      <c r="C43" s="1104">
        <v>26969</v>
      </c>
      <c r="D43" s="934"/>
      <c r="E43" s="1100">
        <v>95.222619047600006</v>
      </c>
      <c r="F43" s="1100">
        <v>63.907803770225314</v>
      </c>
      <c r="G43" s="1101"/>
      <c r="H43" s="935"/>
      <c r="I43" s="1101"/>
      <c r="J43" s="1101"/>
      <c r="K43" s="936"/>
      <c r="L43" s="936"/>
      <c r="M43" s="936"/>
      <c r="N43" s="937"/>
      <c r="O43" s="938"/>
      <c r="P43" s="938"/>
      <c r="Q43" s="938"/>
      <c r="R43" s="939"/>
      <c r="S43" s="940"/>
      <c r="T43" s="940"/>
      <c r="U43" s="1756"/>
      <c r="V43" s="1323"/>
      <c r="W43" s="1323"/>
      <c r="AJ43" s="817" t="s">
        <v>0</v>
      </c>
      <c r="AK43" s="817">
        <v>2013</v>
      </c>
      <c r="AL43" s="874" t="s">
        <v>45</v>
      </c>
      <c r="AM43" s="874"/>
      <c r="AN43" s="1114">
        <v>274492227</v>
      </c>
      <c r="AO43" s="1112">
        <v>7.5999999999999998E-2</v>
      </c>
      <c r="AP43" s="817"/>
      <c r="AQ43" s="817" t="s">
        <v>0</v>
      </c>
      <c r="AR43" s="817" t="s">
        <v>614</v>
      </c>
      <c r="AS43" s="874" t="s">
        <v>45</v>
      </c>
      <c r="AT43" s="874"/>
      <c r="AU43" s="1114">
        <v>213809811</v>
      </c>
      <c r="AV43" s="1113">
        <v>6.3E-2</v>
      </c>
      <c r="AW43" s="817">
        <v>2013</v>
      </c>
      <c r="AY43" s="431"/>
    </row>
    <row r="44" spans="1:51" s="86" customFormat="1">
      <c r="A44" s="798">
        <f t="shared" si="0"/>
        <v>1973</v>
      </c>
      <c r="B44" s="798">
        <f t="shared" si="1"/>
        <v>4</v>
      </c>
      <c r="C44" s="1104">
        <v>27001</v>
      </c>
      <c r="D44" s="805"/>
      <c r="E44" s="1102">
        <v>106.7470588235</v>
      </c>
      <c r="F44" s="1102">
        <v>71.738613652921401</v>
      </c>
      <c r="G44" s="1103"/>
      <c r="H44" s="805"/>
      <c r="I44" s="1103"/>
      <c r="J44" s="1103"/>
      <c r="K44" s="84"/>
      <c r="L44" s="84"/>
      <c r="M44" s="84"/>
      <c r="N44" s="805"/>
      <c r="O44" s="941"/>
      <c r="P44" s="941"/>
      <c r="Q44" s="941"/>
      <c r="R44" s="805"/>
      <c r="S44" s="805"/>
      <c r="T44" s="805"/>
      <c r="U44" s="805"/>
      <c r="V44" s="805"/>
      <c r="W44" s="805"/>
      <c r="AJ44" s="817" t="s">
        <v>0</v>
      </c>
      <c r="AK44" s="817">
        <v>2013</v>
      </c>
      <c r="AL44" s="874" t="s">
        <v>452</v>
      </c>
      <c r="AM44" s="874"/>
      <c r="AN44" s="1114">
        <v>3599642983</v>
      </c>
      <c r="AO44" s="1112">
        <v>1</v>
      </c>
      <c r="AP44" s="817"/>
      <c r="AQ44" s="817" t="s">
        <v>0</v>
      </c>
      <c r="AR44" s="817" t="s">
        <v>614</v>
      </c>
      <c r="AS44" s="874" t="s">
        <v>452</v>
      </c>
      <c r="AT44" s="874"/>
      <c r="AU44" s="1114">
        <v>3387364358</v>
      </c>
      <c r="AV44" s="1203">
        <v>1</v>
      </c>
      <c r="AW44" s="817">
        <v>2013</v>
      </c>
      <c r="AY44" s="1395">
        <f>'Alumina - Prices'!A43</f>
        <v>43070</v>
      </c>
    </row>
    <row r="45" spans="1:51" s="86" customFormat="1">
      <c r="A45" s="798">
        <f t="shared" si="0"/>
        <v>1974</v>
      </c>
      <c r="B45" s="798">
        <f t="shared" si="1"/>
        <v>1</v>
      </c>
      <c r="C45" s="1104">
        <v>27030</v>
      </c>
      <c r="D45" s="934"/>
      <c r="E45" s="1100">
        <v>129.5090909091</v>
      </c>
      <c r="F45" s="1100">
        <v>87.035677981824279</v>
      </c>
      <c r="G45" s="1101"/>
      <c r="H45" s="935"/>
      <c r="I45" s="1101"/>
      <c r="J45" s="1101"/>
      <c r="K45" s="936"/>
      <c r="L45" s="936"/>
      <c r="M45" s="936"/>
      <c r="N45" s="937"/>
      <c r="O45" s="938"/>
      <c r="P45" s="938"/>
      <c r="Q45" s="938"/>
      <c r="R45" s="939"/>
      <c r="S45" s="940"/>
      <c r="T45" s="940"/>
      <c r="U45" s="1756"/>
      <c r="V45" s="1323"/>
      <c r="W45" s="1323"/>
      <c r="AJ45" s="817" t="s">
        <v>0</v>
      </c>
      <c r="AK45" s="874">
        <v>2012</v>
      </c>
      <c r="AL45" s="874" t="s">
        <v>24</v>
      </c>
      <c r="AM45" s="874">
        <v>1</v>
      </c>
      <c r="AN45" s="1114">
        <v>772399703</v>
      </c>
      <c r="AO45" s="1112">
        <v>0.26300000000000001</v>
      </c>
      <c r="AP45" s="817"/>
      <c r="AQ45" s="817" t="s">
        <v>0</v>
      </c>
      <c r="AR45" s="817" t="s">
        <v>613</v>
      </c>
      <c r="AS45" s="874" t="s">
        <v>24</v>
      </c>
      <c r="AT45" s="874">
        <v>1</v>
      </c>
      <c r="AU45" s="1114">
        <v>619278559</v>
      </c>
      <c r="AV45" s="1113">
        <v>0.187</v>
      </c>
      <c r="AW45" s="817">
        <v>2012</v>
      </c>
      <c r="AY45" s="431"/>
    </row>
    <row r="46" spans="1:51" s="86" customFormat="1">
      <c r="A46" s="798">
        <f t="shared" si="0"/>
        <v>1974</v>
      </c>
      <c r="B46" s="798">
        <f t="shared" si="1"/>
        <v>1</v>
      </c>
      <c r="C46" s="1104">
        <v>27061</v>
      </c>
      <c r="D46" s="805"/>
      <c r="E46" s="1102">
        <v>151.21842105260001</v>
      </c>
      <c r="F46" s="1102">
        <v>101.62528133945246</v>
      </c>
      <c r="G46" s="1103"/>
      <c r="H46" s="805"/>
      <c r="I46" s="1103"/>
      <c r="J46" s="1103"/>
      <c r="K46" s="84"/>
      <c r="L46" s="84"/>
      <c r="M46" s="84"/>
      <c r="N46" s="805"/>
      <c r="O46" s="941"/>
      <c r="P46" s="941"/>
      <c r="Q46" s="941"/>
      <c r="R46" s="805"/>
      <c r="S46" s="805"/>
      <c r="T46" s="805"/>
      <c r="U46" s="805"/>
      <c r="V46" s="805"/>
      <c r="W46" s="805"/>
      <c r="AJ46" s="817" t="s">
        <v>0</v>
      </c>
      <c r="AK46" s="874">
        <v>2012</v>
      </c>
      <c r="AL46" s="874" t="s">
        <v>40</v>
      </c>
      <c r="AM46" s="874">
        <v>2</v>
      </c>
      <c r="AN46" s="1114">
        <v>471103226</v>
      </c>
      <c r="AO46" s="1112">
        <v>0.161</v>
      </c>
      <c r="AP46" s="817"/>
      <c r="AQ46" s="817" t="s">
        <v>0</v>
      </c>
      <c r="AR46" s="817" t="s">
        <v>613</v>
      </c>
      <c r="AS46" s="874" t="s">
        <v>40</v>
      </c>
      <c r="AT46" s="874">
        <v>2</v>
      </c>
      <c r="AU46" s="1114">
        <v>547054759</v>
      </c>
      <c r="AV46" s="1113">
        <v>0.16500000000000001</v>
      </c>
      <c r="AW46" s="817">
        <v>2012</v>
      </c>
      <c r="AY46" s="431"/>
    </row>
    <row r="47" spans="1:51" s="86" customFormat="1">
      <c r="A47" s="798">
        <f t="shared" si="0"/>
        <v>1974</v>
      </c>
      <c r="B47" s="798">
        <f t="shared" si="1"/>
        <v>1</v>
      </c>
      <c r="C47" s="1104">
        <v>27089</v>
      </c>
      <c r="D47" s="934"/>
      <c r="E47" s="1100">
        <v>168.57857142859999</v>
      </c>
      <c r="F47" s="1100">
        <v>113.29204887859061</v>
      </c>
      <c r="G47" s="1101"/>
      <c r="H47" s="935"/>
      <c r="I47" s="1101"/>
      <c r="J47" s="1101"/>
      <c r="K47" s="936"/>
      <c r="L47" s="936"/>
      <c r="M47" s="936"/>
      <c r="N47" s="937"/>
      <c r="O47" s="938"/>
      <c r="P47" s="938"/>
      <c r="Q47" s="938"/>
      <c r="R47" s="939"/>
      <c r="S47" s="940"/>
      <c r="T47" s="940"/>
      <c r="U47" s="1756"/>
      <c r="V47" s="1323"/>
      <c r="W47" s="1323"/>
      <c r="AJ47" s="817" t="s">
        <v>0</v>
      </c>
      <c r="AK47" s="874">
        <v>2012</v>
      </c>
      <c r="AL47" s="874" t="s">
        <v>38</v>
      </c>
      <c r="AM47" s="874">
        <v>3</v>
      </c>
      <c r="AN47" s="1114">
        <v>351151151</v>
      </c>
      <c r="AO47" s="1112">
        <v>0.12</v>
      </c>
      <c r="AP47" s="817"/>
      <c r="AQ47" s="817" t="s">
        <v>0</v>
      </c>
      <c r="AR47" s="817" t="s">
        <v>613</v>
      </c>
      <c r="AS47" s="874" t="s">
        <v>38</v>
      </c>
      <c r="AT47" s="874">
        <v>3</v>
      </c>
      <c r="AU47" s="1114">
        <v>371607646</v>
      </c>
      <c r="AV47" s="1113">
        <v>0.112</v>
      </c>
      <c r="AW47" s="817">
        <v>2012</v>
      </c>
      <c r="AY47" s="1395">
        <f>'Alumina - Prices'!A46</f>
        <v>43160</v>
      </c>
    </row>
    <row r="48" spans="1:51" s="86" customFormat="1">
      <c r="A48" s="798">
        <f t="shared" si="0"/>
        <v>1974</v>
      </c>
      <c r="B48" s="798">
        <f t="shared" si="1"/>
        <v>2</v>
      </c>
      <c r="C48" s="1104">
        <v>27120</v>
      </c>
      <c r="D48" s="805"/>
      <c r="E48" s="1102">
        <v>172.12</v>
      </c>
      <c r="F48" s="1102">
        <v>115.67204115999999</v>
      </c>
      <c r="G48" s="1103"/>
      <c r="H48" s="805"/>
      <c r="I48" s="1103"/>
      <c r="J48" s="1103"/>
      <c r="K48" s="84"/>
      <c r="L48" s="84"/>
      <c r="M48" s="84"/>
      <c r="N48" s="805"/>
      <c r="O48" s="941"/>
      <c r="P48" s="941"/>
      <c r="Q48" s="941"/>
      <c r="R48" s="805"/>
      <c r="S48" s="805"/>
      <c r="T48" s="805"/>
      <c r="U48" s="805"/>
      <c r="V48" s="805"/>
      <c r="W48" s="805"/>
      <c r="AJ48" s="817" t="s">
        <v>0</v>
      </c>
      <c r="AK48" s="874">
        <v>2012</v>
      </c>
      <c r="AL48" s="874" t="s">
        <v>32</v>
      </c>
      <c r="AM48" s="874">
        <v>4</v>
      </c>
      <c r="AN48" s="1114">
        <v>260648271</v>
      </c>
      <c r="AO48" s="1112">
        <v>8.8999999999999996E-2</v>
      </c>
      <c r="AP48" s="817"/>
      <c r="AQ48" s="817" t="s">
        <v>0</v>
      </c>
      <c r="AR48" s="817" t="s">
        <v>613</v>
      </c>
      <c r="AS48" s="874" t="s">
        <v>27</v>
      </c>
      <c r="AT48" s="874">
        <v>4</v>
      </c>
      <c r="AU48" s="1114">
        <v>317770877</v>
      </c>
      <c r="AV48" s="1113">
        <v>9.6000000000000002E-2</v>
      </c>
      <c r="AW48" s="817">
        <v>2012</v>
      </c>
      <c r="AY48" s="431"/>
    </row>
    <row r="49" spans="1:51" s="86" customFormat="1">
      <c r="A49" s="798">
        <f t="shared" si="0"/>
        <v>1974</v>
      </c>
      <c r="B49" s="798">
        <f t="shared" si="1"/>
        <v>2</v>
      </c>
      <c r="C49" s="1104">
        <v>27150</v>
      </c>
      <c r="D49" s="934"/>
      <c r="E49" s="1100">
        <v>162.94999999999999</v>
      </c>
      <c r="F49" s="1100">
        <v>109.50940684999999</v>
      </c>
      <c r="G49" s="1101"/>
      <c r="H49" s="935"/>
      <c r="I49" s="1101"/>
      <c r="J49" s="1101"/>
      <c r="K49" s="936"/>
      <c r="L49" s="936"/>
      <c r="M49" s="936"/>
      <c r="N49" s="937"/>
      <c r="O49" s="938"/>
      <c r="P49" s="938"/>
      <c r="Q49" s="938"/>
      <c r="R49" s="939"/>
      <c r="S49" s="940"/>
      <c r="T49" s="940"/>
      <c r="U49" s="1756"/>
      <c r="V49" s="1323"/>
      <c r="W49" s="1323"/>
      <c r="AJ49" s="817" t="s">
        <v>0</v>
      </c>
      <c r="AK49" s="874">
        <v>2012</v>
      </c>
      <c r="AL49" s="874" t="s">
        <v>27</v>
      </c>
      <c r="AM49" s="874">
        <v>5</v>
      </c>
      <c r="AN49" s="1114">
        <v>196396052</v>
      </c>
      <c r="AO49" s="1112">
        <v>6.7000000000000004E-2</v>
      </c>
      <c r="AP49" s="817"/>
      <c r="AQ49" s="817" t="s">
        <v>0</v>
      </c>
      <c r="AR49" s="817" t="s">
        <v>613</v>
      </c>
      <c r="AS49" s="874" t="s">
        <v>32</v>
      </c>
      <c r="AT49" s="874">
        <v>5</v>
      </c>
      <c r="AU49" s="1114">
        <v>307159190</v>
      </c>
      <c r="AV49" s="1113">
        <v>9.2999999999999999E-2</v>
      </c>
      <c r="AW49" s="817">
        <v>2012</v>
      </c>
      <c r="AY49" s="431"/>
    </row>
    <row r="50" spans="1:51" s="86" customFormat="1">
      <c r="A50" s="798">
        <f t="shared" si="0"/>
        <v>1974</v>
      </c>
      <c r="B50" s="798">
        <f t="shared" si="1"/>
        <v>2</v>
      </c>
      <c r="C50" s="1104">
        <v>27183</v>
      </c>
      <c r="D50" s="805"/>
      <c r="E50" s="1102">
        <v>153.78749999999999</v>
      </c>
      <c r="F50" s="1102">
        <v>103.35181286249998</v>
      </c>
      <c r="G50" s="1103"/>
      <c r="H50" s="805"/>
      <c r="I50" s="1103"/>
      <c r="J50" s="1103"/>
      <c r="K50" s="84"/>
      <c r="L50" s="84"/>
      <c r="M50" s="84"/>
      <c r="N50" s="805"/>
      <c r="O50" s="941"/>
      <c r="P50" s="941"/>
      <c r="Q50" s="941"/>
      <c r="R50" s="805"/>
      <c r="S50" s="805"/>
      <c r="T50" s="805"/>
      <c r="U50" s="805"/>
      <c r="V50" s="805"/>
      <c r="W50" s="805"/>
      <c r="AJ50" s="817" t="s">
        <v>0</v>
      </c>
      <c r="AK50" s="874">
        <v>2012</v>
      </c>
      <c r="AL50" s="874" t="s">
        <v>23</v>
      </c>
      <c r="AM50" s="874">
        <v>6</v>
      </c>
      <c r="AN50" s="1114">
        <v>173942235</v>
      </c>
      <c r="AO50" s="1112">
        <v>5.8999999999999997E-2</v>
      </c>
      <c r="AP50" s="817"/>
      <c r="AQ50" s="817" t="s">
        <v>0</v>
      </c>
      <c r="AR50" s="817" t="s">
        <v>613</v>
      </c>
      <c r="AS50" s="874" t="s">
        <v>23</v>
      </c>
      <c r="AT50" s="874">
        <v>6</v>
      </c>
      <c r="AU50" s="1114">
        <v>253345599</v>
      </c>
      <c r="AV50" s="1113">
        <v>7.6999999999999999E-2</v>
      </c>
      <c r="AW50" s="817">
        <v>2012</v>
      </c>
      <c r="AY50" s="1395">
        <f>'Alumina - Prices'!A49</f>
        <v>43252</v>
      </c>
    </row>
    <row r="51" spans="1:51" s="86" customFormat="1">
      <c r="A51" s="798">
        <f t="shared" si="0"/>
        <v>1974</v>
      </c>
      <c r="B51" s="798">
        <f t="shared" si="1"/>
        <v>3</v>
      </c>
      <c r="C51" s="1104">
        <v>27211</v>
      </c>
      <c r="D51" s="934"/>
      <c r="E51" s="1100">
        <v>143.9863636364</v>
      </c>
      <c r="F51" s="1100">
        <v>96.765027777297163</v>
      </c>
      <c r="G51" s="1101"/>
      <c r="H51" s="935"/>
      <c r="I51" s="1101"/>
      <c r="J51" s="1101"/>
      <c r="K51" s="936"/>
      <c r="L51" s="936"/>
      <c r="M51" s="936"/>
      <c r="N51" s="937"/>
      <c r="O51" s="938"/>
      <c r="P51" s="938"/>
      <c r="Q51" s="938"/>
      <c r="R51" s="939"/>
      <c r="S51" s="940"/>
      <c r="T51" s="940"/>
      <c r="U51" s="1756"/>
      <c r="V51" s="1323"/>
      <c r="W51" s="1323"/>
      <c r="AJ51" s="817" t="s">
        <v>0</v>
      </c>
      <c r="AK51" s="874">
        <v>2012</v>
      </c>
      <c r="AL51" s="874" t="s">
        <v>41</v>
      </c>
      <c r="AM51" s="874">
        <v>7</v>
      </c>
      <c r="AN51" s="1114">
        <v>154103253</v>
      </c>
      <c r="AO51" s="1112">
        <v>5.2999999999999999E-2</v>
      </c>
      <c r="AP51" s="817"/>
      <c r="AQ51" s="817" t="s">
        <v>0</v>
      </c>
      <c r="AR51" s="817" t="s">
        <v>613</v>
      </c>
      <c r="AS51" s="874" t="s">
        <v>41</v>
      </c>
      <c r="AT51" s="874">
        <v>7</v>
      </c>
      <c r="AU51" s="1114">
        <v>171570000</v>
      </c>
      <c r="AV51" s="1113">
        <v>5.1999999999999998E-2</v>
      </c>
      <c r="AW51" s="817">
        <v>2012</v>
      </c>
      <c r="AY51" s="431"/>
    </row>
    <row r="52" spans="1:51" s="86" customFormat="1">
      <c r="A52" s="798">
        <f t="shared" si="0"/>
        <v>1974</v>
      </c>
      <c r="B52" s="798">
        <f t="shared" si="1"/>
        <v>3</v>
      </c>
      <c r="C52" s="1104">
        <v>27242</v>
      </c>
      <c r="D52" s="805"/>
      <c r="E52" s="1102">
        <v>154.48500000000001</v>
      </c>
      <c r="F52" s="1102">
        <v>103.82056285500001</v>
      </c>
      <c r="G52" s="1103"/>
      <c r="H52" s="805"/>
      <c r="I52" s="1103"/>
      <c r="J52" s="1103"/>
      <c r="K52" s="84"/>
      <c r="L52" s="84"/>
      <c r="M52" s="84"/>
      <c r="N52" s="805"/>
      <c r="O52" s="941"/>
      <c r="P52" s="941"/>
      <c r="Q52" s="941"/>
      <c r="R52" s="805"/>
      <c r="S52" s="805"/>
      <c r="T52" s="805"/>
      <c r="U52" s="805"/>
      <c r="V52" s="805"/>
      <c r="W52" s="805"/>
      <c r="AJ52" s="817" t="s">
        <v>0</v>
      </c>
      <c r="AK52" s="874">
        <v>2012</v>
      </c>
      <c r="AL52" s="874" t="s">
        <v>22</v>
      </c>
      <c r="AM52" s="874">
        <v>8</v>
      </c>
      <c r="AN52" s="1114">
        <v>117247314</v>
      </c>
      <c r="AO52" s="1112">
        <v>0.04</v>
      </c>
      <c r="AP52" s="817"/>
      <c r="AQ52" s="817" t="s">
        <v>0</v>
      </c>
      <c r="AR52" s="817" t="s">
        <v>613</v>
      </c>
      <c r="AS52" s="874" t="s">
        <v>35</v>
      </c>
      <c r="AT52" s="874">
        <v>8</v>
      </c>
      <c r="AU52" s="1114">
        <v>136874866</v>
      </c>
      <c r="AV52" s="1113">
        <v>4.1000000000000002E-2</v>
      </c>
      <c r="AW52" s="817">
        <v>2012</v>
      </c>
      <c r="AY52" s="431"/>
    </row>
    <row r="53" spans="1:51" s="86" customFormat="1">
      <c r="A53" s="798">
        <f t="shared" si="0"/>
        <v>1974</v>
      </c>
      <c r="B53" s="798">
        <f t="shared" si="1"/>
        <v>3</v>
      </c>
      <c r="C53" s="1104">
        <v>27274</v>
      </c>
      <c r="D53" s="934"/>
      <c r="E53" s="1100">
        <v>151.41999999999999</v>
      </c>
      <c r="F53" s="1100">
        <v>115.58781977999999</v>
      </c>
      <c r="G53" s="1101"/>
      <c r="H53" s="935"/>
      <c r="I53" s="1101"/>
      <c r="J53" s="1101"/>
      <c r="K53" s="936"/>
      <c r="L53" s="936"/>
      <c r="M53" s="936"/>
      <c r="N53" s="937"/>
      <c r="O53" s="938"/>
      <c r="P53" s="938"/>
      <c r="Q53" s="938"/>
      <c r="R53" s="939"/>
      <c r="S53" s="940"/>
      <c r="T53" s="940"/>
      <c r="U53" s="1756"/>
      <c r="V53" s="1323"/>
      <c r="W53" s="1323"/>
      <c r="AJ53" s="817" t="s">
        <v>0</v>
      </c>
      <c r="AK53" s="874">
        <v>2012</v>
      </c>
      <c r="AL53" s="874" t="s">
        <v>28</v>
      </c>
      <c r="AM53" s="874">
        <v>9</v>
      </c>
      <c r="AN53" s="1114">
        <v>112474135</v>
      </c>
      <c r="AO53" s="1112">
        <v>3.7999999999999999E-2</v>
      </c>
      <c r="AP53" s="817"/>
      <c r="AQ53" s="817" t="s">
        <v>0</v>
      </c>
      <c r="AR53" s="817" t="s">
        <v>613</v>
      </c>
      <c r="AS53" s="874" t="s">
        <v>37</v>
      </c>
      <c r="AT53" s="874">
        <v>9</v>
      </c>
      <c r="AU53" s="1114">
        <v>100217651</v>
      </c>
      <c r="AV53" s="1113">
        <v>0.03</v>
      </c>
      <c r="AW53" s="817">
        <v>2012</v>
      </c>
      <c r="AY53" s="1395">
        <f>'Alumina - Prices'!A52</f>
        <v>43344</v>
      </c>
    </row>
    <row r="54" spans="1:51" s="86" customFormat="1">
      <c r="A54" s="798">
        <f t="shared" si="0"/>
        <v>1974</v>
      </c>
      <c r="B54" s="798">
        <f t="shared" si="1"/>
        <v>4</v>
      </c>
      <c r="C54" s="1104">
        <v>27303</v>
      </c>
      <c r="D54" s="805"/>
      <c r="E54" s="1102">
        <v>158.98478260869999</v>
      </c>
      <c r="F54" s="1102">
        <v>121.36246466739462</v>
      </c>
      <c r="G54" s="1103"/>
      <c r="H54" s="805"/>
      <c r="I54" s="1103"/>
      <c r="J54" s="1103"/>
      <c r="K54" s="84"/>
      <c r="L54" s="84"/>
      <c r="M54" s="84"/>
      <c r="N54" s="805"/>
      <c r="O54" s="941"/>
      <c r="P54" s="941"/>
      <c r="Q54" s="941"/>
      <c r="R54" s="805"/>
      <c r="S54" s="805"/>
      <c r="T54" s="805"/>
      <c r="U54" s="805"/>
      <c r="V54" s="805"/>
      <c r="W54" s="805"/>
      <c r="AJ54" s="817" t="s">
        <v>0</v>
      </c>
      <c r="AK54" s="874">
        <v>2012</v>
      </c>
      <c r="AL54" s="874" t="s">
        <v>35</v>
      </c>
      <c r="AM54" s="874">
        <v>10</v>
      </c>
      <c r="AN54" s="1114">
        <v>103592536</v>
      </c>
      <c r="AO54" s="1112">
        <v>3.5000000000000003E-2</v>
      </c>
      <c r="AP54" s="817"/>
      <c r="AQ54" s="817" t="s">
        <v>0</v>
      </c>
      <c r="AR54" s="817" t="s">
        <v>613</v>
      </c>
      <c r="AS54" s="874" t="s">
        <v>28</v>
      </c>
      <c r="AT54" s="874">
        <v>10</v>
      </c>
      <c r="AU54" s="1114">
        <v>98946031</v>
      </c>
      <c r="AV54" s="1113">
        <v>0.03</v>
      </c>
      <c r="AW54" s="817">
        <v>2012</v>
      </c>
      <c r="AY54" s="431"/>
    </row>
    <row r="55" spans="1:51" s="86" customFormat="1">
      <c r="A55" s="798">
        <f t="shared" si="0"/>
        <v>1974</v>
      </c>
      <c r="B55" s="798">
        <f t="shared" si="1"/>
        <v>4</v>
      </c>
      <c r="C55" s="1104">
        <v>27334</v>
      </c>
      <c r="D55" s="934"/>
      <c r="E55" s="1100">
        <v>182.5</v>
      </c>
      <c r="F55" s="1100">
        <v>138.67773500000001</v>
      </c>
      <c r="G55" s="1101"/>
      <c r="H55" s="935"/>
      <c r="I55" s="1101"/>
      <c r="J55" s="1101"/>
      <c r="K55" s="936"/>
      <c r="L55" s="936"/>
      <c r="M55" s="936"/>
      <c r="N55" s="937"/>
      <c r="O55" s="938"/>
      <c r="P55" s="938"/>
      <c r="Q55" s="938"/>
      <c r="R55" s="939"/>
      <c r="S55" s="940"/>
      <c r="T55" s="940"/>
      <c r="U55" s="1756"/>
      <c r="V55" s="1323"/>
      <c r="W55" s="1323"/>
      <c r="AJ55" s="817" t="s">
        <v>0</v>
      </c>
      <c r="AK55" s="874">
        <v>2012</v>
      </c>
      <c r="AL55" s="874" t="s">
        <v>45</v>
      </c>
      <c r="AM55" s="874"/>
      <c r="AN55" s="1114">
        <v>220337119</v>
      </c>
      <c r="AO55" s="1112">
        <v>7.4999999999999997E-2</v>
      </c>
      <c r="AP55" s="817"/>
      <c r="AQ55" s="817" t="s">
        <v>0</v>
      </c>
      <c r="AR55" s="817" t="s">
        <v>613</v>
      </c>
      <c r="AS55" s="874" t="s">
        <v>45</v>
      </c>
      <c r="AT55" s="874"/>
      <c r="AU55" s="1114">
        <v>384614310</v>
      </c>
      <c r="AV55" s="1113">
        <v>0.11600000000000001</v>
      </c>
      <c r="AW55" s="817">
        <v>2012</v>
      </c>
      <c r="AY55" s="431"/>
    </row>
    <row r="56" spans="1:51" s="86" customFormat="1">
      <c r="A56" s="798">
        <f t="shared" si="0"/>
        <v>1974</v>
      </c>
      <c r="B56" s="798">
        <f t="shared" si="1"/>
        <v>4</v>
      </c>
      <c r="C56" s="1104">
        <v>27365</v>
      </c>
      <c r="D56" s="805"/>
      <c r="E56" s="1102">
        <v>183.72361111110001</v>
      </c>
      <c r="F56" s="1102">
        <v>138.45043886110275</v>
      </c>
      <c r="G56" s="1103"/>
      <c r="H56" s="805"/>
      <c r="I56" s="1103"/>
      <c r="J56" s="1103"/>
      <c r="K56" s="84"/>
      <c r="L56" s="84"/>
      <c r="M56" s="84"/>
      <c r="N56" s="805"/>
      <c r="O56" s="941"/>
      <c r="P56" s="941"/>
      <c r="Q56" s="941"/>
      <c r="R56" s="805"/>
      <c r="S56" s="805"/>
      <c r="T56" s="805"/>
      <c r="U56" s="805"/>
      <c r="V56" s="805"/>
      <c r="W56" s="805"/>
      <c r="AJ56" s="817" t="s">
        <v>0</v>
      </c>
      <c r="AK56" s="874">
        <v>2012</v>
      </c>
      <c r="AL56" s="874" t="s">
        <v>452</v>
      </c>
      <c r="AM56" s="874"/>
      <c r="AN56" s="1114">
        <v>2933394994</v>
      </c>
      <c r="AO56" s="1112">
        <v>1</v>
      </c>
      <c r="AP56" s="817"/>
      <c r="AQ56" s="817" t="s">
        <v>0</v>
      </c>
      <c r="AR56" s="817" t="s">
        <v>613</v>
      </c>
      <c r="AS56" s="874" t="s">
        <v>452</v>
      </c>
      <c r="AT56" s="874"/>
      <c r="AU56" s="1114">
        <v>3308439488</v>
      </c>
      <c r="AV56" s="1203">
        <v>1</v>
      </c>
      <c r="AW56" s="817">
        <v>2012</v>
      </c>
      <c r="AY56" s="1395">
        <f>'Alumina - Prices'!A55</f>
        <v>43435</v>
      </c>
    </row>
    <row r="57" spans="1:51" s="86" customFormat="1">
      <c r="A57" s="798">
        <f t="shared" si="0"/>
        <v>1975</v>
      </c>
      <c r="B57" s="798">
        <f t="shared" si="1"/>
        <v>1</v>
      </c>
      <c r="C57" s="1104">
        <v>27395</v>
      </c>
      <c r="D57" s="934"/>
      <c r="E57" s="1100">
        <v>176.52386363639999</v>
      </c>
      <c r="F57" s="1100">
        <v>131.89174647843626</v>
      </c>
      <c r="G57" s="1101"/>
      <c r="H57" s="935"/>
      <c r="I57" s="1101"/>
      <c r="J57" s="1101"/>
      <c r="K57" s="936"/>
      <c r="L57" s="936"/>
      <c r="M57" s="936"/>
      <c r="N57" s="937"/>
      <c r="O57" s="938"/>
      <c r="P57" s="938"/>
      <c r="Q57" s="938"/>
      <c r="R57" s="939"/>
      <c r="S57" s="940"/>
      <c r="T57" s="940"/>
      <c r="U57" s="1756"/>
      <c r="V57" s="1323"/>
      <c r="W57" s="1323"/>
      <c r="AJ57" s="817" t="s">
        <v>0</v>
      </c>
      <c r="AK57" s="874">
        <v>2011</v>
      </c>
      <c r="AL57" s="874" t="s">
        <v>40</v>
      </c>
      <c r="AM57" s="874">
        <v>1</v>
      </c>
      <c r="AN57" s="1114">
        <v>784497562.99999988</v>
      </c>
      <c r="AO57" s="1112">
        <v>0.22518435084858127</v>
      </c>
      <c r="AP57" s="817"/>
      <c r="AQ57" s="817" t="s">
        <v>0</v>
      </c>
      <c r="AR57" s="817" t="s">
        <v>612</v>
      </c>
      <c r="AS57" s="874" t="s">
        <v>162</v>
      </c>
      <c r="AT57" s="874">
        <v>1</v>
      </c>
      <c r="AU57" s="1114">
        <v>762205409.72999966</v>
      </c>
      <c r="AV57" s="1113">
        <v>0.20754421704556564</v>
      </c>
      <c r="AW57" s="817">
        <v>2011</v>
      </c>
      <c r="AY57" s="431"/>
    </row>
    <row r="58" spans="1:51" s="86" customFormat="1">
      <c r="A58" s="798">
        <f t="shared" si="0"/>
        <v>1975</v>
      </c>
      <c r="B58" s="798">
        <f t="shared" si="1"/>
        <v>1</v>
      </c>
      <c r="C58" s="1104">
        <v>27428</v>
      </c>
      <c r="D58" s="805"/>
      <c r="E58" s="1102">
        <v>179.73</v>
      </c>
      <c r="F58" s="1102">
        <v>131.51616938999999</v>
      </c>
      <c r="G58" s="1103"/>
      <c r="H58" s="805"/>
      <c r="I58" s="1103"/>
      <c r="J58" s="1103"/>
      <c r="K58" s="84"/>
      <c r="L58" s="84"/>
      <c r="M58" s="84"/>
      <c r="N58" s="805"/>
      <c r="O58" s="941"/>
      <c r="P58" s="941"/>
      <c r="Q58" s="941"/>
      <c r="R58" s="805"/>
      <c r="S58" s="805"/>
      <c r="T58" s="805"/>
      <c r="U58" s="805"/>
      <c r="V58" s="805"/>
      <c r="W58" s="805"/>
      <c r="AJ58" s="817" t="s">
        <v>0</v>
      </c>
      <c r="AK58" s="874">
        <v>2011</v>
      </c>
      <c r="AL58" s="874" t="s">
        <v>38</v>
      </c>
      <c r="AM58" s="874">
        <v>2</v>
      </c>
      <c r="AN58" s="1114">
        <v>449255312.01999998</v>
      </c>
      <c r="AO58" s="1112">
        <v>0.12895548765713696</v>
      </c>
      <c r="AP58" s="817"/>
      <c r="AQ58" s="817" t="s">
        <v>0</v>
      </c>
      <c r="AR58" s="817" t="s">
        <v>612</v>
      </c>
      <c r="AS58" s="874" t="s">
        <v>24</v>
      </c>
      <c r="AT58" s="874">
        <v>2</v>
      </c>
      <c r="AU58" s="1114">
        <v>738530708.09999979</v>
      </c>
      <c r="AV58" s="1113">
        <v>0.20109772985082605</v>
      </c>
      <c r="AW58" s="817">
        <v>2011</v>
      </c>
      <c r="AY58" s="431"/>
    </row>
    <row r="59" spans="1:51" s="86" customFormat="1">
      <c r="A59" s="798">
        <f t="shared" si="0"/>
        <v>1975</v>
      </c>
      <c r="B59" s="798">
        <f t="shared" si="1"/>
        <v>1</v>
      </c>
      <c r="C59" s="1104">
        <v>27456</v>
      </c>
      <c r="D59" s="934"/>
      <c r="E59" s="1100">
        <v>178.0368421053</v>
      </c>
      <c r="F59" s="1100">
        <v>131.51866385265879</v>
      </c>
      <c r="G59" s="1101"/>
      <c r="H59" s="935"/>
      <c r="I59" s="1101"/>
      <c r="J59" s="1101"/>
      <c r="K59" s="936"/>
      <c r="L59" s="936"/>
      <c r="M59" s="936"/>
      <c r="N59" s="937"/>
      <c r="O59" s="938"/>
      <c r="P59" s="938"/>
      <c r="Q59" s="938"/>
      <c r="R59" s="939"/>
      <c r="S59" s="940"/>
      <c r="T59" s="940"/>
      <c r="U59" s="1756"/>
      <c r="V59" s="1323"/>
      <c r="W59" s="1323"/>
      <c r="AJ59" s="817" t="s">
        <v>0</v>
      </c>
      <c r="AK59" s="874">
        <v>2011</v>
      </c>
      <c r="AL59" s="874" t="s">
        <v>24</v>
      </c>
      <c r="AM59" s="874">
        <v>3</v>
      </c>
      <c r="AN59" s="1114">
        <v>442213355.84000003</v>
      </c>
      <c r="AO59" s="1112">
        <v>0.12693414507318629</v>
      </c>
      <c r="AP59" s="817"/>
      <c r="AQ59" s="817" t="s">
        <v>0</v>
      </c>
      <c r="AR59" s="817" t="s">
        <v>612</v>
      </c>
      <c r="AS59" s="874" t="s">
        <v>38</v>
      </c>
      <c r="AT59" s="874">
        <v>3</v>
      </c>
      <c r="AU59" s="1114">
        <v>473916645.72999996</v>
      </c>
      <c r="AV59" s="1113">
        <v>0.1290448190570252</v>
      </c>
      <c r="AW59" s="817">
        <v>2011</v>
      </c>
      <c r="AY59" s="1395">
        <f>'Alumina - Prices'!A58</f>
        <v>43525</v>
      </c>
    </row>
    <row r="60" spans="1:51" s="86" customFormat="1">
      <c r="A60" s="798">
        <f t="shared" si="0"/>
        <v>1975</v>
      </c>
      <c r="B60" s="798">
        <f t="shared" si="1"/>
        <v>2</v>
      </c>
      <c r="C60" s="1104">
        <v>27485</v>
      </c>
      <c r="D60" s="805"/>
      <c r="E60" s="1102">
        <v>169.57840909090001</v>
      </c>
      <c r="F60" s="1102">
        <v>126.45665459999323</v>
      </c>
      <c r="G60" s="1103"/>
      <c r="H60" s="805"/>
      <c r="I60" s="1103"/>
      <c r="J60" s="1103"/>
      <c r="K60" s="84"/>
      <c r="L60" s="84"/>
      <c r="M60" s="84"/>
      <c r="N60" s="805"/>
      <c r="O60" s="941"/>
      <c r="P60" s="941"/>
      <c r="Q60" s="941"/>
      <c r="R60" s="805"/>
      <c r="S60" s="805"/>
      <c r="T60" s="805"/>
      <c r="U60" s="805"/>
      <c r="V60" s="805"/>
      <c r="W60" s="805"/>
      <c r="AJ60" s="817" t="s">
        <v>0</v>
      </c>
      <c r="AK60" s="874">
        <v>2011</v>
      </c>
      <c r="AL60" s="874" t="s">
        <v>23</v>
      </c>
      <c r="AM60" s="874">
        <v>4</v>
      </c>
      <c r="AN60" s="1114">
        <v>335390627.97000003</v>
      </c>
      <c r="AO60" s="1112">
        <v>9.6271453733148799E-2</v>
      </c>
      <c r="AP60" s="817"/>
      <c r="AQ60" s="817" t="s">
        <v>0</v>
      </c>
      <c r="AR60" s="817" t="s">
        <v>612</v>
      </c>
      <c r="AS60" s="874" t="s">
        <v>23</v>
      </c>
      <c r="AT60" s="874">
        <v>4</v>
      </c>
      <c r="AU60" s="1114">
        <v>319682429.44999999</v>
      </c>
      <c r="AV60" s="1113">
        <v>8.70477153224712E-2</v>
      </c>
      <c r="AW60" s="817">
        <v>2011</v>
      </c>
      <c r="AY60" s="431"/>
    </row>
    <row r="61" spans="1:51" s="86" customFormat="1">
      <c r="A61" s="798">
        <f t="shared" si="0"/>
        <v>1975</v>
      </c>
      <c r="B61" s="798">
        <f t="shared" si="1"/>
        <v>2</v>
      </c>
      <c r="C61" s="1104">
        <v>27515</v>
      </c>
      <c r="D61" s="934"/>
      <c r="E61" s="1100">
        <v>167.26547619050001</v>
      </c>
      <c r="F61" s="1100">
        <v>124.52764163454154</v>
      </c>
      <c r="G61" s="1101"/>
      <c r="H61" s="935"/>
      <c r="I61" s="1101"/>
      <c r="J61" s="1101"/>
      <c r="K61" s="936"/>
      <c r="L61" s="936"/>
      <c r="M61" s="936"/>
      <c r="N61" s="937"/>
      <c r="O61" s="938"/>
      <c r="P61" s="938"/>
      <c r="Q61" s="938"/>
      <c r="R61" s="939"/>
      <c r="S61" s="940"/>
      <c r="T61" s="940"/>
      <c r="U61" s="1756"/>
      <c r="V61" s="1323"/>
      <c r="W61" s="1323"/>
      <c r="AJ61" s="817" t="s">
        <v>0</v>
      </c>
      <c r="AK61" s="874">
        <v>2011</v>
      </c>
      <c r="AL61" s="874" t="s">
        <v>32</v>
      </c>
      <c r="AM61" s="874">
        <v>5</v>
      </c>
      <c r="AN61" s="1114">
        <v>296772260.06000006</v>
      </c>
      <c r="AO61" s="1112">
        <v>8.5186330567960558E-2</v>
      </c>
      <c r="AP61" s="817"/>
      <c r="AQ61" s="817" t="s">
        <v>0</v>
      </c>
      <c r="AR61" s="817" t="s">
        <v>612</v>
      </c>
      <c r="AS61" s="874" t="s">
        <v>32</v>
      </c>
      <c r="AT61" s="874">
        <v>5</v>
      </c>
      <c r="AU61" s="1114">
        <v>281448198.71000004</v>
      </c>
      <c r="AV61" s="1113">
        <v>7.6636750795095632E-2</v>
      </c>
      <c r="AW61" s="817">
        <v>2011</v>
      </c>
      <c r="AY61" s="431"/>
    </row>
    <row r="62" spans="1:51" s="86" customFormat="1">
      <c r="A62" s="798">
        <f t="shared" si="0"/>
        <v>1975</v>
      </c>
      <c r="B62" s="798">
        <f t="shared" si="1"/>
        <v>2</v>
      </c>
      <c r="C62" s="1104">
        <v>27547</v>
      </c>
      <c r="D62" s="805"/>
      <c r="E62" s="1102">
        <v>164.3607142857</v>
      </c>
      <c r="F62" s="1102">
        <v>123.97104107856065</v>
      </c>
      <c r="G62" s="1103"/>
      <c r="H62" s="805"/>
      <c r="I62" s="1103"/>
      <c r="J62" s="1103"/>
      <c r="K62" s="84"/>
      <c r="L62" s="84"/>
      <c r="M62" s="84"/>
      <c r="N62" s="805"/>
      <c r="O62" s="941"/>
      <c r="P62" s="941"/>
      <c r="Q62" s="941"/>
      <c r="R62" s="805"/>
      <c r="S62" s="805"/>
      <c r="T62" s="805"/>
      <c r="U62" s="805"/>
      <c r="V62" s="805"/>
      <c r="W62" s="805"/>
      <c r="AJ62" s="817" t="s">
        <v>0</v>
      </c>
      <c r="AK62" s="874">
        <v>2011</v>
      </c>
      <c r="AL62" s="874" t="s">
        <v>35</v>
      </c>
      <c r="AM62" s="874">
        <v>6</v>
      </c>
      <c r="AN62" s="1114">
        <v>211566750.22999996</v>
      </c>
      <c r="AO62" s="1112">
        <v>6.0728705299606493E-2</v>
      </c>
      <c r="AP62" s="817"/>
      <c r="AQ62" s="817" t="s">
        <v>0</v>
      </c>
      <c r="AR62" s="817" t="s">
        <v>612</v>
      </c>
      <c r="AS62" s="874" t="s">
        <v>165</v>
      </c>
      <c r="AT62" s="874">
        <v>6</v>
      </c>
      <c r="AU62" s="1114">
        <v>232472654.44000006</v>
      </c>
      <c r="AV62" s="1113">
        <v>6.3300987416693141E-2</v>
      </c>
      <c r="AW62" s="817">
        <v>2011</v>
      </c>
      <c r="AY62" s="1395">
        <f>'Alumina - Prices'!A61</f>
        <v>43617</v>
      </c>
    </row>
    <row r="63" spans="1:51" s="86" customFormat="1">
      <c r="A63" s="798">
        <f t="shared" si="0"/>
        <v>1975</v>
      </c>
      <c r="B63" s="798">
        <f t="shared" si="1"/>
        <v>3</v>
      </c>
      <c r="C63" s="1104">
        <v>27576</v>
      </c>
      <c r="D63" s="934"/>
      <c r="E63" s="1100">
        <v>165.17065217390001</v>
      </c>
      <c r="F63" s="1100">
        <v>127.27951354129431</v>
      </c>
      <c r="G63" s="1101"/>
      <c r="H63" s="935"/>
      <c r="I63" s="1101"/>
      <c r="J63" s="1101"/>
      <c r="K63" s="936"/>
      <c r="L63" s="936"/>
      <c r="M63" s="936"/>
      <c r="N63" s="937"/>
      <c r="O63" s="938"/>
      <c r="P63" s="938"/>
      <c r="Q63" s="938"/>
      <c r="R63" s="939"/>
      <c r="S63" s="940"/>
      <c r="T63" s="940"/>
      <c r="U63" s="1756"/>
      <c r="V63" s="1323"/>
      <c r="W63" s="1323"/>
      <c r="AJ63" s="817" t="s">
        <v>0</v>
      </c>
      <c r="AK63" s="874">
        <v>2011</v>
      </c>
      <c r="AL63" s="874" t="s">
        <v>41</v>
      </c>
      <c r="AM63" s="874">
        <v>7</v>
      </c>
      <c r="AN63" s="1114">
        <v>185587657.65000001</v>
      </c>
      <c r="AO63" s="1112">
        <v>5.3271594692543348E-2</v>
      </c>
      <c r="AP63" s="817"/>
      <c r="AQ63" s="817" t="s">
        <v>0</v>
      </c>
      <c r="AR63" s="817" t="s">
        <v>612</v>
      </c>
      <c r="AS63" s="874" t="s">
        <v>35</v>
      </c>
      <c r="AT63" s="874">
        <v>7</v>
      </c>
      <c r="AU63" s="1114">
        <v>160754823.71999997</v>
      </c>
      <c r="AV63" s="1113">
        <v>4.377262821722027E-2</v>
      </c>
      <c r="AW63" s="817">
        <v>2011</v>
      </c>
      <c r="AY63" s="431"/>
    </row>
    <row r="64" spans="1:51" s="86" customFormat="1">
      <c r="A64" s="798">
        <f t="shared" si="0"/>
        <v>1975</v>
      </c>
      <c r="B64" s="798">
        <f t="shared" si="1"/>
        <v>3</v>
      </c>
      <c r="C64" s="1104">
        <v>27607</v>
      </c>
      <c r="D64" s="805"/>
      <c r="E64" s="1102">
        <v>162.70375000000001</v>
      </c>
      <c r="F64" s="1102">
        <v>127.17185426</v>
      </c>
      <c r="G64" s="1103"/>
      <c r="H64" s="805"/>
      <c r="I64" s="1103"/>
      <c r="J64" s="1103"/>
      <c r="K64" s="84"/>
      <c r="L64" s="84"/>
      <c r="M64" s="84"/>
      <c r="N64" s="805"/>
      <c r="O64" s="941"/>
      <c r="P64" s="941"/>
      <c r="Q64" s="941"/>
      <c r="R64" s="805"/>
      <c r="S64" s="805"/>
      <c r="T64" s="805"/>
      <c r="U64" s="805"/>
      <c r="V64" s="805"/>
      <c r="W64" s="805"/>
      <c r="AJ64" s="817" t="s">
        <v>0</v>
      </c>
      <c r="AK64" s="874">
        <v>2011</v>
      </c>
      <c r="AL64" s="874" t="s">
        <v>34</v>
      </c>
      <c r="AM64" s="874">
        <v>8</v>
      </c>
      <c r="AN64" s="1114">
        <v>165338350.38999999</v>
      </c>
      <c r="AO64" s="1112">
        <v>4.7459177515567913E-2</v>
      </c>
      <c r="AP64" s="817"/>
      <c r="AQ64" s="817" t="s">
        <v>0</v>
      </c>
      <c r="AR64" s="817" t="s">
        <v>612</v>
      </c>
      <c r="AS64" s="874" t="s">
        <v>34</v>
      </c>
      <c r="AT64" s="874">
        <v>8</v>
      </c>
      <c r="AU64" s="1114">
        <v>136306131.96000001</v>
      </c>
      <c r="AV64" s="1113">
        <v>3.7115387892837082E-2</v>
      </c>
      <c r="AW64" s="817">
        <v>2011</v>
      </c>
      <c r="AY64" s="431"/>
    </row>
    <row r="65" spans="1:51" s="86" customFormat="1">
      <c r="A65" s="798">
        <f t="shared" si="0"/>
        <v>1975</v>
      </c>
      <c r="B65" s="798">
        <f t="shared" si="1"/>
        <v>3</v>
      </c>
      <c r="C65" s="1104">
        <v>27638</v>
      </c>
      <c r="D65" s="934"/>
      <c r="E65" s="1100">
        <v>143.8318181818</v>
      </c>
      <c r="F65" s="1100">
        <v>114.51572933634917</v>
      </c>
      <c r="G65" s="1101"/>
      <c r="H65" s="935"/>
      <c r="I65" s="1101"/>
      <c r="J65" s="1101"/>
      <c r="K65" s="936"/>
      <c r="L65" s="936"/>
      <c r="M65" s="936"/>
      <c r="N65" s="937"/>
      <c r="O65" s="938"/>
      <c r="P65" s="938"/>
      <c r="Q65" s="938"/>
      <c r="R65" s="939"/>
      <c r="S65" s="940"/>
      <c r="T65" s="940"/>
      <c r="U65" s="1756"/>
      <c r="V65" s="1323"/>
      <c r="W65" s="1323"/>
      <c r="AJ65" s="817" t="s">
        <v>0</v>
      </c>
      <c r="AK65" s="874">
        <v>2011</v>
      </c>
      <c r="AL65" s="874" t="s">
        <v>27</v>
      </c>
      <c r="AM65" s="874">
        <v>9</v>
      </c>
      <c r="AN65" s="1114">
        <v>147998181.80999997</v>
      </c>
      <c r="AO65" s="1112">
        <v>4.2481807553626724E-2</v>
      </c>
      <c r="AP65" s="817"/>
      <c r="AQ65" s="817" t="s">
        <v>0</v>
      </c>
      <c r="AR65" s="817" t="s">
        <v>612</v>
      </c>
      <c r="AS65" s="874" t="s">
        <v>28</v>
      </c>
      <c r="AT65" s="874">
        <v>9</v>
      </c>
      <c r="AU65" s="1114">
        <v>130671743.03999999</v>
      </c>
      <c r="AV65" s="1113">
        <v>3.5581175694912835E-2</v>
      </c>
      <c r="AW65" s="817">
        <v>2011</v>
      </c>
      <c r="AY65" s="1395">
        <f>'Alumina - Prices'!A64</f>
        <v>43709</v>
      </c>
    </row>
    <row r="66" spans="1:51" s="86" customFormat="1">
      <c r="A66" s="798">
        <f t="shared" si="0"/>
        <v>1975</v>
      </c>
      <c r="B66" s="798">
        <f t="shared" si="1"/>
        <v>4</v>
      </c>
      <c r="C66" s="1104">
        <v>27668</v>
      </c>
      <c r="D66" s="805"/>
      <c r="E66" s="1102">
        <v>142.75108695649999</v>
      </c>
      <c r="F66" s="1102">
        <v>112.31398569780897</v>
      </c>
      <c r="G66" s="1103"/>
      <c r="H66" s="805"/>
      <c r="I66" s="1103"/>
      <c r="J66" s="1103"/>
      <c r="K66" s="84"/>
      <c r="L66" s="84"/>
      <c r="M66" s="84"/>
      <c r="N66" s="805"/>
      <c r="O66" s="941"/>
      <c r="P66" s="941"/>
      <c r="Q66" s="941"/>
      <c r="R66" s="805"/>
      <c r="S66" s="805"/>
      <c r="T66" s="805"/>
      <c r="U66" s="805"/>
      <c r="V66" s="805"/>
      <c r="W66" s="805"/>
      <c r="AJ66" s="817" t="s">
        <v>0</v>
      </c>
      <c r="AK66" s="874">
        <v>2011</v>
      </c>
      <c r="AL66" s="874" t="s">
        <v>36</v>
      </c>
      <c r="AM66" s="874">
        <v>10</v>
      </c>
      <c r="AN66" s="1114">
        <v>108413295.86</v>
      </c>
      <c r="AO66" s="1112">
        <v>3.111925237629997E-2</v>
      </c>
      <c r="AP66" s="817"/>
      <c r="AQ66" s="817" t="s">
        <v>0</v>
      </c>
      <c r="AR66" s="817" t="s">
        <v>612</v>
      </c>
      <c r="AS66" s="874" t="s">
        <v>27</v>
      </c>
      <c r="AT66" s="874">
        <v>10</v>
      </c>
      <c r="AU66" s="1114">
        <v>120936724.94</v>
      </c>
      <c r="AV66" s="1113">
        <v>3.2930385391279821E-2</v>
      </c>
      <c r="AW66" s="817">
        <v>2011</v>
      </c>
      <c r="AY66" s="431"/>
    </row>
    <row r="67" spans="1:51" s="86" customFormat="1">
      <c r="A67" s="798">
        <f t="shared" si="0"/>
        <v>1975</v>
      </c>
      <c r="B67" s="798">
        <f t="shared" si="1"/>
        <v>4</v>
      </c>
      <c r="C67" s="1104">
        <v>27701</v>
      </c>
      <c r="D67" s="934"/>
      <c r="E67" s="1100">
        <v>142.28125</v>
      </c>
      <c r="F67" s="1100">
        <v>112.97543865624999</v>
      </c>
      <c r="G67" s="1101"/>
      <c r="H67" s="935"/>
      <c r="I67" s="1101"/>
      <c r="J67" s="1101"/>
      <c r="K67" s="936"/>
      <c r="L67" s="936"/>
      <c r="M67" s="936"/>
      <c r="N67" s="937"/>
      <c r="O67" s="938"/>
      <c r="P67" s="938"/>
      <c r="Q67" s="938"/>
      <c r="R67" s="939"/>
      <c r="S67" s="940"/>
      <c r="T67" s="940"/>
      <c r="U67" s="1756"/>
      <c r="V67" s="1323"/>
      <c r="W67" s="1323"/>
      <c r="AJ67" s="817" t="s">
        <v>0</v>
      </c>
      <c r="AK67" s="874">
        <v>2011</v>
      </c>
      <c r="AL67" s="874" t="s">
        <v>45</v>
      </c>
      <c r="AM67" s="874"/>
      <c r="AN67" s="1114">
        <v>356768072.94999981</v>
      </c>
      <c r="AO67" s="1112">
        <v>0.10240769468234155</v>
      </c>
      <c r="AP67" s="817"/>
      <c r="AQ67" s="817" t="s">
        <v>0</v>
      </c>
      <c r="AR67" s="817" t="s">
        <v>612</v>
      </c>
      <c r="AS67" s="874" t="s">
        <v>22</v>
      </c>
      <c r="AT67" s="874">
        <v>11</v>
      </c>
      <c r="AU67" s="1114">
        <v>106252945.60999998</v>
      </c>
      <c r="AV67" s="1113">
        <v>2.8932075427310584E-2</v>
      </c>
      <c r="AW67" s="817">
        <v>2011</v>
      </c>
      <c r="AY67" s="431"/>
    </row>
    <row r="68" spans="1:51" s="86" customFormat="1">
      <c r="A68" s="798">
        <f t="shared" si="0"/>
        <v>1975</v>
      </c>
      <c r="B68" s="798">
        <f t="shared" si="1"/>
        <v>4</v>
      </c>
      <c r="C68" s="1104">
        <v>27729</v>
      </c>
      <c r="D68" s="805"/>
      <c r="E68" s="1102">
        <v>139.31447368420001</v>
      </c>
      <c r="F68" s="1102">
        <v>110.8221561552548</v>
      </c>
      <c r="G68" s="1103"/>
      <c r="H68" s="805"/>
      <c r="I68" s="1103"/>
      <c r="J68" s="1103"/>
      <c r="K68" s="84"/>
      <c r="L68" s="84"/>
      <c r="M68" s="84"/>
      <c r="N68" s="805"/>
      <c r="O68" s="941"/>
      <c r="P68" s="941"/>
      <c r="Q68" s="941"/>
      <c r="R68" s="805"/>
      <c r="S68" s="805"/>
      <c r="T68" s="805"/>
      <c r="U68" s="805"/>
      <c r="V68" s="805"/>
      <c r="W68" s="805"/>
      <c r="AJ68" s="817" t="s">
        <v>0</v>
      </c>
      <c r="AK68" s="874">
        <v>2011</v>
      </c>
      <c r="AL68" s="874" t="s">
        <v>452</v>
      </c>
      <c r="AM68" s="874"/>
      <c r="AN68" s="1114">
        <v>3483801427.7800002</v>
      </c>
      <c r="AO68" s="1112">
        <v>2.6015975686936341E-2</v>
      </c>
      <c r="AP68" s="817"/>
      <c r="AQ68" s="817" t="s">
        <v>0</v>
      </c>
      <c r="AR68" s="817" t="s">
        <v>612</v>
      </c>
      <c r="AS68" s="874" t="s">
        <v>36</v>
      </c>
      <c r="AT68" s="874">
        <v>12</v>
      </c>
      <c r="AU68" s="1114">
        <v>76958175.060000002</v>
      </c>
      <c r="AV68" s="1113">
        <v>2.0955275289559028E-2</v>
      </c>
      <c r="AW68" s="817">
        <v>2011</v>
      </c>
      <c r="AY68" s="1395">
        <f>'Alumina - Prices'!A67</f>
        <v>43800</v>
      </c>
    </row>
    <row r="69" spans="1:51" s="86" customFormat="1">
      <c r="A69" s="798">
        <f t="shared" si="0"/>
        <v>1976</v>
      </c>
      <c r="B69" s="798">
        <f t="shared" si="1"/>
        <v>1</v>
      </c>
      <c r="C69" s="1104">
        <v>27760</v>
      </c>
      <c r="D69" s="934"/>
      <c r="E69" s="1100">
        <v>131.25119047620001</v>
      </c>
      <c r="F69" s="1100">
        <v>104.26686447262662</v>
      </c>
      <c r="G69" s="1101"/>
      <c r="H69" s="935"/>
      <c r="I69" s="1101"/>
      <c r="J69" s="1101"/>
      <c r="K69" s="936"/>
      <c r="L69" s="936"/>
      <c r="M69" s="936"/>
      <c r="N69" s="937"/>
      <c r="O69" s="938"/>
      <c r="P69" s="938"/>
      <c r="Q69" s="938"/>
      <c r="R69" s="939"/>
      <c r="S69" s="940"/>
      <c r="T69" s="940"/>
      <c r="U69" s="1756"/>
      <c r="V69" s="1323"/>
      <c r="W69" s="1323"/>
      <c r="AJ69" s="817" t="s">
        <v>0</v>
      </c>
      <c r="AK69" s="817">
        <v>2010</v>
      </c>
      <c r="AL69" s="874" t="s">
        <v>24</v>
      </c>
      <c r="AM69" s="874">
        <v>1</v>
      </c>
      <c r="AN69" s="1114">
        <v>891000156.54999971</v>
      </c>
      <c r="AO69" s="1112">
        <v>0.23477197423957175</v>
      </c>
      <c r="AP69" s="817"/>
      <c r="AQ69" s="817" t="s">
        <v>0</v>
      </c>
      <c r="AR69" s="817" t="s">
        <v>612</v>
      </c>
      <c r="AS69" s="874" t="s">
        <v>45</v>
      </c>
      <c r="AT69" s="874"/>
      <c r="AU69" s="1114">
        <v>132359904.86000109</v>
      </c>
      <c r="AV69" s="1113">
        <v>3.6040852599203574E-2</v>
      </c>
      <c r="AW69" s="817">
        <v>2011</v>
      </c>
      <c r="AY69" s="1348"/>
    </row>
    <row r="70" spans="1:51" s="86" customFormat="1">
      <c r="A70" s="798">
        <f t="shared" si="0"/>
        <v>1976</v>
      </c>
      <c r="B70" s="798">
        <f t="shared" si="1"/>
        <v>1</v>
      </c>
      <c r="C70" s="1104">
        <v>27792</v>
      </c>
      <c r="D70" s="805"/>
      <c r="E70" s="1102">
        <v>131.14250000000001</v>
      </c>
      <c r="F70" s="1102">
        <v>104.023542425</v>
      </c>
      <c r="G70" s="1103"/>
      <c r="H70" s="805"/>
      <c r="I70" s="1103"/>
      <c r="J70" s="1103"/>
      <c r="K70" s="84"/>
      <c r="L70" s="84"/>
      <c r="M70" s="84"/>
      <c r="N70" s="805"/>
      <c r="O70" s="941"/>
      <c r="P70" s="941"/>
      <c r="Q70" s="941"/>
      <c r="R70" s="805"/>
      <c r="S70" s="805"/>
      <c r="T70" s="805"/>
      <c r="U70" s="805"/>
      <c r="V70" s="805"/>
      <c r="W70" s="805"/>
      <c r="AJ70" s="817" t="s">
        <v>0</v>
      </c>
      <c r="AK70" s="817">
        <v>2010</v>
      </c>
      <c r="AL70" s="874" t="s">
        <v>40</v>
      </c>
      <c r="AM70" s="874">
        <v>2</v>
      </c>
      <c r="AN70" s="1114">
        <v>847227430.13000011</v>
      </c>
      <c r="AO70" s="1112">
        <v>0.22323818344960875</v>
      </c>
      <c r="AP70" s="817"/>
      <c r="AQ70" s="817" t="s">
        <v>0</v>
      </c>
      <c r="AR70" s="817" t="s">
        <v>612</v>
      </c>
      <c r="AS70" s="874" t="s">
        <v>452</v>
      </c>
      <c r="AT70" s="874"/>
      <c r="AU70" s="1114">
        <v>3672496495.3500004</v>
      </c>
      <c r="AV70" s="874"/>
      <c r="AW70" s="817">
        <v>2011</v>
      </c>
      <c r="AY70" s="1348"/>
    </row>
    <row r="71" spans="1:51" s="86" customFormat="1">
      <c r="A71" s="798">
        <f t="shared" si="0"/>
        <v>1976</v>
      </c>
      <c r="B71" s="798">
        <f t="shared" si="1"/>
        <v>1</v>
      </c>
      <c r="C71" s="1104">
        <v>27820</v>
      </c>
      <c r="D71" s="934"/>
      <c r="E71" s="1100">
        <v>132.51086956520001</v>
      </c>
      <c r="F71" s="1100">
        <v>106.12755790215999</v>
      </c>
      <c r="G71" s="1101"/>
      <c r="H71" s="935"/>
      <c r="I71" s="1101"/>
      <c r="J71" s="1101"/>
      <c r="K71" s="936"/>
      <c r="L71" s="936"/>
      <c r="M71" s="936"/>
      <c r="N71" s="937"/>
      <c r="O71" s="938"/>
      <c r="P71" s="938"/>
      <c r="Q71" s="938"/>
      <c r="R71" s="939"/>
      <c r="S71" s="940"/>
      <c r="T71" s="940"/>
      <c r="U71" s="1756"/>
      <c r="V71" s="1323"/>
      <c r="W71" s="1323"/>
      <c r="AJ71" s="817" t="s">
        <v>0</v>
      </c>
      <c r="AK71" s="817">
        <v>2010</v>
      </c>
      <c r="AL71" s="874" t="s">
        <v>38</v>
      </c>
      <c r="AM71" s="874">
        <v>3</v>
      </c>
      <c r="AN71" s="1114">
        <v>471992378</v>
      </c>
      <c r="AO71" s="1112">
        <v>0.12436651283895921</v>
      </c>
      <c r="AP71" s="817"/>
      <c r="AQ71" s="817" t="s">
        <v>0</v>
      </c>
      <c r="AR71" s="817" t="s">
        <v>611</v>
      </c>
      <c r="AS71" s="874" t="s">
        <v>162</v>
      </c>
      <c r="AT71" s="874">
        <v>1</v>
      </c>
      <c r="AU71" s="1114">
        <v>801978851.91000009</v>
      </c>
      <c r="AV71" s="1113">
        <v>0.22661853877908558</v>
      </c>
      <c r="AW71" s="817">
        <v>2010</v>
      </c>
      <c r="AY71" s="3"/>
    </row>
    <row r="72" spans="1:51" s="86" customFormat="1">
      <c r="A72" s="798">
        <f t="shared" si="0"/>
        <v>1976</v>
      </c>
      <c r="B72" s="798">
        <f t="shared" si="1"/>
        <v>2</v>
      </c>
      <c r="C72" s="1104">
        <v>27851</v>
      </c>
      <c r="D72" s="805"/>
      <c r="E72" s="1102">
        <v>127.91875</v>
      </c>
      <c r="F72" s="1102">
        <v>103.24360688125</v>
      </c>
      <c r="G72" s="1103"/>
      <c r="H72" s="805"/>
      <c r="I72" s="1103"/>
      <c r="J72" s="1103"/>
      <c r="K72" s="84"/>
      <c r="L72" s="84"/>
      <c r="M72" s="84"/>
      <c r="N72" s="805"/>
      <c r="O72" s="941"/>
      <c r="P72" s="941"/>
      <c r="Q72" s="941"/>
      <c r="R72" s="805"/>
      <c r="S72" s="805"/>
      <c r="T72" s="805"/>
      <c r="U72" s="805"/>
      <c r="V72" s="805"/>
      <c r="W72" s="805"/>
      <c r="AJ72" s="817" t="s">
        <v>0</v>
      </c>
      <c r="AK72" s="817">
        <v>2010</v>
      </c>
      <c r="AL72" s="874" t="s">
        <v>32</v>
      </c>
      <c r="AM72" s="874">
        <v>4</v>
      </c>
      <c r="AN72" s="1114">
        <v>325177880.49999994</v>
      </c>
      <c r="AO72" s="1112">
        <v>8.5681974826612106E-2</v>
      </c>
      <c r="AP72" s="817"/>
      <c r="AQ72" s="817" t="s">
        <v>0</v>
      </c>
      <c r="AR72" s="817" t="s">
        <v>611</v>
      </c>
      <c r="AS72" s="874" t="s">
        <v>24</v>
      </c>
      <c r="AT72" s="874">
        <v>2</v>
      </c>
      <c r="AU72" s="1114">
        <v>667819273.07999992</v>
      </c>
      <c r="AV72" s="1113">
        <v>0.18870850206768852</v>
      </c>
      <c r="AW72" s="817">
        <v>2010</v>
      </c>
      <c r="AY72" s="1348"/>
    </row>
    <row r="73" spans="1:51" s="86" customFormat="1">
      <c r="A73" s="798">
        <f t="shared" ref="A73:A136" si="2">YEAR(C73)</f>
        <v>1976</v>
      </c>
      <c r="B73" s="798">
        <f t="shared" ref="B73:B136" si="3">IF(OR(MONTH(C73)=1,MONTH(C73)=2,MONTH(C73)=3),1,IF(OR(MONTH(C73)=4,MONTH(C73)=5,MONTH(C73)=6),2,IF(OR(MONTH(C73)=7,MONTH(C73)=8,MONTH(C73)=9),3,4)))</f>
        <v>2</v>
      </c>
      <c r="C73" s="1104">
        <v>27883</v>
      </c>
      <c r="D73" s="934"/>
      <c r="E73" s="1100">
        <v>126.8925</v>
      </c>
      <c r="F73" s="1100">
        <v>103.40850502500001</v>
      </c>
      <c r="G73" s="1101"/>
      <c r="H73" s="935"/>
      <c r="I73" s="1101"/>
      <c r="J73" s="1101"/>
      <c r="K73" s="936"/>
      <c r="L73" s="936"/>
      <c r="M73" s="936"/>
      <c r="N73" s="937"/>
      <c r="O73" s="938"/>
      <c r="P73" s="938"/>
      <c r="Q73" s="938"/>
      <c r="R73" s="939"/>
      <c r="S73" s="940"/>
      <c r="T73" s="940"/>
      <c r="U73" s="1756"/>
      <c r="V73" s="1323"/>
      <c r="W73" s="1323"/>
      <c r="AJ73" s="817" t="s">
        <v>0</v>
      </c>
      <c r="AK73" s="817">
        <v>2010</v>
      </c>
      <c r="AL73" s="874" t="s">
        <v>23</v>
      </c>
      <c r="AM73" s="874">
        <v>5</v>
      </c>
      <c r="AN73" s="1114">
        <v>197652703.62</v>
      </c>
      <c r="AO73" s="1112">
        <v>5.2080030627977066E-2</v>
      </c>
      <c r="AP73" s="817"/>
      <c r="AQ73" s="817" t="s">
        <v>0</v>
      </c>
      <c r="AR73" s="817" t="s">
        <v>611</v>
      </c>
      <c r="AS73" s="874" t="s">
        <v>38</v>
      </c>
      <c r="AT73" s="874">
        <v>3</v>
      </c>
      <c r="AU73" s="1114">
        <v>422475772.86999989</v>
      </c>
      <c r="AV73" s="1113">
        <v>0.11938075684832208</v>
      </c>
      <c r="AW73" s="817">
        <v>2010</v>
      </c>
      <c r="AY73" s="1348"/>
    </row>
    <row r="74" spans="1:51" s="86" customFormat="1">
      <c r="A74" s="798">
        <f t="shared" si="2"/>
        <v>1976</v>
      </c>
      <c r="B74" s="798">
        <f t="shared" si="3"/>
        <v>2</v>
      </c>
      <c r="C74" s="1104">
        <v>27912</v>
      </c>
      <c r="D74" s="805"/>
      <c r="E74" s="1102">
        <v>125.6238636364</v>
      </c>
      <c r="F74" s="1102">
        <v>101.67028218980217</v>
      </c>
      <c r="G74" s="1103"/>
      <c r="H74" s="805"/>
      <c r="I74" s="1103"/>
      <c r="J74" s="1103"/>
      <c r="K74" s="84"/>
      <c r="L74" s="84"/>
      <c r="M74" s="84"/>
      <c r="N74" s="805"/>
      <c r="O74" s="941"/>
      <c r="P74" s="941"/>
      <c r="Q74" s="941"/>
      <c r="R74" s="805"/>
      <c r="S74" s="805"/>
      <c r="T74" s="805"/>
      <c r="U74" s="805"/>
      <c r="V74" s="805"/>
      <c r="W74" s="805"/>
      <c r="AJ74" s="817" t="s">
        <v>0</v>
      </c>
      <c r="AK74" s="817">
        <v>2010</v>
      </c>
      <c r="AL74" s="874" t="s">
        <v>41</v>
      </c>
      <c r="AM74" s="874">
        <v>6</v>
      </c>
      <c r="AN74" s="1114">
        <v>178812407.03</v>
      </c>
      <c r="AO74" s="1112">
        <v>4.7115751336691492E-2</v>
      </c>
      <c r="AP74" s="817"/>
      <c r="AQ74" s="817" t="s">
        <v>0</v>
      </c>
      <c r="AR74" s="817" t="s">
        <v>611</v>
      </c>
      <c r="AS74" s="874" t="s">
        <v>32</v>
      </c>
      <c r="AT74" s="874">
        <v>4</v>
      </c>
      <c r="AU74" s="1114">
        <v>293433624.23000002</v>
      </c>
      <c r="AV74" s="1113">
        <v>8.2916773919016501E-2</v>
      </c>
      <c r="AW74" s="817">
        <v>2010</v>
      </c>
      <c r="AY74" s="3"/>
    </row>
    <row r="75" spans="1:51" s="86" customFormat="1">
      <c r="A75" s="798">
        <f t="shared" si="2"/>
        <v>1976</v>
      </c>
      <c r="B75" s="798">
        <f t="shared" si="3"/>
        <v>3</v>
      </c>
      <c r="C75" s="1104">
        <v>27942</v>
      </c>
      <c r="D75" s="934"/>
      <c r="E75" s="1100">
        <v>117.5090909091</v>
      </c>
      <c r="F75" s="1100">
        <v>94.711974745461859</v>
      </c>
      <c r="G75" s="1101"/>
      <c r="H75" s="935"/>
      <c r="I75" s="1101"/>
      <c r="J75" s="1101"/>
      <c r="K75" s="936"/>
      <c r="L75" s="936"/>
      <c r="M75" s="936"/>
      <c r="N75" s="937"/>
      <c r="O75" s="938"/>
      <c r="P75" s="938"/>
      <c r="Q75" s="938"/>
      <c r="R75" s="939"/>
      <c r="S75" s="940"/>
      <c r="T75" s="940"/>
      <c r="U75" s="1756"/>
      <c r="V75" s="1323"/>
      <c r="W75" s="1323"/>
      <c r="AJ75" s="817" t="s">
        <v>0</v>
      </c>
      <c r="AK75" s="817">
        <v>2010</v>
      </c>
      <c r="AL75" s="874" t="s">
        <v>27</v>
      </c>
      <c r="AM75" s="874">
        <v>7</v>
      </c>
      <c r="AN75" s="1114">
        <v>136866649.75</v>
      </c>
      <c r="AO75" s="1112">
        <v>3.6063353449658268E-2</v>
      </c>
      <c r="AP75" s="817"/>
      <c r="AQ75" s="817" t="s">
        <v>0</v>
      </c>
      <c r="AR75" s="817" t="s">
        <v>611</v>
      </c>
      <c r="AS75" s="874" t="s">
        <v>23</v>
      </c>
      <c r="AT75" s="874">
        <v>5</v>
      </c>
      <c r="AU75" s="1114">
        <v>208556648.89000002</v>
      </c>
      <c r="AV75" s="1113">
        <v>5.8932729848864579E-2</v>
      </c>
      <c r="AW75" s="817">
        <v>2010</v>
      </c>
      <c r="AY75" s="1348"/>
    </row>
    <row r="76" spans="1:51" s="86" customFormat="1">
      <c r="A76" s="798">
        <f t="shared" si="2"/>
        <v>1976</v>
      </c>
      <c r="B76" s="798">
        <f t="shared" si="3"/>
        <v>3</v>
      </c>
      <c r="C76" s="1104">
        <v>27974</v>
      </c>
      <c r="D76" s="805"/>
      <c r="E76" s="1102">
        <v>109.78095238100001</v>
      </c>
      <c r="F76" s="1102">
        <v>88.09251764765726</v>
      </c>
      <c r="G76" s="1103"/>
      <c r="H76" s="805"/>
      <c r="I76" s="1103"/>
      <c r="J76" s="1103"/>
      <c r="K76" s="84"/>
      <c r="L76" s="84"/>
      <c r="M76" s="84"/>
      <c r="N76" s="805"/>
      <c r="O76" s="941"/>
      <c r="P76" s="941"/>
      <c r="Q76" s="941"/>
      <c r="R76" s="805"/>
      <c r="S76" s="805"/>
      <c r="T76" s="805"/>
      <c r="U76" s="805"/>
      <c r="V76" s="805"/>
      <c r="W76" s="805"/>
      <c r="AJ76" s="817" t="s">
        <v>0</v>
      </c>
      <c r="AK76" s="817">
        <v>2010</v>
      </c>
      <c r="AL76" s="874" t="s">
        <v>22</v>
      </c>
      <c r="AM76" s="874">
        <v>8</v>
      </c>
      <c r="AN76" s="1114">
        <v>109489732.09</v>
      </c>
      <c r="AO76" s="1112">
        <v>2.8849737424584406E-2</v>
      </c>
      <c r="AP76" s="817"/>
      <c r="AQ76" s="817" t="s">
        <v>0</v>
      </c>
      <c r="AR76" s="817" t="s">
        <v>611</v>
      </c>
      <c r="AS76" s="874" t="s">
        <v>27</v>
      </c>
      <c r="AT76" s="874">
        <v>6</v>
      </c>
      <c r="AU76" s="1114">
        <v>203882858.15999997</v>
      </c>
      <c r="AV76" s="1113">
        <v>5.7612037135747113E-2</v>
      </c>
      <c r="AW76" s="817">
        <v>2010</v>
      </c>
      <c r="AY76" s="1348"/>
    </row>
    <row r="77" spans="1:51" s="86" customFormat="1">
      <c r="A77" s="798">
        <f t="shared" si="2"/>
        <v>1976</v>
      </c>
      <c r="B77" s="798">
        <f t="shared" si="3"/>
        <v>3</v>
      </c>
      <c r="C77" s="1104">
        <v>28004</v>
      </c>
      <c r="D77" s="934"/>
      <c r="E77" s="1100">
        <v>114.3795454545</v>
      </c>
      <c r="F77" s="1100">
        <v>92.442806811326903</v>
      </c>
      <c r="G77" s="1101"/>
      <c r="H77" s="935"/>
      <c r="I77" s="1101"/>
      <c r="J77" s="1101"/>
      <c r="K77" s="936"/>
      <c r="L77" s="936"/>
      <c r="M77" s="936"/>
      <c r="N77" s="937"/>
      <c r="O77" s="938"/>
      <c r="P77" s="938"/>
      <c r="Q77" s="938"/>
      <c r="R77" s="939"/>
      <c r="S77" s="940"/>
      <c r="T77" s="940"/>
      <c r="U77" s="1756"/>
      <c r="V77" s="1323"/>
      <c r="W77" s="1323"/>
      <c r="AJ77" s="817" t="s">
        <v>0</v>
      </c>
      <c r="AK77" s="817">
        <v>2010</v>
      </c>
      <c r="AL77" s="874" t="s">
        <v>34</v>
      </c>
      <c r="AM77" s="874">
        <v>9</v>
      </c>
      <c r="AN77" s="1114">
        <v>103096619.3</v>
      </c>
      <c r="AO77" s="1112">
        <v>2.716519932410167E-2</v>
      </c>
      <c r="AP77" s="817"/>
      <c r="AQ77" s="817" t="s">
        <v>0</v>
      </c>
      <c r="AR77" s="817" t="s">
        <v>611</v>
      </c>
      <c r="AS77" s="874" t="s">
        <v>34</v>
      </c>
      <c r="AT77" s="874">
        <v>7</v>
      </c>
      <c r="AU77" s="1114">
        <v>157400710.97</v>
      </c>
      <c r="AV77" s="1113">
        <v>4.4477381215051723E-2</v>
      </c>
      <c r="AW77" s="817">
        <v>2010</v>
      </c>
      <c r="AY77" s="3"/>
    </row>
    <row r="78" spans="1:51" s="86" customFormat="1">
      <c r="A78" s="798">
        <f t="shared" si="2"/>
        <v>1976</v>
      </c>
      <c r="B78" s="798">
        <f t="shared" si="3"/>
        <v>4</v>
      </c>
      <c r="C78" s="1104">
        <v>28034</v>
      </c>
      <c r="D78" s="805"/>
      <c r="E78" s="1102">
        <v>116.1571428571</v>
      </c>
      <c r="F78" s="1102">
        <v>94.737068771393623</v>
      </c>
      <c r="G78" s="1103"/>
      <c r="H78" s="805"/>
      <c r="I78" s="1103"/>
      <c r="J78" s="1103"/>
      <c r="K78" s="84"/>
      <c r="L78" s="84"/>
      <c r="M78" s="84"/>
      <c r="N78" s="805"/>
      <c r="O78" s="941"/>
      <c r="P78" s="941"/>
      <c r="Q78" s="941"/>
      <c r="R78" s="805"/>
      <c r="S78" s="805"/>
      <c r="T78" s="805"/>
      <c r="U78" s="805"/>
      <c r="V78" s="805"/>
      <c r="W78" s="805"/>
      <c r="AJ78" s="817" t="s">
        <v>0</v>
      </c>
      <c r="AK78" s="817">
        <v>2010</v>
      </c>
      <c r="AL78" s="874" t="s">
        <v>36</v>
      </c>
      <c r="AM78" s="874">
        <v>10</v>
      </c>
      <c r="AN78" s="1114">
        <v>97929592.149999976</v>
      </c>
      <c r="AO78" s="1112">
        <v>2.580372575303962E-2</v>
      </c>
      <c r="AP78" s="817"/>
      <c r="AQ78" s="817" t="s">
        <v>0</v>
      </c>
      <c r="AR78" s="817" t="s">
        <v>611</v>
      </c>
      <c r="AS78" s="874" t="s">
        <v>165</v>
      </c>
      <c r="AT78" s="874">
        <v>8</v>
      </c>
      <c r="AU78" s="1114">
        <v>151490410.84</v>
      </c>
      <c r="AV78" s="1113">
        <v>4.2807282837748449E-2</v>
      </c>
      <c r="AW78" s="817">
        <v>2010</v>
      </c>
      <c r="AY78" s="1348"/>
    </row>
    <row r="79" spans="1:51" s="86" customFormat="1">
      <c r="A79" s="798">
        <f t="shared" si="2"/>
        <v>1976</v>
      </c>
      <c r="B79" s="798">
        <f t="shared" si="3"/>
        <v>4</v>
      </c>
      <c r="C79" s="1104">
        <v>28065</v>
      </c>
      <c r="D79" s="934"/>
      <c r="E79" s="1100">
        <v>130.64318181819999</v>
      </c>
      <c r="F79" s="1100">
        <v>129.05573651592704</v>
      </c>
      <c r="G79" s="1101"/>
      <c r="H79" s="935"/>
      <c r="I79" s="1101"/>
      <c r="J79" s="1101"/>
      <c r="K79" s="936"/>
      <c r="L79" s="936"/>
      <c r="M79" s="936"/>
      <c r="N79" s="937"/>
      <c r="O79" s="938"/>
      <c r="P79" s="938"/>
      <c r="Q79" s="938"/>
      <c r="R79" s="939"/>
      <c r="S79" s="940"/>
      <c r="T79" s="940"/>
      <c r="U79" s="1756"/>
      <c r="V79" s="1323"/>
      <c r="W79" s="1323"/>
      <c r="AJ79" s="817" t="s">
        <v>0</v>
      </c>
      <c r="AK79" s="817">
        <v>2010</v>
      </c>
      <c r="AL79" s="874" t="s">
        <v>45</v>
      </c>
      <c r="AM79" s="874"/>
      <c r="AN79" s="1114">
        <v>435927019.64999962</v>
      </c>
      <c r="AO79" s="1112">
        <v>0.11486355672919553</v>
      </c>
      <c r="AP79" s="817"/>
      <c r="AQ79" s="817" t="s">
        <v>0</v>
      </c>
      <c r="AR79" s="817" t="s">
        <v>611</v>
      </c>
      <c r="AS79" s="874" t="s">
        <v>36</v>
      </c>
      <c r="AT79" s="874">
        <v>9</v>
      </c>
      <c r="AU79" s="1114">
        <v>127624675.78999999</v>
      </c>
      <c r="AV79" s="1113">
        <v>3.606344166158891E-2</v>
      </c>
      <c r="AW79" s="817">
        <v>2010</v>
      </c>
      <c r="AY79" s="1348"/>
    </row>
    <row r="80" spans="1:51" s="86" customFormat="1">
      <c r="A80" s="798">
        <f t="shared" si="2"/>
        <v>1976</v>
      </c>
      <c r="B80" s="798">
        <f t="shared" si="3"/>
        <v>4</v>
      </c>
      <c r="C80" s="1104">
        <v>28095</v>
      </c>
      <c r="D80" s="805"/>
      <c r="E80" s="1102">
        <v>133.94999999999999</v>
      </c>
      <c r="F80" s="1102">
        <v>123.29709045</v>
      </c>
      <c r="G80" s="1103"/>
      <c r="H80" s="805"/>
      <c r="I80" s="1103"/>
      <c r="J80" s="1103"/>
      <c r="K80" s="84"/>
      <c r="L80" s="84"/>
      <c r="M80" s="84"/>
      <c r="N80" s="805"/>
      <c r="O80" s="941"/>
      <c r="P80" s="941"/>
      <c r="Q80" s="941"/>
      <c r="R80" s="805"/>
      <c r="S80" s="805"/>
      <c r="T80" s="805"/>
      <c r="U80" s="805"/>
      <c r="V80" s="805"/>
      <c r="W80" s="805"/>
      <c r="AJ80" s="817" t="s">
        <v>0</v>
      </c>
      <c r="AK80" s="817">
        <v>2010</v>
      </c>
      <c r="AL80" s="874" t="s">
        <v>452</v>
      </c>
      <c r="AM80" s="874"/>
      <c r="AN80" s="1114">
        <v>3795172568.77</v>
      </c>
      <c r="AO80" s="1112"/>
      <c r="AP80" s="817"/>
      <c r="AQ80" s="817" t="s">
        <v>0</v>
      </c>
      <c r="AR80" s="817" t="s">
        <v>611</v>
      </c>
      <c r="AS80" s="874" t="s">
        <v>22</v>
      </c>
      <c r="AT80" s="874">
        <v>10</v>
      </c>
      <c r="AU80" s="1114">
        <v>96854634.329999998</v>
      </c>
      <c r="AV80" s="1113">
        <v>2.7368621570971838E-2</v>
      </c>
      <c r="AW80" s="817">
        <v>2010</v>
      </c>
      <c r="AY80" s="3"/>
    </row>
    <row r="81" spans="1:51" s="86" customFormat="1">
      <c r="A81" s="798">
        <f t="shared" si="2"/>
        <v>1977</v>
      </c>
      <c r="B81" s="798">
        <f t="shared" si="3"/>
        <v>1</v>
      </c>
      <c r="C81" s="1104">
        <v>28128</v>
      </c>
      <c r="D81" s="934"/>
      <c r="E81" s="1100">
        <v>132.19499999999999</v>
      </c>
      <c r="F81" s="1100">
        <v>121.61450878499998</v>
      </c>
      <c r="G81" s="1101"/>
      <c r="H81" s="935"/>
      <c r="I81" s="1101"/>
      <c r="J81" s="1101"/>
      <c r="K81" s="936"/>
      <c r="L81" s="936"/>
      <c r="M81" s="936"/>
      <c r="N81" s="937"/>
      <c r="O81" s="938"/>
      <c r="P81" s="938"/>
      <c r="Q81" s="938"/>
      <c r="R81" s="939"/>
      <c r="S81" s="940"/>
      <c r="T81" s="940"/>
      <c r="U81" s="1756"/>
      <c r="V81" s="1323"/>
      <c r="W81" s="1323"/>
      <c r="AJ81" s="817" t="s">
        <v>0</v>
      </c>
      <c r="AK81" s="874">
        <v>2009</v>
      </c>
      <c r="AL81" s="874" t="s">
        <v>24</v>
      </c>
      <c r="AM81" s="874">
        <v>1</v>
      </c>
      <c r="AN81" s="1114">
        <v>896632304.86999989</v>
      </c>
      <c r="AO81" s="1112">
        <v>0.27171352222257095</v>
      </c>
      <c r="AP81" s="817"/>
      <c r="AQ81" s="817" t="s">
        <v>0</v>
      </c>
      <c r="AR81" s="817" t="s">
        <v>611</v>
      </c>
      <c r="AS81" s="874" t="s">
        <v>45</v>
      </c>
      <c r="AT81" s="874"/>
      <c r="AU81" s="1114">
        <v>407375942.05000067</v>
      </c>
      <c r="AV81" s="1113">
        <v>0.11511393411591463</v>
      </c>
      <c r="AW81" s="817">
        <v>2010</v>
      </c>
      <c r="AY81" s="1348"/>
    </row>
    <row r="82" spans="1:51" s="86" customFormat="1">
      <c r="A82" s="798">
        <f t="shared" si="2"/>
        <v>1977</v>
      </c>
      <c r="B82" s="798">
        <f t="shared" si="3"/>
        <v>1</v>
      </c>
      <c r="C82" s="1104">
        <v>28157</v>
      </c>
      <c r="D82" s="805"/>
      <c r="E82" s="1102">
        <v>136.52000000000001</v>
      </c>
      <c r="F82" s="1102">
        <v>124.48248552000001</v>
      </c>
      <c r="G82" s="1103"/>
      <c r="H82" s="805"/>
      <c r="I82" s="1103"/>
      <c r="J82" s="1103"/>
      <c r="K82" s="84"/>
      <c r="L82" s="84"/>
      <c r="M82" s="84"/>
      <c r="N82" s="805"/>
      <c r="O82" s="941"/>
      <c r="P82" s="941"/>
      <c r="Q82" s="941"/>
      <c r="R82" s="805"/>
      <c r="S82" s="805"/>
      <c r="T82" s="805"/>
      <c r="U82" s="805"/>
      <c r="V82" s="805"/>
      <c r="W82" s="805"/>
      <c r="AJ82" s="817" t="s">
        <v>0</v>
      </c>
      <c r="AK82" s="874">
        <v>2009</v>
      </c>
      <c r="AL82" s="874" t="s">
        <v>38</v>
      </c>
      <c r="AM82" s="874">
        <v>2</v>
      </c>
      <c r="AN82" s="1114">
        <v>469136791.20999974</v>
      </c>
      <c r="AO82" s="1112">
        <v>0.14216620263570084</v>
      </c>
      <c r="AP82" s="817"/>
      <c r="AQ82" s="817" t="s">
        <v>0</v>
      </c>
      <c r="AR82" s="817" t="s">
        <v>611</v>
      </c>
      <c r="AS82" s="874" t="s">
        <v>452</v>
      </c>
      <c r="AT82" s="874"/>
      <c r="AU82" s="1114">
        <v>3538893403.1200008</v>
      </c>
      <c r="AV82" s="874"/>
      <c r="AW82" s="817">
        <v>2010</v>
      </c>
      <c r="AY82" s="1348"/>
    </row>
    <row r="83" spans="1:51" s="86" customFormat="1">
      <c r="A83" s="798">
        <f t="shared" si="2"/>
        <v>1977</v>
      </c>
      <c r="B83" s="798">
        <f t="shared" si="3"/>
        <v>1</v>
      </c>
      <c r="C83" s="1104">
        <v>28185</v>
      </c>
      <c r="D83" s="934"/>
      <c r="E83" s="1100">
        <v>148.37826086960001</v>
      </c>
      <c r="F83" s="1100">
        <v>134.51023509568373</v>
      </c>
      <c r="G83" s="1101"/>
      <c r="H83" s="935"/>
      <c r="I83" s="1101"/>
      <c r="J83" s="1101"/>
      <c r="K83" s="936"/>
      <c r="L83" s="936"/>
      <c r="M83" s="936"/>
      <c r="N83" s="937"/>
      <c r="O83" s="938"/>
      <c r="P83" s="938"/>
      <c r="Q83" s="938"/>
      <c r="R83" s="939"/>
      <c r="S83" s="940"/>
      <c r="T83" s="940"/>
      <c r="U83" s="1756"/>
      <c r="V83" s="1323"/>
      <c r="W83" s="1323"/>
      <c r="AJ83" s="817" t="s">
        <v>0</v>
      </c>
      <c r="AK83" s="874">
        <v>2009</v>
      </c>
      <c r="AL83" s="874" t="s">
        <v>40</v>
      </c>
      <c r="AM83" s="874">
        <v>3</v>
      </c>
      <c r="AN83" s="1114">
        <v>426591188.01999998</v>
      </c>
      <c r="AO83" s="1112">
        <v>0.129273274692942</v>
      </c>
      <c r="AP83" s="817"/>
      <c r="AQ83" s="817" t="s">
        <v>0</v>
      </c>
      <c r="AR83" s="817" t="s">
        <v>610</v>
      </c>
      <c r="AS83" s="874" t="s">
        <v>24</v>
      </c>
      <c r="AT83" s="874">
        <v>1</v>
      </c>
      <c r="AU83" s="1114">
        <v>991854734.85736406</v>
      </c>
      <c r="AV83" s="1113">
        <v>0.27091550533034003</v>
      </c>
      <c r="AW83" s="817">
        <v>2009</v>
      </c>
      <c r="AY83" s="3"/>
    </row>
    <row r="84" spans="1:51" s="86" customFormat="1">
      <c r="A84" s="798">
        <f t="shared" si="2"/>
        <v>1977</v>
      </c>
      <c r="B84" s="798">
        <f t="shared" si="3"/>
        <v>2</v>
      </c>
      <c r="C84" s="1104">
        <v>28216</v>
      </c>
      <c r="D84" s="805"/>
      <c r="E84" s="1102">
        <v>149.1671052632</v>
      </c>
      <c r="F84" s="1102">
        <v>135.05395793293286</v>
      </c>
      <c r="G84" s="1103"/>
      <c r="H84" s="805"/>
      <c r="I84" s="1103"/>
      <c r="J84" s="1103"/>
      <c r="K84" s="84"/>
      <c r="L84" s="84"/>
      <c r="M84" s="84"/>
      <c r="N84" s="805"/>
      <c r="O84" s="941"/>
      <c r="P84" s="941"/>
      <c r="Q84" s="941"/>
      <c r="R84" s="805"/>
      <c r="S84" s="805"/>
      <c r="T84" s="805"/>
      <c r="U84" s="805"/>
      <c r="V84" s="805"/>
      <c r="W84" s="805"/>
      <c r="AJ84" s="817" t="s">
        <v>0</v>
      </c>
      <c r="AK84" s="874">
        <v>2009</v>
      </c>
      <c r="AL84" s="874" t="s">
        <v>23</v>
      </c>
      <c r="AM84" s="874">
        <v>4</v>
      </c>
      <c r="AN84" s="1114">
        <v>396678485.30999988</v>
      </c>
      <c r="AO84" s="1112">
        <v>0.12020859369897628</v>
      </c>
      <c r="AP84" s="817"/>
      <c r="AQ84" s="817" t="s">
        <v>0</v>
      </c>
      <c r="AR84" s="817" t="s">
        <v>610</v>
      </c>
      <c r="AS84" s="874" t="s">
        <v>38</v>
      </c>
      <c r="AT84" s="874">
        <v>2</v>
      </c>
      <c r="AU84" s="1114">
        <v>520151374.25836855</v>
      </c>
      <c r="AV84" s="1113">
        <v>0.14207430529203618</v>
      </c>
      <c r="AW84" s="817">
        <v>2009</v>
      </c>
      <c r="AY84" s="1348"/>
    </row>
    <row r="85" spans="1:51" s="86" customFormat="1">
      <c r="A85" s="798">
        <f t="shared" si="2"/>
        <v>1977</v>
      </c>
      <c r="B85" s="798">
        <f t="shared" si="3"/>
        <v>2</v>
      </c>
      <c r="C85" s="1104">
        <v>28247</v>
      </c>
      <c r="D85" s="934"/>
      <c r="E85" s="1100">
        <v>146.50227272730001</v>
      </c>
      <c r="F85" s="1100">
        <v>132.7133323159338</v>
      </c>
      <c r="G85" s="1101"/>
      <c r="H85" s="935"/>
      <c r="I85" s="1101"/>
      <c r="J85" s="1101"/>
      <c r="K85" s="936"/>
      <c r="L85" s="936"/>
      <c r="M85" s="936"/>
      <c r="N85" s="937"/>
      <c r="O85" s="938"/>
      <c r="P85" s="938"/>
      <c r="Q85" s="938"/>
      <c r="R85" s="939"/>
      <c r="S85" s="940"/>
      <c r="T85" s="940"/>
      <c r="U85" s="1756"/>
      <c r="V85" s="1323"/>
      <c r="W85" s="1323"/>
      <c r="AJ85" s="817" t="s">
        <v>0</v>
      </c>
      <c r="AK85" s="874">
        <v>2009</v>
      </c>
      <c r="AL85" s="874" t="s">
        <v>32</v>
      </c>
      <c r="AM85" s="874">
        <v>5</v>
      </c>
      <c r="AN85" s="1114">
        <v>301851633.33000004</v>
      </c>
      <c r="AO85" s="1112">
        <v>9.1472468742492763E-2</v>
      </c>
      <c r="AP85" s="817"/>
      <c r="AQ85" s="817" t="s">
        <v>0</v>
      </c>
      <c r="AR85" s="817" t="s">
        <v>610</v>
      </c>
      <c r="AS85" s="874" t="s">
        <v>162</v>
      </c>
      <c r="AT85" s="874">
        <v>3</v>
      </c>
      <c r="AU85" s="1114">
        <v>471967056.88397598</v>
      </c>
      <c r="AV85" s="1113">
        <v>0.12891322612215322</v>
      </c>
      <c r="AW85" s="817">
        <v>2009</v>
      </c>
      <c r="AY85" s="1348"/>
    </row>
    <row r="86" spans="1:51" s="86" customFormat="1">
      <c r="A86" s="798">
        <f t="shared" si="2"/>
        <v>1977</v>
      </c>
      <c r="B86" s="798">
        <f t="shared" si="3"/>
        <v>2</v>
      </c>
      <c r="C86" s="1104">
        <v>28277</v>
      </c>
      <c r="D86" s="805"/>
      <c r="E86" s="1102">
        <v>140.745</v>
      </c>
      <c r="F86" s="1102">
        <v>126.17212195500001</v>
      </c>
      <c r="G86" s="1103"/>
      <c r="H86" s="805"/>
      <c r="I86" s="1103"/>
      <c r="J86" s="1103"/>
      <c r="K86" s="84"/>
      <c r="L86" s="84"/>
      <c r="M86" s="84"/>
      <c r="N86" s="805"/>
      <c r="O86" s="941"/>
      <c r="P86" s="941"/>
      <c r="Q86" s="941"/>
      <c r="R86" s="805"/>
      <c r="S86" s="805"/>
      <c r="T86" s="805"/>
      <c r="U86" s="805"/>
      <c r="V86" s="805"/>
      <c r="W86" s="805"/>
      <c r="AJ86" s="817" t="s">
        <v>0</v>
      </c>
      <c r="AK86" s="874">
        <v>2009</v>
      </c>
      <c r="AL86" s="874" t="s">
        <v>41</v>
      </c>
      <c r="AM86" s="874">
        <v>6</v>
      </c>
      <c r="AN86" s="1114">
        <v>203790049.66000006</v>
      </c>
      <c r="AO86" s="1112">
        <v>6.1756097662641729E-2</v>
      </c>
      <c r="AP86" s="817"/>
      <c r="AQ86" s="817" t="s">
        <v>0</v>
      </c>
      <c r="AR86" s="817" t="s">
        <v>610</v>
      </c>
      <c r="AS86" s="874" t="s">
        <v>23</v>
      </c>
      <c r="AT86" s="874">
        <v>4</v>
      </c>
      <c r="AU86" s="1114">
        <v>438872584.56960142</v>
      </c>
      <c r="AV86" s="1113">
        <v>0.11987379184251641</v>
      </c>
      <c r="AW86" s="817">
        <v>2009</v>
      </c>
      <c r="AY86" s="3"/>
    </row>
    <row r="87" spans="1:51" s="86" customFormat="1">
      <c r="A87" s="798">
        <f t="shared" si="2"/>
        <v>1977</v>
      </c>
      <c r="B87" s="798">
        <f t="shared" si="3"/>
        <v>3</v>
      </c>
      <c r="C87" s="1104">
        <v>28307</v>
      </c>
      <c r="D87" s="934"/>
      <c r="E87" s="1100">
        <v>143.43214285709999</v>
      </c>
      <c r="F87" s="1100">
        <v>127.77924967496182</v>
      </c>
      <c r="G87" s="1101"/>
      <c r="H87" s="935"/>
      <c r="I87" s="1101"/>
      <c r="J87" s="1101"/>
      <c r="K87" s="936"/>
      <c r="L87" s="936"/>
      <c r="M87" s="936"/>
      <c r="N87" s="937"/>
      <c r="O87" s="938"/>
      <c r="P87" s="938"/>
      <c r="Q87" s="938"/>
      <c r="R87" s="939"/>
      <c r="S87" s="940"/>
      <c r="T87" s="940"/>
      <c r="U87" s="1756"/>
      <c r="V87" s="1323"/>
      <c r="W87" s="1323"/>
      <c r="AJ87" s="817" t="s">
        <v>0</v>
      </c>
      <c r="AK87" s="874">
        <v>2009</v>
      </c>
      <c r="AL87" s="874" t="s">
        <v>22</v>
      </c>
      <c r="AM87" s="874">
        <v>7</v>
      </c>
      <c r="AN87" s="1114">
        <v>96084067.070000008</v>
      </c>
      <c r="AO87" s="1112">
        <v>2.9117108709176696E-2</v>
      </c>
      <c r="AP87" s="817"/>
      <c r="AQ87" s="817" t="s">
        <v>0</v>
      </c>
      <c r="AR87" s="817" t="s">
        <v>610</v>
      </c>
      <c r="AS87" s="874" t="s">
        <v>32</v>
      </c>
      <c r="AT87" s="874">
        <v>5</v>
      </c>
      <c r="AU87" s="1114">
        <v>333959141.67758656</v>
      </c>
      <c r="AV87" s="1113">
        <v>9.1217701995727138E-2</v>
      </c>
      <c r="AW87" s="817">
        <v>2009</v>
      </c>
      <c r="AY87" s="1348"/>
    </row>
    <row r="88" spans="1:51" s="86" customFormat="1">
      <c r="A88" s="798">
        <f t="shared" si="2"/>
        <v>1977</v>
      </c>
      <c r="B88" s="798">
        <f t="shared" si="3"/>
        <v>3</v>
      </c>
      <c r="C88" s="1104">
        <v>28338</v>
      </c>
      <c r="D88" s="805"/>
      <c r="E88" s="1102">
        <v>144.97840909089999</v>
      </c>
      <c r="F88" s="1102">
        <v>131.19023749430994</v>
      </c>
      <c r="G88" s="1103"/>
      <c r="H88" s="805"/>
      <c r="I88" s="1103"/>
      <c r="J88" s="1103"/>
      <c r="K88" s="84"/>
      <c r="L88" s="84"/>
      <c r="M88" s="84"/>
      <c r="N88" s="805"/>
      <c r="O88" s="941"/>
      <c r="P88" s="941"/>
      <c r="Q88" s="941"/>
      <c r="R88" s="805"/>
      <c r="S88" s="805"/>
      <c r="T88" s="805"/>
      <c r="U88" s="805"/>
      <c r="V88" s="805"/>
      <c r="W88" s="805"/>
      <c r="AJ88" s="817" t="s">
        <v>0</v>
      </c>
      <c r="AK88" s="874">
        <v>2009</v>
      </c>
      <c r="AL88" s="874" t="s">
        <v>28</v>
      </c>
      <c r="AM88" s="874">
        <v>8</v>
      </c>
      <c r="AN88" s="1114">
        <v>90246627.790000007</v>
      </c>
      <c r="AO88" s="1112">
        <v>2.7348143684255855E-2</v>
      </c>
      <c r="AP88" s="817"/>
      <c r="AQ88" s="817" t="s">
        <v>0</v>
      </c>
      <c r="AR88" s="817" t="s">
        <v>610</v>
      </c>
      <c r="AS88" s="874" t="s">
        <v>165</v>
      </c>
      <c r="AT88" s="874">
        <v>6</v>
      </c>
      <c r="AU88" s="1114">
        <v>225466893.50685829</v>
      </c>
      <c r="AV88" s="1113">
        <v>6.158409618164154E-2</v>
      </c>
      <c r="AW88" s="817">
        <v>2009</v>
      </c>
      <c r="AY88" s="1348"/>
    </row>
    <row r="89" spans="1:51" s="86" customFormat="1">
      <c r="A89" s="798">
        <f t="shared" si="2"/>
        <v>1977</v>
      </c>
      <c r="B89" s="798">
        <f t="shared" si="3"/>
        <v>3</v>
      </c>
      <c r="C89" s="1104">
        <v>28369</v>
      </c>
      <c r="D89" s="934"/>
      <c r="E89" s="1100">
        <v>149.75227272730001</v>
      </c>
      <c r="F89" s="1100">
        <v>135.20428868866099</v>
      </c>
      <c r="G89" s="1101"/>
      <c r="H89" s="935"/>
      <c r="I89" s="1101"/>
      <c r="J89" s="1101"/>
      <c r="K89" s="936"/>
      <c r="L89" s="936"/>
      <c r="M89" s="936"/>
      <c r="N89" s="937"/>
      <c r="O89" s="938"/>
      <c r="P89" s="938"/>
      <c r="Q89" s="938"/>
      <c r="R89" s="939"/>
      <c r="S89" s="940"/>
      <c r="T89" s="940"/>
      <c r="U89" s="1756"/>
      <c r="V89" s="1323"/>
      <c r="W89" s="1323"/>
      <c r="AJ89" s="817" t="s">
        <v>0</v>
      </c>
      <c r="AK89" s="874">
        <v>2009</v>
      </c>
      <c r="AL89" s="874" t="s">
        <v>36</v>
      </c>
      <c r="AM89" s="874">
        <v>9</v>
      </c>
      <c r="AN89" s="1114">
        <v>78358898.810000002</v>
      </c>
      <c r="AO89" s="1112">
        <v>2.374571190164074E-2</v>
      </c>
      <c r="AP89" s="817"/>
      <c r="AQ89" s="817" t="s">
        <v>0</v>
      </c>
      <c r="AR89" s="817" t="s">
        <v>610</v>
      </c>
      <c r="AS89" s="874" t="s">
        <v>22</v>
      </c>
      <c r="AT89" s="874">
        <v>7</v>
      </c>
      <c r="AU89" s="1114">
        <v>106304386.07734288</v>
      </c>
      <c r="AV89" s="1113">
        <v>2.9036012493418698E-2</v>
      </c>
      <c r="AW89" s="817">
        <v>2009</v>
      </c>
      <c r="AY89" s="3"/>
    </row>
    <row r="90" spans="1:51" s="86" customFormat="1">
      <c r="A90" s="798">
        <f t="shared" si="2"/>
        <v>1977</v>
      </c>
      <c r="B90" s="798">
        <f t="shared" si="3"/>
        <v>4</v>
      </c>
      <c r="C90" s="1104">
        <v>28401</v>
      </c>
      <c r="D90" s="805"/>
      <c r="E90" s="1102">
        <v>159.02738095239999</v>
      </c>
      <c r="F90" s="1102">
        <v>141.53373293811219</v>
      </c>
      <c r="G90" s="1103"/>
      <c r="H90" s="805"/>
      <c r="I90" s="1103"/>
      <c r="J90" s="1103"/>
      <c r="K90" s="84"/>
      <c r="L90" s="84"/>
      <c r="M90" s="84"/>
      <c r="N90" s="805"/>
      <c r="O90" s="941"/>
      <c r="P90" s="941"/>
      <c r="Q90" s="941"/>
      <c r="R90" s="805"/>
      <c r="S90" s="805"/>
      <c r="T90" s="805"/>
      <c r="U90" s="805"/>
      <c r="V90" s="805"/>
      <c r="W90" s="805"/>
      <c r="AJ90" s="817" t="s">
        <v>0</v>
      </c>
      <c r="AK90" s="874">
        <v>2009</v>
      </c>
      <c r="AL90" s="874" t="s">
        <v>27</v>
      </c>
      <c r="AM90" s="874">
        <v>10</v>
      </c>
      <c r="AN90" s="1114">
        <v>77942931.959999993</v>
      </c>
      <c r="AO90" s="1112">
        <v>2.3619658203455376E-2</v>
      </c>
      <c r="AP90" s="817"/>
      <c r="AQ90" s="817" t="s">
        <v>0</v>
      </c>
      <c r="AR90" s="817" t="s">
        <v>610</v>
      </c>
      <c r="AS90" s="874" t="s">
        <v>28</v>
      </c>
      <c r="AT90" s="874">
        <v>8</v>
      </c>
      <c r="AU90" s="1114">
        <v>99947909.459657371</v>
      </c>
      <c r="AV90" s="1113">
        <v>2.7299802527905544E-2</v>
      </c>
      <c r="AW90" s="817">
        <v>2009</v>
      </c>
      <c r="AY90" s="1348"/>
    </row>
    <row r="91" spans="1:51" s="86" customFormat="1">
      <c r="A91" s="798">
        <f t="shared" si="2"/>
        <v>1977</v>
      </c>
      <c r="B91" s="798">
        <f t="shared" si="3"/>
        <v>4</v>
      </c>
      <c r="C91" s="1104">
        <v>28430</v>
      </c>
      <c r="D91" s="934"/>
      <c r="E91" s="1100">
        <v>162.05000000000001</v>
      </c>
      <c r="F91" s="1100">
        <v>143.73786385000002</v>
      </c>
      <c r="G91" s="1101"/>
      <c r="H91" s="935"/>
      <c r="I91" s="1101"/>
      <c r="J91" s="1101"/>
      <c r="K91" s="936"/>
      <c r="L91" s="936"/>
      <c r="M91" s="936"/>
      <c r="N91" s="937"/>
      <c r="O91" s="938"/>
      <c r="P91" s="938"/>
      <c r="Q91" s="938"/>
      <c r="R91" s="939"/>
      <c r="S91" s="940"/>
      <c r="T91" s="940"/>
      <c r="U91" s="1756"/>
      <c r="V91" s="1323"/>
      <c r="W91" s="1323"/>
      <c r="AJ91" s="817" t="s">
        <v>0</v>
      </c>
      <c r="AK91" s="874">
        <v>2009</v>
      </c>
      <c r="AL91" s="874" t="s">
        <v>45</v>
      </c>
      <c r="AM91" s="874"/>
      <c r="AN91" s="1114">
        <v>262604882.28000021</v>
      </c>
      <c r="AO91" s="1112">
        <v>7.9579217846146841E-2</v>
      </c>
      <c r="AP91" s="817"/>
      <c r="AQ91" s="817" t="s">
        <v>0</v>
      </c>
      <c r="AR91" s="817" t="s">
        <v>610</v>
      </c>
      <c r="AS91" s="874" t="s">
        <v>36</v>
      </c>
      <c r="AT91" s="874">
        <v>9</v>
      </c>
      <c r="AU91" s="1114">
        <v>86693818.087707683</v>
      </c>
      <c r="AV91" s="1113">
        <v>2.3679575960914741E-2</v>
      </c>
      <c r="AW91" s="817">
        <v>2009</v>
      </c>
      <c r="AY91" s="1348"/>
    </row>
    <row r="92" spans="1:51" s="86" customFormat="1">
      <c r="A92" s="798">
        <f t="shared" si="2"/>
        <v>1977</v>
      </c>
      <c r="B92" s="798">
        <f t="shared" si="3"/>
        <v>4</v>
      </c>
      <c r="C92" s="1104">
        <v>28460</v>
      </c>
      <c r="D92" s="805"/>
      <c r="E92" s="1102">
        <v>160.32916666669999</v>
      </c>
      <c r="F92" s="1102">
        <v>140.46710851252919</v>
      </c>
      <c r="G92" s="1103"/>
      <c r="H92" s="805"/>
      <c r="I92" s="1103"/>
      <c r="J92" s="1103"/>
      <c r="K92" s="84"/>
      <c r="L92" s="84"/>
      <c r="M92" s="84"/>
      <c r="N92" s="805"/>
      <c r="O92" s="941"/>
      <c r="P92" s="941"/>
      <c r="Q92" s="941"/>
      <c r="R92" s="805"/>
      <c r="S92" s="805"/>
      <c r="T92" s="805"/>
      <c r="U92" s="805"/>
      <c r="V92" s="805"/>
      <c r="W92" s="805"/>
      <c r="AJ92" s="817" t="s">
        <v>0</v>
      </c>
      <c r="AK92" s="874">
        <v>2009</v>
      </c>
      <c r="AL92" s="874" t="s">
        <v>452</v>
      </c>
      <c r="AM92" s="874"/>
      <c r="AN92" s="1114">
        <v>3299917860.3099995</v>
      </c>
      <c r="AO92" s="1112"/>
      <c r="AP92" s="817"/>
      <c r="AQ92" s="817" t="s">
        <v>0</v>
      </c>
      <c r="AR92" s="817" t="s">
        <v>610</v>
      </c>
      <c r="AS92" s="874" t="s">
        <v>27</v>
      </c>
      <c r="AT92" s="874">
        <v>10</v>
      </c>
      <c r="AU92" s="1114">
        <v>86447250.976157621</v>
      </c>
      <c r="AV92" s="1113">
        <v>2.3612228544729816E-2</v>
      </c>
      <c r="AW92" s="817">
        <v>2009</v>
      </c>
      <c r="AY92" s="3"/>
    </row>
    <row r="93" spans="1:51" s="86" customFormat="1">
      <c r="A93" s="798">
        <f t="shared" si="2"/>
        <v>1978</v>
      </c>
      <c r="B93" s="798">
        <f t="shared" si="3"/>
        <v>1</v>
      </c>
      <c r="C93" s="1104">
        <v>28492</v>
      </c>
      <c r="D93" s="934"/>
      <c r="E93" s="1100">
        <v>173.35</v>
      </c>
      <c r="F93" s="1100">
        <v>152.30184299999999</v>
      </c>
      <c r="G93" s="1101"/>
      <c r="H93" s="935"/>
      <c r="I93" s="1101"/>
      <c r="J93" s="1101"/>
      <c r="K93" s="936"/>
      <c r="L93" s="936"/>
      <c r="M93" s="936"/>
      <c r="N93" s="937"/>
      <c r="O93" s="938"/>
      <c r="P93" s="938"/>
      <c r="Q93" s="938"/>
      <c r="R93" s="939"/>
      <c r="S93" s="940"/>
      <c r="T93" s="940"/>
      <c r="U93" s="1756"/>
      <c r="V93" s="1323"/>
      <c r="W93" s="1323"/>
      <c r="AJ93" s="817" t="s">
        <v>0</v>
      </c>
      <c r="AK93" s="874">
        <v>2008</v>
      </c>
      <c r="AL93" s="874" t="s">
        <v>23</v>
      </c>
      <c r="AM93" s="874">
        <v>1</v>
      </c>
      <c r="AN93" s="1114">
        <v>708997178.98999989</v>
      </c>
      <c r="AO93" s="1112">
        <v>0.16327158528672142</v>
      </c>
      <c r="AP93" s="817"/>
      <c r="AQ93" s="817" t="s">
        <v>0</v>
      </c>
      <c r="AR93" s="817" t="s">
        <v>610</v>
      </c>
      <c r="AS93" s="874" t="s">
        <v>45</v>
      </c>
      <c r="AT93" s="874"/>
      <c r="AU93" s="1114">
        <v>299456916.64537954</v>
      </c>
      <c r="AV93" s="1113">
        <v>8.1793753708616662E-2</v>
      </c>
      <c r="AW93" s="817">
        <v>2009</v>
      </c>
      <c r="AY93" s="1348"/>
    </row>
    <row r="94" spans="1:51" s="86" customFormat="1">
      <c r="A94" s="798">
        <f t="shared" si="2"/>
        <v>1978</v>
      </c>
      <c r="B94" s="798">
        <f t="shared" si="3"/>
        <v>1</v>
      </c>
      <c r="C94" s="1104">
        <v>28522</v>
      </c>
      <c r="D94" s="805"/>
      <c r="E94" s="1102">
        <v>178.3075</v>
      </c>
      <c r="F94" s="1102">
        <v>156.891699405</v>
      </c>
      <c r="G94" s="1103"/>
      <c r="H94" s="805"/>
      <c r="I94" s="1103"/>
      <c r="J94" s="1103"/>
      <c r="K94" s="84"/>
      <c r="L94" s="84"/>
      <c r="M94" s="84"/>
      <c r="N94" s="805"/>
      <c r="O94" s="941"/>
      <c r="P94" s="941"/>
      <c r="Q94" s="941"/>
      <c r="R94" s="805"/>
      <c r="S94" s="805"/>
      <c r="T94" s="805"/>
      <c r="U94" s="805"/>
      <c r="V94" s="805"/>
      <c r="W94" s="805"/>
      <c r="AJ94" s="817" t="s">
        <v>0</v>
      </c>
      <c r="AK94" s="874">
        <v>2008</v>
      </c>
      <c r="AL94" s="874" t="s">
        <v>40</v>
      </c>
      <c r="AM94" s="874">
        <v>2</v>
      </c>
      <c r="AN94" s="1114">
        <v>672143508.62</v>
      </c>
      <c r="AO94" s="1112">
        <v>0.15478472897296869</v>
      </c>
      <c r="AP94" s="817"/>
      <c r="AQ94" s="817" t="s">
        <v>0</v>
      </c>
      <c r="AR94" s="817" t="s">
        <v>610</v>
      </c>
      <c r="AS94" s="874" t="s">
        <v>452</v>
      </c>
      <c r="AT94" s="874"/>
      <c r="AU94" s="1114">
        <v>3661122067</v>
      </c>
      <c r="AV94" s="874"/>
      <c r="AW94" s="817">
        <v>2009</v>
      </c>
      <c r="AY94" s="1348"/>
    </row>
    <row r="95" spans="1:51" s="86" customFormat="1">
      <c r="A95" s="798">
        <f t="shared" si="2"/>
        <v>1978</v>
      </c>
      <c r="B95" s="798">
        <f t="shared" si="3"/>
        <v>1</v>
      </c>
      <c r="C95" s="1104">
        <v>28550</v>
      </c>
      <c r="D95" s="934"/>
      <c r="E95" s="1100">
        <v>183.6833333333</v>
      </c>
      <c r="F95" s="1100">
        <v>160.68875156663751</v>
      </c>
      <c r="G95" s="1101"/>
      <c r="H95" s="935"/>
      <c r="I95" s="1101"/>
      <c r="J95" s="1101"/>
      <c r="K95" s="936"/>
      <c r="L95" s="936"/>
      <c r="M95" s="936"/>
      <c r="N95" s="937"/>
      <c r="O95" s="938"/>
      <c r="P95" s="938"/>
      <c r="Q95" s="938"/>
      <c r="R95" s="939"/>
      <c r="S95" s="940"/>
      <c r="T95" s="940"/>
      <c r="U95" s="1756"/>
      <c r="V95" s="1323"/>
      <c r="W95" s="1323"/>
      <c r="AJ95" s="817" t="s">
        <v>0</v>
      </c>
      <c r="AK95" s="874">
        <v>2008</v>
      </c>
      <c r="AL95" s="874" t="s">
        <v>24</v>
      </c>
      <c r="AM95" s="874">
        <v>3</v>
      </c>
      <c r="AN95" s="1114">
        <v>660985564.25000024</v>
      </c>
      <c r="AO95" s="1112">
        <v>0.15221521907953567</v>
      </c>
      <c r="AP95" s="817"/>
      <c r="AQ95" s="817" t="s">
        <v>0</v>
      </c>
      <c r="AR95" s="817" t="s">
        <v>609</v>
      </c>
      <c r="AS95" s="874" t="s">
        <v>24</v>
      </c>
      <c r="AT95" s="874">
        <v>1</v>
      </c>
      <c r="AU95" s="1114">
        <v>833260879.08000016</v>
      </c>
      <c r="AV95" s="1113">
        <v>0.20322622756671099</v>
      </c>
      <c r="AW95" s="817">
        <v>2008</v>
      </c>
      <c r="AY95" s="3"/>
    </row>
    <row r="96" spans="1:51" s="86" customFormat="1">
      <c r="A96" s="798">
        <f t="shared" si="2"/>
        <v>1978</v>
      </c>
      <c r="B96" s="798">
        <f t="shared" si="3"/>
        <v>2</v>
      </c>
      <c r="C96" s="1104">
        <v>28583</v>
      </c>
      <c r="D96" s="805"/>
      <c r="E96" s="1102">
        <v>174.70394736840001</v>
      </c>
      <c r="F96" s="1102">
        <v>153.7616610855078</v>
      </c>
      <c r="G96" s="1103"/>
      <c r="H96" s="805"/>
      <c r="I96" s="1103"/>
      <c r="J96" s="1103"/>
      <c r="K96" s="84"/>
      <c r="L96" s="84"/>
      <c r="M96" s="84"/>
      <c r="N96" s="805"/>
      <c r="O96" s="941"/>
      <c r="P96" s="941"/>
      <c r="Q96" s="941"/>
      <c r="R96" s="805"/>
      <c r="S96" s="805"/>
      <c r="T96" s="805"/>
      <c r="U96" s="805"/>
      <c r="V96" s="805"/>
      <c r="W96" s="805"/>
      <c r="AJ96" s="817" t="s">
        <v>0</v>
      </c>
      <c r="AK96" s="874">
        <v>2008</v>
      </c>
      <c r="AL96" s="874" t="s">
        <v>38</v>
      </c>
      <c r="AM96" s="874">
        <v>4</v>
      </c>
      <c r="AN96" s="1114">
        <v>568341943.97000003</v>
      </c>
      <c r="AO96" s="1112">
        <v>0.13088076077976571</v>
      </c>
      <c r="AP96" s="817"/>
      <c r="AQ96" s="817" t="s">
        <v>0</v>
      </c>
      <c r="AR96" s="817" t="s">
        <v>609</v>
      </c>
      <c r="AS96" s="874" t="s">
        <v>23</v>
      </c>
      <c r="AT96" s="874">
        <v>2</v>
      </c>
      <c r="AU96" s="1114">
        <v>594276406.40999997</v>
      </c>
      <c r="AV96" s="1113">
        <v>0.14493966444212567</v>
      </c>
      <c r="AW96" s="817">
        <v>2008</v>
      </c>
      <c r="AY96" s="1348"/>
    </row>
    <row r="97" spans="1:51" s="86" customFormat="1">
      <c r="A97" s="798">
        <f t="shared" si="2"/>
        <v>1978</v>
      </c>
      <c r="B97" s="798">
        <f t="shared" si="3"/>
        <v>2</v>
      </c>
      <c r="C97" s="1104">
        <v>28611</v>
      </c>
      <c r="D97" s="934"/>
      <c r="E97" s="1100">
        <v>176.6428571429</v>
      </c>
      <c r="F97" s="1100">
        <v>156.29342335718079</v>
      </c>
      <c r="G97" s="1101"/>
      <c r="H97" s="935"/>
      <c r="I97" s="1101"/>
      <c r="J97" s="1101"/>
      <c r="K97" s="936"/>
      <c r="L97" s="936"/>
      <c r="M97" s="936"/>
      <c r="N97" s="937"/>
      <c r="O97" s="938"/>
      <c r="P97" s="938"/>
      <c r="Q97" s="938"/>
      <c r="R97" s="939"/>
      <c r="S97" s="940"/>
      <c r="T97" s="940"/>
      <c r="U97" s="1756"/>
      <c r="V97" s="1323"/>
      <c r="W97" s="1323"/>
      <c r="AJ97" s="817" t="s">
        <v>0</v>
      </c>
      <c r="AK97" s="874">
        <v>2008</v>
      </c>
      <c r="AL97" s="874" t="s">
        <v>32</v>
      </c>
      <c r="AM97" s="874">
        <v>5</v>
      </c>
      <c r="AN97" s="1114">
        <v>420151567.44999993</v>
      </c>
      <c r="AO97" s="1112">
        <v>9.6754704406560005E-2</v>
      </c>
      <c r="AP97" s="817"/>
      <c r="AQ97" s="817" t="s">
        <v>0</v>
      </c>
      <c r="AR97" s="817" t="s">
        <v>609</v>
      </c>
      <c r="AS97" s="874" t="s">
        <v>162</v>
      </c>
      <c r="AT97" s="874">
        <v>3</v>
      </c>
      <c r="AU97" s="1114">
        <v>575396501.14999998</v>
      </c>
      <c r="AV97" s="1113">
        <v>0.14033499378118813</v>
      </c>
      <c r="AW97" s="817">
        <v>2008</v>
      </c>
      <c r="AY97" s="1348"/>
    </row>
    <row r="98" spans="1:51" s="86" customFormat="1">
      <c r="A98" s="798">
        <f t="shared" si="2"/>
        <v>1978</v>
      </c>
      <c r="B98" s="798">
        <f t="shared" si="3"/>
        <v>2</v>
      </c>
      <c r="C98" s="1104">
        <v>28642</v>
      </c>
      <c r="D98" s="805"/>
      <c r="E98" s="1102">
        <v>183.7556818182</v>
      </c>
      <c r="F98" s="1102">
        <v>160.13572647728859</v>
      </c>
      <c r="G98" s="1103"/>
      <c r="H98" s="805"/>
      <c r="I98" s="1103"/>
      <c r="J98" s="1103"/>
      <c r="K98" s="84"/>
      <c r="L98" s="84"/>
      <c r="M98" s="84"/>
      <c r="N98" s="805"/>
      <c r="O98" s="941"/>
      <c r="P98" s="941"/>
      <c r="Q98" s="941"/>
      <c r="R98" s="805"/>
      <c r="S98" s="805"/>
      <c r="T98" s="805"/>
      <c r="U98" s="805"/>
      <c r="V98" s="805"/>
      <c r="W98" s="805"/>
      <c r="AJ98" s="817" t="s">
        <v>0</v>
      </c>
      <c r="AK98" s="874">
        <v>2008</v>
      </c>
      <c r="AL98" s="874" t="s">
        <v>453</v>
      </c>
      <c r="AM98" s="874">
        <v>6</v>
      </c>
      <c r="AN98" s="1114">
        <v>263355594.13</v>
      </c>
      <c r="AO98" s="1112">
        <v>6.0646906111791403E-2</v>
      </c>
      <c r="AP98" s="817"/>
      <c r="AQ98" s="817" t="s">
        <v>0</v>
      </c>
      <c r="AR98" s="817" t="s">
        <v>609</v>
      </c>
      <c r="AS98" s="874" t="s">
        <v>38</v>
      </c>
      <c r="AT98" s="874">
        <v>4</v>
      </c>
      <c r="AU98" s="1114">
        <v>556446679.08000004</v>
      </c>
      <c r="AV98" s="1113">
        <v>0.1357132709221977</v>
      </c>
      <c r="AW98" s="817">
        <v>2008</v>
      </c>
      <c r="AY98" s="3"/>
    </row>
    <row r="99" spans="1:51" s="86" customFormat="1">
      <c r="A99" s="798">
        <f t="shared" si="2"/>
        <v>1978</v>
      </c>
      <c r="B99" s="798">
        <f t="shared" si="3"/>
        <v>3</v>
      </c>
      <c r="C99" s="1104">
        <v>28674</v>
      </c>
      <c r="D99" s="934"/>
      <c r="E99" s="1100">
        <v>189.2464285714</v>
      </c>
      <c r="F99" s="1100">
        <v>163.83555362140385</v>
      </c>
      <c r="G99" s="1101"/>
      <c r="H99" s="935"/>
      <c r="I99" s="1101"/>
      <c r="J99" s="1101"/>
      <c r="K99" s="936"/>
      <c r="L99" s="936"/>
      <c r="M99" s="936"/>
      <c r="N99" s="937"/>
      <c r="O99" s="938"/>
      <c r="P99" s="938"/>
      <c r="Q99" s="938"/>
      <c r="R99" s="939"/>
      <c r="S99" s="940"/>
      <c r="T99" s="940"/>
      <c r="U99" s="1756"/>
      <c r="V99" s="1323"/>
      <c r="W99" s="1323"/>
      <c r="AJ99" s="817" t="s">
        <v>0</v>
      </c>
      <c r="AK99" s="874">
        <v>2008</v>
      </c>
      <c r="AL99" s="874" t="s">
        <v>65</v>
      </c>
      <c r="AM99" s="874">
        <v>7</v>
      </c>
      <c r="AN99" s="1114">
        <v>242568462.67999998</v>
      </c>
      <c r="AO99" s="1112">
        <v>5.5859936563845095E-2</v>
      </c>
      <c r="AP99" s="817"/>
      <c r="AQ99" s="817" t="s">
        <v>0</v>
      </c>
      <c r="AR99" s="817" t="s">
        <v>609</v>
      </c>
      <c r="AS99" s="874" t="s">
        <v>32</v>
      </c>
      <c r="AT99" s="874">
        <v>5</v>
      </c>
      <c r="AU99" s="1114">
        <v>418766474.67999995</v>
      </c>
      <c r="AV99" s="1113">
        <v>0.10213407711470905</v>
      </c>
      <c r="AW99" s="817">
        <v>2008</v>
      </c>
      <c r="AY99" s="1348"/>
    </row>
    <row r="100" spans="1:51" s="86" customFormat="1">
      <c r="A100" s="798">
        <f t="shared" si="2"/>
        <v>1978</v>
      </c>
      <c r="B100" s="798">
        <f t="shared" si="3"/>
        <v>3</v>
      </c>
      <c r="C100" s="1104">
        <v>28703</v>
      </c>
      <c r="D100" s="805"/>
      <c r="E100" s="1102">
        <v>206.3659090909</v>
      </c>
      <c r="F100" s="1102">
        <v>179.12148177271939</v>
      </c>
      <c r="G100" s="1103"/>
      <c r="H100" s="805"/>
      <c r="I100" s="1103"/>
      <c r="J100" s="1103"/>
      <c r="K100" s="84"/>
      <c r="L100" s="84"/>
      <c r="M100" s="84"/>
      <c r="N100" s="805"/>
      <c r="O100" s="941"/>
      <c r="P100" s="941"/>
      <c r="Q100" s="941"/>
      <c r="R100" s="805"/>
      <c r="S100" s="805"/>
      <c r="T100" s="805"/>
      <c r="U100" s="805"/>
      <c r="V100" s="805"/>
      <c r="W100" s="805"/>
      <c r="AJ100" s="817" t="s">
        <v>0</v>
      </c>
      <c r="AK100" s="874">
        <v>2008</v>
      </c>
      <c r="AL100" s="874" t="s">
        <v>41</v>
      </c>
      <c r="AM100" s="874">
        <v>8</v>
      </c>
      <c r="AN100" s="1114">
        <v>223250760.30000001</v>
      </c>
      <c r="AO100" s="1112">
        <v>5.1411354841456952E-2</v>
      </c>
      <c r="AP100" s="817"/>
      <c r="AQ100" s="817" t="s">
        <v>0</v>
      </c>
      <c r="AR100" s="817" t="s">
        <v>609</v>
      </c>
      <c r="AS100" s="874" t="s">
        <v>165</v>
      </c>
      <c r="AT100" s="874">
        <v>6</v>
      </c>
      <c r="AU100" s="1114">
        <v>257132714.26000005</v>
      </c>
      <c r="AV100" s="1113">
        <v>6.2712786373391963E-2</v>
      </c>
      <c r="AW100" s="817">
        <v>2008</v>
      </c>
      <c r="AY100" s="1348"/>
    </row>
    <row r="101" spans="1:51" s="86" customFormat="1">
      <c r="A101" s="798">
        <f t="shared" si="2"/>
        <v>1978</v>
      </c>
      <c r="B101" s="798">
        <f t="shared" si="3"/>
        <v>3</v>
      </c>
      <c r="C101" s="1104">
        <v>28734</v>
      </c>
      <c r="D101" s="934"/>
      <c r="E101" s="1100">
        <v>212.2928571429</v>
      </c>
      <c r="F101" s="1100">
        <v>183.54904116432277</v>
      </c>
      <c r="G101" s="1101"/>
      <c r="H101" s="935"/>
      <c r="I101" s="1101"/>
      <c r="J101" s="1101"/>
      <c r="K101" s="936"/>
      <c r="L101" s="936"/>
      <c r="M101" s="936"/>
      <c r="N101" s="937"/>
      <c r="O101" s="938"/>
      <c r="P101" s="938"/>
      <c r="Q101" s="938"/>
      <c r="R101" s="939"/>
      <c r="S101" s="940"/>
      <c r="T101" s="940"/>
      <c r="U101" s="1756"/>
      <c r="V101" s="1323"/>
      <c r="W101" s="1323"/>
      <c r="AJ101" s="817" t="s">
        <v>0</v>
      </c>
      <c r="AK101" s="874">
        <v>2008</v>
      </c>
      <c r="AL101" s="874" t="s">
        <v>34</v>
      </c>
      <c r="AM101" s="874">
        <v>9</v>
      </c>
      <c r="AN101" s="1114">
        <v>132427916.67</v>
      </c>
      <c r="AO101" s="1112">
        <v>3.0496194528911811E-2</v>
      </c>
      <c r="AP101" s="817"/>
      <c r="AQ101" s="817" t="s">
        <v>0</v>
      </c>
      <c r="AR101" s="817" t="s">
        <v>609</v>
      </c>
      <c r="AS101" s="874" t="s">
        <v>453</v>
      </c>
      <c r="AT101" s="874">
        <v>7</v>
      </c>
      <c r="AU101" s="1114">
        <v>158173357.88</v>
      </c>
      <c r="AV101" s="1113">
        <v>3.8577323897652352E-2</v>
      </c>
      <c r="AW101" s="817">
        <v>2008</v>
      </c>
      <c r="AY101" s="3"/>
    </row>
    <row r="102" spans="1:51" s="86" customFormat="1">
      <c r="A102" s="798">
        <f t="shared" si="2"/>
        <v>1978</v>
      </c>
      <c r="B102" s="798">
        <f t="shared" si="3"/>
        <v>4</v>
      </c>
      <c r="C102" s="1104">
        <v>28765</v>
      </c>
      <c r="D102" s="805"/>
      <c r="E102" s="1102">
        <v>227.6295454545</v>
      </c>
      <c r="F102" s="1102">
        <v>191.43007409996179</v>
      </c>
      <c r="G102" s="1103"/>
      <c r="H102" s="805"/>
      <c r="I102" s="1103"/>
      <c r="J102" s="1103"/>
      <c r="K102" s="84"/>
      <c r="L102" s="84"/>
      <c r="M102" s="84"/>
      <c r="N102" s="805"/>
      <c r="O102" s="941"/>
      <c r="P102" s="941"/>
      <c r="Q102" s="941"/>
      <c r="R102" s="805"/>
      <c r="S102" s="805"/>
      <c r="T102" s="805"/>
      <c r="U102" s="805"/>
      <c r="V102" s="805"/>
      <c r="W102" s="805"/>
      <c r="AJ102" s="817" t="s">
        <v>0</v>
      </c>
      <c r="AK102" s="874">
        <v>2008</v>
      </c>
      <c r="AL102" s="874" t="s">
        <v>28</v>
      </c>
      <c r="AM102" s="874">
        <v>10</v>
      </c>
      <c r="AN102" s="1114">
        <v>117018953.22999999</v>
      </c>
      <c r="AO102" s="1112">
        <v>2.6947737690116099E-2</v>
      </c>
      <c r="AP102" s="817"/>
      <c r="AQ102" s="817" t="s">
        <v>0</v>
      </c>
      <c r="AR102" s="817" t="s">
        <v>609</v>
      </c>
      <c r="AS102" s="874" t="s">
        <v>65</v>
      </c>
      <c r="AT102" s="874">
        <v>8</v>
      </c>
      <c r="AU102" s="1114">
        <v>138539946.33000004</v>
      </c>
      <c r="AV102" s="1113">
        <v>3.378887856948988E-2</v>
      </c>
      <c r="AW102" s="817">
        <v>2008</v>
      </c>
      <c r="AY102" s="1348"/>
    </row>
    <row r="103" spans="1:51" s="86" customFormat="1">
      <c r="A103" s="798">
        <f t="shared" si="2"/>
        <v>1978</v>
      </c>
      <c r="B103" s="798">
        <f t="shared" si="3"/>
        <v>4</v>
      </c>
      <c r="C103" s="1104">
        <v>28795</v>
      </c>
      <c r="D103" s="934"/>
      <c r="E103" s="1100">
        <v>205.3261363636</v>
      </c>
      <c r="F103" s="1100">
        <v>180.69706098064981</v>
      </c>
      <c r="G103" s="1101"/>
      <c r="H103" s="935"/>
      <c r="I103" s="1101"/>
      <c r="J103" s="1101"/>
      <c r="K103" s="936"/>
      <c r="L103" s="936"/>
      <c r="M103" s="936"/>
      <c r="N103" s="937"/>
      <c r="O103" s="938"/>
      <c r="P103" s="938"/>
      <c r="Q103" s="938"/>
      <c r="R103" s="939"/>
      <c r="S103" s="940"/>
      <c r="T103" s="940"/>
      <c r="U103" s="1756"/>
      <c r="V103" s="1323"/>
      <c r="W103" s="1323"/>
      <c r="AJ103" s="817" t="s">
        <v>0</v>
      </c>
      <c r="AK103" s="874">
        <v>2008</v>
      </c>
      <c r="AL103" s="874" t="s">
        <v>45</v>
      </c>
      <c r="AM103" s="874"/>
      <c r="AN103" s="1114">
        <v>333199261.27000046</v>
      </c>
      <c r="AO103" s="1112">
        <v>7.6730871738327142E-2</v>
      </c>
      <c r="AP103" s="817"/>
      <c r="AQ103" s="817" t="s">
        <v>0</v>
      </c>
      <c r="AR103" s="817" t="s">
        <v>609</v>
      </c>
      <c r="AS103" s="874" t="s">
        <v>34</v>
      </c>
      <c r="AT103" s="874">
        <v>9</v>
      </c>
      <c r="AU103" s="1114">
        <v>125392522.83</v>
      </c>
      <c r="AV103" s="1113">
        <v>3.0582318238616114E-2</v>
      </c>
      <c r="AW103" s="817">
        <v>2008</v>
      </c>
      <c r="AY103" s="1348"/>
    </row>
    <row r="104" spans="1:51" s="86" customFormat="1">
      <c r="A104" s="798">
        <f t="shared" si="2"/>
        <v>1978</v>
      </c>
      <c r="B104" s="798">
        <f t="shared" si="3"/>
        <v>4</v>
      </c>
      <c r="C104" s="1104">
        <v>28825</v>
      </c>
      <c r="D104" s="805"/>
      <c r="E104" s="1102">
        <v>207.69583333329999</v>
      </c>
      <c r="F104" s="1102">
        <v>180.52651828747102</v>
      </c>
      <c r="G104" s="1103"/>
      <c r="H104" s="805"/>
      <c r="I104" s="1103"/>
      <c r="J104" s="1103"/>
      <c r="K104" s="84"/>
      <c r="L104" s="84"/>
      <c r="M104" s="84"/>
      <c r="N104" s="805"/>
      <c r="O104" s="941"/>
      <c r="P104" s="941"/>
      <c r="Q104" s="941"/>
      <c r="R104" s="805"/>
      <c r="S104" s="805"/>
      <c r="T104" s="805"/>
      <c r="U104" s="805"/>
      <c r="V104" s="805"/>
      <c r="W104" s="805"/>
      <c r="AJ104" s="817" t="s">
        <v>0</v>
      </c>
      <c r="AK104" s="874">
        <v>2008</v>
      </c>
      <c r="AL104" s="874" t="s">
        <v>452</v>
      </c>
      <c r="AM104" s="874"/>
      <c r="AN104" s="1114">
        <v>4342440711.5600004</v>
      </c>
      <c r="AO104" s="1112"/>
      <c r="AP104" s="817"/>
      <c r="AQ104" s="817" t="s">
        <v>0</v>
      </c>
      <c r="AR104" s="817" t="s">
        <v>609</v>
      </c>
      <c r="AS104" s="874" t="s">
        <v>28</v>
      </c>
      <c r="AT104" s="874">
        <v>10</v>
      </c>
      <c r="AU104" s="1114">
        <v>112543766.14</v>
      </c>
      <c r="AV104" s="1113">
        <v>2.7448600555968799E-2</v>
      </c>
      <c r="AW104" s="817">
        <v>2008</v>
      </c>
      <c r="AY104" s="3"/>
    </row>
    <row r="105" spans="1:51" s="86" customFormat="1">
      <c r="A105" s="798">
        <f t="shared" si="2"/>
        <v>1979</v>
      </c>
      <c r="B105" s="798">
        <f t="shared" si="3"/>
        <v>1</v>
      </c>
      <c r="C105" s="1104">
        <v>28856</v>
      </c>
      <c r="D105" s="934"/>
      <c r="E105" s="1100">
        <v>227.33068181819999</v>
      </c>
      <c r="F105" s="1100">
        <v>200.57408789887967</v>
      </c>
      <c r="G105" s="1101"/>
      <c r="H105" s="935"/>
      <c r="I105" s="1101"/>
      <c r="J105" s="1101"/>
      <c r="K105" s="936"/>
      <c r="L105" s="936"/>
      <c r="M105" s="936"/>
      <c r="N105" s="937"/>
      <c r="O105" s="938"/>
      <c r="P105" s="938"/>
      <c r="Q105" s="938"/>
      <c r="R105" s="939"/>
      <c r="S105" s="940"/>
      <c r="T105" s="940"/>
      <c r="U105" s="1756"/>
      <c r="V105" s="1323"/>
      <c r="W105" s="1323"/>
      <c r="AJ105" s="817" t="s">
        <v>3</v>
      </c>
      <c r="AK105" s="874">
        <v>2015</v>
      </c>
      <c r="AL105" s="874" t="s">
        <v>31</v>
      </c>
      <c r="AM105" s="874">
        <v>1</v>
      </c>
      <c r="AN105" s="1114">
        <v>1153369212.23</v>
      </c>
      <c r="AO105" s="1112">
        <v>0.45832016711519769</v>
      </c>
      <c r="AP105" s="817"/>
      <c r="AQ105" s="817" t="s">
        <v>0</v>
      </c>
      <c r="AR105" s="817" t="s">
        <v>609</v>
      </c>
      <c r="AS105" s="874" t="s">
        <v>45</v>
      </c>
      <c r="AT105" s="874"/>
      <c r="AU105" s="1114">
        <v>330234835.58999968</v>
      </c>
      <c r="AV105" s="1113">
        <v>8.0541858537949318E-2</v>
      </c>
      <c r="AW105" s="817">
        <v>2008</v>
      </c>
      <c r="AY105" s="1348"/>
    </row>
    <row r="106" spans="1:51" s="86" customFormat="1">
      <c r="A106" s="798">
        <f t="shared" si="2"/>
        <v>1979</v>
      </c>
      <c r="B106" s="798">
        <f t="shared" si="3"/>
        <v>1</v>
      </c>
      <c r="C106" s="1104">
        <v>28887</v>
      </c>
      <c r="D106" s="805"/>
      <c r="E106" s="1102">
        <v>246.15625</v>
      </c>
      <c r="F106" s="1102">
        <v>218.16557665625001</v>
      </c>
      <c r="G106" s="1103"/>
      <c r="H106" s="805"/>
      <c r="I106" s="1103"/>
      <c r="J106" s="1103"/>
      <c r="K106" s="84"/>
      <c r="L106" s="84"/>
      <c r="M106" s="84"/>
      <c r="N106" s="805"/>
      <c r="O106" s="941"/>
      <c r="P106" s="941"/>
      <c r="Q106" s="941"/>
      <c r="R106" s="805"/>
      <c r="S106" s="805"/>
      <c r="T106" s="805"/>
      <c r="U106" s="805"/>
      <c r="V106" s="805"/>
      <c r="W106" s="805"/>
      <c r="AJ106" s="817" t="s">
        <v>3</v>
      </c>
      <c r="AK106" s="874">
        <v>2015</v>
      </c>
      <c r="AL106" s="874" t="s">
        <v>24</v>
      </c>
      <c r="AM106" s="874">
        <v>2</v>
      </c>
      <c r="AN106" s="1114">
        <v>599310132.35000002</v>
      </c>
      <c r="AO106" s="1112">
        <v>0.23815090354406698</v>
      </c>
      <c r="AP106" s="817"/>
      <c r="AQ106" s="817" t="s">
        <v>0</v>
      </c>
      <c r="AR106" s="817" t="s">
        <v>609</v>
      </c>
      <c r="AS106" s="874" t="s">
        <v>452</v>
      </c>
      <c r="AT106" s="874"/>
      <c r="AU106" s="1114">
        <v>4100164083.4299998</v>
      </c>
      <c r="AV106" s="874"/>
      <c r="AW106" s="817">
        <v>2008</v>
      </c>
      <c r="AY106" s="1348"/>
    </row>
    <row r="107" spans="1:51" s="86" customFormat="1">
      <c r="A107" s="798">
        <f t="shared" si="2"/>
        <v>1979</v>
      </c>
      <c r="B107" s="798">
        <f t="shared" si="3"/>
        <v>1</v>
      </c>
      <c r="C107" s="1104">
        <v>28915</v>
      </c>
      <c r="D107" s="934"/>
      <c r="E107" s="1100">
        <v>241.8409090909</v>
      </c>
      <c r="F107" s="1100">
        <v>216.27687395453734</v>
      </c>
      <c r="G107" s="1101"/>
      <c r="H107" s="935"/>
      <c r="I107" s="1101"/>
      <c r="J107" s="1101"/>
      <c r="K107" s="936"/>
      <c r="L107" s="936"/>
      <c r="M107" s="936"/>
      <c r="N107" s="937"/>
      <c r="O107" s="938"/>
      <c r="P107" s="938"/>
      <c r="Q107" s="938"/>
      <c r="R107" s="939"/>
      <c r="S107" s="940"/>
      <c r="T107" s="940"/>
      <c r="U107" s="1756"/>
      <c r="V107" s="1323"/>
      <c r="W107" s="1323"/>
      <c r="AJ107" s="817" t="s">
        <v>3</v>
      </c>
      <c r="AK107" s="874">
        <v>2015</v>
      </c>
      <c r="AL107" s="874" t="s">
        <v>70</v>
      </c>
      <c r="AM107" s="874">
        <v>3</v>
      </c>
      <c r="AN107" s="1114">
        <v>136583776.70999998</v>
      </c>
      <c r="AO107" s="1112">
        <v>5.4274987318170917E-2</v>
      </c>
      <c r="AP107" s="817"/>
      <c r="AQ107" s="817" t="s">
        <v>0</v>
      </c>
      <c r="AR107" s="817" t="s">
        <v>608</v>
      </c>
      <c r="AS107" s="874" t="s">
        <v>24</v>
      </c>
      <c r="AT107" s="874">
        <v>1</v>
      </c>
      <c r="AU107" s="1114">
        <v>735391718.79999983</v>
      </c>
      <c r="AV107" s="1113">
        <v>0.1844729725338857</v>
      </c>
      <c r="AW107" s="817">
        <v>2007</v>
      </c>
      <c r="AY107" s="3"/>
    </row>
    <row r="108" spans="1:51" s="86" customFormat="1">
      <c r="A108" s="798">
        <f t="shared" si="2"/>
        <v>1979</v>
      </c>
      <c r="B108" s="798">
        <f t="shared" si="3"/>
        <v>2</v>
      </c>
      <c r="C108" s="1104">
        <v>28947</v>
      </c>
      <c r="D108" s="805"/>
      <c r="E108" s="1102">
        <v>239.3605263158</v>
      </c>
      <c r="F108" s="1102">
        <v>217.12680574737797</v>
      </c>
      <c r="G108" s="1103"/>
      <c r="H108" s="805"/>
      <c r="I108" s="1103"/>
      <c r="J108" s="1103"/>
      <c r="K108" s="84"/>
      <c r="L108" s="84"/>
      <c r="M108" s="84"/>
      <c r="N108" s="805"/>
      <c r="O108" s="941"/>
      <c r="P108" s="941"/>
      <c r="Q108" s="941"/>
      <c r="R108" s="805"/>
      <c r="S108" s="805"/>
      <c r="T108" s="805"/>
      <c r="U108" s="805"/>
      <c r="V108" s="805"/>
      <c r="W108" s="805"/>
      <c r="AJ108" s="817" t="s">
        <v>3</v>
      </c>
      <c r="AK108" s="874">
        <v>2015</v>
      </c>
      <c r="AL108" s="874" t="s">
        <v>29</v>
      </c>
      <c r="AM108" s="874">
        <v>4</v>
      </c>
      <c r="AN108" s="1114">
        <v>111185230.85999998</v>
      </c>
      <c r="AO108" s="1112">
        <v>4.4182238478492619E-2</v>
      </c>
      <c r="AP108" s="817"/>
      <c r="AQ108" s="817" t="s">
        <v>0</v>
      </c>
      <c r="AR108" s="817" t="s">
        <v>608</v>
      </c>
      <c r="AS108" s="874" t="s">
        <v>23</v>
      </c>
      <c r="AT108" s="874">
        <v>2</v>
      </c>
      <c r="AU108" s="1114">
        <v>638515856.45999992</v>
      </c>
      <c r="AV108" s="1113">
        <v>0.1601716677519868</v>
      </c>
      <c r="AW108" s="817">
        <v>2007</v>
      </c>
      <c r="AY108" s="1348"/>
    </row>
    <row r="109" spans="1:51" s="86" customFormat="1">
      <c r="A109" s="798">
        <f t="shared" si="2"/>
        <v>1979</v>
      </c>
      <c r="B109" s="798">
        <f t="shared" si="3"/>
        <v>2</v>
      </c>
      <c r="C109" s="1104">
        <v>28976</v>
      </c>
      <c r="D109" s="934"/>
      <c r="E109" s="1100">
        <v>258.27380952380003</v>
      </c>
      <c r="F109" s="1100">
        <v>233.77421422618187</v>
      </c>
      <c r="G109" s="1101"/>
      <c r="H109" s="935"/>
      <c r="I109" s="1101"/>
      <c r="J109" s="1101"/>
      <c r="K109" s="936"/>
      <c r="L109" s="936"/>
      <c r="M109" s="936"/>
      <c r="N109" s="937"/>
      <c r="O109" s="938"/>
      <c r="P109" s="938"/>
      <c r="Q109" s="938"/>
      <c r="R109" s="939"/>
      <c r="S109" s="940"/>
      <c r="T109" s="940"/>
      <c r="U109" s="1756"/>
      <c r="V109" s="1323"/>
      <c r="W109" s="1323"/>
      <c r="AJ109" s="817" t="s">
        <v>3</v>
      </c>
      <c r="AK109" s="874">
        <v>2015</v>
      </c>
      <c r="AL109" s="874" t="s">
        <v>41</v>
      </c>
      <c r="AM109" s="874">
        <v>5</v>
      </c>
      <c r="AN109" s="1114">
        <v>85893768.76000002</v>
      </c>
      <c r="AO109" s="1112">
        <v>3.4132042051064376E-2</v>
      </c>
      <c r="AP109" s="817"/>
      <c r="AQ109" s="817" t="s">
        <v>0</v>
      </c>
      <c r="AR109" s="817" t="s">
        <v>608</v>
      </c>
      <c r="AS109" s="874" t="s">
        <v>38</v>
      </c>
      <c r="AT109" s="874">
        <v>3</v>
      </c>
      <c r="AU109" s="1114">
        <v>597646915.80000019</v>
      </c>
      <c r="AV109" s="1113">
        <v>0.14991969621746434</v>
      </c>
      <c r="AW109" s="817">
        <v>2007</v>
      </c>
      <c r="AY109" s="1348"/>
    </row>
    <row r="110" spans="1:51" s="86" customFormat="1">
      <c r="A110" s="798">
        <f t="shared" si="2"/>
        <v>1979</v>
      </c>
      <c r="B110" s="798">
        <f t="shared" si="3"/>
        <v>2</v>
      </c>
      <c r="C110" s="1104">
        <v>29007</v>
      </c>
      <c r="D110" s="805"/>
      <c r="E110" s="1102">
        <v>279.24285714289999</v>
      </c>
      <c r="F110" s="1102">
        <v>249.07932295718109</v>
      </c>
      <c r="G110" s="1103"/>
      <c r="H110" s="805"/>
      <c r="I110" s="1103"/>
      <c r="J110" s="1103"/>
      <c r="K110" s="84"/>
      <c r="L110" s="84"/>
      <c r="M110" s="84"/>
      <c r="N110" s="805"/>
      <c r="O110" s="941"/>
      <c r="P110" s="941"/>
      <c r="Q110" s="941"/>
      <c r="R110" s="805"/>
      <c r="S110" s="805"/>
      <c r="T110" s="805"/>
      <c r="U110" s="805"/>
      <c r="V110" s="805"/>
      <c r="W110" s="805"/>
      <c r="AJ110" s="817" t="s">
        <v>3</v>
      </c>
      <c r="AK110" s="874">
        <v>2015</v>
      </c>
      <c r="AL110" s="874" t="s">
        <v>66</v>
      </c>
      <c r="AM110" s="874">
        <v>6</v>
      </c>
      <c r="AN110" s="1114">
        <v>85645456.129999995</v>
      </c>
      <c r="AO110" s="1112">
        <v>3.4033368803268571E-2</v>
      </c>
      <c r="AP110" s="817"/>
      <c r="AQ110" s="817" t="s">
        <v>0</v>
      </c>
      <c r="AR110" s="817" t="s">
        <v>608</v>
      </c>
      <c r="AS110" s="874" t="s">
        <v>162</v>
      </c>
      <c r="AT110" s="874">
        <v>4</v>
      </c>
      <c r="AU110" s="1114">
        <v>584217459.3499999</v>
      </c>
      <c r="AV110" s="1113">
        <v>0.1465509177997682</v>
      </c>
      <c r="AW110" s="817">
        <v>2007</v>
      </c>
      <c r="AY110" s="3"/>
    </row>
    <row r="111" spans="1:51" s="86" customFormat="1">
      <c r="A111" s="798">
        <f t="shared" si="2"/>
        <v>1979</v>
      </c>
      <c r="B111" s="798">
        <f t="shared" si="3"/>
        <v>3</v>
      </c>
      <c r="C111" s="1104">
        <v>29038</v>
      </c>
      <c r="D111" s="934"/>
      <c r="E111" s="1100">
        <v>294.85909090910002</v>
      </c>
      <c r="F111" s="1100">
        <v>260.89102877728078</v>
      </c>
      <c r="G111" s="1101"/>
      <c r="H111" s="935"/>
      <c r="I111" s="1101"/>
      <c r="J111" s="1101"/>
      <c r="K111" s="936"/>
      <c r="L111" s="936"/>
      <c r="M111" s="936"/>
      <c r="N111" s="937"/>
      <c r="O111" s="938"/>
      <c r="P111" s="938"/>
      <c r="Q111" s="938"/>
      <c r="R111" s="939"/>
      <c r="S111" s="940"/>
      <c r="T111" s="940"/>
      <c r="U111" s="1756"/>
      <c r="V111" s="1323"/>
      <c r="W111" s="1323"/>
      <c r="AJ111" s="817" t="s">
        <v>3</v>
      </c>
      <c r="AK111" s="874">
        <v>2015</v>
      </c>
      <c r="AL111" s="874" t="s">
        <v>69</v>
      </c>
      <c r="AM111" s="874">
        <v>7</v>
      </c>
      <c r="AN111" s="1114">
        <v>63307829.289999992</v>
      </c>
      <c r="AO111" s="1112">
        <v>2.5156952857960546E-2</v>
      </c>
      <c r="AP111" s="817"/>
      <c r="AQ111" s="817" t="s">
        <v>0</v>
      </c>
      <c r="AR111" s="817" t="s">
        <v>608</v>
      </c>
      <c r="AS111" s="874" t="s">
        <v>32</v>
      </c>
      <c r="AT111" s="874">
        <v>5</v>
      </c>
      <c r="AU111" s="1114">
        <v>343277955.83999997</v>
      </c>
      <c r="AV111" s="1113">
        <v>8.6111256491294558E-2</v>
      </c>
      <c r="AW111" s="817">
        <v>2007</v>
      </c>
      <c r="AY111" s="1348"/>
    </row>
    <row r="112" spans="1:51" s="86" customFormat="1">
      <c r="A112" s="798">
        <f t="shared" si="2"/>
        <v>1979</v>
      </c>
      <c r="B112" s="798">
        <f t="shared" si="3"/>
        <v>3</v>
      </c>
      <c r="C112" s="1104">
        <v>29068</v>
      </c>
      <c r="D112" s="805"/>
      <c r="E112" s="1102">
        <v>301.55454545449999</v>
      </c>
      <c r="F112" s="1102">
        <v>267.24095528177787</v>
      </c>
      <c r="G112" s="1103"/>
      <c r="H112" s="805"/>
      <c r="I112" s="1103"/>
      <c r="J112" s="1103"/>
      <c r="K112" s="84"/>
      <c r="L112" s="84"/>
      <c r="M112" s="84"/>
      <c r="N112" s="805"/>
      <c r="O112" s="941"/>
      <c r="P112" s="941"/>
      <c r="Q112" s="941"/>
      <c r="R112" s="805"/>
      <c r="S112" s="805"/>
      <c r="T112" s="805"/>
      <c r="U112" s="805"/>
      <c r="V112" s="805"/>
      <c r="W112" s="805"/>
      <c r="AJ112" s="817" t="s">
        <v>3</v>
      </c>
      <c r="AK112" s="874">
        <v>2015</v>
      </c>
      <c r="AL112" s="874" t="s">
        <v>64</v>
      </c>
      <c r="AM112" s="874">
        <v>8</v>
      </c>
      <c r="AN112" s="1114">
        <v>57952664.039999999</v>
      </c>
      <c r="AO112" s="1112">
        <v>2.3028943711987215E-2</v>
      </c>
      <c r="AP112" s="817"/>
      <c r="AQ112" s="817" t="s">
        <v>0</v>
      </c>
      <c r="AR112" s="817" t="s">
        <v>608</v>
      </c>
      <c r="AS112" s="874" t="s">
        <v>65</v>
      </c>
      <c r="AT112" s="874">
        <v>6</v>
      </c>
      <c r="AU112" s="1114">
        <v>224310348.78</v>
      </c>
      <c r="AV112" s="1113">
        <v>5.6268238751833045E-2</v>
      </c>
      <c r="AW112" s="817">
        <v>2007</v>
      </c>
      <c r="AY112" s="1348"/>
    </row>
    <row r="113" spans="1:51" s="86" customFormat="1">
      <c r="A113" s="798">
        <f t="shared" si="2"/>
        <v>1979</v>
      </c>
      <c r="B113" s="798">
        <f t="shared" si="3"/>
        <v>3</v>
      </c>
      <c r="C113" s="1104">
        <v>29101</v>
      </c>
      <c r="D113" s="934"/>
      <c r="E113" s="1100">
        <v>357.41125</v>
      </c>
      <c r="F113" s="1100">
        <v>316.34898630999999</v>
      </c>
      <c r="G113" s="1101"/>
      <c r="H113" s="935"/>
      <c r="I113" s="1101"/>
      <c r="J113" s="1101"/>
      <c r="K113" s="936"/>
      <c r="L113" s="936"/>
      <c r="M113" s="936"/>
      <c r="N113" s="937"/>
      <c r="O113" s="938"/>
      <c r="P113" s="938"/>
      <c r="Q113" s="938"/>
      <c r="R113" s="939"/>
      <c r="S113" s="940"/>
      <c r="T113" s="940"/>
      <c r="U113" s="1756"/>
      <c r="V113" s="1323"/>
      <c r="W113" s="1323"/>
      <c r="AJ113" s="817" t="s">
        <v>3</v>
      </c>
      <c r="AK113" s="874">
        <v>2015</v>
      </c>
      <c r="AL113" s="874" t="s">
        <v>27</v>
      </c>
      <c r="AM113" s="874">
        <v>9</v>
      </c>
      <c r="AN113" s="1114">
        <v>57326301.210000008</v>
      </c>
      <c r="AO113" s="1112">
        <v>2.2780042740922369E-2</v>
      </c>
      <c r="AP113" s="817"/>
      <c r="AQ113" s="817" t="s">
        <v>0</v>
      </c>
      <c r="AR113" s="817" t="s">
        <v>608</v>
      </c>
      <c r="AS113" s="874" t="s">
        <v>165</v>
      </c>
      <c r="AT113" s="874">
        <v>7</v>
      </c>
      <c r="AU113" s="1114">
        <v>217135240.74000001</v>
      </c>
      <c r="AV113" s="1113">
        <v>5.4468363291513167E-2</v>
      </c>
      <c r="AW113" s="817">
        <v>2007</v>
      </c>
      <c r="AY113" s="3"/>
    </row>
    <row r="114" spans="1:51" s="86" customFormat="1">
      <c r="A114" s="798">
        <f t="shared" si="2"/>
        <v>1979</v>
      </c>
      <c r="B114" s="798">
        <f t="shared" si="3"/>
        <v>4</v>
      </c>
      <c r="C114" s="1104">
        <v>29129</v>
      </c>
      <c r="D114" s="805"/>
      <c r="E114" s="1102">
        <v>390.86847826090002</v>
      </c>
      <c r="F114" s="1102">
        <v>356.17694647285384</v>
      </c>
      <c r="G114" s="1103"/>
      <c r="H114" s="805"/>
      <c r="I114" s="1103"/>
      <c r="J114" s="1103"/>
      <c r="K114" s="84"/>
      <c r="L114" s="84"/>
      <c r="M114" s="84"/>
      <c r="N114" s="805"/>
      <c r="O114" s="941"/>
      <c r="P114" s="941"/>
      <c r="Q114" s="941"/>
      <c r="R114" s="805"/>
      <c r="S114" s="805"/>
      <c r="T114" s="805"/>
      <c r="U114" s="805"/>
      <c r="V114" s="805"/>
      <c r="W114" s="805"/>
      <c r="AJ114" s="817" t="s">
        <v>3</v>
      </c>
      <c r="AK114" s="874">
        <v>2015</v>
      </c>
      <c r="AL114" s="874" t="s">
        <v>33</v>
      </c>
      <c r="AM114" s="874">
        <v>10</v>
      </c>
      <c r="AN114" s="1114">
        <v>52529136.829999998</v>
      </c>
      <c r="AO114" s="1112">
        <v>2.0873769227630221E-2</v>
      </c>
      <c r="AP114" s="817"/>
      <c r="AQ114" s="817" t="s">
        <v>0</v>
      </c>
      <c r="AR114" s="817" t="s">
        <v>608</v>
      </c>
      <c r="AS114" s="874" t="s">
        <v>34</v>
      </c>
      <c r="AT114" s="874">
        <v>8</v>
      </c>
      <c r="AU114" s="1114">
        <v>89413293.359999985</v>
      </c>
      <c r="AV114" s="1113">
        <v>2.2429319760465524E-2</v>
      </c>
      <c r="AW114" s="817">
        <v>2007</v>
      </c>
      <c r="AY114" s="1348"/>
    </row>
    <row r="115" spans="1:51" s="86" customFormat="1">
      <c r="A115" s="798">
        <f t="shared" si="2"/>
        <v>1979</v>
      </c>
      <c r="B115" s="798">
        <f t="shared" si="3"/>
        <v>4</v>
      </c>
      <c r="C115" s="1104">
        <v>29160</v>
      </c>
      <c r="D115" s="934"/>
      <c r="E115" s="1100">
        <v>393.13522727269998</v>
      </c>
      <c r="F115" s="1100">
        <v>359.29021555679321</v>
      </c>
      <c r="G115" s="1101"/>
      <c r="H115" s="935"/>
      <c r="I115" s="1101"/>
      <c r="J115" s="1101"/>
      <c r="K115" s="936"/>
      <c r="L115" s="936"/>
      <c r="M115" s="936"/>
      <c r="N115" s="937"/>
      <c r="O115" s="938"/>
      <c r="P115" s="938"/>
      <c r="Q115" s="938"/>
      <c r="R115" s="939"/>
      <c r="S115" s="940"/>
      <c r="T115" s="940"/>
      <c r="U115" s="1756"/>
      <c r="V115" s="1323"/>
      <c r="W115" s="1323"/>
      <c r="AJ115" s="817" t="s">
        <v>3</v>
      </c>
      <c r="AK115" s="874">
        <v>2015</v>
      </c>
      <c r="AL115" s="874" t="s">
        <v>45</v>
      </c>
      <c r="AM115" s="874"/>
      <c r="AN115" s="1114">
        <v>113410699.3100009</v>
      </c>
      <c r="AO115" s="1112">
        <v>4.5066584151238577E-2</v>
      </c>
      <c r="AP115" s="817"/>
      <c r="AQ115" s="817" t="s">
        <v>0</v>
      </c>
      <c r="AR115" s="817" t="s">
        <v>608</v>
      </c>
      <c r="AS115" s="874" t="s">
        <v>28</v>
      </c>
      <c r="AT115" s="874">
        <v>9</v>
      </c>
      <c r="AU115" s="1114">
        <v>76398687.209999993</v>
      </c>
      <c r="AV115" s="1113">
        <v>1.916460651788789E-2</v>
      </c>
      <c r="AW115" s="817">
        <v>2007</v>
      </c>
      <c r="AY115" s="1348"/>
    </row>
    <row r="116" spans="1:51" s="86" customFormat="1">
      <c r="A116" s="798">
        <f t="shared" si="2"/>
        <v>1979</v>
      </c>
      <c r="B116" s="798">
        <f t="shared" si="3"/>
        <v>4</v>
      </c>
      <c r="C116" s="1104">
        <v>29192</v>
      </c>
      <c r="D116" s="805"/>
      <c r="E116" s="1102">
        <v>455.92096774189997</v>
      </c>
      <c r="F116" s="1102">
        <v>412.41151794835497</v>
      </c>
      <c r="G116" s="1103"/>
      <c r="H116" s="805"/>
      <c r="I116" s="1103"/>
      <c r="J116" s="1103"/>
      <c r="K116" s="84"/>
      <c r="L116" s="84"/>
      <c r="M116" s="84"/>
      <c r="N116" s="805"/>
      <c r="O116" s="941"/>
      <c r="P116" s="941"/>
      <c r="Q116" s="941"/>
      <c r="R116" s="805"/>
      <c r="S116" s="805"/>
      <c r="T116" s="805"/>
      <c r="U116" s="805"/>
      <c r="V116" s="805"/>
      <c r="W116" s="805"/>
      <c r="AJ116" s="817" t="s">
        <v>3</v>
      </c>
      <c r="AK116" s="874">
        <v>2015</v>
      </c>
      <c r="AL116" s="874" t="s">
        <v>452</v>
      </c>
      <c r="AM116" s="874"/>
      <c r="AN116" s="1114">
        <v>2516514207.7200007</v>
      </c>
      <c r="AO116" s="1112"/>
      <c r="AP116" s="817"/>
      <c r="AQ116" s="817" t="s">
        <v>0</v>
      </c>
      <c r="AR116" s="817" t="s">
        <v>608</v>
      </c>
      <c r="AS116" s="874" t="s">
        <v>156</v>
      </c>
      <c r="AT116" s="874">
        <v>10</v>
      </c>
      <c r="AU116" s="1114">
        <v>67676068.400000006</v>
      </c>
      <c r="AV116" s="1113">
        <v>1.6976538065354367E-2</v>
      </c>
      <c r="AW116" s="817">
        <v>2007</v>
      </c>
      <c r="AY116" s="3"/>
    </row>
    <row r="117" spans="1:51" s="86" customFormat="1">
      <c r="A117" s="798">
        <f t="shared" si="2"/>
        <v>1980</v>
      </c>
      <c r="B117" s="798">
        <f t="shared" si="3"/>
        <v>1</v>
      </c>
      <c r="C117" s="1104">
        <v>29221</v>
      </c>
      <c r="D117" s="934"/>
      <c r="E117" s="1100">
        <v>677.96818181820004</v>
      </c>
      <c r="F117" s="1100">
        <v>612.49272669092556</v>
      </c>
      <c r="G117" s="1101"/>
      <c r="H117" s="935"/>
      <c r="I117" s="1101"/>
      <c r="J117" s="1101"/>
      <c r="K117" s="936"/>
      <c r="L117" s="936"/>
      <c r="M117" s="936"/>
      <c r="N117" s="937"/>
      <c r="O117" s="938"/>
      <c r="P117" s="938"/>
      <c r="Q117" s="938"/>
      <c r="R117" s="939"/>
      <c r="S117" s="940"/>
      <c r="T117" s="940"/>
      <c r="U117" s="1756"/>
      <c r="V117" s="1323"/>
      <c r="W117" s="1323"/>
      <c r="AJ117" s="817" t="s">
        <v>3</v>
      </c>
      <c r="AK117" s="817">
        <v>2014</v>
      </c>
      <c r="AL117" s="874" t="s">
        <v>31</v>
      </c>
      <c r="AM117" s="874">
        <v>1</v>
      </c>
      <c r="AN117" s="1114">
        <v>1096001602</v>
      </c>
      <c r="AO117" s="1112">
        <v>0.40100000000000002</v>
      </c>
      <c r="AP117" s="817"/>
      <c r="AQ117" s="817" t="s">
        <v>0</v>
      </c>
      <c r="AR117" s="817" t="s">
        <v>608</v>
      </c>
      <c r="AS117" s="874" t="s">
        <v>45</v>
      </c>
      <c r="AT117" s="874"/>
      <c r="AU117" s="1114">
        <v>412463405.71999836</v>
      </c>
      <c r="AV117" s="1113">
        <v>0.10346642281854621</v>
      </c>
      <c r="AW117" s="817">
        <v>2007</v>
      </c>
      <c r="AY117" s="1348"/>
    </row>
    <row r="118" spans="1:51" s="86" customFormat="1">
      <c r="A118" s="798">
        <f t="shared" si="2"/>
        <v>1980</v>
      </c>
      <c r="B118" s="798">
        <f t="shared" si="3"/>
        <v>1</v>
      </c>
      <c r="C118" s="1104">
        <v>29252</v>
      </c>
      <c r="D118" s="805"/>
      <c r="E118" s="1102">
        <v>664.30357142859998</v>
      </c>
      <c r="F118" s="1102">
        <v>604.62718869645448</v>
      </c>
      <c r="G118" s="1103"/>
      <c r="H118" s="805"/>
      <c r="I118" s="1103"/>
      <c r="J118" s="1103"/>
      <c r="K118" s="84"/>
      <c r="L118" s="84"/>
      <c r="M118" s="84"/>
      <c r="N118" s="805"/>
      <c r="O118" s="941"/>
      <c r="P118" s="941"/>
      <c r="Q118" s="941"/>
      <c r="R118" s="805"/>
      <c r="S118" s="805"/>
      <c r="T118" s="805"/>
      <c r="U118" s="805"/>
      <c r="V118" s="805"/>
      <c r="W118" s="805"/>
      <c r="AJ118" s="817" t="s">
        <v>3</v>
      </c>
      <c r="AK118" s="817">
        <v>2014</v>
      </c>
      <c r="AL118" s="874" t="s">
        <v>24</v>
      </c>
      <c r="AM118" s="874">
        <v>2</v>
      </c>
      <c r="AN118" s="1114">
        <v>709117603</v>
      </c>
      <c r="AO118" s="1112">
        <v>0.26</v>
      </c>
      <c r="AP118" s="817"/>
      <c r="AQ118" s="817" t="s">
        <v>0</v>
      </c>
      <c r="AR118" s="817" t="s">
        <v>608</v>
      </c>
      <c r="AS118" s="874" t="s">
        <v>452</v>
      </c>
      <c r="AT118" s="874"/>
      <c r="AU118" s="1114">
        <v>3986446950.4599991</v>
      </c>
      <c r="AV118" s="874"/>
      <c r="AW118" s="817">
        <v>2007</v>
      </c>
      <c r="AY118" s="1348"/>
    </row>
    <row r="119" spans="1:51" s="86" customFormat="1">
      <c r="A119" s="798">
        <f t="shared" si="2"/>
        <v>1980</v>
      </c>
      <c r="B119" s="798">
        <f t="shared" si="3"/>
        <v>1</v>
      </c>
      <c r="C119" s="1104">
        <v>29283</v>
      </c>
      <c r="D119" s="934"/>
      <c r="E119" s="1100">
        <v>550.62261904759998</v>
      </c>
      <c r="F119" s="1100">
        <v>508.3766492237919</v>
      </c>
      <c r="G119" s="1101"/>
      <c r="H119" s="935"/>
      <c r="I119" s="1101"/>
      <c r="J119" s="1101"/>
      <c r="K119" s="936"/>
      <c r="L119" s="936"/>
      <c r="M119" s="936"/>
      <c r="N119" s="937"/>
      <c r="O119" s="938"/>
      <c r="P119" s="938"/>
      <c r="Q119" s="938"/>
      <c r="R119" s="939"/>
      <c r="S119" s="940"/>
      <c r="T119" s="940"/>
      <c r="U119" s="1756"/>
      <c r="V119" s="1323"/>
      <c r="W119" s="1323"/>
      <c r="AJ119" s="817" t="s">
        <v>3</v>
      </c>
      <c r="AK119" s="817">
        <v>2014</v>
      </c>
      <c r="AL119" s="874" t="s">
        <v>29</v>
      </c>
      <c r="AM119" s="874">
        <v>3</v>
      </c>
      <c r="AN119" s="1114">
        <v>210725419</v>
      </c>
      <c r="AO119" s="1112">
        <v>7.6999999999999999E-2</v>
      </c>
      <c r="AP119" s="817"/>
      <c r="AQ119" s="817" t="s">
        <v>0</v>
      </c>
      <c r="AR119" s="817" t="s">
        <v>607</v>
      </c>
      <c r="AS119" s="874" t="s">
        <v>24</v>
      </c>
      <c r="AT119" s="874">
        <v>1</v>
      </c>
      <c r="AU119" s="1114">
        <v>972318685.42252743</v>
      </c>
      <c r="AV119" s="1113">
        <v>0.20867483729336431</v>
      </c>
      <c r="AW119" s="817">
        <v>2006</v>
      </c>
      <c r="AY119" s="3"/>
    </row>
    <row r="120" spans="1:51" s="86" customFormat="1">
      <c r="A120" s="798">
        <f t="shared" si="2"/>
        <v>1980</v>
      </c>
      <c r="B120" s="798">
        <f t="shared" si="3"/>
        <v>2</v>
      </c>
      <c r="C120" s="1104">
        <v>29312</v>
      </c>
      <c r="D120" s="805"/>
      <c r="E120" s="1102">
        <v>516.92250000000001</v>
      </c>
      <c r="F120" s="1102">
        <v>463.81543311750005</v>
      </c>
      <c r="G120" s="1103"/>
      <c r="H120" s="805"/>
      <c r="I120" s="1103"/>
      <c r="J120" s="1103"/>
      <c r="K120" s="84"/>
      <c r="L120" s="84"/>
      <c r="M120" s="84"/>
      <c r="N120" s="805"/>
      <c r="O120" s="941"/>
      <c r="P120" s="941"/>
      <c r="Q120" s="941"/>
      <c r="R120" s="805"/>
      <c r="S120" s="805"/>
      <c r="T120" s="805"/>
      <c r="U120" s="805"/>
      <c r="V120" s="805"/>
      <c r="W120" s="805"/>
      <c r="AJ120" s="817" t="s">
        <v>3</v>
      </c>
      <c r="AK120" s="817">
        <v>2014</v>
      </c>
      <c r="AL120" s="874" t="s">
        <v>70</v>
      </c>
      <c r="AM120" s="874">
        <v>4</v>
      </c>
      <c r="AN120" s="1114">
        <v>207192692</v>
      </c>
      <c r="AO120" s="1112">
        <v>7.5999999999999998E-2</v>
      </c>
      <c r="AP120" s="817"/>
      <c r="AQ120" s="817" t="s">
        <v>0</v>
      </c>
      <c r="AR120" s="817" t="s">
        <v>607</v>
      </c>
      <c r="AS120" s="874" t="s">
        <v>23</v>
      </c>
      <c r="AT120" s="874">
        <v>2</v>
      </c>
      <c r="AU120" s="1114">
        <v>814615092.74104667</v>
      </c>
      <c r="AV120" s="1113">
        <v>0.17482917327726419</v>
      </c>
      <c r="AW120" s="817">
        <v>2006</v>
      </c>
      <c r="AY120" s="1348"/>
    </row>
    <row r="121" spans="1:51" s="86" customFormat="1">
      <c r="A121" s="798">
        <f t="shared" si="2"/>
        <v>1980</v>
      </c>
      <c r="B121" s="798">
        <f t="shared" si="3"/>
        <v>2</v>
      </c>
      <c r="C121" s="1104">
        <v>29342</v>
      </c>
      <c r="D121" s="934"/>
      <c r="E121" s="1100">
        <v>515.60749999999996</v>
      </c>
      <c r="F121" s="1100">
        <v>451.25813717749998</v>
      </c>
      <c r="G121" s="1101"/>
      <c r="H121" s="935"/>
      <c r="I121" s="1101"/>
      <c r="J121" s="1101"/>
      <c r="K121" s="936"/>
      <c r="L121" s="936"/>
      <c r="M121" s="936"/>
      <c r="N121" s="937"/>
      <c r="O121" s="938"/>
      <c r="P121" s="938"/>
      <c r="Q121" s="938"/>
      <c r="R121" s="939"/>
      <c r="S121" s="940"/>
      <c r="T121" s="940"/>
      <c r="U121" s="1756"/>
      <c r="V121" s="1323"/>
      <c r="W121" s="1323"/>
      <c r="AJ121" s="817" t="s">
        <v>3</v>
      </c>
      <c r="AK121" s="817">
        <v>2014</v>
      </c>
      <c r="AL121" s="874" t="s">
        <v>41</v>
      </c>
      <c r="AM121" s="874">
        <v>5</v>
      </c>
      <c r="AN121" s="1114">
        <v>148313983</v>
      </c>
      <c r="AO121" s="1112">
        <v>5.3999999999999999E-2</v>
      </c>
      <c r="AP121" s="817"/>
      <c r="AQ121" s="817" t="s">
        <v>0</v>
      </c>
      <c r="AR121" s="817" t="s">
        <v>607</v>
      </c>
      <c r="AS121" s="874" t="s">
        <v>38</v>
      </c>
      <c r="AT121" s="874">
        <v>3</v>
      </c>
      <c r="AU121" s="1114">
        <v>788187594.20796895</v>
      </c>
      <c r="AV121" s="1113">
        <v>0.16915741766962189</v>
      </c>
      <c r="AW121" s="817">
        <v>2006</v>
      </c>
      <c r="AY121" s="1348"/>
    </row>
    <row r="122" spans="1:51" s="86" customFormat="1">
      <c r="A122" s="798">
        <f t="shared" si="2"/>
        <v>1980</v>
      </c>
      <c r="B122" s="798">
        <f t="shared" si="3"/>
        <v>2</v>
      </c>
      <c r="C122" s="1104">
        <v>29374</v>
      </c>
      <c r="D122" s="805"/>
      <c r="E122" s="1102">
        <v>603.0619047619</v>
      </c>
      <c r="F122" s="1102">
        <v>520.95864479999591</v>
      </c>
      <c r="G122" s="1103"/>
      <c r="H122" s="805"/>
      <c r="I122" s="1103"/>
      <c r="J122" s="1103"/>
      <c r="K122" s="84"/>
      <c r="L122" s="84"/>
      <c r="M122" s="84"/>
      <c r="N122" s="805"/>
      <c r="O122" s="941"/>
      <c r="P122" s="941"/>
      <c r="Q122" s="941"/>
      <c r="R122" s="805"/>
      <c r="S122" s="805"/>
      <c r="T122" s="805"/>
      <c r="U122" s="805"/>
      <c r="V122" s="805"/>
      <c r="W122" s="805"/>
      <c r="AJ122" s="817" t="s">
        <v>3</v>
      </c>
      <c r="AK122" s="817">
        <v>2014</v>
      </c>
      <c r="AL122" s="874" t="s">
        <v>33</v>
      </c>
      <c r="AM122" s="874">
        <v>6</v>
      </c>
      <c r="AN122" s="1114">
        <v>90219485</v>
      </c>
      <c r="AO122" s="1112">
        <v>3.3000000000000002E-2</v>
      </c>
      <c r="AP122" s="817"/>
      <c r="AQ122" s="817" t="s">
        <v>0</v>
      </c>
      <c r="AR122" s="817" t="s">
        <v>607</v>
      </c>
      <c r="AS122" s="874" t="s">
        <v>162</v>
      </c>
      <c r="AT122" s="874">
        <v>4</v>
      </c>
      <c r="AU122" s="1114">
        <v>696850905.82959712</v>
      </c>
      <c r="AV122" s="1113">
        <v>0.14955513204863852</v>
      </c>
      <c r="AW122" s="817">
        <v>2006</v>
      </c>
      <c r="AY122" s="3"/>
    </row>
    <row r="123" spans="1:51" s="86" customFormat="1">
      <c r="A123" s="798">
        <f t="shared" si="2"/>
        <v>1980</v>
      </c>
      <c r="B123" s="798">
        <f t="shared" si="3"/>
        <v>3</v>
      </c>
      <c r="C123" s="1104">
        <v>29403</v>
      </c>
      <c r="D123" s="934"/>
      <c r="E123" s="1100">
        <v>643.45652173910003</v>
      </c>
      <c r="F123" s="1100">
        <v>558.31371132606057</v>
      </c>
      <c r="G123" s="1101"/>
      <c r="H123" s="935"/>
      <c r="I123" s="1101"/>
      <c r="J123" s="1101"/>
      <c r="K123" s="936"/>
      <c r="L123" s="936"/>
      <c r="M123" s="936"/>
      <c r="N123" s="937"/>
      <c r="O123" s="938"/>
      <c r="P123" s="938"/>
      <c r="Q123" s="938"/>
      <c r="R123" s="939"/>
      <c r="S123" s="940"/>
      <c r="T123" s="940"/>
      <c r="U123" s="1756"/>
      <c r="V123" s="1323"/>
      <c r="W123" s="1323"/>
      <c r="AJ123" s="817" t="s">
        <v>3</v>
      </c>
      <c r="AK123" s="817">
        <v>2014</v>
      </c>
      <c r="AL123" s="874" t="s">
        <v>27</v>
      </c>
      <c r="AM123" s="874">
        <v>7</v>
      </c>
      <c r="AN123" s="1114">
        <v>42107114</v>
      </c>
      <c r="AO123" s="1112">
        <v>1.4999999999999999E-2</v>
      </c>
      <c r="AP123" s="817"/>
      <c r="AQ123" s="817" t="s">
        <v>0</v>
      </c>
      <c r="AR123" s="817" t="s">
        <v>607</v>
      </c>
      <c r="AS123" s="874" t="s">
        <v>32</v>
      </c>
      <c r="AT123" s="874">
        <v>5</v>
      </c>
      <c r="AU123" s="1114">
        <v>366243674.89516747</v>
      </c>
      <c r="AV123" s="1113">
        <v>7.8601635877501977E-2</v>
      </c>
      <c r="AW123" s="817">
        <v>2006</v>
      </c>
      <c r="AY123" s="1348"/>
    </row>
    <row r="124" spans="1:51" s="86" customFormat="1">
      <c r="A124" s="798">
        <f t="shared" si="2"/>
        <v>1980</v>
      </c>
      <c r="B124" s="798">
        <f t="shared" si="3"/>
        <v>3</v>
      </c>
      <c r="C124" s="1104">
        <v>29434</v>
      </c>
      <c r="D124" s="805"/>
      <c r="E124" s="1102">
        <v>627.31624999999997</v>
      </c>
      <c r="F124" s="1102">
        <v>538.19154841374996</v>
      </c>
      <c r="G124" s="1103"/>
      <c r="H124" s="805"/>
      <c r="I124" s="1103"/>
      <c r="J124" s="1103"/>
      <c r="K124" s="84"/>
      <c r="L124" s="84"/>
      <c r="M124" s="84"/>
      <c r="N124" s="805"/>
      <c r="O124" s="941"/>
      <c r="P124" s="941"/>
      <c r="Q124" s="941"/>
      <c r="R124" s="805"/>
      <c r="S124" s="805"/>
      <c r="T124" s="805"/>
      <c r="U124" s="805"/>
      <c r="V124" s="805"/>
      <c r="W124" s="805"/>
      <c r="AJ124" s="817" t="s">
        <v>3</v>
      </c>
      <c r="AK124" s="817">
        <v>2014</v>
      </c>
      <c r="AL124" s="874" t="s">
        <v>72</v>
      </c>
      <c r="AM124" s="874">
        <v>8</v>
      </c>
      <c r="AN124" s="1114">
        <v>39907818</v>
      </c>
      <c r="AO124" s="1112">
        <v>1.4999999999999999E-2</v>
      </c>
      <c r="AP124" s="817"/>
      <c r="AQ124" s="817" t="s">
        <v>0</v>
      </c>
      <c r="AR124" s="817" t="s">
        <v>607</v>
      </c>
      <c r="AS124" s="874" t="s">
        <v>65</v>
      </c>
      <c r="AT124" s="874">
        <v>6</v>
      </c>
      <c r="AU124" s="1114">
        <v>333546279.11351848</v>
      </c>
      <c r="AV124" s="1113">
        <v>7.1584261999011398E-2</v>
      </c>
      <c r="AW124" s="817">
        <v>2006</v>
      </c>
      <c r="AY124" s="1348"/>
    </row>
    <row r="125" spans="1:51" s="86" customFormat="1">
      <c r="A125" s="798">
        <f t="shared" si="2"/>
        <v>1980</v>
      </c>
      <c r="B125" s="798">
        <f t="shared" si="3"/>
        <v>3</v>
      </c>
      <c r="C125" s="1104">
        <v>29465</v>
      </c>
      <c r="D125" s="934"/>
      <c r="E125" s="1100">
        <v>674.83522727269997</v>
      </c>
      <c r="F125" s="1100">
        <v>577.27564813634024</v>
      </c>
      <c r="G125" s="1101"/>
      <c r="H125" s="935"/>
      <c r="I125" s="1101"/>
      <c r="J125" s="1101"/>
      <c r="K125" s="936"/>
      <c r="L125" s="936"/>
      <c r="M125" s="936"/>
      <c r="N125" s="937"/>
      <c r="O125" s="938"/>
      <c r="P125" s="938"/>
      <c r="Q125" s="938"/>
      <c r="R125" s="939"/>
      <c r="S125" s="940"/>
      <c r="T125" s="940"/>
      <c r="U125" s="1756"/>
      <c r="V125" s="1323"/>
      <c r="W125" s="1323"/>
      <c r="AJ125" s="817" t="s">
        <v>3</v>
      </c>
      <c r="AK125" s="817">
        <v>2014</v>
      </c>
      <c r="AL125" s="874" t="s">
        <v>69</v>
      </c>
      <c r="AM125" s="874">
        <v>9</v>
      </c>
      <c r="AN125" s="1114">
        <v>31763987</v>
      </c>
      <c r="AO125" s="1112">
        <v>1.2E-2</v>
      </c>
      <c r="AP125" s="817"/>
      <c r="AQ125" s="817" t="s">
        <v>0</v>
      </c>
      <c r="AR125" s="817" t="s">
        <v>607</v>
      </c>
      <c r="AS125" s="874" t="s">
        <v>165</v>
      </c>
      <c r="AT125" s="874">
        <v>7</v>
      </c>
      <c r="AU125" s="1114">
        <v>262105789.13041076</v>
      </c>
      <c r="AV125" s="1113">
        <v>5.6252012555604955E-2</v>
      </c>
      <c r="AW125" s="817">
        <v>2006</v>
      </c>
      <c r="AY125" s="3"/>
    </row>
    <row r="126" spans="1:51" s="86" customFormat="1">
      <c r="A126" s="798">
        <f t="shared" si="2"/>
        <v>1980</v>
      </c>
      <c r="B126" s="798">
        <f t="shared" si="3"/>
        <v>4</v>
      </c>
      <c r="C126" s="1104">
        <v>29495</v>
      </c>
      <c r="D126" s="805"/>
      <c r="E126" s="1102">
        <v>660.2456521739</v>
      </c>
      <c r="F126" s="1102">
        <v>563.06145364781491</v>
      </c>
      <c r="G126" s="1103"/>
      <c r="H126" s="805"/>
      <c r="I126" s="1103"/>
      <c r="J126" s="1103"/>
      <c r="K126" s="84"/>
      <c r="L126" s="84"/>
      <c r="M126" s="84"/>
      <c r="N126" s="805"/>
      <c r="O126" s="941"/>
      <c r="P126" s="941"/>
      <c r="Q126" s="941"/>
      <c r="R126" s="805"/>
      <c r="S126" s="805"/>
      <c r="T126" s="805"/>
      <c r="U126" s="805"/>
      <c r="V126" s="805"/>
      <c r="W126" s="805"/>
      <c r="AJ126" s="817" t="s">
        <v>3</v>
      </c>
      <c r="AK126" s="817">
        <v>2014</v>
      </c>
      <c r="AL126" s="874" t="s">
        <v>433</v>
      </c>
      <c r="AM126" s="874">
        <v>10</v>
      </c>
      <c r="AN126" s="1114">
        <v>28976692</v>
      </c>
      <c r="AO126" s="1112">
        <v>1.0999999999999999E-2</v>
      </c>
      <c r="AP126" s="817"/>
      <c r="AQ126" s="817" t="s">
        <v>0</v>
      </c>
      <c r="AR126" s="817" t="s">
        <v>607</v>
      </c>
      <c r="AS126" s="874" t="s">
        <v>34</v>
      </c>
      <c r="AT126" s="874">
        <v>8</v>
      </c>
      <c r="AU126" s="1114">
        <v>104447621.62512727</v>
      </c>
      <c r="AV126" s="1113">
        <v>2.2416097494651042E-2</v>
      </c>
      <c r="AW126" s="817">
        <v>2006</v>
      </c>
      <c r="AY126" s="1348"/>
    </row>
    <row r="127" spans="1:51" s="86" customFormat="1">
      <c r="A127" s="798">
        <f t="shared" si="2"/>
        <v>1980</v>
      </c>
      <c r="B127" s="798">
        <f t="shared" si="3"/>
        <v>4</v>
      </c>
      <c r="C127" s="1104">
        <v>29528</v>
      </c>
      <c r="D127" s="934"/>
      <c r="E127" s="1100">
        <v>623.32500000000005</v>
      </c>
      <c r="F127" s="1100">
        <v>535.36449262500003</v>
      </c>
      <c r="G127" s="1101"/>
      <c r="H127" s="935"/>
      <c r="I127" s="1101"/>
      <c r="J127" s="1101"/>
      <c r="K127" s="936"/>
      <c r="L127" s="936"/>
      <c r="M127" s="936"/>
      <c r="N127" s="937"/>
      <c r="O127" s="938"/>
      <c r="P127" s="938"/>
      <c r="Q127" s="938"/>
      <c r="R127" s="939"/>
      <c r="S127" s="940"/>
      <c r="T127" s="940"/>
      <c r="U127" s="1756"/>
      <c r="V127" s="1323"/>
      <c r="W127" s="1323"/>
      <c r="AJ127" s="817" t="s">
        <v>3</v>
      </c>
      <c r="AK127" s="817">
        <v>2014</v>
      </c>
      <c r="AL127" s="874" t="s">
        <v>45</v>
      </c>
      <c r="AM127" s="874"/>
      <c r="AN127" s="1114">
        <v>125789184</v>
      </c>
      <c r="AO127" s="1112">
        <v>4.5999999999999999E-2</v>
      </c>
      <c r="AP127" s="817"/>
      <c r="AQ127" s="817" t="s">
        <v>0</v>
      </c>
      <c r="AR127" s="817" t="s">
        <v>607</v>
      </c>
      <c r="AS127" s="874" t="s">
        <v>156</v>
      </c>
      <c r="AT127" s="874">
        <v>9</v>
      </c>
      <c r="AU127" s="1114">
        <v>94678195.61666666</v>
      </c>
      <c r="AV127" s="1113">
        <v>2.0319425474119853E-2</v>
      </c>
      <c r="AW127" s="817">
        <v>2006</v>
      </c>
      <c r="AY127" s="1348"/>
    </row>
    <row r="128" spans="1:51" s="86" customFormat="1">
      <c r="A128" s="798">
        <f t="shared" si="2"/>
        <v>1980</v>
      </c>
      <c r="B128" s="798">
        <f t="shared" si="3"/>
        <v>4</v>
      </c>
      <c r="C128" s="1104">
        <v>29556</v>
      </c>
      <c r="D128" s="805"/>
      <c r="E128" s="1102">
        <v>593.83783783779995</v>
      </c>
      <c r="F128" s="1102">
        <v>502.95392594591385</v>
      </c>
      <c r="G128" s="1103"/>
      <c r="H128" s="805"/>
      <c r="I128" s="1103"/>
      <c r="J128" s="1103"/>
      <c r="K128" s="84"/>
      <c r="L128" s="84"/>
      <c r="M128" s="84"/>
      <c r="N128" s="805"/>
      <c r="O128" s="941"/>
      <c r="P128" s="941"/>
      <c r="Q128" s="941"/>
      <c r="R128" s="805"/>
      <c r="S128" s="805"/>
      <c r="T128" s="805"/>
      <c r="U128" s="805"/>
      <c r="V128" s="805"/>
      <c r="W128" s="805"/>
      <c r="AJ128" s="817" t="s">
        <v>3</v>
      </c>
      <c r="AK128" s="817">
        <v>2014</v>
      </c>
      <c r="AL128" s="874" t="s">
        <v>452</v>
      </c>
      <c r="AM128" s="874"/>
      <c r="AN128" s="1114">
        <v>2730115579</v>
      </c>
      <c r="AO128" s="1112"/>
      <c r="AP128" s="817"/>
      <c r="AQ128" s="817" t="s">
        <v>0</v>
      </c>
      <c r="AR128" s="817" t="s">
        <v>607</v>
      </c>
      <c r="AS128" s="874" t="s">
        <v>28</v>
      </c>
      <c r="AT128" s="874">
        <v>10</v>
      </c>
      <c r="AU128" s="1114">
        <v>55328239.799994715</v>
      </c>
      <c r="AV128" s="1113">
        <v>1.1874307890087414E-2</v>
      </c>
      <c r="AW128" s="817">
        <v>2006</v>
      </c>
      <c r="AY128" s="3"/>
    </row>
    <row r="129" spans="1:51" s="86" customFormat="1">
      <c r="A129" s="798">
        <f t="shared" si="2"/>
        <v>1981</v>
      </c>
      <c r="B129" s="798">
        <f t="shared" si="3"/>
        <v>1</v>
      </c>
      <c r="C129" s="1104">
        <v>29587</v>
      </c>
      <c r="D129" s="934"/>
      <c r="E129" s="1100">
        <v>555.82926829270002</v>
      </c>
      <c r="F129" s="1100">
        <v>474.78380268294143</v>
      </c>
      <c r="G129" s="1101"/>
      <c r="H129" s="935"/>
      <c r="I129" s="1101"/>
      <c r="J129" s="1101"/>
      <c r="K129" s="936"/>
      <c r="L129" s="936"/>
      <c r="M129" s="936"/>
      <c r="N129" s="937"/>
      <c r="O129" s="938"/>
      <c r="P129" s="938"/>
      <c r="Q129" s="938"/>
      <c r="R129" s="939"/>
      <c r="S129" s="940"/>
      <c r="T129" s="940"/>
      <c r="U129" s="1756"/>
      <c r="V129" s="1323"/>
      <c r="W129" s="1323"/>
      <c r="AJ129" s="817" t="s">
        <v>3</v>
      </c>
      <c r="AK129" s="817">
        <v>2013</v>
      </c>
      <c r="AL129" s="874" t="s">
        <v>24</v>
      </c>
      <c r="AM129" s="874">
        <v>1</v>
      </c>
      <c r="AN129" s="1114">
        <v>1029510309</v>
      </c>
      <c r="AO129" s="1112">
        <v>0.33</v>
      </c>
      <c r="AP129" s="817"/>
      <c r="AQ129" s="817" t="s">
        <v>0</v>
      </c>
      <c r="AR129" s="817" t="s">
        <v>607</v>
      </c>
      <c r="AS129" s="874" t="s">
        <v>45</v>
      </c>
      <c r="AT129" s="874"/>
      <c r="AU129" s="1114">
        <v>171169684.18060112</v>
      </c>
      <c r="AV129" s="1113">
        <v>3.6735698420134397E-2</v>
      </c>
      <c r="AW129" s="817">
        <v>2006</v>
      </c>
      <c r="AY129" s="1348"/>
    </row>
    <row r="130" spans="1:51" s="86" customFormat="1">
      <c r="A130" s="798">
        <f t="shared" si="2"/>
        <v>1981</v>
      </c>
      <c r="B130" s="798">
        <f t="shared" si="3"/>
        <v>1</v>
      </c>
      <c r="C130" s="1104">
        <v>29619</v>
      </c>
      <c r="D130" s="805"/>
      <c r="E130" s="1102">
        <v>499.0625</v>
      </c>
      <c r="F130" s="1102">
        <v>431.49093468749999</v>
      </c>
      <c r="G130" s="1103"/>
      <c r="H130" s="805"/>
      <c r="I130" s="1103"/>
      <c r="J130" s="1103"/>
      <c r="K130" s="84"/>
      <c r="L130" s="84"/>
      <c r="M130" s="84"/>
      <c r="N130" s="805"/>
      <c r="O130" s="941"/>
      <c r="P130" s="941"/>
      <c r="Q130" s="941"/>
      <c r="R130" s="805"/>
      <c r="S130" s="805"/>
      <c r="T130" s="805"/>
      <c r="U130" s="805"/>
      <c r="V130" s="805"/>
      <c r="W130" s="805"/>
      <c r="AJ130" s="817" t="s">
        <v>3</v>
      </c>
      <c r="AK130" s="817">
        <v>2013</v>
      </c>
      <c r="AL130" s="874" t="s">
        <v>31</v>
      </c>
      <c r="AM130" s="874">
        <v>2</v>
      </c>
      <c r="AN130" s="1114">
        <v>1001586084</v>
      </c>
      <c r="AO130" s="1112">
        <v>0.32100000000000001</v>
      </c>
      <c r="AP130" s="817"/>
      <c r="AQ130" s="817" t="s">
        <v>0</v>
      </c>
      <c r="AR130" s="817" t="s">
        <v>607</v>
      </c>
      <c r="AS130" s="874" t="s">
        <v>452</v>
      </c>
      <c r="AT130" s="874"/>
      <c r="AU130" s="1114">
        <v>4659491762.5626268</v>
      </c>
      <c r="AV130" s="874"/>
      <c r="AW130" s="817">
        <v>2006</v>
      </c>
      <c r="AY130" s="1348"/>
    </row>
    <row r="131" spans="1:51" s="86" customFormat="1">
      <c r="A131" s="798">
        <f t="shared" si="2"/>
        <v>1981</v>
      </c>
      <c r="B131" s="798">
        <f t="shared" si="3"/>
        <v>1</v>
      </c>
      <c r="C131" s="1104">
        <v>29647</v>
      </c>
      <c r="D131" s="934"/>
      <c r="E131" s="1100">
        <v>499.8693181818</v>
      </c>
      <c r="F131" s="1100">
        <v>427.82365322157534</v>
      </c>
      <c r="G131" s="1101"/>
      <c r="H131" s="935"/>
      <c r="I131" s="1101"/>
      <c r="J131" s="1101"/>
      <c r="K131" s="936"/>
      <c r="L131" s="936"/>
      <c r="M131" s="936"/>
      <c r="N131" s="937"/>
      <c r="O131" s="938"/>
      <c r="P131" s="938"/>
      <c r="Q131" s="938"/>
      <c r="R131" s="939"/>
      <c r="S131" s="940"/>
      <c r="T131" s="940"/>
      <c r="U131" s="1756"/>
      <c r="V131" s="1323"/>
      <c r="W131" s="1323"/>
      <c r="AJ131" s="817" t="s">
        <v>3</v>
      </c>
      <c r="AK131" s="817">
        <v>2013</v>
      </c>
      <c r="AL131" s="874" t="s">
        <v>70</v>
      </c>
      <c r="AM131" s="874">
        <v>3</v>
      </c>
      <c r="AN131" s="1114">
        <v>350017534</v>
      </c>
      <c r="AO131" s="1112">
        <v>0.112</v>
      </c>
      <c r="AP131" s="817"/>
      <c r="AQ131" s="817" t="s">
        <v>0</v>
      </c>
      <c r="AR131" s="817" t="s">
        <v>606</v>
      </c>
      <c r="AS131" s="874" t="s">
        <v>24</v>
      </c>
      <c r="AT131" s="874">
        <v>1</v>
      </c>
      <c r="AU131" s="1114">
        <v>663218080.17009938</v>
      </c>
      <c r="AV131" s="1113">
        <v>0.17701212477622832</v>
      </c>
      <c r="AW131" s="817">
        <v>2005</v>
      </c>
      <c r="AY131" s="3"/>
    </row>
    <row r="132" spans="1:51" s="86" customFormat="1">
      <c r="A132" s="798">
        <f t="shared" si="2"/>
        <v>1981</v>
      </c>
      <c r="B132" s="798">
        <f t="shared" si="3"/>
        <v>2</v>
      </c>
      <c r="C132" s="1104">
        <v>29677</v>
      </c>
      <c r="D132" s="805"/>
      <c r="E132" s="1102">
        <v>495.13125000000002</v>
      </c>
      <c r="F132" s="1102">
        <v>430.36164579375003</v>
      </c>
      <c r="G132" s="1103"/>
      <c r="H132" s="805"/>
      <c r="I132" s="1103"/>
      <c r="J132" s="1103"/>
      <c r="K132" s="84"/>
      <c r="L132" s="84"/>
      <c r="M132" s="84"/>
      <c r="N132" s="805"/>
      <c r="O132" s="941"/>
      <c r="P132" s="941"/>
      <c r="Q132" s="941"/>
      <c r="R132" s="805"/>
      <c r="S132" s="805"/>
      <c r="T132" s="805"/>
      <c r="U132" s="805"/>
      <c r="V132" s="805"/>
      <c r="W132" s="805"/>
      <c r="AJ132" s="817" t="s">
        <v>3</v>
      </c>
      <c r="AK132" s="817">
        <v>2013</v>
      </c>
      <c r="AL132" s="874" t="s">
        <v>29</v>
      </c>
      <c r="AM132" s="874">
        <v>4</v>
      </c>
      <c r="AN132" s="1114">
        <v>250493002</v>
      </c>
      <c r="AO132" s="1112">
        <v>0.08</v>
      </c>
      <c r="AP132" s="817"/>
      <c r="AQ132" s="817" t="s">
        <v>0</v>
      </c>
      <c r="AR132" s="817" t="s">
        <v>606</v>
      </c>
      <c r="AS132" s="874" t="s">
        <v>38</v>
      </c>
      <c r="AT132" s="874">
        <v>2</v>
      </c>
      <c r="AU132" s="1114">
        <v>634591640.7650069</v>
      </c>
      <c r="AV132" s="1113">
        <v>0.1693717618015432</v>
      </c>
      <c r="AW132" s="817">
        <v>2005</v>
      </c>
      <c r="AY132" s="1348"/>
    </row>
    <row r="133" spans="1:51" s="86" customFormat="1">
      <c r="A133" s="798">
        <f t="shared" si="2"/>
        <v>1981</v>
      </c>
      <c r="B133" s="798">
        <f t="shared" si="3"/>
        <v>2</v>
      </c>
      <c r="C133" s="1104">
        <v>29707</v>
      </c>
      <c r="D133" s="934"/>
      <c r="E133" s="1100">
        <v>479.37162162160001</v>
      </c>
      <c r="F133" s="1100">
        <v>421.05558447971077</v>
      </c>
      <c r="G133" s="1101"/>
      <c r="H133" s="935"/>
      <c r="I133" s="1101"/>
      <c r="J133" s="1101"/>
      <c r="K133" s="936"/>
      <c r="L133" s="936"/>
      <c r="M133" s="936"/>
      <c r="N133" s="937"/>
      <c r="O133" s="938"/>
      <c r="P133" s="938"/>
      <c r="Q133" s="938"/>
      <c r="R133" s="939"/>
      <c r="S133" s="940"/>
      <c r="T133" s="940"/>
      <c r="U133" s="1756"/>
      <c r="V133" s="1323"/>
      <c r="W133" s="1323"/>
      <c r="AJ133" s="817" t="s">
        <v>3</v>
      </c>
      <c r="AK133" s="817">
        <v>2013</v>
      </c>
      <c r="AL133" s="874" t="s">
        <v>41</v>
      </c>
      <c r="AM133" s="874">
        <v>5</v>
      </c>
      <c r="AN133" s="1114">
        <v>121090381</v>
      </c>
      <c r="AO133" s="1112">
        <v>3.9E-2</v>
      </c>
      <c r="AP133" s="817"/>
      <c r="AQ133" s="817" t="s">
        <v>0</v>
      </c>
      <c r="AR133" s="817" t="s">
        <v>606</v>
      </c>
      <c r="AS133" s="874" t="s">
        <v>23</v>
      </c>
      <c r="AT133" s="874">
        <v>3</v>
      </c>
      <c r="AU133" s="1114">
        <v>567025440.63831234</v>
      </c>
      <c r="AV133" s="1113">
        <v>0.15133842253489563</v>
      </c>
      <c r="AW133" s="817">
        <v>2005</v>
      </c>
      <c r="AY133" s="1348"/>
    </row>
    <row r="134" spans="1:51" s="86" customFormat="1">
      <c r="A134" s="798">
        <f t="shared" si="2"/>
        <v>1981</v>
      </c>
      <c r="B134" s="798">
        <f t="shared" si="3"/>
        <v>2</v>
      </c>
      <c r="C134" s="1104">
        <v>29738</v>
      </c>
      <c r="D134" s="805"/>
      <c r="E134" s="1102">
        <v>459.34659090909997</v>
      </c>
      <c r="F134" s="1102">
        <v>400.1276284090988</v>
      </c>
      <c r="G134" s="1103"/>
      <c r="H134" s="805"/>
      <c r="I134" s="1103"/>
      <c r="J134" s="1103"/>
      <c r="K134" s="84"/>
      <c r="L134" s="84"/>
      <c r="M134" s="84"/>
      <c r="N134" s="805"/>
      <c r="O134" s="941"/>
      <c r="P134" s="941"/>
      <c r="Q134" s="941"/>
      <c r="R134" s="805"/>
      <c r="S134" s="805"/>
      <c r="T134" s="805"/>
      <c r="U134" s="805"/>
      <c r="V134" s="805"/>
      <c r="W134" s="805"/>
      <c r="AJ134" s="817" t="s">
        <v>3</v>
      </c>
      <c r="AK134" s="817">
        <v>2013</v>
      </c>
      <c r="AL134" s="874" t="s">
        <v>65</v>
      </c>
      <c r="AM134" s="874">
        <v>6</v>
      </c>
      <c r="AN134" s="1114">
        <v>86905542</v>
      </c>
      <c r="AO134" s="1112">
        <v>2.8000000000000001E-2</v>
      </c>
      <c r="AP134" s="817"/>
      <c r="AQ134" s="817" t="s">
        <v>0</v>
      </c>
      <c r="AR134" s="817" t="s">
        <v>606</v>
      </c>
      <c r="AS134" s="874" t="s">
        <v>162</v>
      </c>
      <c r="AT134" s="874">
        <v>4</v>
      </c>
      <c r="AU134" s="1114">
        <v>481867104.09012938</v>
      </c>
      <c r="AV134" s="1113">
        <v>0.1286097627689603</v>
      </c>
      <c r="AW134" s="817">
        <v>2005</v>
      </c>
      <c r="AY134" s="3"/>
    </row>
    <row r="135" spans="1:51" s="86" customFormat="1">
      <c r="A135" s="798">
        <f t="shared" si="2"/>
        <v>1981</v>
      </c>
      <c r="B135" s="798">
        <f t="shared" si="3"/>
        <v>3</v>
      </c>
      <c r="C135" s="1104">
        <v>29768</v>
      </c>
      <c r="D135" s="934"/>
      <c r="E135" s="1100">
        <v>408.61363636359999</v>
      </c>
      <c r="F135" s="1100">
        <v>359.82189927269525</v>
      </c>
      <c r="G135" s="1101"/>
      <c r="H135" s="935"/>
      <c r="I135" s="1101"/>
      <c r="J135" s="1101"/>
      <c r="K135" s="936"/>
      <c r="L135" s="936"/>
      <c r="M135" s="936"/>
      <c r="N135" s="937"/>
      <c r="O135" s="938"/>
      <c r="P135" s="938"/>
      <c r="Q135" s="938"/>
      <c r="R135" s="939"/>
      <c r="S135" s="940"/>
      <c r="T135" s="940"/>
      <c r="U135" s="1756"/>
      <c r="V135" s="1323"/>
      <c r="W135" s="1323"/>
      <c r="AJ135" s="817" t="s">
        <v>3</v>
      </c>
      <c r="AK135" s="817">
        <v>2013</v>
      </c>
      <c r="AL135" s="874" t="s">
        <v>72</v>
      </c>
      <c r="AM135" s="874">
        <v>7</v>
      </c>
      <c r="AN135" s="1114">
        <v>54035605</v>
      </c>
      <c r="AO135" s="1112">
        <v>1.7000000000000001E-2</v>
      </c>
      <c r="AP135" s="817"/>
      <c r="AQ135" s="817" t="s">
        <v>0</v>
      </c>
      <c r="AR135" s="817" t="s">
        <v>606</v>
      </c>
      <c r="AS135" s="874" t="s">
        <v>32</v>
      </c>
      <c r="AT135" s="874">
        <v>5</v>
      </c>
      <c r="AU135" s="1114">
        <v>400842293.80417907</v>
      </c>
      <c r="AV135" s="1113">
        <v>0.10698433629592388</v>
      </c>
      <c r="AW135" s="817">
        <v>2005</v>
      </c>
      <c r="AY135" s="1348"/>
    </row>
    <row r="136" spans="1:51" s="86" customFormat="1">
      <c r="A136" s="798">
        <f t="shared" si="2"/>
        <v>1981</v>
      </c>
      <c r="B136" s="798">
        <f t="shared" si="3"/>
        <v>3</v>
      </c>
      <c r="C136" s="1104">
        <v>29801</v>
      </c>
      <c r="D136" s="805"/>
      <c r="E136" s="1102">
        <v>410.90750000000003</v>
      </c>
      <c r="F136" s="1102">
        <v>357.0625921075</v>
      </c>
      <c r="G136" s="1103"/>
      <c r="H136" s="805"/>
      <c r="I136" s="1103"/>
      <c r="J136" s="1103"/>
      <c r="K136" s="84"/>
      <c r="L136" s="84"/>
      <c r="M136" s="84"/>
      <c r="N136" s="805"/>
      <c r="O136" s="941"/>
      <c r="P136" s="941"/>
      <c r="Q136" s="941"/>
      <c r="R136" s="805"/>
      <c r="S136" s="805"/>
      <c r="T136" s="805"/>
      <c r="U136" s="805"/>
      <c r="V136" s="805"/>
      <c r="W136" s="805"/>
      <c r="AJ136" s="817" t="s">
        <v>3</v>
      </c>
      <c r="AK136" s="817">
        <v>2013</v>
      </c>
      <c r="AL136" s="874" t="s">
        <v>33</v>
      </c>
      <c r="AM136" s="874">
        <v>8</v>
      </c>
      <c r="AN136" s="1114">
        <v>49159893</v>
      </c>
      <c r="AO136" s="1112">
        <v>1.6E-2</v>
      </c>
      <c r="AP136" s="817"/>
      <c r="AQ136" s="817" t="s">
        <v>0</v>
      </c>
      <c r="AR136" s="817" t="s">
        <v>606</v>
      </c>
      <c r="AS136" s="874" t="s">
        <v>65</v>
      </c>
      <c r="AT136" s="874">
        <v>6</v>
      </c>
      <c r="AU136" s="1114">
        <v>367007730.57900095</v>
      </c>
      <c r="AV136" s="1113">
        <v>9.7953931205296149E-2</v>
      </c>
      <c r="AW136" s="817">
        <v>2005</v>
      </c>
      <c r="AY136" s="1348"/>
    </row>
    <row r="137" spans="1:51" s="86" customFormat="1">
      <c r="A137" s="798">
        <f t="shared" ref="A137:A200" si="4">YEAR(C137)</f>
        <v>1981</v>
      </c>
      <c r="B137" s="798">
        <f t="shared" ref="B137:B200" si="5">IF(OR(MONTH(C137)=1,MONTH(C137)=2,MONTH(C137)=3),1,IF(OR(MONTH(C137)=4,MONTH(C137)=5,MONTH(C137)=6),2,IF(OR(MONTH(C137)=7,MONTH(C137)=8,MONTH(C137)=9),3,4)))</f>
        <v>3</v>
      </c>
      <c r="C137" s="1104">
        <v>29830</v>
      </c>
      <c r="D137" s="934"/>
      <c r="E137" s="1100">
        <v>444.09659090909997</v>
      </c>
      <c r="F137" s="1100">
        <v>389.08057293750795</v>
      </c>
      <c r="G137" s="1101"/>
      <c r="H137" s="935"/>
      <c r="I137" s="1101"/>
      <c r="J137" s="1101"/>
      <c r="K137" s="936"/>
      <c r="L137" s="936"/>
      <c r="M137" s="936"/>
      <c r="N137" s="937"/>
      <c r="O137" s="938"/>
      <c r="P137" s="938"/>
      <c r="Q137" s="938"/>
      <c r="R137" s="939"/>
      <c r="S137" s="940"/>
      <c r="T137" s="940"/>
      <c r="U137" s="1756"/>
      <c r="V137" s="1323"/>
      <c r="W137" s="1323"/>
      <c r="AJ137" s="817" t="s">
        <v>3</v>
      </c>
      <c r="AK137" s="817">
        <v>2013</v>
      </c>
      <c r="AL137" s="874" t="s">
        <v>69</v>
      </c>
      <c r="AM137" s="874">
        <v>9</v>
      </c>
      <c r="AN137" s="1114">
        <v>47634777</v>
      </c>
      <c r="AO137" s="1112">
        <v>1.4999999999999999E-2</v>
      </c>
      <c r="AP137" s="817"/>
      <c r="AQ137" s="817" t="s">
        <v>0</v>
      </c>
      <c r="AR137" s="817" t="s">
        <v>606</v>
      </c>
      <c r="AS137" s="874" t="s">
        <v>165</v>
      </c>
      <c r="AT137" s="874">
        <v>7</v>
      </c>
      <c r="AU137" s="1114">
        <v>263713385.35119495</v>
      </c>
      <c r="AV137" s="1113">
        <v>7.0384792074689659E-2</v>
      </c>
      <c r="AW137" s="817">
        <v>2005</v>
      </c>
      <c r="AY137" s="3"/>
    </row>
    <row r="138" spans="1:51" s="86" customFormat="1">
      <c r="A138" s="798">
        <f t="shared" si="4"/>
        <v>1981</v>
      </c>
      <c r="B138" s="798">
        <f t="shared" si="5"/>
        <v>4</v>
      </c>
      <c r="C138" s="1104">
        <v>29860</v>
      </c>
      <c r="D138" s="805"/>
      <c r="E138" s="1102">
        <v>437.60113636360001</v>
      </c>
      <c r="F138" s="1102">
        <v>385.55154440110431</v>
      </c>
      <c r="G138" s="1103"/>
      <c r="H138" s="805"/>
      <c r="I138" s="1103"/>
      <c r="J138" s="1103"/>
      <c r="K138" s="84"/>
      <c r="L138" s="84"/>
      <c r="M138" s="84"/>
      <c r="N138" s="805"/>
      <c r="O138" s="941"/>
      <c r="P138" s="941"/>
      <c r="Q138" s="941"/>
      <c r="R138" s="805"/>
      <c r="S138" s="805"/>
      <c r="T138" s="805"/>
      <c r="U138" s="805"/>
      <c r="V138" s="805"/>
      <c r="W138" s="805"/>
      <c r="AJ138" s="817" t="s">
        <v>3</v>
      </c>
      <c r="AK138" s="817">
        <v>2013</v>
      </c>
      <c r="AL138" s="874" t="s">
        <v>64</v>
      </c>
      <c r="AM138" s="874">
        <v>10</v>
      </c>
      <c r="AN138" s="1114">
        <v>33285494</v>
      </c>
      <c r="AO138" s="1112">
        <v>1.0999999999999999E-2</v>
      </c>
      <c r="AP138" s="817"/>
      <c r="AQ138" s="817" t="s">
        <v>0</v>
      </c>
      <c r="AR138" s="817" t="s">
        <v>606</v>
      </c>
      <c r="AS138" s="874" t="s">
        <v>28</v>
      </c>
      <c r="AT138" s="874">
        <v>8</v>
      </c>
      <c r="AU138" s="1114">
        <v>101866242.47439519</v>
      </c>
      <c r="AV138" s="1113">
        <v>2.7187980187057793E-2</v>
      </c>
      <c r="AW138" s="817">
        <v>2005</v>
      </c>
      <c r="AY138" s="1348"/>
    </row>
    <row r="139" spans="1:51" s="86" customFormat="1">
      <c r="A139" s="798">
        <f t="shared" si="4"/>
        <v>1981</v>
      </c>
      <c r="B139" s="798">
        <f t="shared" si="5"/>
        <v>4</v>
      </c>
      <c r="C139" s="1104">
        <v>29892</v>
      </c>
      <c r="D139" s="934"/>
      <c r="E139" s="1100">
        <v>412.71428571429999</v>
      </c>
      <c r="F139" s="1100">
        <v>358.44565885715525</v>
      </c>
      <c r="G139" s="1101"/>
      <c r="H139" s="935"/>
      <c r="I139" s="1101"/>
      <c r="J139" s="1101"/>
      <c r="K139" s="936"/>
      <c r="L139" s="936"/>
      <c r="M139" s="936"/>
      <c r="N139" s="937"/>
      <c r="O139" s="938"/>
      <c r="P139" s="938"/>
      <c r="Q139" s="938"/>
      <c r="R139" s="939"/>
      <c r="S139" s="940"/>
      <c r="T139" s="940"/>
      <c r="U139" s="1756"/>
      <c r="V139" s="1323"/>
      <c r="W139" s="1323"/>
      <c r="AJ139" s="817" t="s">
        <v>3</v>
      </c>
      <c r="AK139" s="817">
        <v>2013</v>
      </c>
      <c r="AL139" s="874" t="s">
        <v>45</v>
      </c>
      <c r="AM139" s="874"/>
      <c r="AN139" s="1114">
        <v>96990278</v>
      </c>
      <c r="AO139" s="1112">
        <v>3.1E-2</v>
      </c>
      <c r="AP139" s="817"/>
      <c r="AQ139" s="817" t="s">
        <v>0</v>
      </c>
      <c r="AR139" s="817" t="s">
        <v>606</v>
      </c>
      <c r="AS139" s="874" t="s">
        <v>34</v>
      </c>
      <c r="AT139" s="874">
        <v>9</v>
      </c>
      <c r="AU139" s="1114">
        <v>87588063.058182761</v>
      </c>
      <c r="AV139" s="1113">
        <v>2.3377150910884038E-2</v>
      </c>
      <c r="AW139" s="817">
        <v>2005</v>
      </c>
      <c r="AY139" s="1348"/>
    </row>
    <row r="140" spans="1:51" s="86" customFormat="1">
      <c r="A140" s="798">
        <f t="shared" si="4"/>
        <v>1981</v>
      </c>
      <c r="B140" s="798">
        <f t="shared" si="5"/>
        <v>4</v>
      </c>
      <c r="C140" s="1104">
        <v>29921</v>
      </c>
      <c r="D140" s="805"/>
      <c r="E140" s="1102">
        <v>410.29729729730002</v>
      </c>
      <c r="F140" s="1102">
        <v>363.77081467567808</v>
      </c>
      <c r="G140" s="1103"/>
      <c r="H140" s="805"/>
      <c r="I140" s="1103"/>
      <c r="J140" s="1103"/>
      <c r="K140" s="84"/>
      <c r="L140" s="84"/>
      <c r="M140" s="84"/>
      <c r="N140" s="805"/>
      <c r="O140" s="941"/>
      <c r="P140" s="941"/>
      <c r="Q140" s="941"/>
      <c r="R140" s="805"/>
      <c r="S140" s="805"/>
      <c r="T140" s="805"/>
      <c r="U140" s="805"/>
      <c r="V140" s="805"/>
      <c r="W140" s="805"/>
      <c r="AJ140" s="817" t="s">
        <v>3</v>
      </c>
      <c r="AK140" s="817">
        <v>2013</v>
      </c>
      <c r="AL140" s="874" t="s">
        <v>452</v>
      </c>
      <c r="AM140" s="874"/>
      <c r="AN140" s="1114">
        <v>3120708900</v>
      </c>
      <c r="AO140" s="1112"/>
      <c r="AP140" s="817"/>
      <c r="AQ140" s="817" t="s">
        <v>0</v>
      </c>
      <c r="AR140" s="817" t="s">
        <v>606</v>
      </c>
      <c r="AS140" s="874" t="s">
        <v>156</v>
      </c>
      <c r="AT140" s="874">
        <v>10</v>
      </c>
      <c r="AU140" s="1114">
        <v>74173733.647743553</v>
      </c>
      <c r="AV140" s="1113">
        <v>1.9796882184221619E-2</v>
      </c>
      <c r="AW140" s="817">
        <v>2005</v>
      </c>
      <c r="AY140" s="3"/>
    </row>
    <row r="141" spans="1:51" s="86" customFormat="1">
      <c r="A141" s="798">
        <f t="shared" si="4"/>
        <v>1982</v>
      </c>
      <c r="B141" s="798">
        <f t="shared" si="5"/>
        <v>1</v>
      </c>
      <c r="C141" s="1104">
        <v>29955</v>
      </c>
      <c r="D141" s="934"/>
      <c r="E141" s="1100">
        <v>383.95</v>
      </c>
      <c r="F141" s="1100">
        <v>349.23592865000001</v>
      </c>
      <c r="G141" s="1101"/>
      <c r="H141" s="935"/>
      <c r="I141" s="1101"/>
      <c r="J141" s="1101"/>
      <c r="K141" s="936"/>
      <c r="L141" s="936"/>
      <c r="M141" s="936"/>
      <c r="N141" s="937"/>
      <c r="O141" s="938"/>
      <c r="P141" s="938"/>
      <c r="Q141" s="938"/>
      <c r="R141" s="939"/>
      <c r="S141" s="940"/>
      <c r="T141" s="940"/>
      <c r="U141" s="1756"/>
      <c r="V141" s="1323"/>
      <c r="W141" s="1323"/>
      <c r="AJ141" s="817" t="s">
        <v>3</v>
      </c>
      <c r="AK141" s="817">
        <v>2012</v>
      </c>
      <c r="AL141" s="874" t="s">
        <v>24</v>
      </c>
      <c r="AM141" s="874">
        <v>1</v>
      </c>
      <c r="AN141" s="1114">
        <v>1186211991</v>
      </c>
      <c r="AO141" s="1112">
        <v>0.35299999999999998</v>
      </c>
      <c r="AP141" s="817"/>
      <c r="AQ141" s="817" t="s">
        <v>0</v>
      </c>
      <c r="AR141" s="817" t="s">
        <v>606</v>
      </c>
      <c r="AS141" s="874" t="s">
        <v>45</v>
      </c>
      <c r="AT141" s="874"/>
      <c r="AU141" s="1114">
        <v>104844431.23246384</v>
      </c>
      <c r="AV141" s="1113">
        <v>2.7982855260299467E-2</v>
      </c>
      <c r="AW141" s="817">
        <v>2005</v>
      </c>
      <c r="AY141" s="1348"/>
    </row>
    <row r="142" spans="1:51" s="86" customFormat="1">
      <c r="A142" s="798">
        <f t="shared" si="4"/>
        <v>1982</v>
      </c>
      <c r="B142" s="798">
        <f t="shared" si="5"/>
        <v>1</v>
      </c>
      <c r="C142" s="1104">
        <v>29983</v>
      </c>
      <c r="D142" s="805"/>
      <c r="E142" s="1102">
        <v>373.67374999999998</v>
      </c>
      <c r="F142" s="1102">
        <v>347.92725495125001</v>
      </c>
      <c r="G142" s="1103"/>
      <c r="H142" s="805"/>
      <c r="I142" s="1103"/>
      <c r="J142" s="1103"/>
      <c r="K142" s="84"/>
      <c r="L142" s="84"/>
      <c r="M142" s="84"/>
      <c r="N142" s="805"/>
      <c r="O142" s="941"/>
      <c r="P142" s="941"/>
      <c r="Q142" s="941"/>
      <c r="R142" s="805"/>
      <c r="S142" s="805"/>
      <c r="T142" s="805"/>
      <c r="U142" s="805"/>
      <c r="V142" s="805"/>
      <c r="W142" s="805"/>
      <c r="AJ142" s="817" t="s">
        <v>3</v>
      </c>
      <c r="AK142" s="817">
        <v>2012</v>
      </c>
      <c r="AL142" s="874" t="s">
        <v>31</v>
      </c>
      <c r="AM142" s="874">
        <v>2</v>
      </c>
      <c r="AN142" s="1114">
        <v>536326895</v>
      </c>
      <c r="AO142" s="1112">
        <v>0.16</v>
      </c>
      <c r="AP142" s="817"/>
      <c r="AQ142" s="817" t="s">
        <v>0</v>
      </c>
      <c r="AR142" s="817" t="s">
        <v>606</v>
      </c>
      <c r="AS142" s="874" t="s">
        <v>452</v>
      </c>
      <c r="AT142" s="874"/>
      <c r="AU142" s="1114">
        <v>3746738145.810708</v>
      </c>
      <c r="AV142" s="874"/>
      <c r="AW142" s="817">
        <v>2005</v>
      </c>
      <c r="AY142" s="1348"/>
    </row>
    <row r="143" spans="1:51" s="86" customFormat="1">
      <c r="A143" s="798">
        <f t="shared" si="4"/>
        <v>1982</v>
      </c>
      <c r="B143" s="798">
        <f t="shared" si="5"/>
        <v>1</v>
      </c>
      <c r="C143" s="1104">
        <v>30011</v>
      </c>
      <c r="D143" s="934"/>
      <c r="E143" s="1100">
        <v>329.50760869570001</v>
      </c>
      <c r="F143" s="1100">
        <v>313.72715980765423</v>
      </c>
      <c r="G143" s="1101"/>
      <c r="H143" s="935"/>
      <c r="I143" s="1101"/>
      <c r="J143" s="1101"/>
      <c r="K143" s="936"/>
      <c r="L143" s="936"/>
      <c r="M143" s="936"/>
      <c r="N143" s="937"/>
      <c r="O143" s="938"/>
      <c r="P143" s="938"/>
      <c r="Q143" s="938"/>
      <c r="R143" s="939"/>
      <c r="S143" s="940"/>
      <c r="T143" s="940"/>
      <c r="U143" s="1756"/>
      <c r="V143" s="1323"/>
      <c r="W143" s="1323"/>
      <c r="AJ143" s="817" t="s">
        <v>3</v>
      </c>
      <c r="AK143" s="817">
        <v>2012</v>
      </c>
      <c r="AL143" s="874" t="s">
        <v>29</v>
      </c>
      <c r="AM143" s="874">
        <v>3</v>
      </c>
      <c r="AN143" s="1114">
        <v>260340203</v>
      </c>
      <c r="AO143" s="1112">
        <v>7.6999999999999999E-2</v>
      </c>
      <c r="AP143" s="817"/>
      <c r="AQ143" s="817" t="s">
        <v>0</v>
      </c>
      <c r="AR143" s="817" t="s">
        <v>582</v>
      </c>
      <c r="AS143" s="874" t="s">
        <v>38</v>
      </c>
      <c r="AT143" s="874">
        <v>1</v>
      </c>
      <c r="AU143" s="1114">
        <v>478279994.31</v>
      </c>
      <c r="AV143" s="1113">
        <v>0.15659038074301374</v>
      </c>
      <c r="AW143" s="817">
        <v>2004</v>
      </c>
      <c r="AY143" s="3"/>
    </row>
    <row r="144" spans="1:51" s="86" customFormat="1">
      <c r="A144" s="798">
        <f t="shared" si="4"/>
        <v>1982</v>
      </c>
      <c r="B144" s="798">
        <f t="shared" si="5"/>
        <v>2</v>
      </c>
      <c r="C144" s="1104">
        <v>30042</v>
      </c>
      <c r="D144" s="805"/>
      <c r="E144" s="1102">
        <v>350.6644736842</v>
      </c>
      <c r="F144" s="1102">
        <v>330.56613937499009</v>
      </c>
      <c r="G144" s="1103"/>
      <c r="H144" s="805"/>
      <c r="I144" s="1103"/>
      <c r="J144" s="1103"/>
      <c r="K144" s="84"/>
      <c r="L144" s="84"/>
      <c r="M144" s="84"/>
      <c r="N144" s="805"/>
      <c r="O144" s="941"/>
      <c r="P144" s="941"/>
      <c r="Q144" s="941"/>
      <c r="R144" s="805"/>
      <c r="S144" s="805"/>
      <c r="T144" s="805"/>
      <c r="U144" s="805"/>
      <c r="V144" s="805"/>
      <c r="W144" s="805"/>
      <c r="AJ144" s="817" t="s">
        <v>3</v>
      </c>
      <c r="AK144" s="817">
        <v>2012</v>
      </c>
      <c r="AL144" s="874" t="s">
        <v>41</v>
      </c>
      <c r="AM144" s="874">
        <v>4</v>
      </c>
      <c r="AN144" s="1114">
        <v>232655575</v>
      </c>
      <c r="AO144" s="1112">
        <v>6.9000000000000006E-2</v>
      </c>
      <c r="AP144" s="817"/>
      <c r="AQ144" s="817" t="s">
        <v>0</v>
      </c>
      <c r="AR144" s="817" t="s">
        <v>582</v>
      </c>
      <c r="AS144" s="874" t="s">
        <v>162</v>
      </c>
      <c r="AT144" s="874">
        <v>2</v>
      </c>
      <c r="AU144" s="1114">
        <v>455149307.80000007</v>
      </c>
      <c r="AV144" s="1113">
        <v>0.14901732092337067</v>
      </c>
      <c r="AW144" s="817">
        <v>2004</v>
      </c>
      <c r="AY144" s="1348"/>
    </row>
    <row r="145" spans="1:51" s="86" customFormat="1">
      <c r="A145" s="798">
        <f t="shared" si="4"/>
        <v>1982</v>
      </c>
      <c r="B145" s="798">
        <f t="shared" si="5"/>
        <v>2</v>
      </c>
      <c r="C145" s="1104">
        <v>30074</v>
      </c>
      <c r="D145" s="934"/>
      <c r="E145" s="1100">
        <v>333.21315789469998</v>
      </c>
      <c r="F145" s="1100">
        <v>317.10430098943857</v>
      </c>
      <c r="G145" s="1101"/>
      <c r="H145" s="935"/>
      <c r="I145" s="1101"/>
      <c r="J145" s="1101"/>
      <c r="K145" s="936"/>
      <c r="L145" s="936"/>
      <c r="M145" s="936"/>
      <c r="N145" s="937"/>
      <c r="O145" s="938"/>
      <c r="P145" s="938"/>
      <c r="Q145" s="938"/>
      <c r="R145" s="939"/>
      <c r="S145" s="940"/>
      <c r="T145" s="940"/>
      <c r="U145" s="1756"/>
      <c r="V145" s="1323"/>
      <c r="W145" s="1323"/>
      <c r="AJ145" s="817" t="s">
        <v>3</v>
      </c>
      <c r="AK145" s="817">
        <v>2012</v>
      </c>
      <c r="AL145" s="874" t="s">
        <v>65</v>
      </c>
      <c r="AM145" s="874">
        <v>5</v>
      </c>
      <c r="AN145" s="1114">
        <v>220086965</v>
      </c>
      <c r="AO145" s="1112">
        <v>6.6000000000000003E-2</v>
      </c>
      <c r="AP145" s="817"/>
      <c r="AQ145" s="817" t="s">
        <v>0</v>
      </c>
      <c r="AR145" s="817" t="s">
        <v>582</v>
      </c>
      <c r="AS145" s="874" t="s">
        <v>65</v>
      </c>
      <c r="AT145" s="874">
        <v>3</v>
      </c>
      <c r="AU145" s="1114">
        <v>454276746.69000006</v>
      </c>
      <c r="AV145" s="1113">
        <v>0.14873164166004801</v>
      </c>
      <c r="AW145" s="817">
        <v>2004</v>
      </c>
      <c r="AY145" s="1348"/>
    </row>
    <row r="146" spans="1:51" s="86" customFormat="1">
      <c r="A146" s="798">
        <f t="shared" si="4"/>
        <v>1982</v>
      </c>
      <c r="B146" s="798">
        <f t="shared" si="5"/>
        <v>2</v>
      </c>
      <c r="C146" s="1104">
        <v>30103</v>
      </c>
      <c r="D146" s="805"/>
      <c r="E146" s="1102">
        <v>314.78863636360001</v>
      </c>
      <c r="F146" s="1102">
        <v>307.92183704996444</v>
      </c>
      <c r="G146" s="1103"/>
      <c r="H146" s="805"/>
      <c r="I146" s="1103"/>
      <c r="J146" s="1103"/>
      <c r="K146" s="84"/>
      <c r="L146" s="84"/>
      <c r="M146" s="84"/>
      <c r="N146" s="805"/>
      <c r="O146" s="941"/>
      <c r="P146" s="941"/>
      <c r="Q146" s="941"/>
      <c r="R146" s="805"/>
      <c r="S146" s="805"/>
      <c r="T146" s="805"/>
      <c r="U146" s="805"/>
      <c r="V146" s="805"/>
      <c r="W146" s="805"/>
      <c r="AJ146" s="817" t="s">
        <v>3</v>
      </c>
      <c r="AK146" s="817">
        <v>2012</v>
      </c>
      <c r="AL146" s="874" t="s">
        <v>70</v>
      </c>
      <c r="AM146" s="874">
        <v>6</v>
      </c>
      <c r="AN146" s="1114">
        <v>202881775</v>
      </c>
      <c r="AO146" s="1112">
        <v>0.06</v>
      </c>
      <c r="AP146" s="817"/>
      <c r="AQ146" s="817" t="s">
        <v>0</v>
      </c>
      <c r="AR146" s="817" t="s">
        <v>582</v>
      </c>
      <c r="AS146" s="874" t="s">
        <v>24</v>
      </c>
      <c r="AT146" s="874">
        <v>4</v>
      </c>
      <c r="AU146" s="1114">
        <v>402902144.86000001</v>
      </c>
      <c r="AV146" s="1113">
        <v>0.13191143475867764</v>
      </c>
      <c r="AW146" s="817">
        <v>2004</v>
      </c>
      <c r="AY146" s="3"/>
    </row>
    <row r="147" spans="1:51" s="86" customFormat="1">
      <c r="A147" s="798">
        <f t="shared" si="4"/>
        <v>1982</v>
      </c>
      <c r="B147" s="798">
        <f t="shared" si="5"/>
        <v>3</v>
      </c>
      <c r="C147" s="1104">
        <v>30133</v>
      </c>
      <c r="D147" s="934"/>
      <c r="E147" s="1100">
        <v>339.90454545450001</v>
      </c>
      <c r="F147" s="1100">
        <v>341.33894263631794</v>
      </c>
      <c r="G147" s="1101"/>
      <c r="H147" s="935"/>
      <c r="I147" s="1101"/>
      <c r="J147" s="1101"/>
      <c r="K147" s="936"/>
      <c r="L147" s="936"/>
      <c r="M147" s="936"/>
      <c r="N147" s="937"/>
      <c r="O147" s="938"/>
      <c r="P147" s="938"/>
      <c r="Q147" s="938"/>
      <c r="R147" s="939"/>
      <c r="S147" s="940"/>
      <c r="T147" s="940"/>
      <c r="U147" s="1756"/>
      <c r="V147" s="1323"/>
      <c r="W147" s="1323"/>
      <c r="AJ147" s="817" t="s">
        <v>3</v>
      </c>
      <c r="AK147" s="817">
        <v>2012</v>
      </c>
      <c r="AL147" s="874" t="s">
        <v>69</v>
      </c>
      <c r="AM147" s="874">
        <v>7</v>
      </c>
      <c r="AN147" s="1114">
        <v>142342132</v>
      </c>
      <c r="AO147" s="1112">
        <v>4.2000000000000003E-2</v>
      </c>
      <c r="AP147" s="817"/>
      <c r="AQ147" s="817" t="s">
        <v>0</v>
      </c>
      <c r="AR147" s="817" t="s">
        <v>582</v>
      </c>
      <c r="AS147" s="874" t="s">
        <v>23</v>
      </c>
      <c r="AT147" s="874">
        <v>5</v>
      </c>
      <c r="AU147" s="1114">
        <v>371991493.28000003</v>
      </c>
      <c r="AV147" s="1113">
        <v>0.121791189802771</v>
      </c>
      <c r="AW147" s="817">
        <v>2004</v>
      </c>
      <c r="AY147" s="1348"/>
    </row>
    <row r="148" spans="1:51" s="86" customFormat="1">
      <c r="A148" s="798">
        <f t="shared" si="4"/>
        <v>1982</v>
      </c>
      <c r="B148" s="798">
        <f t="shared" si="5"/>
        <v>3</v>
      </c>
      <c r="C148" s="1104">
        <v>30165</v>
      </c>
      <c r="D148" s="805"/>
      <c r="E148" s="1102">
        <v>365.50714285710001</v>
      </c>
      <c r="F148" s="1102">
        <v>379.03821728566987</v>
      </c>
      <c r="G148" s="1103"/>
      <c r="H148" s="805"/>
      <c r="I148" s="1103"/>
      <c r="J148" s="1103"/>
      <c r="K148" s="84"/>
      <c r="L148" s="84"/>
      <c r="M148" s="84"/>
      <c r="N148" s="805"/>
      <c r="O148" s="941"/>
      <c r="P148" s="941"/>
      <c r="Q148" s="941"/>
      <c r="R148" s="805"/>
      <c r="S148" s="805"/>
      <c r="T148" s="805"/>
      <c r="U148" s="805"/>
      <c r="V148" s="805"/>
      <c r="W148" s="805"/>
      <c r="AJ148" s="817" t="s">
        <v>3</v>
      </c>
      <c r="AK148" s="817">
        <v>2012</v>
      </c>
      <c r="AL148" s="874" t="s">
        <v>66</v>
      </c>
      <c r="AM148" s="874">
        <v>8</v>
      </c>
      <c r="AN148" s="1114">
        <v>135353736</v>
      </c>
      <c r="AO148" s="1112">
        <v>0.04</v>
      </c>
      <c r="AP148" s="817"/>
      <c r="AQ148" s="817" t="s">
        <v>0</v>
      </c>
      <c r="AR148" s="817" t="s">
        <v>582</v>
      </c>
      <c r="AS148" s="874" t="s">
        <v>32</v>
      </c>
      <c r="AT148" s="874">
        <v>6</v>
      </c>
      <c r="AU148" s="1114">
        <v>317299989.79999995</v>
      </c>
      <c r="AV148" s="1113">
        <v>0.10388501882504417</v>
      </c>
      <c r="AW148" s="817">
        <v>2004</v>
      </c>
      <c r="AY148" s="1348"/>
    </row>
    <row r="149" spans="1:51" s="86" customFormat="1">
      <c r="A149" s="798">
        <f t="shared" si="4"/>
        <v>1982</v>
      </c>
      <c r="B149" s="798">
        <f t="shared" si="5"/>
        <v>3</v>
      </c>
      <c r="C149" s="1104">
        <v>30195</v>
      </c>
      <c r="D149" s="934"/>
      <c r="E149" s="1100">
        <v>437.23750000000001</v>
      </c>
      <c r="F149" s="1100">
        <v>460.590354875</v>
      </c>
      <c r="G149" s="1101"/>
      <c r="H149" s="935"/>
      <c r="I149" s="1101"/>
      <c r="J149" s="1101"/>
      <c r="K149" s="936"/>
      <c r="L149" s="936"/>
      <c r="M149" s="936"/>
      <c r="N149" s="937"/>
      <c r="O149" s="938"/>
      <c r="P149" s="938"/>
      <c r="Q149" s="938"/>
      <c r="R149" s="939"/>
      <c r="S149" s="940"/>
      <c r="T149" s="940"/>
      <c r="U149" s="1756"/>
      <c r="V149" s="1323"/>
      <c r="W149" s="1323"/>
      <c r="AJ149" s="817" t="s">
        <v>3</v>
      </c>
      <c r="AK149" s="817">
        <v>2012</v>
      </c>
      <c r="AL149" s="874" t="s">
        <v>33</v>
      </c>
      <c r="AM149" s="874">
        <v>9</v>
      </c>
      <c r="AN149" s="1114">
        <v>108395416</v>
      </c>
      <c r="AO149" s="1112">
        <v>3.2000000000000001E-2</v>
      </c>
      <c r="AP149" s="817"/>
      <c r="AQ149" s="817" t="s">
        <v>0</v>
      </c>
      <c r="AR149" s="817" t="s">
        <v>582</v>
      </c>
      <c r="AS149" s="874" t="s">
        <v>165</v>
      </c>
      <c r="AT149" s="874">
        <v>7</v>
      </c>
      <c r="AU149" s="1114">
        <v>183622090.74000001</v>
      </c>
      <c r="AV149" s="1113">
        <v>6.011845246273901E-2</v>
      </c>
      <c r="AW149" s="817">
        <v>2004</v>
      </c>
      <c r="AY149" s="3"/>
    </row>
    <row r="150" spans="1:51" s="86" customFormat="1">
      <c r="A150" s="798">
        <f t="shared" si="4"/>
        <v>1982</v>
      </c>
      <c r="B150" s="798">
        <f t="shared" si="5"/>
        <v>4</v>
      </c>
      <c r="C150" s="1104">
        <v>30225</v>
      </c>
      <c r="D150" s="805"/>
      <c r="E150" s="1102">
        <v>422.72500000000002</v>
      </c>
      <c r="F150" s="1102">
        <v>451.2927555</v>
      </c>
      <c r="G150" s="1103"/>
      <c r="H150" s="805"/>
      <c r="I150" s="1103"/>
      <c r="J150" s="1103"/>
      <c r="K150" s="84"/>
      <c r="L150" s="84"/>
      <c r="M150" s="84"/>
      <c r="N150" s="805"/>
      <c r="O150" s="941"/>
      <c r="P150" s="941"/>
      <c r="Q150" s="941"/>
      <c r="R150" s="805"/>
      <c r="S150" s="805"/>
      <c r="T150" s="805"/>
      <c r="U150" s="805"/>
      <c r="V150" s="805"/>
      <c r="W150" s="805"/>
      <c r="AJ150" s="817" t="s">
        <v>3</v>
      </c>
      <c r="AK150" s="817">
        <v>2012</v>
      </c>
      <c r="AL150" s="874" t="s">
        <v>72</v>
      </c>
      <c r="AM150" s="874">
        <v>10</v>
      </c>
      <c r="AN150" s="1114">
        <v>68825847</v>
      </c>
      <c r="AO150" s="1112">
        <v>0.02</v>
      </c>
      <c r="AP150" s="817"/>
      <c r="AQ150" s="817" t="s">
        <v>0</v>
      </c>
      <c r="AR150" s="817" t="s">
        <v>582</v>
      </c>
      <c r="AS150" s="874" t="s">
        <v>28</v>
      </c>
      <c r="AT150" s="874">
        <v>8</v>
      </c>
      <c r="AU150" s="1114">
        <v>144106677.22000003</v>
      </c>
      <c r="AV150" s="1113">
        <v>4.7180981270281371E-2</v>
      </c>
      <c r="AW150" s="817">
        <v>2004</v>
      </c>
      <c r="AY150" s="1348"/>
    </row>
    <row r="151" spans="1:51" s="86" customFormat="1">
      <c r="A151" s="798">
        <f t="shared" si="4"/>
        <v>1982</v>
      </c>
      <c r="B151" s="798">
        <f t="shared" si="5"/>
        <v>4</v>
      </c>
      <c r="C151" s="1104">
        <v>30256</v>
      </c>
      <c r="D151" s="934"/>
      <c r="E151" s="1100">
        <v>415.20909090909998</v>
      </c>
      <c r="F151" s="1100">
        <v>434.86508927273672</v>
      </c>
      <c r="G151" s="1101"/>
      <c r="H151" s="935"/>
      <c r="I151" s="1101"/>
      <c r="J151" s="1101"/>
      <c r="K151" s="936"/>
      <c r="L151" s="936"/>
      <c r="M151" s="936"/>
      <c r="N151" s="937"/>
      <c r="O151" s="938"/>
      <c r="P151" s="938"/>
      <c r="Q151" s="938"/>
      <c r="R151" s="939"/>
      <c r="S151" s="940"/>
      <c r="T151" s="940"/>
      <c r="U151" s="1756"/>
      <c r="V151" s="1323"/>
      <c r="W151" s="1323"/>
      <c r="AJ151" s="817" t="s">
        <v>3</v>
      </c>
      <c r="AK151" s="817">
        <v>2012</v>
      </c>
      <c r="AL151" s="874" t="s">
        <v>45</v>
      </c>
      <c r="AM151" s="874"/>
      <c r="AN151" s="1114">
        <v>266306367</v>
      </c>
      <c r="AO151" s="1112">
        <v>7.9000000000000001E-2</v>
      </c>
      <c r="AP151" s="817"/>
      <c r="AQ151" s="817" t="s">
        <v>0</v>
      </c>
      <c r="AR151" s="817" t="s">
        <v>582</v>
      </c>
      <c r="AS151" s="874" t="s">
        <v>25</v>
      </c>
      <c r="AT151" s="874">
        <v>9</v>
      </c>
      <c r="AU151" s="1114">
        <v>78530298</v>
      </c>
      <c r="AV151" s="1113">
        <v>2.5711067596341695E-2</v>
      </c>
      <c r="AW151" s="817">
        <v>2004</v>
      </c>
      <c r="AY151" s="1348"/>
    </row>
    <row r="152" spans="1:51" s="86" customFormat="1">
      <c r="A152" s="798">
        <f t="shared" si="4"/>
        <v>1982</v>
      </c>
      <c r="B152" s="798">
        <f t="shared" si="5"/>
        <v>4</v>
      </c>
      <c r="C152" s="1104">
        <v>30286</v>
      </c>
      <c r="D152" s="805"/>
      <c r="E152" s="1102">
        <v>444.40135135140002</v>
      </c>
      <c r="F152" s="1102">
        <v>453.19161008113065</v>
      </c>
      <c r="G152" s="1103"/>
      <c r="H152" s="805"/>
      <c r="I152" s="1103"/>
      <c r="J152" s="1103"/>
      <c r="K152" s="84"/>
      <c r="L152" s="84"/>
      <c r="M152" s="84"/>
      <c r="N152" s="805"/>
      <c r="O152" s="941"/>
      <c r="P152" s="941"/>
      <c r="Q152" s="941"/>
      <c r="R152" s="805"/>
      <c r="S152" s="805"/>
      <c r="T152" s="805"/>
      <c r="U152" s="805"/>
      <c r="V152" s="805"/>
      <c r="W152" s="805"/>
      <c r="AJ152" s="817" t="s">
        <v>3</v>
      </c>
      <c r="AK152" s="817">
        <v>2012</v>
      </c>
      <c r="AL152" s="874" t="s">
        <v>452</v>
      </c>
      <c r="AM152" s="874"/>
      <c r="AN152" s="1114">
        <v>3359726903</v>
      </c>
      <c r="AO152" s="1112"/>
      <c r="AP152" s="817"/>
      <c r="AQ152" s="817" t="s">
        <v>0</v>
      </c>
      <c r="AR152" s="817" t="s">
        <v>582</v>
      </c>
      <c r="AS152" s="874" t="s">
        <v>45</v>
      </c>
      <c r="AT152" s="874"/>
      <c r="AU152" s="1114">
        <v>168179538.10999966</v>
      </c>
      <c r="AV152" s="1113">
        <v>5.5062511957712487E-2</v>
      </c>
      <c r="AW152" s="817">
        <v>2004</v>
      </c>
      <c r="AY152" s="3"/>
    </row>
    <row r="153" spans="1:51" s="86" customFormat="1">
      <c r="A153" s="798">
        <f t="shared" si="4"/>
        <v>1983</v>
      </c>
      <c r="B153" s="798">
        <f t="shared" si="5"/>
        <v>1</v>
      </c>
      <c r="C153" s="1104">
        <v>30319</v>
      </c>
      <c r="D153" s="934"/>
      <c r="E153" s="1100">
        <v>482.76249999999999</v>
      </c>
      <c r="F153" s="1100">
        <v>496.77226775000003</v>
      </c>
      <c r="G153" s="1101"/>
      <c r="H153" s="935"/>
      <c r="I153" s="1101"/>
      <c r="J153" s="1101"/>
      <c r="K153" s="936"/>
      <c r="L153" s="936"/>
      <c r="M153" s="936"/>
      <c r="N153" s="937"/>
      <c r="O153" s="938"/>
      <c r="P153" s="938"/>
      <c r="Q153" s="938"/>
      <c r="R153" s="939"/>
      <c r="S153" s="940"/>
      <c r="T153" s="940"/>
      <c r="U153" s="1756"/>
      <c r="V153" s="1323"/>
      <c r="W153" s="1323"/>
      <c r="AJ153" s="817" t="s">
        <v>3</v>
      </c>
      <c r="AK153" s="817">
        <v>2011</v>
      </c>
      <c r="AL153" s="874" t="s">
        <v>24</v>
      </c>
      <c r="AM153" s="874">
        <v>1</v>
      </c>
      <c r="AN153" s="1114">
        <v>1546788907</v>
      </c>
      <c r="AO153" s="1112">
        <v>0.443</v>
      </c>
      <c r="AP153" s="817"/>
      <c r="AQ153" s="817" t="s">
        <v>0</v>
      </c>
      <c r="AR153" s="817" t="s">
        <v>582</v>
      </c>
      <c r="AS153" s="874" t="s">
        <v>452</v>
      </c>
      <c r="AT153" s="874"/>
      <c r="AU153" s="1114">
        <v>3054338280.8100004</v>
      </c>
      <c r="AV153" s="874"/>
      <c r="AW153" s="817">
        <v>2004</v>
      </c>
      <c r="AY153" s="1348"/>
    </row>
    <row r="154" spans="1:51" s="86" customFormat="1">
      <c r="A154" s="798">
        <f t="shared" si="4"/>
        <v>1983</v>
      </c>
      <c r="B154" s="798">
        <f t="shared" si="5"/>
        <v>1</v>
      </c>
      <c r="C154" s="1104">
        <v>30348</v>
      </c>
      <c r="D154" s="805"/>
      <c r="E154" s="1102">
        <v>488.75</v>
      </c>
      <c r="F154" s="1102">
        <v>508.79852500000004</v>
      </c>
      <c r="G154" s="1103"/>
      <c r="H154" s="805"/>
      <c r="I154" s="1103"/>
      <c r="J154" s="1103"/>
      <c r="K154" s="84"/>
      <c r="L154" s="84"/>
      <c r="M154" s="84"/>
      <c r="N154" s="805"/>
      <c r="O154" s="941"/>
      <c r="P154" s="941"/>
      <c r="Q154" s="941"/>
      <c r="R154" s="805"/>
      <c r="S154" s="805"/>
      <c r="T154" s="805"/>
      <c r="U154" s="805"/>
      <c r="V154" s="805"/>
      <c r="W154" s="805"/>
      <c r="AJ154" s="817" t="s">
        <v>3</v>
      </c>
      <c r="AK154" s="817">
        <v>2011</v>
      </c>
      <c r="AL154" s="874" t="s">
        <v>65</v>
      </c>
      <c r="AM154" s="874">
        <v>2</v>
      </c>
      <c r="AN154" s="1114">
        <v>370151125</v>
      </c>
      <c r="AO154" s="1112">
        <v>0.106</v>
      </c>
      <c r="AP154" s="817"/>
      <c r="AQ154" s="817" t="s">
        <v>3</v>
      </c>
      <c r="AR154" s="817" t="s">
        <v>616</v>
      </c>
      <c r="AS154" s="874" t="s">
        <v>31</v>
      </c>
      <c r="AT154" s="874">
        <v>1</v>
      </c>
      <c r="AU154" s="1114">
        <v>770258811</v>
      </c>
      <c r="AV154" s="1113">
        <v>0.40100000000000002</v>
      </c>
      <c r="AW154" s="817">
        <v>2015</v>
      </c>
      <c r="AY154" s="1348"/>
    </row>
    <row r="155" spans="1:51" s="86" customFormat="1">
      <c r="A155" s="798">
        <f t="shared" si="4"/>
        <v>1983</v>
      </c>
      <c r="B155" s="798">
        <f t="shared" si="5"/>
        <v>1</v>
      </c>
      <c r="C155" s="1104">
        <v>30376</v>
      </c>
      <c r="D155" s="934"/>
      <c r="E155" s="1100">
        <v>419.9375</v>
      </c>
      <c r="F155" s="1100">
        <v>486.65716999999995</v>
      </c>
      <c r="G155" s="1101"/>
      <c r="H155" s="935"/>
      <c r="I155" s="1101"/>
      <c r="J155" s="1101"/>
      <c r="K155" s="936"/>
      <c r="L155" s="936"/>
      <c r="M155" s="936"/>
      <c r="N155" s="937"/>
      <c r="O155" s="938"/>
      <c r="P155" s="938"/>
      <c r="Q155" s="938"/>
      <c r="R155" s="939"/>
      <c r="S155" s="940"/>
      <c r="T155" s="940"/>
      <c r="U155" s="1756"/>
      <c r="V155" s="1323"/>
      <c r="W155" s="1323"/>
      <c r="AJ155" s="817" t="s">
        <v>3</v>
      </c>
      <c r="AK155" s="817">
        <v>2011</v>
      </c>
      <c r="AL155" s="874" t="s">
        <v>41</v>
      </c>
      <c r="AM155" s="874">
        <v>3</v>
      </c>
      <c r="AN155" s="1114">
        <v>355981481</v>
      </c>
      <c r="AO155" s="1112">
        <v>0.10199999999999999</v>
      </c>
      <c r="AP155" s="817"/>
      <c r="AQ155" s="817" t="s">
        <v>3</v>
      </c>
      <c r="AR155" s="817" t="s">
        <v>616</v>
      </c>
      <c r="AS155" s="874" t="s">
        <v>24</v>
      </c>
      <c r="AT155" s="874">
        <v>2</v>
      </c>
      <c r="AU155" s="1114">
        <v>282551584</v>
      </c>
      <c r="AV155" s="1113">
        <v>0.14699999999999999</v>
      </c>
      <c r="AW155" s="817">
        <v>2015</v>
      </c>
      <c r="AY155" s="3"/>
    </row>
    <row r="156" spans="1:51" s="86" customFormat="1">
      <c r="A156" s="798">
        <f t="shared" si="4"/>
        <v>1983</v>
      </c>
      <c r="B156" s="798">
        <f t="shared" si="5"/>
        <v>2</v>
      </c>
      <c r="C156" s="1104">
        <v>30407</v>
      </c>
      <c r="D156" s="805"/>
      <c r="E156" s="1102">
        <v>432.97972972970001</v>
      </c>
      <c r="F156" s="1102">
        <v>498.82295722969548</v>
      </c>
      <c r="G156" s="1103"/>
      <c r="H156" s="805"/>
      <c r="I156" s="1103"/>
      <c r="J156" s="1103"/>
      <c r="K156" s="84"/>
      <c r="L156" s="84"/>
      <c r="M156" s="84"/>
      <c r="N156" s="805"/>
      <c r="O156" s="941"/>
      <c r="P156" s="941"/>
      <c r="Q156" s="941"/>
      <c r="R156" s="805"/>
      <c r="S156" s="805"/>
      <c r="T156" s="805"/>
      <c r="U156" s="805"/>
      <c r="V156" s="805"/>
      <c r="W156" s="805"/>
      <c r="AJ156" s="817" t="s">
        <v>3</v>
      </c>
      <c r="AK156" s="817">
        <v>2011</v>
      </c>
      <c r="AL156" s="874" t="s">
        <v>29</v>
      </c>
      <c r="AM156" s="874">
        <v>4</v>
      </c>
      <c r="AN156" s="1114">
        <v>294395995</v>
      </c>
      <c r="AO156" s="1112">
        <v>8.4000000000000005E-2</v>
      </c>
      <c r="AP156" s="817"/>
      <c r="AQ156" s="817" t="s">
        <v>3</v>
      </c>
      <c r="AR156" s="817" t="s">
        <v>616</v>
      </c>
      <c r="AS156" s="874" t="s">
        <v>70</v>
      </c>
      <c r="AT156" s="874">
        <v>3</v>
      </c>
      <c r="AU156" s="1114">
        <v>268762708</v>
      </c>
      <c r="AV156" s="1113">
        <v>0.14000000000000001</v>
      </c>
      <c r="AW156" s="817">
        <v>2015</v>
      </c>
      <c r="AY156" s="1348"/>
    </row>
    <row r="157" spans="1:51" s="86" customFormat="1">
      <c r="A157" s="798">
        <f t="shared" si="4"/>
        <v>1983</v>
      </c>
      <c r="B157" s="798">
        <f t="shared" si="5"/>
        <v>2</v>
      </c>
      <c r="C157" s="1104">
        <v>30438</v>
      </c>
      <c r="D157" s="934"/>
      <c r="E157" s="1100">
        <v>437.42</v>
      </c>
      <c r="F157" s="1100">
        <v>495.94242180000003</v>
      </c>
      <c r="G157" s="1101"/>
      <c r="H157" s="935"/>
      <c r="I157" s="1101"/>
      <c r="J157" s="1101"/>
      <c r="K157" s="936"/>
      <c r="L157" s="936"/>
      <c r="M157" s="936"/>
      <c r="N157" s="937"/>
      <c r="O157" s="938"/>
      <c r="P157" s="938"/>
      <c r="Q157" s="938"/>
      <c r="R157" s="939"/>
      <c r="S157" s="940"/>
      <c r="T157" s="940"/>
      <c r="U157" s="1756"/>
      <c r="V157" s="1323"/>
      <c r="W157" s="1323"/>
      <c r="AJ157" s="817" t="s">
        <v>3</v>
      </c>
      <c r="AK157" s="817">
        <v>2011</v>
      </c>
      <c r="AL157" s="874" t="s">
        <v>33</v>
      </c>
      <c r="AM157" s="874">
        <v>5</v>
      </c>
      <c r="AN157" s="1114">
        <v>229338497</v>
      </c>
      <c r="AO157" s="1112">
        <v>6.6000000000000003E-2</v>
      </c>
      <c r="AP157" s="817"/>
      <c r="AQ157" s="817" t="s">
        <v>3</v>
      </c>
      <c r="AR157" s="817" t="s">
        <v>616</v>
      </c>
      <c r="AS157" s="874" t="s">
        <v>29</v>
      </c>
      <c r="AT157" s="874">
        <v>4</v>
      </c>
      <c r="AU157" s="1114">
        <v>137936088</v>
      </c>
      <c r="AV157" s="1113">
        <v>7.1999999999999995E-2</v>
      </c>
      <c r="AW157" s="817">
        <v>2015</v>
      </c>
      <c r="AY157" s="1348"/>
    </row>
    <row r="158" spans="1:51" s="86" customFormat="1">
      <c r="A158" s="798">
        <f t="shared" si="4"/>
        <v>1983</v>
      </c>
      <c r="B158" s="798">
        <f t="shared" si="5"/>
        <v>2</v>
      </c>
      <c r="C158" s="1104">
        <v>30468</v>
      </c>
      <c r="D158" s="805"/>
      <c r="E158" s="1102">
        <v>412.98295454549998</v>
      </c>
      <c r="F158" s="1102">
        <v>472.25013835232471</v>
      </c>
      <c r="G158" s="1103"/>
      <c r="H158" s="805"/>
      <c r="I158" s="1103"/>
      <c r="J158" s="1103"/>
      <c r="K158" s="84"/>
      <c r="L158" s="84"/>
      <c r="M158" s="84"/>
      <c r="N158" s="805"/>
      <c r="O158" s="941"/>
      <c r="P158" s="941"/>
      <c r="Q158" s="941"/>
      <c r="R158" s="805"/>
      <c r="S158" s="805"/>
      <c r="T158" s="805"/>
      <c r="U158" s="805"/>
      <c r="V158" s="805"/>
      <c r="W158" s="805"/>
      <c r="AJ158" s="817" t="s">
        <v>3</v>
      </c>
      <c r="AK158" s="817">
        <v>2011</v>
      </c>
      <c r="AL158" s="874" t="s">
        <v>66</v>
      </c>
      <c r="AM158" s="874">
        <v>6</v>
      </c>
      <c r="AN158" s="1114">
        <v>166824008</v>
      </c>
      <c r="AO158" s="1112">
        <v>4.8000000000000001E-2</v>
      </c>
      <c r="AP158" s="817"/>
      <c r="AQ158" s="817" t="s">
        <v>3</v>
      </c>
      <c r="AR158" s="817" t="s">
        <v>616</v>
      </c>
      <c r="AS158" s="874" t="s">
        <v>433</v>
      </c>
      <c r="AT158" s="874">
        <v>5</v>
      </c>
      <c r="AU158" s="1114">
        <v>129754630</v>
      </c>
      <c r="AV158" s="1113">
        <v>6.8000000000000005E-2</v>
      </c>
      <c r="AW158" s="817">
        <v>2015</v>
      </c>
      <c r="AY158" s="3"/>
    </row>
    <row r="159" spans="1:51">
      <c r="A159" s="798">
        <f t="shared" si="4"/>
        <v>1983</v>
      </c>
      <c r="B159" s="798">
        <f t="shared" si="5"/>
        <v>3</v>
      </c>
      <c r="C159" s="1105">
        <v>30498</v>
      </c>
      <c r="D159" s="934"/>
      <c r="E159" s="1100">
        <v>483.1</v>
      </c>
      <c r="F159" s="1100">
        <v>422.8</v>
      </c>
      <c r="G159" s="1101"/>
      <c r="H159" s="935"/>
      <c r="I159" s="1101"/>
      <c r="J159" s="1101"/>
      <c r="K159" s="936">
        <v>4984.2905788876296</v>
      </c>
      <c r="L159" s="936">
        <v>4358.76</v>
      </c>
      <c r="M159" s="936"/>
      <c r="N159" s="937"/>
      <c r="O159" s="938"/>
      <c r="P159" s="938"/>
      <c r="Q159" s="938"/>
      <c r="R159" s="939"/>
      <c r="S159" s="940"/>
      <c r="T159" s="940"/>
      <c r="U159" s="1756"/>
      <c r="V159" s="1323"/>
      <c r="W159" s="1323"/>
      <c r="X159" s="5"/>
      <c r="AJ159" s="817" t="s">
        <v>3</v>
      </c>
      <c r="AK159" s="817">
        <v>2011</v>
      </c>
      <c r="AL159" s="874" t="s">
        <v>63</v>
      </c>
      <c r="AM159" s="874">
        <v>7</v>
      </c>
      <c r="AN159" s="1114">
        <v>124864739</v>
      </c>
      <c r="AO159" s="1112">
        <v>3.5999999999999997E-2</v>
      </c>
      <c r="AP159" s="817"/>
      <c r="AQ159" s="817" t="s">
        <v>3</v>
      </c>
      <c r="AR159" s="817" t="s">
        <v>616</v>
      </c>
      <c r="AS159" s="874" t="s">
        <v>41</v>
      </c>
      <c r="AT159" s="874">
        <v>6</v>
      </c>
      <c r="AU159" s="1114">
        <v>76167101</v>
      </c>
      <c r="AV159" s="1113">
        <v>0.04</v>
      </c>
      <c r="AW159" s="817">
        <v>2015</v>
      </c>
      <c r="AY159" s="1348"/>
    </row>
    <row r="160" spans="1:51">
      <c r="A160" s="798">
        <f t="shared" si="4"/>
        <v>1983</v>
      </c>
      <c r="B160" s="798">
        <f t="shared" si="5"/>
        <v>3</v>
      </c>
      <c r="C160" s="1105">
        <v>30529</v>
      </c>
      <c r="D160" s="805"/>
      <c r="E160" s="1102">
        <v>473.6</v>
      </c>
      <c r="F160" s="1102">
        <v>417</v>
      </c>
      <c r="G160" s="1103"/>
      <c r="H160" s="805"/>
      <c r="I160" s="1103"/>
      <c r="J160" s="1103"/>
      <c r="K160" s="84">
        <v>4777.2680705748398</v>
      </c>
      <c r="L160" s="84">
        <v>4391.16</v>
      </c>
      <c r="M160" s="84"/>
      <c r="N160" s="805"/>
      <c r="O160" s="941"/>
      <c r="P160" s="941"/>
      <c r="Q160" s="941"/>
      <c r="R160" s="805"/>
      <c r="S160" s="805"/>
      <c r="T160" s="805"/>
      <c r="U160" s="805"/>
      <c r="V160" s="805"/>
      <c r="W160" s="805"/>
      <c r="X160" s="5"/>
      <c r="AJ160" s="817" t="s">
        <v>3</v>
      </c>
      <c r="AK160" s="817">
        <v>2011</v>
      </c>
      <c r="AL160" s="874" t="s">
        <v>69</v>
      </c>
      <c r="AM160" s="874">
        <v>8</v>
      </c>
      <c r="AN160" s="1114">
        <v>79939604</v>
      </c>
      <c r="AO160" s="1112">
        <v>2.3E-2</v>
      </c>
      <c r="AP160" s="817"/>
      <c r="AQ160" s="817" t="s">
        <v>3</v>
      </c>
      <c r="AR160" s="817" t="s">
        <v>616</v>
      </c>
      <c r="AS160" s="874" t="s">
        <v>66</v>
      </c>
      <c r="AT160" s="874">
        <v>7</v>
      </c>
      <c r="AU160" s="1114">
        <v>67422692</v>
      </c>
      <c r="AV160" s="1113">
        <v>3.5000000000000003E-2</v>
      </c>
      <c r="AW160" s="817">
        <v>2015</v>
      </c>
      <c r="AY160" s="1348"/>
    </row>
    <row r="161" spans="1:51">
      <c r="A161" s="798">
        <f t="shared" si="4"/>
        <v>1983</v>
      </c>
      <c r="B161" s="798">
        <f t="shared" si="5"/>
        <v>3</v>
      </c>
      <c r="C161" s="1105">
        <v>30560</v>
      </c>
      <c r="D161" s="934"/>
      <c r="E161" s="1100">
        <v>465.3</v>
      </c>
      <c r="F161" s="1100">
        <v>412.6</v>
      </c>
      <c r="G161" s="1101"/>
      <c r="H161" s="935"/>
      <c r="I161" s="1101"/>
      <c r="J161" s="1101"/>
      <c r="K161" s="936">
        <v>4470.8756274400403</v>
      </c>
      <c r="L161" s="936">
        <v>4196.83</v>
      </c>
      <c r="M161" s="936"/>
      <c r="N161" s="937"/>
      <c r="O161" s="938"/>
      <c r="P161" s="938"/>
      <c r="Q161" s="938"/>
      <c r="R161" s="939"/>
      <c r="S161" s="940"/>
      <c r="T161" s="940"/>
      <c r="U161" s="1756"/>
      <c r="V161" s="1323"/>
      <c r="W161" s="1323"/>
      <c r="X161" s="5"/>
      <c r="AJ161" s="817" t="s">
        <v>3</v>
      </c>
      <c r="AK161" s="817">
        <v>2011</v>
      </c>
      <c r="AL161" s="874" t="s">
        <v>27</v>
      </c>
      <c r="AM161" s="874">
        <v>9</v>
      </c>
      <c r="AN161" s="1114">
        <v>75065810</v>
      </c>
      <c r="AO161" s="1112">
        <v>2.1000000000000001E-2</v>
      </c>
      <c r="AP161" s="817"/>
      <c r="AQ161" s="817" t="s">
        <v>3</v>
      </c>
      <c r="AR161" s="817" t="s">
        <v>616</v>
      </c>
      <c r="AS161" s="874" t="s">
        <v>33</v>
      </c>
      <c r="AT161" s="874">
        <v>8</v>
      </c>
      <c r="AU161" s="1114">
        <v>49680699</v>
      </c>
      <c r="AV161" s="1113">
        <v>2.5999999999999999E-2</v>
      </c>
      <c r="AW161" s="817">
        <v>2015</v>
      </c>
      <c r="AY161" s="3"/>
    </row>
    <row r="162" spans="1:51">
      <c r="A162" s="798">
        <f t="shared" si="4"/>
        <v>1983</v>
      </c>
      <c r="B162" s="798">
        <f t="shared" si="5"/>
        <v>4</v>
      </c>
      <c r="C162" s="1105">
        <v>30590</v>
      </c>
      <c r="D162" s="805"/>
      <c r="E162" s="1102">
        <v>431.15</v>
      </c>
      <c r="F162" s="1102">
        <v>394.2</v>
      </c>
      <c r="G162" s="1103"/>
      <c r="H162" s="805"/>
      <c r="I162" s="1103"/>
      <c r="J162" s="1103"/>
      <c r="K162" s="84">
        <v>4258.6681222707402</v>
      </c>
      <c r="L162" s="84">
        <v>4008.14</v>
      </c>
      <c r="M162" s="84"/>
      <c r="N162" s="805"/>
      <c r="O162" s="941"/>
      <c r="P162" s="941"/>
      <c r="Q162" s="941"/>
      <c r="R162" s="805"/>
      <c r="S162" s="805"/>
      <c r="T162" s="805"/>
      <c r="U162" s="805"/>
      <c r="V162" s="805"/>
      <c r="W162" s="805"/>
      <c r="X162" s="5"/>
      <c r="AJ162" s="817" t="s">
        <v>3</v>
      </c>
      <c r="AK162" s="817">
        <v>2011</v>
      </c>
      <c r="AL162" s="874" t="s">
        <v>30</v>
      </c>
      <c r="AM162" s="874">
        <v>10</v>
      </c>
      <c r="AN162" s="1114">
        <v>66690878</v>
      </c>
      <c r="AO162" s="1112">
        <v>1.9E-2</v>
      </c>
      <c r="AP162" s="817"/>
      <c r="AQ162" s="817" t="s">
        <v>3</v>
      </c>
      <c r="AR162" s="817" t="s">
        <v>616</v>
      </c>
      <c r="AS162" s="874" t="s">
        <v>72</v>
      </c>
      <c r="AT162" s="874">
        <v>9</v>
      </c>
      <c r="AU162" s="1114">
        <v>27154998</v>
      </c>
      <c r="AV162" s="1113">
        <v>1.4E-2</v>
      </c>
      <c r="AW162" s="817">
        <v>2015</v>
      </c>
      <c r="AY162" s="1348"/>
    </row>
    <row r="163" spans="1:51">
      <c r="A163" s="798">
        <f t="shared" si="4"/>
        <v>1983</v>
      </c>
      <c r="B163" s="798">
        <f t="shared" si="5"/>
        <v>4</v>
      </c>
      <c r="C163" s="1105">
        <v>30621</v>
      </c>
      <c r="D163" s="934"/>
      <c r="E163" s="1100">
        <v>415.6</v>
      </c>
      <c r="F163" s="1100">
        <v>380</v>
      </c>
      <c r="G163" s="1101"/>
      <c r="H163" s="935"/>
      <c r="I163" s="1101"/>
      <c r="J163" s="1101"/>
      <c r="K163" s="936">
        <v>3797.0201577563498</v>
      </c>
      <c r="L163" s="936">
        <v>3900.94</v>
      </c>
      <c r="M163" s="936"/>
      <c r="N163" s="937"/>
      <c r="O163" s="938"/>
      <c r="P163" s="938"/>
      <c r="Q163" s="938"/>
      <c r="R163" s="939"/>
      <c r="S163" s="940"/>
      <c r="T163" s="940"/>
      <c r="U163" s="1756"/>
      <c r="V163" s="1323"/>
      <c r="W163" s="1323"/>
      <c r="X163" s="5"/>
      <c r="AJ163" s="817" t="s">
        <v>3</v>
      </c>
      <c r="AK163" s="817">
        <v>2011</v>
      </c>
      <c r="AL163" s="874" t="s">
        <v>45</v>
      </c>
      <c r="AM163" s="874"/>
      <c r="AN163" s="1114">
        <v>182269418</v>
      </c>
      <c r="AO163" s="1112">
        <v>5.1999999999999998E-2</v>
      </c>
      <c r="AP163" s="817"/>
      <c r="AQ163" s="817" t="s">
        <v>3</v>
      </c>
      <c r="AR163" s="817" t="s">
        <v>616</v>
      </c>
      <c r="AS163" s="874" t="s">
        <v>30</v>
      </c>
      <c r="AT163" s="874">
        <v>10</v>
      </c>
      <c r="AU163" s="1114">
        <v>23624732</v>
      </c>
      <c r="AV163" s="1113">
        <v>1.2E-2</v>
      </c>
      <c r="AW163" s="817">
        <v>2015</v>
      </c>
      <c r="AY163" s="1348"/>
    </row>
    <row r="164" spans="1:51">
      <c r="A164" s="798">
        <f t="shared" si="4"/>
        <v>1983</v>
      </c>
      <c r="B164" s="798">
        <f t="shared" si="5"/>
        <v>4</v>
      </c>
      <c r="C164" s="1105">
        <v>30651</v>
      </c>
      <c r="D164" s="805"/>
      <c r="E164" s="1102">
        <v>431.65</v>
      </c>
      <c r="F164" s="1102">
        <v>388.15</v>
      </c>
      <c r="G164" s="1103"/>
      <c r="H164" s="805"/>
      <c r="I164" s="1103"/>
      <c r="J164" s="1103"/>
      <c r="K164" s="84">
        <v>3992.9157427937898</v>
      </c>
      <c r="L164" s="84">
        <v>3465.92</v>
      </c>
      <c r="M164" s="84"/>
      <c r="N164" s="805"/>
      <c r="O164" s="941"/>
      <c r="P164" s="941"/>
      <c r="Q164" s="941"/>
      <c r="R164" s="805"/>
      <c r="S164" s="805"/>
      <c r="T164" s="805"/>
      <c r="U164" s="805"/>
      <c r="V164" s="805"/>
      <c r="W164" s="805"/>
      <c r="X164" s="5"/>
      <c r="AJ164" s="817" t="s">
        <v>3</v>
      </c>
      <c r="AK164" s="817">
        <v>2011</v>
      </c>
      <c r="AL164" s="874" t="s">
        <v>452</v>
      </c>
      <c r="AM164" s="874"/>
      <c r="AN164" s="1114">
        <v>3492310462</v>
      </c>
      <c r="AO164" s="1112"/>
      <c r="AP164" s="817"/>
      <c r="AQ164" s="817" t="s">
        <v>3</v>
      </c>
      <c r="AR164" s="817" t="s">
        <v>616</v>
      </c>
      <c r="AS164" s="874" t="s">
        <v>45</v>
      </c>
      <c r="AT164" s="874"/>
      <c r="AU164" s="1114">
        <v>87134612</v>
      </c>
      <c r="AV164" s="1113">
        <v>4.4999999999999998E-2</v>
      </c>
      <c r="AW164" s="817">
        <v>2015</v>
      </c>
      <c r="AY164" s="3"/>
    </row>
    <row r="165" spans="1:51">
      <c r="A165" s="798">
        <f t="shared" si="4"/>
        <v>1984</v>
      </c>
      <c r="B165" s="798">
        <f t="shared" si="5"/>
        <v>1</v>
      </c>
      <c r="C165" s="1105">
        <v>30682</v>
      </c>
      <c r="D165" s="934"/>
      <c r="E165" s="1100">
        <v>410.9</v>
      </c>
      <c r="F165" s="1100">
        <v>371.1</v>
      </c>
      <c r="G165" s="1101"/>
      <c r="H165" s="935"/>
      <c r="I165" s="1101"/>
      <c r="J165" s="1101"/>
      <c r="K165" s="936">
        <v>4099.2482022227096</v>
      </c>
      <c r="L165" s="936">
        <v>3762.29</v>
      </c>
      <c r="M165" s="936"/>
      <c r="N165" s="937"/>
      <c r="O165" s="938"/>
      <c r="P165" s="938"/>
      <c r="Q165" s="938"/>
      <c r="R165" s="939"/>
      <c r="S165" s="940"/>
      <c r="T165" s="940"/>
      <c r="U165" s="1756"/>
      <c r="V165" s="1323"/>
      <c r="W165" s="1323"/>
      <c r="X165" s="538">
        <v>0.91779999999999995</v>
      </c>
      <c r="AJ165" s="817" t="s">
        <v>3</v>
      </c>
      <c r="AK165" s="817">
        <v>2010</v>
      </c>
      <c r="AL165" s="874" t="s">
        <v>24</v>
      </c>
      <c r="AM165" s="874">
        <v>1</v>
      </c>
      <c r="AN165" s="1114">
        <v>1656674125</v>
      </c>
      <c r="AO165" s="1112">
        <v>0.44</v>
      </c>
      <c r="AP165" s="817"/>
      <c r="AQ165" s="817" t="s">
        <v>3</v>
      </c>
      <c r="AR165" s="817" t="s">
        <v>616</v>
      </c>
      <c r="AS165" s="874" t="s">
        <v>452</v>
      </c>
      <c r="AT165" s="874"/>
      <c r="AU165" s="1114">
        <v>1920448656</v>
      </c>
      <c r="AV165" s="874"/>
      <c r="AW165" s="817">
        <v>2015</v>
      </c>
      <c r="AY165" s="1348"/>
    </row>
    <row r="166" spans="1:51">
      <c r="A166" s="798">
        <f t="shared" si="4"/>
        <v>1984</v>
      </c>
      <c r="B166" s="798">
        <f t="shared" si="5"/>
        <v>1</v>
      </c>
      <c r="C166" s="1105">
        <v>30713</v>
      </c>
      <c r="D166" s="805"/>
      <c r="E166" s="1102">
        <v>413.4</v>
      </c>
      <c r="F166" s="1102">
        <v>386.8</v>
      </c>
      <c r="G166" s="1103"/>
      <c r="H166" s="805"/>
      <c r="I166" s="1103"/>
      <c r="J166" s="1103"/>
      <c r="K166" s="84">
        <v>4531.72128539612</v>
      </c>
      <c r="L166" s="84">
        <v>4272.96</v>
      </c>
      <c r="M166" s="84"/>
      <c r="N166" s="805"/>
      <c r="O166" s="941"/>
      <c r="P166" s="941"/>
      <c r="Q166" s="941"/>
      <c r="R166" s="805"/>
      <c r="S166" s="805"/>
      <c r="T166" s="805"/>
      <c r="U166" s="805"/>
      <c r="V166" s="805"/>
      <c r="W166" s="805"/>
      <c r="X166" s="5">
        <v>0.94289999999999996</v>
      </c>
      <c r="AJ166" s="817" t="s">
        <v>3</v>
      </c>
      <c r="AK166" s="817">
        <v>2010</v>
      </c>
      <c r="AL166" s="874" t="s">
        <v>29</v>
      </c>
      <c r="AM166" s="874">
        <v>2</v>
      </c>
      <c r="AN166" s="1114">
        <v>393952409</v>
      </c>
      <c r="AO166" s="1112">
        <v>0.105</v>
      </c>
      <c r="AP166" s="817"/>
      <c r="AQ166" s="817" t="s">
        <v>3</v>
      </c>
      <c r="AR166" s="817" t="s">
        <v>615</v>
      </c>
      <c r="AS166" s="874" t="s">
        <v>31</v>
      </c>
      <c r="AT166" s="874">
        <v>1</v>
      </c>
      <c r="AU166" s="1114">
        <v>1291490021.8</v>
      </c>
      <c r="AV166" s="1113">
        <v>0.42067218433241715</v>
      </c>
      <c r="AW166" s="817">
        <v>2014</v>
      </c>
      <c r="AY166" s="1348"/>
    </row>
    <row r="167" spans="1:51">
      <c r="A167" s="798">
        <f t="shared" si="4"/>
        <v>1984</v>
      </c>
      <c r="B167" s="798">
        <f t="shared" si="5"/>
        <v>1</v>
      </c>
      <c r="C167" s="1105">
        <v>30742</v>
      </c>
      <c r="D167" s="934"/>
      <c r="E167" s="1100">
        <v>415.45</v>
      </c>
      <c r="F167" s="1100">
        <v>394.8</v>
      </c>
      <c r="G167" s="1101"/>
      <c r="H167" s="935"/>
      <c r="I167" s="1101"/>
      <c r="J167" s="1101"/>
      <c r="K167" s="936">
        <v>4449.2834224598901</v>
      </c>
      <c r="L167" s="936">
        <v>4160.08</v>
      </c>
      <c r="M167" s="936"/>
      <c r="N167" s="937"/>
      <c r="O167" s="938"/>
      <c r="P167" s="938"/>
      <c r="Q167" s="938"/>
      <c r="R167" s="939"/>
      <c r="S167" s="940"/>
      <c r="T167" s="940"/>
      <c r="U167" s="1756"/>
      <c r="V167" s="1323"/>
      <c r="W167" s="1323"/>
      <c r="X167" s="538">
        <v>0.93500000000000005</v>
      </c>
      <c r="AJ167" s="817" t="s">
        <v>3</v>
      </c>
      <c r="AK167" s="817">
        <v>2010</v>
      </c>
      <c r="AL167" s="874" t="s">
        <v>41</v>
      </c>
      <c r="AM167" s="874">
        <v>3</v>
      </c>
      <c r="AN167" s="1114">
        <v>359072790</v>
      </c>
      <c r="AO167" s="1112">
        <v>9.5000000000000001E-2</v>
      </c>
      <c r="AP167" s="817"/>
      <c r="AQ167" s="817" t="s">
        <v>3</v>
      </c>
      <c r="AR167" s="817" t="s">
        <v>615</v>
      </c>
      <c r="AS167" s="874" t="s">
        <v>24</v>
      </c>
      <c r="AT167" s="874">
        <v>2</v>
      </c>
      <c r="AU167" s="1114">
        <v>937935434.1700002</v>
      </c>
      <c r="AV167" s="1113">
        <v>0.3055101790915502</v>
      </c>
      <c r="AW167" s="817">
        <v>2014</v>
      </c>
      <c r="AY167" s="3"/>
    </row>
    <row r="168" spans="1:51">
      <c r="A168" s="798">
        <f t="shared" si="4"/>
        <v>1984</v>
      </c>
      <c r="B168" s="798">
        <f t="shared" si="5"/>
        <v>2</v>
      </c>
      <c r="C168" s="1105">
        <v>30773</v>
      </c>
      <c r="D168" s="805"/>
      <c r="E168" s="1102">
        <v>413.95</v>
      </c>
      <c r="F168" s="1102">
        <v>381.55</v>
      </c>
      <c r="G168" s="1103"/>
      <c r="H168" s="805"/>
      <c r="I168" s="1103"/>
      <c r="J168" s="1103"/>
      <c r="K168" s="84">
        <v>4567.5035322247604</v>
      </c>
      <c r="L168" s="84">
        <v>4202.5600000000004</v>
      </c>
      <c r="M168" s="84"/>
      <c r="N168" s="805"/>
      <c r="O168" s="941"/>
      <c r="P168" s="941"/>
      <c r="Q168" s="941"/>
      <c r="R168" s="805"/>
      <c r="S168" s="805"/>
      <c r="T168" s="805"/>
      <c r="U168" s="805"/>
      <c r="V168" s="805"/>
      <c r="W168" s="805"/>
      <c r="X168" s="5">
        <v>0.92010000000000003</v>
      </c>
      <c r="AJ168" s="817" t="s">
        <v>3</v>
      </c>
      <c r="AK168" s="817">
        <v>2010</v>
      </c>
      <c r="AL168" s="874" t="s">
        <v>33</v>
      </c>
      <c r="AM168" s="874">
        <v>4</v>
      </c>
      <c r="AN168" s="1114">
        <v>246173510</v>
      </c>
      <c r="AO168" s="1112">
        <v>6.5000000000000002E-2</v>
      </c>
      <c r="AP168" s="817"/>
      <c r="AQ168" s="817" t="s">
        <v>3</v>
      </c>
      <c r="AR168" s="817" t="s">
        <v>615</v>
      </c>
      <c r="AS168" s="874" t="s">
        <v>70</v>
      </c>
      <c r="AT168" s="874">
        <v>3</v>
      </c>
      <c r="AU168" s="1114">
        <v>152833050.53999999</v>
      </c>
      <c r="AV168" s="1113">
        <v>4.9781734371622463E-2</v>
      </c>
      <c r="AW168" s="817">
        <v>2014</v>
      </c>
      <c r="AY168" s="1348"/>
    </row>
    <row r="169" spans="1:51">
      <c r="A169" s="798">
        <f t="shared" si="4"/>
        <v>1984</v>
      </c>
      <c r="B169" s="798">
        <f t="shared" si="5"/>
        <v>2</v>
      </c>
      <c r="C169" s="1105">
        <v>30803</v>
      </c>
      <c r="D169" s="934"/>
      <c r="E169" s="1100">
        <v>417</v>
      </c>
      <c r="F169" s="1100">
        <v>377.45</v>
      </c>
      <c r="G169" s="1101"/>
      <c r="H169" s="935"/>
      <c r="I169" s="1101"/>
      <c r="J169" s="1101"/>
      <c r="K169" s="936">
        <v>4898.91014234875</v>
      </c>
      <c r="L169" s="936">
        <v>4405.1000000000004</v>
      </c>
      <c r="M169" s="936"/>
      <c r="N169" s="937"/>
      <c r="O169" s="938"/>
      <c r="P169" s="938"/>
      <c r="Q169" s="938"/>
      <c r="R169" s="939"/>
      <c r="S169" s="940"/>
      <c r="T169" s="940"/>
      <c r="U169" s="1756"/>
      <c r="V169" s="1323"/>
      <c r="W169" s="1323"/>
      <c r="X169" s="538">
        <v>0.8992</v>
      </c>
      <c r="AJ169" s="817" t="s">
        <v>3</v>
      </c>
      <c r="AK169" s="817">
        <v>2010</v>
      </c>
      <c r="AL169" s="874" t="s">
        <v>65</v>
      </c>
      <c r="AM169" s="874">
        <v>5</v>
      </c>
      <c r="AN169" s="1114">
        <v>243363404</v>
      </c>
      <c r="AO169" s="1112">
        <v>6.5000000000000002E-2</v>
      </c>
      <c r="AP169" s="817"/>
      <c r="AQ169" s="817" t="s">
        <v>3</v>
      </c>
      <c r="AR169" s="817" t="s">
        <v>615</v>
      </c>
      <c r="AS169" s="874" t="s">
        <v>41</v>
      </c>
      <c r="AT169" s="874">
        <v>4</v>
      </c>
      <c r="AU169" s="1114">
        <v>138234697.10000002</v>
      </c>
      <c r="AV169" s="1113">
        <v>4.5026667645901797E-2</v>
      </c>
      <c r="AW169" s="817">
        <v>2014</v>
      </c>
      <c r="AY169" s="1348"/>
    </row>
    <row r="170" spans="1:51">
      <c r="A170" s="798">
        <f t="shared" si="4"/>
        <v>1984</v>
      </c>
      <c r="B170" s="798">
        <f t="shared" si="5"/>
        <v>2</v>
      </c>
      <c r="C170" s="1105">
        <v>30834</v>
      </c>
      <c r="D170" s="805"/>
      <c r="E170" s="1102">
        <v>428.8</v>
      </c>
      <c r="F170" s="1102">
        <v>378.1</v>
      </c>
      <c r="G170" s="1103"/>
      <c r="H170" s="805"/>
      <c r="I170" s="1103"/>
      <c r="J170" s="1103"/>
      <c r="K170" s="84">
        <v>5345.1875072564699</v>
      </c>
      <c r="L170" s="84">
        <v>4603.8100000000004</v>
      </c>
      <c r="M170" s="84"/>
      <c r="N170" s="805"/>
      <c r="O170" s="941"/>
      <c r="P170" s="941"/>
      <c r="Q170" s="941"/>
      <c r="R170" s="805"/>
      <c r="S170" s="805"/>
      <c r="T170" s="805"/>
      <c r="U170" s="805"/>
      <c r="V170" s="805"/>
      <c r="W170" s="805"/>
      <c r="X170" s="5">
        <v>0.86129999999999995</v>
      </c>
      <c r="AJ170" s="817" t="s">
        <v>3</v>
      </c>
      <c r="AK170" s="817">
        <v>2010</v>
      </c>
      <c r="AL170" s="874" t="s">
        <v>66</v>
      </c>
      <c r="AM170" s="874">
        <v>6</v>
      </c>
      <c r="AN170" s="1114">
        <v>228272869</v>
      </c>
      <c r="AO170" s="1112">
        <v>6.0999999999999999E-2</v>
      </c>
      <c r="AP170" s="817"/>
      <c r="AQ170" s="817" t="s">
        <v>3</v>
      </c>
      <c r="AR170" s="817" t="s">
        <v>615</v>
      </c>
      <c r="AS170" s="874" t="s">
        <v>29</v>
      </c>
      <c r="AT170" s="874">
        <v>5</v>
      </c>
      <c r="AU170" s="1114">
        <v>135760164.75999999</v>
      </c>
      <c r="AV170" s="1113">
        <v>4.4220647539592199E-2</v>
      </c>
      <c r="AW170" s="817">
        <v>2014</v>
      </c>
      <c r="AY170" s="3"/>
    </row>
    <row r="171" spans="1:51">
      <c r="A171" s="798">
        <f t="shared" si="4"/>
        <v>1984</v>
      </c>
      <c r="B171" s="798">
        <f t="shared" si="5"/>
        <v>3</v>
      </c>
      <c r="C171" s="1105">
        <v>30864</v>
      </c>
      <c r="D171" s="934"/>
      <c r="E171" s="1100">
        <v>417.1</v>
      </c>
      <c r="F171" s="1100">
        <v>347.8</v>
      </c>
      <c r="G171" s="1101"/>
      <c r="H171" s="935"/>
      <c r="I171" s="1101"/>
      <c r="J171" s="1101"/>
      <c r="K171" s="936">
        <v>5538.2048192771099</v>
      </c>
      <c r="L171" s="936">
        <v>4596.71</v>
      </c>
      <c r="M171" s="936"/>
      <c r="N171" s="937"/>
      <c r="O171" s="938"/>
      <c r="P171" s="938"/>
      <c r="Q171" s="938"/>
      <c r="R171" s="939"/>
      <c r="S171" s="940"/>
      <c r="T171" s="940"/>
      <c r="U171" s="1756"/>
      <c r="V171" s="1323"/>
      <c r="W171" s="1323"/>
      <c r="X171" s="538">
        <v>0.83</v>
      </c>
      <c r="AJ171" s="817" t="s">
        <v>3</v>
      </c>
      <c r="AK171" s="817">
        <v>2010</v>
      </c>
      <c r="AL171" s="874" t="s">
        <v>63</v>
      </c>
      <c r="AM171" s="874">
        <v>7</v>
      </c>
      <c r="AN171" s="1114">
        <v>141229782</v>
      </c>
      <c r="AO171" s="1112">
        <v>3.7999999999999999E-2</v>
      </c>
      <c r="AP171" s="817"/>
      <c r="AQ171" s="817" t="s">
        <v>3</v>
      </c>
      <c r="AR171" s="817" t="s">
        <v>615</v>
      </c>
      <c r="AS171" s="874" t="s">
        <v>27</v>
      </c>
      <c r="AT171" s="874">
        <v>6</v>
      </c>
      <c r="AU171" s="1114">
        <v>71562506.309999987</v>
      </c>
      <c r="AV171" s="1113">
        <v>2.3309785857867076E-2</v>
      </c>
      <c r="AW171" s="817">
        <v>2014</v>
      </c>
      <c r="AY171" s="1348"/>
    </row>
    <row r="172" spans="1:51">
      <c r="A172" s="798">
        <f t="shared" si="4"/>
        <v>1984</v>
      </c>
      <c r="B172" s="798">
        <f t="shared" si="5"/>
        <v>3</v>
      </c>
      <c r="C172" s="1105">
        <v>30895</v>
      </c>
      <c r="D172" s="805"/>
      <c r="E172" s="1102">
        <v>411.05</v>
      </c>
      <c r="F172" s="1102">
        <v>347.85</v>
      </c>
      <c r="G172" s="1103"/>
      <c r="H172" s="805"/>
      <c r="I172" s="1103"/>
      <c r="J172" s="1103"/>
      <c r="K172" s="84">
        <v>5580.5607917059397</v>
      </c>
      <c r="L172" s="84">
        <v>4736.78</v>
      </c>
      <c r="M172" s="84"/>
      <c r="N172" s="805"/>
      <c r="O172" s="941"/>
      <c r="P172" s="941"/>
      <c r="Q172" s="941"/>
      <c r="R172" s="805"/>
      <c r="S172" s="805"/>
      <c r="T172" s="805"/>
      <c r="U172" s="805"/>
      <c r="V172" s="805"/>
      <c r="W172" s="805"/>
      <c r="X172" s="5">
        <v>0.8488</v>
      </c>
      <c r="AJ172" s="817" t="s">
        <v>3</v>
      </c>
      <c r="AK172" s="817">
        <v>2010</v>
      </c>
      <c r="AL172" s="874" t="s">
        <v>30</v>
      </c>
      <c r="AM172" s="874">
        <v>8</v>
      </c>
      <c r="AN172" s="1114">
        <v>122486708</v>
      </c>
      <c r="AO172" s="1112">
        <v>3.3000000000000002E-2</v>
      </c>
      <c r="AP172" s="817"/>
      <c r="AQ172" s="817" t="s">
        <v>3</v>
      </c>
      <c r="AR172" s="817" t="s">
        <v>615</v>
      </c>
      <c r="AS172" s="874" t="s">
        <v>33</v>
      </c>
      <c r="AT172" s="874">
        <v>7</v>
      </c>
      <c r="AU172" s="1114">
        <v>67993580.810000002</v>
      </c>
      <c r="AV172" s="1113">
        <v>2.2147293186253424E-2</v>
      </c>
      <c r="AW172" s="817">
        <v>2014</v>
      </c>
      <c r="AY172" s="1348"/>
    </row>
    <row r="173" spans="1:51">
      <c r="A173" s="798">
        <f t="shared" si="4"/>
        <v>1984</v>
      </c>
      <c r="B173" s="798">
        <f t="shared" si="5"/>
        <v>3</v>
      </c>
      <c r="C173" s="1105">
        <v>30926</v>
      </c>
      <c r="D173" s="934"/>
      <c r="E173" s="1100">
        <v>411.25</v>
      </c>
      <c r="F173" s="1100">
        <v>341.7</v>
      </c>
      <c r="G173" s="1101"/>
      <c r="H173" s="935"/>
      <c r="I173" s="1101"/>
      <c r="J173" s="1101"/>
      <c r="K173" s="936">
        <v>5649.8799519807899</v>
      </c>
      <c r="L173" s="936">
        <v>4706.3500000000004</v>
      </c>
      <c r="M173" s="936"/>
      <c r="N173" s="937"/>
      <c r="O173" s="938"/>
      <c r="P173" s="938"/>
      <c r="Q173" s="938"/>
      <c r="R173" s="939"/>
      <c r="S173" s="940"/>
      <c r="T173" s="940"/>
      <c r="U173" s="1756"/>
      <c r="V173" s="1323"/>
      <c r="W173" s="1323"/>
      <c r="X173" s="538">
        <v>0.83299999999999996</v>
      </c>
      <c r="AJ173" s="817" t="s">
        <v>3</v>
      </c>
      <c r="AK173" s="817">
        <v>2010</v>
      </c>
      <c r="AL173" s="874" t="s">
        <v>70</v>
      </c>
      <c r="AM173" s="874">
        <v>9</v>
      </c>
      <c r="AN173" s="1114">
        <v>69857491</v>
      </c>
      <c r="AO173" s="1112">
        <v>1.9E-2</v>
      </c>
      <c r="AP173" s="817"/>
      <c r="AQ173" s="817" t="s">
        <v>3</v>
      </c>
      <c r="AR173" s="817" t="s">
        <v>615</v>
      </c>
      <c r="AS173" s="874" t="s">
        <v>69</v>
      </c>
      <c r="AT173" s="874">
        <v>8</v>
      </c>
      <c r="AU173" s="1114">
        <v>61350512.039999999</v>
      </c>
      <c r="AV173" s="1113">
        <v>1.9983471396711847E-2</v>
      </c>
      <c r="AW173" s="817">
        <v>2014</v>
      </c>
      <c r="AY173" s="3"/>
    </row>
    <row r="174" spans="1:51">
      <c r="A174" s="798">
        <f t="shared" si="4"/>
        <v>1984</v>
      </c>
      <c r="B174" s="798">
        <f t="shared" si="5"/>
        <v>4</v>
      </c>
      <c r="C174" s="1105">
        <v>30956</v>
      </c>
      <c r="D174" s="805"/>
      <c r="E174" s="1102">
        <v>406.75</v>
      </c>
      <c r="F174" s="1102">
        <v>339.95</v>
      </c>
      <c r="G174" s="1103"/>
      <c r="H174" s="805"/>
      <c r="I174" s="1103"/>
      <c r="J174" s="1103"/>
      <c r="K174" s="84">
        <v>5598.1029810298096</v>
      </c>
      <c r="L174" s="84">
        <v>4751.1099999999997</v>
      </c>
      <c r="M174" s="84"/>
      <c r="N174" s="805"/>
      <c r="O174" s="941"/>
      <c r="P174" s="941"/>
      <c r="Q174" s="941"/>
      <c r="R174" s="805"/>
      <c r="S174" s="805"/>
      <c r="T174" s="805"/>
      <c r="U174" s="805"/>
      <c r="V174" s="805"/>
      <c r="W174" s="805"/>
      <c r="X174" s="5">
        <v>0.84870000000000001</v>
      </c>
      <c r="AJ174" s="817" t="s">
        <v>3</v>
      </c>
      <c r="AK174" s="817">
        <v>2010</v>
      </c>
      <c r="AL174" s="874" t="s">
        <v>27</v>
      </c>
      <c r="AM174" s="874">
        <v>10</v>
      </c>
      <c r="AN174" s="1114">
        <v>69688636</v>
      </c>
      <c r="AO174" s="1112">
        <v>1.9E-2</v>
      </c>
      <c r="AP174" s="817"/>
      <c r="AQ174" s="817" t="s">
        <v>3</v>
      </c>
      <c r="AR174" s="817" t="s">
        <v>615</v>
      </c>
      <c r="AS174" s="874" t="s">
        <v>72</v>
      </c>
      <c r="AT174" s="874">
        <v>9</v>
      </c>
      <c r="AU174" s="1114">
        <v>45119506.329999998</v>
      </c>
      <c r="AV174" s="1113">
        <v>1.4696606991502366E-2</v>
      </c>
      <c r="AW174" s="817">
        <v>2014</v>
      </c>
      <c r="AY174" s="1348"/>
    </row>
    <row r="175" spans="1:51">
      <c r="A175" s="798">
        <f t="shared" si="4"/>
        <v>1984</v>
      </c>
      <c r="B175" s="798">
        <f t="shared" si="5"/>
        <v>4</v>
      </c>
      <c r="C175" s="1105">
        <v>30987</v>
      </c>
      <c r="D175" s="934"/>
      <c r="E175" s="1100">
        <v>396</v>
      </c>
      <c r="F175" s="1100">
        <v>341.3</v>
      </c>
      <c r="G175" s="1101"/>
      <c r="H175" s="935"/>
      <c r="I175" s="1101"/>
      <c r="J175" s="1101"/>
      <c r="K175" s="936">
        <v>5536.3541181945102</v>
      </c>
      <c r="L175" s="936">
        <v>4759.05</v>
      </c>
      <c r="M175" s="936"/>
      <c r="N175" s="937"/>
      <c r="O175" s="938"/>
      <c r="P175" s="938"/>
      <c r="Q175" s="938"/>
      <c r="R175" s="939"/>
      <c r="S175" s="940"/>
      <c r="T175" s="940"/>
      <c r="U175" s="1756"/>
      <c r="V175" s="1323"/>
      <c r="W175" s="1323"/>
      <c r="X175" s="538">
        <v>0.85960000000000003</v>
      </c>
      <c r="AJ175" s="817" t="s">
        <v>3</v>
      </c>
      <c r="AK175" s="817">
        <v>2010</v>
      </c>
      <c r="AL175" s="874" t="s">
        <v>45</v>
      </c>
      <c r="AM175" s="874"/>
      <c r="AN175" s="1114">
        <v>233892528</v>
      </c>
      <c r="AO175" s="1112">
        <v>6.2E-2</v>
      </c>
      <c r="AP175" s="817"/>
      <c r="AQ175" s="817" t="s">
        <v>3</v>
      </c>
      <c r="AR175" s="817" t="s">
        <v>615</v>
      </c>
      <c r="AS175" s="874" t="s">
        <v>64</v>
      </c>
      <c r="AT175" s="874">
        <v>10</v>
      </c>
      <c r="AU175" s="1114">
        <v>41625626.519999996</v>
      </c>
      <c r="AV175" s="1113">
        <v>1.3558558670061102E-2</v>
      </c>
      <c r="AW175" s="817">
        <v>2014</v>
      </c>
      <c r="AY175" s="1348"/>
    </row>
    <row r="176" spans="1:51">
      <c r="A176" s="798">
        <f t="shared" si="4"/>
        <v>1984</v>
      </c>
      <c r="B176" s="798">
        <f t="shared" si="5"/>
        <v>4</v>
      </c>
      <c r="C176" s="1105">
        <v>31017</v>
      </c>
      <c r="D176" s="805"/>
      <c r="E176" s="1102">
        <v>380.2</v>
      </c>
      <c r="F176" s="1102">
        <v>319.8</v>
      </c>
      <c r="G176" s="1103"/>
      <c r="H176" s="805"/>
      <c r="I176" s="1103"/>
      <c r="J176" s="1103"/>
      <c r="K176" s="84">
        <v>5870.76588547958</v>
      </c>
      <c r="L176" s="84">
        <v>4859.82</v>
      </c>
      <c r="M176" s="84"/>
      <c r="N176" s="805"/>
      <c r="O176" s="941"/>
      <c r="P176" s="941"/>
      <c r="Q176" s="941"/>
      <c r="R176" s="805"/>
      <c r="S176" s="805"/>
      <c r="T176" s="805"/>
      <c r="U176" s="805"/>
      <c r="V176" s="805"/>
      <c r="W176" s="805"/>
      <c r="X176" s="5">
        <v>0.82779999999999998</v>
      </c>
      <c r="AJ176" s="817" t="s">
        <v>3</v>
      </c>
      <c r="AK176" s="817">
        <v>2010</v>
      </c>
      <c r="AL176" s="874" t="s">
        <v>452</v>
      </c>
      <c r="AM176" s="874"/>
      <c r="AN176" s="1114">
        <v>3764664252</v>
      </c>
      <c r="AO176" s="1112"/>
      <c r="AP176" s="817"/>
      <c r="AQ176" s="817" t="s">
        <v>3</v>
      </c>
      <c r="AR176" s="817" t="s">
        <v>615</v>
      </c>
      <c r="AS176" s="874" t="s">
        <v>45</v>
      </c>
      <c r="AT176" s="874"/>
      <c r="AU176" s="1114">
        <v>126157694.12000084</v>
      </c>
      <c r="AV176" s="1113">
        <v>4.1092870916520537E-2</v>
      </c>
      <c r="AW176" s="817">
        <v>2014</v>
      </c>
      <c r="AY176" s="3"/>
    </row>
    <row r="177" spans="1:51">
      <c r="A177" s="798">
        <f t="shared" si="4"/>
        <v>1985</v>
      </c>
      <c r="B177" s="798">
        <f t="shared" si="5"/>
        <v>1</v>
      </c>
      <c r="C177" s="1105">
        <v>31048</v>
      </c>
      <c r="D177" s="934"/>
      <c r="E177" s="1100">
        <v>370.35</v>
      </c>
      <c r="F177" s="1100">
        <v>302.2</v>
      </c>
      <c r="G177" s="1101"/>
      <c r="H177" s="935"/>
      <c r="I177" s="1101"/>
      <c r="J177" s="1101"/>
      <c r="K177" s="936">
        <v>6071.19018404908</v>
      </c>
      <c r="L177" s="936">
        <v>4948.0200000000004</v>
      </c>
      <c r="M177" s="936"/>
      <c r="N177" s="937"/>
      <c r="O177" s="938"/>
      <c r="P177" s="938"/>
      <c r="Q177" s="938"/>
      <c r="R177" s="939"/>
      <c r="S177" s="940"/>
      <c r="T177" s="940"/>
      <c r="U177" s="1756"/>
      <c r="V177" s="1323"/>
      <c r="W177" s="1323"/>
      <c r="X177" s="538">
        <v>0.81499999999999995</v>
      </c>
      <c r="AJ177" s="817" t="s">
        <v>3</v>
      </c>
      <c r="AK177" s="817">
        <v>2009</v>
      </c>
      <c r="AL177" s="874" t="s">
        <v>24</v>
      </c>
      <c r="AM177" s="874">
        <v>1</v>
      </c>
      <c r="AN177" s="1114">
        <v>1213482549.51</v>
      </c>
      <c r="AO177" s="1112">
        <v>0.4054860969400842</v>
      </c>
      <c r="AP177" s="817"/>
      <c r="AQ177" s="817" t="s">
        <v>3</v>
      </c>
      <c r="AR177" s="817" t="s">
        <v>615</v>
      </c>
      <c r="AS177" s="874" t="s">
        <v>452</v>
      </c>
      <c r="AT177" s="874"/>
      <c r="AU177" s="1114">
        <v>3070062794.5000005</v>
      </c>
      <c r="AV177" s="874"/>
      <c r="AW177" s="817">
        <v>2014</v>
      </c>
      <c r="AY177" s="1348"/>
    </row>
    <row r="178" spans="1:51">
      <c r="A178" s="798">
        <f t="shared" si="4"/>
        <v>1985</v>
      </c>
      <c r="B178" s="798">
        <f t="shared" si="5"/>
        <v>1</v>
      </c>
      <c r="C178" s="1105">
        <v>31079</v>
      </c>
      <c r="D178" s="805"/>
      <c r="E178" s="1102">
        <v>394.1</v>
      </c>
      <c r="F178" s="1102">
        <v>298.5</v>
      </c>
      <c r="G178" s="1103"/>
      <c r="H178" s="805"/>
      <c r="I178" s="1103"/>
      <c r="J178" s="1103"/>
      <c r="K178" s="84">
        <v>7077.1364527879005</v>
      </c>
      <c r="L178" s="84">
        <v>5051.66</v>
      </c>
      <c r="M178" s="84"/>
      <c r="N178" s="805"/>
      <c r="O178" s="941"/>
      <c r="P178" s="941"/>
      <c r="Q178" s="941"/>
      <c r="R178" s="805"/>
      <c r="S178" s="805"/>
      <c r="T178" s="805"/>
      <c r="U178" s="805"/>
      <c r="V178" s="805"/>
      <c r="W178" s="805"/>
      <c r="X178" s="5">
        <v>0.71379999999999999</v>
      </c>
      <c r="AJ178" s="817" t="s">
        <v>3</v>
      </c>
      <c r="AK178" s="817">
        <v>2009</v>
      </c>
      <c r="AL178" s="874" t="s">
        <v>70</v>
      </c>
      <c r="AM178" s="874">
        <v>2</v>
      </c>
      <c r="AN178" s="1114">
        <v>457380898.68000001</v>
      </c>
      <c r="AO178" s="1112">
        <v>0.15283416765703806</v>
      </c>
      <c r="AP178" s="817"/>
      <c r="AQ178" s="817" t="s">
        <v>3</v>
      </c>
      <c r="AR178" s="817" t="s">
        <v>614</v>
      </c>
      <c r="AS178" s="874" t="s">
        <v>24</v>
      </c>
      <c r="AT178" s="874">
        <v>1</v>
      </c>
      <c r="AU178" s="1114">
        <v>1239872650.7600002</v>
      </c>
      <c r="AV178" s="1113">
        <v>0.3920191180482227</v>
      </c>
      <c r="AW178" s="817">
        <v>2013</v>
      </c>
      <c r="AY178" s="1348"/>
    </row>
    <row r="179" spans="1:51">
      <c r="A179" s="798">
        <f t="shared" si="4"/>
        <v>1985</v>
      </c>
      <c r="B179" s="798">
        <f t="shared" si="5"/>
        <v>1</v>
      </c>
      <c r="C179" s="1105">
        <v>31107</v>
      </c>
      <c r="D179" s="934"/>
      <c r="E179" s="1100">
        <v>438.15</v>
      </c>
      <c r="F179" s="1100">
        <v>304.3</v>
      </c>
      <c r="G179" s="1101"/>
      <c r="H179" s="935"/>
      <c r="I179" s="1101"/>
      <c r="J179" s="1101"/>
      <c r="K179" s="936">
        <v>7392.7386186356598</v>
      </c>
      <c r="L179" s="936">
        <v>5212.62</v>
      </c>
      <c r="M179" s="936"/>
      <c r="N179" s="937"/>
      <c r="O179" s="938"/>
      <c r="P179" s="938"/>
      <c r="Q179" s="938"/>
      <c r="R179" s="939"/>
      <c r="S179" s="940"/>
      <c r="T179" s="940"/>
      <c r="U179" s="1756"/>
      <c r="V179" s="1323"/>
      <c r="W179" s="1323"/>
      <c r="X179" s="538">
        <v>0.70509999999999995</v>
      </c>
      <c r="AJ179" s="817" t="s">
        <v>3</v>
      </c>
      <c r="AK179" s="817">
        <v>2009</v>
      </c>
      <c r="AL179" s="874" t="s">
        <v>66</v>
      </c>
      <c r="AM179" s="874">
        <v>3</v>
      </c>
      <c r="AN179" s="1114">
        <v>214798012.16999999</v>
      </c>
      <c r="AO179" s="1112">
        <v>7.1774915610011619E-2</v>
      </c>
      <c r="AP179" s="817"/>
      <c r="AQ179" s="817" t="s">
        <v>3</v>
      </c>
      <c r="AR179" s="817" t="s">
        <v>614</v>
      </c>
      <c r="AS179" s="874" t="s">
        <v>31</v>
      </c>
      <c r="AT179" s="874">
        <v>2</v>
      </c>
      <c r="AU179" s="1114">
        <v>909222193.91999996</v>
      </c>
      <c r="AV179" s="1113">
        <v>0.2874750744376105</v>
      </c>
      <c r="AW179" s="817">
        <v>2013</v>
      </c>
      <c r="AY179" s="3"/>
    </row>
    <row r="180" spans="1:51">
      <c r="A180" s="798">
        <f t="shared" si="4"/>
        <v>1985</v>
      </c>
      <c r="B180" s="798">
        <f t="shared" si="5"/>
        <v>2</v>
      </c>
      <c r="C180" s="1105">
        <v>31138</v>
      </c>
      <c r="D180" s="805"/>
      <c r="E180" s="1102">
        <v>490.9</v>
      </c>
      <c r="F180" s="1102">
        <v>325.55</v>
      </c>
      <c r="G180" s="1103"/>
      <c r="H180" s="805"/>
      <c r="I180" s="1103"/>
      <c r="J180" s="1103"/>
      <c r="K180" s="84">
        <v>8417.0627012110999</v>
      </c>
      <c r="L180" s="84">
        <v>5490.45</v>
      </c>
      <c r="M180" s="84"/>
      <c r="N180" s="805"/>
      <c r="O180" s="941"/>
      <c r="P180" s="941"/>
      <c r="Q180" s="941"/>
      <c r="R180" s="805"/>
      <c r="S180" s="805"/>
      <c r="T180" s="805"/>
      <c r="U180" s="805"/>
      <c r="V180" s="805"/>
      <c r="W180" s="805"/>
      <c r="X180" s="5">
        <v>0.65229999999999999</v>
      </c>
      <c r="AJ180" s="817" t="s">
        <v>3</v>
      </c>
      <c r="AK180" s="817">
        <v>2009</v>
      </c>
      <c r="AL180" s="874" t="s">
        <v>33</v>
      </c>
      <c r="AM180" s="874">
        <v>4</v>
      </c>
      <c r="AN180" s="1114">
        <v>201130346.72000003</v>
      </c>
      <c r="AO180" s="1112">
        <v>6.7207855029007654E-2</v>
      </c>
      <c r="AP180" s="817"/>
      <c r="AQ180" s="817" t="s">
        <v>3</v>
      </c>
      <c r="AR180" s="817" t="s">
        <v>614</v>
      </c>
      <c r="AS180" s="874" t="s">
        <v>70</v>
      </c>
      <c r="AT180" s="874">
        <v>3</v>
      </c>
      <c r="AU180" s="1114">
        <v>285916599.99000007</v>
      </c>
      <c r="AV180" s="1113">
        <v>9.0400230454895605E-2</v>
      </c>
      <c r="AW180" s="817">
        <v>2013</v>
      </c>
      <c r="AY180" s="1348"/>
    </row>
    <row r="181" spans="1:51">
      <c r="A181" s="798">
        <f t="shared" si="4"/>
        <v>1985</v>
      </c>
      <c r="B181" s="798">
        <f t="shared" si="5"/>
        <v>2</v>
      </c>
      <c r="C181" s="1105">
        <v>31168</v>
      </c>
      <c r="D181" s="934"/>
      <c r="E181" s="1100">
        <v>469.9</v>
      </c>
      <c r="F181" s="1100">
        <v>316.2</v>
      </c>
      <c r="G181" s="1101"/>
      <c r="H181" s="935"/>
      <c r="I181" s="1101"/>
      <c r="J181" s="1101"/>
      <c r="K181" s="936">
        <v>8518.4042553191503</v>
      </c>
      <c r="L181" s="936">
        <v>5605.11</v>
      </c>
      <c r="M181" s="936"/>
      <c r="N181" s="937"/>
      <c r="O181" s="938"/>
      <c r="P181" s="938"/>
      <c r="Q181" s="938"/>
      <c r="R181" s="939"/>
      <c r="S181" s="940"/>
      <c r="T181" s="940"/>
      <c r="U181" s="1756"/>
      <c r="V181" s="1323"/>
      <c r="W181" s="1323"/>
      <c r="X181" s="538">
        <v>0.65800000000000003</v>
      </c>
      <c r="AJ181" s="817" t="s">
        <v>3</v>
      </c>
      <c r="AK181" s="817">
        <v>2009</v>
      </c>
      <c r="AL181" s="874" t="s">
        <v>65</v>
      </c>
      <c r="AM181" s="874">
        <v>5</v>
      </c>
      <c r="AN181" s="1114">
        <v>188120023.25000003</v>
      </c>
      <c r="AO181" s="1112">
        <v>6.2860445759786179E-2</v>
      </c>
      <c r="AP181" s="817"/>
      <c r="AQ181" s="817" t="s">
        <v>3</v>
      </c>
      <c r="AR181" s="817" t="s">
        <v>614</v>
      </c>
      <c r="AS181" s="874" t="s">
        <v>29</v>
      </c>
      <c r="AT181" s="874">
        <v>4</v>
      </c>
      <c r="AU181" s="1114">
        <v>252945302.12</v>
      </c>
      <c r="AV181" s="1113">
        <v>7.9975466989083324E-2</v>
      </c>
      <c r="AW181" s="817">
        <v>2013</v>
      </c>
      <c r="AY181" s="1348"/>
    </row>
    <row r="182" spans="1:51">
      <c r="A182" s="798">
        <f t="shared" si="4"/>
        <v>1985</v>
      </c>
      <c r="B182" s="798">
        <f t="shared" si="5"/>
        <v>2</v>
      </c>
      <c r="C182" s="1105">
        <v>31199</v>
      </c>
      <c r="D182" s="805"/>
      <c r="E182" s="1102">
        <v>478</v>
      </c>
      <c r="F182" s="1102">
        <v>317.55</v>
      </c>
      <c r="G182" s="1103"/>
      <c r="H182" s="805"/>
      <c r="I182" s="1103"/>
      <c r="J182" s="1103"/>
      <c r="K182" s="84">
        <v>8346.2058602554498</v>
      </c>
      <c r="L182" s="84">
        <v>5554.4</v>
      </c>
      <c r="M182" s="84"/>
      <c r="N182" s="805"/>
      <c r="O182" s="941"/>
      <c r="P182" s="941"/>
      <c r="Q182" s="941"/>
      <c r="R182" s="805"/>
      <c r="S182" s="805"/>
      <c r="T182" s="805"/>
      <c r="U182" s="805"/>
      <c r="V182" s="805"/>
      <c r="W182" s="805"/>
      <c r="X182" s="5">
        <v>0.66549999999999998</v>
      </c>
      <c r="AJ182" s="817" t="s">
        <v>3</v>
      </c>
      <c r="AK182" s="817">
        <v>2009</v>
      </c>
      <c r="AL182" s="874" t="s">
        <v>41</v>
      </c>
      <c r="AM182" s="874">
        <v>6</v>
      </c>
      <c r="AN182" s="1114">
        <v>162349321.26999998</v>
      </c>
      <c r="AO182" s="1112">
        <v>5.4249146515725474E-2</v>
      </c>
      <c r="AP182" s="817"/>
      <c r="AQ182" s="817" t="s">
        <v>3</v>
      </c>
      <c r="AR182" s="817" t="s">
        <v>614</v>
      </c>
      <c r="AS182" s="874" t="s">
        <v>41</v>
      </c>
      <c r="AT182" s="874">
        <v>5</v>
      </c>
      <c r="AU182" s="1114">
        <v>116781893.86</v>
      </c>
      <c r="AV182" s="1113">
        <v>3.6923739713861987E-2</v>
      </c>
      <c r="AW182" s="817">
        <v>2013</v>
      </c>
      <c r="AY182" s="3"/>
    </row>
    <row r="183" spans="1:51">
      <c r="A183" s="798">
        <f t="shared" si="4"/>
        <v>1985</v>
      </c>
      <c r="B183" s="798">
        <f t="shared" si="5"/>
        <v>3</v>
      </c>
      <c r="C183" s="1105">
        <v>31229</v>
      </c>
      <c r="D183" s="934"/>
      <c r="E183" s="1100">
        <v>456.7</v>
      </c>
      <c r="F183" s="1100">
        <v>316.75</v>
      </c>
      <c r="G183" s="1101"/>
      <c r="H183" s="935"/>
      <c r="I183" s="1101"/>
      <c r="J183" s="1101"/>
      <c r="K183" s="936">
        <v>7002.2692889561304</v>
      </c>
      <c r="L183" s="936">
        <v>5091.3500000000004</v>
      </c>
      <c r="M183" s="936"/>
      <c r="N183" s="937"/>
      <c r="O183" s="938"/>
      <c r="P183" s="938"/>
      <c r="Q183" s="938"/>
      <c r="R183" s="939"/>
      <c r="S183" s="940"/>
      <c r="T183" s="940"/>
      <c r="U183" s="1756"/>
      <c r="V183" s="1323"/>
      <c r="W183" s="1323"/>
      <c r="X183" s="538">
        <v>0.72709999999999997</v>
      </c>
      <c r="AJ183" s="817" t="s">
        <v>3</v>
      </c>
      <c r="AK183" s="817">
        <v>2009</v>
      </c>
      <c r="AL183" s="874" t="s">
        <v>29</v>
      </c>
      <c r="AM183" s="874">
        <v>7</v>
      </c>
      <c r="AN183" s="1114">
        <v>159326068.90000001</v>
      </c>
      <c r="AO183" s="1112">
        <v>5.3238924486516112E-2</v>
      </c>
      <c r="AP183" s="817"/>
      <c r="AQ183" s="817" t="s">
        <v>3</v>
      </c>
      <c r="AR183" s="817" t="s">
        <v>614</v>
      </c>
      <c r="AS183" s="874" t="s">
        <v>33</v>
      </c>
      <c r="AT183" s="874">
        <v>6</v>
      </c>
      <c r="AU183" s="1114">
        <v>77323263.299999982</v>
      </c>
      <c r="AV183" s="1113">
        <v>2.4447831367920038E-2</v>
      </c>
      <c r="AW183" s="817">
        <v>2013</v>
      </c>
      <c r="AY183" s="1348"/>
    </row>
    <row r="184" spans="1:51">
      <c r="A184" s="798">
        <f t="shared" si="4"/>
        <v>1985</v>
      </c>
      <c r="B184" s="798">
        <f t="shared" si="5"/>
        <v>3</v>
      </c>
      <c r="C184" s="1105">
        <v>31260</v>
      </c>
      <c r="D184" s="805"/>
      <c r="E184" s="1102">
        <v>455.85</v>
      </c>
      <c r="F184" s="1102">
        <v>330.05</v>
      </c>
      <c r="G184" s="1103"/>
      <c r="H184" s="805"/>
      <c r="I184" s="1103"/>
      <c r="J184" s="1103"/>
      <c r="K184" s="84">
        <v>6978.00682399773</v>
      </c>
      <c r="L184" s="84">
        <v>4908.33</v>
      </c>
      <c r="M184" s="84"/>
      <c r="N184" s="805"/>
      <c r="O184" s="941"/>
      <c r="P184" s="941"/>
      <c r="Q184" s="941"/>
      <c r="R184" s="805"/>
      <c r="S184" s="805"/>
      <c r="T184" s="805"/>
      <c r="U184" s="805"/>
      <c r="V184" s="805"/>
      <c r="W184" s="805"/>
      <c r="X184" s="5">
        <v>0.70340000000000003</v>
      </c>
      <c r="AJ184" s="817" t="s">
        <v>3</v>
      </c>
      <c r="AK184" s="817">
        <v>2009</v>
      </c>
      <c r="AL184" s="874" t="s">
        <v>30</v>
      </c>
      <c r="AM184" s="874">
        <v>8</v>
      </c>
      <c r="AN184" s="1114">
        <v>120662460.69</v>
      </c>
      <c r="AO184" s="1112">
        <v>4.0319451031356791E-2</v>
      </c>
      <c r="AP184" s="817"/>
      <c r="AQ184" s="817" t="s">
        <v>3</v>
      </c>
      <c r="AR184" s="817" t="s">
        <v>614</v>
      </c>
      <c r="AS184" s="874" t="s">
        <v>64</v>
      </c>
      <c r="AT184" s="874">
        <v>7</v>
      </c>
      <c r="AU184" s="1114">
        <v>72243564.560000002</v>
      </c>
      <c r="AV184" s="1113">
        <v>2.2841747857016852E-2</v>
      </c>
      <c r="AW184" s="817">
        <v>2013</v>
      </c>
      <c r="AY184" s="1348"/>
    </row>
    <row r="185" spans="1:51">
      <c r="A185" s="798">
        <f t="shared" si="4"/>
        <v>1985</v>
      </c>
      <c r="B185" s="798">
        <f t="shared" si="5"/>
        <v>3</v>
      </c>
      <c r="C185" s="1105">
        <v>31291</v>
      </c>
      <c r="D185" s="934"/>
      <c r="E185" s="1100">
        <v>471.15</v>
      </c>
      <c r="F185" s="1100">
        <v>323.95</v>
      </c>
      <c r="G185" s="1101"/>
      <c r="H185" s="935"/>
      <c r="I185" s="1101"/>
      <c r="J185" s="1101"/>
      <c r="K185" s="936">
        <v>6458.90914229193</v>
      </c>
      <c r="L185" s="936">
        <v>4570.97</v>
      </c>
      <c r="M185" s="936"/>
      <c r="N185" s="937"/>
      <c r="O185" s="938"/>
      <c r="P185" s="938"/>
      <c r="Q185" s="938"/>
      <c r="R185" s="939"/>
      <c r="S185" s="940"/>
      <c r="T185" s="940"/>
      <c r="U185" s="1756"/>
      <c r="V185" s="1323"/>
      <c r="W185" s="1323"/>
      <c r="X185" s="538">
        <v>0.7077</v>
      </c>
      <c r="AJ185" s="817" t="s">
        <v>3</v>
      </c>
      <c r="AK185" s="817">
        <v>2009</v>
      </c>
      <c r="AL185" s="874" t="s">
        <v>27</v>
      </c>
      <c r="AM185" s="874">
        <v>9</v>
      </c>
      <c r="AN185" s="1114">
        <v>73300326.280000001</v>
      </c>
      <c r="AO185" s="1112">
        <v>2.4493358573399862E-2</v>
      </c>
      <c r="AP185" s="817"/>
      <c r="AQ185" s="817" t="s">
        <v>3</v>
      </c>
      <c r="AR185" s="817" t="s">
        <v>614</v>
      </c>
      <c r="AS185" s="874" t="s">
        <v>72</v>
      </c>
      <c r="AT185" s="874">
        <v>8</v>
      </c>
      <c r="AU185" s="1114">
        <v>42226945.059999995</v>
      </c>
      <c r="AV185" s="1113">
        <v>1.3351185502918424E-2</v>
      </c>
      <c r="AW185" s="817">
        <v>2013</v>
      </c>
      <c r="AY185" s="3"/>
    </row>
    <row r="186" spans="1:51">
      <c r="A186" s="798">
        <f t="shared" si="4"/>
        <v>1985</v>
      </c>
      <c r="B186" s="798">
        <f t="shared" si="5"/>
        <v>4</v>
      </c>
      <c r="C186" s="1105">
        <v>31321</v>
      </c>
      <c r="D186" s="805"/>
      <c r="E186" s="1102">
        <v>464.95</v>
      </c>
      <c r="F186" s="1102">
        <v>323.95</v>
      </c>
      <c r="G186" s="1103"/>
      <c r="H186" s="805"/>
      <c r="I186" s="1103"/>
      <c r="J186" s="1103"/>
      <c r="K186" s="84">
        <v>6055.7269351613804</v>
      </c>
      <c r="L186" s="84">
        <v>4240.22</v>
      </c>
      <c r="M186" s="84"/>
      <c r="N186" s="805"/>
      <c r="O186" s="941"/>
      <c r="P186" s="941"/>
      <c r="Q186" s="941"/>
      <c r="R186" s="805"/>
      <c r="S186" s="805"/>
      <c r="T186" s="805"/>
      <c r="U186" s="805"/>
      <c r="V186" s="805"/>
      <c r="W186" s="805"/>
      <c r="X186" s="5">
        <v>0.70020000000000004</v>
      </c>
      <c r="AJ186" s="817" t="s">
        <v>3</v>
      </c>
      <c r="AK186" s="817">
        <v>2009</v>
      </c>
      <c r="AL186" s="874" t="s">
        <v>63</v>
      </c>
      <c r="AM186" s="874">
        <v>10</v>
      </c>
      <c r="AN186" s="1114">
        <v>52755004.419999994</v>
      </c>
      <c r="AO186" s="1112">
        <v>1.7628123984939435E-2</v>
      </c>
      <c r="AP186" s="817"/>
      <c r="AQ186" s="817" t="s">
        <v>3</v>
      </c>
      <c r="AR186" s="817" t="s">
        <v>614</v>
      </c>
      <c r="AS186" s="874" t="s">
        <v>69</v>
      </c>
      <c r="AT186" s="874">
        <v>9</v>
      </c>
      <c r="AU186" s="1114">
        <v>41440494.329999998</v>
      </c>
      <c r="AV186" s="1113">
        <v>1.3102527932018703E-2</v>
      </c>
      <c r="AW186" s="817">
        <v>2013</v>
      </c>
      <c r="AY186" s="1348"/>
    </row>
    <row r="187" spans="1:51">
      <c r="A187" s="798">
        <f t="shared" si="4"/>
        <v>1985</v>
      </c>
      <c r="B187" s="798">
        <f t="shared" si="5"/>
        <v>4</v>
      </c>
      <c r="C187" s="1105">
        <v>31352</v>
      </c>
      <c r="D187" s="934"/>
      <c r="E187" s="1100">
        <v>480.8</v>
      </c>
      <c r="F187" s="1100">
        <v>325.60000000000002</v>
      </c>
      <c r="G187" s="1101"/>
      <c r="H187" s="935"/>
      <c r="I187" s="1101"/>
      <c r="J187" s="1101"/>
      <c r="K187" s="936">
        <v>5890.7299270072999</v>
      </c>
      <c r="L187" s="936">
        <v>4035.15</v>
      </c>
      <c r="M187" s="936"/>
      <c r="N187" s="937"/>
      <c r="O187" s="938"/>
      <c r="P187" s="938"/>
      <c r="Q187" s="938"/>
      <c r="R187" s="939"/>
      <c r="S187" s="940"/>
      <c r="T187" s="940"/>
      <c r="U187" s="1756"/>
      <c r="V187" s="1323"/>
      <c r="W187" s="1323"/>
      <c r="X187" s="538">
        <v>0.68500000000000005</v>
      </c>
      <c r="AJ187" s="817" t="s">
        <v>3</v>
      </c>
      <c r="AK187" s="817">
        <v>2009</v>
      </c>
      <c r="AL187" s="874" t="s">
        <v>45</v>
      </c>
      <c r="AM187" s="874"/>
      <c r="AN187" s="1114">
        <v>149356286.89999866</v>
      </c>
      <c r="AO187" s="1112">
        <v>4.9907514412134368E-2</v>
      </c>
      <c r="AP187" s="817"/>
      <c r="AQ187" s="817" t="s">
        <v>3</v>
      </c>
      <c r="AR187" s="817" t="s">
        <v>614</v>
      </c>
      <c r="AS187" s="874" t="s">
        <v>27</v>
      </c>
      <c r="AT187" s="874">
        <v>10</v>
      </c>
      <c r="AU187" s="1114">
        <v>27893807.25</v>
      </c>
      <c r="AV187" s="1113">
        <v>8.8193781114934595E-3</v>
      </c>
      <c r="AW187" s="817">
        <v>2013</v>
      </c>
      <c r="AY187" s="1348"/>
    </row>
    <row r="188" spans="1:51">
      <c r="A188" s="798">
        <f t="shared" si="4"/>
        <v>1985</v>
      </c>
      <c r="B188" s="798">
        <f t="shared" si="5"/>
        <v>4</v>
      </c>
      <c r="C188" s="1105">
        <v>31382</v>
      </c>
      <c r="D188" s="805"/>
      <c r="E188" s="1102">
        <v>474.1</v>
      </c>
      <c r="F188" s="1102">
        <v>322.10000000000002</v>
      </c>
      <c r="G188" s="1103"/>
      <c r="H188" s="805"/>
      <c r="I188" s="1103"/>
      <c r="J188" s="1103"/>
      <c r="K188" s="84">
        <v>6007.1669848729598</v>
      </c>
      <c r="L188" s="84">
        <v>4090.28</v>
      </c>
      <c r="M188" s="84"/>
      <c r="N188" s="805"/>
      <c r="O188" s="941"/>
      <c r="P188" s="941"/>
      <c r="Q188" s="941"/>
      <c r="R188" s="805"/>
      <c r="S188" s="805"/>
      <c r="T188" s="805"/>
      <c r="U188" s="805"/>
      <c r="V188" s="805"/>
      <c r="W188" s="805"/>
      <c r="X188" s="5">
        <v>0.68089999999999995</v>
      </c>
      <c r="AJ188" s="817" t="s">
        <v>3</v>
      </c>
      <c r="AK188" s="817">
        <v>2009</v>
      </c>
      <c r="AL188" s="874" t="s">
        <v>452</v>
      </c>
      <c r="AM188" s="874"/>
      <c r="AN188" s="1114">
        <v>2992661298.7899995</v>
      </c>
      <c r="AO188" s="1112"/>
      <c r="AP188" s="817"/>
      <c r="AQ188" s="817" t="s">
        <v>3</v>
      </c>
      <c r="AR188" s="817" t="s">
        <v>614</v>
      </c>
      <c r="AS188" s="874" t="s">
        <v>45</v>
      </c>
      <c r="AT188" s="874"/>
      <c r="AU188" s="1114">
        <v>96919469.699999809</v>
      </c>
      <c r="AV188" s="1113">
        <v>3.0643699584958304E-2</v>
      </c>
      <c r="AW188" s="817">
        <v>2013</v>
      </c>
      <c r="AY188" s="3"/>
    </row>
    <row r="189" spans="1:51">
      <c r="A189" s="798">
        <f t="shared" si="4"/>
        <v>1986</v>
      </c>
      <c r="B189" s="798">
        <f t="shared" si="5"/>
        <v>1</v>
      </c>
      <c r="C189" s="1105">
        <v>31413</v>
      </c>
      <c r="D189" s="934">
        <v>182.70780022524929</v>
      </c>
      <c r="E189" s="1100">
        <v>493.2</v>
      </c>
      <c r="F189" s="1100">
        <v>343.7</v>
      </c>
      <c r="G189" s="1101"/>
      <c r="H189" s="935"/>
      <c r="I189" s="1101"/>
      <c r="J189" s="1101"/>
      <c r="K189" s="936">
        <v>5639.6226415094297</v>
      </c>
      <c r="L189" s="936">
        <v>4035.15</v>
      </c>
      <c r="M189" s="936"/>
      <c r="N189" s="937"/>
      <c r="O189" s="938">
        <v>1982.3</v>
      </c>
      <c r="P189" s="938">
        <v>514.55717959468905</v>
      </c>
      <c r="Q189" s="938">
        <v>899.32996645702303</v>
      </c>
      <c r="R189" s="939">
        <v>17</v>
      </c>
      <c r="S189" s="940">
        <v>570</v>
      </c>
      <c r="T189" s="940">
        <v>170</v>
      </c>
      <c r="U189" s="1756"/>
      <c r="V189" s="1323"/>
      <c r="W189" s="1323"/>
      <c r="X189" s="538">
        <v>0.71550000000000002</v>
      </c>
      <c r="AJ189" s="817" t="s">
        <v>3</v>
      </c>
      <c r="AK189" s="817">
        <v>2008</v>
      </c>
      <c r="AL189" s="874" t="s">
        <v>24</v>
      </c>
      <c r="AM189" s="874">
        <v>1</v>
      </c>
      <c r="AN189" s="1114">
        <v>1132994377.54</v>
      </c>
      <c r="AO189" s="1112">
        <v>0.28739276902443622</v>
      </c>
      <c r="AP189" s="817"/>
      <c r="AQ189" s="817" t="s">
        <v>3</v>
      </c>
      <c r="AR189" s="817" t="s">
        <v>614</v>
      </c>
      <c r="AS189" s="874" t="s">
        <v>452</v>
      </c>
      <c r="AT189" s="874"/>
      <c r="AU189" s="1114">
        <v>3162786184.8500004</v>
      </c>
      <c r="AV189" s="874"/>
      <c r="AW189" s="817">
        <v>2013</v>
      </c>
    </row>
    <row r="190" spans="1:51">
      <c r="A190" s="798">
        <f t="shared" si="4"/>
        <v>1986</v>
      </c>
      <c r="B190" s="798">
        <f t="shared" si="5"/>
        <v>1</v>
      </c>
      <c r="C190" s="1105">
        <v>31444</v>
      </c>
      <c r="D190" s="805">
        <v>175.54902821350586</v>
      </c>
      <c r="E190" s="1102">
        <v>487.4</v>
      </c>
      <c r="F190" s="1102">
        <v>339.85</v>
      </c>
      <c r="G190" s="1103"/>
      <c r="H190" s="805"/>
      <c r="I190" s="1103"/>
      <c r="J190" s="1103"/>
      <c r="K190" s="84">
        <v>5621.6058185966904</v>
      </c>
      <c r="L190" s="84">
        <v>3941.87</v>
      </c>
      <c r="M190" s="84"/>
      <c r="N190" s="805"/>
      <c r="O190" s="941">
        <v>2003.9</v>
      </c>
      <c r="P190" s="941">
        <v>523.14530519110087</v>
      </c>
      <c r="Q190" s="941">
        <v>867.19857672561318</v>
      </c>
      <c r="R190" s="805">
        <v>17</v>
      </c>
      <c r="S190" s="805">
        <v>570</v>
      </c>
      <c r="T190" s="805">
        <v>170</v>
      </c>
      <c r="U190" s="805"/>
      <c r="V190" s="805"/>
      <c r="W190" s="805"/>
      <c r="X190" s="5">
        <v>0.70120000000000005</v>
      </c>
      <c r="AJ190" s="817" t="s">
        <v>3</v>
      </c>
      <c r="AK190" s="817">
        <v>2008</v>
      </c>
      <c r="AL190" s="874" t="s">
        <v>66</v>
      </c>
      <c r="AM190" s="874">
        <v>2</v>
      </c>
      <c r="AN190" s="1114">
        <v>916226599.57000041</v>
      </c>
      <c r="AO190" s="1112">
        <v>0.23240794899264133</v>
      </c>
      <c r="AP190" s="817"/>
      <c r="AQ190" s="817" t="s">
        <v>3</v>
      </c>
      <c r="AR190" s="817" t="s">
        <v>613</v>
      </c>
      <c r="AS190" s="874" t="s">
        <v>24</v>
      </c>
      <c r="AT190" s="874">
        <v>1</v>
      </c>
      <c r="AU190" s="1114">
        <v>1201341767</v>
      </c>
      <c r="AV190" s="1113">
        <v>0.34899999999999998</v>
      </c>
      <c r="AW190" s="817">
        <v>2012</v>
      </c>
    </row>
    <row r="191" spans="1:51">
      <c r="A191" s="798">
        <f t="shared" si="4"/>
        <v>1986</v>
      </c>
      <c r="B191" s="798">
        <f t="shared" si="5"/>
        <v>1</v>
      </c>
      <c r="C191" s="1105">
        <v>31472</v>
      </c>
      <c r="D191" s="934">
        <v>174.27</v>
      </c>
      <c r="E191" s="1100">
        <v>490.55</v>
      </c>
      <c r="F191" s="1100">
        <v>346.7</v>
      </c>
      <c r="G191" s="1101"/>
      <c r="H191" s="935"/>
      <c r="I191" s="1101"/>
      <c r="J191" s="1101"/>
      <c r="K191" s="936">
        <v>5736.9152970922896</v>
      </c>
      <c r="L191" s="936">
        <v>4084.11</v>
      </c>
      <c r="M191" s="936"/>
      <c r="N191" s="937"/>
      <c r="O191" s="938">
        <v>2027.73</v>
      </c>
      <c r="P191" s="938">
        <v>514.83637589549085</v>
      </c>
      <c r="Q191" s="938">
        <v>877.42998735777508</v>
      </c>
      <c r="R191" s="939">
        <v>16.875</v>
      </c>
      <c r="S191" s="940">
        <v>570</v>
      </c>
      <c r="T191" s="940">
        <v>170</v>
      </c>
      <c r="U191" s="1756"/>
      <c r="V191" s="1323"/>
      <c r="W191" s="1323"/>
      <c r="X191" s="538">
        <v>0.71189999999999998</v>
      </c>
      <c r="AJ191" s="817" t="s">
        <v>3</v>
      </c>
      <c r="AK191" s="817">
        <v>2008</v>
      </c>
      <c r="AL191" s="874" t="s">
        <v>33</v>
      </c>
      <c r="AM191" s="874">
        <v>3</v>
      </c>
      <c r="AN191" s="1114">
        <v>433537841.49999988</v>
      </c>
      <c r="AO191" s="1112">
        <v>0.10997021981352532</v>
      </c>
      <c r="AP191" s="817"/>
      <c r="AQ191" s="817" t="s">
        <v>3</v>
      </c>
      <c r="AR191" s="817" t="s">
        <v>613</v>
      </c>
      <c r="AS191" s="874" t="s">
        <v>31</v>
      </c>
      <c r="AT191" s="874">
        <v>2</v>
      </c>
      <c r="AU191" s="1114">
        <v>890845573</v>
      </c>
      <c r="AV191" s="1113">
        <v>0.25900000000000001</v>
      </c>
      <c r="AW191" s="817">
        <v>2012</v>
      </c>
    </row>
    <row r="192" spans="1:51">
      <c r="A192" s="798">
        <f t="shared" si="4"/>
        <v>1986</v>
      </c>
      <c r="B192" s="798">
        <f t="shared" si="5"/>
        <v>2</v>
      </c>
      <c r="C192" s="1105">
        <v>31503</v>
      </c>
      <c r="D192" s="805">
        <v>181.19</v>
      </c>
      <c r="E192" s="1102">
        <v>473.2</v>
      </c>
      <c r="F192" s="1102">
        <v>341</v>
      </c>
      <c r="G192" s="1103"/>
      <c r="H192" s="805"/>
      <c r="I192" s="1103"/>
      <c r="J192" s="1103"/>
      <c r="K192" s="84">
        <v>5407.2250033824903</v>
      </c>
      <c r="L192" s="84">
        <v>3996.48</v>
      </c>
      <c r="M192" s="84"/>
      <c r="N192" s="805"/>
      <c r="O192" s="941">
        <v>1938.59</v>
      </c>
      <c r="P192" s="941">
        <v>498.85907725612236</v>
      </c>
      <c r="Q192" s="941">
        <v>891.37670139358681</v>
      </c>
      <c r="R192" s="805">
        <v>17.074999999999999</v>
      </c>
      <c r="S192" s="805">
        <v>570</v>
      </c>
      <c r="T192" s="805">
        <v>170</v>
      </c>
      <c r="U192" s="805"/>
      <c r="V192" s="805"/>
      <c r="W192" s="805"/>
      <c r="X192" s="5">
        <v>0.73909999999999998</v>
      </c>
      <c r="AJ192" s="817" t="s">
        <v>3</v>
      </c>
      <c r="AK192" s="817">
        <v>2008</v>
      </c>
      <c r="AL192" s="874" t="s">
        <v>41</v>
      </c>
      <c r="AM192" s="874">
        <v>4</v>
      </c>
      <c r="AN192" s="1114">
        <v>339067595.53999996</v>
      </c>
      <c r="AO192" s="1112">
        <v>8.6007112745145012E-2</v>
      </c>
      <c r="AP192" s="817"/>
      <c r="AQ192" s="817" t="s">
        <v>3</v>
      </c>
      <c r="AR192" s="817" t="s">
        <v>613</v>
      </c>
      <c r="AS192" s="874" t="s">
        <v>70</v>
      </c>
      <c r="AT192" s="874">
        <v>3</v>
      </c>
      <c r="AU192" s="1114">
        <v>319004019</v>
      </c>
      <c r="AV192" s="1113">
        <v>9.2999999999999999E-2</v>
      </c>
      <c r="AW192" s="817">
        <v>2012</v>
      </c>
    </row>
    <row r="193" spans="1:49">
      <c r="A193" s="798">
        <f t="shared" si="4"/>
        <v>1986</v>
      </c>
      <c r="B193" s="798">
        <f t="shared" si="5"/>
        <v>2</v>
      </c>
      <c r="C193" s="1105">
        <v>31533</v>
      </c>
      <c r="D193" s="934">
        <v>183.64</v>
      </c>
      <c r="E193" s="1100">
        <v>471.55</v>
      </c>
      <c r="F193" s="1100">
        <v>342.45</v>
      </c>
      <c r="G193" s="1101"/>
      <c r="H193" s="935"/>
      <c r="I193" s="1101"/>
      <c r="J193" s="1101"/>
      <c r="K193" s="936">
        <v>5683.1007535584704</v>
      </c>
      <c r="L193" s="936">
        <v>4072.51</v>
      </c>
      <c r="M193" s="936"/>
      <c r="N193" s="937"/>
      <c r="O193" s="938">
        <v>1980.87</v>
      </c>
      <c r="P193" s="938">
        <v>525.23963159363655</v>
      </c>
      <c r="Q193" s="938">
        <v>987.35276862963985</v>
      </c>
      <c r="R193" s="939">
        <v>17.074999999999999</v>
      </c>
      <c r="S193" s="940">
        <v>570</v>
      </c>
      <c r="T193" s="940">
        <v>175</v>
      </c>
      <c r="U193" s="1756"/>
      <c r="V193" s="1323"/>
      <c r="W193" s="1323"/>
      <c r="X193" s="538">
        <v>0.71660000000000001</v>
      </c>
      <c r="AJ193" s="817" t="s">
        <v>3</v>
      </c>
      <c r="AK193" s="817">
        <v>2008</v>
      </c>
      <c r="AL193" s="874" t="s">
        <v>70</v>
      </c>
      <c r="AM193" s="874">
        <v>5</v>
      </c>
      <c r="AN193" s="1114">
        <v>278600831.39000005</v>
      </c>
      <c r="AO193" s="1112">
        <v>7.0669251298076635E-2</v>
      </c>
      <c r="AP193" s="817"/>
      <c r="AQ193" s="817" t="s">
        <v>3</v>
      </c>
      <c r="AR193" s="817" t="s">
        <v>613</v>
      </c>
      <c r="AS193" s="874" t="s">
        <v>29</v>
      </c>
      <c r="AT193" s="874">
        <v>4</v>
      </c>
      <c r="AU193" s="1114">
        <v>247388545</v>
      </c>
      <c r="AV193" s="1113">
        <v>7.1999999999999995E-2</v>
      </c>
      <c r="AW193" s="817">
        <v>2012</v>
      </c>
    </row>
    <row r="194" spans="1:49">
      <c r="A194" s="798">
        <f t="shared" si="4"/>
        <v>1986</v>
      </c>
      <c r="B194" s="798">
        <f t="shared" si="5"/>
        <v>2</v>
      </c>
      <c r="C194" s="1105">
        <v>31564</v>
      </c>
      <c r="D194" s="805">
        <v>170</v>
      </c>
      <c r="E194" s="1102">
        <v>499</v>
      </c>
      <c r="F194" s="1102">
        <v>341.5</v>
      </c>
      <c r="G194" s="1103"/>
      <c r="H194" s="805"/>
      <c r="I194" s="1103"/>
      <c r="J194" s="1103"/>
      <c r="K194" s="84">
        <v>6055.1388068517399</v>
      </c>
      <c r="L194" s="84">
        <v>4100.54</v>
      </c>
      <c r="M194" s="84"/>
      <c r="N194" s="805"/>
      <c r="O194" s="941">
        <v>2084.91</v>
      </c>
      <c r="P194" s="941">
        <v>616.40402244536313</v>
      </c>
      <c r="Q194" s="941">
        <v>1185.4146012994684</v>
      </c>
      <c r="R194" s="805">
        <v>17.074999999999999</v>
      </c>
      <c r="S194" s="805">
        <v>570</v>
      </c>
      <c r="T194" s="805">
        <v>175</v>
      </c>
      <c r="U194" s="805"/>
      <c r="V194" s="805"/>
      <c r="W194" s="805"/>
      <c r="X194" s="5">
        <v>0.67720000000000002</v>
      </c>
      <c r="AJ194" s="817" t="s">
        <v>3</v>
      </c>
      <c r="AK194" s="817">
        <v>2008</v>
      </c>
      <c r="AL194" s="874" t="s">
        <v>29</v>
      </c>
      <c r="AM194" s="874">
        <v>6</v>
      </c>
      <c r="AN194" s="1114">
        <v>235449737</v>
      </c>
      <c r="AO194" s="1112">
        <v>5.9723643138834825E-2</v>
      </c>
      <c r="AP194" s="817"/>
      <c r="AQ194" s="817" t="s">
        <v>3</v>
      </c>
      <c r="AR194" s="817" t="s">
        <v>613</v>
      </c>
      <c r="AS194" s="874" t="s">
        <v>65</v>
      </c>
      <c r="AT194" s="874">
        <v>5</v>
      </c>
      <c r="AU194" s="1114">
        <v>167046806</v>
      </c>
      <c r="AV194" s="1113">
        <v>4.9000000000000002E-2</v>
      </c>
      <c r="AW194" s="817">
        <v>2012</v>
      </c>
    </row>
    <row r="195" spans="1:49">
      <c r="A195" s="798">
        <f t="shared" si="4"/>
        <v>1986</v>
      </c>
      <c r="B195" s="798">
        <f t="shared" si="5"/>
        <v>3</v>
      </c>
      <c r="C195" s="1105">
        <v>31594</v>
      </c>
      <c r="D195" s="934">
        <v>181.48</v>
      </c>
      <c r="E195" s="1100">
        <v>552.6</v>
      </c>
      <c r="F195" s="1100">
        <v>348.5</v>
      </c>
      <c r="G195" s="1101"/>
      <c r="H195" s="935"/>
      <c r="I195" s="1101"/>
      <c r="J195" s="1101"/>
      <c r="K195" s="936">
        <v>6628.9966555183901</v>
      </c>
      <c r="L195" s="936">
        <v>3964.14</v>
      </c>
      <c r="M195" s="936"/>
      <c r="N195" s="937"/>
      <c r="O195" s="938">
        <v>2250.5</v>
      </c>
      <c r="P195" s="938">
        <v>635.44558695652177</v>
      </c>
      <c r="Q195" s="938">
        <v>1350.4196739130437</v>
      </c>
      <c r="R195" s="939">
        <v>17.074999999999999</v>
      </c>
      <c r="S195" s="940">
        <v>570</v>
      </c>
      <c r="T195" s="940">
        <v>175</v>
      </c>
      <c r="U195" s="1756"/>
      <c r="V195" s="1323"/>
      <c r="W195" s="1323"/>
      <c r="X195" s="538">
        <v>0.59799999999999998</v>
      </c>
      <c r="AJ195" s="817" t="s">
        <v>3</v>
      </c>
      <c r="AK195" s="817">
        <v>2008</v>
      </c>
      <c r="AL195" s="874" t="s">
        <v>63</v>
      </c>
      <c r="AM195" s="874">
        <v>7</v>
      </c>
      <c r="AN195" s="1114">
        <v>211900040.71000004</v>
      </c>
      <c r="AO195" s="1112">
        <v>5.3750080903545938E-2</v>
      </c>
      <c r="AP195" s="817"/>
      <c r="AQ195" s="817" t="s">
        <v>3</v>
      </c>
      <c r="AR195" s="817" t="s">
        <v>613</v>
      </c>
      <c r="AS195" s="874" t="s">
        <v>41</v>
      </c>
      <c r="AT195" s="874">
        <v>6</v>
      </c>
      <c r="AU195" s="1114">
        <v>161955945</v>
      </c>
      <c r="AV195" s="1113">
        <v>4.7E-2</v>
      </c>
      <c r="AW195" s="817">
        <v>2012</v>
      </c>
    </row>
    <row r="196" spans="1:49">
      <c r="A196" s="798">
        <f t="shared" si="4"/>
        <v>1986</v>
      </c>
      <c r="B196" s="798">
        <f t="shared" si="5"/>
        <v>3</v>
      </c>
      <c r="C196" s="1105">
        <v>31625</v>
      </c>
      <c r="D196" s="805">
        <v>198.9</v>
      </c>
      <c r="E196" s="1102">
        <v>616.15</v>
      </c>
      <c r="F196" s="1102">
        <v>375.8</v>
      </c>
      <c r="G196" s="1103"/>
      <c r="H196" s="805"/>
      <c r="I196" s="1103"/>
      <c r="J196" s="1103"/>
      <c r="K196" s="84">
        <v>6239.9835661462603</v>
      </c>
      <c r="L196" s="84">
        <v>3797.03</v>
      </c>
      <c r="M196" s="84"/>
      <c r="N196" s="805"/>
      <c r="O196" s="941">
        <v>2140.96</v>
      </c>
      <c r="P196" s="941">
        <v>643.95196055875101</v>
      </c>
      <c r="Q196" s="941">
        <v>1341.1553919474115</v>
      </c>
      <c r="R196" s="805">
        <v>17.100000000000001</v>
      </c>
      <c r="S196" s="805">
        <v>630</v>
      </c>
      <c r="T196" s="805">
        <v>175</v>
      </c>
      <c r="U196" s="805"/>
      <c r="V196" s="805"/>
      <c r="W196" s="805"/>
      <c r="X196" s="5">
        <v>0.60850000000000004</v>
      </c>
      <c r="AJ196" s="817" t="s">
        <v>3</v>
      </c>
      <c r="AK196" s="817">
        <v>2008</v>
      </c>
      <c r="AL196" s="874" t="s">
        <v>30</v>
      </c>
      <c r="AM196" s="874">
        <v>8</v>
      </c>
      <c r="AN196" s="1114">
        <v>106707286.03999999</v>
      </c>
      <c r="AO196" s="1112">
        <v>2.7067126737824857E-2</v>
      </c>
      <c r="AP196" s="817"/>
      <c r="AQ196" s="817" t="s">
        <v>3</v>
      </c>
      <c r="AR196" s="817" t="s">
        <v>613</v>
      </c>
      <c r="AS196" s="874" t="s">
        <v>69</v>
      </c>
      <c r="AT196" s="874">
        <v>7</v>
      </c>
      <c r="AU196" s="1114">
        <v>90611835</v>
      </c>
      <c r="AV196" s="1113">
        <v>2.5999999999999999E-2</v>
      </c>
      <c r="AW196" s="817">
        <v>2012</v>
      </c>
    </row>
    <row r="197" spans="1:49">
      <c r="A197" s="798">
        <f t="shared" si="4"/>
        <v>1986</v>
      </c>
      <c r="B197" s="798">
        <f t="shared" si="5"/>
        <v>3</v>
      </c>
      <c r="C197" s="1105">
        <v>31656</v>
      </c>
      <c r="D197" s="934">
        <v>195.93</v>
      </c>
      <c r="E197" s="1100">
        <v>673.85</v>
      </c>
      <c r="F197" s="1100">
        <v>415.9</v>
      </c>
      <c r="G197" s="1101"/>
      <c r="H197" s="935"/>
      <c r="I197" s="1101"/>
      <c r="J197" s="1101"/>
      <c r="K197" s="936">
        <v>5959.4517054510698</v>
      </c>
      <c r="L197" s="936">
        <v>3738.96</v>
      </c>
      <c r="M197" s="936"/>
      <c r="N197" s="937"/>
      <c r="O197" s="938">
        <v>2150.56</v>
      </c>
      <c r="P197" s="938">
        <v>649.66114121772409</v>
      </c>
      <c r="Q197" s="938">
        <v>1390.0283583041123</v>
      </c>
      <c r="R197" s="939">
        <v>17.375</v>
      </c>
      <c r="S197" s="940">
        <v>630</v>
      </c>
      <c r="T197" s="940">
        <v>175</v>
      </c>
      <c r="U197" s="1756"/>
      <c r="V197" s="1323"/>
      <c r="W197" s="1323"/>
      <c r="X197" s="538">
        <v>0.62739999999999996</v>
      </c>
      <c r="AJ197" s="817" t="s">
        <v>3</v>
      </c>
      <c r="AK197" s="817">
        <v>2008</v>
      </c>
      <c r="AL197" s="874" t="s">
        <v>72</v>
      </c>
      <c r="AM197" s="874">
        <v>9</v>
      </c>
      <c r="AN197" s="1114">
        <v>103209904.44</v>
      </c>
      <c r="AO197" s="1112">
        <v>2.617998889999951E-2</v>
      </c>
      <c r="AP197" s="817"/>
      <c r="AQ197" s="817" t="s">
        <v>3</v>
      </c>
      <c r="AR197" s="817" t="s">
        <v>613</v>
      </c>
      <c r="AS197" s="874" t="s">
        <v>66</v>
      </c>
      <c r="AT197" s="874">
        <v>8</v>
      </c>
      <c r="AU197" s="1114">
        <v>75525872</v>
      </c>
      <c r="AV197" s="1113">
        <v>2.1999999999999999E-2</v>
      </c>
      <c r="AW197" s="817">
        <v>2012</v>
      </c>
    </row>
    <row r="198" spans="1:49">
      <c r="A198" s="798">
        <f t="shared" si="4"/>
        <v>1986</v>
      </c>
      <c r="B198" s="798">
        <f t="shared" si="5"/>
        <v>4</v>
      </c>
      <c r="C198" s="1105">
        <v>31686</v>
      </c>
      <c r="D198" s="805">
        <v>200.33</v>
      </c>
      <c r="E198" s="1102">
        <v>668.1</v>
      </c>
      <c r="F198" s="1102">
        <v>424.6</v>
      </c>
      <c r="G198" s="1103"/>
      <c r="H198" s="805"/>
      <c r="I198" s="1103"/>
      <c r="J198" s="1103"/>
      <c r="K198" s="84">
        <v>5710.8722741433003</v>
      </c>
      <c r="L198" s="84">
        <v>3666.38</v>
      </c>
      <c r="M198" s="84"/>
      <c r="N198" s="805"/>
      <c r="O198" s="941">
        <v>2052.39</v>
      </c>
      <c r="P198" s="941">
        <v>676.87060747663554</v>
      </c>
      <c r="Q198" s="941">
        <v>1380.6292242990653</v>
      </c>
      <c r="R198" s="805">
        <v>17.024999999999999</v>
      </c>
      <c r="S198" s="805">
        <v>630</v>
      </c>
      <c r="T198" s="805">
        <v>175</v>
      </c>
      <c r="U198" s="805"/>
      <c r="V198" s="805"/>
      <c r="W198" s="805"/>
      <c r="X198" s="5">
        <v>0.64200000000000002</v>
      </c>
      <c r="AJ198" s="817" t="s">
        <v>3</v>
      </c>
      <c r="AK198" s="817">
        <v>2008</v>
      </c>
      <c r="AL198" s="874" t="s">
        <v>68</v>
      </c>
      <c r="AM198" s="874">
        <v>10</v>
      </c>
      <c r="AN198" s="1114">
        <v>70966647.609999999</v>
      </c>
      <c r="AO198" s="1112">
        <v>1.8001237931385267E-2</v>
      </c>
      <c r="AP198" s="817"/>
      <c r="AQ198" s="817" t="s">
        <v>3</v>
      </c>
      <c r="AR198" s="817" t="s">
        <v>613</v>
      </c>
      <c r="AS198" s="874" t="s">
        <v>33</v>
      </c>
      <c r="AT198" s="874">
        <v>9</v>
      </c>
      <c r="AU198" s="1114">
        <v>64850186</v>
      </c>
      <c r="AV198" s="1113">
        <v>1.9E-2</v>
      </c>
      <c r="AW198" s="817">
        <v>2012</v>
      </c>
    </row>
    <row r="199" spans="1:49">
      <c r="A199" s="798">
        <f t="shared" si="4"/>
        <v>1986</v>
      </c>
      <c r="B199" s="798">
        <f t="shared" si="5"/>
        <v>4</v>
      </c>
      <c r="C199" s="1105">
        <v>31717</v>
      </c>
      <c r="D199" s="934">
        <v>198.0228357938679</v>
      </c>
      <c r="E199" s="1100">
        <v>619.75</v>
      </c>
      <c r="F199" s="1100">
        <v>397.1</v>
      </c>
      <c r="G199" s="1101"/>
      <c r="H199" s="935"/>
      <c r="I199" s="1101"/>
      <c r="J199" s="1101"/>
      <c r="K199" s="936">
        <v>5646.1467324290998</v>
      </c>
      <c r="L199" s="936">
        <v>3663.22</v>
      </c>
      <c r="M199" s="936"/>
      <c r="N199" s="937"/>
      <c r="O199" s="938">
        <v>2007.98</v>
      </c>
      <c r="P199" s="938">
        <v>728.88553020961763</v>
      </c>
      <c r="Q199" s="938">
        <v>1263.0299815043154</v>
      </c>
      <c r="R199" s="939">
        <v>17.274999999999999</v>
      </c>
      <c r="S199" s="940">
        <v>630</v>
      </c>
      <c r="T199" s="940">
        <v>175</v>
      </c>
      <c r="U199" s="1756"/>
      <c r="V199" s="1323"/>
      <c r="W199" s="1323"/>
      <c r="X199" s="538">
        <v>0.64880000000000004</v>
      </c>
      <c r="AJ199" s="817" t="s">
        <v>3</v>
      </c>
      <c r="AK199" s="817">
        <v>2008</v>
      </c>
      <c r="AL199" s="874" t="s">
        <v>45</v>
      </c>
      <c r="AM199" s="874"/>
      <c r="AN199" s="1114">
        <v>113659543.54000092</v>
      </c>
      <c r="AO199" s="1112">
        <v>2.8830620514585129E-2</v>
      </c>
      <c r="AP199" s="817"/>
      <c r="AQ199" s="817" t="s">
        <v>3</v>
      </c>
      <c r="AR199" s="817" t="s">
        <v>613</v>
      </c>
      <c r="AS199" s="874" t="s">
        <v>72</v>
      </c>
      <c r="AT199" s="874">
        <v>10</v>
      </c>
      <c r="AU199" s="1114">
        <v>62252837</v>
      </c>
      <c r="AV199" s="1113">
        <v>1.7999999999999999E-2</v>
      </c>
      <c r="AW199" s="817">
        <v>2012</v>
      </c>
    </row>
    <row r="200" spans="1:49">
      <c r="A200" s="798">
        <f t="shared" si="4"/>
        <v>1986</v>
      </c>
      <c r="B200" s="798">
        <f t="shared" si="5"/>
        <v>4</v>
      </c>
      <c r="C200" s="1105">
        <v>31747</v>
      </c>
      <c r="D200" s="805">
        <v>198.95</v>
      </c>
      <c r="E200" s="1102">
        <v>596.20000000000005</v>
      </c>
      <c r="F200" s="1102">
        <v>391.55</v>
      </c>
      <c r="G200" s="1103"/>
      <c r="H200" s="805"/>
      <c r="I200" s="1103"/>
      <c r="J200" s="1103"/>
      <c r="K200" s="84">
        <v>5357.5210589650997</v>
      </c>
      <c r="L200" s="84">
        <v>3561.68</v>
      </c>
      <c r="M200" s="84"/>
      <c r="N200" s="805"/>
      <c r="O200" s="941">
        <v>2004.68</v>
      </c>
      <c r="P200" s="941">
        <v>777.34805956678701</v>
      </c>
      <c r="Q200" s="941">
        <v>1197.6606092057766</v>
      </c>
      <c r="R200" s="805">
        <v>17.274999999999999</v>
      </c>
      <c r="S200" s="805">
        <v>630</v>
      </c>
      <c r="T200" s="805">
        <v>235</v>
      </c>
      <c r="U200" s="805"/>
      <c r="V200" s="805"/>
      <c r="W200" s="805"/>
      <c r="X200" s="5">
        <v>0.66479999999999995</v>
      </c>
      <c r="AJ200" s="817" t="s">
        <v>3</v>
      </c>
      <c r="AK200" s="817">
        <v>2008</v>
      </c>
      <c r="AL200" s="874" t="s">
        <v>452</v>
      </c>
      <c r="AM200" s="874"/>
      <c r="AN200" s="1114">
        <v>3942320404.8800011</v>
      </c>
      <c r="AO200" s="1112"/>
      <c r="AP200" s="817"/>
      <c r="AQ200" s="817" t="s">
        <v>3</v>
      </c>
      <c r="AR200" s="817" t="s">
        <v>613</v>
      </c>
      <c r="AS200" s="874" t="s">
        <v>45</v>
      </c>
      <c r="AT200" s="874"/>
      <c r="AU200" s="1114">
        <v>157086442</v>
      </c>
      <c r="AV200" s="1113">
        <v>4.5999999999999999E-2</v>
      </c>
      <c r="AW200" s="817">
        <v>2012</v>
      </c>
    </row>
    <row r="201" spans="1:49">
      <c r="A201" s="798">
        <f t="shared" ref="A201:A264" si="6">YEAR(C201)</f>
        <v>1987</v>
      </c>
      <c r="B201" s="798">
        <f t="shared" ref="B201:B264" si="7">IF(OR(MONTH(C201)=1,MONTH(C201)=2,MONTH(C201)=3),1,IF(OR(MONTH(C201)=4,MONTH(C201)=5,MONTH(C201)=6),2,IF(OR(MONTH(C201)=7,MONTH(C201)=8,MONTH(C201)=9),3,4)))</f>
        <v>1</v>
      </c>
      <c r="C201" s="1105">
        <v>31778</v>
      </c>
      <c r="D201" s="934">
        <v>191.83420890455938</v>
      </c>
      <c r="E201" s="1100">
        <v>620.20000000000005</v>
      </c>
      <c r="F201" s="1100">
        <v>408.7</v>
      </c>
      <c r="G201" s="1101"/>
      <c r="H201" s="935"/>
      <c r="I201" s="1101"/>
      <c r="J201" s="1101"/>
      <c r="K201" s="936">
        <v>5340.0877723970898</v>
      </c>
      <c r="L201" s="936">
        <v>3528.73</v>
      </c>
      <c r="M201" s="936"/>
      <c r="N201" s="937"/>
      <c r="O201" s="938">
        <v>2037.43</v>
      </c>
      <c r="P201" s="938">
        <v>701.81544188861972</v>
      </c>
      <c r="Q201" s="938">
        <v>1149.2376029055688</v>
      </c>
      <c r="R201" s="939">
        <v>17.274999999999999</v>
      </c>
      <c r="S201" s="940">
        <v>630</v>
      </c>
      <c r="T201" s="940">
        <v>235</v>
      </c>
      <c r="U201" s="1756"/>
      <c r="V201" s="1323"/>
      <c r="W201" s="1323"/>
      <c r="X201" s="538">
        <v>0.66080000000000005</v>
      </c>
      <c r="AJ201" s="817" t="s">
        <v>538</v>
      </c>
      <c r="AK201" s="817">
        <v>2015</v>
      </c>
      <c r="AL201" s="874" t="s">
        <v>41</v>
      </c>
      <c r="AM201" s="874">
        <v>1</v>
      </c>
      <c r="AN201" s="1114">
        <v>211880679</v>
      </c>
      <c r="AO201" s="1112">
        <v>0.25700000000000001</v>
      </c>
      <c r="AP201" s="817"/>
      <c r="AQ201" s="817" t="s">
        <v>3</v>
      </c>
      <c r="AR201" s="817" t="s">
        <v>613</v>
      </c>
      <c r="AS201" s="874" t="s">
        <v>452</v>
      </c>
      <c r="AT201" s="874"/>
      <c r="AU201" s="1114">
        <v>3437909828</v>
      </c>
      <c r="AV201" s="874"/>
      <c r="AW201" s="817">
        <v>2012</v>
      </c>
    </row>
    <row r="202" spans="1:49">
      <c r="A202" s="798">
        <f t="shared" si="6"/>
        <v>1987</v>
      </c>
      <c r="B202" s="798">
        <f t="shared" si="7"/>
        <v>1</v>
      </c>
      <c r="C202" s="1105">
        <v>31809</v>
      </c>
      <c r="D202" s="805">
        <v>185.44707784909295</v>
      </c>
      <c r="E202" s="1102">
        <v>603.4</v>
      </c>
      <c r="F202" s="1102">
        <v>401.1</v>
      </c>
      <c r="G202" s="1103"/>
      <c r="H202" s="805"/>
      <c r="I202" s="1103"/>
      <c r="J202" s="1103"/>
      <c r="K202" s="84">
        <v>5532.9727326615302</v>
      </c>
      <c r="L202" s="84">
        <v>3733.65</v>
      </c>
      <c r="M202" s="84"/>
      <c r="N202" s="805"/>
      <c r="O202" s="941">
        <v>2042.09</v>
      </c>
      <c r="P202" s="941">
        <v>680.97554090100766</v>
      </c>
      <c r="Q202" s="941">
        <v>1095.1981475992889</v>
      </c>
      <c r="R202" s="805">
        <v>17.274999999999999</v>
      </c>
      <c r="S202" s="805">
        <v>680</v>
      </c>
      <c r="T202" s="805">
        <v>235</v>
      </c>
      <c r="U202" s="805"/>
      <c r="V202" s="805"/>
      <c r="W202" s="805"/>
      <c r="X202" s="5">
        <v>0.67479999999999996</v>
      </c>
      <c r="AJ202" s="817" t="s">
        <v>538</v>
      </c>
      <c r="AK202" s="817">
        <v>2015</v>
      </c>
      <c r="AL202" s="874" t="s">
        <v>24</v>
      </c>
      <c r="AM202" s="874">
        <v>2</v>
      </c>
      <c r="AN202" s="1114">
        <v>209903005</v>
      </c>
      <c r="AO202" s="1112">
        <v>0.254</v>
      </c>
      <c r="AP202" s="817"/>
      <c r="AQ202" s="817" t="s">
        <v>3</v>
      </c>
      <c r="AR202" s="817" t="s">
        <v>612</v>
      </c>
      <c r="AS202" s="874" t="s">
        <v>24</v>
      </c>
      <c r="AT202" s="874">
        <v>1</v>
      </c>
      <c r="AU202" s="1114">
        <v>1306656559</v>
      </c>
      <c r="AV202" s="1113">
        <v>0.38484148935604851</v>
      </c>
      <c r="AW202" s="817">
        <v>2011</v>
      </c>
    </row>
    <row r="203" spans="1:49">
      <c r="A203" s="798">
        <f t="shared" si="6"/>
        <v>1987</v>
      </c>
      <c r="B203" s="798">
        <f t="shared" si="7"/>
        <v>1</v>
      </c>
      <c r="C203" s="1105">
        <v>31837</v>
      </c>
      <c r="D203" s="934">
        <v>178.37574631415748</v>
      </c>
      <c r="E203" s="1100">
        <v>600.20000000000005</v>
      </c>
      <c r="F203" s="1100">
        <v>409.05</v>
      </c>
      <c r="G203" s="1101"/>
      <c r="H203" s="935"/>
      <c r="I203" s="1101"/>
      <c r="J203" s="1101"/>
      <c r="K203" s="936">
        <v>5300.3828158230499</v>
      </c>
      <c r="L203" s="936">
        <v>3738.36</v>
      </c>
      <c r="M203" s="936"/>
      <c r="N203" s="937"/>
      <c r="O203" s="938">
        <v>2077.1999999999998</v>
      </c>
      <c r="P203" s="938">
        <v>689.86120941443357</v>
      </c>
      <c r="Q203" s="938">
        <v>1036.4737416702112</v>
      </c>
      <c r="R203" s="939">
        <v>17.274999999999999</v>
      </c>
      <c r="S203" s="940">
        <v>651</v>
      </c>
      <c r="T203" s="940">
        <v>235</v>
      </c>
      <c r="U203" s="1756"/>
      <c r="V203" s="1323"/>
      <c r="W203" s="1323"/>
      <c r="X203" s="538">
        <v>0.70530000000000004</v>
      </c>
      <c r="AJ203" s="817" t="s">
        <v>538</v>
      </c>
      <c r="AK203" s="817">
        <v>2015</v>
      </c>
      <c r="AL203" s="874" t="s">
        <v>33</v>
      </c>
      <c r="AM203" s="874">
        <v>3</v>
      </c>
      <c r="AN203" s="1114">
        <v>75853581</v>
      </c>
      <c r="AO203" s="1112">
        <v>9.1999999999999998E-2</v>
      </c>
      <c r="AP203" s="817"/>
      <c r="AQ203" s="817" t="s">
        <v>3</v>
      </c>
      <c r="AR203" s="817" t="s">
        <v>612</v>
      </c>
      <c r="AS203" s="874" t="s">
        <v>65</v>
      </c>
      <c r="AT203" s="874">
        <v>2</v>
      </c>
      <c r="AU203" s="1114">
        <v>350719023.30000001</v>
      </c>
      <c r="AV203" s="1113">
        <v>0.10329510868224302</v>
      </c>
      <c r="AW203" s="817">
        <v>2011</v>
      </c>
    </row>
    <row r="204" spans="1:49">
      <c r="A204" s="798">
        <f t="shared" si="6"/>
        <v>1987</v>
      </c>
      <c r="B204" s="798">
        <f t="shared" si="7"/>
        <v>2</v>
      </c>
      <c r="C204" s="1105">
        <v>31868</v>
      </c>
      <c r="D204" s="805">
        <v>184.88136689104627</v>
      </c>
      <c r="E204" s="1102">
        <v>616.79999999999995</v>
      </c>
      <c r="F204" s="1102">
        <v>436.8</v>
      </c>
      <c r="G204" s="1103"/>
      <c r="H204" s="805"/>
      <c r="I204" s="1103"/>
      <c r="J204" s="1103"/>
      <c r="K204" s="84">
        <v>5546.2968217934203</v>
      </c>
      <c r="L204" s="84">
        <v>3909.03</v>
      </c>
      <c r="M204" s="84"/>
      <c r="N204" s="805"/>
      <c r="O204" s="941">
        <v>2103.4699999999998</v>
      </c>
      <c r="P204" s="941">
        <v>786.88544835414314</v>
      </c>
      <c r="Q204" s="941">
        <v>1079.538547105562</v>
      </c>
      <c r="R204" s="805">
        <v>17.274999999999999</v>
      </c>
      <c r="S204" s="805">
        <v>651</v>
      </c>
      <c r="T204" s="805">
        <v>235</v>
      </c>
      <c r="U204" s="805"/>
      <c r="V204" s="805"/>
      <c r="W204" s="805"/>
      <c r="X204" s="5">
        <v>0.70479999999999998</v>
      </c>
      <c r="AJ204" s="817" t="s">
        <v>538</v>
      </c>
      <c r="AK204" s="817">
        <v>2015</v>
      </c>
      <c r="AL204" s="874" t="s">
        <v>72</v>
      </c>
      <c r="AM204" s="874">
        <v>4</v>
      </c>
      <c r="AN204" s="1114">
        <v>71698669</v>
      </c>
      <c r="AO204" s="1112">
        <v>8.6999999999999994E-2</v>
      </c>
      <c r="AP204" s="817"/>
      <c r="AQ204" s="817" t="s">
        <v>3</v>
      </c>
      <c r="AR204" s="817" t="s">
        <v>612</v>
      </c>
      <c r="AS204" s="874" t="s">
        <v>29</v>
      </c>
      <c r="AT204" s="874">
        <v>3</v>
      </c>
      <c r="AU204" s="1114">
        <v>306821318.5</v>
      </c>
      <c r="AV204" s="1113">
        <v>9.0366188700795796E-2</v>
      </c>
      <c r="AW204" s="817">
        <v>2011</v>
      </c>
    </row>
    <row r="205" spans="1:49">
      <c r="A205" s="798">
        <f t="shared" si="6"/>
        <v>1987</v>
      </c>
      <c r="B205" s="798">
        <f t="shared" si="7"/>
        <v>2</v>
      </c>
      <c r="C205" s="1105">
        <v>31898</v>
      </c>
      <c r="D205" s="934">
        <v>174.06419934483438</v>
      </c>
      <c r="E205" s="1100">
        <v>648.95000000000005</v>
      </c>
      <c r="F205" s="1100">
        <v>461.8</v>
      </c>
      <c r="G205" s="1101"/>
      <c r="H205" s="935"/>
      <c r="I205" s="1101"/>
      <c r="J205" s="1101"/>
      <c r="K205" s="936">
        <v>6189.5053944234296</v>
      </c>
      <c r="L205" s="936">
        <v>4417.45</v>
      </c>
      <c r="M205" s="936"/>
      <c r="N205" s="937"/>
      <c r="O205" s="938">
        <v>2130.46</v>
      </c>
      <c r="P205" s="938">
        <v>970.50042034468265</v>
      </c>
      <c r="Q205" s="938">
        <v>1174.656438279389</v>
      </c>
      <c r="R205" s="939">
        <v>17.274999999999999</v>
      </c>
      <c r="S205" s="940">
        <v>651</v>
      </c>
      <c r="T205" s="940">
        <v>235</v>
      </c>
      <c r="U205" s="1756"/>
      <c r="V205" s="1323"/>
      <c r="W205" s="1323"/>
      <c r="X205" s="538">
        <v>0.7137</v>
      </c>
      <c r="AJ205" s="817" t="s">
        <v>538</v>
      </c>
      <c r="AK205" s="817">
        <v>2015</v>
      </c>
      <c r="AL205" s="874" t="s">
        <v>37</v>
      </c>
      <c r="AM205" s="874">
        <v>5</v>
      </c>
      <c r="AN205" s="1114">
        <v>47454536</v>
      </c>
      <c r="AO205" s="1112">
        <v>5.7000000000000002E-2</v>
      </c>
      <c r="AP205" s="817"/>
      <c r="AQ205" s="817" t="s">
        <v>3</v>
      </c>
      <c r="AR205" s="817" t="s">
        <v>612</v>
      </c>
      <c r="AS205" s="874" t="s">
        <v>41</v>
      </c>
      <c r="AT205" s="874">
        <v>4</v>
      </c>
      <c r="AU205" s="1114">
        <v>278704769.19999999</v>
      </c>
      <c r="AV205" s="1113">
        <v>8.2085195019911697E-2</v>
      </c>
      <c r="AW205" s="817">
        <v>2011</v>
      </c>
    </row>
    <row r="206" spans="1:49">
      <c r="A206" s="798">
        <f t="shared" si="6"/>
        <v>1987</v>
      </c>
      <c r="B206" s="798">
        <f t="shared" si="7"/>
        <v>2</v>
      </c>
      <c r="C206" s="1105">
        <v>31929</v>
      </c>
      <c r="D206" s="805">
        <v>196.57400826908034</v>
      </c>
      <c r="E206" s="1102">
        <v>628.23</v>
      </c>
      <c r="F206" s="1102">
        <v>449.43</v>
      </c>
      <c r="G206" s="1103"/>
      <c r="H206" s="805"/>
      <c r="I206" s="1103"/>
      <c r="J206" s="1103"/>
      <c r="K206" s="84">
        <v>6148.1327224767501</v>
      </c>
      <c r="L206" s="84">
        <v>4428.5</v>
      </c>
      <c r="M206" s="84"/>
      <c r="N206" s="805"/>
      <c r="O206" s="941">
        <v>2183.1999999999998</v>
      </c>
      <c r="P206" s="941">
        <v>873.36368318756081</v>
      </c>
      <c r="Q206" s="941">
        <v>1219.2054713313896</v>
      </c>
      <c r="R206" s="805">
        <v>17.274999999999999</v>
      </c>
      <c r="S206" s="805">
        <v>651</v>
      </c>
      <c r="T206" s="805">
        <v>295</v>
      </c>
      <c r="U206" s="805"/>
      <c r="V206" s="805"/>
      <c r="W206" s="805"/>
      <c r="X206" s="5">
        <v>0.72030000000000005</v>
      </c>
      <c r="AJ206" s="817" t="s">
        <v>538</v>
      </c>
      <c r="AK206" s="817">
        <v>2015</v>
      </c>
      <c r="AL206" s="874" t="s">
        <v>27</v>
      </c>
      <c r="AM206" s="874">
        <v>6</v>
      </c>
      <c r="AN206" s="1114">
        <v>43094645</v>
      </c>
      <c r="AO206" s="1112">
        <v>5.1999999999999998E-2</v>
      </c>
      <c r="AP206" s="817"/>
      <c r="AQ206" s="817" t="s">
        <v>3</v>
      </c>
      <c r="AR206" s="817" t="s">
        <v>612</v>
      </c>
      <c r="AS206" s="874" t="s">
        <v>31</v>
      </c>
      <c r="AT206" s="874">
        <v>5</v>
      </c>
      <c r="AU206" s="1114">
        <v>194245387.30000001</v>
      </c>
      <c r="AV206" s="1113">
        <v>5.7209894699709288E-2</v>
      </c>
      <c r="AW206" s="817">
        <v>2011</v>
      </c>
    </row>
    <row r="207" spans="1:49">
      <c r="A207" s="798">
        <f t="shared" si="6"/>
        <v>1987</v>
      </c>
      <c r="B207" s="798">
        <f t="shared" si="7"/>
        <v>3</v>
      </c>
      <c r="C207" s="1105">
        <v>31959</v>
      </c>
      <c r="D207" s="934">
        <v>183.36786967389699</v>
      </c>
      <c r="E207" s="1100">
        <v>637.9</v>
      </c>
      <c r="F207" s="1100">
        <v>450.4</v>
      </c>
      <c r="G207" s="1101"/>
      <c r="H207" s="935"/>
      <c r="I207" s="1101"/>
      <c r="J207" s="1101"/>
      <c r="K207" s="936">
        <v>6786.8157065061596</v>
      </c>
      <c r="L207" s="936">
        <v>4735.84</v>
      </c>
      <c r="M207" s="936"/>
      <c r="N207" s="937"/>
      <c r="O207" s="938">
        <v>2428.83</v>
      </c>
      <c r="P207" s="938">
        <v>950.41316279736316</v>
      </c>
      <c r="Q207" s="938">
        <v>1188.4144296359991</v>
      </c>
      <c r="R207" s="939">
        <v>17.274999999999999</v>
      </c>
      <c r="S207" s="940">
        <v>651</v>
      </c>
      <c r="T207" s="940">
        <v>295</v>
      </c>
      <c r="U207" s="1756"/>
      <c r="V207" s="1323"/>
      <c r="W207" s="1323"/>
      <c r="X207" s="538">
        <v>0.69779999999999998</v>
      </c>
      <c r="AJ207" s="817" t="s">
        <v>538</v>
      </c>
      <c r="AK207" s="817">
        <v>2015</v>
      </c>
      <c r="AL207" s="874" t="s">
        <v>433</v>
      </c>
      <c r="AM207" s="874">
        <v>7</v>
      </c>
      <c r="AN207" s="1114">
        <v>20761451</v>
      </c>
      <c r="AO207" s="1112">
        <v>2.5000000000000001E-2</v>
      </c>
      <c r="AP207" s="817"/>
      <c r="AQ207" s="817" t="s">
        <v>3</v>
      </c>
      <c r="AR207" s="817" t="s">
        <v>612</v>
      </c>
      <c r="AS207" s="874" t="s">
        <v>33</v>
      </c>
      <c r="AT207" s="874">
        <v>6</v>
      </c>
      <c r="AU207" s="1114">
        <v>176459091</v>
      </c>
      <c r="AV207" s="1113">
        <v>5.197140665855296E-2</v>
      </c>
      <c r="AW207" s="817">
        <v>2011</v>
      </c>
    </row>
    <row r="208" spans="1:49">
      <c r="A208" s="798">
        <f t="shared" si="6"/>
        <v>1987</v>
      </c>
      <c r="B208" s="798">
        <f t="shared" si="7"/>
        <v>3</v>
      </c>
      <c r="C208" s="1105">
        <v>31990</v>
      </c>
      <c r="D208" s="805">
        <v>180.58054158009512</v>
      </c>
      <c r="E208" s="1102">
        <v>656.25</v>
      </c>
      <c r="F208" s="1102">
        <v>461.9</v>
      </c>
      <c r="G208" s="1103"/>
      <c r="H208" s="805"/>
      <c r="I208" s="1103"/>
      <c r="J208" s="1103"/>
      <c r="K208" s="84">
        <v>7425.92644581696</v>
      </c>
      <c r="L208" s="84">
        <v>5290.23</v>
      </c>
      <c r="M208" s="84"/>
      <c r="N208" s="805"/>
      <c r="O208" s="941">
        <v>2457.67</v>
      </c>
      <c r="P208" s="941">
        <v>922.0224901740595</v>
      </c>
      <c r="Q208" s="941">
        <v>1124.7268079730488</v>
      </c>
      <c r="R208" s="805">
        <v>16.8</v>
      </c>
      <c r="S208" s="805">
        <v>651</v>
      </c>
      <c r="T208" s="805">
        <v>295</v>
      </c>
      <c r="U208" s="805"/>
      <c r="V208" s="805"/>
      <c r="W208" s="805"/>
      <c r="X208" s="5">
        <v>0.71240000000000003</v>
      </c>
      <c r="AJ208" s="817" t="s">
        <v>538</v>
      </c>
      <c r="AK208" s="817">
        <v>2015</v>
      </c>
      <c r="AL208" s="874" t="s">
        <v>84</v>
      </c>
      <c r="AM208" s="874">
        <v>8</v>
      </c>
      <c r="AN208" s="1114">
        <v>19236583</v>
      </c>
      <c r="AO208" s="1112">
        <v>2.3E-2</v>
      </c>
      <c r="AP208" s="817"/>
      <c r="AQ208" s="817" t="s">
        <v>3</v>
      </c>
      <c r="AR208" s="817" t="s">
        <v>612</v>
      </c>
      <c r="AS208" s="874" t="s">
        <v>69</v>
      </c>
      <c r="AT208" s="874">
        <v>7</v>
      </c>
      <c r="AU208" s="1114">
        <v>154439391</v>
      </c>
      <c r="AV208" s="1113">
        <v>4.5486080361596466E-2</v>
      </c>
      <c r="AW208" s="817">
        <v>2011</v>
      </c>
    </row>
    <row r="209" spans="1:49">
      <c r="A209" s="798">
        <f t="shared" si="6"/>
        <v>1987</v>
      </c>
      <c r="B209" s="798">
        <f t="shared" si="7"/>
        <v>3</v>
      </c>
      <c r="C209" s="1105">
        <v>32021</v>
      </c>
      <c r="D209" s="934">
        <v>192.95420002748608</v>
      </c>
      <c r="E209" s="1100">
        <v>634.4</v>
      </c>
      <c r="F209" s="1100">
        <v>459.9</v>
      </c>
      <c r="G209" s="1101"/>
      <c r="H209" s="935"/>
      <c r="I209" s="1101"/>
      <c r="J209" s="1101"/>
      <c r="K209" s="936">
        <v>7384.1812621629097</v>
      </c>
      <c r="L209" s="936">
        <v>5312.18</v>
      </c>
      <c r="M209" s="936"/>
      <c r="N209" s="937"/>
      <c r="O209" s="938">
        <v>2516.19</v>
      </c>
      <c r="P209" s="938">
        <v>898.1201070336391</v>
      </c>
      <c r="Q209" s="938">
        <v>1050.5689602446482</v>
      </c>
      <c r="R209" s="939">
        <v>16.8</v>
      </c>
      <c r="S209" s="940">
        <v>651</v>
      </c>
      <c r="T209" s="940">
        <v>295</v>
      </c>
      <c r="U209" s="1756"/>
      <c r="V209" s="1323"/>
      <c r="W209" s="1323"/>
      <c r="X209" s="538">
        <v>0.71940000000000004</v>
      </c>
      <c r="AJ209" s="817" t="s">
        <v>538</v>
      </c>
      <c r="AK209" s="817">
        <v>2015</v>
      </c>
      <c r="AL209" s="874" t="s">
        <v>29</v>
      </c>
      <c r="AM209" s="874">
        <v>9</v>
      </c>
      <c r="AN209" s="1114">
        <v>18266306</v>
      </c>
      <c r="AO209" s="1112">
        <v>2.1999999999999999E-2</v>
      </c>
      <c r="AP209" s="817"/>
      <c r="AQ209" s="817" t="s">
        <v>3</v>
      </c>
      <c r="AR209" s="817" t="s">
        <v>612</v>
      </c>
      <c r="AS209" s="874" t="s">
        <v>66</v>
      </c>
      <c r="AT209" s="874">
        <v>8</v>
      </c>
      <c r="AU209" s="1114">
        <v>148469866.09999999</v>
      </c>
      <c r="AV209" s="1113">
        <v>4.3727913047132298E-2</v>
      </c>
      <c r="AW209" s="817">
        <v>2011</v>
      </c>
    </row>
    <row r="210" spans="1:49">
      <c r="A210" s="798">
        <f t="shared" si="6"/>
        <v>1987</v>
      </c>
      <c r="B210" s="798">
        <f t="shared" si="7"/>
        <v>4</v>
      </c>
      <c r="C210" s="1105">
        <v>32051</v>
      </c>
      <c r="D210" s="805">
        <v>188.23905315004043</v>
      </c>
      <c r="E210" s="1102">
        <v>653</v>
      </c>
      <c r="F210" s="1102">
        <v>465.1</v>
      </c>
      <c r="G210" s="1103"/>
      <c r="H210" s="805"/>
      <c r="I210" s="1103"/>
      <c r="J210" s="1103"/>
      <c r="K210" s="84">
        <v>8390.1879532336807</v>
      </c>
      <c r="L210" s="84">
        <v>5669.25</v>
      </c>
      <c r="M210" s="84"/>
      <c r="N210" s="805"/>
      <c r="O210" s="941">
        <v>2907.53</v>
      </c>
      <c r="P210" s="941">
        <v>888.61597898475679</v>
      </c>
      <c r="Q210" s="941">
        <v>1137.719520497262</v>
      </c>
      <c r="R210" s="805">
        <v>18.399999999999999</v>
      </c>
      <c r="S210" s="805">
        <v>651</v>
      </c>
      <c r="T210" s="805">
        <v>295</v>
      </c>
      <c r="U210" s="805"/>
      <c r="V210" s="805"/>
      <c r="W210" s="805"/>
      <c r="X210" s="5">
        <v>0.67569999999999997</v>
      </c>
      <c r="AJ210" s="817" t="s">
        <v>538</v>
      </c>
      <c r="AK210" s="817">
        <v>2015</v>
      </c>
      <c r="AL210" s="874" t="s">
        <v>39</v>
      </c>
      <c r="AM210" s="874">
        <v>10</v>
      </c>
      <c r="AN210" s="1114">
        <v>18025222</v>
      </c>
      <c r="AO210" s="1112">
        <v>2.1999999999999999E-2</v>
      </c>
      <c r="AP210" s="817"/>
      <c r="AQ210" s="817" t="s">
        <v>3</v>
      </c>
      <c r="AR210" s="817" t="s">
        <v>612</v>
      </c>
      <c r="AS210" s="874" t="s">
        <v>63</v>
      </c>
      <c r="AT210" s="874">
        <v>9</v>
      </c>
      <c r="AU210" s="1114">
        <v>84380468.950000003</v>
      </c>
      <c r="AV210" s="1113">
        <v>2.4852058576227458E-2</v>
      </c>
      <c r="AW210" s="817">
        <v>2011</v>
      </c>
    </row>
    <row r="211" spans="1:49">
      <c r="A211" s="798">
        <f t="shared" si="6"/>
        <v>1987</v>
      </c>
      <c r="B211" s="798">
        <f t="shared" si="7"/>
        <v>4</v>
      </c>
      <c r="C211" s="1105">
        <v>32082</v>
      </c>
      <c r="D211" s="934">
        <v>189.59601572327477</v>
      </c>
      <c r="E211" s="1100">
        <v>685.45</v>
      </c>
      <c r="F211" s="1100">
        <v>467.95</v>
      </c>
      <c r="G211" s="1101"/>
      <c r="H211" s="935"/>
      <c r="I211" s="1101"/>
      <c r="J211" s="1101"/>
      <c r="K211" s="936">
        <v>8451.3613159387405</v>
      </c>
      <c r="L211" s="936">
        <v>5959.9</v>
      </c>
      <c r="M211" s="936"/>
      <c r="N211" s="937"/>
      <c r="O211" s="938">
        <v>3574.28</v>
      </c>
      <c r="P211" s="938">
        <v>909.62637549631302</v>
      </c>
      <c r="Q211" s="938">
        <v>1201.0290300623935</v>
      </c>
      <c r="R211" s="939">
        <v>18.2</v>
      </c>
      <c r="S211" s="940">
        <v>585</v>
      </c>
      <c r="T211" s="940">
        <v>295</v>
      </c>
      <c r="U211" s="1756"/>
      <c r="V211" s="1323"/>
      <c r="W211" s="1323"/>
      <c r="X211" s="538">
        <v>0.70520000000000005</v>
      </c>
      <c r="AJ211" s="817" t="s">
        <v>538</v>
      </c>
      <c r="AK211" s="817">
        <v>2015</v>
      </c>
      <c r="AL211" s="874" t="s">
        <v>45</v>
      </c>
      <c r="AM211" s="874"/>
      <c r="AN211" s="1114">
        <v>89740829</v>
      </c>
      <c r="AO211" s="1112">
        <v>0.109</v>
      </c>
      <c r="AP211" s="817"/>
      <c r="AQ211" s="817" t="s">
        <v>3</v>
      </c>
      <c r="AR211" s="817" t="s">
        <v>612</v>
      </c>
      <c r="AS211" s="874" t="s">
        <v>70</v>
      </c>
      <c r="AT211" s="874">
        <v>10</v>
      </c>
      <c r="AU211" s="1114">
        <v>71716279.379999995</v>
      </c>
      <c r="AV211" s="1113">
        <v>2.1122153007670067E-2</v>
      </c>
      <c r="AW211" s="817">
        <v>2011</v>
      </c>
    </row>
    <row r="212" spans="1:49">
      <c r="A212" s="798">
        <f t="shared" si="6"/>
        <v>1987</v>
      </c>
      <c r="B212" s="798">
        <f t="shared" si="7"/>
        <v>4</v>
      </c>
      <c r="C212" s="1105">
        <v>32112</v>
      </c>
      <c r="D212" s="805">
        <v>190.20646483152515</v>
      </c>
      <c r="E212" s="1102">
        <v>686.37</v>
      </c>
      <c r="F212" s="1102">
        <v>489.49</v>
      </c>
      <c r="G212" s="1103"/>
      <c r="H212" s="805"/>
      <c r="I212" s="1103"/>
      <c r="J212" s="1103"/>
      <c r="K212" s="84">
        <v>10491.549295774599</v>
      </c>
      <c r="L212" s="84">
        <v>7449</v>
      </c>
      <c r="M212" s="84"/>
      <c r="N212" s="805"/>
      <c r="O212" s="941">
        <v>4033.02</v>
      </c>
      <c r="P212" s="941">
        <v>926.66885633802826</v>
      </c>
      <c r="Q212" s="941">
        <v>1218.1900845070425</v>
      </c>
      <c r="R212" s="805">
        <v>17.549999999999997</v>
      </c>
      <c r="S212" s="805">
        <v>585</v>
      </c>
      <c r="T212" s="805">
        <v>295</v>
      </c>
      <c r="U212" s="805"/>
      <c r="V212" s="805"/>
      <c r="W212" s="805"/>
      <c r="X212" s="5">
        <v>0.71</v>
      </c>
      <c r="AJ212" s="817" t="s">
        <v>538</v>
      </c>
      <c r="AK212" s="817">
        <v>2015</v>
      </c>
      <c r="AL212" s="874" t="s">
        <v>452</v>
      </c>
      <c r="AM212" s="874"/>
      <c r="AN212" s="1114">
        <v>825915506</v>
      </c>
      <c r="AO212" s="1112"/>
      <c r="AP212" s="817"/>
      <c r="AQ212" s="817" t="s">
        <v>3</v>
      </c>
      <c r="AR212" s="817" t="s">
        <v>612</v>
      </c>
      <c r="AS212" s="874" t="s">
        <v>45</v>
      </c>
      <c r="AT212" s="874"/>
      <c r="AU212" s="1114">
        <v>322698890.26999998</v>
      </c>
      <c r="AV212" s="1113">
        <v>9.5042511890112411E-2</v>
      </c>
      <c r="AW212" s="817">
        <v>2011</v>
      </c>
    </row>
    <row r="213" spans="1:49">
      <c r="A213" s="798">
        <f t="shared" si="6"/>
        <v>1988</v>
      </c>
      <c r="B213" s="798">
        <f t="shared" si="7"/>
        <v>1</v>
      </c>
      <c r="C213" s="1105">
        <v>32143</v>
      </c>
      <c r="D213" s="934">
        <v>206.99</v>
      </c>
      <c r="E213" s="1100">
        <v>675.95</v>
      </c>
      <c r="F213" s="1100">
        <v>477.15</v>
      </c>
      <c r="G213" s="1101"/>
      <c r="H213" s="935"/>
      <c r="I213" s="1101"/>
      <c r="J213" s="1101"/>
      <c r="K213" s="936">
        <v>11180.182712579101</v>
      </c>
      <c r="L213" s="936">
        <v>7954.7</v>
      </c>
      <c r="M213" s="936"/>
      <c r="N213" s="937"/>
      <c r="O213" s="938">
        <v>3780.32</v>
      </c>
      <c r="P213" s="938">
        <v>937.89177793394231</v>
      </c>
      <c r="Q213" s="938">
        <v>1233.0147575544622</v>
      </c>
      <c r="R213" s="939">
        <v>16.3</v>
      </c>
      <c r="S213" s="940">
        <v>625</v>
      </c>
      <c r="T213" s="940">
        <v>220</v>
      </c>
      <c r="U213" s="1756"/>
      <c r="V213" s="1323"/>
      <c r="W213" s="1323"/>
      <c r="X213" s="538">
        <v>0.71150000000000002</v>
      </c>
      <c r="AJ213" s="817" t="s">
        <v>538</v>
      </c>
      <c r="AK213" s="817">
        <v>2014</v>
      </c>
      <c r="AL213" s="874" t="s">
        <v>24</v>
      </c>
      <c r="AM213" s="874">
        <v>1</v>
      </c>
      <c r="AN213" s="1114">
        <v>202748311</v>
      </c>
      <c r="AO213" s="1112">
        <v>0.35</v>
      </c>
      <c r="AP213" s="817"/>
      <c r="AQ213" s="817" t="s">
        <v>3</v>
      </c>
      <c r="AR213" s="817" t="s">
        <v>612</v>
      </c>
      <c r="AS213" s="874" t="s">
        <v>452</v>
      </c>
      <c r="AT213" s="874"/>
      <c r="AU213" s="1114">
        <v>3395311044</v>
      </c>
      <c r="AV213" s="874"/>
      <c r="AW213" s="817">
        <v>2011</v>
      </c>
    </row>
    <row r="214" spans="1:49">
      <c r="A214" s="798">
        <f t="shared" si="6"/>
        <v>1988</v>
      </c>
      <c r="B214" s="798">
        <f t="shared" si="7"/>
        <v>1</v>
      </c>
      <c r="C214" s="1105">
        <v>32174</v>
      </c>
      <c r="D214" s="805">
        <v>209.96</v>
      </c>
      <c r="E214" s="1102">
        <v>623.07000000000005</v>
      </c>
      <c r="F214" s="1102">
        <v>443.37</v>
      </c>
      <c r="G214" s="1103"/>
      <c r="H214" s="805"/>
      <c r="I214" s="1103"/>
      <c r="J214" s="1103"/>
      <c r="K214" s="84">
        <v>12500</v>
      </c>
      <c r="L214" s="84">
        <v>8892.5</v>
      </c>
      <c r="M214" s="84"/>
      <c r="N214" s="805"/>
      <c r="O214" s="941">
        <v>3271.86</v>
      </c>
      <c r="P214" s="941">
        <v>920.98678661793645</v>
      </c>
      <c r="Q214" s="941">
        <v>1229.9690750632556</v>
      </c>
      <c r="R214" s="805">
        <v>16.100000000000001</v>
      </c>
      <c r="S214" s="805">
        <v>625</v>
      </c>
      <c r="T214" s="805">
        <v>220</v>
      </c>
      <c r="U214" s="805"/>
      <c r="V214" s="805"/>
      <c r="W214" s="805"/>
      <c r="X214" s="5">
        <v>0.71140000000000003</v>
      </c>
      <c r="AJ214" s="817" t="s">
        <v>538</v>
      </c>
      <c r="AK214" s="817">
        <v>2014</v>
      </c>
      <c r="AL214" s="874" t="s">
        <v>41</v>
      </c>
      <c r="AM214" s="874">
        <v>2</v>
      </c>
      <c r="AN214" s="1114">
        <v>121817703</v>
      </c>
      <c r="AO214" s="1112">
        <v>0.21</v>
      </c>
      <c r="AP214" s="817"/>
      <c r="AQ214" s="817" t="s">
        <v>3</v>
      </c>
      <c r="AR214" s="817" t="s">
        <v>611</v>
      </c>
      <c r="AS214" s="874" t="s">
        <v>24</v>
      </c>
      <c r="AT214" s="874">
        <v>1</v>
      </c>
      <c r="AU214" s="1114">
        <v>1822792946</v>
      </c>
      <c r="AV214" s="1113">
        <v>0.47899999999999998</v>
      </c>
      <c r="AW214" s="817">
        <v>2010</v>
      </c>
    </row>
    <row r="215" spans="1:49">
      <c r="A215" s="798">
        <f t="shared" si="6"/>
        <v>1988</v>
      </c>
      <c r="B215" s="798">
        <f t="shared" si="7"/>
        <v>1</v>
      </c>
      <c r="C215" s="1105">
        <v>32203</v>
      </c>
      <c r="D215" s="934">
        <v>216.42</v>
      </c>
      <c r="E215" s="1100">
        <v>607.74</v>
      </c>
      <c r="F215" s="1100">
        <v>443.87</v>
      </c>
      <c r="G215" s="1101"/>
      <c r="H215" s="935"/>
      <c r="I215" s="1101"/>
      <c r="J215" s="1101"/>
      <c r="K215" s="936">
        <v>20245.030843043201</v>
      </c>
      <c r="L215" s="936">
        <v>14768.75</v>
      </c>
      <c r="M215" s="936"/>
      <c r="N215" s="937"/>
      <c r="O215" s="938">
        <v>3383.14</v>
      </c>
      <c r="P215" s="938">
        <v>929.67786154900614</v>
      </c>
      <c r="Q215" s="938">
        <v>1408.2248115147361</v>
      </c>
      <c r="R215" s="939">
        <v>16.100000000000001</v>
      </c>
      <c r="S215" s="940">
        <v>625</v>
      </c>
      <c r="T215" s="940">
        <v>220</v>
      </c>
      <c r="U215" s="1756"/>
      <c r="V215" s="1323"/>
      <c r="W215" s="1323"/>
      <c r="X215" s="538">
        <v>0.72950000000000004</v>
      </c>
      <c r="AJ215" s="817" t="s">
        <v>538</v>
      </c>
      <c r="AK215" s="817">
        <v>2014</v>
      </c>
      <c r="AL215" s="874" t="s">
        <v>33</v>
      </c>
      <c r="AM215" s="874">
        <v>3</v>
      </c>
      <c r="AN215" s="1114">
        <v>63088829</v>
      </c>
      <c r="AO215" s="1112">
        <v>0.109</v>
      </c>
      <c r="AP215" s="817"/>
      <c r="AQ215" s="817" t="s">
        <v>3</v>
      </c>
      <c r="AR215" s="817" t="s">
        <v>611</v>
      </c>
      <c r="AS215" s="874" t="s">
        <v>29</v>
      </c>
      <c r="AT215" s="874">
        <v>2</v>
      </c>
      <c r="AU215" s="1114">
        <v>374661771</v>
      </c>
      <c r="AV215" s="1113">
        <v>9.8000000000000004E-2</v>
      </c>
      <c r="AW215" s="817">
        <v>2010</v>
      </c>
    </row>
    <row r="216" spans="1:49">
      <c r="A216" s="798">
        <f t="shared" si="6"/>
        <v>1988</v>
      </c>
      <c r="B216" s="798">
        <f t="shared" si="7"/>
        <v>2</v>
      </c>
      <c r="C216" s="1105">
        <v>32234</v>
      </c>
      <c r="D216" s="805">
        <v>224.04</v>
      </c>
      <c r="E216" s="1102">
        <v>606.4</v>
      </c>
      <c r="F216" s="1102">
        <v>451.85</v>
      </c>
      <c r="G216" s="1103"/>
      <c r="H216" s="805"/>
      <c r="I216" s="1103"/>
      <c r="J216" s="1103"/>
      <c r="K216" s="84">
        <v>25009.393451422398</v>
      </c>
      <c r="L216" s="84">
        <v>18637</v>
      </c>
      <c r="M216" s="84"/>
      <c r="N216" s="805"/>
      <c r="O216" s="941">
        <v>2624.8</v>
      </c>
      <c r="P216" s="941">
        <v>747.54428341384869</v>
      </c>
      <c r="Q216" s="941">
        <v>1436.7954911433173</v>
      </c>
      <c r="R216" s="805">
        <v>15.7</v>
      </c>
      <c r="S216" s="805">
        <v>655</v>
      </c>
      <c r="T216" s="805">
        <v>340</v>
      </c>
      <c r="U216" s="805"/>
      <c r="V216" s="805"/>
      <c r="W216" s="805"/>
      <c r="X216" s="5">
        <v>0.74519999999999997</v>
      </c>
      <c r="AJ216" s="817" t="s">
        <v>538</v>
      </c>
      <c r="AK216" s="817">
        <v>2014</v>
      </c>
      <c r="AL216" s="874" t="s">
        <v>72</v>
      </c>
      <c r="AM216" s="874">
        <v>4</v>
      </c>
      <c r="AN216" s="1114">
        <v>38611341</v>
      </c>
      <c r="AO216" s="1112">
        <v>6.7000000000000004E-2</v>
      </c>
      <c r="AP216" s="817"/>
      <c r="AQ216" s="817" t="s">
        <v>3</v>
      </c>
      <c r="AR216" s="817" t="s">
        <v>611</v>
      </c>
      <c r="AS216" s="874" t="s">
        <v>41</v>
      </c>
      <c r="AT216" s="874">
        <v>3</v>
      </c>
      <c r="AU216" s="1114">
        <v>362551199</v>
      </c>
      <c r="AV216" s="1113">
        <v>9.5000000000000001E-2</v>
      </c>
      <c r="AW216" s="817">
        <v>2010</v>
      </c>
    </row>
    <row r="217" spans="1:49">
      <c r="A217" s="798">
        <f t="shared" si="6"/>
        <v>1988</v>
      </c>
      <c r="B217" s="798">
        <f t="shared" si="7"/>
        <v>2</v>
      </c>
      <c r="C217" s="1105">
        <v>32264</v>
      </c>
      <c r="D217" s="934">
        <v>218.67</v>
      </c>
      <c r="E217" s="1100">
        <v>582.62</v>
      </c>
      <c r="F217" s="1100">
        <v>451.44</v>
      </c>
      <c r="G217" s="1101"/>
      <c r="H217" s="935"/>
      <c r="I217" s="1101"/>
      <c r="J217" s="1101"/>
      <c r="K217" s="936">
        <v>22043.701799485902</v>
      </c>
      <c r="L217" s="936">
        <v>17150</v>
      </c>
      <c r="M217" s="936"/>
      <c r="N217" s="937"/>
      <c r="O217" s="938">
        <v>2987.53</v>
      </c>
      <c r="P217" s="938">
        <v>819.06169665809773</v>
      </c>
      <c r="Q217" s="938">
        <v>1513.6246786632389</v>
      </c>
      <c r="R217" s="939">
        <v>15.4</v>
      </c>
      <c r="S217" s="940">
        <v>655</v>
      </c>
      <c r="T217" s="940">
        <v>340</v>
      </c>
      <c r="U217" s="1756"/>
      <c r="V217" s="1323"/>
      <c r="W217" s="1323"/>
      <c r="X217" s="538">
        <v>0.77800000000000002</v>
      </c>
      <c r="AJ217" s="817" t="s">
        <v>538</v>
      </c>
      <c r="AK217" s="817">
        <v>2014</v>
      </c>
      <c r="AL217" s="874" t="s">
        <v>27</v>
      </c>
      <c r="AM217" s="874">
        <v>5</v>
      </c>
      <c r="AN217" s="1114">
        <v>36727188</v>
      </c>
      <c r="AO217" s="1112">
        <v>6.3E-2</v>
      </c>
      <c r="AP217" s="817"/>
      <c r="AQ217" s="817" t="s">
        <v>3</v>
      </c>
      <c r="AR217" s="817" t="s">
        <v>611</v>
      </c>
      <c r="AS217" s="874" t="s">
        <v>65</v>
      </c>
      <c r="AT217" s="874">
        <v>4</v>
      </c>
      <c r="AU217" s="1114">
        <v>279950512</v>
      </c>
      <c r="AV217" s="1113">
        <v>7.3999999999999996E-2</v>
      </c>
      <c r="AW217" s="817">
        <v>2010</v>
      </c>
    </row>
    <row r="218" spans="1:49">
      <c r="A218" s="798">
        <f t="shared" si="6"/>
        <v>1988</v>
      </c>
      <c r="B218" s="798">
        <f t="shared" si="7"/>
        <v>2</v>
      </c>
      <c r="C218" s="1105">
        <v>32295</v>
      </c>
      <c r="D218" s="805">
        <v>192.07</v>
      </c>
      <c r="E218" s="1102">
        <v>560.03</v>
      </c>
      <c r="F218" s="1102">
        <v>451.75</v>
      </c>
      <c r="G218" s="1103"/>
      <c r="H218" s="805"/>
      <c r="I218" s="1103"/>
      <c r="J218" s="1103"/>
      <c r="K218" s="84">
        <v>19545.285590385301</v>
      </c>
      <c r="L218" s="84">
        <v>15775</v>
      </c>
      <c r="M218" s="84"/>
      <c r="N218" s="805"/>
      <c r="O218" s="941">
        <v>3152.03</v>
      </c>
      <c r="P218" s="941">
        <v>840.14372444554579</v>
      </c>
      <c r="Q218" s="941">
        <v>1695.0811547515796</v>
      </c>
      <c r="R218" s="805">
        <v>15.1</v>
      </c>
      <c r="S218" s="805">
        <v>655</v>
      </c>
      <c r="T218" s="805">
        <v>340</v>
      </c>
      <c r="U218" s="805"/>
      <c r="V218" s="805"/>
      <c r="W218" s="805"/>
      <c r="X218" s="5">
        <v>0.80710000000000004</v>
      </c>
      <c r="AJ218" s="817" t="s">
        <v>538</v>
      </c>
      <c r="AK218" s="817">
        <v>2014</v>
      </c>
      <c r="AL218" s="874" t="s">
        <v>31</v>
      </c>
      <c r="AM218" s="874">
        <v>6</v>
      </c>
      <c r="AN218" s="1114">
        <v>17053371</v>
      </c>
      <c r="AO218" s="1112">
        <v>2.9000000000000001E-2</v>
      </c>
      <c r="AP218" s="817"/>
      <c r="AQ218" s="817" t="s">
        <v>3</v>
      </c>
      <c r="AR218" s="817" t="s">
        <v>611</v>
      </c>
      <c r="AS218" s="874" t="s">
        <v>33</v>
      </c>
      <c r="AT218" s="874">
        <v>5</v>
      </c>
      <c r="AU218" s="1114">
        <v>232021189</v>
      </c>
      <c r="AV218" s="1113">
        <v>6.0999999999999999E-2</v>
      </c>
      <c r="AW218" s="817">
        <v>2010</v>
      </c>
    </row>
    <row r="219" spans="1:49">
      <c r="A219" s="798">
        <f t="shared" si="6"/>
        <v>1988</v>
      </c>
      <c r="B219" s="798">
        <f t="shared" si="7"/>
        <v>3</v>
      </c>
      <c r="C219" s="1105">
        <v>32325</v>
      </c>
      <c r="D219" s="934">
        <v>222.49</v>
      </c>
      <c r="E219" s="1100">
        <v>549.46</v>
      </c>
      <c r="F219" s="1100">
        <v>437.94</v>
      </c>
      <c r="G219" s="1101"/>
      <c r="H219" s="935"/>
      <c r="I219" s="1101"/>
      <c r="J219" s="1101"/>
      <c r="K219" s="936">
        <v>18101.30515848353</v>
      </c>
      <c r="L219" s="936">
        <v>14562.5</v>
      </c>
      <c r="M219" s="936"/>
      <c r="N219" s="937"/>
      <c r="O219" s="938">
        <v>2751.03</v>
      </c>
      <c r="P219" s="938">
        <v>769.63331261653195</v>
      </c>
      <c r="Q219" s="938">
        <v>1537.8495960223743</v>
      </c>
      <c r="R219" s="939">
        <v>14.7</v>
      </c>
      <c r="S219" s="940">
        <v>655</v>
      </c>
      <c r="T219" s="940">
        <v>340</v>
      </c>
      <c r="U219" s="1756"/>
      <c r="V219" s="1323"/>
      <c r="W219" s="1323"/>
      <c r="X219" s="538">
        <v>0.80449999999999999</v>
      </c>
      <c r="AJ219" s="817" t="s">
        <v>538</v>
      </c>
      <c r="AK219" s="817">
        <v>2014</v>
      </c>
      <c r="AL219" s="874" t="s">
        <v>29</v>
      </c>
      <c r="AM219" s="874">
        <v>7</v>
      </c>
      <c r="AN219" s="1114">
        <v>13456446</v>
      </c>
      <c r="AO219" s="1112">
        <v>2.3E-2</v>
      </c>
      <c r="AP219" s="817"/>
      <c r="AQ219" s="817" t="s">
        <v>3</v>
      </c>
      <c r="AR219" s="817" t="s">
        <v>611</v>
      </c>
      <c r="AS219" s="874" t="s">
        <v>66</v>
      </c>
      <c r="AT219" s="874">
        <v>6</v>
      </c>
      <c r="AU219" s="1114">
        <v>166813133</v>
      </c>
      <c r="AV219" s="1113">
        <v>4.3999999999999997E-2</v>
      </c>
      <c r="AW219" s="817">
        <v>2010</v>
      </c>
    </row>
    <row r="220" spans="1:49">
      <c r="A220" s="798">
        <f t="shared" si="6"/>
        <v>1988</v>
      </c>
      <c r="B220" s="798">
        <f t="shared" si="7"/>
        <v>3</v>
      </c>
      <c r="C220" s="1105">
        <v>32356</v>
      </c>
      <c r="D220" s="805">
        <v>231.71</v>
      </c>
      <c r="E220" s="1102">
        <v>537.20000000000005</v>
      </c>
      <c r="F220" s="1102">
        <v>431.69</v>
      </c>
      <c r="G220" s="1103"/>
      <c r="H220" s="805"/>
      <c r="I220" s="1103"/>
      <c r="J220" s="1103"/>
      <c r="K220" s="84">
        <v>17657.082662039906</v>
      </c>
      <c r="L220" s="84">
        <v>14247.5</v>
      </c>
      <c r="M220" s="84"/>
      <c r="N220" s="805"/>
      <c r="O220" s="941">
        <v>2737.64</v>
      </c>
      <c r="P220" s="941">
        <v>747.08142272896282</v>
      </c>
      <c r="Q220" s="941">
        <v>1627.3391994051308</v>
      </c>
      <c r="R220" s="805">
        <v>14.1</v>
      </c>
      <c r="S220" s="805">
        <v>655</v>
      </c>
      <c r="T220" s="805">
        <v>340</v>
      </c>
      <c r="U220" s="805"/>
      <c r="V220" s="805"/>
      <c r="W220" s="805"/>
      <c r="X220" s="5">
        <v>0.80689999999999995</v>
      </c>
      <c r="AJ220" s="817" t="s">
        <v>538</v>
      </c>
      <c r="AK220" s="817">
        <v>2014</v>
      </c>
      <c r="AL220" s="874" t="s">
        <v>84</v>
      </c>
      <c r="AM220" s="874">
        <v>8</v>
      </c>
      <c r="AN220" s="1114">
        <v>12405372</v>
      </c>
      <c r="AO220" s="1112">
        <v>2.1000000000000001E-2</v>
      </c>
      <c r="AP220" s="817"/>
      <c r="AQ220" s="817" t="s">
        <v>3</v>
      </c>
      <c r="AR220" s="817" t="s">
        <v>611</v>
      </c>
      <c r="AS220" s="874" t="s">
        <v>63</v>
      </c>
      <c r="AT220" s="874">
        <v>7</v>
      </c>
      <c r="AU220" s="1114">
        <v>146245697</v>
      </c>
      <c r="AV220" s="1113">
        <v>3.7999999999999999E-2</v>
      </c>
      <c r="AW220" s="817">
        <v>2010</v>
      </c>
    </row>
    <row r="221" spans="1:49">
      <c r="A221" s="798">
        <f t="shared" si="6"/>
        <v>1988</v>
      </c>
      <c r="B221" s="798">
        <f t="shared" si="7"/>
        <v>3</v>
      </c>
      <c r="C221" s="1105">
        <v>32387</v>
      </c>
      <c r="D221" s="934">
        <v>210.6</v>
      </c>
      <c r="E221" s="1100">
        <v>524.69000000000005</v>
      </c>
      <c r="F221" s="1100">
        <v>415.08</v>
      </c>
      <c r="G221" s="1101"/>
      <c r="H221" s="935"/>
      <c r="I221" s="1101"/>
      <c r="J221" s="1101"/>
      <c r="K221" s="936">
        <v>15208.838932175246</v>
      </c>
      <c r="L221" s="936">
        <v>11907</v>
      </c>
      <c r="M221" s="936"/>
      <c r="N221" s="937"/>
      <c r="O221" s="938">
        <v>3108.95</v>
      </c>
      <c r="P221" s="938">
        <v>778.49022863711843</v>
      </c>
      <c r="Q221" s="938">
        <v>1699.195299527398</v>
      </c>
      <c r="R221" s="939">
        <v>13.7</v>
      </c>
      <c r="S221" s="940">
        <v>655</v>
      </c>
      <c r="T221" s="940">
        <v>340</v>
      </c>
      <c r="U221" s="1756"/>
      <c r="V221" s="1323"/>
      <c r="W221" s="1323"/>
      <c r="X221" s="538">
        <v>0.78290000000000004</v>
      </c>
      <c r="AJ221" s="817" t="s">
        <v>538</v>
      </c>
      <c r="AK221" s="817">
        <v>2014</v>
      </c>
      <c r="AL221" s="874" t="s">
        <v>80</v>
      </c>
      <c r="AM221" s="874">
        <v>9</v>
      </c>
      <c r="AN221" s="1114">
        <v>11455485</v>
      </c>
      <c r="AO221" s="1112">
        <v>0.02</v>
      </c>
      <c r="AP221" s="817"/>
      <c r="AQ221" s="817" t="s">
        <v>3</v>
      </c>
      <c r="AR221" s="817" t="s">
        <v>611</v>
      </c>
      <c r="AS221" s="874" t="s">
        <v>27</v>
      </c>
      <c r="AT221" s="874">
        <v>8</v>
      </c>
      <c r="AU221" s="1114">
        <v>95138490</v>
      </c>
      <c r="AV221" s="1113">
        <v>2.5000000000000001E-2</v>
      </c>
      <c r="AW221" s="817">
        <v>2010</v>
      </c>
    </row>
    <row r="222" spans="1:49">
      <c r="A222" s="798">
        <f t="shared" si="6"/>
        <v>1988</v>
      </c>
      <c r="B222" s="798">
        <f t="shared" si="7"/>
        <v>4</v>
      </c>
      <c r="C222" s="1105">
        <v>32417</v>
      </c>
      <c r="D222" s="805">
        <v>209.6</v>
      </c>
      <c r="E222" s="1102">
        <v>504.44</v>
      </c>
      <c r="F222" s="1102">
        <v>406.46</v>
      </c>
      <c r="G222" s="1103"/>
      <c r="H222" s="805"/>
      <c r="I222" s="1103"/>
      <c r="J222" s="1103"/>
      <c r="K222" s="84">
        <v>14079.215116279069</v>
      </c>
      <c r="L222" s="84">
        <v>11623.8</v>
      </c>
      <c r="M222" s="84"/>
      <c r="N222" s="805"/>
      <c r="O222" s="941">
        <v>3563.71</v>
      </c>
      <c r="P222" s="941">
        <v>793.62887596899225</v>
      </c>
      <c r="Q222" s="941">
        <v>1840.9641472868218</v>
      </c>
      <c r="R222" s="805">
        <v>13.1</v>
      </c>
      <c r="S222" s="805">
        <v>655</v>
      </c>
      <c r="T222" s="805">
        <v>340</v>
      </c>
      <c r="U222" s="805"/>
      <c r="V222" s="805"/>
      <c r="W222" s="805"/>
      <c r="X222" s="5">
        <v>0.8256</v>
      </c>
      <c r="AJ222" s="817" t="s">
        <v>538</v>
      </c>
      <c r="AK222" s="817">
        <v>2014</v>
      </c>
      <c r="AL222" s="874" t="s">
        <v>28</v>
      </c>
      <c r="AM222" s="874">
        <v>10</v>
      </c>
      <c r="AN222" s="1114">
        <v>8229269</v>
      </c>
      <c r="AO222" s="1112">
        <v>1.4E-2</v>
      </c>
      <c r="AP222" s="817"/>
      <c r="AQ222" s="817" t="s">
        <v>3</v>
      </c>
      <c r="AR222" s="817" t="s">
        <v>611</v>
      </c>
      <c r="AS222" s="874" t="s">
        <v>30</v>
      </c>
      <c r="AT222" s="874">
        <v>9</v>
      </c>
      <c r="AU222" s="1114">
        <v>81844720</v>
      </c>
      <c r="AV222" s="1113">
        <v>2.1999999999999999E-2</v>
      </c>
      <c r="AW222" s="817">
        <v>2010</v>
      </c>
    </row>
    <row r="223" spans="1:49">
      <c r="A223" s="798">
        <f t="shared" si="6"/>
        <v>1988</v>
      </c>
      <c r="B223" s="798">
        <f t="shared" si="7"/>
        <v>4</v>
      </c>
      <c r="C223" s="1105">
        <v>32448</v>
      </c>
      <c r="D223" s="934">
        <v>218.9</v>
      </c>
      <c r="E223" s="1100">
        <v>495.98</v>
      </c>
      <c r="F223" s="1100">
        <v>420.18</v>
      </c>
      <c r="G223" s="1101"/>
      <c r="H223" s="935"/>
      <c r="I223" s="1101"/>
      <c r="J223" s="1101"/>
      <c r="K223" s="936">
        <v>14918.574194283112</v>
      </c>
      <c r="L223" s="936">
        <v>13100</v>
      </c>
      <c r="M223" s="936"/>
      <c r="N223" s="937"/>
      <c r="O223" s="938">
        <v>3756.18</v>
      </c>
      <c r="P223" s="938">
        <v>787.00603575902528</v>
      </c>
      <c r="Q223" s="938">
        <v>1777.1324450518164</v>
      </c>
      <c r="R223" s="939">
        <v>12.5</v>
      </c>
      <c r="S223" s="940">
        <v>655</v>
      </c>
      <c r="T223" s="940">
        <v>340</v>
      </c>
      <c r="U223" s="1756"/>
      <c r="V223" s="1323"/>
      <c r="W223" s="1323"/>
      <c r="X223" s="538">
        <v>0.87809999999999999</v>
      </c>
      <c r="AJ223" s="817" t="s">
        <v>538</v>
      </c>
      <c r="AK223" s="817">
        <v>2014</v>
      </c>
      <c r="AL223" s="874" t="s">
        <v>45</v>
      </c>
      <c r="AM223" s="874"/>
      <c r="AN223" s="1114">
        <v>54338895</v>
      </c>
      <c r="AO223" s="1112">
        <v>9.4E-2</v>
      </c>
      <c r="AP223" s="817"/>
      <c r="AQ223" s="817" t="s">
        <v>3</v>
      </c>
      <c r="AR223" s="817" t="s">
        <v>611</v>
      </c>
      <c r="AS223" s="874" t="s">
        <v>72</v>
      </c>
      <c r="AT223" s="874">
        <v>10</v>
      </c>
      <c r="AU223" s="1114">
        <v>44762343</v>
      </c>
      <c r="AV223" s="1113">
        <v>1.2E-2</v>
      </c>
      <c r="AW223" s="817">
        <v>2010</v>
      </c>
    </row>
    <row r="224" spans="1:49">
      <c r="A224" s="798">
        <f t="shared" si="6"/>
        <v>1988</v>
      </c>
      <c r="B224" s="798">
        <f t="shared" si="7"/>
        <v>4</v>
      </c>
      <c r="C224" s="1105">
        <v>32478</v>
      </c>
      <c r="D224" s="805">
        <v>226.95</v>
      </c>
      <c r="E224" s="1102">
        <v>488.33</v>
      </c>
      <c r="F224" s="1102">
        <v>419.4</v>
      </c>
      <c r="G224" s="1103"/>
      <c r="H224" s="805"/>
      <c r="I224" s="1103"/>
      <c r="J224" s="1103"/>
      <c r="K224" s="84">
        <v>19535.359438924606</v>
      </c>
      <c r="L224" s="84">
        <v>16712.5</v>
      </c>
      <c r="M224" s="84"/>
      <c r="N224" s="805"/>
      <c r="O224" s="941">
        <v>4097.25</v>
      </c>
      <c r="P224" s="941">
        <v>853.48918760958497</v>
      </c>
      <c r="Q224" s="941">
        <v>1867.6797194623025</v>
      </c>
      <c r="R224" s="805">
        <v>11.7</v>
      </c>
      <c r="S224" s="805">
        <v>655</v>
      </c>
      <c r="T224" s="805">
        <v>340</v>
      </c>
      <c r="U224" s="805"/>
      <c r="V224" s="805"/>
      <c r="W224" s="805"/>
      <c r="X224" s="5">
        <v>0.85550000000000004</v>
      </c>
      <c r="AJ224" s="817" t="s">
        <v>538</v>
      </c>
      <c r="AK224" s="817">
        <v>2014</v>
      </c>
      <c r="AL224" s="874" t="s">
        <v>452</v>
      </c>
      <c r="AM224" s="874"/>
      <c r="AN224" s="1114">
        <v>579932210</v>
      </c>
      <c r="AO224" s="1112"/>
      <c r="AP224" s="817"/>
      <c r="AQ224" s="817" t="s">
        <v>3</v>
      </c>
      <c r="AR224" s="817" t="s">
        <v>611</v>
      </c>
      <c r="AS224" s="874" t="s">
        <v>45</v>
      </c>
      <c r="AT224" s="874"/>
      <c r="AU224" s="1114">
        <v>196970585</v>
      </c>
      <c r="AV224" s="1113">
        <v>5.1999999999999998E-2</v>
      </c>
      <c r="AW224" s="817">
        <v>2010</v>
      </c>
    </row>
    <row r="225" spans="1:49">
      <c r="A225" s="798">
        <f t="shared" si="6"/>
        <v>1989</v>
      </c>
      <c r="B225" s="798">
        <f t="shared" si="7"/>
        <v>1</v>
      </c>
      <c r="C225" s="1105">
        <v>32509</v>
      </c>
      <c r="D225" s="934">
        <v>313.94</v>
      </c>
      <c r="E225" s="1100">
        <v>466.99</v>
      </c>
      <c r="F225" s="1100">
        <v>405</v>
      </c>
      <c r="G225" s="1101"/>
      <c r="H225" s="935"/>
      <c r="I225" s="1101"/>
      <c r="J225" s="1101"/>
      <c r="K225" s="936">
        <v>20134.98312710911</v>
      </c>
      <c r="L225" s="936">
        <v>17900</v>
      </c>
      <c r="M225" s="936"/>
      <c r="N225" s="937"/>
      <c r="O225" s="938">
        <v>3822.27</v>
      </c>
      <c r="P225" s="938">
        <v>762.7221597300337</v>
      </c>
      <c r="Q225" s="938">
        <v>1987.0641169853768</v>
      </c>
      <c r="R225" s="939">
        <v>11.6</v>
      </c>
      <c r="S225" s="940">
        <v>655</v>
      </c>
      <c r="T225" s="940">
        <v>340</v>
      </c>
      <c r="U225" s="1756"/>
      <c r="V225" s="1323"/>
      <c r="W225" s="1323"/>
      <c r="X225" s="538">
        <v>0.88900000000000001</v>
      </c>
      <c r="AJ225" s="817" t="s">
        <v>538</v>
      </c>
      <c r="AK225" s="817">
        <v>2013</v>
      </c>
      <c r="AL225" s="874" t="s">
        <v>41</v>
      </c>
      <c r="AM225" s="874">
        <v>1</v>
      </c>
      <c r="AN225" s="1114">
        <v>225964567</v>
      </c>
      <c r="AO225" s="1112">
        <v>0.26600000000000001</v>
      </c>
      <c r="AP225" s="817"/>
      <c r="AQ225" s="817" t="s">
        <v>3</v>
      </c>
      <c r="AR225" s="817" t="s">
        <v>611</v>
      </c>
      <c r="AS225" s="874" t="s">
        <v>452</v>
      </c>
      <c r="AT225" s="874"/>
      <c r="AU225" s="1114">
        <v>3803752585</v>
      </c>
      <c r="AV225" s="874"/>
      <c r="AW225" s="817">
        <v>2010</v>
      </c>
    </row>
    <row r="226" spans="1:49">
      <c r="A226" s="798">
        <f t="shared" si="6"/>
        <v>1989</v>
      </c>
      <c r="B226" s="798">
        <f t="shared" si="7"/>
        <v>1</v>
      </c>
      <c r="C226" s="1105">
        <v>32540</v>
      </c>
      <c r="D226" s="805">
        <v>281.7</v>
      </c>
      <c r="E226" s="1102">
        <v>454.97</v>
      </c>
      <c r="F226" s="1102">
        <v>387.78</v>
      </c>
      <c r="G226" s="1103"/>
      <c r="H226" s="805"/>
      <c r="I226" s="1103"/>
      <c r="J226" s="1103"/>
      <c r="K226" s="84">
        <v>22911.514392991237</v>
      </c>
      <c r="L226" s="84">
        <v>18306.3</v>
      </c>
      <c r="M226" s="84"/>
      <c r="N226" s="805"/>
      <c r="O226" s="941">
        <v>3877.22</v>
      </c>
      <c r="P226" s="941">
        <v>778.3354192740926</v>
      </c>
      <c r="Q226" s="941">
        <v>2511.0137672090109</v>
      </c>
      <c r="R226" s="805">
        <v>11.2</v>
      </c>
      <c r="S226" s="805">
        <v>655</v>
      </c>
      <c r="T226" s="805">
        <v>340</v>
      </c>
      <c r="U226" s="805"/>
      <c r="V226" s="805"/>
      <c r="W226" s="805"/>
      <c r="X226" s="5">
        <v>0.79900000000000004</v>
      </c>
      <c r="AJ226" s="817" t="s">
        <v>538</v>
      </c>
      <c r="AK226" s="817">
        <v>2013</v>
      </c>
      <c r="AL226" s="874" t="s">
        <v>24</v>
      </c>
      <c r="AM226" s="874">
        <v>2</v>
      </c>
      <c r="AN226" s="1114">
        <v>189897651</v>
      </c>
      <c r="AO226" s="1112">
        <v>0.223</v>
      </c>
      <c r="AP226" s="817"/>
      <c r="AQ226" s="817" t="s">
        <v>3</v>
      </c>
      <c r="AR226" s="817" t="s">
        <v>609</v>
      </c>
      <c r="AS226" s="874" t="s">
        <v>24</v>
      </c>
      <c r="AT226" s="874">
        <v>1</v>
      </c>
      <c r="AU226" s="1114">
        <v>992572586.31999969</v>
      </c>
      <c r="AV226" s="1113">
        <v>0.38739111959364708</v>
      </c>
      <c r="AW226" s="817">
        <v>2008</v>
      </c>
    </row>
    <row r="227" spans="1:49">
      <c r="A227" s="798">
        <f t="shared" si="6"/>
        <v>1989</v>
      </c>
      <c r="B227" s="798">
        <f t="shared" si="7"/>
        <v>1</v>
      </c>
      <c r="C227" s="1105">
        <v>32568</v>
      </c>
      <c r="D227" s="934">
        <v>356.15</v>
      </c>
      <c r="E227" s="1100">
        <v>479.89</v>
      </c>
      <c r="F227" s="1100">
        <v>390.03</v>
      </c>
      <c r="G227" s="1101"/>
      <c r="H227" s="935"/>
      <c r="I227" s="1101"/>
      <c r="J227" s="1101"/>
      <c r="K227" s="936">
        <v>20502.806931901392</v>
      </c>
      <c r="L227" s="936">
        <v>16800</v>
      </c>
      <c r="M227" s="936"/>
      <c r="N227" s="937"/>
      <c r="O227" s="938">
        <v>3990.36</v>
      </c>
      <c r="P227" s="938">
        <v>721.1130095191603</v>
      </c>
      <c r="Q227" s="938">
        <v>2397.7300463753968</v>
      </c>
      <c r="R227" s="939">
        <v>10.7</v>
      </c>
      <c r="S227" s="940">
        <v>750</v>
      </c>
      <c r="T227" s="940">
        <v>550</v>
      </c>
      <c r="U227" s="1756"/>
      <c r="V227" s="1323"/>
      <c r="W227" s="1323"/>
      <c r="X227" s="538">
        <v>0.81940000000000002</v>
      </c>
      <c r="AJ227" s="817" t="s">
        <v>538</v>
      </c>
      <c r="AK227" s="817">
        <v>2013</v>
      </c>
      <c r="AL227" s="874" t="s">
        <v>33</v>
      </c>
      <c r="AM227" s="874">
        <v>3</v>
      </c>
      <c r="AN227" s="1114">
        <v>87930926</v>
      </c>
      <c r="AO227" s="1112">
        <v>0.10299999999999999</v>
      </c>
      <c r="AP227" s="817"/>
      <c r="AQ227" s="817" t="s">
        <v>3</v>
      </c>
      <c r="AR227" s="817" t="s">
        <v>609</v>
      </c>
      <c r="AS227" s="874" t="s">
        <v>66</v>
      </c>
      <c r="AT227" s="874">
        <v>2</v>
      </c>
      <c r="AU227" s="1114">
        <v>436361434.19999999</v>
      </c>
      <c r="AV227" s="1113">
        <v>0.17030748871370624</v>
      </c>
      <c r="AW227" s="817">
        <v>2008</v>
      </c>
    </row>
    <row r="228" spans="1:49">
      <c r="A228" s="798">
        <f t="shared" si="6"/>
        <v>1989</v>
      </c>
      <c r="B228" s="798">
        <f t="shared" si="7"/>
        <v>2</v>
      </c>
      <c r="C228" s="1105">
        <v>32599</v>
      </c>
      <c r="D228" s="805">
        <v>312.08999999999997</v>
      </c>
      <c r="E228" s="1102">
        <v>479.87</v>
      </c>
      <c r="F228" s="1102">
        <v>384.85</v>
      </c>
      <c r="G228" s="1103"/>
      <c r="H228" s="805"/>
      <c r="I228" s="1103"/>
      <c r="J228" s="1103"/>
      <c r="K228" s="84">
        <v>19175.662042875156</v>
      </c>
      <c r="L228" s="84">
        <v>15206.3</v>
      </c>
      <c r="M228" s="84"/>
      <c r="N228" s="805"/>
      <c r="O228" s="941">
        <v>3932.41</v>
      </c>
      <c r="P228" s="941">
        <v>766.9735182849937</v>
      </c>
      <c r="Q228" s="941">
        <v>2118.1588902900376</v>
      </c>
      <c r="R228" s="805">
        <v>10.1</v>
      </c>
      <c r="S228" s="805">
        <v>750</v>
      </c>
      <c r="T228" s="805">
        <v>550</v>
      </c>
      <c r="U228" s="805"/>
      <c r="V228" s="805"/>
      <c r="W228" s="805"/>
      <c r="X228" s="5">
        <v>0.79300000000000004</v>
      </c>
      <c r="AJ228" s="817" t="s">
        <v>538</v>
      </c>
      <c r="AK228" s="817">
        <v>2013</v>
      </c>
      <c r="AL228" s="874" t="s">
        <v>433</v>
      </c>
      <c r="AM228" s="874">
        <v>4</v>
      </c>
      <c r="AN228" s="1114">
        <v>50545932</v>
      </c>
      <c r="AO228" s="1112">
        <v>5.8999999999999997E-2</v>
      </c>
      <c r="AP228" s="817"/>
      <c r="AQ228" s="817" t="s">
        <v>3</v>
      </c>
      <c r="AR228" s="817" t="s">
        <v>609</v>
      </c>
      <c r="AS228" s="874" t="s">
        <v>70</v>
      </c>
      <c r="AT228" s="874">
        <v>3</v>
      </c>
      <c r="AU228" s="1114">
        <v>392232149.0800001</v>
      </c>
      <c r="AV228" s="1113">
        <v>0.15308427158569199</v>
      </c>
      <c r="AW228" s="817">
        <v>2008</v>
      </c>
    </row>
    <row r="229" spans="1:49">
      <c r="A229" s="798">
        <f t="shared" si="6"/>
        <v>1989</v>
      </c>
      <c r="B229" s="798">
        <f t="shared" si="7"/>
        <v>2</v>
      </c>
      <c r="C229" s="1105">
        <v>32629</v>
      </c>
      <c r="D229" s="934">
        <v>322.39999999999998</v>
      </c>
      <c r="E229" s="1100">
        <v>482.03</v>
      </c>
      <c r="F229" s="1100">
        <v>371.44</v>
      </c>
      <c r="G229" s="1101"/>
      <c r="H229" s="935"/>
      <c r="I229" s="1101"/>
      <c r="J229" s="1101"/>
      <c r="K229" s="936">
        <v>18031.417112299467</v>
      </c>
      <c r="L229" s="936">
        <v>13487.5</v>
      </c>
      <c r="M229" s="936"/>
      <c r="N229" s="937"/>
      <c r="O229" s="938">
        <v>3680.88</v>
      </c>
      <c r="P229" s="938">
        <v>860.65508021390372</v>
      </c>
      <c r="Q229" s="938">
        <v>2309.7593582887703</v>
      </c>
      <c r="R229" s="939">
        <v>9.85</v>
      </c>
      <c r="S229" s="940">
        <v>750</v>
      </c>
      <c r="T229" s="940">
        <v>550</v>
      </c>
      <c r="U229" s="1756"/>
      <c r="V229" s="1323"/>
      <c r="W229" s="1323"/>
      <c r="X229" s="538">
        <v>0.748</v>
      </c>
      <c r="AJ229" s="817" t="s">
        <v>538</v>
      </c>
      <c r="AK229" s="817">
        <v>2013</v>
      </c>
      <c r="AL229" s="874" t="s">
        <v>27</v>
      </c>
      <c r="AM229" s="874">
        <v>5</v>
      </c>
      <c r="AN229" s="1114">
        <v>41081580</v>
      </c>
      <c r="AO229" s="1112">
        <v>4.8000000000000001E-2</v>
      </c>
      <c r="AP229" s="817"/>
      <c r="AQ229" s="817" t="s">
        <v>3</v>
      </c>
      <c r="AR229" s="817" t="s">
        <v>609</v>
      </c>
      <c r="AS229" s="874" t="s">
        <v>29</v>
      </c>
      <c r="AT229" s="874">
        <v>4</v>
      </c>
      <c r="AU229" s="1114">
        <v>127821627.56999999</v>
      </c>
      <c r="AV229" s="1113">
        <v>4.9887498501455185E-2</v>
      </c>
      <c r="AW229" s="817">
        <v>2008</v>
      </c>
    </row>
    <row r="230" spans="1:49">
      <c r="A230" s="798">
        <f t="shared" si="6"/>
        <v>1989</v>
      </c>
      <c r="B230" s="798">
        <f t="shared" si="7"/>
        <v>2</v>
      </c>
      <c r="C230" s="1105">
        <v>32660</v>
      </c>
      <c r="D230" s="805">
        <v>316.89</v>
      </c>
      <c r="E230" s="1102">
        <v>488.82</v>
      </c>
      <c r="F230" s="1102">
        <v>368.1</v>
      </c>
      <c r="G230" s="1103"/>
      <c r="H230" s="805"/>
      <c r="I230" s="1103"/>
      <c r="J230" s="1103"/>
      <c r="K230" s="84">
        <v>15984.748010610079</v>
      </c>
      <c r="L230" s="84">
        <v>12052.5</v>
      </c>
      <c r="M230" s="84"/>
      <c r="N230" s="805"/>
      <c r="O230" s="941">
        <v>3379.05</v>
      </c>
      <c r="P230" s="941">
        <v>884.24403183023878</v>
      </c>
      <c r="Q230" s="941">
        <v>2214.4562334217508</v>
      </c>
      <c r="R230" s="805">
        <v>9.8000000000000007</v>
      </c>
      <c r="S230" s="805">
        <v>750</v>
      </c>
      <c r="T230" s="805">
        <v>550</v>
      </c>
      <c r="U230" s="805"/>
      <c r="V230" s="805"/>
      <c r="W230" s="805"/>
      <c r="X230" s="5">
        <v>0.754</v>
      </c>
      <c r="AJ230" s="817" t="s">
        <v>538</v>
      </c>
      <c r="AK230" s="817">
        <v>2013</v>
      </c>
      <c r="AL230" s="874" t="s">
        <v>84</v>
      </c>
      <c r="AM230" s="874">
        <v>6</v>
      </c>
      <c r="AN230" s="1114">
        <v>36300436</v>
      </c>
      <c r="AO230" s="1112">
        <v>4.2999999999999997E-2</v>
      </c>
      <c r="AP230" s="817"/>
      <c r="AQ230" s="817" t="s">
        <v>3</v>
      </c>
      <c r="AR230" s="817" t="s">
        <v>609</v>
      </c>
      <c r="AS230" s="874" t="s">
        <v>33</v>
      </c>
      <c r="AT230" s="874">
        <v>5</v>
      </c>
      <c r="AU230" s="1114">
        <v>124076253.78</v>
      </c>
      <c r="AV230" s="1113">
        <v>4.8425716697482385E-2</v>
      </c>
      <c r="AW230" s="817">
        <v>2008</v>
      </c>
    </row>
    <row r="231" spans="1:49">
      <c r="A231" s="798">
        <f t="shared" si="6"/>
        <v>1989</v>
      </c>
      <c r="B231" s="798">
        <f t="shared" si="7"/>
        <v>3</v>
      </c>
      <c r="C231" s="1105">
        <v>32690</v>
      </c>
      <c r="D231" s="934">
        <v>328.46</v>
      </c>
      <c r="E231" s="1100">
        <v>497.02</v>
      </c>
      <c r="F231" s="1100">
        <v>375.44</v>
      </c>
      <c r="G231" s="1101"/>
      <c r="H231" s="935"/>
      <c r="I231" s="1101"/>
      <c r="J231" s="1101"/>
      <c r="K231" s="936">
        <v>16173.31206804891</v>
      </c>
      <c r="L231" s="936">
        <v>12168.8</v>
      </c>
      <c r="M231" s="936"/>
      <c r="N231" s="937"/>
      <c r="O231" s="938">
        <v>3323.1</v>
      </c>
      <c r="P231" s="938">
        <v>917.26475279106864</v>
      </c>
      <c r="Q231" s="938">
        <v>2218.3678894205209</v>
      </c>
      <c r="R231" s="939">
        <v>9.8000000000000007</v>
      </c>
      <c r="S231" s="940">
        <v>750</v>
      </c>
      <c r="T231" s="940">
        <v>550</v>
      </c>
      <c r="U231" s="1756"/>
      <c r="V231" s="1323"/>
      <c r="W231" s="1323"/>
      <c r="X231" s="538">
        <v>0.75239999999999996</v>
      </c>
      <c r="AJ231" s="817" t="s">
        <v>538</v>
      </c>
      <c r="AK231" s="817">
        <v>2013</v>
      </c>
      <c r="AL231" s="874" t="s">
        <v>63</v>
      </c>
      <c r="AM231" s="874">
        <v>7</v>
      </c>
      <c r="AN231" s="1114">
        <v>34536190</v>
      </c>
      <c r="AO231" s="1112">
        <v>4.1000000000000002E-2</v>
      </c>
      <c r="AP231" s="817"/>
      <c r="AQ231" s="817" t="s">
        <v>3</v>
      </c>
      <c r="AR231" s="817" t="s">
        <v>609</v>
      </c>
      <c r="AS231" s="874" t="s">
        <v>165</v>
      </c>
      <c r="AT231" s="874">
        <v>6</v>
      </c>
      <c r="AU231" s="1114">
        <v>119545095.16</v>
      </c>
      <c r="AV231" s="1113">
        <v>4.6657250960013087E-2</v>
      </c>
      <c r="AW231" s="817">
        <v>2008</v>
      </c>
    </row>
    <row r="232" spans="1:49">
      <c r="A232" s="798">
        <f t="shared" si="6"/>
        <v>1989</v>
      </c>
      <c r="B232" s="798">
        <f t="shared" si="7"/>
        <v>3</v>
      </c>
      <c r="C232" s="1105">
        <v>32721</v>
      </c>
      <c r="D232" s="805">
        <v>287.06</v>
      </c>
      <c r="E232" s="1102">
        <v>481.72</v>
      </c>
      <c r="F232" s="1102">
        <v>366.05</v>
      </c>
      <c r="G232" s="1103"/>
      <c r="H232" s="805"/>
      <c r="I232" s="1103"/>
      <c r="J232" s="1103"/>
      <c r="K232" s="84">
        <v>16650.339602925811</v>
      </c>
      <c r="L232" s="84">
        <v>12747.5</v>
      </c>
      <c r="M232" s="84"/>
      <c r="N232" s="805"/>
      <c r="O232" s="941">
        <v>3621.08</v>
      </c>
      <c r="P232" s="941">
        <v>916.37931034482767</v>
      </c>
      <c r="Q232" s="941">
        <v>2367.163009404389</v>
      </c>
      <c r="R232" s="805">
        <v>9.6999999999999993</v>
      </c>
      <c r="S232" s="805">
        <v>750</v>
      </c>
      <c r="T232" s="805">
        <v>550</v>
      </c>
      <c r="U232" s="805"/>
      <c r="V232" s="805"/>
      <c r="W232" s="805"/>
      <c r="X232" s="5">
        <v>0.76559999999999995</v>
      </c>
      <c r="AJ232" s="817" t="s">
        <v>538</v>
      </c>
      <c r="AK232" s="817">
        <v>2013</v>
      </c>
      <c r="AL232" s="874" t="s">
        <v>31</v>
      </c>
      <c r="AM232" s="874">
        <v>8</v>
      </c>
      <c r="AN232" s="1114">
        <v>31212475</v>
      </c>
      <c r="AO232" s="1112">
        <v>3.6999999999999998E-2</v>
      </c>
      <c r="AP232" s="817"/>
      <c r="AQ232" s="817" t="s">
        <v>3</v>
      </c>
      <c r="AR232" s="817" t="s">
        <v>609</v>
      </c>
      <c r="AS232" s="874" t="s">
        <v>63</v>
      </c>
      <c r="AT232" s="874">
        <v>7</v>
      </c>
      <c r="AU232" s="1114">
        <v>100771927.95999998</v>
      </c>
      <c r="AV232" s="1113">
        <v>3.9330272197794773E-2</v>
      </c>
      <c r="AW232" s="817">
        <v>2008</v>
      </c>
    </row>
    <row r="233" spans="1:49">
      <c r="A233" s="798">
        <f t="shared" si="6"/>
        <v>1989</v>
      </c>
      <c r="B233" s="798">
        <f t="shared" si="7"/>
        <v>3</v>
      </c>
      <c r="C233" s="1105">
        <v>32752</v>
      </c>
      <c r="D233" s="934">
        <v>325.95999999999998</v>
      </c>
      <c r="E233" s="1100">
        <v>470.25</v>
      </c>
      <c r="F233" s="1100">
        <v>361.86</v>
      </c>
      <c r="G233" s="1101"/>
      <c r="H233" s="935"/>
      <c r="I233" s="1101"/>
      <c r="J233" s="1101"/>
      <c r="K233" s="936">
        <v>14264.554353426069</v>
      </c>
      <c r="L233" s="936">
        <v>11075</v>
      </c>
      <c r="M233" s="936"/>
      <c r="N233" s="937"/>
      <c r="O233" s="938">
        <v>3717.03</v>
      </c>
      <c r="P233" s="938">
        <v>938.75579598145293</v>
      </c>
      <c r="Q233" s="938">
        <v>2147.2179289026276</v>
      </c>
      <c r="R233" s="939">
        <v>9.6</v>
      </c>
      <c r="S233" s="940">
        <v>750</v>
      </c>
      <c r="T233" s="940">
        <v>550</v>
      </c>
      <c r="U233" s="1756"/>
      <c r="V233" s="1323"/>
      <c r="W233" s="1323"/>
      <c r="X233" s="538">
        <v>0.77639999999999998</v>
      </c>
      <c r="AJ233" s="817" t="s">
        <v>538</v>
      </c>
      <c r="AK233" s="817">
        <v>2013</v>
      </c>
      <c r="AL233" s="874" t="s">
        <v>29</v>
      </c>
      <c r="AM233" s="874">
        <v>9</v>
      </c>
      <c r="AN233" s="1114">
        <v>24921572</v>
      </c>
      <c r="AO233" s="1112">
        <v>2.9000000000000001E-2</v>
      </c>
      <c r="AP233" s="817"/>
      <c r="AQ233" s="817" t="s">
        <v>3</v>
      </c>
      <c r="AR233" s="817" t="s">
        <v>609</v>
      </c>
      <c r="AS233" s="874" t="s">
        <v>451</v>
      </c>
      <c r="AT233" s="874">
        <v>8</v>
      </c>
      <c r="AU233" s="1114">
        <v>89570929.170000017</v>
      </c>
      <c r="AV233" s="1113">
        <v>3.4958634776381801E-2</v>
      </c>
      <c r="AW233" s="817">
        <v>2008</v>
      </c>
    </row>
    <row r="234" spans="1:49">
      <c r="A234" s="798">
        <f t="shared" si="6"/>
        <v>1989</v>
      </c>
      <c r="B234" s="798">
        <f t="shared" si="7"/>
        <v>4</v>
      </c>
      <c r="C234" s="1105">
        <v>32782</v>
      </c>
      <c r="D234" s="805">
        <v>297.25</v>
      </c>
      <c r="E234" s="1102">
        <v>476.01</v>
      </c>
      <c r="F234" s="1102">
        <v>367.18</v>
      </c>
      <c r="G234" s="1103"/>
      <c r="H234" s="805"/>
      <c r="I234" s="1103"/>
      <c r="J234" s="1103"/>
      <c r="K234" s="84">
        <v>13226.280168560848</v>
      </c>
      <c r="L234" s="84">
        <v>10357.5</v>
      </c>
      <c r="M234" s="84"/>
      <c r="N234" s="805"/>
      <c r="O234" s="941">
        <v>3650.24</v>
      </c>
      <c r="P234" s="941">
        <v>959.18784318733231</v>
      </c>
      <c r="Q234" s="941">
        <v>2082.2372621631976</v>
      </c>
      <c r="R234" s="805">
        <v>9.4</v>
      </c>
      <c r="S234" s="805">
        <v>750</v>
      </c>
      <c r="T234" s="805">
        <v>550</v>
      </c>
      <c r="U234" s="805"/>
      <c r="V234" s="805"/>
      <c r="W234" s="805"/>
      <c r="X234" s="5">
        <v>0.78310000000000002</v>
      </c>
      <c r="AJ234" s="817" t="s">
        <v>538</v>
      </c>
      <c r="AK234" s="817">
        <v>2013</v>
      </c>
      <c r="AL234" s="874" t="s">
        <v>38</v>
      </c>
      <c r="AM234" s="874">
        <v>10</v>
      </c>
      <c r="AN234" s="1114">
        <v>23450586</v>
      </c>
      <c r="AO234" s="1112">
        <v>2.8000000000000001E-2</v>
      </c>
      <c r="AP234" s="817"/>
      <c r="AQ234" s="817" t="s">
        <v>3</v>
      </c>
      <c r="AR234" s="817" t="s">
        <v>609</v>
      </c>
      <c r="AS234" s="874" t="s">
        <v>65</v>
      </c>
      <c r="AT234" s="874">
        <v>9</v>
      </c>
      <c r="AU234" s="1114">
        <v>85419740.810000002</v>
      </c>
      <c r="AV234" s="1113">
        <v>3.333846761824303E-2</v>
      </c>
      <c r="AW234" s="817">
        <v>2008</v>
      </c>
    </row>
    <row r="235" spans="1:49">
      <c r="A235" s="798">
        <f t="shared" si="6"/>
        <v>1989</v>
      </c>
      <c r="B235" s="798">
        <f t="shared" si="7"/>
        <v>4</v>
      </c>
      <c r="C235" s="1105">
        <v>32813</v>
      </c>
      <c r="D235" s="934">
        <v>322.31</v>
      </c>
      <c r="E235" s="1100">
        <v>505.15</v>
      </c>
      <c r="F235" s="1100">
        <v>394.51</v>
      </c>
      <c r="G235" s="1101"/>
      <c r="H235" s="935"/>
      <c r="I235" s="1101"/>
      <c r="J235" s="1101"/>
      <c r="K235" s="936">
        <v>12663.979526551504</v>
      </c>
      <c r="L235" s="936">
        <v>9896.9</v>
      </c>
      <c r="M235" s="936"/>
      <c r="N235" s="937"/>
      <c r="O235" s="938">
        <v>3314.01</v>
      </c>
      <c r="P235" s="938">
        <v>886.56429942418436</v>
      </c>
      <c r="Q235" s="938">
        <v>1855.5342290467049</v>
      </c>
      <c r="R235" s="939">
        <v>9.1999999999999993</v>
      </c>
      <c r="S235" s="940">
        <v>750</v>
      </c>
      <c r="T235" s="940">
        <v>550</v>
      </c>
      <c r="U235" s="1756"/>
      <c r="V235" s="1323"/>
      <c r="W235" s="1323"/>
      <c r="X235" s="538">
        <v>0.78149999999999997</v>
      </c>
      <c r="AJ235" s="817" t="s">
        <v>538</v>
      </c>
      <c r="AK235" s="817">
        <v>2013</v>
      </c>
      <c r="AL235" s="874" t="s">
        <v>45</v>
      </c>
      <c r="AM235" s="874"/>
      <c r="AN235" s="1114">
        <v>105014211</v>
      </c>
      <c r="AO235" s="1112">
        <v>0.123</v>
      </c>
      <c r="AP235" s="817"/>
      <c r="AQ235" s="817" t="s">
        <v>3</v>
      </c>
      <c r="AR235" s="817" t="s">
        <v>609</v>
      </c>
      <c r="AS235" s="874" t="s">
        <v>45</v>
      </c>
      <c r="AT235" s="874"/>
      <c r="AU235" s="1114">
        <v>93825828.680000305</v>
      </c>
      <c r="AV235" s="1113">
        <v>3.6619279355584462E-2</v>
      </c>
      <c r="AW235" s="817">
        <v>2008</v>
      </c>
    </row>
    <row r="236" spans="1:49">
      <c r="A236" s="798">
        <f t="shared" si="6"/>
        <v>1989</v>
      </c>
      <c r="B236" s="798">
        <f t="shared" si="7"/>
        <v>4</v>
      </c>
      <c r="C236" s="1105">
        <v>32843</v>
      </c>
      <c r="D236" s="805">
        <v>332.36</v>
      </c>
      <c r="E236" s="1102">
        <v>523.1</v>
      </c>
      <c r="F236" s="1102">
        <v>409.74</v>
      </c>
      <c r="G236" s="1103"/>
      <c r="H236" s="805"/>
      <c r="I236" s="1103"/>
      <c r="J236" s="1103"/>
      <c r="K236" s="84">
        <v>11149.362936798285</v>
      </c>
      <c r="L236" s="84">
        <v>8838.1</v>
      </c>
      <c r="M236" s="84"/>
      <c r="N236" s="805"/>
      <c r="O236" s="941">
        <v>2757.29</v>
      </c>
      <c r="P236" s="941">
        <v>900.0378453387159</v>
      </c>
      <c r="Q236" s="941">
        <v>1876.4980446574998</v>
      </c>
      <c r="R236" s="805">
        <v>9</v>
      </c>
      <c r="S236" s="805">
        <v>750</v>
      </c>
      <c r="T236" s="805">
        <v>550</v>
      </c>
      <c r="U236" s="805"/>
      <c r="V236" s="805"/>
      <c r="W236" s="805"/>
      <c r="X236" s="5">
        <v>0.79269999999999996</v>
      </c>
      <c r="AJ236" s="817" t="s">
        <v>538</v>
      </c>
      <c r="AK236" s="817">
        <v>2013</v>
      </c>
      <c r="AL236" s="874" t="s">
        <v>452</v>
      </c>
      <c r="AM236" s="874"/>
      <c r="AN236" s="1114">
        <v>850856127</v>
      </c>
      <c r="AO236" s="1112"/>
      <c r="AP236" s="817"/>
      <c r="AQ236" s="817" t="s">
        <v>3</v>
      </c>
      <c r="AR236" s="817" t="s">
        <v>609</v>
      </c>
      <c r="AS236" s="874" t="s">
        <v>452</v>
      </c>
      <c r="AT236" s="874"/>
      <c r="AU236" s="1114">
        <v>2562197572.73</v>
      </c>
      <c r="AV236" s="874"/>
      <c r="AW236" s="817">
        <v>2008</v>
      </c>
    </row>
    <row r="237" spans="1:49">
      <c r="A237" s="798">
        <f t="shared" si="6"/>
        <v>1990</v>
      </c>
      <c r="B237" s="798">
        <f t="shared" si="7"/>
        <v>1</v>
      </c>
      <c r="C237" s="1105">
        <v>32874</v>
      </c>
      <c r="D237" s="934">
        <v>331.66</v>
      </c>
      <c r="E237" s="1100">
        <v>523.67999999999995</v>
      </c>
      <c r="F237" s="1100">
        <v>409.37</v>
      </c>
      <c r="G237" s="1101"/>
      <c r="H237" s="935"/>
      <c r="I237" s="1101"/>
      <c r="J237" s="1101"/>
      <c r="K237" s="936">
        <v>9352.3611831863</v>
      </c>
      <c r="L237" s="936">
        <v>7208.8</v>
      </c>
      <c r="M237" s="936"/>
      <c r="N237" s="937"/>
      <c r="O237" s="938">
        <v>3073.69</v>
      </c>
      <c r="P237" s="938">
        <v>918.77270368448364</v>
      </c>
      <c r="Q237" s="938">
        <v>1681.8889465490399</v>
      </c>
      <c r="R237" s="939">
        <v>8.85</v>
      </c>
      <c r="S237" s="940">
        <v>750</v>
      </c>
      <c r="T237" s="940">
        <v>550</v>
      </c>
      <c r="U237" s="1756"/>
      <c r="V237" s="1323"/>
      <c r="W237" s="1323"/>
      <c r="X237" s="538">
        <v>0.77080000000000004</v>
      </c>
      <c r="AJ237" s="817" t="s">
        <v>538</v>
      </c>
      <c r="AK237" s="817">
        <v>2012</v>
      </c>
      <c r="AL237" s="874" t="s">
        <v>24</v>
      </c>
      <c r="AM237" s="874">
        <v>1</v>
      </c>
      <c r="AN237" s="1114">
        <v>309596224</v>
      </c>
      <c r="AO237" s="1112">
        <v>0.26900000000000002</v>
      </c>
      <c r="AP237" s="817"/>
      <c r="AQ237" s="817" t="s">
        <v>3</v>
      </c>
      <c r="AR237" s="817" t="s">
        <v>608</v>
      </c>
      <c r="AS237" s="874" t="s">
        <v>24</v>
      </c>
      <c r="AT237" s="874">
        <v>1</v>
      </c>
      <c r="AU237" s="1114">
        <v>1687573968.4100001</v>
      </c>
      <c r="AV237" s="1113">
        <v>0.33308314254469773</v>
      </c>
      <c r="AW237" s="817">
        <v>2007</v>
      </c>
    </row>
    <row r="238" spans="1:49">
      <c r="A238" s="798">
        <f t="shared" si="6"/>
        <v>1990</v>
      </c>
      <c r="B238" s="798">
        <f t="shared" si="7"/>
        <v>1</v>
      </c>
      <c r="C238" s="1105">
        <v>32905</v>
      </c>
      <c r="D238" s="805">
        <v>337.35</v>
      </c>
      <c r="E238" s="1102">
        <v>550.19000000000005</v>
      </c>
      <c r="F238" s="1102">
        <v>417.14</v>
      </c>
      <c r="G238" s="1103"/>
      <c r="H238" s="805"/>
      <c r="I238" s="1103"/>
      <c r="J238" s="1103"/>
      <c r="K238" s="84">
        <v>8914.9328417171455</v>
      </c>
      <c r="L238" s="84">
        <v>6770</v>
      </c>
      <c r="M238" s="84"/>
      <c r="N238" s="805"/>
      <c r="O238" s="941">
        <v>3107.58</v>
      </c>
      <c r="P238" s="941">
        <v>1026.8633131419542</v>
      </c>
      <c r="Q238" s="941">
        <v>1835.1329997366342</v>
      </c>
      <c r="R238" s="805">
        <v>8.6999999999999993</v>
      </c>
      <c r="S238" s="805">
        <v>750</v>
      </c>
      <c r="T238" s="805">
        <v>550</v>
      </c>
      <c r="U238" s="805"/>
      <c r="V238" s="805"/>
      <c r="W238" s="805"/>
      <c r="X238" s="5">
        <v>0.75939999999999996</v>
      </c>
      <c r="AJ238" s="817" t="s">
        <v>538</v>
      </c>
      <c r="AK238" s="817">
        <v>2012</v>
      </c>
      <c r="AL238" s="874" t="s">
        <v>41</v>
      </c>
      <c r="AM238" s="874">
        <v>2</v>
      </c>
      <c r="AN238" s="1114">
        <v>242214929</v>
      </c>
      <c r="AO238" s="1112">
        <v>0.21099999999999999</v>
      </c>
      <c r="AP238" s="817"/>
      <c r="AQ238" s="817" t="s">
        <v>3</v>
      </c>
      <c r="AR238" s="817" t="s">
        <v>608</v>
      </c>
      <c r="AS238" s="874" t="s">
        <v>66</v>
      </c>
      <c r="AT238" s="874">
        <v>2</v>
      </c>
      <c r="AU238" s="1114">
        <v>995377094.42999983</v>
      </c>
      <c r="AV238" s="1113">
        <v>0.19646151033138326</v>
      </c>
      <c r="AW238" s="817">
        <v>2007</v>
      </c>
    </row>
    <row r="239" spans="1:49">
      <c r="A239" s="798">
        <f t="shared" si="6"/>
        <v>1990</v>
      </c>
      <c r="B239" s="798">
        <f t="shared" si="7"/>
        <v>1</v>
      </c>
      <c r="C239" s="1105">
        <v>32933</v>
      </c>
      <c r="D239" s="934">
        <v>342.24</v>
      </c>
      <c r="E239" s="1100">
        <v>522.61</v>
      </c>
      <c r="F239" s="1100">
        <v>393.86</v>
      </c>
      <c r="G239" s="1101"/>
      <c r="H239" s="935"/>
      <c r="I239" s="1101"/>
      <c r="J239" s="1101"/>
      <c r="K239" s="936">
        <v>12193.052240784938</v>
      </c>
      <c r="L239" s="936">
        <v>9196</v>
      </c>
      <c r="M239" s="936"/>
      <c r="N239" s="937"/>
      <c r="O239" s="938">
        <v>3481.44</v>
      </c>
      <c r="P239" s="938">
        <v>1407.5841951736938</v>
      </c>
      <c r="Q239" s="938">
        <v>2210.5542296473086</v>
      </c>
      <c r="R239" s="939">
        <v>8.8000000000000007</v>
      </c>
      <c r="S239" s="940">
        <v>925</v>
      </c>
      <c r="T239" s="940">
        <v>605</v>
      </c>
      <c r="U239" s="1756"/>
      <c r="V239" s="1323"/>
      <c r="W239" s="1323"/>
      <c r="X239" s="538">
        <v>0.75419999999999998</v>
      </c>
      <c r="AJ239" s="817" t="s">
        <v>538</v>
      </c>
      <c r="AK239" s="817">
        <v>2012</v>
      </c>
      <c r="AL239" s="874" t="s">
        <v>33</v>
      </c>
      <c r="AM239" s="874">
        <v>3</v>
      </c>
      <c r="AN239" s="1114">
        <v>140002097</v>
      </c>
      <c r="AO239" s="1112">
        <v>0.122</v>
      </c>
      <c r="AP239" s="817"/>
      <c r="AQ239" s="817" t="s">
        <v>3</v>
      </c>
      <c r="AR239" s="817" t="s">
        <v>608</v>
      </c>
      <c r="AS239" s="874" t="s">
        <v>33</v>
      </c>
      <c r="AT239" s="874">
        <v>3</v>
      </c>
      <c r="AU239" s="1114">
        <v>664375540.18999982</v>
      </c>
      <c r="AV239" s="1113">
        <v>0.1311304256279881</v>
      </c>
      <c r="AW239" s="817">
        <v>2007</v>
      </c>
    </row>
    <row r="240" spans="1:49">
      <c r="A240" s="798">
        <f t="shared" si="6"/>
        <v>1990</v>
      </c>
      <c r="B240" s="798">
        <f t="shared" si="7"/>
        <v>2</v>
      </c>
      <c r="C240" s="1105">
        <v>32964</v>
      </c>
      <c r="D240" s="805">
        <v>342.87</v>
      </c>
      <c r="E240" s="1102">
        <v>492.31</v>
      </c>
      <c r="F240" s="1102">
        <v>374.59</v>
      </c>
      <c r="G240" s="1103"/>
      <c r="H240" s="805"/>
      <c r="I240" s="1103"/>
      <c r="J240" s="1103"/>
      <c r="K240" s="84">
        <v>11889.066453589026</v>
      </c>
      <c r="L240" s="84">
        <v>8927.5</v>
      </c>
      <c r="M240" s="84"/>
      <c r="N240" s="805"/>
      <c r="O240" s="941">
        <v>3593.29</v>
      </c>
      <c r="P240" s="941">
        <v>1108.5896923691571</v>
      </c>
      <c r="Q240" s="941">
        <v>2243.9738979890799</v>
      </c>
      <c r="R240" s="805">
        <v>8.8000000000000007</v>
      </c>
      <c r="S240" s="805">
        <v>925</v>
      </c>
      <c r="T240" s="805">
        <v>605</v>
      </c>
      <c r="U240" s="805"/>
      <c r="V240" s="805"/>
      <c r="W240" s="805"/>
      <c r="X240" s="5">
        <v>0.75090000000000001</v>
      </c>
      <c r="AJ240" s="817" t="s">
        <v>538</v>
      </c>
      <c r="AK240" s="817">
        <v>2012</v>
      </c>
      <c r="AL240" s="874" t="s">
        <v>29</v>
      </c>
      <c r="AM240" s="874">
        <v>4</v>
      </c>
      <c r="AN240" s="1114">
        <v>67532476</v>
      </c>
      <c r="AO240" s="1112">
        <v>5.8999999999999997E-2</v>
      </c>
      <c r="AP240" s="817"/>
      <c r="AQ240" s="817" t="s">
        <v>3</v>
      </c>
      <c r="AR240" s="817" t="s">
        <v>608</v>
      </c>
      <c r="AS240" s="874" t="s">
        <v>29</v>
      </c>
      <c r="AT240" s="874">
        <v>4</v>
      </c>
      <c r="AU240" s="1114">
        <v>396739027.13</v>
      </c>
      <c r="AV240" s="1113">
        <v>7.8305949487412957E-2</v>
      </c>
      <c r="AW240" s="817">
        <v>2007</v>
      </c>
    </row>
    <row r="241" spans="1:49">
      <c r="A241" s="798">
        <f t="shared" si="6"/>
        <v>1990</v>
      </c>
      <c r="B241" s="798">
        <f t="shared" si="7"/>
        <v>2</v>
      </c>
      <c r="C241" s="1105">
        <v>32994</v>
      </c>
      <c r="D241" s="934">
        <v>362.04</v>
      </c>
      <c r="E241" s="1100">
        <v>490.37</v>
      </c>
      <c r="F241" s="1100">
        <v>369.9</v>
      </c>
      <c r="G241" s="1101"/>
      <c r="H241" s="935"/>
      <c r="I241" s="1101"/>
      <c r="J241" s="1101"/>
      <c r="K241" s="936">
        <v>11486.672734364842</v>
      </c>
      <c r="L241" s="936">
        <v>8834.4</v>
      </c>
      <c r="M241" s="936"/>
      <c r="N241" s="937"/>
      <c r="O241" s="938">
        <v>3566.12</v>
      </c>
      <c r="P241" s="938">
        <v>1072.5913405278898</v>
      </c>
      <c r="Q241" s="938">
        <v>2304.3817448966324</v>
      </c>
      <c r="R241" s="939">
        <v>8.8000000000000007</v>
      </c>
      <c r="S241" s="940">
        <v>1025</v>
      </c>
      <c r="T241" s="940">
        <v>605</v>
      </c>
      <c r="U241" s="1756"/>
      <c r="V241" s="1323"/>
      <c r="W241" s="1323"/>
      <c r="X241" s="538">
        <v>0.76910000000000001</v>
      </c>
      <c r="AJ241" s="817" t="s">
        <v>538</v>
      </c>
      <c r="AK241" s="817">
        <v>2012</v>
      </c>
      <c r="AL241" s="874" t="s">
        <v>31</v>
      </c>
      <c r="AM241" s="874">
        <v>5</v>
      </c>
      <c r="AN241" s="1114">
        <v>48647201</v>
      </c>
      <c r="AO241" s="1112">
        <v>4.2000000000000003E-2</v>
      </c>
      <c r="AP241" s="817"/>
      <c r="AQ241" s="817" t="s">
        <v>3</v>
      </c>
      <c r="AR241" s="817" t="s">
        <v>608</v>
      </c>
      <c r="AS241" s="874" t="s">
        <v>165</v>
      </c>
      <c r="AT241" s="874">
        <v>5</v>
      </c>
      <c r="AU241" s="1114">
        <v>325244859.28999996</v>
      </c>
      <c r="AV241" s="1113">
        <v>6.4194863073700426E-2</v>
      </c>
      <c r="AW241" s="817">
        <v>2007</v>
      </c>
    </row>
    <row r="242" spans="1:49">
      <c r="A242" s="798">
        <f t="shared" si="6"/>
        <v>1990</v>
      </c>
      <c r="B242" s="798">
        <f t="shared" si="7"/>
        <v>2</v>
      </c>
      <c r="C242" s="1105">
        <v>33025</v>
      </c>
      <c r="D242" s="805">
        <v>348.78</v>
      </c>
      <c r="E242" s="1102">
        <v>454.68</v>
      </c>
      <c r="F242" s="1102">
        <v>352.91</v>
      </c>
      <c r="G242" s="1103"/>
      <c r="H242" s="805"/>
      <c r="I242" s="1103"/>
      <c r="J242" s="1103"/>
      <c r="K242" s="84">
        <v>10636.882129277566</v>
      </c>
      <c r="L242" s="84">
        <v>8392.5</v>
      </c>
      <c r="M242" s="84"/>
      <c r="N242" s="805"/>
      <c r="O242" s="941">
        <v>3274.4</v>
      </c>
      <c r="P242" s="941">
        <v>1061.8757921419519</v>
      </c>
      <c r="Q242" s="941">
        <v>2174.5247148288972</v>
      </c>
      <c r="R242" s="805">
        <v>11.6</v>
      </c>
      <c r="S242" s="805">
        <v>1025</v>
      </c>
      <c r="T242" s="805">
        <v>605</v>
      </c>
      <c r="U242" s="805"/>
      <c r="V242" s="805"/>
      <c r="W242" s="805"/>
      <c r="X242" s="5">
        <v>0.78900000000000003</v>
      </c>
      <c r="AJ242" s="817" t="s">
        <v>538</v>
      </c>
      <c r="AK242" s="817">
        <v>2012</v>
      </c>
      <c r="AL242" s="874" t="s">
        <v>72</v>
      </c>
      <c r="AM242" s="874">
        <v>6</v>
      </c>
      <c r="AN242" s="1114">
        <v>47358418</v>
      </c>
      <c r="AO242" s="1112">
        <v>4.1000000000000002E-2</v>
      </c>
      <c r="AP242" s="817"/>
      <c r="AQ242" s="817" t="s">
        <v>3</v>
      </c>
      <c r="AR242" s="817" t="s">
        <v>608</v>
      </c>
      <c r="AS242" s="874" t="s">
        <v>63</v>
      </c>
      <c r="AT242" s="874">
        <v>6</v>
      </c>
      <c r="AU242" s="1114">
        <v>228784102.14000002</v>
      </c>
      <c r="AV242" s="1113">
        <v>4.5156022273119309E-2</v>
      </c>
      <c r="AW242" s="817">
        <v>2007</v>
      </c>
    </row>
    <row r="243" spans="1:49">
      <c r="A243" s="798">
        <f t="shared" si="6"/>
        <v>1990</v>
      </c>
      <c r="B243" s="798">
        <f t="shared" si="7"/>
        <v>3</v>
      </c>
      <c r="C243" s="1105">
        <v>33055</v>
      </c>
      <c r="D243" s="934">
        <v>326.12</v>
      </c>
      <c r="E243" s="1100">
        <v>458.28</v>
      </c>
      <c r="F243" s="1100">
        <v>362.28</v>
      </c>
      <c r="G243" s="1101"/>
      <c r="H243" s="935"/>
      <c r="I243" s="1101"/>
      <c r="J243" s="1101"/>
      <c r="K243" s="936">
        <v>11687.634476648525</v>
      </c>
      <c r="L243" s="936">
        <v>9234.4</v>
      </c>
      <c r="M243" s="936"/>
      <c r="N243" s="937"/>
      <c r="O243" s="938">
        <v>3506.39</v>
      </c>
      <c r="P243" s="938">
        <v>1104.9107707885078</v>
      </c>
      <c r="Q243" s="938">
        <v>2074.2943931147956</v>
      </c>
      <c r="R243" s="939">
        <v>11.6</v>
      </c>
      <c r="S243" s="940">
        <v>786</v>
      </c>
      <c r="T243" s="940">
        <v>629</v>
      </c>
      <c r="U243" s="1756"/>
      <c r="V243" s="1323"/>
      <c r="W243" s="1323"/>
      <c r="X243" s="538">
        <v>0.79010000000000002</v>
      </c>
      <c r="AJ243" s="817" t="s">
        <v>538</v>
      </c>
      <c r="AK243" s="817">
        <v>2012</v>
      </c>
      <c r="AL243" s="874" t="s">
        <v>63</v>
      </c>
      <c r="AM243" s="874">
        <v>7</v>
      </c>
      <c r="AN243" s="1114">
        <v>42498341</v>
      </c>
      <c r="AO243" s="1112">
        <v>3.6999999999999998E-2</v>
      </c>
      <c r="AP243" s="817"/>
      <c r="AQ243" s="817" t="s">
        <v>3</v>
      </c>
      <c r="AR243" s="817" t="s">
        <v>608</v>
      </c>
      <c r="AS243" s="874" t="s">
        <v>68</v>
      </c>
      <c r="AT243" s="874">
        <v>7</v>
      </c>
      <c r="AU243" s="1114">
        <v>130666627.83000001</v>
      </c>
      <c r="AV243" s="1113">
        <v>2.5790188660199147E-2</v>
      </c>
      <c r="AW243" s="817">
        <v>2007</v>
      </c>
    </row>
    <row r="244" spans="1:49">
      <c r="A244" s="798">
        <f t="shared" si="6"/>
        <v>1990</v>
      </c>
      <c r="B244" s="798">
        <f t="shared" si="7"/>
        <v>3</v>
      </c>
      <c r="C244" s="1105">
        <v>33086</v>
      </c>
      <c r="D244" s="805">
        <v>328.23</v>
      </c>
      <c r="E244" s="1102">
        <v>490.13</v>
      </c>
      <c r="F244" s="1102">
        <v>394.15</v>
      </c>
      <c r="G244" s="1103"/>
      <c r="H244" s="805"/>
      <c r="I244" s="1103"/>
      <c r="J244" s="1103"/>
      <c r="K244" s="84">
        <v>13372.94780691007</v>
      </c>
      <c r="L244" s="84">
        <v>10915</v>
      </c>
      <c r="M244" s="84"/>
      <c r="N244" s="805"/>
      <c r="O244" s="941">
        <v>3618.35</v>
      </c>
      <c r="P244" s="941">
        <v>1073.9279588336192</v>
      </c>
      <c r="Q244" s="941">
        <v>1981.377113452585</v>
      </c>
      <c r="R244" s="805">
        <v>11.4</v>
      </c>
      <c r="S244" s="805">
        <v>786</v>
      </c>
      <c r="T244" s="805">
        <v>629</v>
      </c>
      <c r="U244" s="805"/>
      <c r="V244" s="805"/>
      <c r="W244" s="805"/>
      <c r="X244" s="5">
        <v>0.81620000000000004</v>
      </c>
      <c r="AJ244" s="817" t="s">
        <v>538</v>
      </c>
      <c r="AK244" s="817">
        <v>2012</v>
      </c>
      <c r="AL244" s="874" t="s">
        <v>433</v>
      </c>
      <c r="AM244" s="874">
        <v>8</v>
      </c>
      <c r="AN244" s="1114">
        <v>42436740</v>
      </c>
      <c r="AO244" s="1112">
        <v>3.6999999999999998E-2</v>
      </c>
      <c r="AP244" s="817"/>
      <c r="AQ244" s="817" t="s">
        <v>3</v>
      </c>
      <c r="AR244" s="817" t="s">
        <v>608</v>
      </c>
      <c r="AS244" s="874" t="s">
        <v>451</v>
      </c>
      <c r="AT244" s="874">
        <v>8</v>
      </c>
      <c r="AU244" s="1114">
        <v>126192126.90000001</v>
      </c>
      <c r="AV244" s="1113">
        <v>2.4907038730784332E-2</v>
      </c>
      <c r="AW244" s="817">
        <v>2007</v>
      </c>
    </row>
    <row r="245" spans="1:49">
      <c r="A245" s="798">
        <f t="shared" si="6"/>
        <v>1990</v>
      </c>
      <c r="B245" s="798">
        <f t="shared" si="7"/>
        <v>3</v>
      </c>
      <c r="C245" s="1105">
        <v>33117</v>
      </c>
      <c r="D245" s="934">
        <v>329.1</v>
      </c>
      <c r="E245" s="1100">
        <v>474.36</v>
      </c>
      <c r="F245" s="1100">
        <v>389.95</v>
      </c>
      <c r="G245" s="1101"/>
      <c r="H245" s="935"/>
      <c r="I245" s="1101"/>
      <c r="J245" s="1101"/>
      <c r="K245" s="936">
        <v>13081.669691470055</v>
      </c>
      <c r="L245" s="936">
        <v>10812</v>
      </c>
      <c r="M245" s="936"/>
      <c r="N245" s="937"/>
      <c r="O245" s="938">
        <v>3671.75</v>
      </c>
      <c r="P245" s="938">
        <v>1014.3496672716274</v>
      </c>
      <c r="Q245" s="938">
        <v>1862.0689655172414</v>
      </c>
      <c r="R245" s="939">
        <v>10.1</v>
      </c>
      <c r="S245" s="940">
        <v>786</v>
      </c>
      <c r="T245" s="940">
        <v>629</v>
      </c>
      <c r="U245" s="1756"/>
      <c r="V245" s="1323"/>
      <c r="W245" s="1323"/>
      <c r="X245" s="538">
        <v>0.82650000000000001</v>
      </c>
      <c r="AJ245" s="817" t="s">
        <v>538</v>
      </c>
      <c r="AK245" s="817">
        <v>2012</v>
      </c>
      <c r="AL245" s="874" t="s">
        <v>27</v>
      </c>
      <c r="AM245" s="874">
        <v>9</v>
      </c>
      <c r="AN245" s="1114">
        <v>35454652</v>
      </c>
      <c r="AO245" s="1112">
        <v>3.1E-2</v>
      </c>
      <c r="AP245" s="817"/>
      <c r="AQ245" s="817" t="s">
        <v>3</v>
      </c>
      <c r="AR245" s="817" t="s">
        <v>608</v>
      </c>
      <c r="AS245" s="874" t="s">
        <v>72</v>
      </c>
      <c r="AT245" s="874">
        <v>9</v>
      </c>
      <c r="AU245" s="1114">
        <v>125557708.87</v>
      </c>
      <c r="AV245" s="1113">
        <v>2.4781821137318777E-2</v>
      </c>
      <c r="AW245" s="817">
        <v>2007</v>
      </c>
    </row>
    <row r="246" spans="1:49">
      <c r="A246" s="798">
        <f t="shared" si="6"/>
        <v>1990</v>
      </c>
      <c r="B246" s="798">
        <f t="shared" si="7"/>
        <v>4</v>
      </c>
      <c r="C246" s="1105">
        <v>33147</v>
      </c>
      <c r="D246" s="805">
        <v>325.72000000000003</v>
      </c>
      <c r="E246" s="1102">
        <v>475.67</v>
      </c>
      <c r="F246" s="1102">
        <v>379.98</v>
      </c>
      <c r="G246" s="1103"/>
      <c r="H246" s="805"/>
      <c r="I246" s="1103"/>
      <c r="J246" s="1103"/>
      <c r="K246" s="84">
        <v>11647.763476487831</v>
      </c>
      <c r="L246" s="84">
        <v>9140</v>
      </c>
      <c r="M246" s="84"/>
      <c r="N246" s="805"/>
      <c r="O246" s="941">
        <v>3501.21</v>
      </c>
      <c r="P246" s="941">
        <v>971.0972346119537</v>
      </c>
      <c r="Q246" s="941">
        <v>1724.7355677328917</v>
      </c>
      <c r="R246" s="805">
        <v>8.35</v>
      </c>
      <c r="S246" s="805">
        <v>789</v>
      </c>
      <c r="T246" s="805">
        <v>495</v>
      </c>
      <c r="U246" s="805"/>
      <c r="V246" s="805"/>
      <c r="W246" s="805"/>
      <c r="X246" s="5">
        <v>0.78469999999999995</v>
      </c>
      <c r="AJ246" s="817" t="s">
        <v>538</v>
      </c>
      <c r="AK246" s="817">
        <v>2012</v>
      </c>
      <c r="AL246" s="874" t="s">
        <v>37</v>
      </c>
      <c r="AM246" s="874">
        <v>10</v>
      </c>
      <c r="AN246" s="1114">
        <v>34189181</v>
      </c>
      <c r="AO246" s="1112">
        <v>0.03</v>
      </c>
      <c r="AP246" s="817"/>
      <c r="AQ246" s="817" t="s">
        <v>3</v>
      </c>
      <c r="AR246" s="817" t="s">
        <v>608</v>
      </c>
      <c r="AS246" s="874" t="s">
        <v>65</v>
      </c>
      <c r="AT246" s="874">
        <v>10</v>
      </c>
      <c r="AU246" s="1114">
        <v>44814173.819999993</v>
      </c>
      <c r="AV246" s="1113">
        <v>8.845150568762155E-3</v>
      </c>
      <c r="AW246" s="817">
        <v>2007</v>
      </c>
    </row>
    <row r="247" spans="1:49">
      <c r="A247" s="798">
        <f t="shared" si="6"/>
        <v>1990</v>
      </c>
      <c r="B247" s="798">
        <f t="shared" si="7"/>
        <v>4</v>
      </c>
      <c r="C247" s="1105">
        <v>33178</v>
      </c>
      <c r="D247" s="934">
        <v>340.86</v>
      </c>
      <c r="E247" s="1100">
        <v>494.64</v>
      </c>
      <c r="F247" s="1100">
        <v>382.14</v>
      </c>
      <c r="G247" s="1101"/>
      <c r="H247" s="935"/>
      <c r="I247" s="1101"/>
      <c r="J247" s="1101"/>
      <c r="K247" s="936">
        <v>11066.494512588768</v>
      </c>
      <c r="L247" s="936">
        <v>8571</v>
      </c>
      <c r="M247" s="936"/>
      <c r="N247" s="937"/>
      <c r="O247" s="938">
        <v>3336.99</v>
      </c>
      <c r="P247" s="938">
        <v>904.76436410587485</v>
      </c>
      <c r="Q247" s="938">
        <v>1651.0006455777923</v>
      </c>
      <c r="R247" s="939">
        <v>9.8000000000000007</v>
      </c>
      <c r="S247" s="940">
        <v>789</v>
      </c>
      <c r="T247" s="940">
        <v>495</v>
      </c>
      <c r="U247" s="1756"/>
      <c r="V247" s="1323"/>
      <c r="W247" s="1323"/>
      <c r="X247" s="538">
        <v>0.77449999999999997</v>
      </c>
      <c r="AJ247" s="817" t="s">
        <v>538</v>
      </c>
      <c r="AK247" s="817">
        <v>2012</v>
      </c>
      <c r="AL247" s="874" t="s">
        <v>45</v>
      </c>
      <c r="AM247" s="874"/>
      <c r="AN247" s="1114">
        <v>140423081</v>
      </c>
      <c r="AO247" s="1112">
        <v>0.122</v>
      </c>
      <c r="AP247" s="817"/>
      <c r="AQ247" s="817" t="s">
        <v>3</v>
      </c>
      <c r="AR247" s="817" t="s">
        <v>608</v>
      </c>
      <c r="AS247" s="874" t="s">
        <v>45</v>
      </c>
      <c r="AT247" s="874"/>
      <c r="AU247" s="1114">
        <v>466757178.51999938</v>
      </c>
      <c r="AV247" s="1113">
        <v>9.2125708701952636E-2</v>
      </c>
      <c r="AW247" s="817">
        <v>2007</v>
      </c>
    </row>
    <row r="248" spans="1:49">
      <c r="A248" s="798">
        <f t="shared" si="6"/>
        <v>1990</v>
      </c>
      <c r="B248" s="798">
        <f t="shared" si="7"/>
        <v>4</v>
      </c>
      <c r="C248" s="1105">
        <v>33208</v>
      </c>
      <c r="D248" s="805">
        <v>339.4</v>
      </c>
      <c r="E248" s="1102">
        <v>492.36</v>
      </c>
      <c r="F248" s="1102">
        <v>377.78</v>
      </c>
      <c r="G248" s="1103"/>
      <c r="H248" s="805"/>
      <c r="I248" s="1103"/>
      <c r="J248" s="1103"/>
      <c r="K248" s="84">
        <v>10598.215440320704</v>
      </c>
      <c r="L248" s="84">
        <v>8195.6</v>
      </c>
      <c r="M248" s="84"/>
      <c r="N248" s="805"/>
      <c r="O248" s="941">
        <v>3220.48</v>
      </c>
      <c r="P248" s="941">
        <v>804.17690417690415</v>
      </c>
      <c r="Q248" s="941">
        <v>1634.8118453381612</v>
      </c>
      <c r="R248" s="805">
        <v>9.6999999999999993</v>
      </c>
      <c r="S248" s="805">
        <v>789</v>
      </c>
      <c r="T248" s="805">
        <v>495</v>
      </c>
      <c r="U248" s="805"/>
      <c r="V248" s="805"/>
      <c r="W248" s="805"/>
      <c r="X248" s="5">
        <v>0.77329999999999999</v>
      </c>
      <c r="AJ248" s="817" t="s">
        <v>538</v>
      </c>
      <c r="AK248" s="817">
        <v>2012</v>
      </c>
      <c r="AL248" s="874" t="s">
        <v>452</v>
      </c>
      <c r="AM248" s="874"/>
      <c r="AN248" s="1114">
        <v>1150353341</v>
      </c>
      <c r="AO248" s="1112"/>
      <c r="AP248" s="817"/>
      <c r="AQ248" s="817" t="s">
        <v>3</v>
      </c>
      <c r="AR248" s="817" t="s">
        <v>608</v>
      </c>
      <c r="AS248" s="874" t="s">
        <v>452</v>
      </c>
      <c r="AT248" s="874"/>
      <c r="AU248" s="1114">
        <v>5192082407.5299988</v>
      </c>
      <c r="AV248" s="874"/>
      <c r="AW248" s="817">
        <v>2007</v>
      </c>
    </row>
    <row r="249" spans="1:49">
      <c r="A249" s="798">
        <f t="shared" si="6"/>
        <v>1991</v>
      </c>
      <c r="B249" s="798">
        <f t="shared" si="7"/>
        <v>1</v>
      </c>
      <c r="C249" s="1105">
        <v>33239</v>
      </c>
      <c r="D249" s="934">
        <v>298.81</v>
      </c>
      <c r="E249" s="1100">
        <v>498.04</v>
      </c>
      <c r="F249" s="1100">
        <v>386.57</v>
      </c>
      <c r="G249" s="1101"/>
      <c r="H249" s="935"/>
      <c r="I249" s="1101"/>
      <c r="J249" s="1101"/>
      <c r="K249" s="936">
        <v>10844.540705822395</v>
      </c>
      <c r="L249" s="936">
        <v>8511.8799999999992</v>
      </c>
      <c r="M249" s="936"/>
      <c r="N249" s="937"/>
      <c r="O249" s="938">
        <v>3125.75</v>
      </c>
      <c r="P249" s="938">
        <v>766.04663014396726</v>
      </c>
      <c r="Q249" s="938">
        <v>1540.8332271626959</v>
      </c>
      <c r="R249" s="939">
        <v>9.1</v>
      </c>
      <c r="S249" s="940">
        <v>741</v>
      </c>
      <c r="T249" s="940">
        <v>482</v>
      </c>
      <c r="U249" s="1756"/>
      <c r="V249" s="1323"/>
      <c r="W249" s="1323"/>
      <c r="X249" s="538">
        <v>0.78490000000000004</v>
      </c>
      <c r="AJ249" s="817" t="s">
        <v>538</v>
      </c>
      <c r="AK249" s="817">
        <v>2011</v>
      </c>
      <c r="AL249" s="874" t="s">
        <v>24</v>
      </c>
      <c r="AM249" s="874">
        <v>1</v>
      </c>
      <c r="AN249" s="1114">
        <v>257661911.24999997</v>
      </c>
      <c r="AO249" s="1112">
        <v>0.27677527780839778</v>
      </c>
      <c r="AP249" s="817"/>
      <c r="AQ249" s="817" t="s">
        <v>3</v>
      </c>
      <c r="AR249" s="817" t="s">
        <v>607</v>
      </c>
      <c r="AS249" s="874" t="s">
        <v>24</v>
      </c>
      <c r="AT249" s="874">
        <v>1</v>
      </c>
      <c r="AU249" s="1114">
        <v>3195107458.9328957</v>
      </c>
      <c r="AV249" s="1113">
        <v>0.40018278338624153</v>
      </c>
      <c r="AW249" s="817">
        <v>2006</v>
      </c>
    </row>
    <row r="250" spans="1:49">
      <c r="A250" s="798">
        <f t="shared" si="6"/>
        <v>1991</v>
      </c>
      <c r="B250" s="798">
        <f t="shared" si="7"/>
        <v>1</v>
      </c>
      <c r="C250" s="1105">
        <v>33270</v>
      </c>
      <c r="D250" s="805">
        <v>289.24</v>
      </c>
      <c r="E250" s="1102">
        <v>466.07</v>
      </c>
      <c r="F250" s="1102">
        <v>364.04</v>
      </c>
      <c r="G250" s="1103"/>
      <c r="H250" s="805"/>
      <c r="I250" s="1103"/>
      <c r="J250" s="1103"/>
      <c r="K250" s="84">
        <v>10983.479811488982</v>
      </c>
      <c r="L250" s="84">
        <v>8623.1299999999992</v>
      </c>
      <c r="M250" s="84"/>
      <c r="N250" s="805"/>
      <c r="O250" s="941">
        <v>3120.62</v>
      </c>
      <c r="P250" s="941">
        <v>754.10775697363385</v>
      </c>
      <c r="Q250" s="941">
        <v>1517.3863202139853</v>
      </c>
      <c r="R250" s="805">
        <v>9.5</v>
      </c>
      <c r="S250" s="805">
        <v>741</v>
      </c>
      <c r="T250" s="805">
        <v>482</v>
      </c>
      <c r="U250" s="805"/>
      <c r="V250" s="805"/>
      <c r="W250" s="805"/>
      <c r="X250" s="5">
        <v>0.78510000000000002</v>
      </c>
      <c r="AJ250" s="817" t="s">
        <v>538</v>
      </c>
      <c r="AK250" s="817">
        <v>2011</v>
      </c>
      <c r="AL250" s="874" t="s">
        <v>41</v>
      </c>
      <c r="AM250" s="874">
        <v>2</v>
      </c>
      <c r="AN250" s="1114">
        <v>169969730.33000001</v>
      </c>
      <c r="AO250" s="1112">
        <v>0.18257808887189264</v>
      </c>
      <c r="AP250" s="817"/>
      <c r="AQ250" s="817" t="s">
        <v>3</v>
      </c>
      <c r="AR250" s="817" t="s">
        <v>607</v>
      </c>
      <c r="AS250" s="874" t="s">
        <v>66</v>
      </c>
      <c r="AT250" s="874">
        <v>2</v>
      </c>
      <c r="AU250" s="1114">
        <v>1790361050.6323795</v>
      </c>
      <c r="AV250" s="1113">
        <v>0.22424024159352346</v>
      </c>
      <c r="AW250" s="817">
        <v>2006</v>
      </c>
    </row>
    <row r="251" spans="1:49">
      <c r="A251" s="798">
        <f t="shared" si="6"/>
        <v>1991</v>
      </c>
      <c r="B251" s="798">
        <f t="shared" si="7"/>
        <v>1</v>
      </c>
      <c r="C251" s="1105">
        <v>33298</v>
      </c>
      <c r="D251" s="934">
        <v>281.17</v>
      </c>
      <c r="E251" s="1100">
        <v>473.36</v>
      </c>
      <c r="F251" s="1100">
        <v>363.66</v>
      </c>
      <c r="G251" s="1101"/>
      <c r="H251" s="935"/>
      <c r="I251" s="1101"/>
      <c r="J251" s="1101"/>
      <c r="K251" s="936">
        <v>11237.100103199175</v>
      </c>
      <c r="L251" s="936">
        <v>8711</v>
      </c>
      <c r="M251" s="936"/>
      <c r="N251" s="937"/>
      <c r="O251" s="938">
        <v>3123.97</v>
      </c>
      <c r="P251" s="938">
        <v>782.1078431372548</v>
      </c>
      <c r="Q251" s="938">
        <v>1548.7616099071206</v>
      </c>
      <c r="R251" s="939">
        <v>9.3000000000000007</v>
      </c>
      <c r="S251" s="940">
        <v>741</v>
      </c>
      <c r="T251" s="940">
        <v>482</v>
      </c>
      <c r="U251" s="1756"/>
      <c r="V251" s="1323"/>
      <c r="W251" s="1323"/>
      <c r="X251" s="538">
        <v>0.7752</v>
      </c>
      <c r="AJ251" s="817" t="s">
        <v>538</v>
      </c>
      <c r="AK251" s="817">
        <v>2011</v>
      </c>
      <c r="AL251" s="874" t="s">
        <v>33</v>
      </c>
      <c r="AM251" s="874">
        <v>3</v>
      </c>
      <c r="AN251" s="1114">
        <v>101503781.13999997</v>
      </c>
      <c r="AO251" s="1112">
        <v>0.10903333398147454</v>
      </c>
      <c r="AP251" s="817"/>
      <c r="AQ251" s="817" t="s">
        <v>3</v>
      </c>
      <c r="AR251" s="817" t="s">
        <v>607</v>
      </c>
      <c r="AS251" s="874" t="s">
        <v>29</v>
      </c>
      <c r="AT251" s="874">
        <v>3</v>
      </c>
      <c r="AU251" s="1114">
        <v>1246926532.082185</v>
      </c>
      <c r="AV251" s="1113">
        <v>0.15617582090758797</v>
      </c>
      <c r="AW251" s="817">
        <v>2006</v>
      </c>
    </row>
    <row r="252" spans="1:49">
      <c r="A252" s="798">
        <f t="shared" si="6"/>
        <v>1991</v>
      </c>
      <c r="B252" s="798">
        <f t="shared" si="7"/>
        <v>2</v>
      </c>
      <c r="C252" s="1105">
        <v>33329</v>
      </c>
      <c r="D252" s="805">
        <v>281.60000000000002</v>
      </c>
      <c r="E252" s="1102">
        <v>462.02</v>
      </c>
      <c r="F252" s="1102">
        <v>358.77</v>
      </c>
      <c r="G252" s="1103"/>
      <c r="H252" s="805"/>
      <c r="I252" s="1103"/>
      <c r="J252" s="1103"/>
      <c r="K252" s="84">
        <v>11518.971472431878</v>
      </c>
      <c r="L252" s="84">
        <v>9004.3799999999992</v>
      </c>
      <c r="M252" s="84"/>
      <c r="N252" s="805"/>
      <c r="O252" s="941">
        <v>3159.4</v>
      </c>
      <c r="P252" s="941">
        <v>767.6730203402841</v>
      </c>
      <c r="Q252" s="941">
        <v>1594.3456569016248</v>
      </c>
      <c r="R252" s="805">
        <v>9.1</v>
      </c>
      <c r="S252" s="805">
        <v>704</v>
      </c>
      <c r="T252" s="805">
        <v>435</v>
      </c>
      <c r="U252" s="805"/>
      <c r="V252" s="805"/>
      <c r="W252" s="805"/>
      <c r="X252" s="5">
        <v>0.78169999999999995</v>
      </c>
      <c r="AJ252" s="817" t="s">
        <v>538</v>
      </c>
      <c r="AK252" s="817">
        <v>2011</v>
      </c>
      <c r="AL252" s="874" t="s">
        <v>84</v>
      </c>
      <c r="AM252" s="874">
        <v>4</v>
      </c>
      <c r="AN252" s="1114">
        <v>91865617.050000012</v>
      </c>
      <c r="AO252" s="1112">
        <v>9.8680210655519005E-2</v>
      </c>
      <c r="AP252" s="817"/>
      <c r="AQ252" s="817" t="s">
        <v>3</v>
      </c>
      <c r="AR252" s="817" t="s">
        <v>607</v>
      </c>
      <c r="AS252" s="874" t="s">
        <v>33</v>
      </c>
      <c r="AT252" s="874">
        <v>4</v>
      </c>
      <c r="AU252" s="1114">
        <v>443782098.31849658</v>
      </c>
      <c r="AV252" s="1113">
        <v>5.5583093089894266E-2</v>
      </c>
      <c r="AW252" s="817">
        <v>2006</v>
      </c>
    </row>
    <row r="253" spans="1:49">
      <c r="A253" s="798">
        <f t="shared" si="6"/>
        <v>1991</v>
      </c>
      <c r="B253" s="798">
        <f t="shared" si="7"/>
        <v>2</v>
      </c>
      <c r="C253" s="1105">
        <v>33359</v>
      </c>
      <c r="D253" s="934">
        <v>266.66000000000003</v>
      </c>
      <c r="E253" s="1100">
        <v>462.98</v>
      </c>
      <c r="F253" s="1100">
        <v>357.14</v>
      </c>
      <c r="G253" s="1101"/>
      <c r="H253" s="935"/>
      <c r="I253" s="1101"/>
      <c r="J253" s="1101"/>
      <c r="K253" s="936">
        <v>11074.385596004731</v>
      </c>
      <c r="L253" s="936">
        <v>8426.5</v>
      </c>
      <c r="M253" s="936"/>
      <c r="N253" s="937"/>
      <c r="O253" s="938">
        <v>3059.93</v>
      </c>
      <c r="P253" s="938">
        <v>734.15691943750824</v>
      </c>
      <c r="Q253" s="938">
        <v>1436.851097384676</v>
      </c>
      <c r="R253" s="939">
        <v>9.1999999999999993</v>
      </c>
      <c r="S253" s="940">
        <v>704</v>
      </c>
      <c r="T253" s="940">
        <v>435</v>
      </c>
      <c r="U253" s="1756"/>
      <c r="V253" s="1323"/>
      <c r="W253" s="1323"/>
      <c r="X253" s="538">
        <v>0.76090000000000002</v>
      </c>
      <c r="AJ253" s="817" t="s">
        <v>538</v>
      </c>
      <c r="AK253" s="817">
        <v>2011</v>
      </c>
      <c r="AL253" s="874" t="s">
        <v>72</v>
      </c>
      <c r="AM253" s="874">
        <v>5</v>
      </c>
      <c r="AN253" s="1114">
        <v>56477506.440000005</v>
      </c>
      <c r="AO253" s="1112">
        <v>6.0667009178899653E-2</v>
      </c>
      <c r="AP253" s="817"/>
      <c r="AQ253" s="817" t="s">
        <v>3</v>
      </c>
      <c r="AR253" s="817" t="s">
        <v>607</v>
      </c>
      <c r="AS253" s="874" t="s">
        <v>165</v>
      </c>
      <c r="AT253" s="874">
        <v>5</v>
      </c>
      <c r="AU253" s="1114">
        <v>308903069.50406635</v>
      </c>
      <c r="AV253" s="1113">
        <v>3.8689681564568354E-2</v>
      </c>
      <c r="AW253" s="817">
        <v>2006</v>
      </c>
    </row>
    <row r="254" spans="1:49">
      <c r="A254" s="798">
        <f t="shared" si="6"/>
        <v>1991</v>
      </c>
      <c r="B254" s="798">
        <f t="shared" si="7"/>
        <v>2</v>
      </c>
      <c r="C254" s="1105">
        <v>33390</v>
      </c>
      <c r="D254" s="805">
        <v>281.74</v>
      </c>
      <c r="E254" s="1102">
        <v>483.83</v>
      </c>
      <c r="F254" s="1102">
        <v>366.49</v>
      </c>
      <c r="G254" s="1103"/>
      <c r="H254" s="805"/>
      <c r="I254" s="1103"/>
      <c r="J254" s="1103"/>
      <c r="K254" s="84">
        <v>10801.002473636245</v>
      </c>
      <c r="L254" s="84">
        <v>8296.25</v>
      </c>
      <c r="M254" s="84"/>
      <c r="N254" s="805"/>
      <c r="O254" s="941">
        <v>2889.47</v>
      </c>
      <c r="P254" s="941">
        <v>715.37560213513871</v>
      </c>
      <c r="Q254" s="941">
        <v>1383.1532352558261</v>
      </c>
      <c r="R254" s="805">
        <v>9.0500000000000007</v>
      </c>
      <c r="S254" s="805">
        <v>704</v>
      </c>
      <c r="T254" s="805">
        <v>435</v>
      </c>
      <c r="U254" s="805"/>
      <c r="V254" s="805"/>
      <c r="W254" s="805"/>
      <c r="X254" s="5">
        <v>0.7681</v>
      </c>
      <c r="AJ254" s="817" t="s">
        <v>538</v>
      </c>
      <c r="AK254" s="817">
        <v>2011</v>
      </c>
      <c r="AL254" s="874" t="s">
        <v>29</v>
      </c>
      <c r="AM254" s="874">
        <v>6</v>
      </c>
      <c r="AN254" s="1114">
        <v>34798913.290000007</v>
      </c>
      <c r="AO254" s="1112">
        <v>3.7380297485742953E-2</v>
      </c>
      <c r="AP254" s="817"/>
      <c r="AQ254" s="817" t="s">
        <v>3</v>
      </c>
      <c r="AR254" s="817" t="s">
        <v>607</v>
      </c>
      <c r="AS254" s="874" t="s">
        <v>63</v>
      </c>
      <c r="AT254" s="874">
        <v>6</v>
      </c>
      <c r="AU254" s="1114">
        <v>253738823.90317833</v>
      </c>
      <c r="AV254" s="1113">
        <v>3.1780436216263704E-2</v>
      </c>
      <c r="AW254" s="817">
        <v>2006</v>
      </c>
    </row>
    <row r="255" spans="1:49">
      <c r="A255" s="798">
        <f t="shared" si="6"/>
        <v>1991</v>
      </c>
      <c r="B255" s="798">
        <f t="shared" si="7"/>
        <v>3</v>
      </c>
      <c r="C255" s="1105">
        <v>33420</v>
      </c>
      <c r="D255" s="934">
        <v>262.97000000000003</v>
      </c>
      <c r="E255" s="1100">
        <v>479</v>
      </c>
      <c r="F255" s="1100">
        <v>368</v>
      </c>
      <c r="G255" s="1101"/>
      <c r="H255" s="935"/>
      <c r="I255" s="1101"/>
      <c r="J255" s="1101"/>
      <c r="K255" s="936">
        <v>10985.594855305466</v>
      </c>
      <c r="L255" s="936">
        <v>8541.2999999999993</v>
      </c>
      <c r="M255" s="936"/>
      <c r="N255" s="937"/>
      <c r="O255" s="938">
        <v>2869.84</v>
      </c>
      <c r="P255" s="938">
        <v>703.48553054662386</v>
      </c>
      <c r="Q255" s="938">
        <v>1368.6173633440515</v>
      </c>
      <c r="R255" s="939">
        <v>8.5500000000000007</v>
      </c>
      <c r="S255" s="940">
        <v>655</v>
      </c>
      <c r="T255" s="940">
        <v>374</v>
      </c>
      <c r="U255" s="1756"/>
      <c r="V255" s="1323"/>
      <c r="W255" s="1323"/>
      <c r="X255" s="538">
        <v>0.77749999999999997</v>
      </c>
      <c r="AJ255" s="817" t="s">
        <v>538</v>
      </c>
      <c r="AK255" s="817">
        <v>2011</v>
      </c>
      <c r="AL255" s="874" t="s">
        <v>31</v>
      </c>
      <c r="AM255" s="874">
        <v>7</v>
      </c>
      <c r="AN255" s="1114">
        <v>29775230.719999995</v>
      </c>
      <c r="AO255" s="1112">
        <v>3.1983958026070645E-2</v>
      </c>
      <c r="AP255" s="817"/>
      <c r="AQ255" s="817" t="s">
        <v>3</v>
      </c>
      <c r="AR255" s="817" t="s">
        <v>607</v>
      </c>
      <c r="AS255" s="874" t="s">
        <v>68</v>
      </c>
      <c r="AT255" s="874">
        <v>7</v>
      </c>
      <c r="AU255" s="1114">
        <v>145024295.43139207</v>
      </c>
      <c r="AV255" s="1113">
        <v>1.8164092115933419E-2</v>
      </c>
      <c r="AW255" s="817">
        <v>2006</v>
      </c>
    </row>
    <row r="256" spans="1:49">
      <c r="A256" s="798">
        <f t="shared" si="6"/>
        <v>1991</v>
      </c>
      <c r="B256" s="798">
        <f t="shared" si="7"/>
        <v>3</v>
      </c>
      <c r="C256" s="1105">
        <v>33451</v>
      </c>
      <c r="D256" s="805">
        <v>256.29000000000002</v>
      </c>
      <c r="E256" s="1102">
        <v>458.42</v>
      </c>
      <c r="F256" s="1102">
        <v>357.21</v>
      </c>
      <c r="G256" s="1103"/>
      <c r="H256" s="805"/>
      <c r="I256" s="1103"/>
      <c r="J256" s="1103"/>
      <c r="K256" s="84">
        <v>10383.363080061194</v>
      </c>
      <c r="L256" s="84">
        <v>8144.71</v>
      </c>
      <c r="M256" s="84"/>
      <c r="N256" s="805"/>
      <c r="O256" s="941">
        <v>2844.72</v>
      </c>
      <c r="P256" s="941">
        <v>686.33350331463544</v>
      </c>
      <c r="Q256" s="941">
        <v>1333.7582865884754</v>
      </c>
      <c r="R256" s="805">
        <v>8.75</v>
      </c>
      <c r="S256" s="805">
        <v>655</v>
      </c>
      <c r="T256" s="805">
        <v>374</v>
      </c>
      <c r="U256" s="805"/>
      <c r="V256" s="805"/>
      <c r="W256" s="805"/>
      <c r="X256" s="5">
        <v>0.78439999999999999</v>
      </c>
      <c r="AJ256" s="817" t="s">
        <v>538</v>
      </c>
      <c r="AK256" s="817">
        <v>2011</v>
      </c>
      <c r="AL256" s="874" t="s">
        <v>433</v>
      </c>
      <c r="AM256" s="874">
        <v>8</v>
      </c>
      <c r="AN256" s="1114">
        <v>27238459.690000005</v>
      </c>
      <c r="AO256" s="1112">
        <v>2.9259009262171638E-2</v>
      </c>
      <c r="AP256" s="817"/>
      <c r="AQ256" s="817" t="s">
        <v>3</v>
      </c>
      <c r="AR256" s="817" t="s">
        <v>607</v>
      </c>
      <c r="AS256" s="874" t="s">
        <v>65</v>
      </c>
      <c r="AT256" s="874">
        <v>8</v>
      </c>
      <c r="AU256" s="1114">
        <v>123012672.22183648</v>
      </c>
      <c r="AV256" s="1113">
        <v>1.5407166799314779E-2</v>
      </c>
      <c r="AW256" s="817">
        <v>2006</v>
      </c>
    </row>
    <row r="257" spans="1:49">
      <c r="A257" s="798">
        <f t="shared" si="6"/>
        <v>1991</v>
      </c>
      <c r="B257" s="798">
        <f t="shared" si="7"/>
        <v>3</v>
      </c>
      <c r="C257" s="1105">
        <v>33482</v>
      </c>
      <c r="D257" s="934">
        <v>258.74</v>
      </c>
      <c r="E257" s="1100">
        <v>441.66</v>
      </c>
      <c r="F257" s="1100">
        <v>348.56</v>
      </c>
      <c r="G257" s="1101"/>
      <c r="H257" s="935"/>
      <c r="I257" s="1101"/>
      <c r="J257" s="1101"/>
      <c r="K257" s="936">
        <v>9635.0250626566412</v>
      </c>
      <c r="L257" s="936">
        <v>7688.75</v>
      </c>
      <c r="M257" s="936"/>
      <c r="N257" s="937"/>
      <c r="O257" s="938">
        <v>2910.4</v>
      </c>
      <c r="P257" s="938">
        <v>675.86466165413538</v>
      </c>
      <c r="Q257" s="938">
        <v>1282.7067669172932</v>
      </c>
      <c r="R257" s="939">
        <v>8.4</v>
      </c>
      <c r="S257" s="940">
        <v>655</v>
      </c>
      <c r="T257" s="940">
        <v>374</v>
      </c>
      <c r="U257" s="1756"/>
      <c r="V257" s="1323"/>
      <c r="W257" s="1323"/>
      <c r="X257" s="538">
        <v>0.79800000000000004</v>
      </c>
      <c r="AJ257" s="817" t="s">
        <v>538</v>
      </c>
      <c r="AK257" s="817">
        <v>2011</v>
      </c>
      <c r="AL257" s="874" t="s">
        <v>68</v>
      </c>
      <c r="AM257" s="874">
        <v>9</v>
      </c>
      <c r="AN257" s="1114">
        <v>26375176.350000001</v>
      </c>
      <c r="AO257" s="1112">
        <v>2.8331687543968469E-2</v>
      </c>
      <c r="AP257" s="817"/>
      <c r="AQ257" s="817" t="s">
        <v>3</v>
      </c>
      <c r="AR257" s="817" t="s">
        <v>607</v>
      </c>
      <c r="AS257" s="874" t="s">
        <v>451</v>
      </c>
      <c r="AT257" s="874">
        <v>9</v>
      </c>
      <c r="AU257" s="1114">
        <v>121713774.95107523</v>
      </c>
      <c r="AV257" s="1113">
        <v>1.5244481715377216E-2</v>
      </c>
      <c r="AW257" s="817">
        <v>2006</v>
      </c>
    </row>
    <row r="258" spans="1:49">
      <c r="A258" s="798">
        <f t="shared" si="6"/>
        <v>1991</v>
      </c>
      <c r="B258" s="798">
        <f t="shared" si="7"/>
        <v>4</v>
      </c>
      <c r="C258" s="1105">
        <v>33512</v>
      </c>
      <c r="D258" s="805">
        <v>246.35</v>
      </c>
      <c r="E258" s="1102">
        <v>453.87</v>
      </c>
      <c r="F258" s="1102">
        <v>358.95</v>
      </c>
      <c r="G258" s="1103"/>
      <c r="H258" s="805"/>
      <c r="I258" s="1103"/>
      <c r="J258" s="1103"/>
      <c r="K258" s="84">
        <v>9503.1912177687009</v>
      </c>
      <c r="L258" s="84">
        <v>7444.8</v>
      </c>
      <c r="M258" s="84"/>
      <c r="N258" s="805"/>
      <c r="O258" s="941">
        <v>3013.66</v>
      </c>
      <c r="P258" s="941">
        <v>666.07097268317591</v>
      </c>
      <c r="Q258" s="941">
        <v>1266.3900944600459</v>
      </c>
      <c r="R258" s="805">
        <v>7.25</v>
      </c>
      <c r="S258" s="805">
        <v>651</v>
      </c>
      <c r="T258" s="805">
        <v>312</v>
      </c>
      <c r="U258" s="805"/>
      <c r="V258" s="805"/>
      <c r="W258" s="805"/>
      <c r="X258" s="5">
        <v>0.78339999999999999</v>
      </c>
      <c r="AJ258" s="817" t="s">
        <v>538</v>
      </c>
      <c r="AK258" s="817">
        <v>2011</v>
      </c>
      <c r="AL258" s="874" t="s">
        <v>27</v>
      </c>
      <c r="AM258" s="874">
        <v>10</v>
      </c>
      <c r="AN258" s="1114">
        <v>25441316.079999998</v>
      </c>
      <c r="AO258" s="1112">
        <v>2.7328553497459388E-2</v>
      </c>
      <c r="AP258" s="817"/>
      <c r="AQ258" s="817" t="s">
        <v>3</v>
      </c>
      <c r="AR258" s="817" t="s">
        <v>607</v>
      </c>
      <c r="AS258" s="874" t="s">
        <v>433</v>
      </c>
      <c r="AT258" s="874">
        <v>10</v>
      </c>
      <c r="AU258" s="1114">
        <v>72627375.023722231</v>
      </c>
      <c r="AV258" s="1113">
        <v>9.0964781186847633E-3</v>
      </c>
      <c r="AW258" s="817">
        <v>2006</v>
      </c>
    </row>
    <row r="259" spans="1:49">
      <c r="A259" s="798">
        <f t="shared" si="6"/>
        <v>1991</v>
      </c>
      <c r="B259" s="798">
        <f t="shared" si="7"/>
        <v>4</v>
      </c>
      <c r="C259" s="1105">
        <v>33543</v>
      </c>
      <c r="D259" s="934">
        <v>246.67</v>
      </c>
      <c r="E259" s="1100">
        <v>459.82</v>
      </c>
      <c r="F259" s="1100">
        <v>359.81</v>
      </c>
      <c r="G259" s="1101"/>
      <c r="H259" s="935"/>
      <c r="I259" s="1101"/>
      <c r="J259" s="1101"/>
      <c r="K259" s="936">
        <v>9256.5017848036714</v>
      </c>
      <c r="L259" s="936">
        <v>7260.8</v>
      </c>
      <c r="M259" s="936"/>
      <c r="N259" s="937"/>
      <c r="O259" s="938">
        <v>3030.72</v>
      </c>
      <c r="P259" s="938">
        <v>645.78021417644061</v>
      </c>
      <c r="Q259" s="938">
        <v>1394.3141254462009</v>
      </c>
      <c r="R259" s="939">
        <v>7.4</v>
      </c>
      <c r="S259" s="940">
        <v>651</v>
      </c>
      <c r="T259" s="940">
        <v>312</v>
      </c>
      <c r="U259" s="1756"/>
      <c r="V259" s="1323"/>
      <c r="W259" s="1323"/>
      <c r="X259" s="538">
        <v>0.78439999999999999</v>
      </c>
      <c r="AJ259" s="817" t="s">
        <v>538</v>
      </c>
      <c r="AK259" s="817">
        <v>2011</v>
      </c>
      <c r="AL259" s="874" t="s">
        <v>80</v>
      </c>
      <c r="AM259" s="874">
        <v>11</v>
      </c>
      <c r="AN259" s="1114">
        <v>21942313.099999998</v>
      </c>
      <c r="AO259" s="1112">
        <v>2.3569994395170216E-2</v>
      </c>
      <c r="AP259" s="817"/>
      <c r="AQ259" s="817" t="s">
        <v>3</v>
      </c>
      <c r="AR259" s="817" t="s">
        <v>607</v>
      </c>
      <c r="AS259" s="874" t="s">
        <v>45</v>
      </c>
      <c r="AT259" s="874"/>
      <c r="AU259" s="1114">
        <v>282923084.99877071</v>
      </c>
      <c r="AV259" s="1113">
        <v>3.5435724492610302E-2</v>
      </c>
      <c r="AW259" s="817">
        <v>2006</v>
      </c>
    </row>
    <row r="260" spans="1:49">
      <c r="A260" s="798">
        <f t="shared" si="6"/>
        <v>1991</v>
      </c>
      <c r="B260" s="798">
        <f t="shared" si="7"/>
        <v>4</v>
      </c>
      <c r="C260" s="1105">
        <v>33573</v>
      </c>
      <c r="D260" s="805">
        <v>253.57</v>
      </c>
      <c r="E260" s="1102">
        <v>470.01</v>
      </c>
      <c r="F260" s="1102">
        <v>361.72</v>
      </c>
      <c r="G260" s="1103"/>
      <c r="H260" s="805"/>
      <c r="I260" s="1103"/>
      <c r="J260" s="1103"/>
      <c r="K260" s="84">
        <v>9134.1838697268868</v>
      </c>
      <c r="L260" s="84">
        <v>7123.75</v>
      </c>
      <c r="M260" s="84"/>
      <c r="N260" s="805"/>
      <c r="O260" s="941">
        <v>2835.36</v>
      </c>
      <c r="P260" s="941">
        <v>683.58763944095392</v>
      </c>
      <c r="Q260" s="941">
        <v>1520.0666752147711</v>
      </c>
      <c r="R260" s="805">
        <v>8.75</v>
      </c>
      <c r="S260" s="805">
        <v>651</v>
      </c>
      <c r="T260" s="805">
        <v>312</v>
      </c>
      <c r="U260" s="805"/>
      <c r="V260" s="805"/>
      <c r="W260" s="805"/>
      <c r="X260" s="5">
        <v>0.77990000000000004</v>
      </c>
      <c r="AJ260" s="817" t="s">
        <v>538</v>
      </c>
      <c r="AK260" s="817">
        <v>2011</v>
      </c>
      <c r="AL260" s="874" t="s">
        <v>451</v>
      </c>
      <c r="AM260" s="874">
        <v>12</v>
      </c>
      <c r="AN260" s="1114">
        <v>15986432.130000003</v>
      </c>
      <c r="AO260" s="1112">
        <v>1.7172306036544033E-2</v>
      </c>
      <c r="AP260" s="817"/>
      <c r="AQ260" s="817" t="s">
        <v>3</v>
      </c>
      <c r="AR260" s="817" t="s">
        <v>607</v>
      </c>
      <c r="AS260" s="874" t="s">
        <v>452</v>
      </c>
      <c r="AT260" s="874"/>
      <c r="AU260" s="1114">
        <v>7984120235.9999981</v>
      </c>
      <c r="AV260" s="874"/>
      <c r="AW260" s="817">
        <v>2006</v>
      </c>
    </row>
    <row r="261" spans="1:49">
      <c r="A261" s="798">
        <f t="shared" si="6"/>
        <v>1992</v>
      </c>
      <c r="B261" s="798">
        <f t="shared" si="7"/>
        <v>1</v>
      </c>
      <c r="C261" s="1105">
        <v>33604</v>
      </c>
      <c r="D261" s="934">
        <v>240.82</v>
      </c>
      <c r="E261" s="1100">
        <v>475.18</v>
      </c>
      <c r="F261" s="1100">
        <v>354.4</v>
      </c>
      <c r="G261" s="1101"/>
      <c r="H261" s="935"/>
      <c r="I261" s="1101"/>
      <c r="J261" s="1101"/>
      <c r="K261" s="936">
        <v>10003.206841261357</v>
      </c>
      <c r="L261" s="936">
        <v>7486.4</v>
      </c>
      <c r="M261" s="936"/>
      <c r="N261" s="937">
        <v>20.22</v>
      </c>
      <c r="O261" s="938">
        <v>2856.89</v>
      </c>
      <c r="P261" s="938">
        <v>688.93639764831653</v>
      </c>
      <c r="Q261" s="938">
        <v>1543.6932121859968</v>
      </c>
      <c r="R261" s="939">
        <v>8</v>
      </c>
      <c r="S261" s="940">
        <v>611</v>
      </c>
      <c r="T261" s="940">
        <v>255</v>
      </c>
      <c r="U261" s="1756"/>
      <c r="V261" s="1323"/>
      <c r="W261" s="1323"/>
      <c r="X261" s="538">
        <v>0.74839999999999995</v>
      </c>
      <c r="AJ261" s="817" t="s">
        <v>538</v>
      </c>
      <c r="AK261" s="817">
        <v>2011</v>
      </c>
      <c r="AL261" s="874" t="s">
        <v>45</v>
      </c>
      <c r="AM261" s="874"/>
      <c r="AN261" s="1114">
        <v>71906264.859999895</v>
      </c>
      <c r="AO261" s="1112">
        <v>7.7240273256688821E-2</v>
      </c>
      <c r="AP261" s="817"/>
      <c r="AQ261" s="817" t="s">
        <v>3</v>
      </c>
      <c r="AR261" s="817" t="s">
        <v>606</v>
      </c>
      <c r="AS261" s="874" t="s">
        <v>24</v>
      </c>
      <c r="AT261" s="874">
        <v>1</v>
      </c>
      <c r="AU261" s="1114">
        <v>670589913.6869092</v>
      </c>
      <c r="AV261" s="1113">
        <v>0.22617286576121345</v>
      </c>
      <c r="AW261" s="817">
        <v>2005</v>
      </c>
    </row>
    <row r="262" spans="1:49">
      <c r="A262" s="798">
        <f t="shared" si="6"/>
        <v>1992</v>
      </c>
      <c r="B262" s="798">
        <f t="shared" si="7"/>
        <v>1</v>
      </c>
      <c r="C262" s="1105">
        <v>33635</v>
      </c>
      <c r="D262" s="805">
        <v>229.53</v>
      </c>
      <c r="E262" s="1102">
        <v>473.18</v>
      </c>
      <c r="F262" s="1102">
        <v>354.42</v>
      </c>
      <c r="G262" s="1103"/>
      <c r="H262" s="805"/>
      <c r="I262" s="1103"/>
      <c r="J262" s="1103"/>
      <c r="K262" s="84">
        <v>10334.212619300106</v>
      </c>
      <c r="L262" s="84">
        <v>7796.13</v>
      </c>
      <c r="M262" s="84"/>
      <c r="N262" s="805">
        <v>19.29</v>
      </c>
      <c r="O262" s="941">
        <v>2922.19</v>
      </c>
      <c r="P262" s="941">
        <v>669.08801696712624</v>
      </c>
      <c r="Q262" s="941">
        <v>1499.3372216330858</v>
      </c>
      <c r="R262" s="805">
        <v>8</v>
      </c>
      <c r="S262" s="805">
        <v>611</v>
      </c>
      <c r="T262" s="805">
        <v>255</v>
      </c>
      <c r="U262" s="805"/>
      <c r="V262" s="805"/>
      <c r="W262" s="805"/>
      <c r="X262" s="5">
        <v>0.75439999999999996</v>
      </c>
      <c r="AJ262" s="817" t="s">
        <v>538</v>
      </c>
      <c r="AK262" s="817">
        <v>2011</v>
      </c>
      <c r="AL262" s="874" t="s">
        <v>452</v>
      </c>
      <c r="AM262" s="874"/>
      <c r="AN262" s="1114">
        <v>930942652.43000007</v>
      </c>
      <c r="AO262" s="1112"/>
      <c r="AP262" s="817"/>
      <c r="AQ262" s="817" t="s">
        <v>3</v>
      </c>
      <c r="AR262" s="817" t="s">
        <v>606</v>
      </c>
      <c r="AS262" s="874" t="s">
        <v>65</v>
      </c>
      <c r="AT262" s="874">
        <v>2</v>
      </c>
      <c r="AU262" s="1114">
        <v>534556422.10000002</v>
      </c>
      <c r="AV262" s="1113">
        <v>0.1802922403540142</v>
      </c>
      <c r="AW262" s="817">
        <v>2005</v>
      </c>
    </row>
    <row r="263" spans="1:49">
      <c r="A263" s="798">
        <f t="shared" si="6"/>
        <v>1992</v>
      </c>
      <c r="B263" s="798">
        <f t="shared" si="7"/>
        <v>1</v>
      </c>
      <c r="C263" s="1105">
        <v>33664</v>
      </c>
      <c r="D263" s="934">
        <v>225.43</v>
      </c>
      <c r="E263" s="1100">
        <v>456.4</v>
      </c>
      <c r="F263" s="1100">
        <v>344.8</v>
      </c>
      <c r="G263" s="1101"/>
      <c r="H263" s="935"/>
      <c r="I263" s="1101"/>
      <c r="J263" s="1101"/>
      <c r="K263" s="936">
        <v>9623.5684539302456</v>
      </c>
      <c r="L263" s="936">
        <v>7394.75</v>
      </c>
      <c r="M263" s="936"/>
      <c r="N263" s="937">
        <v>18.399999999999999</v>
      </c>
      <c r="O263" s="938">
        <v>2900.57</v>
      </c>
      <c r="P263" s="938">
        <v>678.78709005726193</v>
      </c>
      <c r="Q263" s="938">
        <v>1581.0775637688705</v>
      </c>
      <c r="R263" s="939">
        <v>7.85</v>
      </c>
      <c r="S263" s="940">
        <v>611</v>
      </c>
      <c r="T263" s="940">
        <v>255</v>
      </c>
      <c r="U263" s="1756"/>
      <c r="V263" s="1323"/>
      <c r="W263" s="1323"/>
      <c r="X263" s="538">
        <v>0.76839999999999997</v>
      </c>
      <c r="AJ263" s="817" t="s">
        <v>538</v>
      </c>
      <c r="AK263" s="817">
        <v>2010</v>
      </c>
      <c r="AL263" s="874" t="s">
        <v>24</v>
      </c>
      <c r="AM263" s="874">
        <v>1</v>
      </c>
      <c r="AN263" s="1114">
        <v>174050973</v>
      </c>
      <c r="AO263" s="1112">
        <v>0.26300000000000001</v>
      </c>
      <c r="AP263" s="817"/>
      <c r="AQ263" s="817" t="s">
        <v>3</v>
      </c>
      <c r="AR263" s="817" t="s">
        <v>606</v>
      </c>
      <c r="AS263" s="874" t="s">
        <v>454</v>
      </c>
      <c r="AT263" s="874">
        <v>3</v>
      </c>
      <c r="AU263" s="1114">
        <v>477572114.13000005</v>
      </c>
      <c r="AV263" s="1113">
        <v>0.16107288740232059</v>
      </c>
      <c r="AW263" s="817">
        <v>2005</v>
      </c>
    </row>
    <row r="264" spans="1:49">
      <c r="A264" s="798">
        <f t="shared" si="6"/>
        <v>1992</v>
      </c>
      <c r="B264" s="798">
        <f t="shared" si="7"/>
        <v>2</v>
      </c>
      <c r="C264" s="1105">
        <v>33695</v>
      </c>
      <c r="D264" s="805">
        <v>223.68</v>
      </c>
      <c r="E264" s="1102">
        <v>446.01</v>
      </c>
      <c r="F264" s="1102">
        <v>339.07</v>
      </c>
      <c r="G264" s="1103"/>
      <c r="H264" s="805"/>
      <c r="I264" s="1103"/>
      <c r="J264" s="1103"/>
      <c r="K264" s="84">
        <v>9770.3542736731197</v>
      </c>
      <c r="L264" s="84">
        <v>7418.63</v>
      </c>
      <c r="M264" s="84"/>
      <c r="N264" s="805">
        <v>18.86</v>
      </c>
      <c r="O264" s="941">
        <v>2916.11</v>
      </c>
      <c r="P264" s="941">
        <v>701.19847227709727</v>
      </c>
      <c r="Q264" s="941">
        <v>1718.0297642565522</v>
      </c>
      <c r="R264" s="805">
        <v>7.75</v>
      </c>
      <c r="S264" s="805">
        <v>569</v>
      </c>
      <c r="T264" s="805">
        <v>227</v>
      </c>
      <c r="U264" s="805"/>
      <c r="V264" s="805"/>
      <c r="W264" s="805"/>
      <c r="X264" s="5">
        <v>0.75929999999999997</v>
      </c>
      <c r="AJ264" s="817" t="s">
        <v>538</v>
      </c>
      <c r="AK264" s="817">
        <v>2010</v>
      </c>
      <c r="AL264" s="874" t="s">
        <v>41</v>
      </c>
      <c r="AM264" s="874">
        <v>2</v>
      </c>
      <c r="AN264" s="1114">
        <v>112624882</v>
      </c>
      <c r="AO264" s="1112">
        <v>0.17</v>
      </c>
      <c r="AP264" s="817"/>
      <c r="AQ264" s="817" t="s">
        <v>3</v>
      </c>
      <c r="AR264" s="817" t="s">
        <v>606</v>
      </c>
      <c r="AS264" s="874" t="s">
        <v>66</v>
      </c>
      <c r="AT264" s="874">
        <v>4</v>
      </c>
      <c r="AU264" s="1114">
        <v>447970713.64971399</v>
      </c>
      <c r="AV264" s="1113">
        <v>0.15108909038938567</v>
      </c>
      <c r="AW264" s="817">
        <v>2005</v>
      </c>
    </row>
    <row r="265" spans="1:49">
      <c r="A265" s="798">
        <f t="shared" ref="A265:A328" si="8">YEAR(C265)</f>
        <v>1992</v>
      </c>
      <c r="B265" s="798">
        <f t="shared" ref="B265:B328" si="9">IF(OR(MONTH(C265)=1,MONTH(C265)=2,MONTH(C265)=3),1,IF(OR(MONTH(C265)=4,MONTH(C265)=5,MONTH(C265)=6),2,IF(OR(MONTH(C265)=7,MONTH(C265)=8,MONTH(C265)=9),3,4)))</f>
        <v>2</v>
      </c>
      <c r="C265" s="1105">
        <v>33725</v>
      </c>
      <c r="D265" s="934">
        <v>237.17</v>
      </c>
      <c r="E265" s="1100">
        <v>447.75</v>
      </c>
      <c r="F265" s="1100">
        <v>337.3</v>
      </c>
      <c r="G265" s="1101"/>
      <c r="H265" s="935"/>
      <c r="I265" s="1101"/>
      <c r="J265" s="1101"/>
      <c r="K265" s="936">
        <v>9695.0158227848096</v>
      </c>
      <c r="L265" s="936">
        <v>7352.7</v>
      </c>
      <c r="M265" s="936"/>
      <c r="N265" s="937">
        <v>20.329999999999998</v>
      </c>
      <c r="O265" s="938">
        <v>2926.42</v>
      </c>
      <c r="P265" s="938">
        <v>686.56381856540099</v>
      </c>
      <c r="Q265" s="938">
        <v>1811.0495780590718</v>
      </c>
      <c r="R265" s="939">
        <v>7.75</v>
      </c>
      <c r="S265" s="940">
        <v>569</v>
      </c>
      <c r="T265" s="940">
        <v>227</v>
      </c>
      <c r="U265" s="1756"/>
      <c r="V265" s="1323"/>
      <c r="W265" s="1323"/>
      <c r="X265" s="538">
        <v>0.75839999999999996</v>
      </c>
      <c r="AJ265" s="817" t="s">
        <v>538</v>
      </c>
      <c r="AK265" s="817">
        <v>2010</v>
      </c>
      <c r="AL265" s="874" t="s">
        <v>33</v>
      </c>
      <c r="AM265" s="874">
        <v>3</v>
      </c>
      <c r="AN265" s="1114">
        <v>63363439</v>
      </c>
      <c r="AO265" s="1112">
        <v>9.6000000000000002E-2</v>
      </c>
      <c r="AP265" s="817"/>
      <c r="AQ265" s="817" t="s">
        <v>3</v>
      </c>
      <c r="AR265" s="817" t="s">
        <v>606</v>
      </c>
      <c r="AS265" s="874" t="s">
        <v>29</v>
      </c>
      <c r="AT265" s="874">
        <v>5</v>
      </c>
      <c r="AU265" s="1114">
        <v>210501410.90205574</v>
      </c>
      <c r="AV265" s="1113">
        <v>7.0996754318504579E-2</v>
      </c>
      <c r="AW265" s="817">
        <v>2005</v>
      </c>
    </row>
    <row r="266" spans="1:49">
      <c r="A266" s="798">
        <f t="shared" si="8"/>
        <v>1992</v>
      </c>
      <c r="B266" s="798">
        <f t="shared" si="9"/>
        <v>2</v>
      </c>
      <c r="C266" s="1105">
        <v>33756</v>
      </c>
      <c r="D266" s="805">
        <v>223.86</v>
      </c>
      <c r="E266" s="1102">
        <v>453.09</v>
      </c>
      <c r="F266" s="1102">
        <v>340.89</v>
      </c>
      <c r="G266" s="1103"/>
      <c r="H266" s="805"/>
      <c r="I266" s="1103"/>
      <c r="J266" s="1103"/>
      <c r="K266" s="84">
        <v>9591.5285943345807</v>
      </c>
      <c r="L266" s="84">
        <v>7178.3</v>
      </c>
      <c r="M266" s="84"/>
      <c r="N266" s="805">
        <v>22.5</v>
      </c>
      <c r="O266" s="941">
        <v>3073.76</v>
      </c>
      <c r="P266" s="941">
        <v>732.69641902725823</v>
      </c>
      <c r="Q266" s="941">
        <v>1851.9508284339927</v>
      </c>
      <c r="R266" s="805">
        <v>7.75</v>
      </c>
      <c r="S266" s="805">
        <v>569</v>
      </c>
      <c r="T266" s="805">
        <v>227</v>
      </c>
      <c r="U266" s="805"/>
      <c r="V266" s="805"/>
      <c r="W266" s="805"/>
      <c r="X266" s="5">
        <v>0.74839999999999995</v>
      </c>
      <c r="AJ266" s="817" t="s">
        <v>538</v>
      </c>
      <c r="AK266" s="817">
        <v>2010</v>
      </c>
      <c r="AL266" s="874" t="s">
        <v>433</v>
      </c>
      <c r="AM266" s="874">
        <v>4</v>
      </c>
      <c r="AN266" s="1114">
        <v>45342680</v>
      </c>
      <c r="AO266" s="1112">
        <v>6.9000000000000006E-2</v>
      </c>
      <c r="AP266" s="817"/>
      <c r="AQ266" s="817" t="s">
        <v>3</v>
      </c>
      <c r="AR266" s="817" t="s">
        <v>606</v>
      </c>
      <c r="AS266" s="874" t="s">
        <v>451</v>
      </c>
      <c r="AT266" s="874">
        <v>6</v>
      </c>
      <c r="AU266" s="1114">
        <v>186489750.94</v>
      </c>
      <c r="AV266" s="1113">
        <v>6.2898234143270476E-2</v>
      </c>
      <c r="AW266" s="817">
        <v>2005</v>
      </c>
    </row>
    <row r="267" spans="1:49">
      <c r="A267" s="798">
        <f t="shared" si="8"/>
        <v>1992</v>
      </c>
      <c r="B267" s="798">
        <f t="shared" si="9"/>
        <v>3</v>
      </c>
      <c r="C267" s="1105">
        <v>33786</v>
      </c>
      <c r="D267" s="934">
        <v>237.46</v>
      </c>
      <c r="E267" s="1100">
        <v>475.17</v>
      </c>
      <c r="F267" s="1100">
        <v>352.45</v>
      </c>
      <c r="G267" s="1101"/>
      <c r="H267" s="935"/>
      <c r="I267" s="1101"/>
      <c r="J267" s="1101"/>
      <c r="K267" s="936">
        <v>10107.497984412792</v>
      </c>
      <c r="L267" s="936">
        <v>7522</v>
      </c>
      <c r="M267" s="936"/>
      <c r="N267" s="937">
        <v>22.92</v>
      </c>
      <c r="O267" s="938">
        <v>3390.08</v>
      </c>
      <c r="P267" s="938">
        <v>842.20639613007256</v>
      </c>
      <c r="Q267" s="938">
        <v>1774.5229776941683</v>
      </c>
      <c r="R267" s="939">
        <v>7.75</v>
      </c>
      <c r="S267" s="940">
        <v>561</v>
      </c>
      <c r="T267" s="940">
        <v>209</v>
      </c>
      <c r="U267" s="1756"/>
      <c r="V267" s="1323"/>
      <c r="W267" s="1323"/>
      <c r="X267" s="538">
        <v>0.74419999999999997</v>
      </c>
      <c r="AJ267" s="817" t="s">
        <v>538</v>
      </c>
      <c r="AK267" s="817">
        <v>2010</v>
      </c>
      <c r="AL267" s="874" t="s">
        <v>72</v>
      </c>
      <c r="AM267" s="874">
        <v>5</v>
      </c>
      <c r="AN267" s="1114">
        <v>35138410</v>
      </c>
      <c r="AO267" s="1112">
        <v>5.2999999999999999E-2</v>
      </c>
      <c r="AP267" s="817"/>
      <c r="AQ267" s="817" t="s">
        <v>3</v>
      </c>
      <c r="AR267" s="817" t="s">
        <v>606</v>
      </c>
      <c r="AS267" s="874" t="s">
        <v>433</v>
      </c>
      <c r="AT267" s="874">
        <v>7</v>
      </c>
      <c r="AU267" s="1114">
        <v>165285113.75999999</v>
      </c>
      <c r="AV267" s="1113">
        <v>5.5746451122766327E-2</v>
      </c>
      <c r="AW267" s="817">
        <v>2005</v>
      </c>
    </row>
    <row r="268" spans="1:49">
      <c r="A268" s="798">
        <f t="shared" si="8"/>
        <v>1992</v>
      </c>
      <c r="B268" s="798">
        <f t="shared" si="9"/>
        <v>3</v>
      </c>
      <c r="C268" s="1105">
        <v>33817</v>
      </c>
      <c r="D268" s="805">
        <v>234.58</v>
      </c>
      <c r="E268" s="1102">
        <v>475.5</v>
      </c>
      <c r="F268" s="1102">
        <v>343.6</v>
      </c>
      <c r="G268" s="1103"/>
      <c r="H268" s="805"/>
      <c r="I268" s="1103"/>
      <c r="J268" s="1103"/>
      <c r="K268" s="84">
        <v>10194.673395009811</v>
      </c>
      <c r="L268" s="84">
        <v>7272.88</v>
      </c>
      <c r="M268" s="84"/>
      <c r="N268" s="805">
        <v>22.39</v>
      </c>
      <c r="O268" s="941">
        <v>3709.7</v>
      </c>
      <c r="P268" s="941">
        <v>964.55004205214459</v>
      </c>
      <c r="Q268" s="941">
        <v>2006.5881693299691</v>
      </c>
      <c r="R268" s="805">
        <v>8.0500000000000007</v>
      </c>
      <c r="S268" s="805">
        <v>561</v>
      </c>
      <c r="T268" s="805">
        <v>209</v>
      </c>
      <c r="U268" s="805"/>
      <c r="V268" s="805"/>
      <c r="W268" s="805"/>
      <c r="X268" s="5">
        <v>0.71340000000000003</v>
      </c>
      <c r="AJ268" s="817" t="s">
        <v>538</v>
      </c>
      <c r="AK268" s="817">
        <v>2010</v>
      </c>
      <c r="AL268" s="874" t="s">
        <v>84</v>
      </c>
      <c r="AM268" s="874">
        <v>6</v>
      </c>
      <c r="AN268" s="1114">
        <v>30226497</v>
      </c>
      <c r="AO268" s="1112">
        <v>4.5999999999999999E-2</v>
      </c>
      <c r="AP268" s="817"/>
      <c r="AQ268" s="817" t="s">
        <v>3</v>
      </c>
      <c r="AR268" s="817" t="s">
        <v>606</v>
      </c>
      <c r="AS268" s="874" t="s">
        <v>165</v>
      </c>
      <c r="AT268" s="874">
        <v>8</v>
      </c>
      <c r="AU268" s="1114">
        <v>147979653.22</v>
      </c>
      <c r="AV268" s="1113">
        <v>4.9909760883675124E-2</v>
      </c>
      <c r="AW268" s="817">
        <v>2005</v>
      </c>
    </row>
    <row r="269" spans="1:49">
      <c r="A269" s="798">
        <f t="shared" si="8"/>
        <v>1992</v>
      </c>
      <c r="B269" s="798">
        <f t="shared" si="9"/>
        <v>3</v>
      </c>
      <c r="C269" s="1105">
        <v>33848</v>
      </c>
      <c r="D269" s="934">
        <v>240.52</v>
      </c>
      <c r="E269" s="1100">
        <v>480.16</v>
      </c>
      <c r="F269" s="1100">
        <v>345.3</v>
      </c>
      <c r="G269" s="1101"/>
      <c r="H269" s="935"/>
      <c r="I269" s="1101"/>
      <c r="J269" s="1101"/>
      <c r="K269" s="936">
        <v>9727.8291316526611</v>
      </c>
      <c r="L269" s="936">
        <v>6945.67</v>
      </c>
      <c r="M269" s="936"/>
      <c r="N269" s="937">
        <v>21.69</v>
      </c>
      <c r="O269" s="938">
        <v>3540.9</v>
      </c>
      <c r="P269" s="938">
        <v>912.42296918767511</v>
      </c>
      <c r="Q269" s="938">
        <v>2000.8403361344538</v>
      </c>
      <c r="R269" s="939">
        <v>8.75</v>
      </c>
      <c r="S269" s="940">
        <v>561</v>
      </c>
      <c r="T269" s="940">
        <v>209</v>
      </c>
      <c r="U269" s="1756"/>
      <c r="V269" s="1323"/>
      <c r="W269" s="1323"/>
      <c r="X269" s="538">
        <v>0.71399999999999997</v>
      </c>
      <c r="AJ269" s="817" t="s">
        <v>538</v>
      </c>
      <c r="AK269" s="817">
        <v>2010</v>
      </c>
      <c r="AL269" s="874" t="s">
        <v>27</v>
      </c>
      <c r="AM269" s="874">
        <v>7</v>
      </c>
      <c r="AN269" s="1114">
        <v>28431387</v>
      </c>
      <c r="AO269" s="1112">
        <v>4.2999999999999997E-2</v>
      </c>
      <c r="AP269" s="817"/>
      <c r="AQ269" s="817" t="s">
        <v>3</v>
      </c>
      <c r="AR269" s="817" t="s">
        <v>606</v>
      </c>
      <c r="AS269" s="874" t="s">
        <v>45</v>
      </c>
      <c r="AT269" s="874"/>
      <c r="AU269" s="1114">
        <v>123999050.8</v>
      </c>
      <c r="AV269" s="1113">
        <v>4.1821715624849501E-2</v>
      </c>
      <c r="AW269" s="817">
        <v>2005</v>
      </c>
    </row>
    <row r="270" spans="1:49">
      <c r="A270" s="798">
        <f t="shared" si="8"/>
        <v>1992</v>
      </c>
      <c r="B270" s="798">
        <f t="shared" si="9"/>
        <v>4</v>
      </c>
      <c r="C270" s="1105">
        <v>33878</v>
      </c>
      <c r="D270" s="805">
        <v>238.02</v>
      </c>
      <c r="E270" s="1102">
        <v>482.75</v>
      </c>
      <c r="F270" s="1102">
        <v>344.27</v>
      </c>
      <c r="G270" s="1103"/>
      <c r="H270" s="805"/>
      <c r="I270" s="1103"/>
      <c r="J270" s="1103"/>
      <c r="K270" s="84">
        <v>9114.8979004889261</v>
      </c>
      <c r="L270" s="84">
        <v>6338.5</v>
      </c>
      <c r="M270" s="84"/>
      <c r="N270" s="805">
        <v>21.65</v>
      </c>
      <c r="O270" s="941">
        <v>3234.97</v>
      </c>
      <c r="P270" s="941">
        <v>774.0293356341673</v>
      </c>
      <c r="Q270" s="941">
        <v>1673.8567730802415</v>
      </c>
      <c r="R270" s="805">
        <v>8</v>
      </c>
      <c r="S270" s="805">
        <v>518</v>
      </c>
      <c r="T270" s="805">
        <v>176</v>
      </c>
      <c r="U270" s="805"/>
      <c r="V270" s="805"/>
      <c r="W270" s="805"/>
      <c r="X270" s="5">
        <v>0.69540000000000002</v>
      </c>
      <c r="AJ270" s="817" t="s">
        <v>538</v>
      </c>
      <c r="AK270" s="817">
        <v>2010</v>
      </c>
      <c r="AL270" s="874" t="s">
        <v>31</v>
      </c>
      <c r="AM270" s="874">
        <v>8</v>
      </c>
      <c r="AN270" s="1114">
        <v>26061563</v>
      </c>
      <c r="AO270" s="1112">
        <v>3.9E-2</v>
      </c>
      <c r="AP270" s="817"/>
      <c r="AQ270" s="817" t="s">
        <v>3</v>
      </c>
      <c r="AR270" s="817" t="s">
        <v>606</v>
      </c>
      <c r="AS270" s="874" t="s">
        <v>452</v>
      </c>
      <c r="AT270" s="874"/>
      <c r="AU270" s="1114">
        <v>2964944143.1886792</v>
      </c>
      <c r="AV270" s="874"/>
      <c r="AW270" s="817">
        <v>2005</v>
      </c>
    </row>
    <row r="271" spans="1:49">
      <c r="A271" s="798">
        <f t="shared" si="8"/>
        <v>1992</v>
      </c>
      <c r="B271" s="798">
        <f t="shared" si="9"/>
        <v>4</v>
      </c>
      <c r="C271" s="1105">
        <v>33909</v>
      </c>
      <c r="D271" s="934">
        <v>240.94</v>
      </c>
      <c r="E271" s="1100">
        <v>485.91</v>
      </c>
      <c r="F271" s="1100">
        <v>334.92</v>
      </c>
      <c r="G271" s="1101"/>
      <c r="H271" s="935"/>
      <c r="I271" s="1101"/>
      <c r="J271" s="1101"/>
      <c r="K271" s="936">
        <v>8312.5164883482339</v>
      </c>
      <c r="L271" s="936">
        <v>5671.63</v>
      </c>
      <c r="M271" s="936"/>
      <c r="N271" s="937">
        <v>21.02</v>
      </c>
      <c r="O271" s="938">
        <v>3163.56</v>
      </c>
      <c r="P271" s="938">
        <v>674.89374175582589</v>
      </c>
      <c r="Q271" s="938">
        <v>1534.9552982558992</v>
      </c>
      <c r="R271" s="939">
        <v>10.3</v>
      </c>
      <c r="S271" s="940">
        <v>518</v>
      </c>
      <c r="T271" s="940">
        <v>176</v>
      </c>
      <c r="U271" s="1756"/>
      <c r="V271" s="1323"/>
      <c r="W271" s="1323"/>
      <c r="X271" s="538">
        <v>0.68230000000000002</v>
      </c>
      <c r="AJ271" s="817" t="s">
        <v>538</v>
      </c>
      <c r="AK271" s="817">
        <v>2010</v>
      </c>
      <c r="AL271" s="874" t="s">
        <v>70</v>
      </c>
      <c r="AM271" s="874">
        <v>9</v>
      </c>
      <c r="AN271" s="1114">
        <v>21340156</v>
      </c>
      <c r="AO271" s="1112">
        <v>3.2000000000000001E-2</v>
      </c>
      <c r="AP271" s="817"/>
      <c r="AQ271" s="817" t="s">
        <v>3</v>
      </c>
      <c r="AR271" s="817" t="s">
        <v>582</v>
      </c>
      <c r="AS271" s="874" t="s">
        <v>65</v>
      </c>
      <c r="AT271" s="874">
        <v>1</v>
      </c>
      <c r="AU271" s="1114">
        <v>676007499.02399993</v>
      </c>
      <c r="AV271" s="1113">
        <v>0.22348479180077857</v>
      </c>
      <c r="AW271" s="817">
        <v>2004</v>
      </c>
    </row>
    <row r="272" spans="1:49">
      <c r="A272" s="798">
        <f t="shared" si="8"/>
        <v>1992</v>
      </c>
      <c r="B272" s="798">
        <f t="shared" si="9"/>
        <v>4</v>
      </c>
      <c r="C272" s="1105">
        <v>33939</v>
      </c>
      <c r="D272" s="805">
        <v>244.61</v>
      </c>
      <c r="E272" s="1102">
        <v>486.08</v>
      </c>
      <c r="F272" s="1102">
        <v>334.65</v>
      </c>
      <c r="G272" s="1103"/>
      <c r="H272" s="805"/>
      <c r="I272" s="1103"/>
      <c r="J272" s="1103"/>
      <c r="K272" s="84">
        <v>8264.6511627906984</v>
      </c>
      <c r="L272" s="84">
        <v>5686.08</v>
      </c>
      <c r="M272" s="84"/>
      <c r="N272" s="805">
        <v>19.98</v>
      </c>
      <c r="O272" s="941">
        <v>3211.05</v>
      </c>
      <c r="P272" s="941">
        <v>660.11627906976753</v>
      </c>
      <c r="Q272" s="941">
        <v>1538.372093023256</v>
      </c>
      <c r="R272" s="805">
        <v>9.9499999999999993</v>
      </c>
      <c r="S272" s="805">
        <v>518</v>
      </c>
      <c r="T272" s="805">
        <v>176</v>
      </c>
      <c r="U272" s="805"/>
      <c r="V272" s="805"/>
      <c r="W272" s="805"/>
      <c r="X272" s="5">
        <v>0.68799999999999994</v>
      </c>
      <c r="AJ272" s="817" t="s">
        <v>538</v>
      </c>
      <c r="AK272" s="817">
        <v>2010</v>
      </c>
      <c r="AL272" s="874" t="s">
        <v>80</v>
      </c>
      <c r="AM272" s="874">
        <v>10</v>
      </c>
      <c r="AN272" s="1114">
        <v>20559499</v>
      </c>
      <c r="AO272" s="1112">
        <v>3.1E-2</v>
      </c>
      <c r="AP272" s="817"/>
      <c r="AQ272" s="817" t="s">
        <v>3</v>
      </c>
      <c r="AR272" s="817" t="s">
        <v>582</v>
      </c>
      <c r="AS272" s="874" t="s">
        <v>66</v>
      </c>
      <c r="AT272" s="874">
        <v>2</v>
      </c>
      <c r="AU272" s="1114">
        <v>593087715.92404997</v>
      </c>
      <c r="AV272" s="1113">
        <v>0.19607191474096342</v>
      </c>
      <c r="AW272" s="817">
        <v>2004</v>
      </c>
    </row>
    <row r="273" spans="1:49">
      <c r="A273" s="798">
        <f t="shared" si="8"/>
        <v>1993</v>
      </c>
      <c r="B273" s="798">
        <f t="shared" si="9"/>
        <v>1</v>
      </c>
      <c r="C273" s="1105">
        <v>33970</v>
      </c>
      <c r="D273" s="934">
        <v>252.84</v>
      </c>
      <c r="E273" s="1100">
        <v>489.16</v>
      </c>
      <c r="F273" s="1100">
        <v>328.99</v>
      </c>
      <c r="G273" s="1101"/>
      <c r="H273" s="935"/>
      <c r="I273" s="1101"/>
      <c r="J273" s="1101"/>
      <c r="K273" s="936">
        <v>8616.9663915094334</v>
      </c>
      <c r="L273" s="936">
        <v>5845.75</v>
      </c>
      <c r="M273" s="936"/>
      <c r="N273" s="937">
        <v>18.920000000000002</v>
      </c>
      <c r="O273" s="938">
        <v>3329.45</v>
      </c>
      <c r="P273" s="938">
        <v>644.53125</v>
      </c>
      <c r="Q273" s="938">
        <v>1564.2688679245284</v>
      </c>
      <c r="R273" s="939">
        <v>9.6999999999999993</v>
      </c>
      <c r="S273" s="940">
        <v>554</v>
      </c>
      <c r="T273" s="940">
        <v>185</v>
      </c>
      <c r="U273" s="1756"/>
      <c r="V273" s="1323"/>
      <c r="W273" s="1323"/>
      <c r="X273" s="538">
        <v>0.6784</v>
      </c>
      <c r="AJ273" s="817" t="s">
        <v>538</v>
      </c>
      <c r="AK273" s="817">
        <v>2010</v>
      </c>
      <c r="AL273" s="874" t="s">
        <v>45</v>
      </c>
      <c r="AM273" s="874"/>
      <c r="AN273" s="1114">
        <v>104483885</v>
      </c>
      <c r="AO273" s="1112">
        <v>0.158</v>
      </c>
      <c r="AP273" s="817"/>
      <c r="AQ273" s="817" t="s">
        <v>3</v>
      </c>
      <c r="AR273" s="817" t="s">
        <v>582</v>
      </c>
      <c r="AS273" s="874" t="s">
        <v>29</v>
      </c>
      <c r="AT273" s="874">
        <v>3</v>
      </c>
      <c r="AU273" s="1114">
        <v>453335315.47582501</v>
      </c>
      <c r="AV273" s="1113">
        <v>0.14987045075879868</v>
      </c>
      <c r="AW273" s="817">
        <v>2004</v>
      </c>
    </row>
    <row r="274" spans="1:49">
      <c r="A274" s="798">
        <f t="shared" si="8"/>
        <v>1993</v>
      </c>
      <c r="B274" s="798">
        <f t="shared" si="9"/>
        <v>1</v>
      </c>
      <c r="C274" s="1105">
        <v>34001</v>
      </c>
      <c r="D274" s="805">
        <v>257.99</v>
      </c>
      <c r="E274" s="1102">
        <v>483.92</v>
      </c>
      <c r="F274" s="1102">
        <v>329.31</v>
      </c>
      <c r="G274" s="1103"/>
      <c r="H274" s="805"/>
      <c r="I274" s="1103"/>
      <c r="J274" s="1103"/>
      <c r="K274" s="84">
        <v>8703.4512510785153</v>
      </c>
      <c r="L274" s="84">
        <v>6052.38</v>
      </c>
      <c r="M274" s="84"/>
      <c r="N274" s="805">
        <v>19.649999999999999</v>
      </c>
      <c r="O274" s="941">
        <v>3179.47</v>
      </c>
      <c r="P274" s="941">
        <v>594.92378487201609</v>
      </c>
      <c r="Q274" s="941">
        <v>1542.2778257118205</v>
      </c>
      <c r="R274" s="805">
        <v>10</v>
      </c>
      <c r="S274" s="805">
        <v>554</v>
      </c>
      <c r="T274" s="805">
        <v>185</v>
      </c>
      <c r="U274" s="805"/>
      <c r="V274" s="805"/>
      <c r="W274" s="805"/>
      <c r="X274" s="5">
        <v>0.69540000000000002</v>
      </c>
      <c r="AJ274" s="817" t="s">
        <v>538</v>
      </c>
      <c r="AK274" s="817">
        <v>2010</v>
      </c>
      <c r="AL274" s="874" t="s">
        <v>452</v>
      </c>
      <c r="AM274" s="874"/>
      <c r="AN274" s="1114">
        <v>661623371</v>
      </c>
      <c r="AO274" s="1112"/>
      <c r="AP274" s="817"/>
      <c r="AQ274" s="817" t="s">
        <v>3</v>
      </c>
      <c r="AR274" s="817" t="s">
        <v>582</v>
      </c>
      <c r="AS274" s="874" t="s">
        <v>454</v>
      </c>
      <c r="AT274" s="874">
        <v>4</v>
      </c>
      <c r="AU274" s="1114">
        <v>446530529.08579999</v>
      </c>
      <c r="AV274" s="1113">
        <v>0.14762082146945033</v>
      </c>
      <c r="AW274" s="817">
        <v>2004</v>
      </c>
    </row>
    <row r="275" spans="1:49">
      <c r="A275" s="798">
        <f t="shared" si="8"/>
        <v>1993</v>
      </c>
      <c r="B275" s="798">
        <f t="shared" si="9"/>
        <v>1</v>
      </c>
      <c r="C275" s="1105">
        <v>34029</v>
      </c>
      <c r="D275" s="934">
        <v>234.95</v>
      </c>
      <c r="E275" s="1100">
        <v>467.03</v>
      </c>
      <c r="F275" s="1100">
        <v>329.97</v>
      </c>
      <c r="G275" s="1101"/>
      <c r="H275" s="935"/>
      <c r="I275" s="1101"/>
      <c r="J275" s="1101"/>
      <c r="K275" s="936">
        <v>8480.8902750212637</v>
      </c>
      <c r="L275" s="936">
        <v>5982.42</v>
      </c>
      <c r="M275" s="936"/>
      <c r="N275" s="937">
        <v>20.81</v>
      </c>
      <c r="O275" s="938">
        <v>3051.6</v>
      </c>
      <c r="P275" s="938">
        <v>575.33314431528208</v>
      </c>
      <c r="Q275" s="938">
        <v>1412.5177204423021</v>
      </c>
      <c r="R275" s="939">
        <v>10</v>
      </c>
      <c r="S275" s="940">
        <v>554</v>
      </c>
      <c r="T275" s="940">
        <v>185</v>
      </c>
      <c r="U275" s="1756"/>
      <c r="V275" s="1323"/>
      <c r="W275" s="1323"/>
      <c r="X275" s="538">
        <v>0.70540000000000003</v>
      </c>
      <c r="AJ275" s="817" t="s">
        <v>538</v>
      </c>
      <c r="AK275" s="817">
        <v>2009</v>
      </c>
      <c r="AL275" s="874" t="s">
        <v>24</v>
      </c>
      <c r="AM275" s="874">
        <v>1</v>
      </c>
      <c r="AN275" s="1114">
        <v>209836492</v>
      </c>
      <c r="AO275" s="1112">
        <v>0.29699999999999999</v>
      </c>
      <c r="AP275" s="817"/>
      <c r="AQ275" s="817" t="s">
        <v>3</v>
      </c>
      <c r="AR275" s="817" t="s">
        <v>582</v>
      </c>
      <c r="AS275" s="874" t="s">
        <v>24</v>
      </c>
      <c r="AT275" s="874">
        <v>5</v>
      </c>
      <c r="AU275" s="1114">
        <v>253224077.28597003</v>
      </c>
      <c r="AV275" s="1113">
        <v>8.3714648540001074E-2</v>
      </c>
      <c r="AW275" s="817">
        <v>2004</v>
      </c>
    </row>
    <row r="276" spans="1:49">
      <c r="A276" s="798">
        <f t="shared" si="8"/>
        <v>1993</v>
      </c>
      <c r="B276" s="798">
        <f t="shared" si="9"/>
        <v>2</v>
      </c>
      <c r="C276" s="1105">
        <v>34060</v>
      </c>
      <c r="D276" s="805">
        <v>238.92</v>
      </c>
      <c r="E276" s="1102">
        <v>480.75</v>
      </c>
      <c r="F276" s="1102">
        <v>341.94</v>
      </c>
      <c r="G276" s="1103"/>
      <c r="H276" s="805"/>
      <c r="I276" s="1103"/>
      <c r="J276" s="1103"/>
      <c r="K276" s="84">
        <v>8400.1686814731511</v>
      </c>
      <c r="L276" s="84">
        <v>5975.88</v>
      </c>
      <c r="M276" s="84"/>
      <c r="N276" s="805">
        <v>20.69</v>
      </c>
      <c r="O276" s="941">
        <v>2755.55</v>
      </c>
      <c r="P276" s="941">
        <v>594.74276075344392</v>
      </c>
      <c r="Q276" s="941">
        <v>1411.5827944897385</v>
      </c>
      <c r="R276" s="805">
        <v>10</v>
      </c>
      <c r="S276" s="805">
        <v>523</v>
      </c>
      <c r="T276" s="805">
        <v>157</v>
      </c>
      <c r="U276" s="805"/>
      <c r="V276" s="805"/>
      <c r="W276" s="805"/>
      <c r="X276" s="5">
        <v>0.71140000000000003</v>
      </c>
      <c r="AJ276" s="817" t="s">
        <v>538</v>
      </c>
      <c r="AK276" s="817">
        <v>2009</v>
      </c>
      <c r="AL276" s="874" t="s">
        <v>41</v>
      </c>
      <c r="AM276" s="874">
        <v>2</v>
      </c>
      <c r="AN276" s="1114">
        <v>99411560</v>
      </c>
      <c r="AO276" s="1112">
        <v>0.14099999999999999</v>
      </c>
      <c r="AP276" s="817"/>
      <c r="AQ276" s="817" t="s">
        <v>3</v>
      </c>
      <c r="AR276" s="817" t="s">
        <v>582</v>
      </c>
      <c r="AS276" s="874" t="s">
        <v>165</v>
      </c>
      <c r="AT276" s="874">
        <v>6</v>
      </c>
      <c r="AU276" s="1114">
        <v>205715736.69999999</v>
      </c>
      <c r="AV276" s="1113">
        <v>6.800862217197251E-2</v>
      </c>
      <c r="AW276" s="817">
        <v>2004</v>
      </c>
    </row>
    <row r="277" spans="1:49">
      <c r="A277" s="798">
        <f t="shared" si="8"/>
        <v>1993</v>
      </c>
      <c r="B277" s="798">
        <f t="shared" si="9"/>
        <v>2</v>
      </c>
      <c r="C277" s="1105">
        <v>34090</v>
      </c>
      <c r="D277" s="934">
        <v>239.43</v>
      </c>
      <c r="E277" s="1100">
        <v>525.61</v>
      </c>
      <c r="F277" s="1100">
        <v>367.04</v>
      </c>
      <c r="G277" s="1101"/>
      <c r="H277" s="935"/>
      <c r="I277" s="1101"/>
      <c r="J277" s="1101"/>
      <c r="K277" s="936">
        <v>8359.5176198729059</v>
      </c>
      <c r="L277" s="936">
        <v>5788.13</v>
      </c>
      <c r="M277" s="936"/>
      <c r="N277" s="937">
        <v>20.260000000000002</v>
      </c>
      <c r="O277" s="938">
        <v>2595.1799999999998</v>
      </c>
      <c r="P277" s="938">
        <v>588.18601964182551</v>
      </c>
      <c r="Q277" s="938">
        <v>1416.0167533217793</v>
      </c>
      <c r="R277" s="939">
        <v>10</v>
      </c>
      <c r="S277" s="940">
        <v>523</v>
      </c>
      <c r="T277" s="940">
        <v>157</v>
      </c>
      <c r="U277" s="1756"/>
      <c r="V277" s="1323"/>
      <c r="W277" s="1323"/>
      <c r="X277" s="538">
        <v>0.69240000000000002</v>
      </c>
      <c r="AJ277" s="817" t="s">
        <v>538</v>
      </c>
      <c r="AK277" s="817">
        <v>2009</v>
      </c>
      <c r="AL277" s="874" t="s">
        <v>37</v>
      </c>
      <c r="AM277" s="874">
        <v>3</v>
      </c>
      <c r="AN277" s="1114">
        <v>70198914</v>
      </c>
      <c r="AO277" s="1112">
        <v>9.9000000000000005E-2</v>
      </c>
      <c r="AP277" s="817"/>
      <c r="AQ277" s="817" t="s">
        <v>3</v>
      </c>
      <c r="AR277" s="817" t="s">
        <v>582</v>
      </c>
      <c r="AS277" s="874" t="s">
        <v>433</v>
      </c>
      <c r="AT277" s="874">
        <v>7</v>
      </c>
      <c r="AU277" s="1114">
        <v>168121515.56709999</v>
      </c>
      <c r="AV277" s="1113">
        <v>5.5580155483468646E-2</v>
      </c>
      <c r="AW277" s="817">
        <v>2004</v>
      </c>
    </row>
    <row r="278" spans="1:49">
      <c r="A278" s="798">
        <f t="shared" si="8"/>
        <v>1993</v>
      </c>
      <c r="B278" s="798">
        <f t="shared" si="9"/>
        <v>2</v>
      </c>
      <c r="C278" s="1105">
        <v>34121</v>
      </c>
      <c r="D278" s="805">
        <v>248.8</v>
      </c>
      <c r="E278" s="1102">
        <v>551.71</v>
      </c>
      <c r="F278" s="1102">
        <v>371.91</v>
      </c>
      <c r="G278" s="1103"/>
      <c r="H278" s="805"/>
      <c r="I278" s="1103"/>
      <c r="J278" s="1103"/>
      <c r="K278" s="84">
        <v>8251.4128494943488</v>
      </c>
      <c r="L278" s="84">
        <v>5548.25</v>
      </c>
      <c r="M278" s="84"/>
      <c r="N278" s="805">
        <v>19.13</v>
      </c>
      <c r="O278" s="941">
        <v>2757.73</v>
      </c>
      <c r="P278" s="941">
        <v>586.3325401546698</v>
      </c>
      <c r="Q278" s="941">
        <v>1377.6621058893516</v>
      </c>
      <c r="R278" s="805">
        <v>10</v>
      </c>
      <c r="S278" s="805">
        <v>523</v>
      </c>
      <c r="T278" s="805">
        <v>157</v>
      </c>
      <c r="U278" s="805"/>
      <c r="V278" s="805"/>
      <c r="W278" s="805"/>
      <c r="X278" s="5">
        <v>0.6724</v>
      </c>
      <c r="AJ278" s="817" t="s">
        <v>538</v>
      </c>
      <c r="AK278" s="817">
        <v>2009</v>
      </c>
      <c r="AL278" s="874" t="s">
        <v>80</v>
      </c>
      <c r="AM278" s="874">
        <v>4</v>
      </c>
      <c r="AN278" s="1114">
        <v>50286074</v>
      </c>
      <c r="AO278" s="1112">
        <v>7.0999999999999994E-2</v>
      </c>
      <c r="AP278" s="817"/>
      <c r="AQ278" s="817" t="s">
        <v>3</v>
      </c>
      <c r="AR278" s="817" t="s">
        <v>582</v>
      </c>
      <c r="AS278" s="874" t="s">
        <v>451</v>
      </c>
      <c r="AT278" s="874">
        <v>8</v>
      </c>
      <c r="AU278" s="1114">
        <v>132393526.52408001</v>
      </c>
      <c r="AV278" s="1113">
        <v>4.3768656048524743E-2</v>
      </c>
      <c r="AW278" s="817">
        <v>2004</v>
      </c>
    </row>
    <row r="279" spans="1:49">
      <c r="A279" s="798">
        <f t="shared" si="8"/>
        <v>1993</v>
      </c>
      <c r="B279" s="798">
        <f t="shared" si="9"/>
        <v>3</v>
      </c>
      <c r="C279" s="1105">
        <v>34151</v>
      </c>
      <c r="D279" s="934">
        <v>246.59</v>
      </c>
      <c r="E279" s="1100">
        <v>578.71</v>
      </c>
      <c r="F279" s="1100">
        <v>392.03</v>
      </c>
      <c r="G279" s="1101"/>
      <c r="H279" s="935"/>
      <c r="I279" s="1101"/>
      <c r="J279" s="1101"/>
      <c r="K279" s="936">
        <v>7373.4269827333919</v>
      </c>
      <c r="L279" s="936">
        <v>5039</v>
      </c>
      <c r="M279" s="936"/>
      <c r="N279" s="937">
        <v>18.760000000000002</v>
      </c>
      <c r="O279" s="938">
        <v>2820.02</v>
      </c>
      <c r="P279" s="938">
        <v>568.11530582382204</v>
      </c>
      <c r="Q279" s="938">
        <v>1357.7846063798654</v>
      </c>
      <c r="R279" s="939">
        <v>9.9</v>
      </c>
      <c r="S279" s="940">
        <v>525</v>
      </c>
      <c r="T279" s="940">
        <v>160</v>
      </c>
      <c r="U279" s="1756"/>
      <c r="V279" s="1323"/>
      <c r="W279" s="1323"/>
      <c r="X279" s="538">
        <v>0.68340000000000001</v>
      </c>
      <c r="AJ279" s="817" t="s">
        <v>538</v>
      </c>
      <c r="AK279" s="817">
        <v>2009</v>
      </c>
      <c r="AL279" s="874" t="s">
        <v>29</v>
      </c>
      <c r="AM279" s="874">
        <v>5</v>
      </c>
      <c r="AN279" s="1114">
        <v>41974327</v>
      </c>
      <c r="AO279" s="1112">
        <v>5.8999999999999997E-2</v>
      </c>
      <c r="AP279" s="817"/>
      <c r="AQ279" s="817" t="s">
        <v>3</v>
      </c>
      <c r="AR279" s="817" t="s">
        <v>582</v>
      </c>
      <c r="AS279" s="874" t="s">
        <v>45</v>
      </c>
      <c r="AT279" s="874"/>
      <c r="AU279" s="1114">
        <v>96431965.9039855</v>
      </c>
      <c r="AV279" s="1113">
        <v>3.1879938986042022E-2</v>
      </c>
      <c r="AW279" s="817">
        <v>2004</v>
      </c>
    </row>
    <row r="280" spans="1:49">
      <c r="A280" s="798">
        <f t="shared" si="8"/>
        <v>1993</v>
      </c>
      <c r="B280" s="798">
        <f t="shared" si="9"/>
        <v>3</v>
      </c>
      <c r="C280" s="1105">
        <v>34182</v>
      </c>
      <c r="D280" s="805">
        <v>242.47</v>
      </c>
      <c r="E280" s="1102">
        <v>559.66999999999996</v>
      </c>
      <c r="F280" s="1102">
        <v>379.79</v>
      </c>
      <c r="G280" s="1103"/>
      <c r="H280" s="805"/>
      <c r="I280" s="1103"/>
      <c r="J280" s="1103"/>
      <c r="K280" s="84">
        <v>7040.8467501490759</v>
      </c>
      <c r="L280" s="84">
        <v>4723</v>
      </c>
      <c r="M280" s="84"/>
      <c r="N280" s="805">
        <v>19.05</v>
      </c>
      <c r="O280" s="941">
        <v>2904.29</v>
      </c>
      <c r="P280" s="941">
        <v>578.68217054263573</v>
      </c>
      <c r="Q280" s="941">
        <v>1317.9636255217652</v>
      </c>
      <c r="R280" s="805">
        <v>10</v>
      </c>
      <c r="S280" s="805">
        <v>525</v>
      </c>
      <c r="T280" s="805">
        <v>160</v>
      </c>
      <c r="U280" s="805"/>
      <c r="V280" s="805"/>
      <c r="W280" s="805"/>
      <c r="X280" s="5">
        <v>0.67079999999999995</v>
      </c>
      <c r="AJ280" s="817" t="s">
        <v>538</v>
      </c>
      <c r="AK280" s="817">
        <v>2009</v>
      </c>
      <c r="AL280" s="874" t="s">
        <v>33</v>
      </c>
      <c r="AM280" s="874">
        <v>6</v>
      </c>
      <c r="AN280" s="1114">
        <v>33689089</v>
      </c>
      <c r="AO280" s="1112">
        <v>4.8000000000000001E-2</v>
      </c>
      <c r="AP280" s="817"/>
      <c r="AQ280" s="817" t="s">
        <v>3</v>
      </c>
      <c r="AR280" s="817" t="s">
        <v>582</v>
      </c>
      <c r="AS280" s="874" t="s">
        <v>452</v>
      </c>
      <c r="AT280" s="874"/>
      <c r="AU280" s="1114">
        <v>3024847881.4908104</v>
      </c>
      <c r="AV280" s="874"/>
      <c r="AW280" s="817">
        <v>2004</v>
      </c>
    </row>
    <row r="281" spans="1:49">
      <c r="A281" s="798">
        <f t="shared" si="8"/>
        <v>1993</v>
      </c>
      <c r="B281" s="798">
        <f t="shared" si="9"/>
        <v>3</v>
      </c>
      <c r="C281" s="1105">
        <v>34213</v>
      </c>
      <c r="D281" s="934">
        <v>249.68</v>
      </c>
      <c r="E281" s="1100">
        <v>545.63</v>
      </c>
      <c r="F281" s="1100">
        <v>355.56</v>
      </c>
      <c r="G281" s="1101"/>
      <c r="H281" s="935"/>
      <c r="I281" s="1101"/>
      <c r="J281" s="1101"/>
      <c r="K281" s="936">
        <v>6748.7990082132346</v>
      </c>
      <c r="L281" s="936">
        <v>4355</v>
      </c>
      <c r="M281" s="936"/>
      <c r="N281" s="937">
        <v>18.420000000000002</v>
      </c>
      <c r="O281" s="938">
        <v>2885.32</v>
      </c>
      <c r="P281" s="938">
        <v>582.25631489229818</v>
      </c>
      <c r="Q281" s="938">
        <v>1355.2611188594451</v>
      </c>
      <c r="R281" s="939">
        <v>10</v>
      </c>
      <c r="S281" s="940">
        <v>525</v>
      </c>
      <c r="T281" s="940">
        <v>160</v>
      </c>
      <c r="U281" s="1756"/>
      <c r="V281" s="1323"/>
      <c r="W281" s="1323"/>
      <c r="X281" s="538">
        <v>0.64529999999999998</v>
      </c>
      <c r="AJ281" s="817" t="s">
        <v>538</v>
      </c>
      <c r="AK281" s="817">
        <v>2009</v>
      </c>
      <c r="AL281" s="874" t="s">
        <v>72</v>
      </c>
      <c r="AM281" s="874">
        <v>7</v>
      </c>
      <c r="AN281" s="1114">
        <v>33671932</v>
      </c>
      <c r="AO281" s="1112">
        <v>4.8000000000000001E-2</v>
      </c>
      <c r="AP281" s="817"/>
      <c r="AQ281" s="817" t="s">
        <v>538</v>
      </c>
      <c r="AR281" s="817" t="s">
        <v>616</v>
      </c>
      <c r="AS281" s="874" t="s">
        <v>24</v>
      </c>
      <c r="AT281" s="874">
        <v>1</v>
      </c>
      <c r="AU281" s="1114">
        <v>180417494</v>
      </c>
      <c r="AV281" s="1113">
        <v>0.214</v>
      </c>
      <c r="AW281" s="817">
        <v>2015</v>
      </c>
    </row>
    <row r="282" spans="1:49">
      <c r="A282" s="798">
        <f t="shared" si="8"/>
        <v>1993</v>
      </c>
      <c r="B282" s="798">
        <f t="shared" si="9"/>
        <v>4</v>
      </c>
      <c r="C282" s="1105">
        <v>34243</v>
      </c>
      <c r="D282" s="805">
        <v>245.93</v>
      </c>
      <c r="E282" s="1102">
        <v>551.63</v>
      </c>
      <c r="F282" s="1102">
        <v>364</v>
      </c>
      <c r="G282" s="1103"/>
      <c r="H282" s="805"/>
      <c r="I282" s="1103"/>
      <c r="J282" s="1103"/>
      <c r="K282" s="84">
        <v>6682.1798528749432</v>
      </c>
      <c r="L282" s="84">
        <v>4451</v>
      </c>
      <c r="M282" s="84"/>
      <c r="N282" s="805">
        <v>18.23</v>
      </c>
      <c r="O282" s="941">
        <v>2471.6999999999998</v>
      </c>
      <c r="P282" s="941">
        <v>576.9403993394385</v>
      </c>
      <c r="Q282" s="941">
        <v>1373.967872691788</v>
      </c>
      <c r="R282" s="805">
        <v>10.15</v>
      </c>
      <c r="S282" s="805">
        <v>544</v>
      </c>
      <c r="T282" s="805">
        <v>175</v>
      </c>
      <c r="U282" s="805"/>
      <c r="V282" s="805"/>
      <c r="W282" s="805"/>
      <c r="X282" s="5">
        <v>0.66610000000000003</v>
      </c>
      <c r="AJ282" s="817" t="s">
        <v>538</v>
      </c>
      <c r="AK282" s="817">
        <v>2009</v>
      </c>
      <c r="AL282" s="874" t="s">
        <v>31</v>
      </c>
      <c r="AM282" s="874">
        <v>8</v>
      </c>
      <c r="AN282" s="1114">
        <v>31465232</v>
      </c>
      <c r="AO282" s="1112">
        <v>4.4999999999999998E-2</v>
      </c>
      <c r="AP282" s="817"/>
      <c r="AQ282" s="817" t="s">
        <v>538</v>
      </c>
      <c r="AR282" s="817" t="s">
        <v>616</v>
      </c>
      <c r="AS282" s="874" t="s">
        <v>41</v>
      </c>
      <c r="AT282" s="874">
        <v>2</v>
      </c>
      <c r="AU282" s="1114">
        <v>147808693</v>
      </c>
      <c r="AV282" s="1113">
        <v>0.17599999999999999</v>
      </c>
      <c r="AW282" s="817">
        <v>2015</v>
      </c>
    </row>
    <row r="283" spans="1:49">
      <c r="A283" s="798">
        <f t="shared" si="8"/>
        <v>1993</v>
      </c>
      <c r="B283" s="798">
        <f t="shared" si="9"/>
        <v>4</v>
      </c>
      <c r="C283" s="1105">
        <v>34274</v>
      </c>
      <c r="D283" s="934">
        <v>244.33</v>
      </c>
      <c r="E283" s="1100">
        <v>563.12</v>
      </c>
      <c r="F283" s="1100">
        <v>373.93</v>
      </c>
      <c r="G283" s="1101"/>
      <c r="H283" s="935"/>
      <c r="I283" s="1101"/>
      <c r="J283" s="1101"/>
      <c r="K283" s="936">
        <v>7035.9702399028247</v>
      </c>
      <c r="L283" s="936">
        <v>4633.8900000000003</v>
      </c>
      <c r="M283" s="936"/>
      <c r="N283" s="937">
        <v>17.11</v>
      </c>
      <c r="O283" s="938">
        <v>2474.9499999999998</v>
      </c>
      <c r="P283" s="938">
        <v>607.72851503188588</v>
      </c>
      <c r="Q283" s="938">
        <v>1410.1882781658064</v>
      </c>
      <c r="R283" s="939">
        <v>9.9</v>
      </c>
      <c r="S283" s="940">
        <v>544</v>
      </c>
      <c r="T283" s="940">
        <v>175</v>
      </c>
      <c r="U283" s="1756"/>
      <c r="V283" s="1323"/>
      <c r="W283" s="1323"/>
      <c r="X283" s="538">
        <v>0.65859999999999996</v>
      </c>
      <c r="AI283" s="1042"/>
      <c r="AJ283" s="817" t="s">
        <v>538</v>
      </c>
      <c r="AK283" s="817">
        <v>2009</v>
      </c>
      <c r="AL283" s="874" t="s">
        <v>433</v>
      </c>
      <c r="AM283" s="874">
        <v>9</v>
      </c>
      <c r="AN283" s="1114">
        <v>27556065</v>
      </c>
      <c r="AO283" s="1112">
        <v>3.9E-2</v>
      </c>
      <c r="AP283" s="817"/>
      <c r="AQ283" s="817" t="s">
        <v>538</v>
      </c>
      <c r="AR283" s="817" t="s">
        <v>616</v>
      </c>
      <c r="AS283" s="874" t="s">
        <v>72</v>
      </c>
      <c r="AT283" s="874">
        <v>3</v>
      </c>
      <c r="AU283" s="1114">
        <v>92891709</v>
      </c>
      <c r="AV283" s="1113">
        <v>0.11</v>
      </c>
      <c r="AW283" s="817">
        <v>2015</v>
      </c>
    </row>
    <row r="284" spans="1:49">
      <c r="A284" s="798">
        <f t="shared" si="8"/>
        <v>1993</v>
      </c>
      <c r="B284" s="798">
        <f t="shared" si="9"/>
        <v>4</v>
      </c>
      <c r="C284" s="1105">
        <v>34304</v>
      </c>
      <c r="D284" s="805">
        <v>235.47</v>
      </c>
      <c r="E284" s="1102">
        <v>570.38</v>
      </c>
      <c r="F284" s="1102">
        <v>383.24</v>
      </c>
      <c r="G284" s="1103"/>
      <c r="H284" s="805"/>
      <c r="I284" s="1103"/>
      <c r="J284" s="1103"/>
      <c r="K284" s="84">
        <v>7560.3603603603597</v>
      </c>
      <c r="L284" s="84">
        <v>5119.12</v>
      </c>
      <c r="M284" s="84"/>
      <c r="N284" s="805">
        <v>15.64</v>
      </c>
      <c r="O284" s="941">
        <v>2553.2399999999998</v>
      </c>
      <c r="P284" s="941">
        <v>682.12967065426074</v>
      </c>
      <c r="Q284" s="941">
        <v>1440.998375424605</v>
      </c>
      <c r="R284" s="805">
        <v>9.85</v>
      </c>
      <c r="S284" s="805">
        <v>544</v>
      </c>
      <c r="T284" s="805">
        <v>175</v>
      </c>
      <c r="U284" s="805"/>
      <c r="V284" s="805"/>
      <c r="W284" s="805"/>
      <c r="X284" s="5">
        <v>0.67710000000000004</v>
      </c>
      <c r="AJ284" s="817" t="s">
        <v>538</v>
      </c>
      <c r="AK284" s="817">
        <v>2009</v>
      </c>
      <c r="AL284" s="874" t="s">
        <v>27</v>
      </c>
      <c r="AM284" s="874">
        <v>10</v>
      </c>
      <c r="AN284" s="1114">
        <v>19569631</v>
      </c>
      <c r="AO284" s="1112">
        <v>2.8000000000000001E-2</v>
      </c>
      <c r="AP284" s="817"/>
      <c r="AQ284" s="817" t="s">
        <v>538</v>
      </c>
      <c r="AR284" s="817" t="s">
        <v>616</v>
      </c>
      <c r="AS284" s="874" t="s">
        <v>33</v>
      </c>
      <c r="AT284" s="874">
        <v>4</v>
      </c>
      <c r="AU284" s="1114">
        <v>83218121</v>
      </c>
      <c r="AV284" s="1113">
        <v>9.9000000000000005E-2</v>
      </c>
      <c r="AW284" s="817">
        <v>2015</v>
      </c>
    </row>
    <row r="285" spans="1:49">
      <c r="A285" s="798">
        <f t="shared" si="8"/>
        <v>1994</v>
      </c>
      <c r="B285" s="798">
        <f t="shared" si="9"/>
        <v>1</v>
      </c>
      <c r="C285" s="1105">
        <v>34335</v>
      </c>
      <c r="D285" s="934">
        <v>217.72</v>
      </c>
      <c r="E285" s="1100">
        <v>544.3053993250843</v>
      </c>
      <c r="F285" s="1100">
        <v>387.11</v>
      </c>
      <c r="G285" s="1101"/>
      <c r="H285" s="935"/>
      <c r="I285" s="1101"/>
      <c r="J285" s="1101"/>
      <c r="K285" s="936">
        <v>7845.8942632170974</v>
      </c>
      <c r="L285" s="936">
        <v>5580</v>
      </c>
      <c r="M285" s="936"/>
      <c r="N285" s="937">
        <v>16.23</v>
      </c>
      <c r="O285" s="938">
        <v>2535.29</v>
      </c>
      <c r="P285" s="938">
        <v>688.30146231721028</v>
      </c>
      <c r="Q285" s="938">
        <v>1402.4606299212596</v>
      </c>
      <c r="R285" s="939">
        <v>9.5</v>
      </c>
      <c r="S285" s="940">
        <v>351</v>
      </c>
      <c r="T285" s="940">
        <v>204</v>
      </c>
      <c r="U285" s="1756"/>
      <c r="V285" s="1323"/>
      <c r="W285" s="1323"/>
      <c r="X285" s="538">
        <v>0.71120000000000005</v>
      </c>
      <c r="AJ285" s="817" t="s">
        <v>538</v>
      </c>
      <c r="AK285" s="817">
        <v>2009</v>
      </c>
      <c r="AL285" s="874" t="s">
        <v>45</v>
      </c>
      <c r="AM285" s="874"/>
      <c r="AN285" s="1114">
        <v>87941336</v>
      </c>
      <c r="AO285" s="1112">
        <v>0.125</v>
      </c>
      <c r="AP285" s="817"/>
      <c r="AQ285" s="817" t="s">
        <v>538</v>
      </c>
      <c r="AR285" s="817" t="s">
        <v>616</v>
      </c>
      <c r="AS285" s="874" t="s">
        <v>37</v>
      </c>
      <c r="AT285" s="874">
        <v>5</v>
      </c>
      <c r="AU285" s="1114">
        <v>81449096</v>
      </c>
      <c r="AV285" s="1113">
        <v>9.7000000000000003E-2</v>
      </c>
      <c r="AW285" s="817">
        <v>2015</v>
      </c>
    </row>
    <row r="286" spans="1:49">
      <c r="A286" s="798">
        <f t="shared" si="8"/>
        <v>1994</v>
      </c>
      <c r="B286" s="798">
        <f t="shared" si="9"/>
        <v>1</v>
      </c>
      <c r="C286" s="1105">
        <v>34366</v>
      </c>
      <c r="D286" s="805">
        <v>198.55</v>
      </c>
      <c r="E286" s="1102">
        <v>531.70799665645029</v>
      </c>
      <c r="F286" s="1102">
        <v>381.66</v>
      </c>
      <c r="G286" s="1103"/>
      <c r="H286" s="805"/>
      <c r="I286" s="1103"/>
      <c r="J286" s="1103"/>
      <c r="K286" s="84">
        <v>8115.0041794371691</v>
      </c>
      <c r="L286" s="84">
        <v>5824.95</v>
      </c>
      <c r="M286" s="84"/>
      <c r="N286" s="805">
        <v>16.649999999999999</v>
      </c>
      <c r="O286" s="941">
        <v>2600.17</v>
      </c>
      <c r="P286" s="941">
        <v>676.27472833658408</v>
      </c>
      <c r="Q286" s="941">
        <v>1350.2368347729173</v>
      </c>
      <c r="R286" s="805">
        <v>9.4499999999999993</v>
      </c>
      <c r="S286" s="805">
        <v>351</v>
      </c>
      <c r="T286" s="805">
        <v>204</v>
      </c>
      <c r="U286" s="805"/>
      <c r="V286" s="805"/>
      <c r="W286" s="805"/>
      <c r="X286" s="5">
        <v>0.71779999999999999</v>
      </c>
      <c r="AJ286" s="817" t="s">
        <v>538</v>
      </c>
      <c r="AK286" s="817">
        <v>2009</v>
      </c>
      <c r="AL286" s="874" t="s">
        <v>452</v>
      </c>
      <c r="AM286" s="874"/>
      <c r="AN286" s="1114">
        <v>705600652</v>
      </c>
      <c r="AO286" s="1112">
        <v>1</v>
      </c>
      <c r="AP286" s="817"/>
      <c r="AQ286" s="817" t="s">
        <v>538</v>
      </c>
      <c r="AR286" s="817" t="s">
        <v>616</v>
      </c>
      <c r="AS286" s="874" t="s">
        <v>84</v>
      </c>
      <c r="AT286" s="874">
        <v>6</v>
      </c>
      <c r="AU286" s="1114">
        <v>56969116</v>
      </c>
      <c r="AV286" s="1113">
        <v>6.8000000000000005E-2</v>
      </c>
      <c r="AW286" s="817">
        <v>2015</v>
      </c>
    </row>
    <row r="287" spans="1:49">
      <c r="A287" s="798">
        <f t="shared" si="8"/>
        <v>1994</v>
      </c>
      <c r="B287" s="798">
        <f t="shared" si="9"/>
        <v>1</v>
      </c>
      <c r="C287" s="1105">
        <v>34394</v>
      </c>
      <c r="D287" s="934">
        <v>204.75</v>
      </c>
      <c r="E287" s="1100">
        <v>547.94520547945206</v>
      </c>
      <c r="F287" s="1100">
        <v>384</v>
      </c>
      <c r="G287" s="1101"/>
      <c r="H287" s="935"/>
      <c r="I287" s="1101"/>
      <c r="J287" s="1101"/>
      <c r="K287" s="936">
        <v>7973.0878995433795</v>
      </c>
      <c r="L287" s="936">
        <v>5587.54</v>
      </c>
      <c r="M287" s="936"/>
      <c r="N287" s="937">
        <v>15.84</v>
      </c>
      <c r="O287" s="938">
        <v>2732.31</v>
      </c>
      <c r="P287" s="938">
        <v>644.20662100456616</v>
      </c>
      <c r="Q287" s="938">
        <v>1335.9303652968038</v>
      </c>
      <c r="R287" s="939">
        <v>9.4499999999999993</v>
      </c>
      <c r="S287" s="940">
        <v>351</v>
      </c>
      <c r="T287" s="940">
        <v>204</v>
      </c>
      <c r="U287" s="1756"/>
      <c r="V287" s="1323"/>
      <c r="W287" s="1323"/>
      <c r="X287" s="538">
        <v>0.70079999999999998</v>
      </c>
      <c r="AJ287" s="817" t="s">
        <v>538</v>
      </c>
      <c r="AK287" s="817">
        <v>2008</v>
      </c>
      <c r="AL287" s="874" t="s">
        <v>24</v>
      </c>
      <c r="AM287" s="874">
        <v>1</v>
      </c>
      <c r="AN287" s="1114">
        <v>149292229.32000002</v>
      </c>
      <c r="AO287" s="1112">
        <v>0.16082568528040042</v>
      </c>
      <c r="AP287" s="817"/>
      <c r="AQ287" s="817" t="s">
        <v>538</v>
      </c>
      <c r="AR287" s="817" t="s">
        <v>616</v>
      </c>
      <c r="AS287" s="874" t="s">
        <v>27</v>
      </c>
      <c r="AT287" s="874">
        <v>7</v>
      </c>
      <c r="AU287" s="1114">
        <v>43508105</v>
      </c>
      <c r="AV287" s="1113">
        <v>5.1999999999999998E-2</v>
      </c>
      <c r="AW287" s="817">
        <v>2015</v>
      </c>
    </row>
    <row r="288" spans="1:49">
      <c r="A288" s="798">
        <f t="shared" si="8"/>
        <v>1994</v>
      </c>
      <c r="B288" s="798">
        <f t="shared" si="9"/>
        <v>2</v>
      </c>
      <c r="C288" s="1105">
        <v>34425</v>
      </c>
      <c r="D288" s="805">
        <v>207.23</v>
      </c>
      <c r="E288" s="1102">
        <v>530.48848961257715</v>
      </c>
      <c r="F288" s="1102">
        <v>377.92</v>
      </c>
      <c r="G288" s="1103"/>
      <c r="H288" s="805"/>
      <c r="I288" s="1103"/>
      <c r="J288" s="1103"/>
      <c r="K288" s="84">
        <v>7591.1987647389105</v>
      </c>
      <c r="L288" s="84">
        <v>5407.97</v>
      </c>
      <c r="M288" s="84"/>
      <c r="N288" s="805">
        <v>15.99</v>
      </c>
      <c r="O288" s="941">
        <v>2642.62</v>
      </c>
      <c r="P288" s="941">
        <v>618.22010106681637</v>
      </c>
      <c r="Q288" s="941">
        <v>1298.9191465468837</v>
      </c>
      <c r="R288" s="805">
        <v>9.3000000000000007</v>
      </c>
      <c r="S288" s="805">
        <v>521</v>
      </c>
      <c r="T288" s="805">
        <v>230</v>
      </c>
      <c r="U288" s="805"/>
      <c r="V288" s="805"/>
      <c r="W288" s="805"/>
      <c r="X288" s="5">
        <v>0.71240000000000003</v>
      </c>
      <c r="AJ288" s="817" t="s">
        <v>538</v>
      </c>
      <c r="AK288" s="817">
        <v>2008</v>
      </c>
      <c r="AL288" s="874" t="s">
        <v>41</v>
      </c>
      <c r="AM288" s="874">
        <v>2</v>
      </c>
      <c r="AN288" s="1114">
        <v>143673284.38</v>
      </c>
      <c r="AO288" s="1112">
        <v>0.15477265308546032</v>
      </c>
      <c r="AP288" s="817"/>
      <c r="AQ288" s="817" t="s">
        <v>538</v>
      </c>
      <c r="AR288" s="817" t="s">
        <v>616</v>
      </c>
      <c r="AS288" s="874" t="s">
        <v>31</v>
      </c>
      <c r="AT288" s="874">
        <v>8</v>
      </c>
      <c r="AU288" s="1114">
        <v>30288335</v>
      </c>
      <c r="AV288" s="1113">
        <v>3.5999999999999997E-2</v>
      </c>
      <c r="AW288" s="817">
        <v>2015</v>
      </c>
    </row>
    <row r="289" spans="1:49">
      <c r="A289" s="798">
        <f t="shared" si="8"/>
        <v>1994</v>
      </c>
      <c r="B289" s="798">
        <f t="shared" si="9"/>
        <v>2</v>
      </c>
      <c r="C289" s="1105">
        <v>34455</v>
      </c>
      <c r="D289" s="934">
        <v>205.4</v>
      </c>
      <c r="E289" s="1100">
        <v>518.05461214508898</v>
      </c>
      <c r="F289" s="1100">
        <v>381.34</v>
      </c>
      <c r="G289" s="1101"/>
      <c r="H289" s="935"/>
      <c r="I289" s="1101"/>
      <c r="J289" s="1101"/>
      <c r="K289" s="936">
        <v>8268.7814155685373</v>
      </c>
      <c r="L289" s="936">
        <v>6086.65</v>
      </c>
      <c r="M289" s="936"/>
      <c r="N289" s="937">
        <v>16.670000000000002</v>
      </c>
      <c r="O289" s="938">
        <v>2911.83</v>
      </c>
      <c r="P289" s="938">
        <v>642.65724765656842</v>
      </c>
      <c r="Q289" s="938">
        <v>1296.6580627632115</v>
      </c>
      <c r="R289" s="939">
        <v>9.25</v>
      </c>
      <c r="S289" s="940">
        <v>521</v>
      </c>
      <c r="T289" s="940">
        <v>230</v>
      </c>
      <c r="U289" s="1756"/>
      <c r="V289" s="1323"/>
      <c r="W289" s="1323"/>
      <c r="X289" s="538">
        <v>0.73609999999999998</v>
      </c>
      <c r="AJ289" s="817" t="s">
        <v>538</v>
      </c>
      <c r="AK289" s="817">
        <v>2008</v>
      </c>
      <c r="AL289" s="874" t="s">
        <v>72</v>
      </c>
      <c r="AM289" s="874">
        <v>3</v>
      </c>
      <c r="AN289" s="1114">
        <v>88634117.160000011</v>
      </c>
      <c r="AO289" s="1112">
        <v>9.5481477478149432E-2</v>
      </c>
      <c r="AP289" s="817"/>
      <c r="AQ289" s="817" t="s">
        <v>538</v>
      </c>
      <c r="AR289" s="817" t="s">
        <v>616</v>
      </c>
      <c r="AS289" s="874" t="s">
        <v>63</v>
      </c>
      <c r="AT289" s="874">
        <v>9</v>
      </c>
      <c r="AU289" s="1114">
        <v>22709081</v>
      </c>
      <c r="AV289" s="1113">
        <v>2.7E-2</v>
      </c>
      <c r="AW289" s="817">
        <v>2015</v>
      </c>
    </row>
    <row r="290" spans="1:49">
      <c r="A290" s="798">
        <f t="shared" si="8"/>
        <v>1994</v>
      </c>
      <c r="B290" s="798">
        <f t="shared" si="9"/>
        <v>2</v>
      </c>
      <c r="C290" s="1105">
        <v>34486</v>
      </c>
      <c r="D290" s="805">
        <v>204.95</v>
      </c>
      <c r="E290" s="1102">
        <v>529.28267727335071</v>
      </c>
      <c r="F290" s="1102">
        <v>385.9</v>
      </c>
      <c r="G290" s="1103"/>
      <c r="H290" s="805"/>
      <c r="I290" s="1103"/>
      <c r="J290" s="1103"/>
      <c r="K290" s="84">
        <v>8615.8825949801121</v>
      </c>
      <c r="L290" s="84">
        <v>6281.84</v>
      </c>
      <c r="M290" s="84"/>
      <c r="N290" s="805">
        <v>17.63</v>
      </c>
      <c r="O290" s="941">
        <v>3249.9</v>
      </c>
      <c r="P290" s="941">
        <v>721.58825949801133</v>
      </c>
      <c r="Q290" s="941">
        <v>1325.2365930599369</v>
      </c>
      <c r="R290" s="805">
        <v>9.25</v>
      </c>
      <c r="S290" s="805">
        <v>521</v>
      </c>
      <c r="T290" s="805">
        <v>230</v>
      </c>
      <c r="U290" s="805"/>
      <c r="V290" s="805"/>
      <c r="W290" s="805"/>
      <c r="X290" s="5">
        <v>0.72909999999999997</v>
      </c>
      <c r="AJ290" s="817" t="s">
        <v>538</v>
      </c>
      <c r="AK290" s="817">
        <v>2008</v>
      </c>
      <c r="AL290" s="874" t="s">
        <v>29</v>
      </c>
      <c r="AM290" s="874">
        <v>4</v>
      </c>
      <c r="AN290" s="1114">
        <v>74598607.569999993</v>
      </c>
      <c r="AO290" s="1112">
        <v>8.0361665426625664E-2</v>
      </c>
      <c r="AP290" s="817"/>
      <c r="AQ290" s="817" t="s">
        <v>538</v>
      </c>
      <c r="AR290" s="817" t="s">
        <v>616</v>
      </c>
      <c r="AS290" s="874" t="s">
        <v>30</v>
      </c>
      <c r="AT290" s="874">
        <v>10</v>
      </c>
      <c r="AU290" s="1114">
        <v>16973993</v>
      </c>
      <c r="AV290" s="1113">
        <v>0.02</v>
      </c>
      <c r="AW290" s="817">
        <v>2015</v>
      </c>
    </row>
    <row r="291" spans="1:49">
      <c r="A291" s="798">
        <f t="shared" si="8"/>
        <v>1994</v>
      </c>
      <c r="B291" s="798">
        <f t="shared" si="9"/>
        <v>3</v>
      </c>
      <c r="C291" s="1105">
        <v>34516</v>
      </c>
      <c r="D291" s="934">
        <v>203.62</v>
      </c>
      <c r="E291" s="1100">
        <v>521.34451508183417</v>
      </c>
      <c r="F291" s="1100">
        <v>385.43</v>
      </c>
      <c r="G291" s="1101"/>
      <c r="H291" s="935"/>
      <c r="I291" s="1101"/>
      <c r="J291" s="1101"/>
      <c r="K291" s="936">
        <v>8422.5077776274866</v>
      </c>
      <c r="L291" s="936">
        <v>6226.76</v>
      </c>
      <c r="M291" s="936"/>
      <c r="N291" s="937">
        <v>18.690000000000001</v>
      </c>
      <c r="O291" s="938">
        <v>3324.9</v>
      </c>
      <c r="P291" s="938">
        <v>784.71527120248891</v>
      </c>
      <c r="Q291" s="938">
        <v>1304.4772081698904</v>
      </c>
      <c r="R291" s="939">
        <v>9.25</v>
      </c>
      <c r="S291" s="940">
        <v>347</v>
      </c>
      <c r="T291" s="940">
        <v>241</v>
      </c>
      <c r="U291" s="1756"/>
      <c r="V291" s="1323"/>
      <c r="W291" s="1323"/>
      <c r="X291" s="538">
        <v>0.73929999999999996</v>
      </c>
      <c r="AJ291" s="817" t="s">
        <v>538</v>
      </c>
      <c r="AK291" s="817">
        <v>2008</v>
      </c>
      <c r="AL291" s="874" t="s">
        <v>68</v>
      </c>
      <c r="AM291" s="874">
        <v>5</v>
      </c>
      <c r="AN291" s="1114">
        <v>69070542.060000002</v>
      </c>
      <c r="AO291" s="1112">
        <v>7.440653348191438E-2</v>
      </c>
      <c r="AP291" s="817"/>
      <c r="AQ291" s="817" t="s">
        <v>538</v>
      </c>
      <c r="AR291" s="817" t="s">
        <v>616</v>
      </c>
      <c r="AS291" s="874" t="s">
        <v>45</v>
      </c>
      <c r="AT291" s="874"/>
      <c r="AU291" s="1114">
        <v>84899598</v>
      </c>
      <c r="AV291" s="1113">
        <v>0.10100000000000001</v>
      </c>
      <c r="AW291" s="817">
        <v>2015</v>
      </c>
    </row>
    <row r="292" spans="1:49">
      <c r="A292" s="798">
        <f t="shared" si="8"/>
        <v>1994</v>
      </c>
      <c r="B292" s="798">
        <f t="shared" si="9"/>
        <v>3</v>
      </c>
      <c r="C292" s="1105">
        <v>34547</v>
      </c>
      <c r="D292" s="805">
        <v>211.35</v>
      </c>
      <c r="E292" s="1102">
        <v>512.13468013468014</v>
      </c>
      <c r="F292" s="1102">
        <v>380.26</v>
      </c>
      <c r="G292" s="1103"/>
      <c r="H292" s="805"/>
      <c r="I292" s="1103"/>
      <c r="J292" s="1103"/>
      <c r="K292" s="84">
        <v>7891.5824915824915</v>
      </c>
      <c r="L292" s="84">
        <v>5859.5</v>
      </c>
      <c r="M292" s="84"/>
      <c r="N292" s="805">
        <v>18.71</v>
      </c>
      <c r="O292" s="941">
        <v>3240.54</v>
      </c>
      <c r="P292" s="941">
        <v>768.95622895622898</v>
      </c>
      <c r="Q292" s="941">
        <v>1274.3434343434344</v>
      </c>
      <c r="R292" s="805">
        <v>9.1</v>
      </c>
      <c r="S292" s="805">
        <v>347</v>
      </c>
      <c r="T292" s="805">
        <v>241</v>
      </c>
      <c r="U292" s="805"/>
      <c r="V292" s="805"/>
      <c r="W292" s="805"/>
      <c r="X292" s="5">
        <v>0.74250000000000005</v>
      </c>
      <c r="AJ292" s="817" t="s">
        <v>538</v>
      </c>
      <c r="AK292" s="817">
        <v>2008</v>
      </c>
      <c r="AL292" s="874" t="s">
        <v>33</v>
      </c>
      <c r="AM292" s="874">
        <v>6</v>
      </c>
      <c r="AN292" s="1114">
        <v>66171521.980000004</v>
      </c>
      <c r="AO292" s="1112">
        <v>7.1283551842941814E-2</v>
      </c>
      <c r="AP292" s="817"/>
      <c r="AQ292" s="817" t="s">
        <v>538</v>
      </c>
      <c r="AR292" s="817" t="s">
        <v>616</v>
      </c>
      <c r="AS292" s="874" t="s">
        <v>452</v>
      </c>
      <c r="AT292" s="874"/>
      <c r="AU292" s="1114">
        <v>841133341</v>
      </c>
      <c r="AV292" s="874"/>
      <c r="AW292" s="817">
        <v>2015</v>
      </c>
    </row>
    <row r="293" spans="1:49">
      <c r="A293" s="798">
        <f t="shared" si="8"/>
        <v>1994</v>
      </c>
      <c r="B293" s="798">
        <f t="shared" si="9"/>
        <v>3</v>
      </c>
      <c r="C293" s="1105">
        <v>34578</v>
      </c>
      <c r="D293" s="934">
        <v>210.25</v>
      </c>
      <c r="E293" s="1100">
        <v>447.70403085242214</v>
      </c>
      <c r="F293" s="1100">
        <v>391.35</v>
      </c>
      <c r="G293" s="1101"/>
      <c r="H293" s="935"/>
      <c r="I293" s="1101"/>
      <c r="J293" s="1101"/>
      <c r="K293" s="936">
        <v>8610.32196969697</v>
      </c>
      <c r="L293" s="936">
        <v>6364.75</v>
      </c>
      <c r="M293" s="936"/>
      <c r="N293" s="937">
        <v>17.57</v>
      </c>
      <c r="O293" s="938">
        <v>3390.96</v>
      </c>
      <c r="P293" s="938">
        <v>831.00649350649348</v>
      </c>
      <c r="Q293" s="938">
        <v>1343.7905844155846</v>
      </c>
      <c r="R293" s="939">
        <v>9.0500000000000007</v>
      </c>
      <c r="S293" s="940">
        <v>347</v>
      </c>
      <c r="T293" s="940">
        <v>241</v>
      </c>
      <c r="U293" s="1756"/>
      <c r="V293" s="1323"/>
      <c r="W293" s="1323"/>
      <c r="X293" s="538">
        <v>0.73919999999999997</v>
      </c>
      <c r="AJ293" s="817" t="s">
        <v>538</v>
      </c>
      <c r="AK293" s="817">
        <v>2008</v>
      </c>
      <c r="AL293" s="874" t="s">
        <v>37</v>
      </c>
      <c r="AM293" s="874">
        <v>7</v>
      </c>
      <c r="AN293" s="1114">
        <v>64614850.18</v>
      </c>
      <c r="AO293" s="1112">
        <v>6.9606620564388419E-2</v>
      </c>
      <c r="AP293" s="817"/>
      <c r="AQ293" s="817" t="s">
        <v>538</v>
      </c>
      <c r="AR293" s="817" t="s">
        <v>615</v>
      </c>
      <c r="AS293" s="874" t="s">
        <v>41</v>
      </c>
      <c r="AT293" s="874">
        <v>1</v>
      </c>
      <c r="AU293" s="1114">
        <v>219174301</v>
      </c>
      <c r="AV293" s="1113">
        <v>0.32600000000000001</v>
      </c>
      <c r="AW293" s="817">
        <v>2014</v>
      </c>
    </row>
    <row r="294" spans="1:49">
      <c r="A294" s="798">
        <f t="shared" si="8"/>
        <v>1994</v>
      </c>
      <c r="B294" s="798">
        <f t="shared" si="9"/>
        <v>4</v>
      </c>
      <c r="C294" s="1105">
        <v>34608</v>
      </c>
      <c r="D294" s="805">
        <v>205.7</v>
      </c>
      <c r="E294" s="1102">
        <v>440.49825974569677</v>
      </c>
      <c r="F294" s="1102">
        <v>390.16</v>
      </c>
      <c r="G294" s="1103"/>
      <c r="H294" s="805"/>
      <c r="I294" s="1103"/>
      <c r="J294" s="1103"/>
      <c r="K294" s="84">
        <v>9092.2797089733231</v>
      </c>
      <c r="L294" s="84">
        <v>6748.29</v>
      </c>
      <c r="M294" s="84"/>
      <c r="N294" s="805">
        <v>17.54</v>
      </c>
      <c r="O294" s="941">
        <v>3432.5</v>
      </c>
      <c r="P294" s="941">
        <v>864.76690918889801</v>
      </c>
      <c r="Q294" s="941">
        <v>1426.7043923470765</v>
      </c>
      <c r="R294" s="805">
        <v>9.0500000000000007</v>
      </c>
      <c r="S294" s="805">
        <v>551</v>
      </c>
      <c r="T294" s="805">
        <v>263</v>
      </c>
      <c r="U294" s="805"/>
      <c r="V294" s="805"/>
      <c r="W294" s="805"/>
      <c r="X294" s="5">
        <v>0.74219999999999997</v>
      </c>
      <c r="AJ294" s="817" t="s">
        <v>538</v>
      </c>
      <c r="AK294" s="817">
        <v>2008</v>
      </c>
      <c r="AL294" s="874" t="s">
        <v>454</v>
      </c>
      <c r="AM294" s="874">
        <v>8</v>
      </c>
      <c r="AN294" s="1114">
        <v>55218097.929999985</v>
      </c>
      <c r="AO294" s="1112">
        <v>5.9483929471222843E-2</v>
      </c>
      <c r="AP294" s="817"/>
      <c r="AQ294" s="817" t="s">
        <v>538</v>
      </c>
      <c r="AR294" s="817" t="s">
        <v>615</v>
      </c>
      <c r="AS294" s="874" t="s">
        <v>24</v>
      </c>
      <c r="AT294" s="874">
        <v>2</v>
      </c>
      <c r="AU294" s="1114">
        <v>140776205</v>
      </c>
      <c r="AV294" s="1113">
        <v>0.20899999999999999</v>
      </c>
      <c r="AW294" s="817">
        <v>2014</v>
      </c>
    </row>
    <row r="295" spans="1:49">
      <c r="A295" s="798">
        <f t="shared" si="8"/>
        <v>1994</v>
      </c>
      <c r="B295" s="798">
        <f t="shared" si="9"/>
        <v>4</v>
      </c>
      <c r="C295" s="1105">
        <v>34639</v>
      </c>
      <c r="D295" s="934">
        <v>214.56</v>
      </c>
      <c r="E295" s="1100">
        <v>431.31593784679563</v>
      </c>
      <c r="F295" s="1100">
        <v>384.38</v>
      </c>
      <c r="G295" s="1101"/>
      <c r="H295" s="935"/>
      <c r="I295" s="1101"/>
      <c r="J295" s="1101"/>
      <c r="K295" s="936">
        <v>9853.7633567891589</v>
      </c>
      <c r="L295" s="936">
        <v>7561.78</v>
      </c>
      <c r="M295" s="936"/>
      <c r="N295" s="937">
        <v>17.43</v>
      </c>
      <c r="O295" s="938">
        <v>3651.81</v>
      </c>
      <c r="P295" s="938">
        <v>869.40317956737033</v>
      </c>
      <c r="Q295" s="938">
        <v>1501.1727912431588</v>
      </c>
      <c r="R295" s="939">
        <v>9.4499999999999993</v>
      </c>
      <c r="S295" s="940">
        <v>551</v>
      </c>
      <c r="T295" s="940">
        <v>263</v>
      </c>
      <c r="U295" s="1756"/>
      <c r="V295" s="1323"/>
      <c r="W295" s="1323"/>
      <c r="X295" s="538">
        <v>0.76739999999999997</v>
      </c>
      <c r="AJ295" s="817" t="s">
        <v>538</v>
      </c>
      <c r="AK295" s="817">
        <v>2008</v>
      </c>
      <c r="AL295" s="874" t="s">
        <v>433</v>
      </c>
      <c r="AM295" s="874">
        <v>9</v>
      </c>
      <c r="AN295" s="1114">
        <v>44761978.759999998</v>
      </c>
      <c r="AO295" s="1112">
        <v>4.8220030884215129E-2</v>
      </c>
      <c r="AP295" s="817"/>
      <c r="AQ295" s="817" t="s">
        <v>538</v>
      </c>
      <c r="AR295" s="817" t="s">
        <v>615</v>
      </c>
      <c r="AS295" s="874" t="s">
        <v>33</v>
      </c>
      <c r="AT295" s="874">
        <v>3</v>
      </c>
      <c r="AU295" s="1114">
        <v>66026579</v>
      </c>
      <c r="AV295" s="1113">
        <v>9.8000000000000004E-2</v>
      </c>
      <c r="AW295" s="817">
        <v>2014</v>
      </c>
    </row>
    <row r="296" spans="1:49">
      <c r="A296" s="798">
        <f t="shared" si="8"/>
        <v>1994</v>
      </c>
      <c r="B296" s="798">
        <f t="shared" si="9"/>
        <v>4</v>
      </c>
      <c r="C296" s="1105">
        <v>34669</v>
      </c>
      <c r="D296" s="805">
        <v>205.93</v>
      </c>
      <c r="E296" s="1102">
        <v>418.79159390667354</v>
      </c>
      <c r="F296" s="1102">
        <v>379.5</v>
      </c>
      <c r="G296" s="1103"/>
      <c r="H296" s="805"/>
      <c r="I296" s="1103"/>
      <c r="J296" s="1103"/>
      <c r="K296" s="84">
        <v>11011.647785787847</v>
      </c>
      <c r="L296" s="84">
        <v>8553.85</v>
      </c>
      <c r="M296" s="84"/>
      <c r="N296" s="805">
        <v>17.07</v>
      </c>
      <c r="O296" s="941">
        <v>3843.59</v>
      </c>
      <c r="P296" s="941">
        <v>817.22451081359429</v>
      </c>
      <c r="Q296" s="941">
        <v>1433.9598352214211</v>
      </c>
      <c r="R296" s="805">
        <v>9.6</v>
      </c>
      <c r="S296" s="805">
        <v>551</v>
      </c>
      <c r="T296" s="805">
        <v>263</v>
      </c>
      <c r="U296" s="805"/>
      <c r="V296" s="805"/>
      <c r="W296" s="805"/>
      <c r="X296" s="5">
        <v>0.77680000000000005</v>
      </c>
      <c r="AJ296" s="817" t="s">
        <v>538</v>
      </c>
      <c r="AK296" s="817">
        <v>2008</v>
      </c>
      <c r="AL296" s="874" t="s">
        <v>456</v>
      </c>
      <c r="AM296" s="874">
        <v>10</v>
      </c>
      <c r="AN296" s="1114">
        <v>35841945.059999995</v>
      </c>
      <c r="AO296" s="1112">
        <v>3.8610886864724067E-2</v>
      </c>
      <c r="AP296" s="817"/>
      <c r="AQ296" s="817" t="s">
        <v>538</v>
      </c>
      <c r="AR296" s="817" t="s">
        <v>615</v>
      </c>
      <c r="AS296" s="874" t="s">
        <v>72</v>
      </c>
      <c r="AT296" s="874">
        <v>4</v>
      </c>
      <c r="AU296" s="1114">
        <v>61145279</v>
      </c>
      <c r="AV296" s="1113">
        <v>9.0999999999999998E-2</v>
      </c>
      <c r="AW296" s="817">
        <v>2014</v>
      </c>
    </row>
    <row r="297" spans="1:49">
      <c r="A297" s="798">
        <f t="shared" si="8"/>
        <v>1995</v>
      </c>
      <c r="B297" s="798">
        <f t="shared" si="9"/>
        <v>1</v>
      </c>
      <c r="C297" s="1105">
        <v>34700</v>
      </c>
      <c r="D297" s="934">
        <v>209.79</v>
      </c>
      <c r="E297" s="1100">
        <v>499.4593168930503</v>
      </c>
      <c r="F297" s="1100">
        <v>378.74</v>
      </c>
      <c r="G297" s="1101"/>
      <c r="H297" s="935"/>
      <c r="I297" s="1101"/>
      <c r="J297" s="1101"/>
      <c r="K297" s="936">
        <v>12650.072530660687</v>
      </c>
      <c r="L297" s="936">
        <v>9592.5499999999993</v>
      </c>
      <c r="M297" s="936"/>
      <c r="N297" s="937">
        <v>18.5</v>
      </c>
      <c r="O297" s="938">
        <v>3969.8</v>
      </c>
      <c r="P297" s="938">
        <v>878.18805222207561</v>
      </c>
      <c r="Q297" s="938">
        <v>1524.1988658842147</v>
      </c>
      <c r="R297" s="939">
        <v>9.65</v>
      </c>
      <c r="S297" s="940">
        <v>567</v>
      </c>
      <c r="T297" s="940">
        <v>285</v>
      </c>
      <c r="U297" s="1756">
        <v>87059</v>
      </c>
      <c r="V297" s="1323"/>
      <c r="W297" s="1323"/>
      <c r="X297" s="538">
        <v>0.75829999999999997</v>
      </c>
      <c r="AJ297" s="817" t="s">
        <v>538</v>
      </c>
      <c r="AK297" s="817">
        <v>2008</v>
      </c>
      <c r="AL297" s="874" t="s">
        <v>84</v>
      </c>
      <c r="AM297" s="874">
        <v>11</v>
      </c>
      <c r="AN297" s="1114">
        <v>33437899.27</v>
      </c>
      <c r="AO297" s="1112">
        <v>3.6021118372530914E-2</v>
      </c>
      <c r="AP297" s="817"/>
      <c r="AQ297" s="817" t="s">
        <v>538</v>
      </c>
      <c r="AR297" s="817" t="s">
        <v>615</v>
      </c>
      <c r="AS297" s="874" t="s">
        <v>27</v>
      </c>
      <c r="AT297" s="874">
        <v>5</v>
      </c>
      <c r="AU297" s="1114">
        <v>39026663</v>
      </c>
      <c r="AV297" s="1113">
        <v>5.8000000000000003E-2</v>
      </c>
      <c r="AW297" s="817">
        <v>2014</v>
      </c>
    </row>
    <row r="298" spans="1:49">
      <c r="A298" s="798">
        <f t="shared" si="8"/>
        <v>1995</v>
      </c>
      <c r="B298" s="798">
        <f t="shared" si="9"/>
        <v>1</v>
      </c>
      <c r="C298" s="1105">
        <v>34731</v>
      </c>
      <c r="D298" s="805">
        <v>217.94</v>
      </c>
      <c r="E298" s="1102">
        <v>508.99256254225821</v>
      </c>
      <c r="F298" s="1102">
        <v>376.4</v>
      </c>
      <c r="G298" s="1103"/>
      <c r="H298" s="805"/>
      <c r="I298" s="1103"/>
      <c r="J298" s="1103"/>
      <c r="K298" s="84">
        <v>11501.622718052738</v>
      </c>
      <c r="L298" s="84">
        <v>8505.4500000000007</v>
      </c>
      <c r="M298" s="84"/>
      <c r="N298" s="805">
        <v>18.88</v>
      </c>
      <c r="O298" s="941">
        <v>3891.28</v>
      </c>
      <c r="P298" s="941">
        <v>784.11088573360382</v>
      </c>
      <c r="Q298" s="941">
        <v>1396.3488843813386</v>
      </c>
      <c r="R298" s="805">
        <v>10.4</v>
      </c>
      <c r="S298" s="805">
        <v>567</v>
      </c>
      <c r="T298" s="805">
        <v>285</v>
      </c>
      <c r="U298" s="805">
        <v>89257</v>
      </c>
      <c r="V298" s="805"/>
      <c r="W298" s="805"/>
      <c r="X298" s="5">
        <v>0.73950000000000005</v>
      </c>
      <c r="AJ298" s="817" t="s">
        <v>538</v>
      </c>
      <c r="AK298" s="817">
        <v>2008</v>
      </c>
      <c r="AL298" s="874" t="s">
        <v>31</v>
      </c>
      <c r="AM298" s="874">
        <v>12</v>
      </c>
      <c r="AN298" s="1114">
        <v>32033099.390000004</v>
      </c>
      <c r="AO298" s="1112">
        <v>3.450779176195054E-2</v>
      </c>
      <c r="AP298" s="817"/>
      <c r="AQ298" s="817" t="s">
        <v>538</v>
      </c>
      <c r="AR298" s="817" t="s">
        <v>615</v>
      </c>
      <c r="AS298" s="874" t="s">
        <v>37</v>
      </c>
      <c r="AT298" s="874">
        <v>6</v>
      </c>
      <c r="AU298" s="1114">
        <v>24561816</v>
      </c>
      <c r="AV298" s="1113">
        <v>3.6999999999999998E-2</v>
      </c>
      <c r="AW298" s="817">
        <v>2014</v>
      </c>
    </row>
    <row r="299" spans="1:49">
      <c r="A299" s="798">
        <f t="shared" si="8"/>
        <v>1995</v>
      </c>
      <c r="B299" s="798">
        <f t="shared" si="9"/>
        <v>1</v>
      </c>
      <c r="C299" s="1105">
        <v>34759</v>
      </c>
      <c r="D299" s="934">
        <v>211.32</v>
      </c>
      <c r="E299" s="1100">
        <v>529.35439560439568</v>
      </c>
      <c r="F299" s="1100">
        <v>385.37</v>
      </c>
      <c r="G299" s="1101"/>
      <c r="H299" s="935"/>
      <c r="I299" s="1101"/>
      <c r="J299" s="1101"/>
      <c r="K299" s="936">
        <v>10346.030219780219</v>
      </c>
      <c r="L299" s="936">
        <v>7531.91</v>
      </c>
      <c r="M299" s="936"/>
      <c r="N299" s="937">
        <v>18.489999999999998</v>
      </c>
      <c r="O299" s="938">
        <v>4016.48</v>
      </c>
      <c r="P299" s="938">
        <v>804.34065934065927</v>
      </c>
      <c r="Q299" s="938">
        <v>1404.6703296703297</v>
      </c>
      <c r="R299" s="939">
        <v>11.15</v>
      </c>
      <c r="S299" s="940">
        <v>567</v>
      </c>
      <c r="T299" s="940">
        <v>285</v>
      </c>
      <c r="U299" s="1756">
        <v>86549</v>
      </c>
      <c r="V299" s="1323"/>
      <c r="W299" s="1323"/>
      <c r="X299" s="538">
        <v>0.72799999999999998</v>
      </c>
      <c r="AJ299" s="817" t="s">
        <v>538</v>
      </c>
      <c r="AK299" s="817">
        <v>2008</v>
      </c>
      <c r="AL299" s="874" t="s">
        <v>45</v>
      </c>
      <c r="AM299" s="874"/>
      <c r="AN299" s="1114">
        <v>70937809.740000248</v>
      </c>
      <c r="AO299" s="1112">
        <v>7.6418055485476241E-2</v>
      </c>
      <c r="AP299" s="817"/>
      <c r="AQ299" s="817" t="s">
        <v>538</v>
      </c>
      <c r="AR299" s="817" t="s">
        <v>615</v>
      </c>
      <c r="AS299" s="874" t="s">
        <v>433</v>
      </c>
      <c r="AT299" s="874">
        <v>7</v>
      </c>
      <c r="AU299" s="1114">
        <v>22232225</v>
      </c>
      <c r="AV299" s="1113">
        <v>3.3000000000000002E-2</v>
      </c>
      <c r="AW299" s="817">
        <v>2014</v>
      </c>
    </row>
    <row r="300" spans="1:49">
      <c r="A300" s="798">
        <f t="shared" si="8"/>
        <v>1995</v>
      </c>
      <c r="B300" s="798">
        <f t="shared" si="9"/>
        <v>2</v>
      </c>
      <c r="C300" s="1105">
        <v>34790</v>
      </c>
      <c r="D300" s="805">
        <v>226.74</v>
      </c>
      <c r="E300" s="1102">
        <v>534.25126729688998</v>
      </c>
      <c r="F300" s="1102">
        <v>389.95</v>
      </c>
      <c r="G300" s="1103"/>
      <c r="H300" s="805"/>
      <c r="I300" s="1103"/>
      <c r="J300" s="1103"/>
      <c r="K300" s="84">
        <v>10135.402109878065</v>
      </c>
      <c r="L300" s="84">
        <v>7397.83</v>
      </c>
      <c r="M300" s="84"/>
      <c r="N300" s="805">
        <v>19.07</v>
      </c>
      <c r="O300" s="941">
        <v>3982.19</v>
      </c>
      <c r="P300" s="941">
        <v>832.99082066036442</v>
      </c>
      <c r="Q300" s="941">
        <v>1452.2537333881353</v>
      </c>
      <c r="R300" s="805">
        <v>11.6</v>
      </c>
      <c r="S300" s="805">
        <v>578</v>
      </c>
      <c r="T300" s="805">
        <v>321</v>
      </c>
      <c r="U300" s="805">
        <v>83061</v>
      </c>
      <c r="V300" s="805"/>
      <c r="W300" s="805"/>
      <c r="X300" s="5">
        <v>0.72989999999999999</v>
      </c>
      <c r="AJ300" s="817" t="s">
        <v>538</v>
      </c>
      <c r="AK300" s="817">
        <v>2008</v>
      </c>
      <c r="AL300" s="874" t="s">
        <v>452</v>
      </c>
      <c r="AM300" s="874"/>
      <c r="AN300" s="1114">
        <v>928285982.80000007</v>
      </c>
      <c r="AO300" s="1112"/>
      <c r="AP300" s="817"/>
      <c r="AQ300" s="817" t="s">
        <v>538</v>
      </c>
      <c r="AR300" s="817" t="s">
        <v>615</v>
      </c>
      <c r="AS300" s="874" t="s">
        <v>31</v>
      </c>
      <c r="AT300" s="874">
        <v>8</v>
      </c>
      <c r="AU300" s="1114">
        <v>15818131</v>
      </c>
      <c r="AV300" s="1113">
        <v>2.4E-2</v>
      </c>
      <c r="AW300" s="817">
        <v>2014</v>
      </c>
    </row>
    <row r="301" spans="1:49">
      <c r="A301" s="798">
        <f t="shared" si="8"/>
        <v>1995</v>
      </c>
      <c r="B301" s="798">
        <f t="shared" si="9"/>
        <v>2</v>
      </c>
      <c r="C301" s="1105">
        <v>34820</v>
      </c>
      <c r="D301" s="934">
        <v>234.88</v>
      </c>
      <c r="E301" s="1100">
        <v>538.38610254973389</v>
      </c>
      <c r="F301" s="1100">
        <v>384.3</v>
      </c>
      <c r="G301" s="1101"/>
      <c r="H301" s="935"/>
      <c r="I301" s="1101"/>
      <c r="J301" s="1101"/>
      <c r="K301" s="936">
        <v>10131.689548893248</v>
      </c>
      <c r="L301" s="936">
        <v>7232</v>
      </c>
      <c r="M301" s="936"/>
      <c r="N301" s="937">
        <v>19.309999999999999</v>
      </c>
      <c r="O301" s="938">
        <v>3886.38</v>
      </c>
      <c r="P301" s="938">
        <v>836.31269263098909</v>
      </c>
      <c r="Q301" s="938">
        <v>1452.0874194452228</v>
      </c>
      <c r="R301" s="939">
        <v>12</v>
      </c>
      <c r="S301" s="940">
        <v>578</v>
      </c>
      <c r="T301" s="940">
        <v>321</v>
      </c>
      <c r="U301" s="1756">
        <v>89043</v>
      </c>
      <c r="V301" s="1323"/>
      <c r="W301" s="1323"/>
      <c r="X301" s="538">
        <v>0.71379999999999999</v>
      </c>
      <c r="AJ301" s="1119" t="s">
        <v>1</v>
      </c>
      <c r="AK301" s="1119">
        <v>2002</v>
      </c>
      <c r="AL301" s="1119" t="s">
        <v>72</v>
      </c>
      <c r="AM301" s="1119">
        <v>1</v>
      </c>
      <c r="AN301" s="1120">
        <v>1029318000</v>
      </c>
      <c r="AO301" s="1392">
        <v>0.26879031588381191</v>
      </c>
      <c r="AP301" s="817"/>
      <c r="AQ301" s="817" t="s">
        <v>538</v>
      </c>
      <c r="AR301" s="817" t="s">
        <v>615</v>
      </c>
      <c r="AS301" s="874" t="s">
        <v>29</v>
      </c>
      <c r="AT301" s="874">
        <v>9</v>
      </c>
      <c r="AU301" s="1114">
        <v>15358603</v>
      </c>
      <c r="AV301" s="1113">
        <v>2.3E-2</v>
      </c>
      <c r="AW301" s="817">
        <v>2014</v>
      </c>
    </row>
    <row r="302" spans="1:49">
      <c r="A302" s="798">
        <f t="shared" si="8"/>
        <v>1995</v>
      </c>
      <c r="B302" s="798">
        <f t="shared" si="9"/>
        <v>2</v>
      </c>
      <c r="C302" s="1105">
        <v>34851</v>
      </c>
      <c r="D302" s="805">
        <v>242.8</v>
      </c>
      <c r="E302" s="1102">
        <v>547.02229748800448</v>
      </c>
      <c r="F302" s="1102">
        <v>387.62</v>
      </c>
      <c r="G302" s="1103"/>
      <c r="H302" s="805"/>
      <c r="I302" s="1103"/>
      <c r="J302" s="1103"/>
      <c r="K302" s="84">
        <v>11112.475303415185</v>
      </c>
      <c r="L302" s="84">
        <v>7874.3</v>
      </c>
      <c r="M302" s="84"/>
      <c r="N302" s="805">
        <v>18.28</v>
      </c>
      <c r="O302" s="941">
        <v>4226.08</v>
      </c>
      <c r="P302" s="941">
        <v>863.39260513688953</v>
      </c>
      <c r="Q302" s="941">
        <v>1425.3457521874118</v>
      </c>
      <c r="R302" s="805">
        <v>11.9</v>
      </c>
      <c r="S302" s="805">
        <v>578</v>
      </c>
      <c r="T302" s="805">
        <v>321</v>
      </c>
      <c r="U302" s="805">
        <v>88156</v>
      </c>
      <c r="V302" s="805"/>
      <c r="W302" s="805"/>
      <c r="X302" s="5">
        <v>0.70860000000000001</v>
      </c>
      <c r="AJ302" s="1119" t="s">
        <v>1</v>
      </c>
      <c r="AK302" s="1119">
        <v>2002</v>
      </c>
      <c r="AL302" s="1119" t="s">
        <v>431</v>
      </c>
      <c r="AM302" s="1119">
        <v>2</v>
      </c>
      <c r="AN302" s="1120">
        <v>875472000</v>
      </c>
      <c r="AO302" s="1392">
        <v>0.22861583633768434</v>
      </c>
      <c r="AP302" s="817"/>
      <c r="AQ302" s="817" t="s">
        <v>538</v>
      </c>
      <c r="AR302" s="817" t="s">
        <v>615</v>
      </c>
      <c r="AS302" s="874" t="s">
        <v>39</v>
      </c>
      <c r="AT302" s="874">
        <v>10</v>
      </c>
      <c r="AU302" s="1114">
        <v>14679500</v>
      </c>
      <c r="AV302" s="1113">
        <v>2.1999999999999999E-2</v>
      </c>
      <c r="AW302" s="817">
        <v>2014</v>
      </c>
    </row>
    <row r="303" spans="1:49">
      <c r="A303" s="798">
        <f t="shared" si="8"/>
        <v>1995</v>
      </c>
      <c r="B303" s="798">
        <f t="shared" si="9"/>
        <v>3</v>
      </c>
      <c r="C303" s="1105">
        <v>34881</v>
      </c>
      <c r="D303" s="934">
        <v>254.42</v>
      </c>
      <c r="E303" s="1100">
        <v>522.58763026119902</v>
      </c>
      <c r="F303" s="1100">
        <v>386.14</v>
      </c>
      <c r="G303" s="1101"/>
      <c r="H303" s="935"/>
      <c r="I303" s="1101"/>
      <c r="J303" s="1101"/>
      <c r="K303" s="936">
        <v>11634.280687508459</v>
      </c>
      <c r="L303" s="936">
        <v>8596.57</v>
      </c>
      <c r="M303" s="936"/>
      <c r="N303" s="937">
        <v>17.260000000000002</v>
      </c>
      <c r="O303" s="938">
        <v>4162.3999999999996</v>
      </c>
      <c r="P303" s="938">
        <v>841.65651644336174</v>
      </c>
      <c r="Q303" s="938">
        <v>1389.9039112193802</v>
      </c>
      <c r="R303" s="939">
        <v>11.85</v>
      </c>
      <c r="S303" s="940">
        <v>571</v>
      </c>
      <c r="T303" s="940">
        <v>374</v>
      </c>
      <c r="U303" s="1756">
        <v>81602</v>
      </c>
      <c r="V303" s="1323"/>
      <c r="W303" s="1323"/>
      <c r="X303" s="538">
        <v>0.7389</v>
      </c>
      <c r="AJ303" s="1119" t="s">
        <v>1</v>
      </c>
      <c r="AK303" s="1119">
        <v>2002</v>
      </c>
      <c r="AL303" s="1119" t="s">
        <v>70</v>
      </c>
      <c r="AM303" s="1119">
        <v>3</v>
      </c>
      <c r="AN303" s="1120">
        <v>579074000</v>
      </c>
      <c r="AO303" s="1392">
        <v>0.15121612891264166</v>
      </c>
      <c r="AP303" s="817"/>
      <c r="AQ303" s="817" t="s">
        <v>538</v>
      </c>
      <c r="AR303" s="817" t="s">
        <v>615</v>
      </c>
      <c r="AS303" s="874" t="s">
        <v>45</v>
      </c>
      <c r="AT303" s="874"/>
      <c r="AU303" s="1114">
        <v>53700797</v>
      </c>
      <c r="AV303" s="1113">
        <v>0.08</v>
      </c>
      <c r="AW303" s="817">
        <v>2014</v>
      </c>
    </row>
    <row r="304" spans="1:49">
      <c r="A304" s="798">
        <f t="shared" si="8"/>
        <v>1995</v>
      </c>
      <c r="B304" s="798">
        <f t="shared" si="9"/>
        <v>3</v>
      </c>
      <c r="C304" s="1105">
        <v>34912</v>
      </c>
      <c r="D304" s="805">
        <v>240.84</v>
      </c>
      <c r="E304" s="1102">
        <v>503.3</v>
      </c>
      <c r="F304" s="1102">
        <v>383.5</v>
      </c>
      <c r="G304" s="1103"/>
      <c r="H304" s="805"/>
      <c r="I304" s="1103"/>
      <c r="J304" s="1103"/>
      <c r="K304" s="84">
        <v>11888.264221158957</v>
      </c>
      <c r="L304" s="84">
        <v>8944.73</v>
      </c>
      <c r="M304" s="84"/>
      <c r="N304" s="805">
        <v>17.45</v>
      </c>
      <c r="O304" s="941">
        <v>4037.21</v>
      </c>
      <c r="P304" s="941">
        <v>829.02711323763958</v>
      </c>
      <c r="Q304" s="941">
        <v>1348.3519404572037</v>
      </c>
      <c r="R304" s="805">
        <v>11.7</v>
      </c>
      <c r="S304" s="805">
        <v>571</v>
      </c>
      <c r="T304" s="805">
        <v>374</v>
      </c>
      <c r="U304" s="805">
        <v>82218</v>
      </c>
      <c r="V304" s="805"/>
      <c r="W304" s="805"/>
      <c r="X304" s="5">
        <v>0.75239999999999996</v>
      </c>
      <c r="AJ304" s="1119" t="s">
        <v>1</v>
      </c>
      <c r="AK304" s="1119">
        <v>2002</v>
      </c>
      <c r="AL304" s="1119" t="s">
        <v>29</v>
      </c>
      <c r="AM304" s="1119">
        <v>4</v>
      </c>
      <c r="AN304" s="1120">
        <v>314995000</v>
      </c>
      <c r="AO304" s="1392">
        <v>8.2256023456134392E-2</v>
      </c>
      <c r="AP304" s="817"/>
      <c r="AQ304" s="817" t="s">
        <v>538</v>
      </c>
      <c r="AR304" s="817" t="s">
        <v>615</v>
      </c>
      <c r="AS304" s="874" t="s">
        <v>452</v>
      </c>
      <c r="AT304" s="874"/>
      <c r="AU304" s="1114">
        <v>672500097</v>
      </c>
      <c r="AV304" s="874"/>
      <c r="AW304" s="817">
        <v>2014</v>
      </c>
    </row>
    <row r="305" spans="1:49">
      <c r="A305" s="798">
        <f t="shared" si="8"/>
        <v>1995</v>
      </c>
      <c r="B305" s="798">
        <f t="shared" si="9"/>
        <v>3</v>
      </c>
      <c r="C305" s="1105">
        <v>34943</v>
      </c>
      <c r="D305" s="934">
        <v>239.36</v>
      </c>
      <c r="E305" s="1100">
        <v>510.4</v>
      </c>
      <c r="F305" s="1100">
        <v>382.93</v>
      </c>
      <c r="G305" s="1101"/>
      <c r="H305" s="935"/>
      <c r="I305" s="1101"/>
      <c r="J305" s="1101"/>
      <c r="K305" s="936">
        <v>11136.423841059603</v>
      </c>
      <c r="L305" s="936">
        <v>8408</v>
      </c>
      <c r="M305" s="936"/>
      <c r="N305" s="937">
        <v>17.5</v>
      </c>
      <c r="O305" s="938">
        <v>3861.59</v>
      </c>
      <c r="P305" s="938">
        <v>785.04635761589407</v>
      </c>
      <c r="Q305" s="938">
        <v>1306.7152317880796</v>
      </c>
      <c r="R305" s="939">
        <v>11.7</v>
      </c>
      <c r="S305" s="940">
        <v>571</v>
      </c>
      <c r="T305" s="940">
        <v>374</v>
      </c>
      <c r="U305" s="1756">
        <v>84417</v>
      </c>
      <c r="V305" s="1323"/>
      <c r="W305" s="1323"/>
      <c r="X305" s="538">
        <v>0.755</v>
      </c>
      <c r="AJ305" s="1119" t="s">
        <v>1</v>
      </c>
      <c r="AK305" s="1119">
        <v>2002</v>
      </c>
      <c r="AL305" s="1119" t="s">
        <v>430</v>
      </c>
      <c r="AM305" s="1119">
        <v>5</v>
      </c>
      <c r="AN305" s="1120">
        <v>293728000</v>
      </c>
      <c r="AO305" s="1392">
        <v>7.6702478635290852E-2</v>
      </c>
      <c r="AP305" s="817"/>
      <c r="AQ305" s="817" t="s">
        <v>538</v>
      </c>
      <c r="AR305" s="817" t="s">
        <v>614</v>
      </c>
      <c r="AS305" s="874" t="s">
        <v>24</v>
      </c>
      <c r="AT305" s="874">
        <v>1</v>
      </c>
      <c r="AU305" s="1114">
        <v>194756189</v>
      </c>
      <c r="AV305" s="1113">
        <v>0.28799999999999998</v>
      </c>
      <c r="AW305" s="817">
        <v>2013</v>
      </c>
    </row>
    <row r="306" spans="1:49">
      <c r="A306" s="798">
        <f t="shared" si="8"/>
        <v>1995</v>
      </c>
      <c r="B306" s="798">
        <f t="shared" si="9"/>
        <v>4</v>
      </c>
      <c r="C306" s="1105">
        <v>34973</v>
      </c>
      <c r="D306" s="805">
        <v>229.38</v>
      </c>
      <c r="E306" s="1102">
        <v>503.6</v>
      </c>
      <c r="F306" s="1102">
        <v>383.2</v>
      </c>
      <c r="G306" s="1103"/>
      <c r="H306" s="805"/>
      <c r="I306" s="1103"/>
      <c r="J306" s="1103"/>
      <c r="K306" s="84">
        <v>10659.265133491937</v>
      </c>
      <c r="L306" s="84">
        <v>8064.8</v>
      </c>
      <c r="M306" s="84"/>
      <c r="N306" s="805">
        <v>17.29</v>
      </c>
      <c r="O306" s="941">
        <v>3718.61</v>
      </c>
      <c r="P306" s="941">
        <v>844.68675654242668</v>
      </c>
      <c r="Q306" s="941">
        <v>1294.6074544012688</v>
      </c>
      <c r="R306" s="805">
        <v>11.7</v>
      </c>
      <c r="S306" s="805">
        <v>593</v>
      </c>
      <c r="T306" s="805">
        <v>429</v>
      </c>
      <c r="U306" s="805">
        <v>86715</v>
      </c>
      <c r="V306" s="805"/>
      <c r="W306" s="805"/>
      <c r="X306" s="5">
        <v>0.75660000000000005</v>
      </c>
      <c r="AJ306" s="1119" t="s">
        <v>1</v>
      </c>
      <c r="AK306" s="1119">
        <v>2002</v>
      </c>
      <c r="AL306" s="1119" t="s">
        <v>27</v>
      </c>
      <c r="AM306" s="1119">
        <v>6</v>
      </c>
      <c r="AN306" s="1120">
        <v>247070000</v>
      </c>
      <c r="AO306" s="1392">
        <v>6.4518470817972101E-2</v>
      </c>
      <c r="AP306" s="817"/>
      <c r="AQ306" s="817" t="s">
        <v>538</v>
      </c>
      <c r="AR306" s="817" t="s">
        <v>614</v>
      </c>
      <c r="AS306" s="874" t="s">
        <v>41</v>
      </c>
      <c r="AT306" s="874">
        <v>2</v>
      </c>
      <c r="AU306" s="1114">
        <v>149251517</v>
      </c>
      <c r="AV306" s="1113">
        <v>0.221</v>
      </c>
      <c r="AW306" s="817">
        <v>2013</v>
      </c>
    </row>
    <row r="307" spans="1:49">
      <c r="A307" s="798">
        <f t="shared" si="8"/>
        <v>1995</v>
      </c>
      <c r="B307" s="798">
        <f t="shared" si="9"/>
        <v>4</v>
      </c>
      <c r="C307" s="1105">
        <v>35004</v>
      </c>
      <c r="D307" s="934">
        <v>243.33</v>
      </c>
      <c r="E307" s="1100">
        <v>519.6</v>
      </c>
      <c r="F307" s="1100">
        <v>385.21</v>
      </c>
      <c r="G307" s="1101"/>
      <c r="H307" s="935"/>
      <c r="I307" s="1101"/>
      <c r="J307" s="1101"/>
      <c r="K307" s="936">
        <v>11392.422010978711</v>
      </c>
      <c r="L307" s="936">
        <v>8509</v>
      </c>
      <c r="M307" s="936"/>
      <c r="N307" s="937">
        <v>18.21</v>
      </c>
      <c r="O307" s="938">
        <v>3986.21</v>
      </c>
      <c r="P307" s="938">
        <v>955.40232962913376</v>
      </c>
      <c r="Q307" s="938">
        <v>1380.3722051144732</v>
      </c>
      <c r="R307" s="939">
        <v>11.9</v>
      </c>
      <c r="S307" s="940">
        <v>593</v>
      </c>
      <c r="T307" s="940">
        <v>429</v>
      </c>
      <c r="U307" s="1756">
        <v>93376</v>
      </c>
      <c r="V307" s="1323"/>
      <c r="W307" s="1323"/>
      <c r="X307" s="538">
        <v>0.74690000000000001</v>
      </c>
      <c r="AJ307" s="1119" t="s">
        <v>1</v>
      </c>
      <c r="AK307" s="1119">
        <v>2002</v>
      </c>
      <c r="AL307" s="1119" t="s">
        <v>433</v>
      </c>
      <c r="AM307" s="1119">
        <v>7</v>
      </c>
      <c r="AN307" s="1120">
        <v>184127000</v>
      </c>
      <c r="AO307" s="1392">
        <v>4.8081889651923539E-2</v>
      </c>
      <c r="AP307" s="817"/>
      <c r="AQ307" s="817" t="s">
        <v>538</v>
      </c>
      <c r="AR307" s="817" t="s">
        <v>614</v>
      </c>
      <c r="AS307" s="874" t="s">
        <v>33</v>
      </c>
      <c r="AT307" s="874">
        <v>3</v>
      </c>
      <c r="AU307" s="1114">
        <v>74636151</v>
      </c>
      <c r="AV307" s="1113">
        <v>0.111</v>
      </c>
      <c r="AW307" s="817">
        <v>2013</v>
      </c>
    </row>
    <row r="308" spans="1:49">
      <c r="A308" s="798">
        <f t="shared" si="8"/>
        <v>1995</v>
      </c>
      <c r="B308" s="798">
        <f t="shared" si="9"/>
        <v>4</v>
      </c>
      <c r="C308" s="1105">
        <v>35034</v>
      </c>
      <c r="D308" s="805">
        <v>239.45</v>
      </c>
      <c r="E308" s="1102">
        <v>520.6</v>
      </c>
      <c r="F308" s="1102">
        <v>387.46</v>
      </c>
      <c r="G308" s="1103"/>
      <c r="H308" s="805"/>
      <c r="I308" s="1103"/>
      <c r="J308" s="1103"/>
      <c r="K308" s="84">
        <v>10934.228187919463</v>
      </c>
      <c r="L308" s="84">
        <v>8146</v>
      </c>
      <c r="M308" s="84"/>
      <c r="N308" s="805">
        <v>19.61</v>
      </c>
      <c r="O308" s="941">
        <v>3938.26</v>
      </c>
      <c r="P308" s="941">
        <v>1014.765100671141</v>
      </c>
      <c r="Q308" s="941">
        <v>1373.1543624161075</v>
      </c>
      <c r="R308" s="805">
        <v>11.9</v>
      </c>
      <c r="S308" s="805">
        <v>593</v>
      </c>
      <c r="T308" s="805">
        <v>429</v>
      </c>
      <c r="U308" s="805">
        <v>96440</v>
      </c>
      <c r="V308" s="805"/>
      <c r="W308" s="805"/>
      <c r="X308" s="5">
        <v>0.745</v>
      </c>
      <c r="AJ308" s="1119" t="s">
        <v>1</v>
      </c>
      <c r="AK308" s="1119">
        <v>2002</v>
      </c>
      <c r="AL308" s="1119" t="s">
        <v>39</v>
      </c>
      <c r="AM308" s="1119">
        <v>8</v>
      </c>
      <c r="AN308" s="1120">
        <v>172653000</v>
      </c>
      <c r="AO308" s="1392">
        <v>4.508563379663795E-2</v>
      </c>
      <c r="AP308" s="817"/>
      <c r="AQ308" s="817" t="s">
        <v>538</v>
      </c>
      <c r="AR308" s="817" t="s">
        <v>614</v>
      </c>
      <c r="AS308" s="874" t="s">
        <v>84</v>
      </c>
      <c r="AT308" s="874">
        <v>4</v>
      </c>
      <c r="AU308" s="1114">
        <v>39929734</v>
      </c>
      <c r="AV308" s="1113">
        <v>5.8999999999999997E-2</v>
      </c>
      <c r="AW308" s="817">
        <v>2013</v>
      </c>
    </row>
    <row r="309" spans="1:49">
      <c r="A309" s="798">
        <f t="shared" si="8"/>
        <v>1996</v>
      </c>
      <c r="B309" s="798">
        <f t="shared" si="9"/>
        <v>1</v>
      </c>
      <c r="C309" s="1105">
        <v>35065</v>
      </c>
      <c r="D309" s="934">
        <v>265.69</v>
      </c>
      <c r="E309" s="1100">
        <v>544.1</v>
      </c>
      <c r="F309" s="1100">
        <v>398.7</v>
      </c>
      <c r="G309" s="1101"/>
      <c r="H309" s="935"/>
      <c r="I309" s="1101"/>
      <c r="J309" s="1101"/>
      <c r="K309" s="936">
        <v>10559.1513361085</v>
      </c>
      <c r="L309" s="936">
        <v>7863.4</v>
      </c>
      <c r="M309" s="936"/>
      <c r="N309" s="937">
        <v>20.38</v>
      </c>
      <c r="O309" s="938">
        <v>3523.84</v>
      </c>
      <c r="P309" s="938">
        <v>953.0549214448771</v>
      </c>
      <c r="Q309" s="938">
        <v>1367.7991137370752</v>
      </c>
      <c r="R309" s="939">
        <v>13</v>
      </c>
      <c r="S309" s="940">
        <v>707</v>
      </c>
      <c r="T309" s="940">
        <v>540</v>
      </c>
      <c r="U309" s="1756">
        <v>96183</v>
      </c>
      <c r="V309" s="1323"/>
      <c r="W309" s="1323"/>
      <c r="X309" s="538">
        <v>0.74470000000000003</v>
      </c>
      <c r="AJ309" s="1119" t="s">
        <v>1</v>
      </c>
      <c r="AK309" s="1119">
        <v>2002</v>
      </c>
      <c r="AL309" s="1119" t="s">
        <v>40</v>
      </c>
      <c r="AM309" s="1119">
        <v>9</v>
      </c>
      <c r="AN309" s="1120">
        <v>60342000</v>
      </c>
      <c r="AO309" s="1392">
        <v>1.5757370648391437E-2</v>
      </c>
      <c r="AP309" s="817"/>
      <c r="AQ309" s="817" t="s">
        <v>538</v>
      </c>
      <c r="AR309" s="817" t="s">
        <v>614</v>
      </c>
      <c r="AS309" s="874" t="s">
        <v>27</v>
      </c>
      <c r="AT309" s="874">
        <v>5</v>
      </c>
      <c r="AU309" s="1114">
        <v>38625442</v>
      </c>
      <c r="AV309" s="1113">
        <v>5.7000000000000002E-2</v>
      </c>
      <c r="AW309" s="817">
        <v>2013</v>
      </c>
    </row>
    <row r="310" spans="1:49">
      <c r="A310" s="798">
        <f t="shared" si="8"/>
        <v>1996</v>
      </c>
      <c r="B310" s="798">
        <f t="shared" si="9"/>
        <v>1</v>
      </c>
      <c r="C310" s="1105">
        <v>35096</v>
      </c>
      <c r="D310" s="805">
        <v>260.57</v>
      </c>
      <c r="E310" s="1102">
        <v>525.54999999999995</v>
      </c>
      <c r="F310" s="1102">
        <v>404.92</v>
      </c>
      <c r="G310" s="1103"/>
      <c r="H310" s="805"/>
      <c r="I310" s="1103"/>
      <c r="J310" s="1103"/>
      <c r="K310" s="84">
        <v>10764.374590700721</v>
      </c>
      <c r="L310" s="84">
        <v>8218.6</v>
      </c>
      <c r="M310" s="84"/>
      <c r="N310" s="805">
        <v>20.38</v>
      </c>
      <c r="O310" s="941">
        <v>3323.77</v>
      </c>
      <c r="P310" s="941">
        <v>1008.0812049770792</v>
      </c>
      <c r="Q310" s="941">
        <v>1357.0399476096923</v>
      </c>
      <c r="R310" s="805">
        <v>15.4</v>
      </c>
      <c r="S310" s="805">
        <v>707</v>
      </c>
      <c r="T310" s="805">
        <v>540</v>
      </c>
      <c r="U310" s="805">
        <v>89541</v>
      </c>
      <c r="V310" s="805"/>
      <c r="W310" s="805"/>
      <c r="X310" s="5">
        <v>0.76349999999999996</v>
      </c>
      <c r="AJ310" s="1119" t="s">
        <v>1</v>
      </c>
      <c r="AK310" s="1119">
        <v>2002</v>
      </c>
      <c r="AL310" s="1119" t="s">
        <v>37</v>
      </c>
      <c r="AM310" s="1119">
        <v>10</v>
      </c>
      <c r="AN310" s="1120">
        <v>35869000</v>
      </c>
      <c r="AO310" s="1392">
        <v>9.3666290110893322E-3</v>
      </c>
      <c r="AP310" s="817"/>
      <c r="AQ310" s="817" t="s">
        <v>538</v>
      </c>
      <c r="AR310" s="817" t="s">
        <v>614</v>
      </c>
      <c r="AS310" s="874" t="s">
        <v>72</v>
      </c>
      <c r="AT310" s="874">
        <v>6</v>
      </c>
      <c r="AU310" s="1114">
        <v>37228553</v>
      </c>
      <c r="AV310" s="1113">
        <v>5.5E-2</v>
      </c>
      <c r="AW310" s="817">
        <v>2013</v>
      </c>
    </row>
    <row r="311" spans="1:49">
      <c r="A311" s="798">
        <f t="shared" si="8"/>
        <v>1996</v>
      </c>
      <c r="B311" s="798">
        <f t="shared" si="9"/>
        <v>1</v>
      </c>
      <c r="C311" s="1105">
        <v>35125</v>
      </c>
      <c r="D311" s="934">
        <v>253.17</v>
      </c>
      <c r="E311" s="1100">
        <v>524.54999999999995</v>
      </c>
      <c r="F311" s="1100">
        <v>396.51</v>
      </c>
      <c r="G311" s="1101"/>
      <c r="H311" s="935"/>
      <c r="I311" s="1101"/>
      <c r="J311" s="1101"/>
      <c r="K311" s="936">
        <v>10296.676504555369</v>
      </c>
      <c r="L311" s="936">
        <v>8024.2</v>
      </c>
      <c r="M311" s="936"/>
      <c r="N311" s="937">
        <v>20.96</v>
      </c>
      <c r="O311" s="938">
        <v>3286.28</v>
      </c>
      <c r="P311" s="938">
        <v>1049.5701270370846</v>
      </c>
      <c r="Q311" s="938">
        <v>1365.5844989092777</v>
      </c>
      <c r="R311" s="939">
        <v>15.5</v>
      </c>
      <c r="S311" s="940">
        <v>707</v>
      </c>
      <c r="T311" s="940">
        <v>540</v>
      </c>
      <c r="U311" s="1756">
        <v>82817</v>
      </c>
      <c r="V311" s="1323"/>
      <c r="W311" s="1323"/>
      <c r="X311" s="538">
        <v>0.77929999999999999</v>
      </c>
      <c r="AJ311" s="1119" t="s">
        <v>1</v>
      </c>
      <c r="AK311" s="1119">
        <v>2002</v>
      </c>
      <c r="AL311" s="1119" t="s">
        <v>45</v>
      </c>
      <c r="AM311" s="1119"/>
      <c r="AN311" s="1120">
        <v>36798000</v>
      </c>
      <c r="AO311" s="1392">
        <v>9.6092228484224614E-3</v>
      </c>
      <c r="AP311" s="817"/>
      <c r="AQ311" s="817" t="s">
        <v>538</v>
      </c>
      <c r="AR311" s="817" t="s">
        <v>614</v>
      </c>
      <c r="AS311" s="874" t="s">
        <v>31</v>
      </c>
      <c r="AT311" s="874">
        <v>7</v>
      </c>
      <c r="AU311" s="1114">
        <v>21112495</v>
      </c>
      <c r="AV311" s="1113">
        <v>3.1E-2</v>
      </c>
      <c r="AW311" s="817">
        <v>2013</v>
      </c>
    </row>
    <row r="312" spans="1:49">
      <c r="A312" s="798">
        <f t="shared" si="8"/>
        <v>1996</v>
      </c>
      <c r="B312" s="798">
        <f t="shared" si="9"/>
        <v>2</v>
      </c>
      <c r="C312" s="1105">
        <v>35156</v>
      </c>
      <c r="D312" s="805">
        <v>248.29</v>
      </c>
      <c r="E312" s="1102">
        <v>496.45</v>
      </c>
      <c r="F312" s="1102">
        <v>392.87</v>
      </c>
      <c r="G312" s="1103"/>
      <c r="H312" s="805"/>
      <c r="I312" s="1103"/>
      <c r="J312" s="1103"/>
      <c r="K312" s="84">
        <v>10242.042271454036</v>
      </c>
      <c r="L312" s="84">
        <v>8044.1</v>
      </c>
      <c r="M312" s="84"/>
      <c r="N312" s="805">
        <v>20.61</v>
      </c>
      <c r="O312" s="941">
        <v>3292.46</v>
      </c>
      <c r="P312" s="941">
        <v>1038.1461675579324</v>
      </c>
      <c r="Q312" s="941">
        <v>1332.1874204227145</v>
      </c>
      <c r="R312" s="805">
        <v>16</v>
      </c>
      <c r="S312" s="805">
        <v>667</v>
      </c>
      <c r="T312" s="805">
        <v>568</v>
      </c>
      <c r="U312" s="805">
        <v>80560</v>
      </c>
      <c r="V312" s="805"/>
      <c r="W312" s="805"/>
      <c r="X312" s="5">
        <v>0.78539999999999999</v>
      </c>
      <c r="AJ312" s="1119" t="s">
        <v>1</v>
      </c>
      <c r="AK312" s="1119">
        <v>2002</v>
      </c>
      <c r="AL312" s="1119" t="s">
        <v>452</v>
      </c>
      <c r="AM312" s="1119"/>
      <c r="AN312" s="1120">
        <v>3829446000</v>
      </c>
      <c r="AO312" s="1392">
        <v>1</v>
      </c>
      <c r="AP312" s="817"/>
      <c r="AQ312" s="817" t="s">
        <v>538</v>
      </c>
      <c r="AR312" s="817" t="s">
        <v>614</v>
      </c>
      <c r="AS312" s="874" t="s">
        <v>433</v>
      </c>
      <c r="AT312" s="874">
        <v>8</v>
      </c>
      <c r="AU312" s="1114">
        <v>20134229</v>
      </c>
      <c r="AV312" s="1113">
        <v>0.03</v>
      </c>
      <c r="AW312" s="817">
        <v>2013</v>
      </c>
    </row>
    <row r="313" spans="1:49">
      <c r="A313" s="798">
        <f t="shared" si="8"/>
        <v>1996</v>
      </c>
      <c r="B313" s="798">
        <f t="shared" si="9"/>
        <v>2</v>
      </c>
      <c r="C313" s="1105">
        <v>35186</v>
      </c>
      <c r="D313" s="934">
        <v>250.54</v>
      </c>
      <c r="E313" s="1100">
        <v>490.95</v>
      </c>
      <c r="F313" s="1100">
        <v>391.99</v>
      </c>
      <c r="G313" s="1101"/>
      <c r="H313" s="935"/>
      <c r="I313" s="1101"/>
      <c r="J313" s="1101"/>
      <c r="K313" s="936">
        <v>10045.847425779782</v>
      </c>
      <c r="L313" s="936">
        <v>8019.6</v>
      </c>
      <c r="M313" s="936"/>
      <c r="N313" s="937">
        <v>20.16</v>
      </c>
      <c r="O313" s="938">
        <v>3328.2</v>
      </c>
      <c r="P313" s="938">
        <v>1051.6973568833773</v>
      </c>
      <c r="Q313" s="938">
        <v>1298.3840661405486</v>
      </c>
      <c r="R313" s="939">
        <v>16.5</v>
      </c>
      <c r="S313" s="940">
        <v>667</v>
      </c>
      <c r="T313" s="940">
        <v>568</v>
      </c>
      <c r="U313" s="1756">
        <v>77795</v>
      </c>
      <c r="V313" s="1323"/>
      <c r="W313" s="1323"/>
      <c r="X313" s="538">
        <v>0.79830000000000001</v>
      </c>
      <c r="AJ313" s="1122" t="s">
        <v>1</v>
      </c>
      <c r="AK313" s="1122">
        <v>2003</v>
      </c>
      <c r="AL313" s="1122" t="s">
        <v>72</v>
      </c>
      <c r="AM313" s="1122">
        <v>1</v>
      </c>
      <c r="AN313" s="1123">
        <v>2650957000</v>
      </c>
      <c r="AO313" s="1392">
        <v>0.46160148188493871</v>
      </c>
      <c r="AP313" s="817"/>
      <c r="AQ313" s="817" t="s">
        <v>538</v>
      </c>
      <c r="AR313" s="817" t="s">
        <v>614</v>
      </c>
      <c r="AS313" s="874" t="s">
        <v>80</v>
      </c>
      <c r="AT313" s="874">
        <v>9</v>
      </c>
      <c r="AU313" s="1114">
        <v>16076908</v>
      </c>
      <c r="AV313" s="1113">
        <v>2.4E-2</v>
      </c>
      <c r="AW313" s="817">
        <v>2013</v>
      </c>
    </row>
    <row r="314" spans="1:49">
      <c r="A314" s="798">
        <f t="shared" si="8"/>
        <v>1996</v>
      </c>
      <c r="B314" s="798">
        <f t="shared" si="9"/>
        <v>2</v>
      </c>
      <c r="C314" s="1105">
        <v>35217</v>
      </c>
      <c r="D314" s="805">
        <v>246.02</v>
      </c>
      <c r="E314" s="1102">
        <v>484.95</v>
      </c>
      <c r="F314" s="1102">
        <v>385.24</v>
      </c>
      <c r="G314" s="1103"/>
      <c r="H314" s="805"/>
      <c r="I314" s="1103"/>
      <c r="J314" s="1103"/>
      <c r="K314" s="84">
        <v>9875.6653992395422</v>
      </c>
      <c r="L314" s="84">
        <v>7791.9</v>
      </c>
      <c r="M314" s="84"/>
      <c r="N314" s="805">
        <v>20.49</v>
      </c>
      <c r="O314" s="941">
        <v>2754.63</v>
      </c>
      <c r="P314" s="941">
        <v>1009.5057034220532</v>
      </c>
      <c r="Q314" s="941">
        <v>1278.5804816223067</v>
      </c>
      <c r="R314" s="805">
        <v>16.5</v>
      </c>
      <c r="S314" s="805">
        <v>667</v>
      </c>
      <c r="T314" s="805">
        <v>568</v>
      </c>
      <c r="U314" s="805">
        <v>74018</v>
      </c>
      <c r="V314" s="805"/>
      <c r="W314" s="805"/>
      <c r="X314" s="5">
        <v>0.78900000000000003</v>
      </c>
      <c r="AJ314" s="1122" t="s">
        <v>1</v>
      </c>
      <c r="AK314" s="1122">
        <v>2003</v>
      </c>
      <c r="AL314" s="1122" t="s">
        <v>27</v>
      </c>
      <c r="AM314" s="1122">
        <v>2</v>
      </c>
      <c r="AN314" s="1123">
        <v>1152565000</v>
      </c>
      <c r="AO314" s="1392">
        <v>0.20069194331281662</v>
      </c>
      <c r="AP314" s="817"/>
      <c r="AQ314" s="817" t="s">
        <v>538</v>
      </c>
      <c r="AR314" s="817" t="s">
        <v>614</v>
      </c>
      <c r="AS314" s="874" t="s">
        <v>30</v>
      </c>
      <c r="AT314" s="874">
        <v>10</v>
      </c>
      <c r="AU314" s="1114">
        <v>11445493</v>
      </c>
      <c r="AV314" s="1113">
        <v>1.7000000000000001E-2</v>
      </c>
      <c r="AW314" s="817">
        <v>2013</v>
      </c>
    </row>
    <row r="315" spans="1:49">
      <c r="A315" s="798">
        <f t="shared" si="8"/>
        <v>1996</v>
      </c>
      <c r="B315" s="798">
        <f t="shared" si="9"/>
        <v>3</v>
      </c>
      <c r="C315" s="1105">
        <v>35247</v>
      </c>
      <c r="D315" s="934">
        <v>234.4</v>
      </c>
      <c r="E315" s="1100">
        <v>494.09</v>
      </c>
      <c r="F315" s="1100">
        <v>384.45</v>
      </c>
      <c r="G315" s="1101"/>
      <c r="H315" s="935"/>
      <c r="I315" s="1101"/>
      <c r="J315" s="1101"/>
      <c r="K315" s="936">
        <v>9321.5625404216789</v>
      </c>
      <c r="L315" s="936">
        <v>7206.5</v>
      </c>
      <c r="M315" s="936"/>
      <c r="N315" s="937">
        <v>20.73</v>
      </c>
      <c r="O315" s="938">
        <v>2568.23</v>
      </c>
      <c r="P315" s="938">
        <v>1013.4264648816453</v>
      </c>
      <c r="Q315" s="938">
        <v>1293.8817746733928</v>
      </c>
      <c r="R315" s="939">
        <v>16.5</v>
      </c>
      <c r="S315" s="940">
        <v>744</v>
      </c>
      <c r="T315" s="940">
        <v>569</v>
      </c>
      <c r="U315" s="1756">
        <v>64875</v>
      </c>
      <c r="V315" s="1323"/>
      <c r="W315" s="1323"/>
      <c r="X315" s="538">
        <v>0.77310000000000001</v>
      </c>
      <c r="AJ315" s="1122" t="s">
        <v>1</v>
      </c>
      <c r="AK315" s="1122">
        <v>2003</v>
      </c>
      <c r="AL315" s="1122" t="s">
        <v>431</v>
      </c>
      <c r="AM315" s="1122">
        <v>3</v>
      </c>
      <c r="AN315" s="1123">
        <v>793707000</v>
      </c>
      <c r="AO315" s="1392">
        <v>0.13820530751062693</v>
      </c>
      <c r="AP315" s="817"/>
      <c r="AQ315" s="817" t="s">
        <v>538</v>
      </c>
      <c r="AR315" s="817" t="s">
        <v>614</v>
      </c>
      <c r="AS315" s="874" t="s">
        <v>45</v>
      </c>
      <c r="AT315" s="874"/>
      <c r="AU315" s="1114">
        <v>72193928</v>
      </c>
      <c r="AV315" s="1113">
        <v>0.107</v>
      </c>
      <c r="AW315" s="817">
        <v>2013</v>
      </c>
    </row>
    <row r="316" spans="1:49">
      <c r="A316" s="798">
        <f t="shared" si="8"/>
        <v>1996</v>
      </c>
      <c r="B316" s="798">
        <f t="shared" si="9"/>
        <v>3</v>
      </c>
      <c r="C316" s="1105">
        <v>35278</v>
      </c>
      <c r="D316" s="805">
        <v>240.85</v>
      </c>
      <c r="E316" s="1102">
        <v>489.65</v>
      </c>
      <c r="F316" s="1102">
        <v>387.51</v>
      </c>
      <c r="G316" s="1103"/>
      <c r="H316" s="805"/>
      <c r="I316" s="1103"/>
      <c r="J316" s="1103"/>
      <c r="K316" s="84">
        <v>8937.2866354785674</v>
      </c>
      <c r="L316" s="84">
        <v>7068.5</v>
      </c>
      <c r="M316" s="84"/>
      <c r="N316" s="805">
        <v>21.16</v>
      </c>
      <c r="O316" s="941">
        <v>2537.2399999999998</v>
      </c>
      <c r="P316" s="941">
        <v>1031.3313946137312</v>
      </c>
      <c r="Q316" s="941">
        <v>1273.1065874320393</v>
      </c>
      <c r="R316" s="805">
        <v>16.350000000000001</v>
      </c>
      <c r="S316" s="805">
        <v>744</v>
      </c>
      <c r="T316" s="805">
        <v>569</v>
      </c>
      <c r="U316" s="805">
        <v>60014</v>
      </c>
      <c r="V316" s="805"/>
      <c r="W316" s="805"/>
      <c r="X316" s="5">
        <v>0.79090000000000005</v>
      </c>
      <c r="AJ316" s="1122" t="s">
        <v>1</v>
      </c>
      <c r="AK316" s="1122">
        <v>2003</v>
      </c>
      <c r="AL316" s="1122" t="s">
        <v>70</v>
      </c>
      <c r="AM316" s="1122">
        <v>4</v>
      </c>
      <c r="AN316" s="1123">
        <v>366265000</v>
      </c>
      <c r="AO316" s="1392">
        <v>6.3776389719858551E-2</v>
      </c>
      <c r="AP316" s="817"/>
      <c r="AQ316" s="817" t="s">
        <v>538</v>
      </c>
      <c r="AR316" s="817" t="s">
        <v>614</v>
      </c>
      <c r="AS316" s="874" t="s">
        <v>452</v>
      </c>
      <c r="AT316" s="874"/>
      <c r="AU316" s="1114">
        <v>675390639</v>
      </c>
      <c r="AV316" s="874"/>
      <c r="AW316" s="817">
        <v>2013</v>
      </c>
    </row>
    <row r="317" spans="1:49">
      <c r="A317" s="798">
        <f t="shared" si="8"/>
        <v>1996</v>
      </c>
      <c r="B317" s="798">
        <f t="shared" si="9"/>
        <v>3</v>
      </c>
      <c r="C317" s="1105">
        <v>35309</v>
      </c>
      <c r="D317" s="934">
        <v>239.1</v>
      </c>
      <c r="E317" s="1100">
        <v>481.82</v>
      </c>
      <c r="F317" s="1100">
        <v>383.29</v>
      </c>
      <c r="G317" s="1101"/>
      <c r="H317" s="935"/>
      <c r="I317" s="1101"/>
      <c r="J317" s="1101"/>
      <c r="K317" s="936">
        <v>9238.515901060071</v>
      </c>
      <c r="L317" s="936">
        <v>7320.6</v>
      </c>
      <c r="M317" s="936"/>
      <c r="N317" s="937">
        <v>22.96</v>
      </c>
      <c r="O317" s="938">
        <v>2450.0300000000002</v>
      </c>
      <c r="P317" s="938">
        <v>1005.3255931347804</v>
      </c>
      <c r="Q317" s="938">
        <v>1262.746087834427</v>
      </c>
      <c r="R317" s="939">
        <v>16.149999999999999</v>
      </c>
      <c r="S317" s="940">
        <v>744</v>
      </c>
      <c r="T317" s="940">
        <v>569</v>
      </c>
      <c r="U317" s="1756">
        <v>64477</v>
      </c>
      <c r="V317" s="1323"/>
      <c r="W317" s="1323"/>
      <c r="X317" s="538">
        <v>0.79239999999999999</v>
      </c>
      <c r="AJ317" s="1122" t="s">
        <v>1</v>
      </c>
      <c r="AK317" s="1122">
        <v>2003</v>
      </c>
      <c r="AL317" s="1122" t="s">
        <v>430</v>
      </c>
      <c r="AM317" s="1122">
        <v>5</v>
      </c>
      <c r="AN317" s="1123">
        <v>207320000</v>
      </c>
      <c r="AO317" s="1392">
        <v>3.609987609168519E-2</v>
      </c>
      <c r="AP317" s="817"/>
      <c r="AQ317" s="817" t="s">
        <v>538</v>
      </c>
      <c r="AR317" s="817" t="s">
        <v>613</v>
      </c>
      <c r="AS317" s="874" t="s">
        <v>24</v>
      </c>
      <c r="AT317" s="874">
        <v>1</v>
      </c>
      <c r="AU317" s="1114">
        <v>246575715</v>
      </c>
      <c r="AV317" s="1113">
        <v>0.28100000000000003</v>
      </c>
      <c r="AW317" s="817">
        <v>2012</v>
      </c>
    </row>
    <row r="318" spans="1:49">
      <c r="A318" s="798">
        <f t="shared" si="8"/>
        <v>1996</v>
      </c>
      <c r="B318" s="798">
        <f t="shared" si="9"/>
        <v>4</v>
      </c>
      <c r="C318" s="1105">
        <v>35339</v>
      </c>
      <c r="D318" s="805">
        <v>227.75</v>
      </c>
      <c r="E318" s="1102">
        <v>480.81</v>
      </c>
      <c r="F318" s="1102">
        <v>380.91</v>
      </c>
      <c r="G318" s="1103"/>
      <c r="H318" s="805"/>
      <c r="I318" s="1103"/>
      <c r="J318" s="1103"/>
      <c r="K318" s="84">
        <v>9223.3867912615224</v>
      </c>
      <c r="L318" s="84">
        <v>7304</v>
      </c>
      <c r="M318" s="84"/>
      <c r="N318" s="805">
        <v>25.73</v>
      </c>
      <c r="O318" s="941">
        <v>2476.4499999999998</v>
      </c>
      <c r="P318" s="941">
        <v>936.68392473797189</v>
      </c>
      <c r="Q318" s="941">
        <v>1267.0791766637201</v>
      </c>
      <c r="R318" s="805">
        <v>15.4</v>
      </c>
      <c r="S318" s="805">
        <v>653</v>
      </c>
      <c r="T318" s="805">
        <v>581</v>
      </c>
      <c r="U318" s="805">
        <v>61261</v>
      </c>
      <c r="V318" s="805"/>
      <c r="W318" s="805"/>
      <c r="X318" s="5">
        <v>0.79190000000000005</v>
      </c>
      <c r="AJ318" s="1122" t="s">
        <v>1</v>
      </c>
      <c r="AK318" s="1122">
        <v>2003</v>
      </c>
      <c r="AL318" s="1122" t="s">
        <v>39</v>
      </c>
      <c r="AM318" s="1122">
        <v>6</v>
      </c>
      <c r="AN318" s="1123">
        <v>201248000</v>
      </c>
      <c r="AO318" s="1392">
        <v>3.5042580859055858E-2</v>
      </c>
      <c r="AP318" s="817"/>
      <c r="AQ318" s="817" t="s">
        <v>538</v>
      </c>
      <c r="AR318" s="817" t="s">
        <v>613</v>
      </c>
      <c r="AS318" s="874" t="s">
        <v>41</v>
      </c>
      <c r="AT318" s="874">
        <v>2</v>
      </c>
      <c r="AU318" s="1114">
        <v>232201911</v>
      </c>
      <c r="AV318" s="1113">
        <v>0.26400000000000001</v>
      </c>
      <c r="AW318" s="817">
        <v>2012</v>
      </c>
    </row>
    <row r="319" spans="1:49">
      <c r="A319" s="798">
        <f t="shared" si="8"/>
        <v>1996</v>
      </c>
      <c r="B319" s="798">
        <f t="shared" si="9"/>
        <v>4</v>
      </c>
      <c r="C319" s="1105">
        <v>35370</v>
      </c>
      <c r="D319" s="934">
        <v>222.5</v>
      </c>
      <c r="E319" s="1100">
        <v>460.19</v>
      </c>
      <c r="F319" s="1100">
        <v>377.87</v>
      </c>
      <c r="G319" s="1101"/>
      <c r="H319" s="935"/>
      <c r="I319" s="1101"/>
      <c r="J319" s="1101"/>
      <c r="K319" s="936">
        <v>8579.05138339921</v>
      </c>
      <c r="L319" s="936">
        <v>6945.6</v>
      </c>
      <c r="M319" s="936"/>
      <c r="N319" s="937">
        <v>24.76</v>
      </c>
      <c r="O319" s="938">
        <v>2755.43</v>
      </c>
      <c r="P319" s="938">
        <v>885.98073122529638</v>
      </c>
      <c r="Q319" s="938">
        <v>1292.98418972332</v>
      </c>
      <c r="R319" s="939">
        <v>15</v>
      </c>
      <c r="S319" s="940">
        <v>653</v>
      </c>
      <c r="T319" s="940">
        <v>581</v>
      </c>
      <c r="U319" s="1756">
        <v>58247</v>
      </c>
      <c r="V319" s="1323"/>
      <c r="W319" s="1323"/>
      <c r="X319" s="538">
        <v>0.80959999999999999</v>
      </c>
      <c r="AJ319" s="1122" t="s">
        <v>1</v>
      </c>
      <c r="AK319" s="1122">
        <v>2003</v>
      </c>
      <c r="AL319" s="1122" t="s">
        <v>29</v>
      </c>
      <c r="AM319" s="1122">
        <v>7</v>
      </c>
      <c r="AN319" s="1123">
        <v>153579000</v>
      </c>
      <c r="AO319" s="1392">
        <v>2.6742151602763456E-2</v>
      </c>
      <c r="AP319" s="817"/>
      <c r="AQ319" s="817" t="s">
        <v>538</v>
      </c>
      <c r="AR319" s="817" t="s">
        <v>613</v>
      </c>
      <c r="AS319" s="874" t="s">
        <v>33</v>
      </c>
      <c r="AT319" s="874">
        <v>3</v>
      </c>
      <c r="AU319" s="1114">
        <v>101341646</v>
      </c>
      <c r="AV319" s="1113">
        <v>0.115</v>
      </c>
      <c r="AW319" s="817">
        <v>2012</v>
      </c>
    </row>
    <row r="320" spans="1:49">
      <c r="A320" s="798">
        <f t="shared" si="8"/>
        <v>1996</v>
      </c>
      <c r="B320" s="798">
        <f t="shared" si="9"/>
        <v>4</v>
      </c>
      <c r="C320" s="1105">
        <v>35400</v>
      </c>
      <c r="D320" s="805">
        <v>229.61</v>
      </c>
      <c r="E320" s="1102">
        <v>464.45</v>
      </c>
      <c r="F320" s="1102">
        <v>369.34</v>
      </c>
      <c r="G320" s="1103"/>
      <c r="H320" s="805"/>
      <c r="I320" s="1103"/>
      <c r="J320" s="1103"/>
      <c r="K320" s="84">
        <v>8249.2153170119273</v>
      </c>
      <c r="L320" s="84">
        <v>6570.5</v>
      </c>
      <c r="M320" s="84"/>
      <c r="N320" s="805">
        <v>25.4</v>
      </c>
      <c r="O320" s="941">
        <v>2843.31</v>
      </c>
      <c r="P320" s="941">
        <v>868.08537350910228</v>
      </c>
      <c r="Q320" s="941">
        <v>1302.9504080351537</v>
      </c>
      <c r="R320" s="805">
        <v>14.6</v>
      </c>
      <c r="S320" s="805">
        <v>653</v>
      </c>
      <c r="T320" s="805">
        <v>581</v>
      </c>
      <c r="U320" s="805">
        <v>60270</v>
      </c>
      <c r="V320" s="805"/>
      <c r="W320" s="805"/>
      <c r="X320" s="5">
        <v>0.79649999999999999</v>
      </c>
      <c r="AJ320" s="1122" t="s">
        <v>1</v>
      </c>
      <c r="AK320" s="1122">
        <v>2003</v>
      </c>
      <c r="AL320" s="1122" t="s">
        <v>433</v>
      </c>
      <c r="AM320" s="1122">
        <v>8</v>
      </c>
      <c r="AN320" s="1123">
        <v>123002000</v>
      </c>
      <c r="AO320" s="1392">
        <v>2.1417890020400645E-2</v>
      </c>
      <c r="AP320" s="817"/>
      <c r="AQ320" s="817" t="s">
        <v>538</v>
      </c>
      <c r="AR320" s="817" t="s">
        <v>613</v>
      </c>
      <c r="AS320" s="874" t="s">
        <v>433</v>
      </c>
      <c r="AT320" s="874">
        <v>4</v>
      </c>
      <c r="AU320" s="1114">
        <v>62073281</v>
      </c>
      <c r="AV320" s="1113">
        <v>7.0999999999999994E-2</v>
      </c>
      <c r="AW320" s="817">
        <v>2012</v>
      </c>
    </row>
    <row r="321" spans="1:49">
      <c r="A321" s="798">
        <f t="shared" si="8"/>
        <v>1997</v>
      </c>
      <c r="B321" s="798">
        <f t="shared" si="9"/>
        <v>1</v>
      </c>
      <c r="C321" s="1105">
        <v>35431</v>
      </c>
      <c r="D321" s="934">
        <v>231.12</v>
      </c>
      <c r="E321" s="1100">
        <v>452.26</v>
      </c>
      <c r="F321" s="1100">
        <v>355.02</v>
      </c>
      <c r="G321" s="1101"/>
      <c r="H321" s="935"/>
      <c r="I321" s="1101"/>
      <c r="J321" s="1101"/>
      <c r="K321" s="936">
        <v>9241.8635170603684</v>
      </c>
      <c r="L321" s="936">
        <v>7042.3</v>
      </c>
      <c r="M321" s="936"/>
      <c r="N321" s="937">
        <v>26.01</v>
      </c>
      <c r="O321" s="938">
        <v>3182.94</v>
      </c>
      <c r="P321" s="938">
        <v>908.98950131233596</v>
      </c>
      <c r="Q321" s="938">
        <v>1424.0157480314958</v>
      </c>
      <c r="R321" s="939">
        <v>14.25</v>
      </c>
      <c r="S321" s="940">
        <v>710</v>
      </c>
      <c r="T321" s="940">
        <v>594</v>
      </c>
      <c r="U321" s="1756">
        <v>61422</v>
      </c>
      <c r="V321" s="1323"/>
      <c r="W321" s="1323"/>
      <c r="X321" s="538">
        <v>0.76200000000000001</v>
      </c>
      <c r="AJ321" s="1122" t="s">
        <v>1</v>
      </c>
      <c r="AK321" s="1122">
        <v>2003</v>
      </c>
      <c r="AL321" s="1122" t="s">
        <v>432</v>
      </c>
      <c r="AM321" s="1122">
        <v>9</v>
      </c>
      <c r="AN321" s="1123">
        <v>59570000</v>
      </c>
      <c r="AO321" s="1392">
        <v>1.0372707017083189E-2</v>
      </c>
      <c r="AP321" s="817"/>
      <c r="AQ321" s="817" t="s">
        <v>538</v>
      </c>
      <c r="AR321" s="817" t="s">
        <v>613</v>
      </c>
      <c r="AS321" s="874" t="s">
        <v>29</v>
      </c>
      <c r="AT321" s="874">
        <v>5</v>
      </c>
      <c r="AU321" s="1114">
        <v>38089165</v>
      </c>
      <c r="AV321" s="1113">
        <v>4.2999999999999997E-2</v>
      </c>
      <c r="AW321" s="817">
        <v>2012</v>
      </c>
    </row>
    <row r="322" spans="1:49">
      <c r="A322" s="798">
        <f t="shared" si="8"/>
        <v>1997</v>
      </c>
      <c r="B322" s="798">
        <f t="shared" si="9"/>
        <v>1</v>
      </c>
      <c r="C322" s="1105">
        <v>35462</v>
      </c>
      <c r="D322" s="805">
        <v>237.79</v>
      </c>
      <c r="E322" s="1102">
        <v>463.44</v>
      </c>
      <c r="F322" s="1102">
        <v>346.4</v>
      </c>
      <c r="G322" s="1103"/>
      <c r="H322" s="805"/>
      <c r="I322" s="1103"/>
      <c r="J322" s="1103"/>
      <c r="K322" s="84">
        <v>9973.3178654292333</v>
      </c>
      <c r="L322" s="84">
        <v>7737.3</v>
      </c>
      <c r="M322" s="84"/>
      <c r="N322" s="805">
        <v>23.56</v>
      </c>
      <c r="O322" s="941">
        <v>3101.06</v>
      </c>
      <c r="P322" s="941">
        <v>851.01830368651713</v>
      </c>
      <c r="Q322" s="941">
        <v>1520.6238721319928</v>
      </c>
      <c r="R322" s="805">
        <v>13.75</v>
      </c>
      <c r="S322" s="805">
        <v>710</v>
      </c>
      <c r="T322" s="805">
        <v>594</v>
      </c>
      <c r="U322" s="805">
        <v>56863</v>
      </c>
      <c r="V322" s="805"/>
      <c r="W322" s="805"/>
      <c r="X322" s="5">
        <v>0.77580000000000005</v>
      </c>
      <c r="AJ322" s="1122" t="s">
        <v>1</v>
      </c>
      <c r="AK322" s="1122">
        <v>2003</v>
      </c>
      <c r="AL322" s="1122" t="s">
        <v>40</v>
      </c>
      <c r="AM322" s="1122">
        <v>10</v>
      </c>
      <c r="AN322" s="1123">
        <v>14674000</v>
      </c>
      <c r="AO322" s="1392">
        <v>2.555130145520878E-3</v>
      </c>
      <c r="AP322" s="817"/>
      <c r="AQ322" s="817" t="s">
        <v>538</v>
      </c>
      <c r="AR322" s="817" t="s">
        <v>613</v>
      </c>
      <c r="AS322" s="874" t="s">
        <v>27</v>
      </c>
      <c r="AT322" s="874">
        <v>6</v>
      </c>
      <c r="AU322" s="1114">
        <v>37677938</v>
      </c>
      <c r="AV322" s="1113">
        <v>4.2999999999999997E-2</v>
      </c>
      <c r="AW322" s="817">
        <v>2012</v>
      </c>
    </row>
    <row r="323" spans="1:49">
      <c r="A323" s="798">
        <f t="shared" si="8"/>
        <v>1997</v>
      </c>
      <c r="B323" s="798">
        <f t="shared" si="9"/>
        <v>1</v>
      </c>
      <c r="C323" s="1105">
        <v>35490</v>
      </c>
      <c r="D323" s="934">
        <v>233.46</v>
      </c>
      <c r="E323" s="1100">
        <v>446.91</v>
      </c>
      <c r="F323" s="1100">
        <v>352.31</v>
      </c>
      <c r="G323" s="1101"/>
      <c r="H323" s="935"/>
      <c r="I323" s="1101"/>
      <c r="J323" s="1101"/>
      <c r="K323" s="936">
        <v>10005.212968849333</v>
      </c>
      <c r="L323" s="936">
        <v>7869.1</v>
      </c>
      <c r="M323" s="936"/>
      <c r="N323" s="937">
        <v>22.97</v>
      </c>
      <c r="O323" s="938">
        <v>3077.43</v>
      </c>
      <c r="P323" s="938">
        <v>883.29307056579796</v>
      </c>
      <c r="Q323" s="938">
        <v>1596.3127781309599</v>
      </c>
      <c r="R323" s="939">
        <v>13.5</v>
      </c>
      <c r="S323" s="940">
        <v>710</v>
      </c>
      <c r="T323" s="940">
        <v>594</v>
      </c>
      <c r="U323" s="1756">
        <v>55346</v>
      </c>
      <c r="V323" s="1323"/>
      <c r="W323" s="1323"/>
      <c r="X323" s="538">
        <v>0.78649999999999998</v>
      </c>
      <c r="AJ323" s="1122" t="s">
        <v>1</v>
      </c>
      <c r="AK323" s="1122">
        <v>2003</v>
      </c>
      <c r="AL323" s="1122" t="s">
        <v>45</v>
      </c>
      <c r="AM323" s="1122"/>
      <c r="AN323" s="1123">
        <v>20069000</v>
      </c>
      <c r="AO323" s="1392">
        <v>3.4945418352500001E-3</v>
      </c>
      <c r="AP323" s="817"/>
      <c r="AQ323" s="817" t="s">
        <v>538</v>
      </c>
      <c r="AR323" s="817" t="s">
        <v>613</v>
      </c>
      <c r="AS323" s="874" t="s">
        <v>63</v>
      </c>
      <c r="AT323" s="874">
        <v>7</v>
      </c>
      <c r="AU323" s="1114">
        <v>29113728</v>
      </c>
      <c r="AV323" s="1113">
        <v>3.3000000000000002E-2</v>
      </c>
      <c r="AW323" s="817">
        <v>2012</v>
      </c>
    </row>
    <row r="324" spans="1:49">
      <c r="A324" s="798">
        <f t="shared" si="8"/>
        <v>1997</v>
      </c>
      <c r="B324" s="798">
        <f t="shared" si="9"/>
        <v>2</v>
      </c>
      <c r="C324" s="1105">
        <v>35521</v>
      </c>
      <c r="D324" s="805">
        <v>242.84</v>
      </c>
      <c r="E324" s="1102">
        <v>435.09</v>
      </c>
      <c r="F324" s="1102">
        <v>344.71</v>
      </c>
      <c r="G324" s="1103"/>
      <c r="H324" s="805"/>
      <c r="I324" s="1103"/>
      <c r="J324" s="1103"/>
      <c r="K324" s="84">
        <v>9368.7107924721531</v>
      </c>
      <c r="L324" s="84">
        <v>7317.9</v>
      </c>
      <c r="M324" s="84"/>
      <c r="N324" s="805">
        <v>20.84</v>
      </c>
      <c r="O324" s="941">
        <v>3061.32</v>
      </c>
      <c r="P324" s="941">
        <v>822.58353603891942</v>
      </c>
      <c r="Q324" s="941">
        <v>1588.4009729868135</v>
      </c>
      <c r="R324" s="805">
        <v>12.45</v>
      </c>
      <c r="S324" s="805">
        <v>645</v>
      </c>
      <c r="T324" s="805">
        <v>582</v>
      </c>
      <c r="U324" s="805">
        <v>66384</v>
      </c>
      <c r="V324" s="805"/>
      <c r="W324" s="805"/>
      <c r="X324" s="5">
        <v>0.78110000000000002</v>
      </c>
      <c r="AJ324" s="1122" t="s">
        <v>1</v>
      </c>
      <c r="AK324" s="1122">
        <v>2003</v>
      </c>
      <c r="AL324" s="1122" t="s">
        <v>452</v>
      </c>
      <c r="AM324" s="1122"/>
      <c r="AN324" s="1123">
        <v>5742956000</v>
      </c>
      <c r="AO324" s="1392">
        <v>1</v>
      </c>
      <c r="AP324" s="817"/>
      <c r="AQ324" s="817" t="s">
        <v>538</v>
      </c>
      <c r="AR324" s="817" t="s">
        <v>613</v>
      </c>
      <c r="AS324" s="874" t="s">
        <v>31</v>
      </c>
      <c r="AT324" s="874">
        <v>8</v>
      </c>
      <c r="AU324" s="1114">
        <v>25055807</v>
      </c>
      <c r="AV324" s="1113">
        <v>2.9000000000000001E-2</v>
      </c>
      <c r="AW324" s="817">
        <v>2012</v>
      </c>
    </row>
    <row r="325" spans="1:49">
      <c r="A325" s="798">
        <f t="shared" si="8"/>
        <v>1997</v>
      </c>
      <c r="B325" s="798">
        <f t="shared" si="9"/>
        <v>2</v>
      </c>
      <c r="C325" s="1105">
        <v>35551</v>
      </c>
      <c r="D325" s="934">
        <v>242.3</v>
      </c>
      <c r="E325" s="1100">
        <v>451.47</v>
      </c>
      <c r="F325" s="1100">
        <v>344.1</v>
      </c>
      <c r="G325" s="1101"/>
      <c r="H325" s="935"/>
      <c r="I325" s="1101"/>
      <c r="J325" s="1101"/>
      <c r="K325" s="936">
        <v>9815.7099697885205</v>
      </c>
      <c r="L325" s="936">
        <v>7472.7</v>
      </c>
      <c r="M325" s="936"/>
      <c r="N325" s="937">
        <v>21.2</v>
      </c>
      <c r="O325" s="938">
        <v>3300.01</v>
      </c>
      <c r="P325" s="938">
        <v>812.57060291606467</v>
      </c>
      <c r="Q325" s="938">
        <v>1719.690003940628</v>
      </c>
      <c r="R325" s="939">
        <v>11.8</v>
      </c>
      <c r="S325" s="940">
        <v>645</v>
      </c>
      <c r="T325" s="940">
        <v>582</v>
      </c>
      <c r="U325" s="1756">
        <v>72570</v>
      </c>
      <c r="V325" s="1323"/>
      <c r="W325" s="1323"/>
      <c r="X325" s="538">
        <v>0.76129999999999998</v>
      </c>
      <c r="AJ325" s="1124" t="s">
        <v>1</v>
      </c>
      <c r="AK325" s="1124">
        <v>2004</v>
      </c>
      <c r="AL325" s="1124" t="s">
        <v>27</v>
      </c>
      <c r="AM325" s="1124">
        <v>1</v>
      </c>
      <c r="AN325" s="1125">
        <v>2869654000</v>
      </c>
      <c r="AO325" s="1392">
        <v>0.51182475575702835</v>
      </c>
      <c r="AP325" s="817"/>
      <c r="AQ325" s="817" t="s">
        <v>538</v>
      </c>
      <c r="AR325" s="817" t="s">
        <v>613</v>
      </c>
      <c r="AS325" s="874" t="s">
        <v>38</v>
      </c>
      <c r="AT325" s="874">
        <v>9</v>
      </c>
      <c r="AU325" s="1114">
        <v>15430241</v>
      </c>
      <c r="AV325" s="1113">
        <v>1.7999999999999999E-2</v>
      </c>
      <c r="AW325" s="817">
        <v>2012</v>
      </c>
    </row>
    <row r="326" spans="1:49">
      <c r="A326" s="798">
        <f t="shared" si="8"/>
        <v>1997</v>
      </c>
      <c r="B326" s="798">
        <f t="shared" si="9"/>
        <v>2</v>
      </c>
      <c r="C326" s="1105">
        <v>35582</v>
      </c>
      <c r="D326" s="805">
        <v>253.78</v>
      </c>
      <c r="E326" s="1102">
        <v>450.34</v>
      </c>
      <c r="F326" s="1102">
        <v>340.8</v>
      </c>
      <c r="G326" s="1103"/>
      <c r="H326" s="805"/>
      <c r="I326" s="1103"/>
      <c r="J326" s="1103"/>
      <c r="K326" s="84">
        <v>9476.7270288397031</v>
      </c>
      <c r="L326" s="84">
        <v>7064.9</v>
      </c>
      <c r="M326" s="84"/>
      <c r="N326" s="805">
        <v>19.920000000000002</v>
      </c>
      <c r="O326" s="941">
        <v>2900.87</v>
      </c>
      <c r="P326" s="941">
        <v>824.84238765928899</v>
      </c>
      <c r="Q326" s="941">
        <v>1816.9014084507041</v>
      </c>
      <c r="R326" s="805">
        <v>10.7</v>
      </c>
      <c r="S326" s="805">
        <v>645</v>
      </c>
      <c r="T326" s="805">
        <v>582</v>
      </c>
      <c r="U326" s="805">
        <v>68903</v>
      </c>
      <c r="V326" s="805"/>
      <c r="W326" s="805"/>
      <c r="X326" s="5">
        <v>0.74550000000000005</v>
      </c>
      <c r="AJ326" s="1124" t="s">
        <v>1</v>
      </c>
      <c r="AK326" s="1124">
        <v>2004</v>
      </c>
      <c r="AL326" s="1124" t="s">
        <v>72</v>
      </c>
      <c r="AM326" s="1124">
        <v>2</v>
      </c>
      <c r="AN326" s="1125">
        <v>1005103000</v>
      </c>
      <c r="AO326" s="1392">
        <v>0.17926781329235389</v>
      </c>
      <c r="AP326" s="817"/>
      <c r="AQ326" s="817" t="s">
        <v>538</v>
      </c>
      <c r="AR326" s="817" t="s">
        <v>613</v>
      </c>
      <c r="AS326" s="874" t="s">
        <v>70</v>
      </c>
      <c r="AT326" s="874">
        <v>10</v>
      </c>
      <c r="AU326" s="1114">
        <v>13544293</v>
      </c>
      <c r="AV326" s="1113">
        <v>1.4999999999999999E-2</v>
      </c>
      <c r="AW326" s="817">
        <v>2012</v>
      </c>
    </row>
    <row r="327" spans="1:49">
      <c r="A327" s="798">
        <f t="shared" si="8"/>
        <v>1997</v>
      </c>
      <c r="B327" s="798">
        <f t="shared" si="9"/>
        <v>3</v>
      </c>
      <c r="C327" s="1105">
        <v>35612</v>
      </c>
      <c r="D327" s="934">
        <v>245.23</v>
      </c>
      <c r="E327" s="1100">
        <v>438.87</v>
      </c>
      <c r="F327" s="1100">
        <v>324.05</v>
      </c>
      <c r="G327" s="1101"/>
      <c r="H327" s="935"/>
      <c r="I327" s="1101"/>
      <c r="J327" s="1101"/>
      <c r="K327" s="936">
        <v>9176.3285024154593</v>
      </c>
      <c r="L327" s="936">
        <v>6838.2</v>
      </c>
      <c r="M327" s="936"/>
      <c r="N327" s="937">
        <v>18.97</v>
      </c>
      <c r="O327" s="938">
        <v>3463.23</v>
      </c>
      <c r="P327" s="938">
        <v>851.20772946859915</v>
      </c>
      <c r="Q327" s="938">
        <v>2038.1105743424584</v>
      </c>
      <c r="R327" s="939">
        <v>10.7</v>
      </c>
      <c r="S327" s="940">
        <v>688</v>
      </c>
      <c r="T327" s="940">
        <v>568</v>
      </c>
      <c r="U327" s="1756">
        <v>67481</v>
      </c>
      <c r="V327" s="1323"/>
      <c r="W327" s="1323"/>
      <c r="X327" s="538">
        <v>0.74519999999999997</v>
      </c>
      <c r="AJ327" s="1124" t="s">
        <v>1</v>
      </c>
      <c r="AK327" s="1124">
        <v>2004</v>
      </c>
      <c r="AL327" s="1124" t="s">
        <v>431</v>
      </c>
      <c r="AM327" s="1124">
        <v>3</v>
      </c>
      <c r="AN327" s="1125">
        <v>598923000</v>
      </c>
      <c r="AO327" s="1392">
        <v>0.10682250131627949</v>
      </c>
      <c r="AP327" s="817"/>
      <c r="AQ327" s="817" t="s">
        <v>538</v>
      </c>
      <c r="AR327" s="817" t="s">
        <v>613</v>
      </c>
      <c r="AS327" s="874" t="s">
        <v>45</v>
      </c>
      <c r="AT327" s="874"/>
      <c r="AU327" s="1114">
        <v>77867599</v>
      </c>
      <c r="AV327" s="1113">
        <v>8.8999999999999996E-2</v>
      </c>
      <c r="AW327" s="817">
        <v>2012</v>
      </c>
    </row>
    <row r="328" spans="1:49">
      <c r="A328" s="798">
        <f t="shared" si="8"/>
        <v>1997</v>
      </c>
      <c r="B328" s="798">
        <f t="shared" si="9"/>
        <v>3</v>
      </c>
      <c r="C328" s="1105">
        <v>35643</v>
      </c>
      <c r="D328" s="805">
        <v>254.6</v>
      </c>
      <c r="E328" s="1102">
        <v>440.53</v>
      </c>
      <c r="F328" s="1102">
        <v>324.01</v>
      </c>
      <c r="G328" s="1103"/>
      <c r="H328" s="805"/>
      <c r="I328" s="1103"/>
      <c r="J328" s="1103"/>
      <c r="K328" s="84">
        <v>9208.8779956427006</v>
      </c>
      <c r="L328" s="84">
        <v>6763</v>
      </c>
      <c r="M328" s="84"/>
      <c r="N328" s="805">
        <v>20.14</v>
      </c>
      <c r="O328" s="941">
        <v>3065.36</v>
      </c>
      <c r="P328" s="941">
        <v>827.99564270152507</v>
      </c>
      <c r="Q328" s="941">
        <v>2252.7233115468407</v>
      </c>
      <c r="R328" s="805">
        <v>10.3</v>
      </c>
      <c r="S328" s="805">
        <v>688</v>
      </c>
      <c r="T328" s="805">
        <v>568</v>
      </c>
      <c r="U328" s="805">
        <v>68564</v>
      </c>
      <c r="V328" s="805"/>
      <c r="W328" s="805"/>
      <c r="X328" s="5">
        <v>0.73440000000000005</v>
      </c>
      <c r="AJ328" s="1124" t="s">
        <v>1</v>
      </c>
      <c r="AK328" s="1124">
        <v>2004</v>
      </c>
      <c r="AL328" s="1124" t="s">
        <v>39</v>
      </c>
      <c r="AM328" s="1124">
        <v>4</v>
      </c>
      <c r="AN328" s="1125">
        <v>494200000</v>
      </c>
      <c r="AO328" s="1392">
        <v>8.8144352697267128E-2</v>
      </c>
      <c r="AP328" s="817"/>
      <c r="AQ328" s="817" t="s">
        <v>538</v>
      </c>
      <c r="AR328" s="817" t="s">
        <v>613</v>
      </c>
      <c r="AS328" s="874" t="s">
        <v>452</v>
      </c>
      <c r="AT328" s="874"/>
      <c r="AU328" s="1114">
        <v>878971325</v>
      </c>
      <c r="AV328" s="874"/>
      <c r="AW328" s="817">
        <v>2012</v>
      </c>
    </row>
    <row r="329" spans="1:49">
      <c r="A329" s="798">
        <f t="shared" ref="A329:A392" si="10">YEAR(C329)</f>
        <v>1997</v>
      </c>
      <c r="B329" s="798">
        <f t="shared" ref="B329:B392" si="11">IF(OR(MONTH(C329)=1,MONTH(C329)=2,MONTH(C329)=3),1,IF(OR(MONTH(C329)=4,MONTH(C329)=5,MONTH(C329)=6),2,IF(OR(MONTH(C329)=7,MONTH(C329)=8,MONTH(C329)=9),3,4)))</f>
        <v>3</v>
      </c>
      <c r="C329" s="1105">
        <v>35674</v>
      </c>
      <c r="D329" s="934">
        <v>258.56</v>
      </c>
      <c r="E329" s="1100">
        <v>457.2</v>
      </c>
      <c r="F329" s="1100">
        <v>322.82</v>
      </c>
      <c r="G329" s="1101"/>
      <c r="H329" s="935"/>
      <c r="I329" s="1101"/>
      <c r="J329" s="1101"/>
      <c r="K329" s="936">
        <v>9039.3164767991111</v>
      </c>
      <c r="L329" s="936">
        <v>6506.5</v>
      </c>
      <c r="M329" s="936"/>
      <c r="N329" s="937">
        <v>19.38</v>
      </c>
      <c r="O329" s="938">
        <v>2927.62</v>
      </c>
      <c r="P329" s="938">
        <v>881.14754098360652</v>
      </c>
      <c r="Q329" s="938">
        <v>2280.7724367879969</v>
      </c>
      <c r="R329" s="939">
        <v>10</v>
      </c>
      <c r="S329" s="940">
        <v>688</v>
      </c>
      <c r="T329" s="940">
        <v>568</v>
      </c>
      <c r="U329" s="1756">
        <v>74564</v>
      </c>
      <c r="V329" s="1323"/>
      <c r="W329" s="1323"/>
      <c r="X329" s="538">
        <v>0.7198</v>
      </c>
      <c r="AJ329" s="1124" t="s">
        <v>1</v>
      </c>
      <c r="AK329" s="1124">
        <v>2004</v>
      </c>
      <c r="AL329" s="1124" t="s">
        <v>70</v>
      </c>
      <c r="AM329" s="1124">
        <v>5</v>
      </c>
      <c r="AN329" s="1125">
        <v>268635000</v>
      </c>
      <c r="AO329" s="1392">
        <v>4.7913108431465713E-2</v>
      </c>
      <c r="AP329" s="817"/>
      <c r="AQ329" s="817" t="s">
        <v>538</v>
      </c>
      <c r="AR329" s="817" t="s">
        <v>612</v>
      </c>
      <c r="AS329" s="874" t="s">
        <v>24</v>
      </c>
      <c r="AT329" s="874">
        <v>1</v>
      </c>
      <c r="AU329" s="1114">
        <v>354677085.05000013</v>
      </c>
      <c r="AV329" s="1113">
        <v>12475.451461484352</v>
      </c>
      <c r="AW329" s="817">
        <v>2011</v>
      </c>
    </row>
    <row r="330" spans="1:49">
      <c r="A330" s="798">
        <f t="shared" si="10"/>
        <v>1997</v>
      </c>
      <c r="B330" s="798">
        <f t="shared" si="11"/>
        <v>4</v>
      </c>
      <c r="C330" s="1105">
        <v>35704</v>
      </c>
      <c r="D330" s="805">
        <v>258.61</v>
      </c>
      <c r="E330" s="1102">
        <v>452.88</v>
      </c>
      <c r="F330" s="1102">
        <v>324.87</v>
      </c>
      <c r="G330" s="1103"/>
      <c r="H330" s="805"/>
      <c r="I330" s="1103"/>
      <c r="J330" s="1103"/>
      <c r="K330" s="84">
        <v>9072.2001137009665</v>
      </c>
      <c r="L330" s="84">
        <v>6383.2</v>
      </c>
      <c r="M330" s="84"/>
      <c r="N330" s="805">
        <v>21.2</v>
      </c>
      <c r="O330" s="941">
        <v>2916.71</v>
      </c>
      <c r="P330" s="941">
        <v>853.12677657760094</v>
      </c>
      <c r="Q330" s="941">
        <v>1819.9260943718023</v>
      </c>
      <c r="R330" s="805">
        <v>11.55</v>
      </c>
      <c r="S330" s="805">
        <v>743</v>
      </c>
      <c r="T330" s="805">
        <v>552</v>
      </c>
      <c r="U330" s="805">
        <v>73743</v>
      </c>
      <c r="V330" s="805"/>
      <c r="W330" s="805"/>
      <c r="X330" s="5">
        <v>0.7036</v>
      </c>
      <c r="AJ330" s="1124" t="s">
        <v>1</v>
      </c>
      <c r="AK330" s="1124">
        <v>2004</v>
      </c>
      <c r="AL330" s="1124" t="s">
        <v>29</v>
      </c>
      <c r="AM330" s="1124">
        <v>6</v>
      </c>
      <c r="AN330" s="1125">
        <v>165666000</v>
      </c>
      <c r="AO330" s="1392">
        <v>2.9547799137890442E-2</v>
      </c>
      <c r="AP330" s="817"/>
      <c r="AQ330" s="817" t="s">
        <v>538</v>
      </c>
      <c r="AR330" s="817" t="s">
        <v>612</v>
      </c>
      <c r="AS330" s="874" t="s">
        <v>41</v>
      </c>
      <c r="AT330" s="874">
        <v>2</v>
      </c>
      <c r="AU330" s="1114">
        <v>227760544.41</v>
      </c>
      <c r="AV330" s="1113">
        <v>8011.2748649314108</v>
      </c>
      <c r="AW330" s="817">
        <v>2011</v>
      </c>
    </row>
    <row r="331" spans="1:49">
      <c r="A331" s="798">
        <f t="shared" si="10"/>
        <v>1997</v>
      </c>
      <c r="B331" s="798">
        <f t="shared" si="11"/>
        <v>4</v>
      </c>
      <c r="C331" s="1105">
        <v>35735</v>
      </c>
      <c r="D331" s="934">
        <v>271.41000000000003</v>
      </c>
      <c r="E331" s="1100">
        <v>437.59</v>
      </c>
      <c r="F331" s="1100">
        <v>306.04000000000002</v>
      </c>
      <c r="G331" s="1101"/>
      <c r="H331" s="935"/>
      <c r="I331" s="1101"/>
      <c r="J331" s="1101"/>
      <c r="K331" s="936">
        <v>8850.4322766570604</v>
      </c>
      <c r="L331" s="936">
        <v>6142.2</v>
      </c>
      <c r="M331" s="936"/>
      <c r="N331" s="937">
        <v>20.81</v>
      </c>
      <c r="O331" s="938">
        <v>2762.82</v>
      </c>
      <c r="P331" s="938">
        <v>811.81556195965425</v>
      </c>
      <c r="Q331" s="938">
        <v>1690.6340057636887</v>
      </c>
      <c r="R331" s="939">
        <v>13.1</v>
      </c>
      <c r="S331" s="940">
        <v>743</v>
      </c>
      <c r="T331" s="940">
        <v>552</v>
      </c>
      <c r="U331" s="1756">
        <v>79718</v>
      </c>
      <c r="V331" s="1323"/>
      <c r="W331" s="1323"/>
      <c r="X331" s="538">
        <v>0.69399999999999995</v>
      </c>
      <c r="AJ331" s="1124" t="s">
        <v>1</v>
      </c>
      <c r="AK331" s="1124">
        <v>2004</v>
      </c>
      <c r="AL331" s="1124" t="s">
        <v>31</v>
      </c>
      <c r="AM331" s="1124">
        <v>7</v>
      </c>
      <c r="AN331" s="1125">
        <v>68460000</v>
      </c>
      <c r="AO331" s="1392">
        <v>1.2210365005372132E-2</v>
      </c>
      <c r="AP331" s="817"/>
      <c r="AQ331" s="817" t="s">
        <v>538</v>
      </c>
      <c r="AR331" s="817" t="s">
        <v>612</v>
      </c>
      <c r="AS331" s="874" t="s">
        <v>33</v>
      </c>
      <c r="AT331" s="874">
        <v>3</v>
      </c>
      <c r="AU331" s="1114">
        <v>147509859.25999999</v>
      </c>
      <c r="AV331" s="1113">
        <v>5188.528289131199</v>
      </c>
      <c r="AW331" s="817">
        <v>2011</v>
      </c>
    </row>
    <row r="332" spans="1:49">
      <c r="A332" s="798">
        <f t="shared" si="10"/>
        <v>1997</v>
      </c>
      <c r="B332" s="798">
        <f t="shared" si="11"/>
        <v>4</v>
      </c>
      <c r="C332" s="1105">
        <v>35765</v>
      </c>
      <c r="D332" s="805">
        <v>282.37</v>
      </c>
      <c r="E332" s="1102">
        <v>444.79</v>
      </c>
      <c r="F332" s="1102">
        <v>288.89</v>
      </c>
      <c r="G332" s="1103"/>
      <c r="H332" s="805"/>
      <c r="I332" s="1103"/>
      <c r="J332" s="1103"/>
      <c r="K332" s="84">
        <v>9119.8100199172677</v>
      </c>
      <c r="L332" s="84">
        <v>5952.5</v>
      </c>
      <c r="M332" s="84"/>
      <c r="N332" s="805">
        <v>18.32</v>
      </c>
      <c r="O332" s="941">
        <v>2702.77</v>
      </c>
      <c r="P332" s="941">
        <v>806.08242684234722</v>
      </c>
      <c r="Q332" s="941">
        <v>1689.9034778611922</v>
      </c>
      <c r="R332" s="805">
        <v>12.35</v>
      </c>
      <c r="S332" s="805">
        <v>743</v>
      </c>
      <c r="T332" s="805">
        <v>552</v>
      </c>
      <c r="U332" s="805">
        <v>85995</v>
      </c>
      <c r="V332" s="805"/>
      <c r="W332" s="805"/>
      <c r="X332" s="5">
        <v>0.65269999999999995</v>
      </c>
      <c r="AJ332" s="1124" t="s">
        <v>1</v>
      </c>
      <c r="AK332" s="1124">
        <v>2004</v>
      </c>
      <c r="AL332" s="1124" t="s">
        <v>85</v>
      </c>
      <c r="AM332" s="1124">
        <v>8</v>
      </c>
      <c r="AN332" s="1125">
        <v>51591000</v>
      </c>
      <c r="AO332" s="1392">
        <v>9.2016497369581309E-3</v>
      </c>
      <c r="AP332" s="817"/>
      <c r="AQ332" s="817" t="s">
        <v>538</v>
      </c>
      <c r="AR332" s="817" t="s">
        <v>612</v>
      </c>
      <c r="AS332" s="874" t="s">
        <v>84</v>
      </c>
      <c r="AT332" s="874">
        <v>4</v>
      </c>
      <c r="AU332" s="1114">
        <v>93166319.269999996</v>
      </c>
      <c r="AV332" s="1113">
        <v>3277.0425349982411</v>
      </c>
      <c r="AW332" s="817">
        <v>2011</v>
      </c>
    </row>
    <row r="333" spans="1:49">
      <c r="A333" s="798">
        <f t="shared" si="10"/>
        <v>1998</v>
      </c>
      <c r="B333" s="798">
        <f t="shared" si="11"/>
        <v>1</v>
      </c>
      <c r="C333" s="1105">
        <v>35796</v>
      </c>
      <c r="D333" s="934">
        <v>291.99274008118869</v>
      </c>
      <c r="E333" s="1100">
        <v>451.63</v>
      </c>
      <c r="F333" s="1100">
        <v>289.14999999999998</v>
      </c>
      <c r="G333" s="1101"/>
      <c r="H333" s="935"/>
      <c r="I333" s="1101"/>
      <c r="J333" s="1101"/>
      <c r="K333" s="936">
        <v>8209.3231734648143</v>
      </c>
      <c r="L333" s="936">
        <v>5494.5</v>
      </c>
      <c r="M333" s="936"/>
      <c r="N333" s="937">
        <v>15.93</v>
      </c>
      <c r="O333" s="938">
        <v>2522.71</v>
      </c>
      <c r="P333" s="938">
        <v>794.23278051695809</v>
      </c>
      <c r="Q333" s="938">
        <v>1639.3246675631258</v>
      </c>
      <c r="R333" s="939">
        <v>11.9</v>
      </c>
      <c r="S333" s="940">
        <v>784</v>
      </c>
      <c r="T333" s="940">
        <v>553</v>
      </c>
      <c r="U333" s="1756">
        <v>82347</v>
      </c>
      <c r="V333" s="1323"/>
      <c r="W333" s="1323"/>
      <c r="X333" s="538">
        <v>0.66930000000000001</v>
      </c>
      <c r="AJ333" s="1124" t="s">
        <v>1</v>
      </c>
      <c r="AK333" s="1124">
        <v>2004</v>
      </c>
      <c r="AL333" s="1124" t="s">
        <v>643</v>
      </c>
      <c r="AM333" s="1124">
        <v>9</v>
      </c>
      <c r="AN333" s="1125">
        <v>20993000</v>
      </c>
      <c r="AO333" s="1392">
        <v>3.7442622342649312E-3</v>
      </c>
      <c r="AP333" s="817"/>
      <c r="AQ333" s="817" t="s">
        <v>538</v>
      </c>
      <c r="AR333" s="817" t="s">
        <v>612</v>
      </c>
      <c r="AS333" s="874" t="s">
        <v>72</v>
      </c>
      <c r="AT333" s="874">
        <v>5</v>
      </c>
      <c r="AU333" s="1114">
        <v>79586212.359999999</v>
      </c>
      <c r="AV333" s="1113">
        <v>2799.3743355610272</v>
      </c>
      <c r="AW333" s="817">
        <v>2011</v>
      </c>
    </row>
    <row r="334" spans="1:49">
      <c r="A334" s="798">
        <f t="shared" si="10"/>
        <v>1998</v>
      </c>
      <c r="B334" s="798">
        <f t="shared" si="11"/>
        <v>1</v>
      </c>
      <c r="C334" s="1105">
        <v>35827</v>
      </c>
      <c r="D334" s="805">
        <v>279.56635612413879</v>
      </c>
      <c r="E334" s="1102">
        <v>438.82</v>
      </c>
      <c r="F334" s="1102">
        <v>297.49</v>
      </c>
      <c r="G334" s="1103"/>
      <c r="H334" s="805"/>
      <c r="I334" s="1103"/>
      <c r="J334" s="1103"/>
      <c r="K334" s="84">
        <v>7990.3632320237211</v>
      </c>
      <c r="L334" s="84">
        <v>5389.5</v>
      </c>
      <c r="M334" s="84"/>
      <c r="N334" s="805">
        <v>15.02</v>
      </c>
      <c r="O334" s="941">
        <v>2468.1999999999998</v>
      </c>
      <c r="P334" s="941">
        <v>765.57449962935505</v>
      </c>
      <c r="Q334" s="941">
        <v>1547.8131949592291</v>
      </c>
      <c r="R334" s="805">
        <v>12</v>
      </c>
      <c r="S334" s="805">
        <v>784</v>
      </c>
      <c r="T334" s="805">
        <v>553</v>
      </c>
      <c r="U334" s="805">
        <v>81304</v>
      </c>
      <c r="V334" s="805"/>
      <c r="W334" s="805"/>
      <c r="X334" s="5">
        <v>0.67449999999999999</v>
      </c>
      <c r="AJ334" s="1124" t="s">
        <v>1</v>
      </c>
      <c r="AK334" s="1124">
        <v>2004</v>
      </c>
      <c r="AL334" s="1124" t="s">
        <v>430</v>
      </c>
      <c r="AM334" s="1124">
        <v>10</v>
      </c>
      <c r="AN334" s="1125">
        <v>18600000</v>
      </c>
      <c r="AO334" s="1392">
        <v>3.317452367804874E-3</v>
      </c>
      <c r="AP334" s="817"/>
      <c r="AQ334" s="817" t="s">
        <v>538</v>
      </c>
      <c r="AR334" s="817" t="s">
        <v>612</v>
      </c>
      <c r="AS334" s="874" t="s">
        <v>29</v>
      </c>
      <c r="AT334" s="874">
        <v>6</v>
      </c>
      <c r="AU334" s="1114">
        <v>74762318.540000021</v>
      </c>
      <c r="AV334" s="1113">
        <v>2629.698154766093</v>
      </c>
      <c r="AW334" s="817">
        <v>2011</v>
      </c>
    </row>
    <row r="335" spans="1:49">
      <c r="A335" s="798">
        <f t="shared" si="10"/>
        <v>1998</v>
      </c>
      <c r="B335" s="798">
        <f t="shared" si="11"/>
        <v>1</v>
      </c>
      <c r="C335" s="1105">
        <v>35855</v>
      </c>
      <c r="D335" s="934">
        <v>276.23</v>
      </c>
      <c r="E335" s="1100">
        <v>455.16</v>
      </c>
      <c r="F335" s="1100">
        <v>295.94</v>
      </c>
      <c r="G335" s="1101"/>
      <c r="H335" s="935"/>
      <c r="I335" s="1101"/>
      <c r="J335" s="1101"/>
      <c r="K335" s="936">
        <v>8138.1670183901115</v>
      </c>
      <c r="L335" s="936">
        <v>5398.86</v>
      </c>
      <c r="M335" s="936"/>
      <c r="N335" s="937">
        <v>13.29</v>
      </c>
      <c r="O335" s="938">
        <v>2634.88</v>
      </c>
      <c r="P335" s="938">
        <v>843.86493819716623</v>
      </c>
      <c r="Q335" s="938">
        <v>1579.198070545674</v>
      </c>
      <c r="R335" s="939">
        <v>10.65</v>
      </c>
      <c r="S335" s="940">
        <v>784</v>
      </c>
      <c r="T335" s="940">
        <v>553</v>
      </c>
      <c r="U335" s="1756">
        <v>82664</v>
      </c>
      <c r="V335" s="1323"/>
      <c r="W335" s="1323"/>
      <c r="X335" s="538">
        <v>0.66339999999999999</v>
      </c>
      <c r="AJ335" s="1124" t="s">
        <v>1</v>
      </c>
      <c r="AK335" s="1124">
        <v>2004</v>
      </c>
      <c r="AL335" s="1124" t="s">
        <v>45</v>
      </c>
      <c r="AM335" s="1124"/>
      <c r="AN335" s="1125">
        <v>44887000</v>
      </c>
      <c r="AO335" s="1392">
        <v>8.0059400233149121E-3</v>
      </c>
      <c r="AP335" s="817"/>
      <c r="AQ335" s="817" t="s">
        <v>538</v>
      </c>
      <c r="AR335" s="817" t="s">
        <v>612</v>
      </c>
      <c r="AS335" s="874" t="s">
        <v>31</v>
      </c>
      <c r="AT335" s="874">
        <v>7</v>
      </c>
      <c r="AU335" s="1114">
        <v>60557311.649999991</v>
      </c>
      <c r="AV335" s="1113">
        <v>2130.049653534998</v>
      </c>
      <c r="AW335" s="817">
        <v>2011</v>
      </c>
    </row>
    <row r="336" spans="1:49">
      <c r="A336" s="798">
        <f t="shared" si="10"/>
        <v>1998</v>
      </c>
      <c r="B336" s="798">
        <f t="shared" si="11"/>
        <v>2</v>
      </c>
      <c r="C336" s="1105">
        <v>35886</v>
      </c>
      <c r="D336" s="805">
        <v>282.94</v>
      </c>
      <c r="E336" s="1102">
        <v>477.83</v>
      </c>
      <c r="F336" s="1102">
        <v>308.29000000000002</v>
      </c>
      <c r="G336" s="1103"/>
      <c r="H336" s="805"/>
      <c r="I336" s="1103"/>
      <c r="J336" s="1103"/>
      <c r="K336" s="84">
        <v>8303.9698415140792</v>
      </c>
      <c r="L336" s="84">
        <v>5396.75</v>
      </c>
      <c r="M336" s="84"/>
      <c r="N336" s="805">
        <v>14.88</v>
      </c>
      <c r="O336" s="941">
        <v>2771.04</v>
      </c>
      <c r="P336" s="941">
        <v>881.13555931681788</v>
      </c>
      <c r="Q336" s="941">
        <v>1687.8750577011847</v>
      </c>
      <c r="R336" s="805">
        <v>10.8</v>
      </c>
      <c r="S336" s="805">
        <v>807</v>
      </c>
      <c r="T336" s="805">
        <v>562</v>
      </c>
      <c r="U336" s="805">
        <v>83427</v>
      </c>
      <c r="V336" s="805"/>
      <c r="W336" s="805"/>
      <c r="X336" s="5">
        <v>0.64990000000000003</v>
      </c>
      <c r="AJ336" s="1124" t="s">
        <v>1</v>
      </c>
      <c r="AK336" s="1124">
        <v>2004</v>
      </c>
      <c r="AL336" s="1124" t="s">
        <v>452</v>
      </c>
      <c r="AM336" s="1124"/>
      <c r="AN336" s="1125">
        <v>5606712000</v>
      </c>
      <c r="AO336" s="1392">
        <v>1</v>
      </c>
      <c r="AP336" s="817"/>
      <c r="AQ336" s="817" t="s">
        <v>538</v>
      </c>
      <c r="AR336" s="817" t="s">
        <v>612</v>
      </c>
      <c r="AS336" s="874" t="s">
        <v>63</v>
      </c>
      <c r="AT336" s="874">
        <v>8</v>
      </c>
      <c r="AU336" s="1114">
        <v>42665001.829999998</v>
      </c>
      <c r="AV336" s="1113">
        <v>1500.7035466056982</v>
      </c>
      <c r="AW336" s="817">
        <v>2011</v>
      </c>
    </row>
    <row r="337" spans="1:49">
      <c r="A337" s="798">
        <f t="shared" si="10"/>
        <v>1998</v>
      </c>
      <c r="B337" s="798">
        <f t="shared" si="11"/>
        <v>2</v>
      </c>
      <c r="C337" s="1105">
        <v>35916</v>
      </c>
      <c r="D337" s="934">
        <v>302.51</v>
      </c>
      <c r="E337" s="1100">
        <v>471.39</v>
      </c>
      <c r="F337" s="1100">
        <v>299.10000000000002</v>
      </c>
      <c r="G337" s="1101"/>
      <c r="H337" s="935"/>
      <c r="I337" s="1101"/>
      <c r="J337" s="1101"/>
      <c r="K337" s="936">
        <v>7960.6339144215526</v>
      </c>
      <c r="L337" s="936">
        <v>5023.16</v>
      </c>
      <c r="M337" s="936"/>
      <c r="N337" s="937">
        <v>14.49</v>
      </c>
      <c r="O337" s="938">
        <v>2745.69</v>
      </c>
      <c r="P337" s="938">
        <v>861.28367670364503</v>
      </c>
      <c r="Q337" s="938">
        <v>1681.632329635499</v>
      </c>
      <c r="R337" s="939">
        <v>10.8</v>
      </c>
      <c r="S337" s="940">
        <v>807</v>
      </c>
      <c r="T337" s="940">
        <v>562</v>
      </c>
      <c r="U337" s="1756">
        <v>86013</v>
      </c>
      <c r="V337" s="1323"/>
      <c r="W337" s="1323"/>
      <c r="X337" s="538">
        <v>0.63100000000000001</v>
      </c>
      <c r="AJ337" s="1126" t="s">
        <v>1</v>
      </c>
      <c r="AK337" s="1126">
        <v>2005</v>
      </c>
      <c r="AL337" s="1126" t="s">
        <v>27</v>
      </c>
      <c r="AM337" s="1126">
        <v>1</v>
      </c>
      <c r="AN337" s="1127">
        <v>2989028000</v>
      </c>
      <c r="AO337" s="1392">
        <v>0.51649752639918711</v>
      </c>
      <c r="AP337" s="817"/>
      <c r="AQ337" s="817" t="s">
        <v>538</v>
      </c>
      <c r="AR337" s="817" t="s">
        <v>612</v>
      </c>
      <c r="AS337" s="874" t="s">
        <v>70</v>
      </c>
      <c r="AT337" s="874">
        <v>9</v>
      </c>
      <c r="AU337" s="1114">
        <v>36031278.690000005</v>
      </c>
      <c r="AV337" s="1113">
        <v>1267.3682268730217</v>
      </c>
      <c r="AW337" s="817">
        <v>2011</v>
      </c>
    </row>
    <row r="338" spans="1:49">
      <c r="A338" s="798">
        <f t="shared" si="10"/>
        <v>1998</v>
      </c>
      <c r="B338" s="798">
        <f t="shared" si="11"/>
        <v>2</v>
      </c>
      <c r="C338" s="1105">
        <v>35947</v>
      </c>
      <c r="D338" s="805">
        <v>298.99941186334513</v>
      </c>
      <c r="E338" s="1102">
        <v>483.85</v>
      </c>
      <c r="F338" s="1102">
        <v>292.25</v>
      </c>
      <c r="G338" s="1103"/>
      <c r="H338" s="805"/>
      <c r="I338" s="1103"/>
      <c r="J338" s="1103"/>
      <c r="K338" s="84">
        <v>7414.9668874172194</v>
      </c>
      <c r="L338" s="84">
        <v>4478.6400000000003</v>
      </c>
      <c r="M338" s="84"/>
      <c r="N338" s="805">
        <v>13.7</v>
      </c>
      <c r="O338" s="941">
        <v>2749.21</v>
      </c>
      <c r="P338" s="941">
        <v>874.70198675496704</v>
      </c>
      <c r="Q338" s="941">
        <v>1671.8874172185431</v>
      </c>
      <c r="R338" s="805">
        <v>10.75</v>
      </c>
      <c r="S338" s="805">
        <v>892.23149350649351</v>
      </c>
      <c r="T338" s="805">
        <v>575.04002023139662</v>
      </c>
      <c r="U338" s="805">
        <v>87999</v>
      </c>
      <c r="V338" s="805"/>
      <c r="W338" s="805"/>
      <c r="X338" s="5">
        <v>0.60399999999999998</v>
      </c>
      <c r="AJ338" s="1126" t="s">
        <v>1</v>
      </c>
      <c r="AK338" s="1126">
        <v>2005</v>
      </c>
      <c r="AL338" s="1126" t="s">
        <v>39</v>
      </c>
      <c r="AM338" s="1126">
        <v>2</v>
      </c>
      <c r="AN338" s="1127">
        <v>1014756000</v>
      </c>
      <c r="AO338" s="1392">
        <v>0.17534762601713116</v>
      </c>
      <c r="AP338" s="817"/>
      <c r="AQ338" s="817" t="s">
        <v>538</v>
      </c>
      <c r="AR338" s="817" t="s">
        <v>612</v>
      </c>
      <c r="AS338" s="874" t="s">
        <v>37</v>
      </c>
      <c r="AT338" s="874">
        <v>10</v>
      </c>
      <c r="AU338" s="1114">
        <v>33679942.100000001</v>
      </c>
      <c r="AV338" s="1113">
        <v>1184.6620506507211</v>
      </c>
      <c r="AW338" s="817">
        <v>2011</v>
      </c>
    </row>
    <row r="339" spans="1:49">
      <c r="A339" s="798">
        <f t="shared" si="10"/>
        <v>1998</v>
      </c>
      <c r="B339" s="798">
        <f t="shared" si="11"/>
        <v>3</v>
      </c>
      <c r="C339" s="1105">
        <v>35977</v>
      </c>
      <c r="D339" s="934">
        <v>277.91614666591113</v>
      </c>
      <c r="E339" s="1100">
        <v>475.01</v>
      </c>
      <c r="F339" s="1100">
        <v>292.77999999999997</v>
      </c>
      <c r="G339" s="1101"/>
      <c r="H339" s="935"/>
      <c r="I339" s="1101"/>
      <c r="J339" s="1101"/>
      <c r="K339" s="936">
        <v>7004.7087378640772</v>
      </c>
      <c r="L339" s="936">
        <v>4328.91</v>
      </c>
      <c r="M339" s="936"/>
      <c r="N339" s="937">
        <v>13.82</v>
      </c>
      <c r="O339" s="938">
        <v>2671.59</v>
      </c>
      <c r="P339" s="938">
        <v>883.81877022653725</v>
      </c>
      <c r="Q339" s="938">
        <v>1683.2686084142395</v>
      </c>
      <c r="R339" s="939">
        <v>10.6</v>
      </c>
      <c r="S339" s="940">
        <v>789.34600301659123</v>
      </c>
      <c r="T339" s="940">
        <v>542.3666345901496</v>
      </c>
      <c r="U339" s="1756">
        <v>80465</v>
      </c>
      <c r="V339" s="1323"/>
      <c r="W339" s="1323"/>
      <c r="X339" s="538">
        <v>0.61799999999999999</v>
      </c>
      <c r="AJ339" s="1126" t="s">
        <v>1</v>
      </c>
      <c r="AK339" s="1126">
        <v>2005</v>
      </c>
      <c r="AL339" s="1126" t="s">
        <v>72</v>
      </c>
      <c r="AM339" s="1126">
        <v>3</v>
      </c>
      <c r="AN339" s="1127">
        <v>619169000</v>
      </c>
      <c r="AO339" s="1392">
        <v>0.10699105425678793</v>
      </c>
      <c r="AP339" s="817"/>
      <c r="AQ339" s="817" t="s">
        <v>538</v>
      </c>
      <c r="AR339" s="817" t="s">
        <v>612</v>
      </c>
      <c r="AS339" s="874" t="s">
        <v>433</v>
      </c>
      <c r="AT339" s="874">
        <v>11</v>
      </c>
      <c r="AU339" s="1114">
        <v>30709465.75</v>
      </c>
      <c r="AV339" s="1113">
        <v>1080.1781832571228</v>
      </c>
      <c r="AW339" s="817">
        <v>2011</v>
      </c>
    </row>
    <row r="340" spans="1:49">
      <c r="A340" s="798">
        <f t="shared" si="10"/>
        <v>1998</v>
      </c>
      <c r="B340" s="798">
        <f t="shared" si="11"/>
        <v>3</v>
      </c>
      <c r="C340" s="1105">
        <v>36008</v>
      </c>
      <c r="D340" s="805">
        <v>286.89341559319769</v>
      </c>
      <c r="E340" s="1102">
        <v>482.45</v>
      </c>
      <c r="F340" s="1102">
        <v>284.14999999999998</v>
      </c>
      <c r="G340" s="1103"/>
      <c r="H340" s="805"/>
      <c r="I340" s="1103"/>
      <c r="J340" s="1103"/>
      <c r="K340" s="84">
        <v>6922.0338983050851</v>
      </c>
      <c r="L340" s="84">
        <v>4084</v>
      </c>
      <c r="M340" s="84"/>
      <c r="N340" s="805">
        <v>13.14</v>
      </c>
      <c r="O340" s="941">
        <v>2747.33</v>
      </c>
      <c r="P340" s="941">
        <v>910.16949152542372</v>
      </c>
      <c r="Q340" s="941">
        <v>1745.4237288135594</v>
      </c>
      <c r="R340" s="805">
        <v>10.35</v>
      </c>
      <c r="S340" s="805">
        <v>890.78075709779182</v>
      </c>
      <c r="T340" s="805">
        <v>550.79205404087884</v>
      </c>
      <c r="U340" s="805">
        <v>81645</v>
      </c>
      <c r="V340" s="805"/>
      <c r="W340" s="805"/>
      <c r="X340" s="5">
        <v>0.59</v>
      </c>
      <c r="AJ340" s="1126" t="s">
        <v>1</v>
      </c>
      <c r="AK340" s="1126">
        <v>2005</v>
      </c>
      <c r="AL340" s="1126" t="s">
        <v>29</v>
      </c>
      <c r="AM340" s="1126">
        <v>4</v>
      </c>
      <c r="AN340" s="1127">
        <v>334626000</v>
      </c>
      <c r="AO340" s="1392">
        <v>5.7822643772107322E-2</v>
      </c>
      <c r="AP340" s="817"/>
      <c r="AQ340" s="817" t="s">
        <v>538</v>
      </c>
      <c r="AR340" s="817" t="s">
        <v>612</v>
      </c>
      <c r="AS340" s="874" t="s">
        <v>27</v>
      </c>
      <c r="AT340" s="874">
        <v>12</v>
      </c>
      <c r="AU340" s="1114">
        <v>29012713.109999999</v>
      </c>
      <c r="AV340" s="1113">
        <v>1020.4964161097432</v>
      </c>
      <c r="AW340" s="817">
        <v>2011</v>
      </c>
    </row>
    <row r="341" spans="1:49">
      <c r="A341" s="798">
        <f t="shared" si="10"/>
        <v>1998</v>
      </c>
      <c r="B341" s="798">
        <f t="shared" si="11"/>
        <v>3</v>
      </c>
      <c r="C341" s="1105">
        <v>36039</v>
      </c>
      <c r="D341" s="934">
        <v>288.25540389465198</v>
      </c>
      <c r="E341" s="1100">
        <v>490.66</v>
      </c>
      <c r="F341" s="1100">
        <v>289.98888888888882</v>
      </c>
      <c r="G341" s="1101"/>
      <c r="H341" s="935"/>
      <c r="I341" s="1101"/>
      <c r="J341" s="1101"/>
      <c r="K341" s="936">
        <v>6984.8247703300449</v>
      </c>
      <c r="L341" s="936">
        <v>4105.68</v>
      </c>
      <c r="M341" s="936"/>
      <c r="N341" s="937">
        <v>13.67</v>
      </c>
      <c r="O341" s="938">
        <v>2803.06</v>
      </c>
      <c r="P341" s="938">
        <v>884.92684586594078</v>
      </c>
      <c r="Q341" s="938">
        <v>1701.8713848247703</v>
      </c>
      <c r="R341" s="939">
        <v>10.1</v>
      </c>
      <c r="S341" s="940">
        <v>777.10954911709246</v>
      </c>
      <c r="T341" s="940">
        <v>598.64849203659776</v>
      </c>
      <c r="U341" s="1756">
        <v>77473</v>
      </c>
      <c r="V341" s="1323"/>
      <c r="W341" s="1323"/>
      <c r="X341" s="538">
        <v>0.58779999999999999</v>
      </c>
      <c r="AJ341" s="1126" t="s">
        <v>1</v>
      </c>
      <c r="AK341" s="1126">
        <v>2005</v>
      </c>
      <c r="AL341" s="1126" t="s">
        <v>70</v>
      </c>
      <c r="AM341" s="1126">
        <v>5</v>
      </c>
      <c r="AN341" s="1127">
        <v>279758000</v>
      </c>
      <c r="AO341" s="1392">
        <v>4.8341572909448759E-2</v>
      </c>
      <c r="AP341" s="817"/>
      <c r="AQ341" s="817" t="s">
        <v>538</v>
      </c>
      <c r="AR341" s="817" t="s">
        <v>612</v>
      </c>
      <c r="AS341" s="874" t="s">
        <v>68</v>
      </c>
      <c r="AT341" s="874">
        <v>13</v>
      </c>
      <c r="AU341" s="1114">
        <v>24654951.309999999</v>
      </c>
      <c r="AV341" s="1113">
        <v>867.21601512486802</v>
      </c>
      <c r="AW341" s="817">
        <v>2011</v>
      </c>
    </row>
    <row r="342" spans="1:49">
      <c r="A342" s="798">
        <f t="shared" si="10"/>
        <v>1998</v>
      </c>
      <c r="B342" s="798">
        <f t="shared" si="11"/>
        <v>4</v>
      </c>
      <c r="C342" s="1105">
        <v>36069</v>
      </c>
      <c r="D342" s="805">
        <v>268.82370601539628</v>
      </c>
      <c r="E342" s="1102">
        <v>472.16</v>
      </c>
      <c r="F342" s="1102">
        <v>296.31</v>
      </c>
      <c r="G342" s="1103"/>
      <c r="H342" s="805"/>
      <c r="I342" s="1103"/>
      <c r="J342" s="1103"/>
      <c r="K342" s="84">
        <v>6268.1979941766422</v>
      </c>
      <c r="L342" s="84">
        <v>3875</v>
      </c>
      <c r="M342" s="84"/>
      <c r="N342" s="805">
        <v>14.42</v>
      </c>
      <c r="O342" s="941">
        <v>2566.17</v>
      </c>
      <c r="P342" s="941">
        <v>797.18214170171461</v>
      </c>
      <c r="Q342" s="941">
        <v>1521.2795211905534</v>
      </c>
      <c r="R342" s="805">
        <v>9.4499999999999993</v>
      </c>
      <c r="S342" s="805">
        <v>814.94226904376012</v>
      </c>
      <c r="T342" s="805">
        <v>521.02617150214212</v>
      </c>
      <c r="U342" s="805">
        <v>65706</v>
      </c>
      <c r="V342" s="805"/>
      <c r="W342" s="805"/>
      <c r="X342" s="5">
        <v>0.61819999999999997</v>
      </c>
      <c r="AJ342" s="1126" t="s">
        <v>1</v>
      </c>
      <c r="AK342" s="1126">
        <v>2005</v>
      </c>
      <c r="AL342" s="1126" t="s">
        <v>431</v>
      </c>
      <c r="AM342" s="1126">
        <v>6</v>
      </c>
      <c r="AN342" s="1127">
        <v>137918000</v>
      </c>
      <c r="AO342" s="1392">
        <v>2.3831929927027481E-2</v>
      </c>
      <c r="AP342" s="817"/>
      <c r="AQ342" s="817" t="s">
        <v>538</v>
      </c>
      <c r="AR342" s="817" t="s">
        <v>612</v>
      </c>
      <c r="AS342" s="874" t="s">
        <v>45</v>
      </c>
      <c r="AT342" s="874"/>
      <c r="AU342" s="1114">
        <v>91749656.140000105</v>
      </c>
      <c r="AV342" s="1113">
        <v>3227.2126676046469</v>
      </c>
      <c r="AW342" s="817">
        <v>2011</v>
      </c>
    </row>
    <row r="343" spans="1:49">
      <c r="A343" s="798">
        <f t="shared" si="10"/>
        <v>1998</v>
      </c>
      <c r="B343" s="798">
        <f t="shared" si="11"/>
        <v>4</v>
      </c>
      <c r="C343" s="1105">
        <v>36100</v>
      </c>
      <c r="D343" s="934">
        <v>302.64726487944836</v>
      </c>
      <c r="E343" s="1100">
        <v>464.51</v>
      </c>
      <c r="F343" s="1100">
        <v>294.72000000000003</v>
      </c>
      <c r="G343" s="1101"/>
      <c r="H343" s="935"/>
      <c r="I343" s="1101"/>
      <c r="J343" s="1101"/>
      <c r="K343" s="936">
        <v>6518.3480453972261</v>
      </c>
      <c r="L343" s="936">
        <v>4135.24</v>
      </c>
      <c r="M343" s="936"/>
      <c r="N343" s="937">
        <v>12.96</v>
      </c>
      <c r="O343" s="938">
        <v>2481.0100000000002</v>
      </c>
      <c r="P343" s="938">
        <v>778.95649432534685</v>
      </c>
      <c r="Q343" s="938">
        <v>1524.4640605296345</v>
      </c>
      <c r="R343" s="939">
        <v>8.9600000000000009</v>
      </c>
      <c r="S343" s="940">
        <v>824.23819898329702</v>
      </c>
      <c r="T343" s="940">
        <v>542.49441713349336</v>
      </c>
      <c r="U343" s="1756">
        <v>51670</v>
      </c>
      <c r="V343" s="1323"/>
      <c r="W343" s="1323"/>
      <c r="X343" s="538">
        <v>0.63439999999999996</v>
      </c>
      <c r="AJ343" s="1126" t="s">
        <v>1</v>
      </c>
      <c r="AK343" s="1126">
        <v>2005</v>
      </c>
      <c r="AL343" s="1126" t="s">
        <v>643</v>
      </c>
      <c r="AM343" s="1126">
        <v>7</v>
      </c>
      <c r="AN343" s="1127">
        <v>116184000</v>
      </c>
      <c r="AO343" s="1392">
        <v>2.0076342077479086E-2</v>
      </c>
      <c r="AP343" s="817"/>
      <c r="AQ343" s="817" t="s">
        <v>538</v>
      </c>
      <c r="AR343" s="817" t="s">
        <v>612</v>
      </c>
      <c r="AS343" s="874" t="s">
        <v>452</v>
      </c>
      <c r="AT343" s="874"/>
      <c r="AU343" s="1114">
        <v>1326522659.47</v>
      </c>
      <c r="AV343" s="874"/>
      <c r="AW343" s="817">
        <v>2011</v>
      </c>
    </row>
    <row r="344" spans="1:49">
      <c r="A344" s="798">
        <f t="shared" si="10"/>
        <v>1998</v>
      </c>
      <c r="B344" s="798">
        <f t="shared" si="11"/>
        <v>4</v>
      </c>
      <c r="C344" s="1105">
        <v>36130</v>
      </c>
      <c r="D344" s="805">
        <v>275.94979490539851</v>
      </c>
      <c r="E344" s="1102">
        <v>471.37</v>
      </c>
      <c r="F344" s="1102">
        <v>291.64999999999998</v>
      </c>
      <c r="G344" s="1103"/>
      <c r="H344" s="805"/>
      <c r="I344" s="1103"/>
      <c r="J344" s="1103"/>
      <c r="K344" s="84">
        <v>6276.1804657179828</v>
      </c>
      <c r="L344" s="84">
        <v>3881.19</v>
      </c>
      <c r="M344" s="84"/>
      <c r="N344" s="805">
        <v>11.11</v>
      </c>
      <c r="O344" s="941">
        <v>2382.84</v>
      </c>
      <c r="P344" s="941">
        <v>810.57891332470899</v>
      </c>
      <c r="Q344" s="941">
        <v>1551.0834411384219</v>
      </c>
      <c r="R344" s="805">
        <v>8.8000000000000007</v>
      </c>
      <c r="S344" s="805">
        <v>781.21391095787737</v>
      </c>
      <c r="T344" s="805">
        <v>555.02011080332409</v>
      </c>
      <c r="U344" s="805">
        <v>40886</v>
      </c>
      <c r="V344" s="805"/>
      <c r="W344" s="805"/>
      <c r="X344" s="5">
        <v>0.61839999999999995</v>
      </c>
      <c r="AJ344" s="1126" t="s">
        <v>1</v>
      </c>
      <c r="AK344" s="1126">
        <v>2005</v>
      </c>
      <c r="AL344" s="1126" t="s">
        <v>85</v>
      </c>
      <c r="AM344" s="1126">
        <v>8</v>
      </c>
      <c r="AN344" s="1127">
        <v>103428000</v>
      </c>
      <c r="AO344" s="1392">
        <v>1.7872133068146275E-2</v>
      </c>
      <c r="AP344" s="817"/>
      <c r="AQ344" s="817" t="s">
        <v>538</v>
      </c>
      <c r="AR344" s="817" t="s">
        <v>611</v>
      </c>
      <c r="AS344" s="874" t="s">
        <v>24</v>
      </c>
      <c r="AT344" s="874">
        <v>1</v>
      </c>
      <c r="AU344" s="1114">
        <v>220340382.1400001</v>
      </c>
      <c r="AV344" s="1113">
        <v>7620.279513747194</v>
      </c>
      <c r="AW344" s="817">
        <v>2010</v>
      </c>
    </row>
    <row r="345" spans="1:49">
      <c r="A345" s="798">
        <f t="shared" si="10"/>
        <v>1999</v>
      </c>
      <c r="B345" s="798">
        <f t="shared" si="11"/>
        <v>1</v>
      </c>
      <c r="C345" s="1105">
        <v>36161</v>
      </c>
      <c r="D345" s="934">
        <v>248.61</v>
      </c>
      <c r="E345" s="1100">
        <v>456</v>
      </c>
      <c r="F345" s="1100">
        <v>287.07</v>
      </c>
      <c r="G345" s="1101"/>
      <c r="H345" s="935"/>
      <c r="I345" s="1101"/>
      <c r="J345" s="1101"/>
      <c r="K345" s="936">
        <v>6776.6497461928939</v>
      </c>
      <c r="L345" s="936">
        <v>4272</v>
      </c>
      <c r="M345" s="936"/>
      <c r="N345" s="937">
        <v>12.43</v>
      </c>
      <c r="O345" s="938">
        <v>2270.2600000000002</v>
      </c>
      <c r="P345" s="938">
        <v>780.93274111675134</v>
      </c>
      <c r="Q345" s="938">
        <v>1479.6161167512691</v>
      </c>
      <c r="R345" s="939">
        <v>9.75</v>
      </c>
      <c r="S345" s="940">
        <v>812.4305239179954</v>
      </c>
      <c r="T345" s="940">
        <v>506.71</v>
      </c>
      <c r="U345" s="1756">
        <v>40064</v>
      </c>
      <c r="V345" s="1323"/>
      <c r="W345" s="1323"/>
      <c r="X345" s="538">
        <v>0.63039999999999996</v>
      </c>
      <c r="AJ345" s="1126" t="s">
        <v>1</v>
      </c>
      <c r="AK345" s="1126">
        <v>2005</v>
      </c>
      <c r="AL345" s="1126" t="s">
        <v>24</v>
      </c>
      <c r="AM345" s="1126">
        <v>9</v>
      </c>
      <c r="AN345" s="1127">
        <v>99045000</v>
      </c>
      <c r="AO345" s="1392">
        <v>1.7114760217103182E-2</v>
      </c>
      <c r="AP345" s="817"/>
      <c r="AQ345" s="817" t="s">
        <v>538</v>
      </c>
      <c r="AR345" s="817" t="s">
        <v>611</v>
      </c>
      <c r="AS345" s="874" t="s">
        <v>41</v>
      </c>
      <c r="AT345" s="874">
        <v>2</v>
      </c>
      <c r="AU345" s="1114">
        <v>102368804.53</v>
      </c>
      <c r="AV345" s="1113">
        <v>3540.3356226871865</v>
      </c>
      <c r="AW345" s="817">
        <v>2010</v>
      </c>
    </row>
    <row r="346" spans="1:49">
      <c r="A346" s="798">
        <f t="shared" si="10"/>
        <v>1999</v>
      </c>
      <c r="B346" s="798">
        <f t="shared" si="11"/>
        <v>1</v>
      </c>
      <c r="C346" s="1105">
        <v>36192</v>
      </c>
      <c r="D346" s="805">
        <v>245.04</v>
      </c>
      <c r="E346" s="1102">
        <v>449.28</v>
      </c>
      <c r="F346" s="1102">
        <v>287.26</v>
      </c>
      <c r="G346" s="1103"/>
      <c r="H346" s="805"/>
      <c r="I346" s="1103"/>
      <c r="J346" s="1103"/>
      <c r="K346" s="84">
        <v>7240.3816077572728</v>
      </c>
      <c r="L346" s="84">
        <v>4629.5</v>
      </c>
      <c r="M346" s="84"/>
      <c r="N346" s="805">
        <v>11.45</v>
      </c>
      <c r="O346" s="941">
        <v>2206.33</v>
      </c>
      <c r="P346" s="941">
        <v>803.37034720050042</v>
      </c>
      <c r="Q346" s="941">
        <v>1591.061933062246</v>
      </c>
      <c r="R346" s="805">
        <v>10.5</v>
      </c>
      <c r="S346" s="805">
        <v>782.12772965719171</v>
      </c>
      <c r="T346" s="805">
        <v>480.81</v>
      </c>
      <c r="U346" s="805">
        <v>64433</v>
      </c>
      <c r="V346" s="805"/>
      <c r="W346" s="805"/>
      <c r="X346" s="5">
        <v>0.63939999999999997</v>
      </c>
      <c r="AJ346" s="1126" t="s">
        <v>1</v>
      </c>
      <c r="AK346" s="1126">
        <v>2005</v>
      </c>
      <c r="AL346" s="1126" t="s">
        <v>432</v>
      </c>
      <c r="AM346" s="1126">
        <v>10</v>
      </c>
      <c r="AN346" s="1127">
        <v>25420000</v>
      </c>
      <c r="AO346" s="1392">
        <v>4.3925206191000347E-3</v>
      </c>
      <c r="AP346" s="817"/>
      <c r="AQ346" s="817" t="s">
        <v>538</v>
      </c>
      <c r="AR346" s="817" t="s">
        <v>611</v>
      </c>
      <c r="AS346" s="874" t="s">
        <v>33</v>
      </c>
      <c r="AT346" s="874">
        <v>3</v>
      </c>
      <c r="AU346" s="1114">
        <v>68928689.790000007</v>
      </c>
      <c r="AV346" s="1113">
        <v>2383.838484869445</v>
      </c>
      <c r="AW346" s="817">
        <v>2010</v>
      </c>
    </row>
    <row r="347" spans="1:49">
      <c r="A347" s="798">
        <f t="shared" si="10"/>
        <v>1999</v>
      </c>
      <c r="B347" s="798">
        <f t="shared" si="11"/>
        <v>1</v>
      </c>
      <c r="C347" s="1105">
        <v>36220</v>
      </c>
      <c r="D347" s="934">
        <v>257.52</v>
      </c>
      <c r="E347" s="1100">
        <v>453.92</v>
      </c>
      <c r="F347" s="1100">
        <v>285.95999999999998</v>
      </c>
      <c r="G347" s="1101"/>
      <c r="H347" s="935"/>
      <c r="I347" s="1101"/>
      <c r="J347" s="1101"/>
      <c r="K347" s="936">
        <v>7951.7583637228472</v>
      </c>
      <c r="L347" s="936">
        <v>5015.17</v>
      </c>
      <c r="M347" s="936"/>
      <c r="N347" s="937">
        <v>13.44</v>
      </c>
      <c r="O347" s="938">
        <v>2185.39</v>
      </c>
      <c r="P347" s="938">
        <v>805.17837323608683</v>
      </c>
      <c r="Q347" s="938">
        <v>1633.1060726177263</v>
      </c>
      <c r="R347" s="939">
        <v>10.5</v>
      </c>
      <c r="S347" s="940">
        <v>755.64</v>
      </c>
      <c r="T347" s="940">
        <v>448.26</v>
      </c>
      <c r="U347" s="1756">
        <v>63814</v>
      </c>
      <c r="V347" s="1323"/>
      <c r="W347" s="1323"/>
      <c r="X347" s="538">
        <v>0.63070000000000004</v>
      </c>
      <c r="AJ347" s="1126" t="s">
        <v>1</v>
      </c>
      <c r="AK347" s="1126">
        <v>2005</v>
      </c>
      <c r="AL347" s="1126" t="s">
        <v>45</v>
      </c>
      <c r="AM347" s="1126"/>
      <c r="AN347" s="1127">
        <v>67778000</v>
      </c>
      <c r="AO347" s="1392">
        <v>1.1711890736481595E-2</v>
      </c>
      <c r="AP347" s="817"/>
      <c r="AQ347" s="817" t="s">
        <v>538</v>
      </c>
      <c r="AR347" s="817" t="s">
        <v>611</v>
      </c>
      <c r="AS347" s="874" t="s">
        <v>84</v>
      </c>
      <c r="AT347" s="874">
        <v>4</v>
      </c>
      <c r="AU347" s="1114">
        <v>45802689.499999993</v>
      </c>
      <c r="AV347" s="1113">
        <v>1584.0459795953655</v>
      </c>
      <c r="AW347" s="817">
        <v>2010</v>
      </c>
    </row>
    <row r="348" spans="1:49">
      <c r="A348" s="798">
        <f t="shared" si="10"/>
        <v>1999</v>
      </c>
      <c r="B348" s="798">
        <f t="shared" si="11"/>
        <v>2</v>
      </c>
      <c r="C348" s="1105">
        <v>36251</v>
      </c>
      <c r="D348" s="805">
        <v>243.30182496484363</v>
      </c>
      <c r="E348" s="1102">
        <v>441.23</v>
      </c>
      <c r="F348" s="1102">
        <v>282.89</v>
      </c>
      <c r="G348" s="1103"/>
      <c r="H348" s="805"/>
      <c r="I348" s="1103"/>
      <c r="J348" s="1103"/>
      <c r="K348" s="84">
        <v>7956.2100670095051</v>
      </c>
      <c r="L348" s="84">
        <v>5105.5</v>
      </c>
      <c r="M348" s="84"/>
      <c r="N348" s="805">
        <v>16.34</v>
      </c>
      <c r="O348" s="941">
        <v>2284.56</v>
      </c>
      <c r="P348" s="941">
        <v>809.30341280972414</v>
      </c>
      <c r="Q348" s="941">
        <v>1587.9694561321489</v>
      </c>
      <c r="R348" s="805">
        <v>10.83</v>
      </c>
      <c r="S348" s="805">
        <v>760.29052442043667</v>
      </c>
      <c r="T348" s="805">
        <v>478.74420416187542</v>
      </c>
      <c r="U348" s="805">
        <v>54346</v>
      </c>
      <c r="V348" s="805"/>
      <c r="W348" s="805"/>
      <c r="X348" s="5">
        <v>0.64170000000000005</v>
      </c>
      <c r="AJ348" s="1126" t="s">
        <v>1</v>
      </c>
      <c r="AK348" s="1126">
        <v>2005</v>
      </c>
      <c r="AL348" s="1126" t="s">
        <v>452</v>
      </c>
      <c r="AM348" s="1126"/>
      <c r="AN348" s="1127">
        <v>5787110000</v>
      </c>
      <c r="AO348" s="1392">
        <v>1</v>
      </c>
      <c r="AP348" s="817"/>
      <c r="AQ348" s="817" t="s">
        <v>538</v>
      </c>
      <c r="AR348" s="817" t="s">
        <v>611</v>
      </c>
      <c r="AS348" s="874" t="s">
        <v>72</v>
      </c>
      <c r="AT348" s="874">
        <v>5</v>
      </c>
      <c r="AU348" s="1114">
        <v>35309075.43</v>
      </c>
      <c r="AV348" s="1113">
        <v>1221.1335095970949</v>
      </c>
      <c r="AW348" s="817">
        <v>2010</v>
      </c>
    </row>
    <row r="349" spans="1:49">
      <c r="A349" s="798">
        <f t="shared" si="10"/>
        <v>1999</v>
      </c>
      <c r="B349" s="798">
        <f t="shared" si="11"/>
        <v>2</v>
      </c>
      <c r="C349" s="1105">
        <v>36281</v>
      </c>
      <c r="D349" s="934">
        <v>247.55602772908395</v>
      </c>
      <c r="E349" s="1100">
        <v>420.26</v>
      </c>
      <c r="F349" s="1100">
        <v>276.44</v>
      </c>
      <c r="G349" s="1101"/>
      <c r="H349" s="935"/>
      <c r="I349" s="1101"/>
      <c r="J349" s="1101"/>
      <c r="K349" s="936">
        <v>8162.6982927934732</v>
      </c>
      <c r="L349" s="936">
        <v>5402.89</v>
      </c>
      <c r="M349" s="936"/>
      <c r="N349" s="937">
        <v>16.670000000000002</v>
      </c>
      <c r="O349" s="938">
        <v>2283.06</v>
      </c>
      <c r="P349" s="938">
        <v>817.90300649644962</v>
      </c>
      <c r="Q349" s="938">
        <v>1572.3523190814321</v>
      </c>
      <c r="R349" s="939">
        <v>10.73</v>
      </c>
      <c r="S349" s="940">
        <v>855.59492697924668</v>
      </c>
      <c r="T349" s="940">
        <v>477.10781893004116</v>
      </c>
      <c r="U349" s="1756">
        <v>52292</v>
      </c>
      <c r="V349" s="1323"/>
      <c r="W349" s="1323"/>
      <c r="X349" s="538">
        <v>0.66190000000000004</v>
      </c>
      <c r="AJ349" s="1128" t="s">
        <v>1</v>
      </c>
      <c r="AK349" s="1128">
        <v>2006</v>
      </c>
      <c r="AL349" s="1128" t="s">
        <v>27</v>
      </c>
      <c r="AM349" s="1128">
        <v>1</v>
      </c>
      <c r="AN349" s="1129">
        <v>3497594000</v>
      </c>
      <c r="AO349" s="1392">
        <v>0.38826262832581437</v>
      </c>
      <c r="AP349" s="817"/>
      <c r="AQ349" s="817" t="s">
        <v>538</v>
      </c>
      <c r="AR349" s="817" t="s">
        <v>611</v>
      </c>
      <c r="AS349" s="874" t="s">
        <v>27</v>
      </c>
      <c r="AT349" s="874">
        <v>6</v>
      </c>
      <c r="AU349" s="1114">
        <v>25125175.040000003</v>
      </c>
      <c r="AV349" s="1113">
        <v>868.93221649662814</v>
      </c>
      <c r="AW349" s="817">
        <v>2010</v>
      </c>
    </row>
    <row r="350" spans="1:49">
      <c r="A350" s="798">
        <f t="shared" si="10"/>
        <v>1999</v>
      </c>
      <c r="B350" s="798">
        <f t="shared" si="11"/>
        <v>2</v>
      </c>
      <c r="C350" s="1105">
        <v>36312</v>
      </c>
      <c r="D350" s="805">
        <v>241.47456114181264</v>
      </c>
      <c r="E350" s="1102">
        <v>399.54</v>
      </c>
      <c r="F350" s="1102">
        <v>261.31</v>
      </c>
      <c r="G350" s="1103"/>
      <c r="H350" s="805"/>
      <c r="I350" s="1103"/>
      <c r="J350" s="1103"/>
      <c r="K350" s="84">
        <v>7916.8138897349991</v>
      </c>
      <c r="L350" s="84">
        <v>5198.18</v>
      </c>
      <c r="M350" s="84"/>
      <c r="N350" s="805">
        <v>17.05</v>
      </c>
      <c r="O350" s="941">
        <v>2166.4299999999998</v>
      </c>
      <c r="P350" s="941">
        <v>755.57416996649408</v>
      </c>
      <c r="Q350" s="941">
        <v>1523.728297289065</v>
      </c>
      <c r="R350" s="805">
        <v>10.55</v>
      </c>
      <c r="S350" s="805">
        <v>748.16075607560754</v>
      </c>
      <c r="T350" s="805">
        <v>497.0595701371011</v>
      </c>
      <c r="U350" s="805">
        <v>72356</v>
      </c>
      <c r="V350" s="805"/>
      <c r="W350" s="805"/>
      <c r="X350" s="5">
        <v>0.65659999999999996</v>
      </c>
      <c r="AJ350" s="1128" t="s">
        <v>1</v>
      </c>
      <c r="AK350" s="1128">
        <v>2006</v>
      </c>
      <c r="AL350" s="1128" t="s">
        <v>72</v>
      </c>
      <c r="AM350" s="1128">
        <v>2</v>
      </c>
      <c r="AN350" s="1129">
        <v>2878194000</v>
      </c>
      <c r="AO350" s="1392">
        <v>0.3195039696635999</v>
      </c>
      <c r="AP350" s="817"/>
      <c r="AQ350" s="817" t="s">
        <v>538</v>
      </c>
      <c r="AR350" s="817" t="s">
        <v>611</v>
      </c>
      <c r="AS350" s="874" t="s">
        <v>433</v>
      </c>
      <c r="AT350" s="874">
        <v>7</v>
      </c>
      <c r="AU350" s="1114">
        <v>23246329.380000003</v>
      </c>
      <c r="AV350" s="1113">
        <v>803.95398167041333</v>
      </c>
      <c r="AW350" s="817">
        <v>2010</v>
      </c>
    </row>
    <row r="351" spans="1:49">
      <c r="A351" s="798">
        <f t="shared" si="10"/>
        <v>1999</v>
      </c>
      <c r="B351" s="798">
        <f t="shared" si="11"/>
        <v>3</v>
      </c>
      <c r="C351" s="1105">
        <v>36342</v>
      </c>
      <c r="D351" s="934">
        <v>254.74</v>
      </c>
      <c r="E351" s="1100">
        <v>390.68</v>
      </c>
      <c r="F351" s="1100">
        <v>256.08</v>
      </c>
      <c r="G351" s="1101"/>
      <c r="H351" s="935"/>
      <c r="I351" s="1101"/>
      <c r="J351" s="1101"/>
      <c r="K351" s="936">
        <v>8679.3822276323808</v>
      </c>
      <c r="L351" s="936">
        <v>5704.09</v>
      </c>
      <c r="M351" s="936"/>
      <c r="N351" s="937">
        <v>19.73</v>
      </c>
      <c r="O351" s="938">
        <v>2495.44</v>
      </c>
      <c r="P351" s="938">
        <v>753.19537431527692</v>
      </c>
      <c r="Q351" s="938">
        <v>1631.3298843578818</v>
      </c>
      <c r="R351" s="939">
        <v>10.3</v>
      </c>
      <c r="S351" s="940">
        <v>724.23</v>
      </c>
      <c r="T351" s="940">
        <v>438</v>
      </c>
      <c r="U351" s="1756">
        <v>69075</v>
      </c>
      <c r="V351" s="1323"/>
      <c r="W351" s="1323"/>
      <c r="X351" s="538">
        <v>0.65720000000000001</v>
      </c>
      <c r="AJ351" s="1128" t="s">
        <v>1</v>
      </c>
      <c r="AK351" s="1128">
        <v>2006</v>
      </c>
      <c r="AL351" s="1128" t="s">
        <v>643</v>
      </c>
      <c r="AM351" s="1128">
        <v>3</v>
      </c>
      <c r="AN351" s="1129">
        <v>761667000</v>
      </c>
      <c r="AO351" s="1392">
        <v>8.4551503498987601E-2</v>
      </c>
      <c r="AP351" s="817"/>
      <c r="AQ351" s="817" t="s">
        <v>538</v>
      </c>
      <c r="AR351" s="817" t="s">
        <v>611</v>
      </c>
      <c r="AS351" s="874" t="s">
        <v>31</v>
      </c>
      <c r="AT351" s="874">
        <v>8</v>
      </c>
      <c r="AU351" s="1114">
        <v>22224783.140000001</v>
      </c>
      <c r="AV351" s="1113">
        <v>768.62469790766045</v>
      </c>
      <c r="AW351" s="817">
        <v>2010</v>
      </c>
    </row>
    <row r="352" spans="1:49">
      <c r="A352" s="798">
        <f t="shared" si="10"/>
        <v>1999</v>
      </c>
      <c r="B352" s="798">
        <f t="shared" si="11"/>
        <v>3</v>
      </c>
      <c r="C352" s="1105">
        <v>36373</v>
      </c>
      <c r="D352" s="805">
        <v>260.36</v>
      </c>
      <c r="E352" s="1102">
        <v>398.59</v>
      </c>
      <c r="F352" s="1102">
        <v>256.73095238095237</v>
      </c>
      <c r="G352" s="1103"/>
      <c r="H352" s="805"/>
      <c r="I352" s="1103"/>
      <c r="J352" s="1103"/>
      <c r="K352" s="84">
        <v>10008.796152652809</v>
      </c>
      <c r="L352" s="84">
        <v>6451.67</v>
      </c>
      <c r="M352" s="84"/>
      <c r="N352" s="805">
        <v>21.71</v>
      </c>
      <c r="O352" s="941">
        <v>2556.0300000000002</v>
      </c>
      <c r="P352" s="941">
        <v>780.43748060812914</v>
      </c>
      <c r="Q352" s="941">
        <v>1753.9559416692523</v>
      </c>
      <c r="R352" s="805">
        <v>10.1</v>
      </c>
      <c r="S352" s="805">
        <v>776.33431372549023</v>
      </c>
      <c r="T352" s="805">
        <v>448.5</v>
      </c>
      <c r="U352" s="805">
        <v>66179</v>
      </c>
      <c r="V352" s="805"/>
      <c r="W352" s="805"/>
      <c r="X352" s="5">
        <v>0.64459999999999995</v>
      </c>
      <c r="AJ352" s="1128" t="s">
        <v>1</v>
      </c>
      <c r="AK352" s="1128">
        <v>2006</v>
      </c>
      <c r="AL352" s="1128" t="s">
        <v>39</v>
      </c>
      <c r="AM352" s="1128">
        <v>4</v>
      </c>
      <c r="AN352" s="1129">
        <v>562242000</v>
      </c>
      <c r="AO352" s="1392">
        <v>6.2413635394835E-2</v>
      </c>
      <c r="AP352" s="817"/>
      <c r="AQ352" s="817" t="s">
        <v>538</v>
      </c>
      <c r="AR352" s="817" t="s">
        <v>611</v>
      </c>
      <c r="AS352" s="874" t="s">
        <v>70</v>
      </c>
      <c r="AT352" s="874">
        <v>9</v>
      </c>
      <c r="AU352" s="1114">
        <v>21040902.43</v>
      </c>
      <c r="AV352" s="1113">
        <v>727.68121839875494</v>
      </c>
      <c r="AW352" s="817">
        <v>2010</v>
      </c>
    </row>
    <row r="353" spans="1:49">
      <c r="A353" s="798">
        <f t="shared" si="10"/>
        <v>1999</v>
      </c>
      <c r="B353" s="798">
        <f t="shared" si="11"/>
        <v>3</v>
      </c>
      <c r="C353" s="1105">
        <v>36404</v>
      </c>
      <c r="D353" s="934">
        <v>262.69</v>
      </c>
      <c r="E353" s="1100">
        <v>406.46</v>
      </c>
      <c r="F353" s="1100">
        <v>264.74318181818177</v>
      </c>
      <c r="G353" s="1101"/>
      <c r="H353" s="935"/>
      <c r="I353" s="1101"/>
      <c r="J353" s="1101"/>
      <c r="K353" s="936">
        <v>10837.484586929715</v>
      </c>
      <c r="L353" s="936">
        <v>7031.36</v>
      </c>
      <c r="M353" s="936"/>
      <c r="N353" s="937">
        <v>23.79</v>
      </c>
      <c r="O353" s="938">
        <v>2697.81</v>
      </c>
      <c r="P353" s="938">
        <v>781.93588162762012</v>
      </c>
      <c r="Q353" s="938">
        <v>1839.9352651048086</v>
      </c>
      <c r="R353" s="939">
        <v>9.9</v>
      </c>
      <c r="S353" s="940">
        <v>785.58</v>
      </c>
      <c r="T353" s="940">
        <v>623.27</v>
      </c>
      <c r="U353" s="1756">
        <v>62565</v>
      </c>
      <c r="V353" s="1323"/>
      <c r="W353" s="1323"/>
      <c r="X353" s="538">
        <v>0.64880000000000004</v>
      </c>
      <c r="AJ353" s="1128" t="s">
        <v>1</v>
      </c>
      <c r="AK353" s="1128">
        <v>2006</v>
      </c>
      <c r="AL353" s="1128" t="s">
        <v>70</v>
      </c>
      <c r="AM353" s="1128">
        <v>5</v>
      </c>
      <c r="AN353" s="1129">
        <v>383393000</v>
      </c>
      <c r="AO353" s="1392">
        <v>4.2559877979467871E-2</v>
      </c>
      <c r="AP353" s="817"/>
      <c r="AQ353" s="817" t="s">
        <v>538</v>
      </c>
      <c r="AR353" s="817" t="s">
        <v>611</v>
      </c>
      <c r="AS353" s="874" t="s">
        <v>80</v>
      </c>
      <c r="AT353" s="874">
        <v>10</v>
      </c>
      <c r="AU353" s="1114">
        <v>20433783.539999999</v>
      </c>
      <c r="AV353" s="1113">
        <v>706.68454227909388</v>
      </c>
      <c r="AW353" s="817">
        <v>2010</v>
      </c>
    </row>
    <row r="354" spans="1:49">
      <c r="A354" s="798">
        <f t="shared" si="10"/>
        <v>1999</v>
      </c>
      <c r="B354" s="798">
        <f t="shared" si="11"/>
        <v>4</v>
      </c>
      <c r="C354" s="1105">
        <v>36434</v>
      </c>
      <c r="D354" s="805">
        <v>279.05</v>
      </c>
      <c r="E354" s="1102">
        <v>479.01</v>
      </c>
      <c r="F354" s="1102">
        <v>310.72000000000003</v>
      </c>
      <c r="G354" s="1103"/>
      <c r="H354" s="805"/>
      <c r="I354" s="1103"/>
      <c r="J354" s="1103"/>
      <c r="K354" s="84">
        <v>11232.571691458365</v>
      </c>
      <c r="L354" s="84">
        <v>7324.76</v>
      </c>
      <c r="M354" s="84"/>
      <c r="N354" s="805">
        <v>23.6</v>
      </c>
      <c r="O354" s="941">
        <v>2643.95</v>
      </c>
      <c r="P354" s="941">
        <v>762.30639472473547</v>
      </c>
      <c r="Q354" s="941">
        <v>1761.6009814445638</v>
      </c>
      <c r="R354" s="805">
        <v>9.6999999999999993</v>
      </c>
      <c r="S354" s="805">
        <v>803.87</v>
      </c>
      <c r="T354" s="805">
        <v>570.51</v>
      </c>
      <c r="U354" s="805">
        <v>53078</v>
      </c>
      <c r="V354" s="805"/>
      <c r="W354" s="805"/>
      <c r="X354" s="5">
        <v>0.65210000000000001</v>
      </c>
      <c r="AJ354" s="1128" t="s">
        <v>1</v>
      </c>
      <c r="AK354" s="1128">
        <v>2006</v>
      </c>
      <c r="AL354" s="1128" t="s">
        <v>29</v>
      </c>
      <c r="AM354" s="1128">
        <v>6</v>
      </c>
      <c r="AN354" s="1129">
        <v>285130000</v>
      </c>
      <c r="AO354" s="1392">
        <v>3.1651850733544103E-2</v>
      </c>
      <c r="AP354" s="817"/>
      <c r="AQ354" s="817" t="s">
        <v>538</v>
      </c>
      <c r="AR354" s="817" t="s">
        <v>611</v>
      </c>
      <c r="AS354" s="874" t="s">
        <v>29</v>
      </c>
      <c r="AT354" s="874">
        <v>11</v>
      </c>
      <c r="AU354" s="1114">
        <v>20409669.099999998</v>
      </c>
      <c r="AV354" s="1113">
        <v>705.85056545045813</v>
      </c>
      <c r="AW354" s="817">
        <v>2010</v>
      </c>
    </row>
    <row r="355" spans="1:49">
      <c r="A355" s="798">
        <f t="shared" si="10"/>
        <v>1999</v>
      </c>
      <c r="B355" s="798">
        <f t="shared" si="11"/>
        <v>4</v>
      </c>
      <c r="C355" s="1105">
        <v>36465</v>
      </c>
      <c r="D355" s="934">
        <v>287.83999999999997</v>
      </c>
      <c r="E355" s="1100">
        <v>461.13</v>
      </c>
      <c r="F355" s="1100">
        <v>297.73</v>
      </c>
      <c r="G355" s="1101"/>
      <c r="H355" s="935"/>
      <c r="I355" s="1101"/>
      <c r="J355" s="1101"/>
      <c r="K355" s="936">
        <v>12449.483406386975</v>
      </c>
      <c r="L355" s="936">
        <v>7952.73</v>
      </c>
      <c r="M355" s="936"/>
      <c r="N355" s="937">
        <v>24.89</v>
      </c>
      <c r="O355" s="938">
        <v>2704.37</v>
      </c>
      <c r="P355" s="938">
        <v>748.77896055103315</v>
      </c>
      <c r="Q355" s="938">
        <v>1795.8046336881653</v>
      </c>
      <c r="R355" s="939">
        <v>9.6999999999999993</v>
      </c>
      <c r="S355" s="940">
        <v>803.99</v>
      </c>
      <c r="T355" s="940">
        <v>549.6</v>
      </c>
      <c r="U355" s="1756">
        <v>49294</v>
      </c>
      <c r="V355" s="1323"/>
      <c r="W355" s="1323"/>
      <c r="X355" s="538">
        <v>0.63880000000000003</v>
      </c>
      <c r="AJ355" s="1128" t="s">
        <v>1</v>
      </c>
      <c r="AK355" s="1128">
        <v>2006</v>
      </c>
      <c r="AL355" s="1128" t="s">
        <v>432</v>
      </c>
      <c r="AM355" s="1128">
        <v>7</v>
      </c>
      <c r="AN355" s="1129">
        <v>205756000</v>
      </c>
      <c r="AO355" s="1392">
        <v>2.2840662853895067E-2</v>
      </c>
      <c r="AP355" s="817"/>
      <c r="AQ355" s="817" t="s">
        <v>538</v>
      </c>
      <c r="AR355" s="817" t="s">
        <v>611</v>
      </c>
      <c r="AS355" s="874" t="s">
        <v>45</v>
      </c>
      <c r="AT355" s="874"/>
      <c r="AU355" s="1114">
        <v>90066413.050000072</v>
      </c>
      <c r="AV355" s="1113">
        <v>3114.8681670413307</v>
      </c>
      <c r="AW355" s="817">
        <v>2010</v>
      </c>
    </row>
    <row r="356" spans="1:49">
      <c r="A356" s="798">
        <f t="shared" si="10"/>
        <v>1999</v>
      </c>
      <c r="B356" s="798">
        <f t="shared" si="11"/>
        <v>4</v>
      </c>
      <c r="C356" s="1105">
        <v>36495</v>
      </c>
      <c r="D356" s="805">
        <v>289.27999999999997</v>
      </c>
      <c r="E356" s="1102">
        <v>445.3</v>
      </c>
      <c r="F356" s="1102">
        <v>283.07</v>
      </c>
      <c r="G356" s="1103"/>
      <c r="H356" s="805"/>
      <c r="I356" s="1103"/>
      <c r="J356" s="1103"/>
      <c r="K356" s="84">
        <v>12612.67935121647</v>
      </c>
      <c r="L356" s="84">
        <v>8087.25</v>
      </c>
      <c r="M356" s="84"/>
      <c r="N356" s="805">
        <v>25.19</v>
      </c>
      <c r="O356" s="941">
        <v>2752.26</v>
      </c>
      <c r="P356" s="941">
        <v>747.1147847785403</v>
      </c>
      <c r="Q356" s="941">
        <v>1846.1478477854023</v>
      </c>
      <c r="R356" s="805">
        <v>9.6</v>
      </c>
      <c r="S356" s="805">
        <v>798.8</v>
      </c>
      <c r="T356" s="805">
        <v>617.15</v>
      </c>
      <c r="U356" s="805">
        <v>50349</v>
      </c>
      <c r="V356" s="805"/>
      <c r="W356" s="805"/>
      <c r="X356" s="5">
        <v>0.64119999999999999</v>
      </c>
      <c r="AJ356" s="1128" t="s">
        <v>1</v>
      </c>
      <c r="AK356" s="1128">
        <v>2006</v>
      </c>
      <c r="AL356" s="1128" t="s">
        <v>40</v>
      </c>
      <c r="AM356" s="1128">
        <v>8</v>
      </c>
      <c r="AN356" s="1129">
        <v>200634000</v>
      </c>
      <c r="AO356" s="1392">
        <v>2.2272077368477142E-2</v>
      </c>
      <c r="AP356" s="817"/>
      <c r="AQ356" s="817" t="s">
        <v>538</v>
      </c>
      <c r="AR356" s="817" t="s">
        <v>611</v>
      </c>
      <c r="AS356" s="874" t="s">
        <v>452</v>
      </c>
      <c r="AT356" s="874"/>
      <c r="AU356" s="1114">
        <v>695296697.07000005</v>
      </c>
      <c r="AV356" s="874"/>
      <c r="AW356" s="817">
        <v>2010</v>
      </c>
    </row>
    <row r="357" spans="1:49">
      <c r="A357" s="798">
        <f t="shared" si="10"/>
        <v>2000</v>
      </c>
      <c r="B357" s="798">
        <f t="shared" si="11"/>
        <v>1</v>
      </c>
      <c r="C357" s="1105">
        <v>36526</v>
      </c>
      <c r="D357" s="934">
        <v>291.86</v>
      </c>
      <c r="E357" s="1100">
        <v>434.08</v>
      </c>
      <c r="F357" s="1100">
        <v>284.35000000000002</v>
      </c>
      <c r="G357" s="1101"/>
      <c r="H357" s="935"/>
      <c r="I357" s="1101"/>
      <c r="J357" s="1101"/>
      <c r="K357" s="936">
        <v>12661.818458726775</v>
      </c>
      <c r="L357" s="936">
        <v>8313.75</v>
      </c>
      <c r="M357" s="936"/>
      <c r="N357" s="937">
        <v>27.26</v>
      </c>
      <c r="O357" s="938">
        <v>2808.38</v>
      </c>
      <c r="P357" s="938">
        <v>718.97654584221755</v>
      </c>
      <c r="Q357" s="938">
        <v>1795.3091684434969</v>
      </c>
      <c r="R357" s="939">
        <v>9.6</v>
      </c>
      <c r="S357" s="940">
        <v>760.34</v>
      </c>
      <c r="T357" s="940">
        <v>548.78</v>
      </c>
      <c r="U357" s="1756">
        <v>49168</v>
      </c>
      <c r="V357" s="1323"/>
      <c r="W357" s="1323"/>
      <c r="X357" s="538">
        <v>0.65659999999999996</v>
      </c>
      <c r="AJ357" s="1128" t="s">
        <v>1</v>
      </c>
      <c r="AK357" s="1128">
        <v>2006</v>
      </c>
      <c r="AL357" s="1128" t="s">
        <v>431</v>
      </c>
      <c r="AM357" s="1128">
        <v>9</v>
      </c>
      <c r="AN357" s="1129">
        <v>160018000</v>
      </c>
      <c r="AO357" s="1392">
        <v>1.7763356541508294E-2</v>
      </c>
      <c r="AP357" s="817"/>
      <c r="AQ357" s="817" t="s">
        <v>538</v>
      </c>
      <c r="AR357" s="817" t="s">
        <v>610</v>
      </c>
      <c r="AS357" s="874" t="s">
        <v>24</v>
      </c>
      <c r="AT357" s="874">
        <v>1</v>
      </c>
      <c r="AU357" s="1114">
        <v>215957965</v>
      </c>
      <c r="AV357" s="1113">
        <v>0.29299999999999998</v>
      </c>
      <c r="AW357" s="817">
        <v>2009</v>
      </c>
    </row>
    <row r="358" spans="1:49">
      <c r="A358" s="798">
        <f t="shared" si="10"/>
        <v>2000</v>
      </c>
      <c r="B358" s="798">
        <f t="shared" si="11"/>
        <v>1</v>
      </c>
      <c r="C358" s="1105">
        <v>36557</v>
      </c>
      <c r="D358" s="805">
        <v>323.73</v>
      </c>
      <c r="E358" s="1102">
        <v>478.41</v>
      </c>
      <c r="F358" s="1102">
        <v>299.94</v>
      </c>
      <c r="G358" s="1103"/>
      <c r="H358" s="805"/>
      <c r="I358" s="1103"/>
      <c r="J358" s="1103"/>
      <c r="K358" s="84">
        <v>15383.274928321121</v>
      </c>
      <c r="L358" s="84">
        <v>9657.6200000000008</v>
      </c>
      <c r="M358" s="84"/>
      <c r="N358" s="805">
        <v>27.59</v>
      </c>
      <c r="O358" s="941">
        <v>2868.48</v>
      </c>
      <c r="P358" s="941">
        <v>720.57980248486774</v>
      </c>
      <c r="Q358" s="941">
        <v>1743.994902835298</v>
      </c>
      <c r="R358" s="805">
        <v>9.4</v>
      </c>
      <c r="S358" s="805">
        <v>727.74</v>
      </c>
      <c r="T358" s="805">
        <v>514.77</v>
      </c>
      <c r="U358" s="805">
        <v>49865</v>
      </c>
      <c r="V358" s="805"/>
      <c r="W358" s="805"/>
      <c r="X358" s="5">
        <v>0.62780000000000002</v>
      </c>
      <c r="AJ358" s="1128" t="s">
        <v>1</v>
      </c>
      <c r="AK358" s="1128">
        <v>2006</v>
      </c>
      <c r="AL358" s="1128" t="s">
        <v>85</v>
      </c>
      <c r="AM358" s="1128">
        <v>10</v>
      </c>
      <c r="AN358" s="1129">
        <v>47630000</v>
      </c>
      <c r="AO358" s="1392">
        <v>5.2873343753330254E-3</v>
      </c>
      <c r="AP358" s="817"/>
      <c r="AQ358" s="817" t="s">
        <v>538</v>
      </c>
      <c r="AR358" s="817" t="s">
        <v>610</v>
      </c>
      <c r="AS358" s="874" t="s">
        <v>41</v>
      </c>
      <c r="AT358" s="874">
        <v>2</v>
      </c>
      <c r="AU358" s="1114">
        <v>116067615</v>
      </c>
      <c r="AV358" s="1113">
        <v>0.157</v>
      </c>
      <c r="AW358" s="817">
        <v>2009</v>
      </c>
    </row>
    <row r="359" spans="1:49">
      <c r="A359" s="798">
        <f t="shared" si="10"/>
        <v>2000</v>
      </c>
      <c r="B359" s="798">
        <f t="shared" si="11"/>
        <v>1</v>
      </c>
      <c r="C359" s="1105">
        <v>36586</v>
      </c>
      <c r="D359" s="934">
        <v>327.91</v>
      </c>
      <c r="E359" s="1100">
        <v>470.93</v>
      </c>
      <c r="F359" s="1100">
        <v>286.39</v>
      </c>
      <c r="G359" s="1101"/>
      <c r="H359" s="935"/>
      <c r="I359" s="1101"/>
      <c r="J359" s="1101"/>
      <c r="K359" s="936">
        <v>16870.652887139106</v>
      </c>
      <c r="L359" s="936">
        <v>10284.35</v>
      </c>
      <c r="M359" s="936"/>
      <c r="N359" s="937">
        <v>28.42</v>
      </c>
      <c r="O359" s="938">
        <v>2853.33</v>
      </c>
      <c r="P359" s="938">
        <v>723.91732283464569</v>
      </c>
      <c r="Q359" s="938">
        <v>1831.3156167979</v>
      </c>
      <c r="R359" s="939">
        <v>9.4</v>
      </c>
      <c r="S359" s="940">
        <v>818.28</v>
      </c>
      <c r="T359" s="940">
        <v>584.74</v>
      </c>
      <c r="U359" s="1756">
        <v>55355</v>
      </c>
      <c r="V359" s="1323"/>
      <c r="W359" s="1323"/>
      <c r="X359" s="538">
        <v>0.60960000000000003</v>
      </c>
      <c r="AJ359" s="1128" t="s">
        <v>1</v>
      </c>
      <c r="AK359" s="1128">
        <v>2006</v>
      </c>
      <c r="AL359" s="1128" t="s">
        <v>45</v>
      </c>
      <c r="AM359" s="1128"/>
      <c r="AN359" s="1129">
        <v>26062000</v>
      </c>
      <c r="AO359" s="1392">
        <v>2.8931032645376719E-3</v>
      </c>
      <c r="AP359" s="817"/>
      <c r="AQ359" s="817" t="s">
        <v>538</v>
      </c>
      <c r="AR359" s="817" t="s">
        <v>610</v>
      </c>
      <c r="AS359" s="874" t="s">
        <v>33</v>
      </c>
      <c r="AT359" s="874">
        <v>3</v>
      </c>
      <c r="AU359" s="1114">
        <v>57472757</v>
      </c>
      <c r="AV359" s="1113">
        <v>7.8E-2</v>
      </c>
      <c r="AW359" s="817">
        <v>2009</v>
      </c>
    </row>
    <row r="360" spans="1:49">
      <c r="A360" s="798">
        <f t="shared" si="10"/>
        <v>2000</v>
      </c>
      <c r="B360" s="798">
        <f t="shared" si="11"/>
        <v>2</v>
      </c>
      <c r="C360" s="1105">
        <v>36617</v>
      </c>
      <c r="D360" s="805">
        <v>351.3</v>
      </c>
      <c r="E360" s="1102">
        <v>470.05</v>
      </c>
      <c r="F360" s="1102">
        <v>279.95999999999998</v>
      </c>
      <c r="G360" s="1103"/>
      <c r="H360" s="805"/>
      <c r="I360" s="1103"/>
      <c r="J360" s="1103"/>
      <c r="K360" s="84">
        <v>16333.316549177576</v>
      </c>
      <c r="L360" s="84">
        <v>9731.39</v>
      </c>
      <c r="M360" s="84"/>
      <c r="N360" s="805">
        <v>25.46</v>
      </c>
      <c r="O360" s="941">
        <v>2817.64</v>
      </c>
      <c r="P360" s="941">
        <v>706.84793554884186</v>
      </c>
      <c r="Q360" s="941">
        <v>1892.6485397784493</v>
      </c>
      <c r="R360" s="805">
        <v>9</v>
      </c>
      <c r="S360" s="805">
        <v>795.06</v>
      </c>
      <c r="T360" s="805">
        <v>605.84</v>
      </c>
      <c r="U360" s="805">
        <v>62256</v>
      </c>
      <c r="V360" s="805"/>
      <c r="W360" s="805"/>
      <c r="X360" s="5">
        <v>0.5958</v>
      </c>
      <c r="AJ360" s="1128" t="s">
        <v>1</v>
      </c>
      <c r="AK360" s="1128">
        <v>2006</v>
      </c>
      <c r="AL360" s="1128" t="s">
        <v>452</v>
      </c>
      <c r="AM360" s="1128"/>
      <c r="AN360" s="1129">
        <v>9008320000</v>
      </c>
      <c r="AO360" s="1392">
        <v>1</v>
      </c>
      <c r="AP360" s="817"/>
      <c r="AQ360" s="817" t="s">
        <v>538</v>
      </c>
      <c r="AR360" s="817" t="s">
        <v>610</v>
      </c>
      <c r="AS360" s="874" t="s">
        <v>433</v>
      </c>
      <c r="AT360" s="874">
        <v>4</v>
      </c>
      <c r="AU360" s="1114">
        <v>50650036</v>
      </c>
      <c r="AV360" s="1113">
        <v>6.9000000000000006E-2</v>
      </c>
      <c r="AW360" s="817">
        <v>2009</v>
      </c>
    </row>
    <row r="361" spans="1:49">
      <c r="A361" s="798">
        <f t="shared" si="10"/>
        <v>2000</v>
      </c>
      <c r="B361" s="798">
        <f t="shared" si="11"/>
        <v>2</v>
      </c>
      <c r="C361" s="1105">
        <v>36647</v>
      </c>
      <c r="D361" s="934">
        <v>340.58</v>
      </c>
      <c r="E361" s="1100">
        <v>476.7</v>
      </c>
      <c r="F361" s="1100">
        <v>275.18</v>
      </c>
      <c r="G361" s="1101"/>
      <c r="H361" s="935"/>
      <c r="I361" s="1101"/>
      <c r="J361" s="1101"/>
      <c r="K361" s="936">
        <v>17533.373702422148</v>
      </c>
      <c r="L361" s="936">
        <v>10134.290000000001</v>
      </c>
      <c r="M361" s="936"/>
      <c r="N361" s="937">
        <v>28.78</v>
      </c>
      <c r="O361" s="938">
        <v>3089.31</v>
      </c>
      <c r="P361" s="938">
        <v>713.01038062283737</v>
      </c>
      <c r="Q361" s="938">
        <v>2001.5224913494812</v>
      </c>
      <c r="R361" s="939">
        <v>8.4499999999999993</v>
      </c>
      <c r="S361" s="940">
        <v>845.63</v>
      </c>
      <c r="T361" s="940">
        <v>653.29999999999995</v>
      </c>
      <c r="U361" s="1756">
        <v>63530</v>
      </c>
      <c r="V361" s="1323"/>
      <c r="W361" s="1323"/>
      <c r="X361" s="538">
        <v>0.57799999999999996</v>
      </c>
      <c r="AJ361" s="1130" t="s">
        <v>1</v>
      </c>
      <c r="AK361" s="1130">
        <v>2007</v>
      </c>
      <c r="AL361" s="1130" t="s">
        <v>27</v>
      </c>
      <c r="AM361" s="1130">
        <v>1</v>
      </c>
      <c r="AN361" s="1131">
        <v>4143081000</v>
      </c>
      <c r="AO361" s="1392">
        <v>0.36679472211925473</v>
      </c>
      <c r="AP361" s="817"/>
      <c r="AQ361" s="817" t="s">
        <v>538</v>
      </c>
      <c r="AR361" s="817" t="s">
        <v>610</v>
      </c>
      <c r="AS361" s="874" t="s">
        <v>72</v>
      </c>
      <c r="AT361" s="874">
        <v>5</v>
      </c>
      <c r="AU361" s="1114">
        <v>39822260</v>
      </c>
      <c r="AV361" s="1113">
        <v>5.3999999999999999E-2</v>
      </c>
      <c r="AW361" s="817">
        <v>2009</v>
      </c>
    </row>
    <row r="362" spans="1:49">
      <c r="A362" s="798">
        <f t="shared" si="10"/>
        <v>2000</v>
      </c>
      <c r="B362" s="798">
        <f t="shared" si="11"/>
        <v>2</v>
      </c>
      <c r="C362" s="1105">
        <v>36678</v>
      </c>
      <c r="D362" s="805">
        <v>331.22</v>
      </c>
      <c r="E362" s="1102">
        <v>481.74</v>
      </c>
      <c r="F362" s="1102">
        <v>285.73</v>
      </c>
      <c r="G362" s="1103"/>
      <c r="H362" s="805"/>
      <c r="I362" s="1103"/>
      <c r="J362" s="1103"/>
      <c r="K362" s="84">
        <v>14155.508830950379</v>
      </c>
      <c r="L362" s="84">
        <v>8415.4500000000007</v>
      </c>
      <c r="M362" s="84"/>
      <c r="N362" s="805">
        <v>30.66</v>
      </c>
      <c r="O362" s="941">
        <v>2949</v>
      </c>
      <c r="P362" s="941">
        <v>705.78637510513033</v>
      </c>
      <c r="Q362" s="941">
        <v>1880.4541631623213</v>
      </c>
      <c r="R362" s="805">
        <v>8.15</v>
      </c>
      <c r="S362" s="805">
        <v>804.49</v>
      </c>
      <c r="T362" s="805">
        <v>626.19000000000005</v>
      </c>
      <c r="U362" s="805">
        <v>58993</v>
      </c>
      <c r="V362" s="805"/>
      <c r="W362" s="805"/>
      <c r="X362" s="5">
        <v>0.59450000000000003</v>
      </c>
      <c r="AJ362" s="1130" t="s">
        <v>1</v>
      </c>
      <c r="AK362" s="1130">
        <v>2007</v>
      </c>
      <c r="AL362" s="1130" t="s">
        <v>72</v>
      </c>
      <c r="AM362" s="1130">
        <v>2</v>
      </c>
      <c r="AN362" s="1131">
        <v>2745002000</v>
      </c>
      <c r="AO362" s="1392">
        <v>0.24302016924284089</v>
      </c>
      <c r="AP362" s="817"/>
      <c r="AQ362" s="817" t="s">
        <v>538</v>
      </c>
      <c r="AR362" s="817" t="s">
        <v>610</v>
      </c>
      <c r="AS362" s="874" t="s">
        <v>31</v>
      </c>
      <c r="AT362" s="874">
        <v>6</v>
      </c>
      <c r="AU362" s="1114">
        <v>37139119</v>
      </c>
      <c r="AV362" s="1113">
        <v>0.05</v>
      </c>
      <c r="AW362" s="817">
        <v>2009</v>
      </c>
    </row>
    <row r="363" spans="1:49">
      <c r="A363" s="798">
        <f t="shared" si="10"/>
        <v>2000</v>
      </c>
      <c r="B363" s="798">
        <f t="shared" si="11"/>
        <v>3</v>
      </c>
      <c r="C363" s="1105">
        <v>36708</v>
      </c>
      <c r="D363" s="934">
        <v>337.88</v>
      </c>
      <c r="E363" s="1100">
        <v>480.72</v>
      </c>
      <c r="F363" s="1100">
        <v>278.73</v>
      </c>
      <c r="G363" s="1101"/>
      <c r="H363" s="935"/>
      <c r="I363" s="1101"/>
      <c r="J363" s="1101"/>
      <c r="K363" s="936">
        <v>13905.107252298261</v>
      </c>
      <c r="L363" s="936">
        <v>8167.86</v>
      </c>
      <c r="M363" s="936"/>
      <c r="N363" s="937">
        <v>30.91</v>
      </c>
      <c r="O363" s="938">
        <v>3063.26</v>
      </c>
      <c r="P363" s="938">
        <v>769.69696969696963</v>
      </c>
      <c r="Q363" s="938">
        <v>1934.3037112700033</v>
      </c>
      <c r="R363" s="939">
        <v>8.0500000000000007</v>
      </c>
      <c r="S363" s="940">
        <v>835.9</v>
      </c>
      <c r="T363" s="940">
        <v>646.95000000000005</v>
      </c>
      <c r="U363" s="1756">
        <v>50855</v>
      </c>
      <c r="V363" s="1323"/>
      <c r="W363" s="1323"/>
      <c r="X363" s="538">
        <v>0.58740000000000003</v>
      </c>
      <c r="AJ363" s="1130" t="s">
        <v>1</v>
      </c>
      <c r="AK363" s="1130">
        <v>2007</v>
      </c>
      <c r="AL363" s="1130" t="s">
        <v>432</v>
      </c>
      <c r="AM363" s="1130">
        <v>3</v>
      </c>
      <c r="AN363" s="1131">
        <v>1477179000</v>
      </c>
      <c r="AO363" s="1392">
        <v>0.13077742405359649</v>
      </c>
      <c r="AP363" s="817"/>
      <c r="AQ363" s="817" t="s">
        <v>538</v>
      </c>
      <c r="AR363" s="817" t="s">
        <v>610</v>
      </c>
      <c r="AS363" s="874" t="s">
        <v>37</v>
      </c>
      <c r="AT363" s="874">
        <v>7</v>
      </c>
      <c r="AU363" s="1114">
        <v>35348964</v>
      </c>
      <c r="AV363" s="1113">
        <v>4.8000000000000001E-2</v>
      </c>
      <c r="AW363" s="817">
        <v>2009</v>
      </c>
    </row>
    <row r="364" spans="1:49">
      <c r="A364" s="798">
        <f t="shared" si="10"/>
        <v>2000</v>
      </c>
      <c r="B364" s="798">
        <f t="shared" si="11"/>
        <v>3</v>
      </c>
      <c r="C364" s="1105">
        <v>36739</v>
      </c>
      <c r="D364" s="805">
        <v>340.76</v>
      </c>
      <c r="E364" s="1102">
        <v>473.36</v>
      </c>
      <c r="F364" s="1102">
        <v>274.74</v>
      </c>
      <c r="G364" s="1103"/>
      <c r="H364" s="805"/>
      <c r="I364" s="1103"/>
      <c r="J364" s="1103"/>
      <c r="K364" s="84">
        <v>13787.349397590362</v>
      </c>
      <c r="L364" s="84">
        <v>8010.45</v>
      </c>
      <c r="M364" s="84"/>
      <c r="N364" s="805">
        <v>32.119999999999997</v>
      </c>
      <c r="O364" s="941">
        <v>3194.25</v>
      </c>
      <c r="P364" s="941">
        <v>814.26850258175557</v>
      </c>
      <c r="Q364" s="941">
        <v>2012.4096385542171</v>
      </c>
      <c r="R364" s="805">
        <v>7.8</v>
      </c>
      <c r="S364" s="805">
        <v>826.7</v>
      </c>
      <c r="T364" s="805">
        <v>641.64</v>
      </c>
      <c r="U364" s="805">
        <v>55731</v>
      </c>
      <c r="V364" s="805"/>
      <c r="W364" s="805"/>
      <c r="X364" s="5">
        <v>0.58099999999999996</v>
      </c>
      <c r="AJ364" s="1130" t="s">
        <v>1</v>
      </c>
      <c r="AK364" s="1130">
        <v>2007</v>
      </c>
      <c r="AL364" s="1130" t="s">
        <v>40</v>
      </c>
      <c r="AM364" s="1130">
        <v>4</v>
      </c>
      <c r="AN364" s="1131">
        <v>1064866000</v>
      </c>
      <c r="AO364" s="1392">
        <v>9.4274581782070474E-2</v>
      </c>
      <c r="AP364" s="817"/>
      <c r="AQ364" s="817" t="s">
        <v>538</v>
      </c>
      <c r="AR364" s="817" t="s">
        <v>610</v>
      </c>
      <c r="AS364" s="874" t="s">
        <v>80</v>
      </c>
      <c r="AT364" s="874">
        <v>8</v>
      </c>
      <c r="AU364" s="1114">
        <v>31647484</v>
      </c>
      <c r="AV364" s="1113">
        <v>4.2999999999999997E-2</v>
      </c>
      <c r="AW364" s="817">
        <v>2009</v>
      </c>
    </row>
    <row r="365" spans="1:49">
      <c r="A365" s="798">
        <f t="shared" si="10"/>
        <v>2000</v>
      </c>
      <c r="B365" s="798">
        <f t="shared" si="11"/>
        <v>3</v>
      </c>
      <c r="C365" s="1105">
        <v>36770</v>
      </c>
      <c r="D365" s="934">
        <v>360.45</v>
      </c>
      <c r="E365" s="1100">
        <v>494.74</v>
      </c>
      <c r="F365" s="1100">
        <v>273.69</v>
      </c>
      <c r="G365" s="1101"/>
      <c r="H365" s="935"/>
      <c r="I365" s="1101"/>
      <c r="J365" s="1101"/>
      <c r="K365" s="936">
        <v>15630.566105986616</v>
      </c>
      <c r="L365" s="936">
        <v>8642.14</v>
      </c>
      <c r="M365" s="936"/>
      <c r="N365" s="937">
        <v>34.36</v>
      </c>
      <c r="O365" s="938">
        <v>3545.67</v>
      </c>
      <c r="P365" s="938">
        <v>880.90070537167674</v>
      </c>
      <c r="Q365" s="938">
        <v>2214.505335503708</v>
      </c>
      <c r="R365" s="939">
        <v>7.45</v>
      </c>
      <c r="S365" s="940">
        <v>987.5</v>
      </c>
      <c r="T365" s="940">
        <v>669.59</v>
      </c>
      <c r="U365" s="1756">
        <v>63817</v>
      </c>
      <c r="V365" s="1323"/>
      <c r="W365" s="1323"/>
      <c r="X365" s="538">
        <v>0.55289999999999995</v>
      </c>
      <c r="AJ365" s="1130" t="s">
        <v>1</v>
      </c>
      <c r="AK365" s="1130">
        <v>2007</v>
      </c>
      <c r="AL365" s="1130" t="s">
        <v>39</v>
      </c>
      <c r="AM365" s="1130">
        <v>5</v>
      </c>
      <c r="AN365" s="1131">
        <v>537729000</v>
      </c>
      <c r="AO365" s="1392">
        <v>4.7606155691975301E-2</v>
      </c>
      <c r="AP365" s="817"/>
      <c r="AQ365" s="817" t="s">
        <v>538</v>
      </c>
      <c r="AR365" s="817" t="s">
        <v>610</v>
      </c>
      <c r="AS365" s="874" t="s">
        <v>27</v>
      </c>
      <c r="AT365" s="874">
        <v>9</v>
      </c>
      <c r="AU365" s="1114">
        <v>30620002</v>
      </c>
      <c r="AV365" s="1113">
        <v>4.1000000000000002E-2</v>
      </c>
      <c r="AW365" s="817">
        <v>2009</v>
      </c>
    </row>
    <row r="366" spans="1:49">
      <c r="A366" s="798">
        <f t="shared" si="10"/>
        <v>2000</v>
      </c>
      <c r="B366" s="798">
        <f t="shared" si="11"/>
        <v>4</v>
      </c>
      <c r="C366" s="1105">
        <v>36800</v>
      </c>
      <c r="D366" s="805">
        <v>370.15</v>
      </c>
      <c r="E366" s="1102">
        <v>488.3</v>
      </c>
      <c r="F366" s="1102">
        <v>270.08</v>
      </c>
      <c r="G366" s="1103"/>
      <c r="H366" s="805"/>
      <c r="I366" s="1103"/>
      <c r="J366" s="1103"/>
      <c r="K366" s="84">
        <v>14539.174867524604</v>
      </c>
      <c r="L366" s="84">
        <v>7682.5</v>
      </c>
      <c r="M366" s="84"/>
      <c r="N366" s="805">
        <v>31.6</v>
      </c>
      <c r="O366" s="941">
        <v>3593.09</v>
      </c>
      <c r="P366" s="941">
        <v>920.02271006813021</v>
      </c>
      <c r="Q366" s="941">
        <v>2073.9212717638152</v>
      </c>
      <c r="R366" s="805">
        <v>7.25</v>
      </c>
      <c r="S366" s="805">
        <v>941.87</v>
      </c>
      <c r="T366" s="805">
        <v>714.07</v>
      </c>
      <c r="U366" s="805">
        <v>72492</v>
      </c>
      <c r="V366" s="805"/>
      <c r="W366" s="805"/>
      <c r="X366" s="5">
        <v>0.52839999999999998</v>
      </c>
      <c r="AJ366" s="1130" t="s">
        <v>1</v>
      </c>
      <c r="AK366" s="1130">
        <v>2007</v>
      </c>
      <c r="AL366" s="1130" t="s">
        <v>70</v>
      </c>
      <c r="AM366" s="1130">
        <v>6</v>
      </c>
      <c r="AN366" s="1131">
        <v>457223000</v>
      </c>
      <c r="AO366" s="1392">
        <v>4.0478808700947923E-2</v>
      </c>
      <c r="AP366" s="817"/>
      <c r="AQ366" s="817" t="s">
        <v>538</v>
      </c>
      <c r="AR366" s="817" t="s">
        <v>610</v>
      </c>
      <c r="AS366" s="874" t="s">
        <v>29</v>
      </c>
      <c r="AT366" s="874">
        <v>10</v>
      </c>
      <c r="AU366" s="1114">
        <v>26078352</v>
      </c>
      <c r="AV366" s="1113">
        <v>3.5000000000000003E-2</v>
      </c>
      <c r="AW366" s="817">
        <v>2009</v>
      </c>
    </row>
    <row r="367" spans="1:49">
      <c r="A367" s="798">
        <f t="shared" si="10"/>
        <v>2000</v>
      </c>
      <c r="B367" s="798">
        <f t="shared" si="11"/>
        <v>4</v>
      </c>
      <c r="C367" s="1105">
        <v>36831</v>
      </c>
      <c r="D367" s="934">
        <v>377.94</v>
      </c>
      <c r="E367" s="1100">
        <v>510.71</v>
      </c>
      <c r="F367" s="1100">
        <v>265.81</v>
      </c>
      <c r="G367" s="1101"/>
      <c r="H367" s="935"/>
      <c r="I367" s="1101"/>
      <c r="J367" s="1101"/>
      <c r="K367" s="936">
        <v>14058.365237366004</v>
      </c>
      <c r="L367" s="936">
        <v>7344.09</v>
      </c>
      <c r="M367" s="936"/>
      <c r="N367" s="937">
        <v>32.630000000000003</v>
      </c>
      <c r="O367" s="938">
        <v>3436.27</v>
      </c>
      <c r="P367" s="938">
        <v>895.82695252679946</v>
      </c>
      <c r="Q367" s="938">
        <v>2027.2779479326186</v>
      </c>
      <c r="R367" s="939">
        <v>7.1</v>
      </c>
      <c r="S367" s="940">
        <v>914.77</v>
      </c>
      <c r="T367" s="940">
        <v>675.86</v>
      </c>
      <c r="U367" s="1756">
        <v>61851</v>
      </c>
      <c r="V367" s="1323"/>
      <c r="W367" s="1323"/>
      <c r="X367" s="538">
        <v>0.52239999999999998</v>
      </c>
      <c r="AJ367" s="1130" t="s">
        <v>1</v>
      </c>
      <c r="AK367" s="1130">
        <v>2007</v>
      </c>
      <c r="AL367" s="1130" t="s">
        <v>643</v>
      </c>
      <c r="AM367" s="1130">
        <v>7</v>
      </c>
      <c r="AN367" s="1131">
        <v>380827000</v>
      </c>
      <c r="AO367" s="1392">
        <v>3.3715327709139507E-2</v>
      </c>
      <c r="AP367" s="817"/>
      <c r="AQ367" s="817" t="s">
        <v>538</v>
      </c>
      <c r="AR367" s="817" t="s">
        <v>610</v>
      </c>
      <c r="AS367" s="874" t="s">
        <v>45</v>
      </c>
      <c r="AT367" s="874"/>
      <c r="AU367" s="1114">
        <v>97194344</v>
      </c>
      <c r="AV367" s="1113">
        <v>0.13200000000000001</v>
      </c>
      <c r="AW367" s="817">
        <v>2009</v>
      </c>
    </row>
    <row r="368" spans="1:49">
      <c r="A368" s="798">
        <f t="shared" si="10"/>
        <v>2000</v>
      </c>
      <c r="B368" s="798">
        <f t="shared" si="11"/>
        <v>4</v>
      </c>
      <c r="C368" s="1105">
        <v>36861</v>
      </c>
      <c r="D368" s="805">
        <v>354.92</v>
      </c>
      <c r="E368" s="1102">
        <v>499.46</v>
      </c>
      <c r="F368" s="1102">
        <v>271.64</v>
      </c>
      <c r="G368" s="1103"/>
      <c r="H368" s="805"/>
      <c r="I368" s="1103"/>
      <c r="J368" s="1103"/>
      <c r="K368" s="84">
        <v>13355.255474452555</v>
      </c>
      <c r="L368" s="84">
        <v>7318.68</v>
      </c>
      <c r="M368" s="84"/>
      <c r="N368" s="805">
        <v>27.84</v>
      </c>
      <c r="O368" s="941">
        <v>3376.92</v>
      </c>
      <c r="P368" s="941">
        <v>843.68613138686123</v>
      </c>
      <c r="Q368" s="941">
        <v>1933.9233576642334</v>
      </c>
      <c r="R368" s="805">
        <v>7.1</v>
      </c>
      <c r="S368" s="805">
        <v>896.19</v>
      </c>
      <c r="T368" s="805">
        <v>676.38</v>
      </c>
      <c r="U368" s="805">
        <v>57403</v>
      </c>
      <c r="V368" s="805"/>
      <c r="W368" s="805"/>
      <c r="X368" s="5">
        <v>0.54800000000000004</v>
      </c>
      <c r="AJ368" s="1130" t="s">
        <v>1</v>
      </c>
      <c r="AK368" s="1130">
        <v>2007</v>
      </c>
      <c r="AL368" s="1130" t="s">
        <v>431</v>
      </c>
      <c r="AM368" s="1130">
        <v>8</v>
      </c>
      <c r="AN368" s="1131">
        <v>173979000</v>
      </c>
      <c r="AO368" s="1392">
        <v>1.5402686782996958E-2</v>
      </c>
      <c r="AP368" s="817"/>
      <c r="AQ368" s="817" t="s">
        <v>538</v>
      </c>
      <c r="AR368" s="817" t="s">
        <v>610</v>
      </c>
      <c r="AS368" s="874" t="s">
        <v>137</v>
      </c>
      <c r="AT368" s="874"/>
      <c r="AU368" s="1114">
        <v>737998898</v>
      </c>
      <c r="AV368" s="874">
        <v>1</v>
      </c>
      <c r="AW368" s="817">
        <v>2009</v>
      </c>
    </row>
    <row r="369" spans="1:49">
      <c r="A369" s="798">
        <f t="shared" si="10"/>
        <v>2001</v>
      </c>
      <c r="B369" s="798">
        <f t="shared" si="11"/>
        <v>1</v>
      </c>
      <c r="C369" s="1105">
        <v>36892</v>
      </c>
      <c r="D369" s="934">
        <v>341.74</v>
      </c>
      <c r="E369" s="1100">
        <v>479.64</v>
      </c>
      <c r="F369" s="1100">
        <v>264.49</v>
      </c>
      <c r="G369" s="1101"/>
      <c r="H369" s="935"/>
      <c r="I369" s="1101"/>
      <c r="J369" s="1101"/>
      <c r="K369" s="936">
        <v>12601.890529348218</v>
      </c>
      <c r="L369" s="936">
        <v>6999.09</v>
      </c>
      <c r="M369" s="936"/>
      <c r="N369" s="937">
        <v>25.82</v>
      </c>
      <c r="O369" s="938">
        <v>3218.4</v>
      </c>
      <c r="P369" s="938">
        <v>860.73100468131076</v>
      </c>
      <c r="Q369" s="938">
        <v>1860.5689593086063</v>
      </c>
      <c r="R369" s="939">
        <v>7.25</v>
      </c>
      <c r="S369" s="940">
        <v>902.59</v>
      </c>
      <c r="T369" s="940">
        <v>719.99</v>
      </c>
      <c r="U369" s="1756">
        <v>53612</v>
      </c>
      <c r="V369" s="1323"/>
      <c r="W369" s="1323"/>
      <c r="X369" s="538">
        <v>0.5554</v>
      </c>
      <c r="AJ369" s="1130" t="s">
        <v>1</v>
      </c>
      <c r="AK369" s="1130">
        <v>2007</v>
      </c>
      <c r="AL369" s="1130" t="s">
        <v>29</v>
      </c>
      <c r="AM369" s="1130">
        <v>9</v>
      </c>
      <c r="AN369" s="1131">
        <v>173557000</v>
      </c>
      <c r="AO369" s="1392">
        <v>1.5365326332468879E-2</v>
      </c>
      <c r="AP369" s="817"/>
      <c r="AQ369" s="817" t="s">
        <v>538</v>
      </c>
      <c r="AR369" s="817" t="s">
        <v>609</v>
      </c>
      <c r="AS369" s="874" t="s">
        <v>24</v>
      </c>
      <c r="AT369" s="874">
        <v>1</v>
      </c>
      <c r="AU369" s="1114">
        <v>140393135</v>
      </c>
      <c r="AV369" s="1113">
        <v>0.18</v>
      </c>
      <c r="AW369" s="817">
        <v>2008</v>
      </c>
    </row>
    <row r="370" spans="1:49">
      <c r="A370" s="798">
        <f t="shared" si="10"/>
        <v>2001</v>
      </c>
      <c r="B370" s="798">
        <f t="shared" si="11"/>
        <v>1</v>
      </c>
      <c r="C370" s="1105">
        <v>36923</v>
      </c>
      <c r="D370" s="805">
        <v>346.79</v>
      </c>
      <c r="E370" s="1102">
        <v>491.19</v>
      </c>
      <c r="F370" s="1102">
        <v>261.87</v>
      </c>
      <c r="G370" s="1103"/>
      <c r="H370" s="805"/>
      <c r="I370" s="1103"/>
      <c r="J370" s="1103"/>
      <c r="K370" s="84">
        <v>12231.590781337831</v>
      </c>
      <c r="L370" s="84">
        <v>6528</v>
      </c>
      <c r="M370" s="84"/>
      <c r="N370" s="805">
        <v>27.93</v>
      </c>
      <c r="O370" s="941">
        <v>3308.32</v>
      </c>
      <c r="P370" s="941">
        <v>940.22859284242099</v>
      </c>
      <c r="Q370" s="941">
        <v>1936.2188495409405</v>
      </c>
      <c r="R370" s="805">
        <v>7.9</v>
      </c>
      <c r="S370" s="805">
        <v>902.59</v>
      </c>
      <c r="T370" s="805">
        <v>690.69</v>
      </c>
      <c r="U370" s="805">
        <v>57805</v>
      </c>
      <c r="V370" s="805"/>
      <c r="W370" s="805"/>
      <c r="X370" s="5">
        <v>0.53369999999999995</v>
      </c>
      <c r="AJ370" s="1130" t="s">
        <v>1</v>
      </c>
      <c r="AK370" s="1130">
        <v>2007</v>
      </c>
      <c r="AL370" s="1130" t="s">
        <v>85</v>
      </c>
      <c r="AM370" s="1130">
        <v>10</v>
      </c>
      <c r="AN370" s="1131">
        <v>69154000</v>
      </c>
      <c r="AO370" s="1392">
        <v>6.1223331654473908E-3</v>
      </c>
      <c r="AP370" s="817"/>
      <c r="AQ370" s="817" t="s">
        <v>538</v>
      </c>
      <c r="AR370" s="817" t="s">
        <v>609</v>
      </c>
      <c r="AS370" s="874" t="s">
        <v>41</v>
      </c>
      <c r="AT370" s="874">
        <v>2</v>
      </c>
      <c r="AU370" s="1114">
        <v>112475605</v>
      </c>
      <c r="AV370" s="1113">
        <v>0.14399999999999999</v>
      </c>
      <c r="AW370" s="817">
        <v>2008</v>
      </c>
    </row>
    <row r="371" spans="1:49">
      <c r="A371" s="798">
        <f t="shared" si="10"/>
        <v>2001</v>
      </c>
      <c r="B371" s="798">
        <f t="shared" si="11"/>
        <v>1</v>
      </c>
      <c r="C371" s="1105">
        <v>36951</v>
      </c>
      <c r="D371" s="934">
        <v>374.74</v>
      </c>
      <c r="E371" s="1100">
        <v>524.17999999999995</v>
      </c>
      <c r="F371" s="1100">
        <v>263.02999999999997</v>
      </c>
      <c r="G371" s="1101"/>
      <c r="H371" s="935"/>
      <c r="I371" s="1101"/>
      <c r="J371" s="1101"/>
      <c r="K371" s="936">
        <v>12185.288862418105</v>
      </c>
      <c r="L371" s="936">
        <v>6137.73</v>
      </c>
      <c r="M371" s="936"/>
      <c r="N371" s="937">
        <v>26.84</v>
      </c>
      <c r="O371" s="938">
        <v>3452</v>
      </c>
      <c r="P371" s="938">
        <v>989.45801072066695</v>
      </c>
      <c r="Q371" s="938">
        <v>1994.6992257296008</v>
      </c>
      <c r="R371" s="939">
        <v>8.1999999999999993</v>
      </c>
      <c r="S371" s="940">
        <v>981.49</v>
      </c>
      <c r="T371" s="940">
        <v>802.86</v>
      </c>
      <c r="U371" s="1756">
        <v>62151</v>
      </c>
      <c r="V371" s="1323"/>
      <c r="W371" s="1323"/>
      <c r="X371" s="538">
        <v>0.50370000000000004</v>
      </c>
      <c r="AJ371" s="1130" t="s">
        <v>1</v>
      </c>
      <c r="AK371" s="1130">
        <v>2007</v>
      </c>
      <c r="AL371" s="1130" t="s">
        <v>45</v>
      </c>
      <c r="AM371" s="1130"/>
      <c r="AN371" s="1131">
        <v>72770000</v>
      </c>
      <c r="AO371" s="1392">
        <v>6.4424644192614547E-3</v>
      </c>
      <c r="AP371" s="817"/>
      <c r="AQ371" s="817" t="s">
        <v>538</v>
      </c>
      <c r="AR371" s="817" t="s">
        <v>609</v>
      </c>
      <c r="AS371" s="874" t="s">
        <v>72</v>
      </c>
      <c r="AT371" s="874">
        <v>3</v>
      </c>
      <c r="AU371" s="1114">
        <v>72241297</v>
      </c>
      <c r="AV371" s="1113">
        <v>9.2999999999999999E-2</v>
      </c>
      <c r="AW371" s="817">
        <v>2008</v>
      </c>
    </row>
    <row r="372" spans="1:49">
      <c r="A372" s="798">
        <f t="shared" si="10"/>
        <v>2001</v>
      </c>
      <c r="B372" s="798">
        <f t="shared" si="11"/>
        <v>2</v>
      </c>
      <c r="C372" s="1105">
        <v>36982</v>
      </c>
      <c r="D372" s="805">
        <v>373.93</v>
      </c>
      <c r="E372" s="1102">
        <v>522.22</v>
      </c>
      <c r="F372" s="1102">
        <v>260.60000000000002</v>
      </c>
      <c r="G372" s="1103"/>
      <c r="H372" s="805"/>
      <c r="I372" s="1103"/>
      <c r="J372" s="1103"/>
      <c r="K372" s="84">
        <v>12609.356957993232</v>
      </c>
      <c r="L372" s="84">
        <v>6333.68</v>
      </c>
      <c r="M372" s="84"/>
      <c r="N372" s="805">
        <v>27.88</v>
      </c>
      <c r="O372" s="941">
        <v>3313.08</v>
      </c>
      <c r="P372" s="941">
        <v>950.6271152697592</v>
      </c>
      <c r="Q372" s="941">
        <v>1930.0218992633886</v>
      </c>
      <c r="R372" s="805">
        <v>8.6</v>
      </c>
      <c r="S372" s="805">
        <v>934.77</v>
      </c>
      <c r="T372" s="805">
        <v>811.48</v>
      </c>
      <c r="U372" s="805">
        <v>53711</v>
      </c>
      <c r="V372" s="805"/>
      <c r="W372" s="805"/>
      <c r="X372" s="5">
        <v>0.50229999999999997</v>
      </c>
      <c r="AJ372" s="1130" t="s">
        <v>1</v>
      </c>
      <c r="AK372" s="1130">
        <v>2007</v>
      </c>
      <c r="AL372" s="1130" t="s">
        <v>452</v>
      </c>
      <c r="AM372" s="1130"/>
      <c r="AN372" s="1131">
        <v>11295367000</v>
      </c>
      <c r="AO372" s="1392">
        <v>1</v>
      </c>
      <c r="AP372" s="817"/>
      <c r="AQ372" s="817" t="s">
        <v>538</v>
      </c>
      <c r="AR372" s="817" t="s">
        <v>609</v>
      </c>
      <c r="AS372" s="874" t="s">
        <v>37</v>
      </c>
      <c r="AT372" s="874">
        <v>4</v>
      </c>
      <c r="AU372" s="1114">
        <v>71893378</v>
      </c>
      <c r="AV372" s="1113">
        <v>9.1999999999999998E-2</v>
      </c>
      <c r="AW372" s="817">
        <v>2008</v>
      </c>
    </row>
    <row r="373" spans="1:49">
      <c r="A373" s="798">
        <f t="shared" si="10"/>
        <v>2001</v>
      </c>
      <c r="B373" s="798">
        <f t="shared" si="11"/>
        <v>2</v>
      </c>
      <c r="C373" s="1105">
        <v>37012</v>
      </c>
      <c r="D373" s="934">
        <v>350.13</v>
      </c>
      <c r="E373" s="1100">
        <v>524.45000000000005</v>
      </c>
      <c r="F373" s="1100">
        <v>272.60000000000002</v>
      </c>
      <c r="G373" s="1101"/>
      <c r="H373" s="935"/>
      <c r="I373" s="1101"/>
      <c r="J373" s="1101"/>
      <c r="K373" s="936">
        <v>13586.076923076924</v>
      </c>
      <c r="L373" s="936">
        <v>7064.76</v>
      </c>
      <c r="M373" s="936"/>
      <c r="N373" s="937">
        <v>28.92</v>
      </c>
      <c r="O373" s="938">
        <v>3235.02</v>
      </c>
      <c r="P373" s="938">
        <v>897.48076923076917</v>
      </c>
      <c r="Q373" s="938">
        <v>1803.75</v>
      </c>
      <c r="R373" s="939">
        <v>8.9</v>
      </c>
      <c r="S373" s="940">
        <v>984</v>
      </c>
      <c r="T373" s="940">
        <v>772.46</v>
      </c>
      <c r="U373" s="1756">
        <v>52995</v>
      </c>
      <c r="V373" s="1323"/>
      <c r="W373" s="1323"/>
      <c r="X373" s="538">
        <v>0.52</v>
      </c>
      <c r="AJ373" s="1132" t="s">
        <v>1</v>
      </c>
      <c r="AK373" s="1132">
        <v>2008</v>
      </c>
      <c r="AL373" s="1132" t="s">
        <v>27</v>
      </c>
      <c r="AM373" s="1132">
        <v>1</v>
      </c>
      <c r="AN373" s="1133">
        <v>5008483000</v>
      </c>
      <c r="AO373" s="1392">
        <v>0.35101159453015762</v>
      </c>
      <c r="AP373" s="817"/>
      <c r="AQ373" s="817" t="s">
        <v>538</v>
      </c>
      <c r="AR373" s="817" t="s">
        <v>609</v>
      </c>
      <c r="AS373" s="874" t="s">
        <v>29</v>
      </c>
      <c r="AT373" s="874">
        <v>5</v>
      </c>
      <c r="AU373" s="1114">
        <v>58021004</v>
      </c>
      <c r="AV373" s="1113">
        <v>7.3999999999999996E-2</v>
      </c>
      <c r="AW373" s="817">
        <v>2008</v>
      </c>
    </row>
    <row r="374" spans="1:49">
      <c r="A374" s="798">
        <f t="shared" si="10"/>
        <v>2001</v>
      </c>
      <c r="B374" s="798">
        <f t="shared" si="11"/>
        <v>2</v>
      </c>
      <c r="C374" s="1105">
        <v>37043</v>
      </c>
      <c r="D374" s="805">
        <v>356.12</v>
      </c>
      <c r="E374" s="1102">
        <v>524.19000000000005</v>
      </c>
      <c r="F374" s="1102">
        <v>270.47000000000003</v>
      </c>
      <c r="G374" s="1103"/>
      <c r="H374" s="805"/>
      <c r="I374" s="1103"/>
      <c r="J374" s="1103"/>
      <c r="K374" s="84">
        <v>12827.722007722008</v>
      </c>
      <c r="L374" s="84">
        <v>6644.76</v>
      </c>
      <c r="M374" s="84"/>
      <c r="N374" s="805">
        <v>28.12</v>
      </c>
      <c r="O374" s="941">
        <v>3105.12</v>
      </c>
      <c r="P374" s="941">
        <v>857.41312741312731</v>
      </c>
      <c r="Q374" s="941">
        <v>1727.6640926640925</v>
      </c>
      <c r="R374" s="805">
        <v>8.9</v>
      </c>
      <c r="S374" s="805">
        <v>971.24</v>
      </c>
      <c r="T374" s="805">
        <v>795.63</v>
      </c>
      <c r="U374" s="805">
        <v>47135</v>
      </c>
      <c r="V374" s="805"/>
      <c r="W374" s="805"/>
      <c r="X374" s="5">
        <v>0.51800000000000002</v>
      </c>
      <c r="AJ374" s="1132" t="s">
        <v>1</v>
      </c>
      <c r="AK374" s="1132">
        <v>2008</v>
      </c>
      <c r="AL374" s="1132" t="s">
        <v>72</v>
      </c>
      <c r="AM374" s="1132">
        <v>2</v>
      </c>
      <c r="AN374" s="1133">
        <v>4826735000</v>
      </c>
      <c r="AO374" s="1392">
        <v>0.33827407395103876</v>
      </c>
      <c r="AP374" s="817"/>
      <c r="AQ374" s="817" t="s">
        <v>538</v>
      </c>
      <c r="AR374" s="817" t="s">
        <v>609</v>
      </c>
      <c r="AS374" s="874" t="s">
        <v>80</v>
      </c>
      <c r="AT374" s="874">
        <v>6</v>
      </c>
      <c r="AU374" s="1114">
        <v>53337255</v>
      </c>
      <c r="AV374" s="1113">
        <v>6.8000000000000005E-2</v>
      </c>
      <c r="AW374" s="817">
        <v>2008</v>
      </c>
    </row>
    <row r="375" spans="1:49">
      <c r="A375" s="798">
        <f t="shared" si="10"/>
        <v>2001</v>
      </c>
      <c r="B375" s="798">
        <f t="shared" si="11"/>
        <v>3</v>
      </c>
      <c r="C375" s="1105">
        <v>37073</v>
      </c>
      <c r="D375" s="934">
        <v>346.31</v>
      </c>
      <c r="E375" s="1100">
        <v>526.83000000000004</v>
      </c>
      <c r="F375" s="1100">
        <v>267.52999999999997</v>
      </c>
      <c r="G375" s="1101"/>
      <c r="H375" s="935"/>
      <c r="I375" s="1101"/>
      <c r="J375" s="1101"/>
      <c r="K375" s="936">
        <v>11679.144594859719</v>
      </c>
      <c r="L375" s="936">
        <v>5952.86</v>
      </c>
      <c r="M375" s="936"/>
      <c r="N375" s="937">
        <v>25.96</v>
      </c>
      <c r="O375" s="938">
        <v>2997.61</v>
      </c>
      <c r="P375" s="938">
        <v>903.19795958406905</v>
      </c>
      <c r="Q375" s="938">
        <v>1673.8081224249556</v>
      </c>
      <c r="R375" s="939">
        <v>8.9</v>
      </c>
      <c r="S375" s="940">
        <v>963.06</v>
      </c>
      <c r="T375" s="940">
        <v>774.39</v>
      </c>
      <c r="U375" s="1756">
        <v>41306</v>
      </c>
      <c r="V375" s="1323"/>
      <c r="W375" s="1323"/>
      <c r="X375" s="538">
        <v>0.50970000000000004</v>
      </c>
      <c r="AJ375" s="1132" t="s">
        <v>1</v>
      </c>
      <c r="AK375" s="1132">
        <v>2008</v>
      </c>
      <c r="AL375" s="1132" t="s">
        <v>40</v>
      </c>
      <c r="AM375" s="1132">
        <v>3</v>
      </c>
      <c r="AN375" s="1133">
        <v>1535923000</v>
      </c>
      <c r="AO375" s="1392">
        <v>0.10764272960605901</v>
      </c>
      <c r="AP375" s="817"/>
      <c r="AQ375" s="817" t="s">
        <v>538</v>
      </c>
      <c r="AR375" s="817" t="s">
        <v>609</v>
      </c>
      <c r="AS375" s="874" t="s">
        <v>33</v>
      </c>
      <c r="AT375" s="874">
        <v>7</v>
      </c>
      <c r="AU375" s="1114">
        <v>36995195</v>
      </c>
      <c r="AV375" s="1113">
        <v>4.7E-2</v>
      </c>
      <c r="AW375" s="817">
        <v>2008</v>
      </c>
    </row>
    <row r="376" spans="1:49">
      <c r="A376" s="798">
        <f t="shared" si="10"/>
        <v>2001</v>
      </c>
      <c r="B376" s="798">
        <f t="shared" si="11"/>
        <v>3</v>
      </c>
      <c r="C376" s="1105">
        <v>37104</v>
      </c>
      <c r="D376" s="805">
        <v>340.27</v>
      </c>
      <c r="E376" s="1102">
        <v>521.45000000000005</v>
      </c>
      <c r="F376" s="1102">
        <v>272.49</v>
      </c>
      <c r="G376" s="1103"/>
      <c r="H376" s="805"/>
      <c r="I376" s="1103"/>
      <c r="J376" s="1103"/>
      <c r="K376" s="84">
        <v>10532.98379408961</v>
      </c>
      <c r="L376" s="84">
        <v>5524.55</v>
      </c>
      <c r="M376" s="84"/>
      <c r="N376" s="805">
        <v>25.4</v>
      </c>
      <c r="O376" s="941">
        <v>2792.05</v>
      </c>
      <c r="P376" s="941">
        <v>920.78169685414684</v>
      </c>
      <c r="Q376" s="941">
        <v>1578.7797902764539</v>
      </c>
      <c r="R376" s="805">
        <v>9.1</v>
      </c>
      <c r="S376" s="805">
        <v>992.24</v>
      </c>
      <c r="T376" s="805">
        <v>828.02</v>
      </c>
      <c r="U376" s="805">
        <v>41948</v>
      </c>
      <c r="V376" s="805"/>
      <c r="W376" s="805"/>
      <c r="X376" s="5">
        <v>0.52449999999999997</v>
      </c>
      <c r="AJ376" s="1132" t="s">
        <v>1</v>
      </c>
      <c r="AK376" s="1132">
        <v>2008</v>
      </c>
      <c r="AL376" s="1132" t="s">
        <v>39</v>
      </c>
      <c r="AM376" s="1132">
        <v>4</v>
      </c>
      <c r="AN376" s="1133">
        <v>1131318000</v>
      </c>
      <c r="AO376" s="1392">
        <v>7.9286629324821278E-2</v>
      </c>
      <c r="AP376" s="817"/>
      <c r="AQ376" s="817" t="s">
        <v>538</v>
      </c>
      <c r="AR376" s="817" t="s">
        <v>609</v>
      </c>
      <c r="AS376" s="874" t="s">
        <v>68</v>
      </c>
      <c r="AT376" s="874">
        <v>8</v>
      </c>
      <c r="AU376" s="1114">
        <v>35298620</v>
      </c>
      <c r="AV376" s="1113">
        <v>4.4999999999999998E-2</v>
      </c>
      <c r="AW376" s="817">
        <v>2008</v>
      </c>
    </row>
    <row r="377" spans="1:49">
      <c r="A377" s="798">
        <f t="shared" si="10"/>
        <v>2001</v>
      </c>
      <c r="B377" s="798">
        <f t="shared" si="11"/>
        <v>3</v>
      </c>
      <c r="C377" s="1105">
        <v>37135</v>
      </c>
      <c r="D377" s="934">
        <v>341.07</v>
      </c>
      <c r="E377" s="1100">
        <v>560.6</v>
      </c>
      <c r="F377" s="1100">
        <v>283.42</v>
      </c>
      <c r="G377" s="1101"/>
      <c r="H377" s="935"/>
      <c r="I377" s="1101"/>
      <c r="J377" s="1101"/>
      <c r="K377" s="936">
        <v>9941.205533596838</v>
      </c>
      <c r="L377" s="936">
        <v>5030.25</v>
      </c>
      <c r="M377" s="936"/>
      <c r="N377" s="937">
        <v>25.9</v>
      </c>
      <c r="O377" s="938">
        <v>2818.83</v>
      </c>
      <c r="P377" s="938">
        <v>918.57707509881425</v>
      </c>
      <c r="Q377" s="938">
        <v>1578.1620553359683</v>
      </c>
      <c r="R377" s="939">
        <v>9.3000000000000007</v>
      </c>
      <c r="S377" s="940">
        <v>982.95</v>
      </c>
      <c r="T377" s="940">
        <v>850.47</v>
      </c>
      <c r="U377" s="1756">
        <v>42262</v>
      </c>
      <c r="V377" s="1323"/>
      <c r="W377" s="1323"/>
      <c r="X377" s="538">
        <v>0.50600000000000001</v>
      </c>
      <c r="AJ377" s="1132" t="s">
        <v>1</v>
      </c>
      <c r="AK377" s="1132">
        <v>2008</v>
      </c>
      <c r="AL377" s="1132" t="s">
        <v>70</v>
      </c>
      <c r="AM377" s="1132">
        <v>5</v>
      </c>
      <c r="AN377" s="1133">
        <v>719732000</v>
      </c>
      <c r="AO377" s="1392">
        <v>5.0441276720791385E-2</v>
      </c>
      <c r="AP377" s="817"/>
      <c r="AQ377" s="817" t="s">
        <v>538</v>
      </c>
      <c r="AR377" s="817" t="s">
        <v>609</v>
      </c>
      <c r="AS377" s="874" t="s">
        <v>433</v>
      </c>
      <c r="AT377" s="874">
        <v>9</v>
      </c>
      <c r="AU377" s="1114">
        <v>34438406</v>
      </c>
      <c r="AV377" s="1113">
        <v>4.3999999999999997E-2</v>
      </c>
      <c r="AW377" s="817">
        <v>2008</v>
      </c>
    </row>
    <row r="378" spans="1:49">
      <c r="A378" s="798">
        <f t="shared" si="10"/>
        <v>2001</v>
      </c>
      <c r="B378" s="798">
        <f t="shared" si="11"/>
        <v>4</v>
      </c>
      <c r="C378" s="1105">
        <v>37165</v>
      </c>
      <c r="D378" s="805">
        <v>327.33999999999997</v>
      </c>
      <c r="E378" s="1102">
        <v>562.38</v>
      </c>
      <c r="F378" s="1102">
        <v>279.67</v>
      </c>
      <c r="G378" s="1103"/>
      <c r="H378" s="805"/>
      <c r="I378" s="1103"/>
      <c r="J378" s="1103"/>
      <c r="K378" s="84">
        <v>9570.8225966303271</v>
      </c>
      <c r="L378" s="84">
        <v>4828.4799999999996</v>
      </c>
      <c r="M378" s="84"/>
      <c r="N378" s="805">
        <v>21.55</v>
      </c>
      <c r="O378" s="941">
        <v>2729.99</v>
      </c>
      <c r="P378" s="941">
        <v>927.8691774033698</v>
      </c>
      <c r="Q378" s="941">
        <v>1509.4152626362736</v>
      </c>
      <c r="R378" s="805">
        <v>9.4499999999999993</v>
      </c>
      <c r="S378" s="805">
        <v>1025.75</v>
      </c>
      <c r="T378" s="805">
        <v>905.24</v>
      </c>
      <c r="U378" s="805">
        <v>35177</v>
      </c>
      <c r="V378" s="805"/>
      <c r="W378" s="805"/>
      <c r="X378" s="5">
        <v>0.50449999999999995</v>
      </c>
      <c r="AJ378" s="1132" t="s">
        <v>1</v>
      </c>
      <c r="AK378" s="1132">
        <v>2008</v>
      </c>
      <c r="AL378" s="1132" t="s">
        <v>643</v>
      </c>
      <c r="AM378" s="1132">
        <v>6</v>
      </c>
      <c r="AN378" s="1133">
        <v>413689000</v>
      </c>
      <c r="AO378" s="1392">
        <v>2.8992738026581377E-2</v>
      </c>
      <c r="AP378" s="817"/>
      <c r="AQ378" s="817" t="s">
        <v>538</v>
      </c>
      <c r="AR378" s="817" t="s">
        <v>609</v>
      </c>
      <c r="AS378" s="874" t="s">
        <v>63</v>
      </c>
      <c r="AT378" s="874">
        <v>10</v>
      </c>
      <c r="AU378" s="1114">
        <v>25806488</v>
      </c>
      <c r="AV378" s="1113">
        <v>3.3000000000000002E-2</v>
      </c>
      <c r="AW378" s="817">
        <v>2008</v>
      </c>
    </row>
    <row r="379" spans="1:49">
      <c r="A379" s="798">
        <f t="shared" si="10"/>
        <v>2001</v>
      </c>
      <c r="B379" s="798">
        <f t="shared" si="11"/>
        <v>4</v>
      </c>
      <c r="C379" s="1105">
        <v>37196</v>
      </c>
      <c r="D379" s="934">
        <v>309.49</v>
      </c>
      <c r="E379" s="1100">
        <v>536.12</v>
      </c>
      <c r="F379" s="1100">
        <v>276.19</v>
      </c>
      <c r="G379" s="1101"/>
      <c r="H379" s="935"/>
      <c r="I379" s="1101"/>
      <c r="J379" s="1101"/>
      <c r="K379" s="936">
        <v>9823.7386429537983</v>
      </c>
      <c r="L379" s="936">
        <v>5081.82</v>
      </c>
      <c r="M379" s="936"/>
      <c r="N379" s="937">
        <v>19.920000000000002</v>
      </c>
      <c r="O379" s="938">
        <v>2759.97</v>
      </c>
      <c r="P379" s="938">
        <v>940.42141890585742</v>
      </c>
      <c r="Q379" s="938">
        <v>1494.1233326889619</v>
      </c>
      <c r="R379" s="939">
        <v>9.5</v>
      </c>
      <c r="S379" s="940">
        <v>988.6</v>
      </c>
      <c r="T379" s="940">
        <v>822.51</v>
      </c>
      <c r="U379" s="1756">
        <v>30898</v>
      </c>
      <c r="V379" s="1323"/>
      <c r="W379" s="1323"/>
      <c r="X379" s="538">
        <v>0.51729999999999998</v>
      </c>
      <c r="AJ379" s="1132" t="s">
        <v>1</v>
      </c>
      <c r="AK379" s="1132">
        <v>2008</v>
      </c>
      <c r="AL379" s="1132" t="s">
        <v>432</v>
      </c>
      <c r="AM379" s="1132">
        <v>7</v>
      </c>
      <c r="AN379" s="1133">
        <v>207399000</v>
      </c>
      <c r="AO379" s="1392">
        <v>1.4535230267120836E-2</v>
      </c>
      <c r="AP379" s="817"/>
      <c r="AQ379" s="817" t="s">
        <v>538</v>
      </c>
      <c r="AR379" s="817" t="s">
        <v>609</v>
      </c>
      <c r="AS379" s="874" t="s">
        <v>45</v>
      </c>
      <c r="AT379" s="874"/>
      <c r="AU379" s="1114">
        <v>139649770</v>
      </c>
      <c r="AV379" s="1113">
        <v>0.17899999999999999</v>
      </c>
      <c r="AW379" s="817">
        <v>2008</v>
      </c>
    </row>
    <row r="380" spans="1:49">
      <c r="A380" s="798">
        <f t="shared" si="10"/>
        <v>2001</v>
      </c>
      <c r="B380" s="798">
        <f t="shared" si="11"/>
        <v>4</v>
      </c>
      <c r="C380" s="1105">
        <v>37226</v>
      </c>
      <c r="D380" s="805">
        <v>313.68</v>
      </c>
      <c r="E380" s="1102">
        <v>537.72</v>
      </c>
      <c r="F380" s="1102">
        <v>275.85000000000002</v>
      </c>
      <c r="G380" s="1103"/>
      <c r="H380" s="805"/>
      <c r="I380" s="1103"/>
      <c r="J380" s="1103"/>
      <c r="K380" s="84">
        <v>10250.904845300642</v>
      </c>
      <c r="L380" s="84">
        <v>5267.94</v>
      </c>
      <c r="M380" s="84"/>
      <c r="N380" s="805">
        <v>19.59</v>
      </c>
      <c r="O380" s="941">
        <v>2863.86</v>
      </c>
      <c r="P380" s="941">
        <v>940.37750535123564</v>
      </c>
      <c r="Q380" s="941">
        <v>1468.5347343841213</v>
      </c>
      <c r="R380" s="805">
        <v>9.6</v>
      </c>
      <c r="S380" s="805">
        <v>964.05</v>
      </c>
      <c r="T380" s="805">
        <v>859.48</v>
      </c>
      <c r="U380" s="805">
        <v>31585</v>
      </c>
      <c r="V380" s="805"/>
      <c r="W380" s="805"/>
      <c r="X380" s="5">
        <v>0.51390000000000002</v>
      </c>
      <c r="AJ380" s="1132" t="s">
        <v>1</v>
      </c>
      <c r="AK380" s="1132">
        <v>2008</v>
      </c>
      <c r="AL380" s="1132" t="s">
        <v>431</v>
      </c>
      <c r="AM380" s="1132">
        <v>8</v>
      </c>
      <c r="AN380" s="1133">
        <v>205301000</v>
      </c>
      <c r="AO380" s="1392">
        <v>1.438819526164627E-2</v>
      </c>
      <c r="AP380" s="817"/>
      <c r="AQ380" s="817" t="s">
        <v>538</v>
      </c>
      <c r="AR380" s="817" t="s">
        <v>609</v>
      </c>
      <c r="AS380" s="874" t="s">
        <v>137</v>
      </c>
      <c r="AT380" s="874"/>
      <c r="AU380" s="1114">
        <v>780550154</v>
      </c>
      <c r="AV380" s="874">
        <v>1</v>
      </c>
      <c r="AW380" s="817">
        <v>2008</v>
      </c>
    </row>
    <row r="381" spans="1:49">
      <c r="A381" s="798">
        <f t="shared" si="10"/>
        <v>2002</v>
      </c>
      <c r="B381" s="798">
        <f t="shared" si="11"/>
        <v>1</v>
      </c>
      <c r="C381" s="1105">
        <v>37257</v>
      </c>
      <c r="D381" s="934">
        <v>307.02</v>
      </c>
      <c r="E381" s="1100">
        <v>546.54</v>
      </c>
      <c r="F381" s="1100">
        <v>281.52999999999997</v>
      </c>
      <c r="G381" s="1101"/>
      <c r="H381" s="935"/>
      <c r="I381" s="1101"/>
      <c r="J381" s="1101"/>
      <c r="K381" s="936">
        <v>11708.170377541144</v>
      </c>
      <c r="L381" s="936">
        <v>6047.27</v>
      </c>
      <c r="M381" s="936"/>
      <c r="N381" s="937">
        <v>20.2</v>
      </c>
      <c r="O381" s="938">
        <v>2911.81</v>
      </c>
      <c r="P381" s="938">
        <v>993.35914811229452</v>
      </c>
      <c r="Q381" s="938">
        <v>1535.7792836398839</v>
      </c>
      <c r="R381" s="939">
        <v>9.8000000000000007</v>
      </c>
      <c r="S381" s="940">
        <v>951.17</v>
      </c>
      <c r="T381" s="940">
        <v>883.35</v>
      </c>
      <c r="U381" s="1756">
        <v>32013</v>
      </c>
      <c r="V381" s="1323"/>
      <c r="W381" s="1323"/>
      <c r="X381" s="538">
        <v>0.51649999999999996</v>
      </c>
      <c r="AJ381" s="1132" t="s">
        <v>1</v>
      </c>
      <c r="AK381" s="1132">
        <v>2008</v>
      </c>
      <c r="AL381" s="1132" t="s">
        <v>430</v>
      </c>
      <c r="AM381" s="1132">
        <v>9</v>
      </c>
      <c r="AN381" s="1133">
        <v>65019000</v>
      </c>
      <c r="AO381" s="1392">
        <v>4.5567535848192592E-3</v>
      </c>
      <c r="AP381" s="817"/>
      <c r="AQ381" s="817" t="s">
        <v>538</v>
      </c>
      <c r="AR381" s="817" t="s">
        <v>608</v>
      </c>
      <c r="AS381" s="874" t="s">
        <v>41</v>
      </c>
      <c r="AT381" s="874">
        <v>1</v>
      </c>
      <c r="AU381" s="1114">
        <v>140054952.82999998</v>
      </c>
      <c r="AV381" s="1113">
        <v>0.45121652867565121</v>
      </c>
      <c r="AW381" s="817">
        <v>2007</v>
      </c>
    </row>
    <row r="382" spans="1:49">
      <c r="A382" s="798">
        <f t="shared" si="10"/>
        <v>2002</v>
      </c>
      <c r="B382" s="798">
        <f t="shared" si="11"/>
        <v>1</v>
      </c>
      <c r="C382" s="1105">
        <v>37288</v>
      </c>
      <c r="D382" s="805">
        <v>315.12</v>
      </c>
      <c r="E382" s="1102">
        <v>577.78</v>
      </c>
      <c r="F382" s="1102">
        <v>295.60000000000002</v>
      </c>
      <c r="G382" s="1103"/>
      <c r="H382" s="805"/>
      <c r="I382" s="1103"/>
      <c r="J382" s="1103"/>
      <c r="K382" s="84">
        <v>11763.845553822151</v>
      </c>
      <c r="L382" s="84">
        <v>6032.5</v>
      </c>
      <c r="M382" s="84"/>
      <c r="N382" s="805">
        <v>20.29</v>
      </c>
      <c r="O382" s="941">
        <v>3045.83</v>
      </c>
      <c r="P382" s="941">
        <v>935.93993759750379</v>
      </c>
      <c r="Q382" s="941">
        <v>1503.9976599063962</v>
      </c>
      <c r="R382" s="805">
        <v>9.9</v>
      </c>
      <c r="S382" s="805">
        <v>992.35</v>
      </c>
      <c r="T382" s="805">
        <v>866.99</v>
      </c>
      <c r="U382" s="805">
        <v>30819</v>
      </c>
      <c r="V382" s="805"/>
      <c r="W382" s="805"/>
      <c r="X382" s="5">
        <v>0.51280000000000003</v>
      </c>
      <c r="AJ382" s="1132" t="s">
        <v>1</v>
      </c>
      <c r="AK382" s="1132">
        <v>2008</v>
      </c>
      <c r="AL382" s="1132" t="s">
        <v>644</v>
      </c>
      <c r="AM382" s="1132">
        <v>10</v>
      </c>
      <c r="AN382" s="1133">
        <v>36565000</v>
      </c>
      <c r="AO382" s="1392">
        <v>2.5626000834973813E-3</v>
      </c>
      <c r="AP382" s="817"/>
      <c r="AQ382" s="817" t="s">
        <v>538</v>
      </c>
      <c r="AR382" s="817" t="s">
        <v>608</v>
      </c>
      <c r="AS382" s="874" t="s">
        <v>24</v>
      </c>
      <c r="AT382" s="874">
        <v>2</v>
      </c>
      <c r="AU382" s="1114">
        <v>115981906.39999998</v>
      </c>
      <c r="AV382" s="1113">
        <v>0.37366013937768067</v>
      </c>
      <c r="AW382" s="817">
        <v>2007</v>
      </c>
    </row>
    <row r="383" spans="1:49">
      <c r="A383" s="798">
        <f t="shared" si="10"/>
        <v>2002</v>
      </c>
      <c r="B383" s="798">
        <f t="shared" si="11"/>
        <v>1</v>
      </c>
      <c r="C383" s="1105">
        <v>37316</v>
      </c>
      <c r="D383" s="934">
        <v>302.73</v>
      </c>
      <c r="E383" s="1100">
        <v>561.91999999999996</v>
      </c>
      <c r="F383" s="1100">
        <v>294.06</v>
      </c>
      <c r="G383" s="1101"/>
      <c r="H383" s="935"/>
      <c r="I383" s="1101"/>
      <c r="J383" s="1101"/>
      <c r="K383" s="936">
        <v>12454.303122619955</v>
      </c>
      <c r="L383" s="936">
        <v>6541</v>
      </c>
      <c r="M383" s="936"/>
      <c r="N383" s="937">
        <v>23.6</v>
      </c>
      <c r="O383" s="938">
        <v>3055.75</v>
      </c>
      <c r="P383" s="938">
        <v>914.22315308453915</v>
      </c>
      <c r="Q383" s="938">
        <v>1559.9771515613099</v>
      </c>
      <c r="R383" s="939">
        <v>9.9</v>
      </c>
      <c r="S383" s="940">
        <v>900.72</v>
      </c>
      <c r="T383" s="940">
        <v>845.35</v>
      </c>
      <c r="U383" s="1756">
        <v>28922</v>
      </c>
      <c r="V383" s="1323"/>
      <c r="W383" s="1323"/>
      <c r="X383" s="538">
        <v>0.5252</v>
      </c>
      <c r="AJ383" s="1132" t="s">
        <v>1</v>
      </c>
      <c r="AK383" s="1132">
        <v>2008</v>
      </c>
      <c r="AL383" s="1132" t="s">
        <v>45</v>
      </c>
      <c r="AM383" s="1132"/>
      <c r="AN383" s="1133">
        <v>118547000</v>
      </c>
      <c r="AO383" s="1392">
        <v>8.308178643466814E-3</v>
      </c>
      <c r="AP383" s="817"/>
      <c r="AQ383" s="817" t="s">
        <v>538</v>
      </c>
      <c r="AR383" s="817" t="s">
        <v>608</v>
      </c>
      <c r="AS383" s="874" t="s">
        <v>29</v>
      </c>
      <c r="AT383" s="874">
        <v>3</v>
      </c>
      <c r="AU383" s="1114">
        <v>73841134.730000004</v>
      </c>
      <c r="AV383" s="1113">
        <v>0.23789476782576754</v>
      </c>
      <c r="AW383" s="817">
        <v>2007</v>
      </c>
    </row>
    <row r="384" spans="1:49">
      <c r="A384" s="798">
        <f t="shared" si="10"/>
        <v>2002</v>
      </c>
      <c r="B384" s="798">
        <f t="shared" si="11"/>
        <v>2</v>
      </c>
      <c r="C384" s="1105">
        <v>37347</v>
      </c>
      <c r="D384" s="805">
        <v>299.86</v>
      </c>
      <c r="E384" s="1102">
        <v>566.61</v>
      </c>
      <c r="F384" s="1102">
        <v>302.68</v>
      </c>
      <c r="G384" s="1103"/>
      <c r="H384" s="805"/>
      <c r="I384" s="1103"/>
      <c r="J384" s="1103"/>
      <c r="K384" s="84">
        <v>12994.024276377218</v>
      </c>
      <c r="L384" s="84">
        <v>6958.3</v>
      </c>
      <c r="M384" s="84"/>
      <c r="N384" s="805">
        <v>26.09</v>
      </c>
      <c r="O384" s="941">
        <v>2969</v>
      </c>
      <c r="P384" s="941">
        <v>882.91316526610649</v>
      </c>
      <c r="Q384" s="941">
        <v>1509.0569561157797</v>
      </c>
      <c r="R384" s="805">
        <v>9.9</v>
      </c>
      <c r="S384" s="805">
        <v>949.19</v>
      </c>
      <c r="T384" s="805">
        <v>864.18</v>
      </c>
      <c r="U384" s="805">
        <v>29462</v>
      </c>
      <c r="V384" s="805"/>
      <c r="W384" s="805"/>
      <c r="X384" s="5">
        <v>0.53549999999999998</v>
      </c>
      <c r="AJ384" s="1132" t="s">
        <v>1</v>
      </c>
      <c r="AK384" s="1132">
        <v>2008</v>
      </c>
      <c r="AL384" s="1132" t="s">
        <v>452</v>
      </c>
      <c r="AM384" s="1132"/>
      <c r="AN384" s="1133">
        <v>14268711000</v>
      </c>
      <c r="AO384" s="1392">
        <v>1</v>
      </c>
      <c r="AP384" s="817"/>
      <c r="AQ384" s="817" t="s">
        <v>538</v>
      </c>
      <c r="AR384" s="817" t="s">
        <v>608</v>
      </c>
      <c r="AS384" s="874" t="s">
        <v>72</v>
      </c>
      <c r="AT384" s="874">
        <v>4</v>
      </c>
      <c r="AU384" s="1114">
        <v>71899286.060000002</v>
      </c>
      <c r="AV384" s="1113">
        <v>0.23163869334652823</v>
      </c>
      <c r="AW384" s="817">
        <v>2007</v>
      </c>
    </row>
    <row r="385" spans="1:49">
      <c r="A385" s="798">
        <f t="shared" si="10"/>
        <v>2002</v>
      </c>
      <c r="B385" s="798">
        <f t="shared" si="11"/>
        <v>2</v>
      </c>
      <c r="C385" s="1105">
        <v>37377</v>
      </c>
      <c r="D385" s="934">
        <v>291.49</v>
      </c>
      <c r="E385" s="1100">
        <v>573</v>
      </c>
      <c r="F385" s="1100">
        <v>314.49</v>
      </c>
      <c r="G385" s="1101"/>
      <c r="H385" s="935"/>
      <c r="I385" s="1101"/>
      <c r="J385" s="1101"/>
      <c r="K385" s="936">
        <v>12664.666302964175</v>
      </c>
      <c r="L385" s="936">
        <v>6964.3</v>
      </c>
      <c r="M385" s="936"/>
      <c r="N385" s="937">
        <v>25.98</v>
      </c>
      <c r="O385" s="938">
        <v>2901.8</v>
      </c>
      <c r="P385" s="938">
        <v>821.78577923258763</v>
      </c>
      <c r="Q385" s="938">
        <v>1399.3453355155482</v>
      </c>
      <c r="R385" s="939">
        <v>9.9</v>
      </c>
      <c r="S385" s="940">
        <v>912.91</v>
      </c>
      <c r="T385" s="940">
        <v>844.35</v>
      </c>
      <c r="U385" s="1756">
        <v>34017</v>
      </c>
      <c r="V385" s="1323"/>
      <c r="W385" s="1323"/>
      <c r="X385" s="538">
        <v>0.54990000000000006</v>
      </c>
      <c r="AJ385" s="1134" t="s">
        <v>1</v>
      </c>
      <c r="AK385" s="1134">
        <v>2009</v>
      </c>
      <c r="AL385" s="1134" t="s">
        <v>27</v>
      </c>
      <c r="AM385" s="1134">
        <v>1</v>
      </c>
      <c r="AN385" s="1135">
        <v>6715194000</v>
      </c>
      <c r="AO385" s="1392">
        <v>0.44851326655899543</v>
      </c>
      <c r="AP385" s="817"/>
      <c r="AQ385" s="817" t="s">
        <v>538</v>
      </c>
      <c r="AR385" s="817" t="s">
        <v>608</v>
      </c>
      <c r="AS385" s="874" t="s">
        <v>455</v>
      </c>
      <c r="AT385" s="874">
        <v>5</v>
      </c>
      <c r="AU385" s="1114">
        <v>70542693.929999992</v>
      </c>
      <c r="AV385" s="1113">
        <v>0.22726814607662693</v>
      </c>
      <c r="AW385" s="817">
        <v>2007</v>
      </c>
    </row>
    <row r="386" spans="1:49">
      <c r="A386" s="798">
        <f t="shared" si="10"/>
        <v>2002</v>
      </c>
      <c r="B386" s="798">
        <f t="shared" si="11"/>
        <v>2</v>
      </c>
      <c r="C386" s="1105">
        <v>37408</v>
      </c>
      <c r="D386" s="805">
        <v>282.51</v>
      </c>
      <c r="E386" s="1102">
        <v>566.91</v>
      </c>
      <c r="F386" s="1102">
        <v>321.18</v>
      </c>
      <c r="G386" s="1103"/>
      <c r="H386" s="805"/>
      <c r="I386" s="1103"/>
      <c r="J386" s="1103"/>
      <c r="K386" s="84">
        <v>12514.225500526871</v>
      </c>
      <c r="L386" s="84">
        <v>7125.6</v>
      </c>
      <c r="M386" s="84"/>
      <c r="N386" s="805">
        <v>24.92</v>
      </c>
      <c r="O386" s="941">
        <v>2892.69</v>
      </c>
      <c r="P386" s="941">
        <v>772.04074464348435</v>
      </c>
      <c r="Q386" s="941">
        <v>1344.2219880576044</v>
      </c>
      <c r="R386" s="805">
        <v>9.9</v>
      </c>
      <c r="S386" s="805">
        <v>927.18</v>
      </c>
      <c r="T386" s="805">
        <v>828.69</v>
      </c>
      <c r="U386" s="805">
        <v>30878</v>
      </c>
      <c r="V386" s="805"/>
      <c r="W386" s="805"/>
      <c r="X386" s="5">
        <v>0.56940000000000002</v>
      </c>
      <c r="AJ386" s="1134" t="s">
        <v>1</v>
      </c>
      <c r="AK386" s="1134">
        <v>2009</v>
      </c>
      <c r="AL386" s="1134" t="s">
        <v>72</v>
      </c>
      <c r="AM386" s="1134">
        <v>2</v>
      </c>
      <c r="AN386" s="1135">
        <v>5594390000</v>
      </c>
      <c r="AO386" s="1392">
        <v>0.37365385621100128</v>
      </c>
      <c r="AP386" s="817"/>
      <c r="AQ386" s="817" t="s">
        <v>538</v>
      </c>
      <c r="AR386" s="817" t="s">
        <v>608</v>
      </c>
      <c r="AS386" s="874" t="s">
        <v>33</v>
      </c>
      <c r="AT386" s="874">
        <v>6</v>
      </c>
      <c r="AU386" s="1114">
        <v>54781947.75</v>
      </c>
      <c r="AV386" s="1113">
        <v>0.17649158275644472</v>
      </c>
      <c r="AW386" s="817">
        <v>2007</v>
      </c>
    </row>
    <row r="387" spans="1:49">
      <c r="A387" s="798">
        <f t="shared" si="10"/>
        <v>2002</v>
      </c>
      <c r="B387" s="798">
        <f t="shared" si="11"/>
        <v>3</v>
      </c>
      <c r="C387" s="1105">
        <v>37438</v>
      </c>
      <c r="D387" s="934">
        <v>286.62</v>
      </c>
      <c r="E387" s="1100">
        <v>568.16999999999996</v>
      </c>
      <c r="F387" s="1100">
        <v>313.41000000000003</v>
      </c>
      <c r="G387" s="1101"/>
      <c r="H387" s="935"/>
      <c r="I387" s="1101"/>
      <c r="J387" s="1101"/>
      <c r="K387" s="936">
        <v>12934.061766299441</v>
      </c>
      <c r="L387" s="936">
        <v>7161.59</v>
      </c>
      <c r="M387" s="936"/>
      <c r="N387" s="937">
        <v>26.38</v>
      </c>
      <c r="O387" s="938">
        <v>2877.1</v>
      </c>
      <c r="P387" s="938">
        <v>807.04352537475177</v>
      </c>
      <c r="Q387" s="938">
        <v>1438.631027632292</v>
      </c>
      <c r="R387" s="939">
        <v>9.85</v>
      </c>
      <c r="S387" s="940">
        <v>948.66</v>
      </c>
      <c r="T387" s="940">
        <v>785.48</v>
      </c>
      <c r="U387" s="1756">
        <v>28170</v>
      </c>
      <c r="V387" s="1323"/>
      <c r="W387" s="1323"/>
      <c r="X387" s="538">
        <v>0.55369999999999997</v>
      </c>
      <c r="AJ387" s="1134" t="s">
        <v>1</v>
      </c>
      <c r="AK387" s="1134">
        <v>2009</v>
      </c>
      <c r="AL387" s="1134" t="s">
        <v>39</v>
      </c>
      <c r="AM387" s="1134">
        <v>3</v>
      </c>
      <c r="AN387" s="1135">
        <v>1191251000</v>
      </c>
      <c r="AO387" s="1392">
        <v>7.9564622749792466E-2</v>
      </c>
      <c r="AP387" s="817"/>
      <c r="AQ387" s="817" t="s">
        <v>538</v>
      </c>
      <c r="AR387" s="817" t="s">
        <v>608</v>
      </c>
      <c r="AS387" s="874" t="s">
        <v>433</v>
      </c>
      <c r="AT387" s="874">
        <v>7</v>
      </c>
      <c r="AU387" s="1114">
        <v>51427691.280000001</v>
      </c>
      <c r="AV387" s="1113">
        <v>0.16568513907059848</v>
      </c>
      <c r="AW387" s="817">
        <v>2007</v>
      </c>
    </row>
    <row r="388" spans="1:49">
      <c r="A388" s="798">
        <f t="shared" si="10"/>
        <v>2002</v>
      </c>
      <c r="B388" s="798">
        <f t="shared" si="11"/>
        <v>3</v>
      </c>
      <c r="C388" s="1105">
        <v>37469</v>
      </c>
      <c r="D388" s="805">
        <v>294.66000000000003</v>
      </c>
      <c r="E388" s="1102">
        <v>573.91999999999996</v>
      </c>
      <c r="F388" s="1102">
        <v>310.13</v>
      </c>
      <c r="G388" s="1103"/>
      <c r="H388" s="805"/>
      <c r="I388" s="1103"/>
      <c r="J388" s="1103"/>
      <c r="K388" s="84">
        <v>12405.833487170021</v>
      </c>
      <c r="L388" s="84">
        <v>6720.24</v>
      </c>
      <c r="M388" s="84"/>
      <c r="N388" s="805">
        <v>27.35</v>
      </c>
      <c r="O388" s="941">
        <v>2731.31</v>
      </c>
      <c r="P388" s="941">
        <v>781.31807273398567</v>
      </c>
      <c r="Q388" s="941">
        <v>1380.0996861731587</v>
      </c>
      <c r="R388" s="805">
        <v>9.85</v>
      </c>
      <c r="S388" s="805">
        <v>928.76</v>
      </c>
      <c r="T388" s="805">
        <v>804.4</v>
      </c>
      <c r="U388" s="805">
        <v>28163</v>
      </c>
      <c r="V388" s="805"/>
      <c r="W388" s="805"/>
      <c r="X388" s="5">
        <v>0.54169999999999996</v>
      </c>
      <c r="AJ388" s="1134" t="s">
        <v>1</v>
      </c>
      <c r="AK388" s="1134">
        <v>2009</v>
      </c>
      <c r="AL388" s="1134" t="s">
        <v>70</v>
      </c>
      <c r="AM388" s="1134">
        <v>4</v>
      </c>
      <c r="AN388" s="1135">
        <v>616096000</v>
      </c>
      <c r="AO388" s="1392">
        <v>4.1149552711944114E-2</v>
      </c>
      <c r="AP388" s="817"/>
      <c r="AQ388" s="817" t="s">
        <v>538</v>
      </c>
      <c r="AR388" s="817" t="s">
        <v>608</v>
      </c>
      <c r="AS388" s="874" t="s">
        <v>37</v>
      </c>
      <c r="AT388" s="874">
        <v>8</v>
      </c>
      <c r="AU388" s="1114">
        <v>50189431.959999993</v>
      </c>
      <c r="AV388" s="1113">
        <v>0.16169582587116557</v>
      </c>
      <c r="AW388" s="817">
        <v>2007</v>
      </c>
    </row>
    <row r="389" spans="1:49">
      <c r="A389" s="798">
        <f t="shared" si="10"/>
        <v>2002</v>
      </c>
      <c r="B389" s="798">
        <f t="shared" si="11"/>
        <v>3</v>
      </c>
      <c r="C389" s="1105">
        <v>37500</v>
      </c>
      <c r="D389" s="934">
        <v>290.14</v>
      </c>
      <c r="E389" s="1100">
        <v>583.26</v>
      </c>
      <c r="F389" s="1100">
        <v>319.14</v>
      </c>
      <c r="G389" s="1101"/>
      <c r="H389" s="935"/>
      <c r="I389" s="1101"/>
      <c r="J389" s="1101"/>
      <c r="K389" s="936">
        <v>12148.125799963429</v>
      </c>
      <c r="L389" s="936">
        <v>6643.81</v>
      </c>
      <c r="M389" s="936"/>
      <c r="N389" s="937">
        <v>28.01</v>
      </c>
      <c r="O389" s="938">
        <v>2703.8</v>
      </c>
      <c r="P389" s="938">
        <v>770.26878771256168</v>
      </c>
      <c r="Q389" s="938">
        <v>1382.7756445419636</v>
      </c>
      <c r="R389" s="939">
        <v>9.75</v>
      </c>
      <c r="S389" s="940">
        <v>896.95</v>
      </c>
      <c r="T389" s="940">
        <v>821.87</v>
      </c>
      <c r="U389" s="1756">
        <v>27546</v>
      </c>
      <c r="V389" s="1323"/>
      <c r="W389" s="1323"/>
      <c r="X389" s="538">
        <v>0.54690000000000005</v>
      </c>
      <c r="AJ389" s="1134" t="s">
        <v>1</v>
      </c>
      <c r="AK389" s="1134">
        <v>2009</v>
      </c>
      <c r="AL389" s="1134" t="s">
        <v>431</v>
      </c>
      <c r="AM389" s="1134">
        <v>5</v>
      </c>
      <c r="AN389" s="1135">
        <v>359668000</v>
      </c>
      <c r="AO389" s="1392">
        <v>2.4022518121850352E-2</v>
      </c>
      <c r="AP389" s="817"/>
      <c r="AQ389" s="817" t="s">
        <v>538</v>
      </c>
      <c r="AR389" s="817" t="s">
        <v>608</v>
      </c>
      <c r="AS389" s="874" t="s">
        <v>454</v>
      </c>
      <c r="AT389" s="874">
        <v>9</v>
      </c>
      <c r="AU389" s="1114">
        <v>47892877.800000004</v>
      </c>
      <c r="AV389" s="1113">
        <v>0.15429699294842969</v>
      </c>
      <c r="AW389" s="817">
        <v>2007</v>
      </c>
    </row>
    <row r="390" spans="1:49">
      <c r="A390" s="798">
        <f t="shared" si="10"/>
        <v>2002</v>
      </c>
      <c r="B390" s="798">
        <f t="shared" si="11"/>
        <v>4</v>
      </c>
      <c r="C390" s="1105">
        <v>37530</v>
      </c>
      <c r="D390" s="805">
        <v>284.55</v>
      </c>
      <c r="E390" s="1102">
        <v>577.46</v>
      </c>
      <c r="F390" s="1102">
        <v>316.56</v>
      </c>
      <c r="G390" s="1103"/>
      <c r="H390" s="805"/>
      <c r="I390" s="1103"/>
      <c r="J390" s="1103"/>
      <c r="K390" s="84">
        <v>12373.754998182478</v>
      </c>
      <c r="L390" s="84">
        <v>6808.04</v>
      </c>
      <c r="M390" s="84"/>
      <c r="N390" s="805">
        <v>27.78</v>
      </c>
      <c r="O390" s="941">
        <v>2696.76</v>
      </c>
      <c r="P390" s="941">
        <v>759.99636495819698</v>
      </c>
      <c r="Q390" s="941">
        <v>1371.6284987277352</v>
      </c>
      <c r="R390" s="805">
        <v>9.9</v>
      </c>
      <c r="S390" s="805">
        <v>925.76</v>
      </c>
      <c r="T390" s="805">
        <v>813.83</v>
      </c>
      <c r="U390" s="805">
        <v>26526</v>
      </c>
      <c r="V390" s="805"/>
      <c r="W390" s="805"/>
      <c r="X390" s="5">
        <v>0.55020000000000002</v>
      </c>
      <c r="AJ390" s="1134" t="s">
        <v>1</v>
      </c>
      <c r="AK390" s="1134">
        <v>2009</v>
      </c>
      <c r="AL390" s="1134" t="s">
        <v>432</v>
      </c>
      <c r="AM390" s="1134">
        <v>6</v>
      </c>
      <c r="AN390" s="1135">
        <v>197867000</v>
      </c>
      <c r="AO390" s="1392">
        <v>1.3215697791341359E-2</v>
      </c>
      <c r="AP390" s="817"/>
      <c r="AQ390" s="817" t="s">
        <v>538</v>
      </c>
      <c r="AR390" s="817" t="s">
        <v>608</v>
      </c>
      <c r="AS390" s="874" t="s">
        <v>68</v>
      </c>
      <c r="AT390" s="874">
        <v>10</v>
      </c>
      <c r="AU390" s="1114">
        <v>37628339.5</v>
      </c>
      <c r="AV390" s="1113">
        <v>0.12122762091553868</v>
      </c>
      <c r="AW390" s="817">
        <v>2007</v>
      </c>
    </row>
    <row r="391" spans="1:49">
      <c r="A391" s="798">
        <f t="shared" si="10"/>
        <v>2002</v>
      </c>
      <c r="B391" s="798">
        <f t="shared" si="11"/>
        <v>4</v>
      </c>
      <c r="C391" s="1105">
        <v>37561</v>
      </c>
      <c r="D391" s="934">
        <v>281.89</v>
      </c>
      <c r="E391" s="1100">
        <v>569.72</v>
      </c>
      <c r="F391" s="1100">
        <v>319.07</v>
      </c>
      <c r="G391" s="1101"/>
      <c r="H391" s="935"/>
      <c r="I391" s="1101"/>
      <c r="J391" s="1101"/>
      <c r="K391" s="936">
        <v>13029.522792022792</v>
      </c>
      <c r="L391" s="936">
        <v>7317.38</v>
      </c>
      <c r="M391" s="936"/>
      <c r="N391" s="937">
        <v>26.99</v>
      </c>
      <c r="O391" s="938">
        <v>2817.47</v>
      </c>
      <c r="P391" s="938">
        <v>787.33974358974365</v>
      </c>
      <c r="Q391" s="938">
        <v>1362.6424501424501</v>
      </c>
      <c r="R391" s="939">
        <v>9.9</v>
      </c>
      <c r="S391" s="940">
        <v>867.13</v>
      </c>
      <c r="T391" s="940">
        <v>779.55</v>
      </c>
      <c r="U391" s="1756">
        <v>27715</v>
      </c>
      <c r="V391" s="1323"/>
      <c r="W391" s="1323"/>
      <c r="X391" s="538">
        <v>0.56159999999999999</v>
      </c>
      <c r="AJ391" s="1134" t="s">
        <v>1</v>
      </c>
      <c r="AK391" s="1134">
        <v>2009</v>
      </c>
      <c r="AL391" s="1134" t="s">
        <v>40</v>
      </c>
      <c r="AM391" s="1134">
        <v>7</v>
      </c>
      <c r="AN391" s="1135">
        <v>166148000</v>
      </c>
      <c r="AO391" s="1392">
        <v>1.1097159994520482E-2</v>
      </c>
      <c r="AP391" s="817"/>
      <c r="AQ391" s="817" t="s">
        <v>538</v>
      </c>
      <c r="AR391" s="817" t="s">
        <v>608</v>
      </c>
      <c r="AS391" s="874" t="s">
        <v>84</v>
      </c>
      <c r="AT391" s="874">
        <v>11</v>
      </c>
      <c r="AU391" s="1114">
        <v>33495076.539999999</v>
      </c>
      <c r="AV391" s="1113">
        <v>0.10791144374914745</v>
      </c>
      <c r="AW391" s="817">
        <v>2007</v>
      </c>
    </row>
    <row r="392" spans="1:49">
      <c r="A392" s="798">
        <f t="shared" si="10"/>
        <v>2002</v>
      </c>
      <c r="B392" s="798">
        <f t="shared" si="11"/>
        <v>4</v>
      </c>
      <c r="C392" s="1105">
        <v>37591</v>
      </c>
      <c r="D392" s="805">
        <v>271.63</v>
      </c>
      <c r="E392" s="1102">
        <v>592.69000000000005</v>
      </c>
      <c r="F392" s="1102">
        <v>331.92</v>
      </c>
      <c r="G392" s="1103"/>
      <c r="H392" s="805"/>
      <c r="I392" s="1103"/>
      <c r="J392" s="1103"/>
      <c r="K392" s="84">
        <v>12768.949609652236</v>
      </c>
      <c r="L392" s="84">
        <v>7196.58</v>
      </c>
      <c r="M392" s="84"/>
      <c r="N392" s="805">
        <v>30.55</v>
      </c>
      <c r="O392" s="941">
        <v>2831.23</v>
      </c>
      <c r="P392" s="941">
        <v>787.10078069552878</v>
      </c>
      <c r="Q392" s="941">
        <v>1415.4364797728886</v>
      </c>
      <c r="R392" s="805">
        <v>10.199999999999999</v>
      </c>
      <c r="S392" s="805">
        <v>861.08</v>
      </c>
      <c r="T392" s="805">
        <v>785.48</v>
      </c>
      <c r="U392" s="805">
        <v>26795</v>
      </c>
      <c r="V392" s="805"/>
      <c r="W392" s="805"/>
      <c r="X392" s="5">
        <v>0.56359999999999999</v>
      </c>
      <c r="AJ392" s="1134" t="s">
        <v>1</v>
      </c>
      <c r="AK392" s="1134">
        <v>2009</v>
      </c>
      <c r="AL392" s="1134" t="s">
        <v>645</v>
      </c>
      <c r="AM392" s="1134">
        <v>8</v>
      </c>
      <c r="AN392" s="1135">
        <v>47306000</v>
      </c>
      <c r="AO392" s="1392">
        <v>3.1596061986950545E-3</v>
      </c>
      <c r="AP392" s="817"/>
      <c r="AQ392" s="817" t="s">
        <v>538</v>
      </c>
      <c r="AR392" s="817" t="s">
        <v>608</v>
      </c>
      <c r="AS392" s="874" t="s">
        <v>456</v>
      </c>
      <c r="AT392" s="874">
        <v>12</v>
      </c>
      <c r="AU392" s="1114">
        <v>29373214.029999997</v>
      </c>
      <c r="AV392" s="1113">
        <v>9.4631995533574417E-2</v>
      </c>
      <c r="AW392" s="817">
        <v>2007</v>
      </c>
    </row>
    <row r="393" spans="1:49">
      <c r="A393" s="798">
        <f t="shared" ref="A393:A457" si="12">YEAR(C393)</f>
        <v>2003</v>
      </c>
      <c r="B393" s="798">
        <f t="shared" ref="B393:B456" si="13">IF(OR(MONTH(C393)=1,MONTH(C393)=2,MONTH(C393)=3),1,IF(OR(MONTH(C393)=4,MONTH(C393)=5,MONTH(C393)=6),2,IF(OR(MONTH(C393)=7,MONTH(C393)=8,MONTH(C393)=9),3,4)))</f>
        <v>1</v>
      </c>
      <c r="C393" s="1105">
        <v>37622</v>
      </c>
      <c r="D393" s="934">
        <v>271.51</v>
      </c>
      <c r="E393" s="1100">
        <v>612.9</v>
      </c>
      <c r="F393" s="1100">
        <v>356.86</v>
      </c>
      <c r="G393" s="1101"/>
      <c r="H393" s="935"/>
      <c r="I393" s="1101"/>
      <c r="J393" s="1101"/>
      <c r="K393" s="936">
        <v>13794.880604707096</v>
      </c>
      <c r="L393" s="936">
        <v>8030</v>
      </c>
      <c r="M393" s="936"/>
      <c r="N393" s="937">
        <v>31.82</v>
      </c>
      <c r="O393" s="938">
        <v>2830.54</v>
      </c>
      <c r="P393" s="938">
        <v>763.88936608830113</v>
      </c>
      <c r="Q393" s="938">
        <v>1342.3982133654013</v>
      </c>
      <c r="R393" s="939">
        <v>10.199999999999999</v>
      </c>
      <c r="S393" s="940">
        <v>843.67</v>
      </c>
      <c r="T393" s="940">
        <v>746.15</v>
      </c>
      <c r="U393" s="1756">
        <v>30280</v>
      </c>
      <c r="V393" s="1323"/>
      <c r="W393" s="1323"/>
      <c r="X393" s="538">
        <v>0.58209999999999995</v>
      </c>
      <c r="AJ393" s="1134" t="s">
        <v>1</v>
      </c>
      <c r="AK393" s="1134">
        <v>2009</v>
      </c>
      <c r="AL393" s="1134" t="s">
        <v>430</v>
      </c>
      <c r="AM393" s="1134">
        <v>9</v>
      </c>
      <c r="AN393" s="1135">
        <v>41034000</v>
      </c>
      <c r="AO393" s="1392">
        <v>2.7406942197026351E-3</v>
      </c>
      <c r="AP393" s="817"/>
      <c r="AQ393" s="817" t="s">
        <v>538</v>
      </c>
      <c r="AR393" s="817" t="s">
        <v>608</v>
      </c>
      <c r="AS393" s="874" t="s">
        <v>31</v>
      </c>
      <c r="AT393" s="874"/>
      <c r="AU393" s="1114">
        <v>29104850.5</v>
      </c>
      <c r="AV393" s="1113">
        <v>9.3767405899413306E-2</v>
      </c>
      <c r="AW393" s="817">
        <v>2007</v>
      </c>
    </row>
    <row r="394" spans="1:49">
      <c r="A394" s="798">
        <f t="shared" si="12"/>
        <v>2003</v>
      </c>
      <c r="B394" s="798">
        <f t="shared" si="13"/>
        <v>1</v>
      </c>
      <c r="C394" s="1105">
        <v>37653</v>
      </c>
      <c r="D394" s="805">
        <v>277.81</v>
      </c>
      <c r="E394" s="1102">
        <v>604.77</v>
      </c>
      <c r="F394" s="1102">
        <v>358.97</v>
      </c>
      <c r="G394" s="1103"/>
      <c r="H394" s="805"/>
      <c r="I394" s="1103"/>
      <c r="J394" s="1103"/>
      <c r="K394" s="84">
        <v>14495.88304486641</v>
      </c>
      <c r="L394" s="84">
        <v>8626.5</v>
      </c>
      <c r="M394" s="84"/>
      <c r="N394" s="805">
        <v>33.880000000000003</v>
      </c>
      <c r="O394" s="941">
        <v>2829.44</v>
      </c>
      <c r="P394" s="941">
        <v>799.57990253738865</v>
      </c>
      <c r="Q394" s="941">
        <v>1319.35809107713</v>
      </c>
      <c r="R394" s="805">
        <v>10.199999999999999</v>
      </c>
      <c r="S394" s="805">
        <v>816.19</v>
      </c>
      <c r="T394" s="805">
        <v>754.09</v>
      </c>
      <c r="U394" s="805">
        <v>28711</v>
      </c>
      <c r="V394" s="805"/>
      <c r="W394" s="805"/>
      <c r="X394" s="5">
        <v>0.59509999999999996</v>
      </c>
      <c r="AJ394" s="1134" t="s">
        <v>1</v>
      </c>
      <c r="AK394" s="1134">
        <v>2009</v>
      </c>
      <c r="AL394" s="1134" t="s">
        <v>643</v>
      </c>
      <c r="AM394" s="1134">
        <v>10</v>
      </c>
      <c r="AN394" s="1135">
        <v>19093000</v>
      </c>
      <c r="AO394" s="1392">
        <v>1.2752369921719164E-3</v>
      </c>
      <c r="AP394" s="817"/>
      <c r="AQ394" s="817" t="s">
        <v>538</v>
      </c>
      <c r="AR394" s="817" t="s">
        <v>608</v>
      </c>
      <c r="AS394" s="874" t="s">
        <v>452</v>
      </c>
      <c r="AT394" s="874"/>
      <c r="AU394" s="1114">
        <v>806213403.55999982</v>
      </c>
      <c r="AV394" s="874"/>
      <c r="AW394" s="817">
        <v>2007</v>
      </c>
    </row>
    <row r="395" spans="1:49">
      <c r="A395" s="798">
        <f t="shared" si="12"/>
        <v>2003</v>
      </c>
      <c r="B395" s="798">
        <f t="shared" si="13"/>
        <v>1</v>
      </c>
      <c r="C395" s="1105">
        <v>37681</v>
      </c>
      <c r="D395" s="934">
        <v>279.07</v>
      </c>
      <c r="E395" s="1100">
        <v>567.21</v>
      </c>
      <c r="F395" s="1100">
        <v>340.55</v>
      </c>
      <c r="G395" s="1101"/>
      <c r="H395" s="935"/>
      <c r="I395" s="1101"/>
      <c r="J395" s="1101"/>
      <c r="K395" s="936">
        <v>13914.973439575031</v>
      </c>
      <c r="L395" s="936">
        <v>8382.3799999999992</v>
      </c>
      <c r="M395" s="936"/>
      <c r="N395" s="937">
        <v>31.26</v>
      </c>
      <c r="O395" s="938">
        <v>2753.95</v>
      </c>
      <c r="P395" s="938">
        <v>758.08432934926952</v>
      </c>
      <c r="Q395" s="938">
        <v>1312.9980079681275</v>
      </c>
      <c r="R395" s="939">
        <v>10.1</v>
      </c>
      <c r="S395" s="940">
        <v>785.51</v>
      </c>
      <c r="T395" s="940">
        <v>736.47</v>
      </c>
      <c r="U395" s="1756">
        <v>34928</v>
      </c>
      <c r="V395" s="1323"/>
      <c r="W395" s="1323"/>
      <c r="X395" s="538">
        <v>0.60240000000000005</v>
      </c>
      <c r="AJ395" s="1134" t="s">
        <v>1</v>
      </c>
      <c r="AK395" s="1134">
        <v>2009</v>
      </c>
      <c r="AL395" s="1134" t="s">
        <v>45</v>
      </c>
      <c r="AM395" s="1134"/>
      <c r="AN395" s="1135">
        <v>24072000</v>
      </c>
      <c r="AO395" s="1392">
        <v>1.6077884499849354E-3</v>
      </c>
      <c r="AP395" s="817"/>
      <c r="AQ395" s="817" t="s">
        <v>538</v>
      </c>
      <c r="AR395" s="817" t="s">
        <v>607</v>
      </c>
      <c r="AS395" s="874" t="s">
        <v>24</v>
      </c>
      <c r="AT395" s="874">
        <v>1</v>
      </c>
      <c r="AU395" s="1114">
        <v>310394109.98765945</v>
      </c>
      <c r="AV395" s="1113">
        <v>2.0534176722264399</v>
      </c>
      <c r="AW395" s="817">
        <v>2006</v>
      </c>
    </row>
    <row r="396" spans="1:49">
      <c r="A396" s="798">
        <f t="shared" si="12"/>
        <v>2003</v>
      </c>
      <c r="B396" s="798">
        <f t="shared" si="13"/>
        <v>2</v>
      </c>
      <c r="C396" s="1105">
        <v>37712</v>
      </c>
      <c r="D396" s="805">
        <v>283.14999999999998</v>
      </c>
      <c r="E396" s="1102">
        <v>541.45000000000005</v>
      </c>
      <c r="F396" s="1102">
        <v>328.18</v>
      </c>
      <c r="G396" s="1103"/>
      <c r="H396" s="805"/>
      <c r="I396" s="1103"/>
      <c r="J396" s="1103"/>
      <c r="K396" s="84">
        <v>12984.003281378178</v>
      </c>
      <c r="L396" s="84">
        <v>7913.75</v>
      </c>
      <c r="M396" s="84"/>
      <c r="N396" s="805">
        <v>27.62</v>
      </c>
      <c r="O396" s="941">
        <v>2604.56</v>
      </c>
      <c r="P396" s="941">
        <v>717.60459392945029</v>
      </c>
      <c r="Q396" s="941">
        <v>1238.1460213289581</v>
      </c>
      <c r="R396" s="805">
        <v>10.75</v>
      </c>
      <c r="S396" s="805">
        <v>802.21</v>
      </c>
      <c r="T396" s="805">
        <v>729.27</v>
      </c>
      <c r="U396" s="805">
        <v>34521</v>
      </c>
      <c r="V396" s="805"/>
      <c r="W396" s="805"/>
      <c r="X396" s="5">
        <v>0.60950000000000004</v>
      </c>
      <c r="AJ396" s="1134" t="s">
        <v>1</v>
      </c>
      <c r="AK396" s="1134">
        <v>2009</v>
      </c>
      <c r="AL396" s="1134" t="s">
        <v>452</v>
      </c>
      <c r="AM396" s="1134"/>
      <c r="AN396" s="1135">
        <v>14972119000</v>
      </c>
      <c r="AO396" s="1392">
        <v>1</v>
      </c>
      <c r="AP396" s="817"/>
      <c r="AQ396" s="817" t="s">
        <v>538</v>
      </c>
      <c r="AR396" s="817" t="s">
        <v>607</v>
      </c>
      <c r="AS396" s="874" t="s">
        <v>455</v>
      </c>
      <c r="AT396" s="874">
        <v>2</v>
      </c>
      <c r="AU396" s="1114">
        <v>218404553.71602443</v>
      </c>
      <c r="AV396" s="1113">
        <v>1.4448591512031064</v>
      </c>
      <c r="AW396" s="817">
        <v>2006</v>
      </c>
    </row>
    <row r="397" spans="1:49">
      <c r="A397" s="798">
        <f t="shared" si="12"/>
        <v>2003</v>
      </c>
      <c r="B397" s="798">
        <f t="shared" si="13"/>
        <v>2</v>
      </c>
      <c r="C397" s="1105">
        <v>37742</v>
      </c>
      <c r="D397" s="934">
        <v>279.72000000000003</v>
      </c>
      <c r="E397" s="1100">
        <v>550.19000000000005</v>
      </c>
      <c r="F397" s="1100">
        <v>356.52</v>
      </c>
      <c r="G397" s="1101"/>
      <c r="H397" s="935"/>
      <c r="I397" s="1101"/>
      <c r="J397" s="1101"/>
      <c r="K397" s="936">
        <v>12872.644423849244</v>
      </c>
      <c r="L397" s="936">
        <v>8333.75</v>
      </c>
      <c r="M397" s="936"/>
      <c r="N397" s="937">
        <v>26.79</v>
      </c>
      <c r="O397" s="938">
        <v>2546</v>
      </c>
      <c r="P397" s="938">
        <v>715.94068582020395</v>
      </c>
      <c r="Q397" s="938">
        <v>1198.1000926784059</v>
      </c>
      <c r="R397" s="939">
        <v>11</v>
      </c>
      <c r="S397" s="940">
        <v>747.94</v>
      </c>
      <c r="T397" s="940">
        <v>705.57</v>
      </c>
      <c r="U397" s="1756">
        <v>35382</v>
      </c>
      <c r="V397" s="1323"/>
      <c r="W397" s="1323"/>
      <c r="X397" s="538">
        <v>0.64739999999999998</v>
      </c>
      <c r="AJ397" s="1136" t="s">
        <v>1</v>
      </c>
      <c r="AK397" s="1136">
        <v>2010</v>
      </c>
      <c r="AL397" s="1136" t="s">
        <v>27</v>
      </c>
      <c r="AM397" s="1136">
        <v>1</v>
      </c>
      <c r="AN397" s="1137">
        <v>5307039000</v>
      </c>
      <c r="AO397" s="1392">
        <v>0.3723641589466164</v>
      </c>
      <c r="AP397" s="817"/>
      <c r="AQ397" s="817" t="s">
        <v>538</v>
      </c>
      <c r="AR397" s="817" t="s">
        <v>607</v>
      </c>
      <c r="AS397" s="874" t="s">
        <v>456</v>
      </c>
      <c r="AT397" s="874">
        <v>3</v>
      </c>
      <c r="AU397" s="1114">
        <v>178580050.71683997</v>
      </c>
      <c r="AV397" s="1113">
        <v>1.1813994539510824</v>
      </c>
      <c r="AW397" s="817">
        <v>2006</v>
      </c>
    </row>
    <row r="398" spans="1:49">
      <c r="A398" s="798">
        <f t="shared" si="12"/>
        <v>2003</v>
      </c>
      <c r="B398" s="798">
        <f t="shared" si="13"/>
        <v>2</v>
      </c>
      <c r="C398" s="1105">
        <v>37773</v>
      </c>
      <c r="D398" s="805">
        <v>259.86</v>
      </c>
      <c r="E398" s="1102">
        <v>538.96</v>
      </c>
      <c r="F398" s="1102">
        <v>356.35</v>
      </c>
      <c r="G398" s="1103"/>
      <c r="H398" s="805"/>
      <c r="I398" s="1103"/>
      <c r="J398" s="1103"/>
      <c r="K398" s="84">
        <v>13354.181708784599</v>
      </c>
      <c r="L398" s="84">
        <v>8877.86</v>
      </c>
      <c r="M398" s="84"/>
      <c r="N398" s="805">
        <v>27.2</v>
      </c>
      <c r="O398" s="941">
        <v>2536.85</v>
      </c>
      <c r="P398" s="941">
        <v>704.00120336943439</v>
      </c>
      <c r="Q398" s="941">
        <v>1189.3652226233455</v>
      </c>
      <c r="R398" s="805">
        <v>10.9</v>
      </c>
      <c r="S398" s="805">
        <v>756.98</v>
      </c>
      <c r="T398" s="805">
        <v>703.97</v>
      </c>
      <c r="U398" s="805">
        <v>37639</v>
      </c>
      <c r="V398" s="805"/>
      <c r="W398" s="805"/>
      <c r="X398" s="5">
        <v>0.66479999999999995</v>
      </c>
      <c r="AJ398" s="1136" t="s">
        <v>1</v>
      </c>
      <c r="AK398" s="1136">
        <v>2010</v>
      </c>
      <c r="AL398" s="1136" t="s">
        <v>72</v>
      </c>
      <c r="AM398" s="1136">
        <v>2</v>
      </c>
      <c r="AN398" s="1137">
        <v>5166965000</v>
      </c>
      <c r="AO398" s="1392">
        <v>0.36253597844892488</v>
      </c>
      <c r="AP398" s="817"/>
      <c r="AQ398" s="817" t="s">
        <v>538</v>
      </c>
      <c r="AR398" s="817" t="s">
        <v>607</v>
      </c>
      <c r="AS398" s="874" t="s">
        <v>454</v>
      </c>
      <c r="AT398" s="874">
        <v>4</v>
      </c>
      <c r="AU398" s="1114">
        <v>129193633.13769048</v>
      </c>
      <c r="AV398" s="1113">
        <v>0.85468274328601235</v>
      </c>
      <c r="AW398" s="817">
        <v>2006</v>
      </c>
    </row>
    <row r="399" spans="1:49">
      <c r="A399" s="798">
        <f t="shared" si="12"/>
        <v>2003</v>
      </c>
      <c r="B399" s="798">
        <f t="shared" si="13"/>
        <v>3</v>
      </c>
      <c r="C399" s="1105">
        <v>37803</v>
      </c>
      <c r="D399" s="934">
        <v>257.64999999999998</v>
      </c>
      <c r="E399" s="1100">
        <v>530.99</v>
      </c>
      <c r="F399" s="1100">
        <v>351.02</v>
      </c>
      <c r="G399" s="1101"/>
      <c r="H399" s="935"/>
      <c r="I399" s="1101"/>
      <c r="J399" s="1101"/>
      <c r="K399" s="936">
        <v>13293.007098625583</v>
      </c>
      <c r="L399" s="936">
        <v>8801.2999999999993</v>
      </c>
      <c r="M399" s="936"/>
      <c r="N399" s="937">
        <v>28.56</v>
      </c>
      <c r="O399" s="938">
        <v>2582.69</v>
      </c>
      <c r="P399" s="938">
        <v>777.49584654885962</v>
      </c>
      <c r="Q399" s="938">
        <v>1249.8716206011175</v>
      </c>
      <c r="R399" s="939">
        <v>10.9</v>
      </c>
      <c r="S399" s="940">
        <v>691.72</v>
      </c>
      <c r="T399" s="940">
        <v>690.94</v>
      </c>
      <c r="U399" s="1756">
        <v>36024</v>
      </c>
      <c r="V399" s="1323"/>
      <c r="W399" s="1323"/>
      <c r="X399" s="538">
        <v>0.66210000000000002</v>
      </c>
      <c r="AJ399" s="1136" t="s">
        <v>1</v>
      </c>
      <c r="AK399" s="1136">
        <v>2010</v>
      </c>
      <c r="AL399" s="1136" t="s">
        <v>39</v>
      </c>
      <c r="AM399" s="1136">
        <v>3</v>
      </c>
      <c r="AN399" s="1137">
        <v>1614868000</v>
      </c>
      <c r="AO399" s="1392">
        <v>0.11330592532480062</v>
      </c>
      <c r="AP399" s="817"/>
      <c r="AQ399" s="817" t="s">
        <v>538</v>
      </c>
      <c r="AR399" s="817" t="s">
        <v>607</v>
      </c>
      <c r="AS399" s="874" t="s">
        <v>29</v>
      </c>
      <c r="AT399" s="874">
        <v>5</v>
      </c>
      <c r="AU399" s="1114">
        <v>111479920.73463026</v>
      </c>
      <c r="AV399" s="1113">
        <v>0.737497368567959</v>
      </c>
      <c r="AW399" s="817">
        <v>2006</v>
      </c>
    </row>
    <row r="400" spans="1:49">
      <c r="A400" s="798">
        <f t="shared" si="12"/>
        <v>2003</v>
      </c>
      <c r="B400" s="798">
        <f t="shared" si="13"/>
        <v>3</v>
      </c>
      <c r="C400" s="1105">
        <v>37834</v>
      </c>
      <c r="D400" s="805">
        <v>274.27999999999997</v>
      </c>
      <c r="E400" s="1102">
        <v>553.16999999999996</v>
      </c>
      <c r="F400" s="1102">
        <v>359.77</v>
      </c>
      <c r="G400" s="1103"/>
      <c r="H400" s="805"/>
      <c r="I400" s="1103"/>
      <c r="J400" s="1103"/>
      <c r="K400" s="84">
        <v>14184.988627748295</v>
      </c>
      <c r="L400" s="84">
        <v>9355</v>
      </c>
      <c r="M400" s="84"/>
      <c r="N400" s="805">
        <v>30.64</v>
      </c>
      <c r="O400" s="941">
        <v>2669.11</v>
      </c>
      <c r="P400" s="941">
        <v>752.88855193328277</v>
      </c>
      <c r="Q400" s="941">
        <v>1240.1516300227445</v>
      </c>
      <c r="R400" s="805">
        <v>11.3</v>
      </c>
      <c r="S400" s="805">
        <v>715.83</v>
      </c>
      <c r="T400" s="805">
        <v>723.62</v>
      </c>
      <c r="U400" s="805">
        <v>36187</v>
      </c>
      <c r="V400" s="805"/>
      <c r="W400" s="805"/>
      <c r="X400" s="5">
        <v>0.65949999999999998</v>
      </c>
      <c r="AJ400" s="1136" t="s">
        <v>1</v>
      </c>
      <c r="AK400" s="1136">
        <v>2010</v>
      </c>
      <c r="AL400" s="1136" t="s">
        <v>70</v>
      </c>
      <c r="AM400" s="1136">
        <v>4</v>
      </c>
      <c r="AN400" s="1137">
        <v>705352000</v>
      </c>
      <c r="AO400" s="1392">
        <v>4.94904605451955E-2</v>
      </c>
      <c r="AP400" s="817"/>
      <c r="AQ400" s="817" t="s">
        <v>538</v>
      </c>
      <c r="AR400" s="817" t="s">
        <v>607</v>
      </c>
      <c r="AS400" s="874" t="s">
        <v>33</v>
      </c>
      <c r="AT400" s="874">
        <v>6</v>
      </c>
      <c r="AU400" s="1114">
        <v>79607369.788687542</v>
      </c>
      <c r="AV400" s="1113">
        <v>0.52664394942950188</v>
      </c>
      <c r="AW400" s="817">
        <v>2006</v>
      </c>
    </row>
    <row r="401" spans="1:49">
      <c r="A401" s="798">
        <f t="shared" si="12"/>
        <v>2003</v>
      </c>
      <c r="B401" s="798">
        <f t="shared" si="13"/>
        <v>3</v>
      </c>
      <c r="C401" s="1105">
        <v>37865</v>
      </c>
      <c r="D401" s="934">
        <v>278.51</v>
      </c>
      <c r="E401" s="1100">
        <v>574.98</v>
      </c>
      <c r="F401" s="1100">
        <v>378.95</v>
      </c>
      <c r="G401" s="1101"/>
      <c r="H401" s="935"/>
      <c r="I401" s="1101"/>
      <c r="J401" s="1101"/>
      <c r="K401" s="936">
        <v>15073.340390140633</v>
      </c>
      <c r="L401" s="936">
        <v>9968</v>
      </c>
      <c r="M401" s="936"/>
      <c r="N401" s="937">
        <v>29.42</v>
      </c>
      <c r="O401" s="938">
        <v>2706.06</v>
      </c>
      <c r="P401" s="938">
        <v>787.84212913957356</v>
      </c>
      <c r="Q401" s="938">
        <v>1237.2296990775744</v>
      </c>
      <c r="R401" s="939">
        <v>12.2</v>
      </c>
      <c r="S401" s="940">
        <v>718.08</v>
      </c>
      <c r="T401" s="940">
        <v>677.79</v>
      </c>
      <c r="U401" s="1756">
        <v>35171</v>
      </c>
      <c r="V401" s="1323"/>
      <c r="W401" s="1323"/>
      <c r="X401" s="538">
        <v>0.6613</v>
      </c>
      <c r="AJ401" s="1136" t="s">
        <v>1</v>
      </c>
      <c r="AK401" s="1136">
        <v>2010</v>
      </c>
      <c r="AL401" s="1136" t="s">
        <v>430</v>
      </c>
      <c r="AM401" s="1136">
        <v>5</v>
      </c>
      <c r="AN401" s="1137">
        <v>501813000</v>
      </c>
      <c r="AO401" s="1392">
        <v>3.5209308937333685E-2</v>
      </c>
      <c r="AP401" s="817"/>
      <c r="AQ401" s="817" t="s">
        <v>538</v>
      </c>
      <c r="AR401" s="817" t="s">
        <v>607</v>
      </c>
      <c r="AS401" s="874" t="s">
        <v>451</v>
      </c>
      <c r="AT401" s="874">
        <v>7</v>
      </c>
      <c r="AU401" s="1114">
        <v>76776845.556884617</v>
      </c>
      <c r="AV401" s="1113">
        <v>0.50791856678780045</v>
      </c>
      <c r="AW401" s="817">
        <v>2006</v>
      </c>
    </row>
    <row r="402" spans="1:49">
      <c r="A402" s="798">
        <f t="shared" si="12"/>
        <v>2003</v>
      </c>
      <c r="B402" s="798">
        <f t="shared" si="13"/>
        <v>4</v>
      </c>
      <c r="C402" s="1105">
        <v>37895</v>
      </c>
      <c r="D402" s="805">
        <v>267.87</v>
      </c>
      <c r="E402" s="1102">
        <v>547.51</v>
      </c>
      <c r="F402" s="1102">
        <v>378.92</v>
      </c>
      <c r="G402" s="1103"/>
      <c r="H402" s="805"/>
      <c r="I402" s="1103"/>
      <c r="J402" s="1103"/>
      <c r="K402" s="84">
        <v>15938.15979232766</v>
      </c>
      <c r="L402" s="84">
        <v>11051.52</v>
      </c>
      <c r="M402" s="84"/>
      <c r="N402" s="805">
        <v>31.72</v>
      </c>
      <c r="O402" s="941">
        <v>2769.74</v>
      </c>
      <c r="P402" s="941">
        <v>847.02913181424867</v>
      </c>
      <c r="Q402" s="941">
        <v>1295.0100951831555</v>
      </c>
      <c r="R402" s="805">
        <v>12.75</v>
      </c>
      <c r="S402" s="805">
        <v>667.52</v>
      </c>
      <c r="T402" s="805">
        <v>684.57</v>
      </c>
      <c r="U402" s="805">
        <v>35371</v>
      </c>
      <c r="V402" s="805"/>
      <c r="W402" s="805"/>
      <c r="X402" s="5">
        <v>0.69340000000000002</v>
      </c>
      <c r="AJ402" s="1136" t="s">
        <v>1</v>
      </c>
      <c r="AK402" s="1136">
        <v>2010</v>
      </c>
      <c r="AL402" s="1136" t="s">
        <v>431</v>
      </c>
      <c r="AM402" s="1136">
        <v>6</v>
      </c>
      <c r="AN402" s="1137">
        <v>465929000</v>
      </c>
      <c r="AO402" s="1392">
        <v>3.2691536695667406E-2</v>
      </c>
      <c r="AP402" s="817"/>
      <c r="AQ402" s="817" t="s">
        <v>538</v>
      </c>
      <c r="AR402" s="817" t="s">
        <v>607</v>
      </c>
      <c r="AS402" s="874" t="s">
        <v>84</v>
      </c>
      <c r="AT402" s="874">
        <v>8</v>
      </c>
      <c r="AU402" s="1114">
        <v>70589148.458777606</v>
      </c>
      <c r="AV402" s="1113">
        <v>0.46698374823682232</v>
      </c>
      <c r="AW402" s="817">
        <v>2006</v>
      </c>
    </row>
    <row r="403" spans="1:49">
      <c r="A403" s="798">
        <f t="shared" si="12"/>
        <v>2003</v>
      </c>
      <c r="B403" s="798">
        <f t="shared" si="13"/>
        <v>4</v>
      </c>
      <c r="C403" s="1105">
        <v>37926</v>
      </c>
      <c r="D403" s="934">
        <v>265.39999999999998</v>
      </c>
      <c r="E403" s="1100">
        <v>545.57000000000005</v>
      </c>
      <c r="F403" s="1100">
        <v>389.91</v>
      </c>
      <c r="G403" s="1101"/>
      <c r="H403" s="935"/>
      <c r="I403" s="1101"/>
      <c r="J403" s="1101"/>
      <c r="K403" s="936">
        <v>16879.449951137791</v>
      </c>
      <c r="L403" s="936">
        <v>12090.75</v>
      </c>
      <c r="M403" s="936"/>
      <c r="N403" s="937">
        <v>30.7</v>
      </c>
      <c r="O403" s="938">
        <v>2869.51</v>
      </c>
      <c r="P403" s="938">
        <v>868.81195030015351</v>
      </c>
      <c r="Q403" s="938">
        <v>1276.7415887198101</v>
      </c>
      <c r="R403" s="939">
        <v>13.75</v>
      </c>
      <c r="S403" s="940">
        <v>715.54</v>
      </c>
      <c r="T403" s="940">
        <v>631.67999999999995</v>
      </c>
      <c r="U403" s="1756">
        <v>47610</v>
      </c>
      <c r="V403" s="1323"/>
      <c r="W403" s="1323"/>
      <c r="X403" s="538">
        <v>0.71630000000000005</v>
      </c>
      <c r="AJ403" s="1136" t="s">
        <v>1</v>
      </c>
      <c r="AK403" s="1136">
        <v>2010</v>
      </c>
      <c r="AL403" s="1136" t="s">
        <v>24</v>
      </c>
      <c r="AM403" s="1136">
        <v>7</v>
      </c>
      <c r="AN403" s="1137">
        <v>219233000</v>
      </c>
      <c r="AO403" s="1392">
        <v>1.5382308601527811E-2</v>
      </c>
      <c r="AP403" s="817"/>
      <c r="AQ403" s="817" t="s">
        <v>538</v>
      </c>
      <c r="AR403" s="817" t="s">
        <v>607</v>
      </c>
      <c r="AS403" s="874" t="s">
        <v>433</v>
      </c>
      <c r="AT403" s="874">
        <v>9</v>
      </c>
      <c r="AU403" s="1114">
        <v>70087631.639891893</v>
      </c>
      <c r="AV403" s="1113">
        <v>0.46366595493571988</v>
      </c>
      <c r="AW403" s="817">
        <v>2006</v>
      </c>
    </row>
    <row r="404" spans="1:49">
      <c r="A404" s="798">
        <f t="shared" si="12"/>
        <v>2003</v>
      </c>
      <c r="B404" s="798">
        <f t="shared" si="13"/>
        <v>4</v>
      </c>
      <c r="C404" s="1105">
        <v>37956</v>
      </c>
      <c r="D404" s="805">
        <v>266.69</v>
      </c>
      <c r="E404" s="1102">
        <v>558.87</v>
      </c>
      <c r="F404" s="1102">
        <v>406.95</v>
      </c>
      <c r="G404" s="1103"/>
      <c r="H404" s="805"/>
      <c r="I404" s="1103"/>
      <c r="J404" s="1103"/>
      <c r="K404" s="84">
        <v>19171.31646597213</v>
      </c>
      <c r="L404" s="84">
        <v>14169.52</v>
      </c>
      <c r="M404" s="84"/>
      <c r="N404" s="805">
        <v>31.32</v>
      </c>
      <c r="O404" s="941">
        <v>2978.34</v>
      </c>
      <c r="P404" s="941">
        <v>936.36855635232052</v>
      </c>
      <c r="Q404" s="941">
        <v>1322.9062373156542</v>
      </c>
      <c r="R404" s="805">
        <v>15.5</v>
      </c>
      <c r="S404" s="805">
        <v>699.79</v>
      </c>
      <c r="T404" s="805">
        <v>627.41</v>
      </c>
      <c r="U404" s="805">
        <v>59732</v>
      </c>
      <c r="V404" s="805"/>
      <c r="W404" s="805"/>
      <c r="X404" s="5">
        <v>0.73909999999999998</v>
      </c>
      <c r="AJ404" s="1136" t="s">
        <v>1</v>
      </c>
      <c r="AK404" s="1136">
        <v>2010</v>
      </c>
      <c r="AL404" s="1136" t="s">
        <v>434</v>
      </c>
      <c r="AM404" s="1136">
        <v>8</v>
      </c>
      <c r="AN404" s="1137">
        <v>153003000</v>
      </c>
      <c r="AO404" s="1392">
        <v>1.0735333471510036E-2</v>
      </c>
      <c r="AP404" s="817"/>
      <c r="AQ404" s="817" t="s">
        <v>538</v>
      </c>
      <c r="AR404" s="817" t="s">
        <v>607</v>
      </c>
      <c r="AS404" s="874" t="s">
        <v>72</v>
      </c>
      <c r="AT404" s="874">
        <v>10</v>
      </c>
      <c r="AU404" s="1114">
        <v>54329488.910289481</v>
      </c>
      <c r="AV404" s="1113">
        <v>0.35941768565084631</v>
      </c>
      <c r="AW404" s="817">
        <v>2006</v>
      </c>
    </row>
    <row r="405" spans="1:49">
      <c r="A405" s="798">
        <f t="shared" si="12"/>
        <v>2004</v>
      </c>
      <c r="B405" s="798">
        <f t="shared" si="13"/>
        <v>1</v>
      </c>
      <c r="C405" s="1105">
        <v>37987</v>
      </c>
      <c r="D405" s="934">
        <v>259.39999999999998</v>
      </c>
      <c r="E405" s="1100">
        <v>539.39</v>
      </c>
      <c r="F405" s="1100">
        <v>413.79</v>
      </c>
      <c r="G405" s="1101"/>
      <c r="H405" s="935"/>
      <c r="I405" s="1101"/>
      <c r="J405" s="1101"/>
      <c r="K405" s="936">
        <v>19941.672084254322</v>
      </c>
      <c r="L405" s="936">
        <v>15337.14</v>
      </c>
      <c r="M405" s="936"/>
      <c r="N405" s="937">
        <v>33.46</v>
      </c>
      <c r="O405" s="938">
        <v>3151.18</v>
      </c>
      <c r="P405" s="938">
        <v>986.0616304771811</v>
      </c>
      <c r="Q405" s="938">
        <v>1322.3247952151867</v>
      </c>
      <c r="R405" s="939">
        <v>15.5</v>
      </c>
      <c r="S405" s="940">
        <v>638.47</v>
      </c>
      <c r="T405" s="940">
        <v>679.09</v>
      </c>
      <c r="U405" s="1756">
        <v>76439</v>
      </c>
      <c r="V405" s="1323"/>
      <c r="W405" s="1323"/>
      <c r="X405" s="538">
        <v>0.76910000000000001</v>
      </c>
      <c r="AJ405" s="1136" t="s">
        <v>1</v>
      </c>
      <c r="AK405" s="1136">
        <v>2010</v>
      </c>
      <c r="AL405" s="1136" t="s">
        <v>67</v>
      </c>
      <c r="AM405" s="1136">
        <v>9</v>
      </c>
      <c r="AN405" s="1137">
        <v>29706000</v>
      </c>
      <c r="AO405" s="1392">
        <v>2.0842977987665413E-3</v>
      </c>
      <c r="AP405" s="817"/>
      <c r="AQ405" s="817" t="s">
        <v>538</v>
      </c>
      <c r="AR405" s="817" t="s">
        <v>607</v>
      </c>
      <c r="AS405" s="874" t="s">
        <v>462</v>
      </c>
      <c r="AT405" s="874">
        <v>11</v>
      </c>
      <c r="AU405" s="1114">
        <v>47146821.050734408</v>
      </c>
      <c r="AV405" s="1113">
        <v>0.31190062059722906</v>
      </c>
      <c r="AW405" s="817">
        <v>2006</v>
      </c>
    </row>
    <row r="406" spans="1:49">
      <c r="A406" s="798">
        <f t="shared" si="12"/>
        <v>2004</v>
      </c>
      <c r="B406" s="798">
        <f t="shared" si="13"/>
        <v>1</v>
      </c>
      <c r="C406" s="1105">
        <v>38018</v>
      </c>
      <c r="D406" s="805">
        <v>270.06</v>
      </c>
      <c r="E406" s="1102">
        <v>521.34</v>
      </c>
      <c r="F406" s="1102">
        <v>404.88</v>
      </c>
      <c r="G406" s="1103"/>
      <c r="H406" s="805"/>
      <c r="I406" s="1103"/>
      <c r="J406" s="1103"/>
      <c r="K406" s="84">
        <v>19483.734087694484</v>
      </c>
      <c r="L406" s="84">
        <v>15152.5</v>
      </c>
      <c r="M406" s="84"/>
      <c r="N406" s="805">
        <v>34.31</v>
      </c>
      <c r="O406" s="941">
        <v>3548.32</v>
      </c>
      <c r="P406" s="941">
        <v>1142.4456731387424</v>
      </c>
      <c r="Q406" s="941">
        <v>1398.5855728429988</v>
      </c>
      <c r="R406" s="805">
        <v>16.5</v>
      </c>
      <c r="S406" s="805">
        <v>673.56</v>
      </c>
      <c r="T406" s="805">
        <v>746.2</v>
      </c>
      <c r="U406" s="805">
        <v>85753</v>
      </c>
      <c r="V406" s="805"/>
      <c r="W406" s="805"/>
      <c r="X406" s="5">
        <v>0.77769999999999995</v>
      </c>
      <c r="AJ406" s="1136" t="s">
        <v>1</v>
      </c>
      <c r="AK406" s="1136">
        <v>2010</v>
      </c>
      <c r="AL406" s="1136" t="s">
        <v>643</v>
      </c>
      <c r="AM406" s="1136">
        <v>10</v>
      </c>
      <c r="AN406" s="1137">
        <v>27416000</v>
      </c>
      <c r="AO406" s="1392">
        <v>1.9236217750953847E-3</v>
      </c>
      <c r="AP406" s="817"/>
      <c r="AQ406" s="817" t="s">
        <v>538</v>
      </c>
      <c r="AR406" s="817" t="s">
        <v>607</v>
      </c>
      <c r="AS406" s="874" t="s">
        <v>68</v>
      </c>
      <c r="AT406" s="874">
        <v>12</v>
      </c>
      <c r="AU406" s="1114">
        <v>44366943.154053465</v>
      </c>
      <c r="AV406" s="1113">
        <v>0.29351028967276899</v>
      </c>
      <c r="AW406" s="817">
        <v>2006</v>
      </c>
    </row>
    <row r="407" spans="1:49">
      <c r="A407" s="798">
        <f t="shared" si="12"/>
        <v>2004</v>
      </c>
      <c r="B407" s="798">
        <f t="shared" si="13"/>
        <v>1</v>
      </c>
      <c r="C407" s="1105">
        <v>38047</v>
      </c>
      <c r="D407" s="934">
        <v>293.98</v>
      </c>
      <c r="E407" s="1100">
        <v>543.39</v>
      </c>
      <c r="F407" s="1100">
        <v>406.67</v>
      </c>
      <c r="G407" s="1101"/>
      <c r="H407" s="935"/>
      <c r="I407" s="1101"/>
      <c r="J407" s="1101"/>
      <c r="K407" s="936">
        <v>18311.462503336003</v>
      </c>
      <c r="L407" s="936">
        <v>13722.61</v>
      </c>
      <c r="M407" s="936"/>
      <c r="N407" s="937">
        <v>35.79</v>
      </c>
      <c r="O407" s="938">
        <v>4014.84</v>
      </c>
      <c r="P407" s="938">
        <v>1182.9196690685883</v>
      </c>
      <c r="Q407" s="938">
        <v>1475.5537763544169</v>
      </c>
      <c r="R407" s="939">
        <v>17.5</v>
      </c>
      <c r="S407" s="940">
        <v>670.31</v>
      </c>
      <c r="T407" s="940">
        <v>701.5</v>
      </c>
      <c r="U407" s="1756">
        <v>88991</v>
      </c>
      <c r="V407" s="1323"/>
      <c r="W407" s="1323"/>
      <c r="X407" s="538">
        <v>0.74939999999999996</v>
      </c>
      <c r="AJ407" s="1136" t="s">
        <v>1</v>
      </c>
      <c r="AK407" s="1136">
        <v>2010</v>
      </c>
      <c r="AL407" s="1136" t="s">
        <v>45</v>
      </c>
      <c r="AM407" s="1136"/>
      <c r="AN407" s="1137">
        <v>60958000</v>
      </c>
      <c r="AO407" s="1392">
        <v>4.2770694545617325E-3</v>
      </c>
      <c r="AP407" s="817"/>
      <c r="AQ407" s="817" t="s">
        <v>538</v>
      </c>
      <c r="AR407" s="817" t="s">
        <v>607</v>
      </c>
      <c r="AS407" s="874" t="s">
        <v>45</v>
      </c>
      <c r="AT407" s="874"/>
      <c r="AU407" s="1114">
        <v>17694484.203707457</v>
      </c>
      <c r="AV407" s="1113">
        <v>0.11705817022838814</v>
      </c>
      <c r="AW407" s="817">
        <v>2006</v>
      </c>
    </row>
    <row r="408" spans="1:49">
      <c r="A408" s="798">
        <f t="shared" si="12"/>
        <v>2004</v>
      </c>
      <c r="B408" s="798">
        <f t="shared" si="13"/>
        <v>2</v>
      </c>
      <c r="C408" s="1105">
        <v>38078</v>
      </c>
      <c r="D408" s="805">
        <v>281.06</v>
      </c>
      <c r="E408" s="1102">
        <v>545.07000000000005</v>
      </c>
      <c r="F408" s="1102">
        <v>403.26</v>
      </c>
      <c r="G408" s="1103"/>
      <c r="H408" s="805"/>
      <c r="I408" s="1103"/>
      <c r="J408" s="1103"/>
      <c r="K408" s="84">
        <v>17257.317400644468</v>
      </c>
      <c r="L408" s="84">
        <v>12853.25</v>
      </c>
      <c r="M408" s="84"/>
      <c r="N408" s="805">
        <v>35.11</v>
      </c>
      <c r="O408" s="941">
        <v>3959.09</v>
      </c>
      <c r="P408" s="941">
        <v>1011.922663802363</v>
      </c>
      <c r="Q408" s="941">
        <v>1386.5870032223415</v>
      </c>
      <c r="R408" s="805">
        <v>17.600000000000001</v>
      </c>
      <c r="S408" s="805">
        <v>679.88</v>
      </c>
      <c r="T408" s="805">
        <v>736.79</v>
      </c>
      <c r="U408" s="805">
        <v>87617</v>
      </c>
      <c r="V408" s="805"/>
      <c r="W408" s="805"/>
      <c r="X408" s="5">
        <v>0.74480000000000002</v>
      </c>
      <c r="AJ408" s="1136" t="s">
        <v>1</v>
      </c>
      <c r="AK408" s="1136">
        <v>2010</v>
      </c>
      <c r="AL408" s="1136" t="s">
        <v>452</v>
      </c>
      <c r="AM408" s="1136"/>
      <c r="AN408" s="1137">
        <v>14252282000</v>
      </c>
      <c r="AO408" s="1392">
        <v>1</v>
      </c>
      <c r="AP408" s="817"/>
      <c r="AQ408" s="817" t="s">
        <v>538</v>
      </c>
      <c r="AR408" s="817" t="s">
        <v>607</v>
      </c>
      <c r="AS408" s="874" t="s">
        <v>452</v>
      </c>
      <c r="AT408" s="874"/>
      <c r="AU408" s="1114">
        <v>1408651001.055871</v>
      </c>
      <c r="AV408" s="874"/>
      <c r="AW408" s="817">
        <v>2006</v>
      </c>
    </row>
    <row r="409" spans="1:49">
      <c r="A409" s="798">
        <f t="shared" si="12"/>
        <v>2004</v>
      </c>
      <c r="B409" s="798">
        <f t="shared" si="13"/>
        <v>2</v>
      </c>
      <c r="C409" s="1105">
        <v>38108</v>
      </c>
      <c r="D409" s="934">
        <v>312.65602712448384</v>
      </c>
      <c r="E409" s="1100">
        <v>545.96</v>
      </c>
      <c r="F409" s="1100">
        <v>383.78</v>
      </c>
      <c r="G409" s="1101"/>
      <c r="H409" s="935"/>
      <c r="I409" s="1101"/>
      <c r="J409" s="1101"/>
      <c r="K409" s="936">
        <v>15768.953785086474</v>
      </c>
      <c r="L409" s="936">
        <v>11123.42</v>
      </c>
      <c r="M409" s="936"/>
      <c r="N409" s="937">
        <v>39.72</v>
      </c>
      <c r="O409" s="938">
        <v>3875.11</v>
      </c>
      <c r="P409" s="938">
        <v>1146.7110859087043</v>
      </c>
      <c r="Q409" s="938">
        <v>1457.7402891976183</v>
      </c>
      <c r="R409" s="939">
        <v>17.850000000000001</v>
      </c>
      <c r="S409" s="940">
        <v>765</v>
      </c>
      <c r="T409" s="940">
        <v>794.09</v>
      </c>
      <c r="U409" s="1756">
        <v>91221</v>
      </c>
      <c r="V409" s="1323"/>
      <c r="W409" s="1323"/>
      <c r="X409" s="538">
        <v>0.70540000000000003</v>
      </c>
      <c r="AJ409" s="1138" t="s">
        <v>1</v>
      </c>
      <c r="AK409" s="1138">
        <v>2011</v>
      </c>
      <c r="AL409" s="1138" t="s">
        <v>72</v>
      </c>
      <c r="AM409" s="1138">
        <v>1</v>
      </c>
      <c r="AN409" s="1139">
        <v>4246145000</v>
      </c>
      <c r="AO409" s="1392">
        <v>0.284837540815705</v>
      </c>
      <c r="AP409" s="817"/>
      <c r="AQ409" s="817" t="s">
        <v>538</v>
      </c>
      <c r="AR409" s="817" t="s">
        <v>606</v>
      </c>
      <c r="AS409" s="874" t="s">
        <v>165</v>
      </c>
      <c r="AT409" s="874">
        <v>1</v>
      </c>
      <c r="AU409" s="1114">
        <v>151159753.89999998</v>
      </c>
      <c r="AV409" s="1113">
        <v>1.3141292784930139</v>
      </c>
      <c r="AW409" s="817">
        <v>2005</v>
      </c>
    </row>
    <row r="410" spans="1:49">
      <c r="A410" s="798">
        <f t="shared" si="12"/>
        <v>2004</v>
      </c>
      <c r="B410" s="798">
        <f t="shared" si="13"/>
        <v>2</v>
      </c>
      <c r="C410" s="1105">
        <v>38139</v>
      </c>
      <c r="D410" s="805">
        <v>313.13989168059061</v>
      </c>
      <c r="E410" s="1102">
        <v>565.07000000000005</v>
      </c>
      <c r="F410" s="1102">
        <v>392.48</v>
      </c>
      <c r="G410" s="1103"/>
      <c r="H410" s="805"/>
      <c r="I410" s="1103"/>
      <c r="J410" s="1103"/>
      <c r="K410" s="84">
        <v>19498.199884792626</v>
      </c>
      <c r="L410" s="84">
        <v>13539.55</v>
      </c>
      <c r="M410" s="84"/>
      <c r="N410" s="805">
        <v>38.200000000000003</v>
      </c>
      <c r="O410" s="941">
        <v>3869.1</v>
      </c>
      <c r="P410" s="941">
        <v>1253.3410138248848</v>
      </c>
      <c r="Q410" s="941">
        <v>1470.9821428571429</v>
      </c>
      <c r="R410" s="805">
        <v>18.5</v>
      </c>
      <c r="S410" s="805">
        <v>823.79108216432871</v>
      </c>
      <c r="T410" s="805">
        <v>758.69672727272723</v>
      </c>
      <c r="U410" s="805">
        <v>87110</v>
      </c>
      <c r="V410" s="805"/>
      <c r="W410" s="805"/>
      <c r="X410" s="5">
        <v>0.69440000000000002</v>
      </c>
      <c r="AJ410" s="1138" t="s">
        <v>1</v>
      </c>
      <c r="AK410" s="1138">
        <v>2011</v>
      </c>
      <c r="AL410" s="1138" t="s">
        <v>27</v>
      </c>
      <c r="AM410" s="1138">
        <v>2</v>
      </c>
      <c r="AN410" s="1139">
        <v>4042710000</v>
      </c>
      <c r="AO410" s="1392">
        <v>0.27119082712226239</v>
      </c>
      <c r="AP410" s="817"/>
      <c r="AQ410" s="817" t="s">
        <v>538</v>
      </c>
      <c r="AR410" s="817" t="s">
        <v>606</v>
      </c>
      <c r="AS410" s="874" t="s">
        <v>24</v>
      </c>
      <c r="AT410" s="874">
        <v>2</v>
      </c>
      <c r="AU410" s="1114">
        <v>80717187.300000012</v>
      </c>
      <c r="AV410" s="1113">
        <v>0.70172659303684193</v>
      </c>
      <c r="AW410" s="817">
        <v>2005</v>
      </c>
    </row>
    <row r="411" spans="1:49">
      <c r="A411" s="798">
        <f t="shared" si="12"/>
        <v>2004</v>
      </c>
      <c r="B411" s="798">
        <f t="shared" si="13"/>
        <v>3</v>
      </c>
      <c r="C411" s="1105">
        <v>38169</v>
      </c>
      <c r="D411" s="934">
        <v>305.80146586752761</v>
      </c>
      <c r="E411" s="1100">
        <v>557.38</v>
      </c>
      <c r="F411" s="1100">
        <v>399.58</v>
      </c>
      <c r="G411" s="1101"/>
      <c r="H411" s="935"/>
      <c r="I411" s="1101"/>
      <c r="J411" s="1101"/>
      <c r="K411" s="936">
        <v>21609.531339850488</v>
      </c>
      <c r="L411" s="936">
        <v>15031.59</v>
      </c>
      <c r="M411" s="936"/>
      <c r="N411" s="937">
        <v>41.1</v>
      </c>
      <c r="O411" s="938">
        <v>4037.42</v>
      </c>
      <c r="P411" s="938">
        <v>1350.7619321449108</v>
      </c>
      <c r="Q411" s="938">
        <v>1420.8165612420933</v>
      </c>
      <c r="R411" s="939">
        <v>18.5</v>
      </c>
      <c r="S411" s="940">
        <v>772.26432532347508</v>
      </c>
      <c r="T411" s="940">
        <v>814.05307430402559</v>
      </c>
      <c r="U411" s="1756">
        <v>82562</v>
      </c>
      <c r="V411" s="1323"/>
      <c r="W411" s="1323"/>
      <c r="X411" s="538">
        <v>0.6956</v>
      </c>
      <c r="AJ411" s="1138" t="s">
        <v>1</v>
      </c>
      <c r="AK411" s="1138">
        <v>2011</v>
      </c>
      <c r="AL411" s="1138" t="s">
        <v>39</v>
      </c>
      <c r="AM411" s="1138">
        <v>3</v>
      </c>
      <c r="AN411" s="1139">
        <v>2632482000</v>
      </c>
      <c r="AO411" s="1392">
        <v>0.1765906955889657</v>
      </c>
      <c r="AP411" s="817"/>
      <c r="AQ411" s="817" t="s">
        <v>538</v>
      </c>
      <c r="AR411" s="817" t="s">
        <v>606</v>
      </c>
      <c r="AS411" s="874" t="s">
        <v>72</v>
      </c>
      <c r="AT411" s="874">
        <v>3</v>
      </c>
      <c r="AU411" s="1114">
        <v>75309007.799999997</v>
      </c>
      <c r="AV411" s="1113">
        <v>0.65470979894363768</v>
      </c>
      <c r="AW411" s="817">
        <v>2005</v>
      </c>
    </row>
    <row r="412" spans="1:49">
      <c r="A412" s="798">
        <f t="shared" si="12"/>
        <v>2004</v>
      </c>
      <c r="B412" s="798">
        <f t="shared" si="13"/>
        <v>3</v>
      </c>
      <c r="C412" s="1105">
        <v>38200</v>
      </c>
      <c r="D412" s="805">
        <v>317.12463599734076</v>
      </c>
      <c r="E412" s="1102">
        <v>565.04</v>
      </c>
      <c r="F412" s="1102">
        <v>400.53</v>
      </c>
      <c r="G412" s="1103"/>
      <c r="H412" s="805"/>
      <c r="I412" s="1103"/>
      <c r="J412" s="1103"/>
      <c r="K412" s="84">
        <v>19265.132319819819</v>
      </c>
      <c r="L412" s="84">
        <v>13685.95</v>
      </c>
      <c r="M412" s="84"/>
      <c r="N412" s="805">
        <v>47.03</v>
      </c>
      <c r="O412" s="941">
        <v>4006.33</v>
      </c>
      <c r="P412" s="941">
        <v>1297.5929054054052</v>
      </c>
      <c r="Q412" s="941">
        <v>1373.6064189189187</v>
      </c>
      <c r="R412" s="805">
        <v>19.25</v>
      </c>
      <c r="S412" s="805">
        <v>785.52876693903625</v>
      </c>
      <c r="T412" s="805">
        <v>817.64513621426806</v>
      </c>
      <c r="U412" s="805">
        <v>78747</v>
      </c>
      <c r="V412" s="805"/>
      <c r="W412" s="805"/>
      <c r="X412" s="5">
        <v>0.71040000000000003</v>
      </c>
      <c r="AJ412" s="1138" t="s">
        <v>1</v>
      </c>
      <c r="AK412" s="1138">
        <v>2011</v>
      </c>
      <c r="AL412" s="1138" t="s">
        <v>646</v>
      </c>
      <c r="AM412" s="1138">
        <v>4</v>
      </c>
      <c r="AN412" s="1139">
        <v>1529407000</v>
      </c>
      <c r="AO412" s="1392">
        <v>0.10259483102586581</v>
      </c>
      <c r="AP412" s="817"/>
      <c r="AQ412" s="817" t="s">
        <v>538</v>
      </c>
      <c r="AR412" s="817" t="s">
        <v>606</v>
      </c>
      <c r="AS412" s="874" t="s">
        <v>68</v>
      </c>
      <c r="AT412" s="874">
        <v>4</v>
      </c>
      <c r="AU412" s="1114">
        <v>57440321</v>
      </c>
      <c r="AV412" s="1113">
        <v>0.49936577458358195</v>
      </c>
      <c r="AW412" s="817">
        <v>2005</v>
      </c>
    </row>
    <row r="413" spans="1:49">
      <c r="A413" s="798">
        <f t="shared" si="12"/>
        <v>2004</v>
      </c>
      <c r="B413" s="798">
        <f t="shared" si="13"/>
        <v>3</v>
      </c>
      <c r="C413" s="1105">
        <v>38231</v>
      </c>
      <c r="D413" s="934">
        <v>324.86142024539078</v>
      </c>
      <c r="E413" s="1100">
        <v>578.16</v>
      </c>
      <c r="F413" s="1100">
        <v>405.25</v>
      </c>
      <c r="G413" s="1101"/>
      <c r="H413" s="935"/>
      <c r="I413" s="1101"/>
      <c r="J413" s="1101"/>
      <c r="K413" s="936">
        <v>18897.338457159123</v>
      </c>
      <c r="L413" s="936">
        <v>13277.27</v>
      </c>
      <c r="M413" s="936"/>
      <c r="N413" s="937">
        <v>47.97</v>
      </c>
      <c r="O413" s="938">
        <v>4120.21</v>
      </c>
      <c r="P413" s="938">
        <v>1331.4118986621122</v>
      </c>
      <c r="Q413" s="938">
        <v>1387.9590093936806</v>
      </c>
      <c r="R413" s="939">
        <v>20</v>
      </c>
      <c r="S413" s="940">
        <v>754.7889295415489</v>
      </c>
      <c r="T413" s="940">
        <v>821.04410107149488</v>
      </c>
      <c r="U413" s="1756">
        <v>78347</v>
      </c>
      <c r="V413" s="1323"/>
      <c r="W413" s="1323"/>
      <c r="X413" s="538">
        <v>0.7026</v>
      </c>
      <c r="AJ413" s="1138" t="s">
        <v>1</v>
      </c>
      <c r="AK413" s="1138">
        <v>2011</v>
      </c>
      <c r="AL413" s="1138" t="s">
        <v>70</v>
      </c>
      <c r="AM413" s="1138">
        <v>5</v>
      </c>
      <c r="AN413" s="1139">
        <v>1170101000</v>
      </c>
      <c r="AO413" s="1392">
        <v>7.849206547256328E-2</v>
      </c>
      <c r="AP413" s="817"/>
      <c r="AQ413" s="817" t="s">
        <v>538</v>
      </c>
      <c r="AR413" s="817" t="s">
        <v>606</v>
      </c>
      <c r="AS413" s="874" t="s">
        <v>84</v>
      </c>
      <c r="AT413" s="874">
        <v>5</v>
      </c>
      <c r="AU413" s="1114">
        <v>53882912.099999994</v>
      </c>
      <c r="AV413" s="1113">
        <v>0.46843892355050654</v>
      </c>
      <c r="AW413" s="817">
        <v>2005</v>
      </c>
    </row>
    <row r="414" spans="1:49">
      <c r="A414" s="798">
        <f t="shared" si="12"/>
        <v>2004</v>
      </c>
      <c r="B414" s="798">
        <f t="shared" si="13"/>
        <v>4</v>
      </c>
      <c r="C414" s="1105">
        <v>38261</v>
      </c>
      <c r="D414" s="805">
        <v>300.92056502564304</v>
      </c>
      <c r="E414" s="1102">
        <v>575.25</v>
      </c>
      <c r="F414" s="1102">
        <v>420.46</v>
      </c>
      <c r="G414" s="1103"/>
      <c r="H414" s="805"/>
      <c r="I414" s="1103"/>
      <c r="J414" s="1103"/>
      <c r="K414" s="84">
        <v>19673.324232081908</v>
      </c>
      <c r="L414" s="84">
        <v>14410.71</v>
      </c>
      <c r="M414" s="84"/>
      <c r="N414" s="805">
        <v>53.19</v>
      </c>
      <c r="O414" s="941">
        <v>4112.2700000000004</v>
      </c>
      <c r="P414" s="941">
        <v>1273.3924914675767</v>
      </c>
      <c r="Q414" s="941">
        <v>1453.8566552901025</v>
      </c>
      <c r="R414" s="805">
        <v>20.25</v>
      </c>
      <c r="S414" s="805">
        <v>749.5683159328189</v>
      </c>
      <c r="T414" s="805">
        <v>884.09047619047624</v>
      </c>
      <c r="U414" s="805">
        <v>69826</v>
      </c>
      <c r="V414" s="805"/>
      <c r="W414" s="805"/>
      <c r="X414" s="5">
        <v>0.73250000000000004</v>
      </c>
      <c r="AJ414" s="1138" t="s">
        <v>1</v>
      </c>
      <c r="AK414" s="1138">
        <v>2011</v>
      </c>
      <c r="AL414" s="1138" t="s">
        <v>643</v>
      </c>
      <c r="AM414" s="1138">
        <v>6</v>
      </c>
      <c r="AN414" s="1139">
        <v>383599000</v>
      </c>
      <c r="AO414" s="1392">
        <v>2.5732375088312723E-2</v>
      </c>
      <c r="AP414" s="817"/>
      <c r="AQ414" s="817" t="s">
        <v>538</v>
      </c>
      <c r="AR414" s="817" t="s">
        <v>606</v>
      </c>
      <c r="AS414" s="874" t="s">
        <v>433</v>
      </c>
      <c r="AT414" s="874">
        <v>6</v>
      </c>
      <c r="AU414" s="1114">
        <v>42472038.039999999</v>
      </c>
      <c r="AV414" s="1113">
        <v>0.36923683232877402</v>
      </c>
      <c r="AW414" s="817">
        <v>2005</v>
      </c>
    </row>
    <row r="415" spans="1:49">
      <c r="A415" s="798">
        <f t="shared" si="12"/>
        <v>2004</v>
      </c>
      <c r="B415" s="798">
        <f t="shared" si="13"/>
        <v>4</v>
      </c>
      <c r="C415" s="1105">
        <v>38292</v>
      </c>
      <c r="D415" s="934">
        <v>299.96954219967046</v>
      </c>
      <c r="E415" s="1100">
        <v>570.01</v>
      </c>
      <c r="F415" s="1100">
        <v>439.34</v>
      </c>
      <c r="G415" s="1101"/>
      <c r="H415" s="935"/>
      <c r="I415" s="1101"/>
      <c r="J415" s="1101"/>
      <c r="K415" s="936">
        <v>18251.181818181816</v>
      </c>
      <c r="L415" s="936">
        <v>14053.41</v>
      </c>
      <c r="M415" s="936"/>
      <c r="N415" s="937">
        <v>47.02</v>
      </c>
      <c r="O415" s="938">
        <v>4055.58</v>
      </c>
      <c r="P415" s="938">
        <v>1256.8831168831168</v>
      </c>
      <c r="Q415" s="938">
        <v>1422.909090909091</v>
      </c>
      <c r="R415" s="939">
        <v>20.5</v>
      </c>
      <c r="S415" s="940">
        <v>695.46671709531017</v>
      </c>
      <c r="T415" s="940">
        <v>832.57957681692733</v>
      </c>
      <c r="U415" s="1756">
        <v>49389</v>
      </c>
      <c r="V415" s="1323"/>
      <c r="W415" s="1323"/>
      <c r="X415" s="538">
        <v>0.77</v>
      </c>
      <c r="AJ415" s="1138" t="s">
        <v>1</v>
      </c>
      <c r="AK415" s="1138">
        <v>2011</v>
      </c>
      <c r="AL415" s="1138" t="s">
        <v>431</v>
      </c>
      <c r="AM415" s="1138">
        <v>7</v>
      </c>
      <c r="AN415" s="1139">
        <v>324588000</v>
      </c>
      <c r="AO415" s="1392">
        <v>2.1773831957761228E-2</v>
      </c>
      <c r="AP415" s="817"/>
      <c r="AQ415" s="817" t="s">
        <v>538</v>
      </c>
      <c r="AR415" s="817" t="s">
        <v>606</v>
      </c>
      <c r="AS415" s="874" t="s">
        <v>33</v>
      </c>
      <c r="AT415" s="874">
        <v>7</v>
      </c>
      <c r="AU415" s="1114">
        <v>40988402.799999997</v>
      </c>
      <c r="AV415" s="1113">
        <v>0.35633863385209591</v>
      </c>
      <c r="AW415" s="817">
        <v>2005</v>
      </c>
    </row>
    <row r="416" spans="1:49">
      <c r="A416" s="798">
        <f t="shared" si="12"/>
        <v>2004</v>
      </c>
      <c r="B416" s="798">
        <f t="shared" si="13"/>
        <v>4</v>
      </c>
      <c r="C416" s="1105">
        <v>38322</v>
      </c>
      <c r="D416" s="805">
        <v>311.97874770190788</v>
      </c>
      <c r="E416" s="1102">
        <v>578.58000000000004</v>
      </c>
      <c r="F416" s="1102">
        <v>442.08</v>
      </c>
      <c r="G416" s="1103"/>
      <c r="H416" s="805"/>
      <c r="I416" s="1103"/>
      <c r="J416" s="1103"/>
      <c r="K416" s="84">
        <v>17941.794738213073</v>
      </c>
      <c r="L416" s="84">
        <v>13775.71</v>
      </c>
      <c r="M416" s="84"/>
      <c r="N416" s="805">
        <v>39.04</v>
      </c>
      <c r="O416" s="941">
        <v>4096.7</v>
      </c>
      <c r="P416" s="941">
        <v>1269.7317009637925</v>
      </c>
      <c r="Q416" s="941">
        <v>1537.1320656420942</v>
      </c>
      <c r="R416" s="805">
        <v>20.7</v>
      </c>
      <c r="S416" s="805">
        <v>711.76</v>
      </c>
      <c r="T416" s="805">
        <v>838.50684061163111</v>
      </c>
      <c r="U416" s="805">
        <v>55704</v>
      </c>
      <c r="V416" s="805"/>
      <c r="W416" s="805"/>
      <c r="X416" s="5">
        <v>0.76780000000000004</v>
      </c>
      <c r="AJ416" s="1138" t="s">
        <v>1</v>
      </c>
      <c r="AK416" s="1138">
        <v>2011</v>
      </c>
      <c r="AL416" s="1138" t="s">
        <v>434</v>
      </c>
      <c r="AM416" s="1138">
        <v>8</v>
      </c>
      <c r="AN416" s="1139">
        <v>322483000</v>
      </c>
      <c r="AO416" s="1392">
        <v>2.163262551676191E-2</v>
      </c>
      <c r="AP416" s="817"/>
      <c r="AQ416" s="817" t="s">
        <v>538</v>
      </c>
      <c r="AR416" s="817" t="s">
        <v>606</v>
      </c>
      <c r="AS416" s="874" t="s">
        <v>37</v>
      </c>
      <c r="AT416" s="874">
        <v>8</v>
      </c>
      <c r="AU416" s="1114">
        <v>35200458.400000006</v>
      </c>
      <c r="AV416" s="1113">
        <v>0.30602029843484257</v>
      </c>
      <c r="AW416" s="817">
        <v>2005</v>
      </c>
    </row>
    <row r="417" spans="1:49">
      <c r="A417" s="798">
        <f t="shared" si="12"/>
        <v>2005</v>
      </c>
      <c r="B417" s="798">
        <f t="shared" si="13"/>
        <v>1</v>
      </c>
      <c r="C417" s="1105">
        <v>38353</v>
      </c>
      <c r="D417" s="934">
        <v>302.56988283890593</v>
      </c>
      <c r="E417" s="1100">
        <v>554.91999999999996</v>
      </c>
      <c r="F417" s="1100">
        <v>424.03</v>
      </c>
      <c r="G417" s="1101"/>
      <c r="H417" s="935"/>
      <c r="I417" s="1101"/>
      <c r="J417" s="1101"/>
      <c r="K417" s="936">
        <v>18950.875359289261</v>
      </c>
      <c r="L417" s="936">
        <v>14505</v>
      </c>
      <c r="M417" s="936">
        <v>3.34</v>
      </c>
      <c r="N417" s="937">
        <v>46.39</v>
      </c>
      <c r="O417" s="938">
        <v>4141.63</v>
      </c>
      <c r="P417" s="938">
        <v>1245.296576953227</v>
      </c>
      <c r="Q417" s="938">
        <v>1628.4034491769012</v>
      </c>
      <c r="R417" s="939">
        <v>21</v>
      </c>
      <c r="S417" s="940">
        <v>784.87278287461777</v>
      </c>
      <c r="T417" s="940">
        <v>906.8054837040869</v>
      </c>
      <c r="U417" s="1756">
        <v>58327</v>
      </c>
      <c r="V417" s="1323"/>
      <c r="W417" s="1323"/>
      <c r="X417" s="538">
        <v>0.76539999999999997</v>
      </c>
      <c r="Y417" s="948"/>
      <c r="AJ417" s="1138" t="s">
        <v>1</v>
      </c>
      <c r="AK417" s="1138">
        <v>2011</v>
      </c>
      <c r="AL417" s="1138" t="s">
        <v>67</v>
      </c>
      <c r="AM417" s="1138">
        <v>9</v>
      </c>
      <c r="AN417" s="1139">
        <v>93559000</v>
      </c>
      <c r="AO417" s="1392">
        <v>6.2760728805013825E-3</v>
      </c>
      <c r="AP417" s="817"/>
      <c r="AQ417" s="817" t="s">
        <v>538</v>
      </c>
      <c r="AR417" s="817" t="s">
        <v>606</v>
      </c>
      <c r="AS417" s="874" t="s">
        <v>29</v>
      </c>
      <c r="AT417" s="874">
        <v>9</v>
      </c>
      <c r="AU417" s="1114">
        <v>33520985.699999999</v>
      </c>
      <c r="AV417" s="1113">
        <v>0.29141955855166046</v>
      </c>
      <c r="AW417" s="817">
        <v>2005</v>
      </c>
    </row>
    <row r="418" spans="1:49">
      <c r="A418" s="798">
        <f t="shared" si="12"/>
        <v>2005</v>
      </c>
      <c r="B418" s="798">
        <f t="shared" si="13"/>
        <v>1</v>
      </c>
      <c r="C418" s="1105">
        <v>38384</v>
      </c>
      <c r="D418" s="805">
        <v>295.40217391796699</v>
      </c>
      <c r="E418" s="1102">
        <v>544.32000000000005</v>
      </c>
      <c r="F418" s="1102">
        <v>423.35</v>
      </c>
      <c r="G418" s="1103"/>
      <c r="H418" s="805"/>
      <c r="I418" s="1103"/>
      <c r="J418" s="1103"/>
      <c r="K418" s="84">
        <v>19663.720215219062</v>
      </c>
      <c r="L418" s="84">
        <v>15349.5</v>
      </c>
      <c r="M418" s="84">
        <v>3.34</v>
      </c>
      <c r="N418" s="805">
        <v>50.14</v>
      </c>
      <c r="O418" s="941">
        <v>4168.2</v>
      </c>
      <c r="P418" s="941">
        <v>1252.3059185242121</v>
      </c>
      <c r="Q418" s="941">
        <v>1698.9239046887012</v>
      </c>
      <c r="R418" s="805">
        <v>21.75</v>
      </c>
      <c r="S418" s="805">
        <v>735.58519363098094</v>
      </c>
      <c r="T418" s="805">
        <v>963.78898815137438</v>
      </c>
      <c r="U418" s="805">
        <v>54632</v>
      </c>
      <c r="V418" s="805"/>
      <c r="W418" s="805"/>
      <c r="X418" s="5">
        <v>0.78059999999999996</v>
      </c>
      <c r="AJ418" s="1138" t="s">
        <v>1</v>
      </c>
      <c r="AK418" s="1138">
        <v>2011</v>
      </c>
      <c r="AL418" s="1138" t="s">
        <v>85</v>
      </c>
      <c r="AM418" s="1138">
        <v>10</v>
      </c>
      <c r="AN418" s="1139">
        <v>64040000</v>
      </c>
      <c r="AO418" s="1392">
        <v>4.2958957157227902E-3</v>
      </c>
      <c r="AP418" s="817"/>
      <c r="AQ418" s="817" t="s">
        <v>538</v>
      </c>
      <c r="AR418" s="817" t="s">
        <v>606</v>
      </c>
      <c r="AS418" s="874" t="s">
        <v>80</v>
      </c>
      <c r="AT418" s="874">
        <v>10</v>
      </c>
      <c r="AU418" s="1114">
        <v>11990848.9</v>
      </c>
      <c r="AV418" s="1113">
        <v>0.10424418674232673</v>
      </c>
      <c r="AW418" s="817">
        <v>2005</v>
      </c>
    </row>
    <row r="419" spans="1:49">
      <c r="A419" s="798">
        <f t="shared" si="12"/>
        <v>2005</v>
      </c>
      <c r="B419" s="798">
        <f t="shared" si="13"/>
        <v>1</v>
      </c>
      <c r="C419" s="1105">
        <v>38412</v>
      </c>
      <c r="D419" s="934">
        <v>304.06974305038466</v>
      </c>
      <c r="E419" s="1100">
        <v>554.48</v>
      </c>
      <c r="F419" s="1100">
        <v>434.32</v>
      </c>
      <c r="G419" s="1101"/>
      <c r="H419" s="935"/>
      <c r="I419" s="1101"/>
      <c r="J419" s="1101"/>
      <c r="K419" s="936">
        <v>20653.144533741546</v>
      </c>
      <c r="L419" s="936">
        <v>16190</v>
      </c>
      <c r="M419" s="936">
        <v>3.34</v>
      </c>
      <c r="N419" s="937">
        <v>57.06</v>
      </c>
      <c r="O419" s="938">
        <v>4311.26</v>
      </c>
      <c r="P419" s="938">
        <v>1283.1100905727772</v>
      </c>
      <c r="Q419" s="938">
        <v>1757.481821660926</v>
      </c>
      <c r="R419" s="939">
        <v>22.5</v>
      </c>
      <c r="S419" s="940">
        <v>778.66208746622874</v>
      </c>
      <c r="T419" s="940">
        <v>953.00532935408228</v>
      </c>
      <c r="U419" s="1756">
        <v>46756</v>
      </c>
      <c r="V419" s="1323"/>
      <c r="W419" s="1323"/>
      <c r="X419" s="538">
        <v>0.78390000000000004</v>
      </c>
      <c r="AJ419" s="1138" t="s">
        <v>1</v>
      </c>
      <c r="AK419" s="1138">
        <v>2011</v>
      </c>
      <c r="AL419" s="1138" t="s">
        <v>45</v>
      </c>
      <c r="AM419" s="1138"/>
      <c r="AN419" s="1139">
        <v>98138000</v>
      </c>
      <c r="AO419" s="1392">
        <v>6.5832388155778144E-3</v>
      </c>
      <c r="AP419" s="817"/>
      <c r="AQ419" s="817" t="s">
        <v>538</v>
      </c>
      <c r="AR419" s="817" t="s">
        <v>606</v>
      </c>
      <c r="AS419" s="874" t="s">
        <v>65</v>
      </c>
      <c r="AT419" s="874">
        <v>11</v>
      </c>
      <c r="AU419" s="1114">
        <v>11968924.800000001</v>
      </c>
      <c r="AV419" s="1113">
        <v>0.10405358639420981</v>
      </c>
      <c r="AW419" s="817">
        <v>2005</v>
      </c>
    </row>
    <row r="420" spans="1:49">
      <c r="A420" s="798">
        <f t="shared" si="12"/>
        <v>2005</v>
      </c>
      <c r="B420" s="798">
        <f t="shared" si="13"/>
        <v>2</v>
      </c>
      <c r="C420" s="1105">
        <v>38443</v>
      </c>
      <c r="D420" s="805">
        <v>325.91213805197089</v>
      </c>
      <c r="E420" s="1102">
        <v>556.16999999999996</v>
      </c>
      <c r="F420" s="1102">
        <v>429.23</v>
      </c>
      <c r="G420" s="1103"/>
      <c r="H420" s="805"/>
      <c r="I420" s="1103"/>
      <c r="J420" s="1103"/>
      <c r="K420" s="84">
        <v>20882.14747736093</v>
      </c>
      <c r="L420" s="84">
        <v>16141.9</v>
      </c>
      <c r="M420" s="84">
        <v>3.46</v>
      </c>
      <c r="N420" s="805">
        <v>57.49</v>
      </c>
      <c r="O420" s="941">
        <v>4391.3100000000004</v>
      </c>
      <c r="P420" s="941">
        <v>1275.2393272962483</v>
      </c>
      <c r="Q420" s="941">
        <v>1681.9404915912032</v>
      </c>
      <c r="R420" s="805">
        <v>24</v>
      </c>
      <c r="S420" s="805">
        <v>881.0684530511146</v>
      </c>
      <c r="T420" s="805">
        <v>980.17765206668571</v>
      </c>
      <c r="U420" s="805">
        <v>51893</v>
      </c>
      <c r="V420" s="805"/>
      <c r="W420" s="805"/>
      <c r="X420" s="5">
        <v>0.77300000000000002</v>
      </c>
      <c r="AJ420" s="1138" t="s">
        <v>1</v>
      </c>
      <c r="AK420" s="1138">
        <v>2011</v>
      </c>
      <c r="AL420" s="1138" t="s">
        <v>452</v>
      </c>
      <c r="AM420" s="1138"/>
      <c r="AN420" s="1139">
        <v>14907252000</v>
      </c>
      <c r="AO420" s="1392">
        <v>1</v>
      </c>
      <c r="AP420" s="817"/>
      <c r="AQ420" s="817" t="s">
        <v>538</v>
      </c>
      <c r="AR420" s="817" t="s">
        <v>606</v>
      </c>
      <c r="AS420" s="874" t="s">
        <v>63</v>
      </c>
      <c r="AT420" s="874">
        <v>12</v>
      </c>
      <c r="AU420" s="1114">
        <v>11489762.9</v>
      </c>
      <c r="AV420" s="1113">
        <v>9.9887922811925142E-2</v>
      </c>
      <c r="AW420" s="817">
        <v>2005</v>
      </c>
    </row>
    <row r="421" spans="1:49">
      <c r="A421" s="798">
        <f t="shared" si="12"/>
        <v>2005</v>
      </c>
      <c r="B421" s="798">
        <f t="shared" si="13"/>
        <v>2</v>
      </c>
      <c r="C421" s="1105">
        <v>38473</v>
      </c>
      <c r="D421" s="934">
        <v>325.80305271343292</v>
      </c>
      <c r="E421" s="1100">
        <v>553.02</v>
      </c>
      <c r="F421" s="1100">
        <v>421.87</v>
      </c>
      <c r="G421" s="1101"/>
      <c r="H421" s="935"/>
      <c r="I421" s="1101"/>
      <c r="J421" s="1101"/>
      <c r="K421" s="936">
        <v>22095.132454652226</v>
      </c>
      <c r="L421" s="936">
        <v>16931.5</v>
      </c>
      <c r="M421" s="936">
        <v>3.46</v>
      </c>
      <c r="N421" s="937">
        <v>50.78</v>
      </c>
      <c r="O421" s="938">
        <v>4239.9799999999996</v>
      </c>
      <c r="P421" s="938">
        <v>1289.416677541433</v>
      </c>
      <c r="Q421" s="938">
        <v>1622.9022576014618</v>
      </c>
      <c r="R421" s="939">
        <v>29</v>
      </c>
      <c r="S421" s="940">
        <v>849.90584647060143</v>
      </c>
      <c r="T421" s="940">
        <v>1004.6766069772419</v>
      </c>
      <c r="U421" s="1756">
        <v>48369</v>
      </c>
      <c r="V421" s="1323"/>
      <c r="W421" s="1323"/>
      <c r="X421" s="538">
        <v>0.76629999999999998</v>
      </c>
      <c r="AJ421" s="1140" t="s">
        <v>1</v>
      </c>
      <c r="AK421" s="1140">
        <v>2012</v>
      </c>
      <c r="AL421" s="1140" t="s">
        <v>646</v>
      </c>
      <c r="AM421" s="1140">
        <v>1</v>
      </c>
      <c r="AN421" s="1141">
        <v>5538903000</v>
      </c>
      <c r="AO421" s="1392">
        <v>0.36515645009501552</v>
      </c>
      <c r="AP421" s="817"/>
      <c r="AQ421" s="817" t="s">
        <v>538</v>
      </c>
      <c r="AR421" s="817" t="s">
        <v>606</v>
      </c>
      <c r="AS421" s="874" t="s">
        <v>451</v>
      </c>
      <c r="AT421" s="874">
        <v>13</v>
      </c>
      <c r="AU421" s="1114">
        <v>10578677.1</v>
      </c>
      <c r="AV421" s="1113">
        <v>9.1967266062303168E-2</v>
      </c>
      <c r="AW421" s="817">
        <v>2005</v>
      </c>
    </row>
    <row r="422" spans="1:49">
      <c r="A422" s="798">
        <f t="shared" si="12"/>
        <v>2005</v>
      </c>
      <c r="B422" s="798">
        <f t="shared" si="13"/>
        <v>2</v>
      </c>
      <c r="C422" s="1105">
        <v>38504</v>
      </c>
      <c r="D422" s="805">
        <v>314.25623118850422</v>
      </c>
      <c r="E422" s="1102">
        <v>562.36</v>
      </c>
      <c r="F422" s="1102">
        <v>430.66</v>
      </c>
      <c r="G422" s="1103"/>
      <c r="H422" s="805"/>
      <c r="I422" s="1103"/>
      <c r="J422" s="1103"/>
      <c r="K422" s="84">
        <v>21082.257012393999</v>
      </c>
      <c r="L422" s="84">
        <v>16159.55</v>
      </c>
      <c r="M422" s="84">
        <v>3.46</v>
      </c>
      <c r="N422" s="805">
        <v>55.7</v>
      </c>
      <c r="O422" s="941">
        <v>4597.6099999999997</v>
      </c>
      <c r="P422" s="941">
        <v>1286.457925636008</v>
      </c>
      <c r="Q422" s="941">
        <v>1664.3574690150033</v>
      </c>
      <c r="R422" s="805">
        <v>29</v>
      </c>
      <c r="S422" s="805">
        <v>859.93574477645473</v>
      </c>
      <c r="T422" s="805">
        <v>976.729247314291</v>
      </c>
      <c r="U422" s="805">
        <v>45984</v>
      </c>
      <c r="V422" s="805"/>
      <c r="W422" s="805"/>
      <c r="X422" s="5">
        <v>0.76649999999999996</v>
      </c>
      <c r="AJ422" s="1140" t="s">
        <v>1</v>
      </c>
      <c r="AK422" s="1140">
        <v>2012</v>
      </c>
      <c r="AL422" s="1140" t="s">
        <v>72</v>
      </c>
      <c r="AM422" s="1140">
        <v>2</v>
      </c>
      <c r="AN422" s="1141">
        <v>3711190000</v>
      </c>
      <c r="AO422" s="1392">
        <v>0.24466306162576248</v>
      </c>
      <c r="AP422" s="817"/>
      <c r="AQ422" s="817" t="s">
        <v>538</v>
      </c>
      <c r="AR422" s="817" t="s">
        <v>606</v>
      </c>
      <c r="AS422" s="874" t="s">
        <v>45</v>
      </c>
      <c r="AT422" s="874"/>
      <c r="AU422" s="1114">
        <v>66811903</v>
      </c>
      <c r="AV422" s="1113">
        <v>0.58083898404742795</v>
      </c>
      <c r="AW422" s="817">
        <v>2005</v>
      </c>
    </row>
    <row r="423" spans="1:49">
      <c r="A423" s="798">
        <f t="shared" si="12"/>
        <v>2005</v>
      </c>
      <c r="B423" s="798">
        <f t="shared" si="13"/>
        <v>3</v>
      </c>
      <c r="C423" s="1105">
        <v>38534</v>
      </c>
      <c r="D423" s="934">
        <v>333.98210730503536</v>
      </c>
      <c r="E423" s="1100">
        <v>565.51</v>
      </c>
      <c r="F423" s="1100">
        <v>424.48</v>
      </c>
      <c r="G423" s="1101"/>
      <c r="H423" s="935"/>
      <c r="I423" s="1101"/>
      <c r="J423" s="1101"/>
      <c r="K423" s="936">
        <v>19386.664007445819</v>
      </c>
      <c r="L423" s="936">
        <v>14580.71</v>
      </c>
      <c r="M423" s="936">
        <v>3.52</v>
      </c>
      <c r="N423" s="937">
        <v>58.73</v>
      </c>
      <c r="O423" s="938">
        <v>4805.49</v>
      </c>
      <c r="P423" s="938">
        <v>1136.1255152240394</v>
      </c>
      <c r="Q423" s="938">
        <v>1588.1265789123788</v>
      </c>
      <c r="R423" s="939">
        <v>29.5</v>
      </c>
      <c r="S423" s="940">
        <v>882.65026894120922</v>
      </c>
      <c r="T423" s="940">
        <v>1034.4937330051005</v>
      </c>
      <c r="U423" s="1756">
        <v>44160</v>
      </c>
      <c r="V423" s="1323"/>
      <c r="W423" s="1323"/>
      <c r="X423" s="538">
        <v>0.75209999999999999</v>
      </c>
      <c r="AJ423" s="1140" t="s">
        <v>1</v>
      </c>
      <c r="AK423" s="1140">
        <v>2012</v>
      </c>
      <c r="AL423" s="1140" t="s">
        <v>27</v>
      </c>
      <c r="AM423" s="1140">
        <v>3</v>
      </c>
      <c r="AN423" s="1141">
        <v>2975259000</v>
      </c>
      <c r="AO423" s="1392">
        <v>0.19614624313753928</v>
      </c>
      <c r="AP423" s="817"/>
      <c r="AQ423" s="817" t="s">
        <v>538</v>
      </c>
      <c r="AR423" s="817" t="s">
        <v>606</v>
      </c>
      <c r="AS423" s="874" t="s">
        <v>452</v>
      </c>
      <c r="AT423" s="874"/>
      <c r="AU423" s="1114">
        <v>646349477.08999991</v>
      </c>
      <c r="AV423" s="874"/>
      <c r="AW423" s="817">
        <v>2005</v>
      </c>
    </row>
    <row r="424" spans="1:49">
      <c r="A424" s="798">
        <f t="shared" si="12"/>
        <v>2005</v>
      </c>
      <c r="B424" s="798">
        <f t="shared" si="13"/>
        <v>3</v>
      </c>
      <c r="C424" s="1105">
        <v>38565</v>
      </c>
      <c r="D424" s="805">
        <v>316.32990917532294</v>
      </c>
      <c r="E424" s="1102">
        <v>576.35</v>
      </c>
      <c r="F424" s="1102">
        <v>437.93</v>
      </c>
      <c r="G424" s="1103"/>
      <c r="H424" s="805"/>
      <c r="I424" s="1103"/>
      <c r="J424" s="1103"/>
      <c r="K424" s="84">
        <v>19546.830292689327</v>
      </c>
      <c r="L424" s="84">
        <v>14892.73</v>
      </c>
      <c r="M424" s="84">
        <v>3.52</v>
      </c>
      <c r="N424" s="805">
        <v>67.67</v>
      </c>
      <c r="O424" s="941">
        <v>4984.58</v>
      </c>
      <c r="P424" s="941">
        <v>1164.2210263814147</v>
      </c>
      <c r="Q424" s="941">
        <v>1704.1475259220372</v>
      </c>
      <c r="R424" s="805">
        <v>30.2</v>
      </c>
      <c r="S424" s="805">
        <v>856.05561841384224</v>
      </c>
      <c r="T424" s="805">
        <v>1027.3821778344279</v>
      </c>
      <c r="U424" s="805">
        <v>50638</v>
      </c>
      <c r="V424" s="805"/>
      <c r="W424" s="805"/>
      <c r="X424" s="5">
        <v>0.76190000000000002</v>
      </c>
      <c r="AJ424" s="1140" t="s">
        <v>1</v>
      </c>
      <c r="AK424" s="1140">
        <v>2012</v>
      </c>
      <c r="AL424" s="1140" t="s">
        <v>70</v>
      </c>
      <c r="AM424" s="1140">
        <v>4</v>
      </c>
      <c r="AN424" s="1141">
        <v>1338426000</v>
      </c>
      <c r="AO424" s="1392">
        <v>8.823676581353225E-2</v>
      </c>
      <c r="AP424" s="817"/>
      <c r="AQ424" s="817" t="s">
        <v>538</v>
      </c>
      <c r="AR424" s="817" t="s">
        <v>582</v>
      </c>
      <c r="AS424" s="874" t="s">
        <v>165</v>
      </c>
      <c r="AT424" s="874">
        <v>1</v>
      </c>
      <c r="AU424" s="1114">
        <v>115026547.52000001</v>
      </c>
      <c r="AV424" s="1113">
        <v>5.7783411207394574E-2</v>
      </c>
      <c r="AW424" s="817">
        <v>2004</v>
      </c>
    </row>
    <row r="425" spans="1:49">
      <c r="A425" s="798">
        <f t="shared" si="12"/>
        <v>2005</v>
      </c>
      <c r="B425" s="798">
        <f t="shared" si="13"/>
        <v>3</v>
      </c>
      <c r="C425" s="1105">
        <v>38596</v>
      </c>
      <c r="D425" s="934">
        <v>331.73440924071286</v>
      </c>
      <c r="E425" s="1100">
        <v>594.91</v>
      </c>
      <c r="F425" s="1100">
        <v>456.04</v>
      </c>
      <c r="G425" s="1101"/>
      <c r="H425" s="935"/>
      <c r="I425" s="1101"/>
      <c r="J425" s="1101"/>
      <c r="K425" s="936">
        <v>18586.779882429786</v>
      </c>
      <c r="L425" s="936">
        <v>14228.18</v>
      </c>
      <c r="M425" s="936">
        <v>3.52</v>
      </c>
      <c r="N425" s="937">
        <v>68.09</v>
      </c>
      <c r="O425" s="938">
        <v>5039.63</v>
      </c>
      <c r="P425" s="938">
        <v>1218.9026779882431</v>
      </c>
      <c r="Q425" s="938">
        <v>1825.6303069888961</v>
      </c>
      <c r="R425" s="939">
        <v>31.25</v>
      </c>
      <c r="S425" s="940">
        <v>856.44130925507898</v>
      </c>
      <c r="T425" s="940">
        <v>1040.9559768134106</v>
      </c>
      <c r="U425" s="1756">
        <v>49320</v>
      </c>
      <c r="V425" s="1323"/>
      <c r="W425" s="1323"/>
      <c r="X425" s="538">
        <v>0.76549999999999996</v>
      </c>
      <c r="AJ425" s="1140" t="s">
        <v>1</v>
      </c>
      <c r="AK425" s="1140">
        <v>2012</v>
      </c>
      <c r="AL425" s="1140" t="s">
        <v>39</v>
      </c>
      <c r="AM425" s="1140">
        <v>5</v>
      </c>
      <c r="AN425" s="1141">
        <v>840048000</v>
      </c>
      <c r="AO425" s="1392">
        <v>5.538081197475702E-2</v>
      </c>
      <c r="AP425" s="817"/>
      <c r="AQ425" s="817" t="s">
        <v>538</v>
      </c>
      <c r="AR425" s="817" t="s">
        <v>582</v>
      </c>
      <c r="AS425" s="874" t="s">
        <v>24</v>
      </c>
      <c r="AT425" s="874">
        <v>2</v>
      </c>
      <c r="AU425" s="1114">
        <v>84621241.924999997</v>
      </c>
      <c r="AV425" s="1113">
        <v>4.2509352183960014E-2</v>
      </c>
      <c r="AW425" s="817">
        <v>2004</v>
      </c>
    </row>
    <row r="426" spans="1:49">
      <c r="A426" s="798">
        <f t="shared" si="12"/>
        <v>2005</v>
      </c>
      <c r="B426" s="798">
        <f t="shared" si="13"/>
        <v>4</v>
      </c>
      <c r="C426" s="1105">
        <v>38626</v>
      </c>
      <c r="D426" s="805">
        <v>325.55</v>
      </c>
      <c r="E426" s="1102">
        <v>624.08000000000004</v>
      </c>
      <c r="F426" s="1102">
        <v>469.9</v>
      </c>
      <c r="G426" s="1103"/>
      <c r="H426" s="805"/>
      <c r="I426" s="1103"/>
      <c r="J426" s="1103"/>
      <c r="K426" s="84">
        <v>16440.747613997879</v>
      </c>
      <c r="L426" s="84">
        <v>12402.9</v>
      </c>
      <c r="M426" s="84">
        <v>3.67</v>
      </c>
      <c r="N426" s="805">
        <v>63.18</v>
      </c>
      <c r="O426" s="941">
        <v>5381.5</v>
      </c>
      <c r="P426" s="941">
        <v>1330.3287380699894</v>
      </c>
      <c r="Q426" s="941">
        <v>1972.9586426299047</v>
      </c>
      <c r="R426" s="805">
        <v>33.25</v>
      </c>
      <c r="S426" s="805">
        <v>879.83012155351321</v>
      </c>
      <c r="T426" s="805">
        <v>1116.4539462272332</v>
      </c>
      <c r="U426" s="805">
        <v>45479</v>
      </c>
      <c r="V426" s="805"/>
      <c r="W426" s="805"/>
      <c r="X426" s="5">
        <v>0.75439999999999996</v>
      </c>
      <c r="AJ426" s="1140" t="s">
        <v>1</v>
      </c>
      <c r="AK426" s="1140">
        <v>2012</v>
      </c>
      <c r="AL426" s="1140" t="s">
        <v>434</v>
      </c>
      <c r="AM426" s="1140">
        <v>6</v>
      </c>
      <c r="AN426" s="1141">
        <v>259987000</v>
      </c>
      <c r="AO426" s="1392">
        <v>1.7139843393331279E-2</v>
      </c>
      <c r="AP426" s="817"/>
      <c r="AQ426" s="817" t="s">
        <v>538</v>
      </c>
      <c r="AR426" s="817" t="s">
        <v>582</v>
      </c>
      <c r="AS426" s="874" t="s">
        <v>433</v>
      </c>
      <c r="AT426" s="874">
        <v>3</v>
      </c>
      <c r="AU426" s="1114">
        <v>67461605.292525053</v>
      </c>
      <c r="AV426" s="1113">
        <v>3.3889234819041547E-2</v>
      </c>
      <c r="AW426" s="817">
        <v>2004</v>
      </c>
    </row>
    <row r="427" spans="1:49">
      <c r="A427" s="798">
        <f t="shared" si="12"/>
        <v>2005</v>
      </c>
      <c r="B427" s="798">
        <f t="shared" si="13"/>
        <v>4</v>
      </c>
      <c r="C427" s="1105">
        <v>38657</v>
      </c>
      <c r="D427" s="934">
        <v>339.25</v>
      </c>
      <c r="E427" s="1100">
        <v>646.74</v>
      </c>
      <c r="F427" s="1100">
        <v>476.68</v>
      </c>
      <c r="G427" s="1101"/>
      <c r="H427" s="935"/>
      <c r="I427" s="1101"/>
      <c r="J427" s="1101"/>
      <c r="K427" s="936">
        <v>16472.739632902787</v>
      </c>
      <c r="L427" s="936">
        <v>12115.7</v>
      </c>
      <c r="M427" s="936">
        <v>3.67</v>
      </c>
      <c r="N427" s="937">
        <v>57.12</v>
      </c>
      <c r="O427" s="938">
        <v>5804.62</v>
      </c>
      <c r="P427" s="938">
        <v>1383.2766825288918</v>
      </c>
      <c r="Q427" s="938">
        <v>2190.210740992522</v>
      </c>
      <c r="R427" s="939">
        <v>34.5</v>
      </c>
      <c r="S427" s="940">
        <v>900.91</v>
      </c>
      <c r="T427" s="940">
        <v>1139.31</v>
      </c>
      <c r="U427" s="1756">
        <v>44493</v>
      </c>
      <c r="V427" s="1323"/>
      <c r="W427" s="1323"/>
      <c r="X427" s="538">
        <v>0.73550000000000004</v>
      </c>
      <c r="AJ427" s="1140" t="s">
        <v>1</v>
      </c>
      <c r="AK427" s="1140">
        <v>2012</v>
      </c>
      <c r="AL427" s="1140" t="s">
        <v>431</v>
      </c>
      <c r="AM427" s="1140">
        <v>7</v>
      </c>
      <c r="AN427" s="1141">
        <v>215270000</v>
      </c>
      <c r="AO427" s="1392">
        <v>1.419184069696725E-2</v>
      </c>
      <c r="AP427" s="817"/>
      <c r="AQ427" s="817" t="s">
        <v>538</v>
      </c>
      <c r="AR427" s="817" t="s">
        <v>582</v>
      </c>
      <c r="AS427" s="874" t="s">
        <v>29</v>
      </c>
      <c r="AT427" s="874">
        <v>4</v>
      </c>
      <c r="AU427" s="1114">
        <v>55387698.417999998</v>
      </c>
      <c r="AV427" s="1113">
        <v>2.7823926063346143E-2</v>
      </c>
      <c r="AW427" s="817">
        <v>2004</v>
      </c>
    </row>
    <row r="428" spans="1:49">
      <c r="A428" s="798">
        <f t="shared" si="12"/>
        <v>2005</v>
      </c>
      <c r="B428" s="798">
        <f t="shared" si="13"/>
        <v>4</v>
      </c>
      <c r="C428" s="1105">
        <v>38687</v>
      </c>
      <c r="D428" s="805">
        <v>363.85</v>
      </c>
      <c r="E428" s="1102">
        <v>685.16</v>
      </c>
      <c r="F428" s="1102">
        <v>510.1</v>
      </c>
      <c r="G428" s="1103"/>
      <c r="H428" s="805"/>
      <c r="I428" s="1103"/>
      <c r="J428" s="1103"/>
      <c r="K428" s="84">
        <v>18106.040177969528</v>
      </c>
      <c r="L428" s="84">
        <v>13429.25</v>
      </c>
      <c r="M428" s="84">
        <v>3.67</v>
      </c>
      <c r="N428" s="805">
        <v>61.12</v>
      </c>
      <c r="O428" s="941">
        <v>6170.66</v>
      </c>
      <c r="P428" s="941">
        <v>1515.5453687474719</v>
      </c>
      <c r="Q428" s="941">
        <v>2456.2896049615747</v>
      </c>
      <c r="R428" s="805">
        <v>36.25</v>
      </c>
      <c r="S428" s="805">
        <v>828.91</v>
      </c>
      <c r="T428" s="805">
        <v>993.54</v>
      </c>
      <c r="U428" s="805">
        <v>52017</v>
      </c>
      <c r="V428" s="805"/>
      <c r="W428" s="805"/>
      <c r="X428" s="5">
        <v>0.74170000000000003</v>
      </c>
      <c r="AJ428" s="1140" t="s">
        <v>1</v>
      </c>
      <c r="AK428" s="1140">
        <v>2012</v>
      </c>
      <c r="AL428" s="1140" t="s">
        <v>85</v>
      </c>
      <c r="AM428" s="1140">
        <v>8</v>
      </c>
      <c r="AN428" s="1141">
        <v>195010000</v>
      </c>
      <c r="AO428" s="1392">
        <v>1.2856184578973305E-2</v>
      </c>
      <c r="AP428" s="817"/>
      <c r="AQ428" s="817" t="s">
        <v>538</v>
      </c>
      <c r="AR428" s="817" t="s">
        <v>582</v>
      </c>
      <c r="AS428" s="874" t="s">
        <v>581</v>
      </c>
      <c r="AT428" s="874">
        <v>5</v>
      </c>
      <c r="AU428" s="1114">
        <v>48155308.840000004</v>
      </c>
      <c r="AV428" s="1113">
        <v>2.4190746158290009E-2</v>
      </c>
      <c r="AW428" s="817">
        <v>2004</v>
      </c>
    </row>
    <row r="429" spans="1:49">
      <c r="A429" s="798">
        <f t="shared" si="12"/>
        <v>2006</v>
      </c>
      <c r="B429" s="798">
        <f t="shared" si="13"/>
        <v>1</v>
      </c>
      <c r="C429" s="1105">
        <v>38718</v>
      </c>
      <c r="D429" s="934">
        <v>363.59</v>
      </c>
      <c r="E429" s="1100">
        <v>735.1</v>
      </c>
      <c r="F429" s="1100">
        <v>549.84</v>
      </c>
      <c r="G429" s="1101"/>
      <c r="H429" s="935"/>
      <c r="I429" s="1101"/>
      <c r="J429" s="1101"/>
      <c r="K429" s="936">
        <v>19419.933288859236</v>
      </c>
      <c r="L429" s="936">
        <v>14555.24</v>
      </c>
      <c r="M429" s="936">
        <v>3.53</v>
      </c>
      <c r="N429" s="937">
        <v>69.010000000000005</v>
      </c>
      <c r="O429" s="938">
        <v>6316.65</v>
      </c>
      <c r="P429" s="938">
        <v>1676.2241494329551</v>
      </c>
      <c r="Q429" s="938">
        <v>2788.9392928619077</v>
      </c>
      <c r="R429" s="939">
        <v>37.5</v>
      </c>
      <c r="S429" s="940">
        <v>894.88</v>
      </c>
      <c r="T429" s="940">
        <v>942.58</v>
      </c>
      <c r="U429" s="1756">
        <v>44214</v>
      </c>
      <c r="V429" s="1323"/>
      <c r="W429" s="1323"/>
      <c r="X429" s="538">
        <v>0.74950000000000006</v>
      </c>
      <c r="AJ429" s="1140" t="s">
        <v>1</v>
      </c>
      <c r="AK429" s="1140">
        <v>2012</v>
      </c>
      <c r="AL429" s="1140" t="s">
        <v>67</v>
      </c>
      <c r="AM429" s="1140">
        <v>9</v>
      </c>
      <c r="AN429" s="1141">
        <v>67507000</v>
      </c>
      <c r="AO429" s="1392">
        <v>4.4504510146800213E-3</v>
      </c>
      <c r="AP429" s="817"/>
      <c r="AQ429" s="817" t="s">
        <v>538</v>
      </c>
      <c r="AR429" s="817" t="s">
        <v>582</v>
      </c>
      <c r="AS429" s="874" t="s">
        <v>84</v>
      </c>
      <c r="AT429" s="874">
        <v>6</v>
      </c>
      <c r="AU429" s="1114">
        <v>41548691.688000001</v>
      </c>
      <c r="AV429" s="1113">
        <v>2.0871922079722705E-2</v>
      </c>
      <c r="AW429" s="817">
        <v>2004</v>
      </c>
    </row>
    <row r="430" spans="1:49">
      <c r="A430" s="798">
        <f t="shared" si="12"/>
        <v>2006</v>
      </c>
      <c r="B430" s="798">
        <f t="shared" si="13"/>
        <v>1</v>
      </c>
      <c r="C430" s="1105">
        <v>38749</v>
      </c>
      <c r="D430" s="805">
        <v>373.45</v>
      </c>
      <c r="E430" s="1102">
        <v>748.65</v>
      </c>
      <c r="F430" s="1102">
        <v>555</v>
      </c>
      <c r="G430" s="1103"/>
      <c r="H430" s="805"/>
      <c r="I430" s="1103"/>
      <c r="J430" s="1103"/>
      <c r="K430" s="84">
        <v>20192.437314640065</v>
      </c>
      <c r="L430" s="84">
        <v>14978.75</v>
      </c>
      <c r="M430" s="84">
        <v>3.53</v>
      </c>
      <c r="N430" s="805">
        <v>66.260000000000005</v>
      </c>
      <c r="O430" s="941">
        <v>6716.64</v>
      </c>
      <c r="P430" s="941">
        <v>1721.5556753842004</v>
      </c>
      <c r="Q430" s="941">
        <v>2991.884605014829</v>
      </c>
      <c r="R430" s="805">
        <v>38.5</v>
      </c>
      <c r="S430" s="805">
        <v>889.21</v>
      </c>
      <c r="T430" s="805">
        <v>1058.8800000000001</v>
      </c>
      <c r="U430" s="805">
        <v>41608</v>
      </c>
      <c r="V430" s="805"/>
      <c r="W430" s="805"/>
      <c r="X430" s="5">
        <v>0.74180000000000001</v>
      </c>
      <c r="AJ430" s="1140" t="s">
        <v>1</v>
      </c>
      <c r="AK430" s="1140">
        <v>2012</v>
      </c>
      <c r="AL430" s="1140" t="s">
        <v>432</v>
      </c>
      <c r="AM430" s="1140">
        <v>10</v>
      </c>
      <c r="AN430" s="1141">
        <v>16377000</v>
      </c>
      <c r="AO430" s="1392">
        <v>1.079666349673585E-3</v>
      </c>
      <c r="AP430" s="817"/>
      <c r="AQ430" s="817" t="s">
        <v>538</v>
      </c>
      <c r="AR430" s="817" t="s">
        <v>582</v>
      </c>
      <c r="AS430" s="874" t="s">
        <v>26</v>
      </c>
      <c r="AT430" s="874">
        <v>7</v>
      </c>
      <c r="AU430" s="1114">
        <v>26455487.732585624</v>
      </c>
      <c r="AV430" s="1113">
        <v>1.3289874027370771E-2</v>
      </c>
      <c r="AW430" s="817">
        <v>2004</v>
      </c>
    </row>
    <row r="431" spans="1:49">
      <c r="A431" s="798">
        <f t="shared" si="12"/>
        <v>2006</v>
      </c>
      <c r="B431" s="798">
        <f t="shared" si="13"/>
        <v>1</v>
      </c>
      <c r="C431" s="1105">
        <v>38777</v>
      </c>
      <c r="D431" s="934">
        <v>383.53</v>
      </c>
      <c r="E431" s="1100">
        <v>766.08</v>
      </c>
      <c r="F431" s="1100">
        <v>557.09</v>
      </c>
      <c r="G431" s="1101"/>
      <c r="H431" s="935"/>
      <c r="I431" s="1101"/>
      <c r="J431" s="1101"/>
      <c r="K431" s="936">
        <v>20488.777334616971</v>
      </c>
      <c r="L431" s="936">
        <v>14897.39</v>
      </c>
      <c r="M431" s="936">
        <v>3.53</v>
      </c>
      <c r="N431" s="937">
        <v>66.44</v>
      </c>
      <c r="O431" s="938">
        <v>7018.09</v>
      </c>
      <c r="P431" s="938">
        <v>1639.5131343694127</v>
      </c>
      <c r="Q431" s="938">
        <v>3324.0407096685462</v>
      </c>
      <c r="R431" s="939">
        <v>40.5</v>
      </c>
      <c r="S431" s="940">
        <v>916.52</v>
      </c>
      <c r="T431" s="940">
        <v>1192.98</v>
      </c>
      <c r="U431" s="1756">
        <v>45314</v>
      </c>
      <c r="V431" s="1323"/>
      <c r="W431" s="1323"/>
      <c r="X431" s="538">
        <v>0.72709999999999997</v>
      </c>
      <c r="AJ431" s="1140" t="s">
        <v>1</v>
      </c>
      <c r="AK431" s="1140">
        <v>2012</v>
      </c>
      <c r="AL431" s="1140" t="s">
        <v>45</v>
      </c>
      <c r="AM431" s="1140"/>
      <c r="AN431" s="1141">
        <v>10598000</v>
      </c>
      <c r="AO431" s="1392">
        <v>6.9868131976800725E-4</v>
      </c>
      <c r="AP431" s="817"/>
      <c r="AQ431" s="817" t="s">
        <v>538</v>
      </c>
      <c r="AR431" s="817" t="s">
        <v>582</v>
      </c>
      <c r="AS431" s="874" t="s">
        <v>63</v>
      </c>
      <c r="AT431" s="874">
        <v>8</v>
      </c>
      <c r="AU431" s="1114">
        <v>24321781.48</v>
      </c>
      <c r="AV431" s="1113">
        <v>1.2218009936452917E-2</v>
      </c>
      <c r="AW431" s="817">
        <v>2004</v>
      </c>
    </row>
    <row r="432" spans="1:49">
      <c r="A432" s="798">
        <f t="shared" si="12"/>
        <v>2006</v>
      </c>
      <c r="B432" s="798">
        <f t="shared" si="13"/>
        <v>2</v>
      </c>
      <c r="C432" s="1105">
        <v>38808</v>
      </c>
      <c r="D432" s="805">
        <v>412.23</v>
      </c>
      <c r="E432" s="1102">
        <v>828.08</v>
      </c>
      <c r="F432" s="1102">
        <v>610.65</v>
      </c>
      <c r="G432" s="1103"/>
      <c r="H432" s="805"/>
      <c r="I432" s="1103"/>
      <c r="J432" s="1103"/>
      <c r="K432" s="84">
        <v>24394.588715159756</v>
      </c>
      <c r="L432" s="84">
        <v>17942.22</v>
      </c>
      <c r="M432" s="84">
        <v>3.59</v>
      </c>
      <c r="N432" s="805">
        <v>74.3</v>
      </c>
      <c r="O432" s="941">
        <v>8684.9500000000007</v>
      </c>
      <c r="P432" s="941">
        <v>1591.3256288239293</v>
      </c>
      <c r="Q432" s="941">
        <v>4194.126444595513</v>
      </c>
      <c r="R432" s="805">
        <v>41.6</v>
      </c>
      <c r="S432" s="805">
        <v>967.92</v>
      </c>
      <c r="T432" s="805">
        <v>1165.99</v>
      </c>
      <c r="U432" s="805">
        <v>49364</v>
      </c>
      <c r="V432" s="805"/>
      <c r="W432" s="805"/>
      <c r="X432" s="5">
        <v>0.73550000000000004</v>
      </c>
      <c r="AJ432" s="1140" t="s">
        <v>1</v>
      </c>
      <c r="AK432" s="1140">
        <v>2012</v>
      </c>
      <c r="AL432" s="1140" t="s">
        <v>452</v>
      </c>
      <c r="AM432" s="1140"/>
      <c r="AN432" s="1141">
        <v>15168575000</v>
      </c>
      <c r="AO432" s="1392">
        <v>1</v>
      </c>
      <c r="AP432" s="817"/>
      <c r="AQ432" s="817" t="s">
        <v>538</v>
      </c>
      <c r="AR432" s="817" t="s">
        <v>582</v>
      </c>
      <c r="AS432" s="874" t="s">
        <v>37</v>
      </c>
      <c r="AT432" s="874">
        <v>9</v>
      </c>
      <c r="AU432" s="1114">
        <v>20198596</v>
      </c>
      <c r="AV432" s="1113">
        <v>1.0146733981362871E-2</v>
      </c>
      <c r="AW432" s="817">
        <v>2004</v>
      </c>
    </row>
    <row r="433" spans="1:49">
      <c r="A433" s="798">
        <f t="shared" si="12"/>
        <v>2006</v>
      </c>
      <c r="B433" s="798">
        <f t="shared" si="13"/>
        <v>2</v>
      </c>
      <c r="C433" s="1105">
        <v>38838</v>
      </c>
      <c r="D433" s="934">
        <v>403.12</v>
      </c>
      <c r="E433" s="1100">
        <v>883.54</v>
      </c>
      <c r="F433" s="1100">
        <v>675.39</v>
      </c>
      <c r="G433" s="1101"/>
      <c r="H433" s="935"/>
      <c r="I433" s="1101"/>
      <c r="J433" s="1101"/>
      <c r="K433" s="936">
        <v>27605.946299934512</v>
      </c>
      <c r="L433" s="936">
        <v>21077.14</v>
      </c>
      <c r="M433" s="936">
        <v>3.59</v>
      </c>
      <c r="N433" s="937">
        <v>74.680000000000007</v>
      </c>
      <c r="O433" s="938">
        <v>10538.13</v>
      </c>
      <c r="P433" s="938">
        <v>1528.3038637851996</v>
      </c>
      <c r="Q433" s="938">
        <v>4670.1899148657503</v>
      </c>
      <c r="R433" s="939">
        <v>43</v>
      </c>
      <c r="S433" s="940">
        <v>932.34</v>
      </c>
      <c r="T433" s="940">
        <v>1048.07</v>
      </c>
      <c r="U433" s="1756">
        <v>48005</v>
      </c>
      <c r="V433" s="1323"/>
      <c r="W433" s="1323"/>
      <c r="X433" s="538">
        <v>0.76349999999999996</v>
      </c>
      <c r="AJ433" s="1144" t="s">
        <v>1</v>
      </c>
      <c r="AK433" s="1144">
        <v>2013</v>
      </c>
      <c r="AL433" s="1144" t="s">
        <v>646</v>
      </c>
      <c r="AM433" s="1144">
        <v>1</v>
      </c>
      <c r="AN433" s="1145">
        <v>8075169000</v>
      </c>
      <c r="AO433" s="1392">
        <v>0.60194251543195498</v>
      </c>
      <c r="AP433" s="817"/>
      <c r="AQ433" s="817" t="s">
        <v>538</v>
      </c>
      <c r="AR433" s="817" t="s">
        <v>582</v>
      </c>
      <c r="AS433" s="874" t="s">
        <v>33</v>
      </c>
      <c r="AT433" s="874">
        <v>10</v>
      </c>
      <c r="AU433" s="1114">
        <v>19528242.920000002</v>
      </c>
      <c r="AV433" s="1113">
        <v>9.8099831311380722E-3</v>
      </c>
      <c r="AW433" s="817">
        <v>2004</v>
      </c>
    </row>
    <row r="434" spans="1:49">
      <c r="A434" s="798">
        <f t="shared" si="12"/>
        <v>2006</v>
      </c>
      <c r="B434" s="798">
        <f t="shared" si="13"/>
        <v>2</v>
      </c>
      <c r="C434" s="1105">
        <v>38869</v>
      </c>
      <c r="D434" s="805">
        <v>431.47</v>
      </c>
      <c r="E434" s="1102">
        <v>808.66</v>
      </c>
      <c r="F434" s="1102">
        <v>596.15</v>
      </c>
      <c r="G434" s="1103"/>
      <c r="H434" s="805"/>
      <c r="I434" s="1103"/>
      <c r="J434" s="1103"/>
      <c r="K434" s="84">
        <v>28035.32351749291</v>
      </c>
      <c r="L434" s="84">
        <v>20754.55</v>
      </c>
      <c r="M434" s="84">
        <v>3.59</v>
      </c>
      <c r="N434" s="805">
        <v>71.55</v>
      </c>
      <c r="O434" s="941">
        <v>9722.56</v>
      </c>
      <c r="P434" s="941">
        <v>1301.9856814804809</v>
      </c>
      <c r="Q434" s="941">
        <v>4357.2605700391732</v>
      </c>
      <c r="R434" s="805">
        <v>45.5</v>
      </c>
      <c r="S434" s="805">
        <v>902.54</v>
      </c>
      <c r="T434" s="805">
        <v>1133.3</v>
      </c>
      <c r="U434" s="805">
        <v>46904</v>
      </c>
      <c r="V434" s="805"/>
      <c r="W434" s="805"/>
      <c r="X434" s="5">
        <v>0.74029999999999996</v>
      </c>
      <c r="AJ434" s="1144" t="s">
        <v>1</v>
      </c>
      <c r="AK434" s="1144">
        <v>2013</v>
      </c>
      <c r="AL434" s="1144" t="s">
        <v>27</v>
      </c>
      <c r="AM434" s="1144">
        <v>2</v>
      </c>
      <c r="AN434" s="1145">
        <v>1371273000</v>
      </c>
      <c r="AO434" s="1392">
        <v>0.10221798688843828</v>
      </c>
      <c r="AP434" s="817"/>
      <c r="AQ434" s="817" t="s">
        <v>538</v>
      </c>
      <c r="AR434" s="817" t="s">
        <v>582</v>
      </c>
      <c r="AS434" s="874" t="s">
        <v>451</v>
      </c>
      <c r="AT434" s="874">
        <v>11</v>
      </c>
      <c r="AU434" s="1114">
        <v>15884585.199999999</v>
      </c>
      <c r="AV434" s="1113">
        <v>7.9795972169894244E-3</v>
      </c>
      <c r="AW434" s="817">
        <v>2004</v>
      </c>
    </row>
    <row r="435" spans="1:49">
      <c r="A435" s="798">
        <f t="shared" si="12"/>
        <v>2006</v>
      </c>
      <c r="B435" s="798">
        <f t="shared" si="13"/>
        <v>3</v>
      </c>
      <c r="C435" s="1105">
        <v>38899</v>
      </c>
      <c r="D435" s="934">
        <v>398.98</v>
      </c>
      <c r="E435" s="1100">
        <v>845.83</v>
      </c>
      <c r="F435" s="1100">
        <v>633.71</v>
      </c>
      <c r="G435" s="1101"/>
      <c r="H435" s="935"/>
      <c r="I435" s="1101"/>
      <c r="J435" s="1101"/>
      <c r="K435" s="936">
        <v>35339.877708361026</v>
      </c>
      <c r="L435" s="936">
        <v>26586.19</v>
      </c>
      <c r="M435" s="936">
        <v>3.56</v>
      </c>
      <c r="N435" s="937">
        <v>76.739999999999995</v>
      </c>
      <c r="O435" s="938">
        <v>10251.36</v>
      </c>
      <c r="P435" s="938">
        <v>1398.8834241658915</v>
      </c>
      <c r="Q435" s="938">
        <v>4439.5321015552308</v>
      </c>
      <c r="R435" s="939">
        <v>47.25</v>
      </c>
      <c r="S435" s="940">
        <v>898.18</v>
      </c>
      <c r="T435" s="940">
        <v>1140.23</v>
      </c>
      <c r="U435" s="1756">
        <v>44965</v>
      </c>
      <c r="V435" s="1323"/>
      <c r="W435" s="1323"/>
      <c r="X435" s="538">
        <v>0.75229999999999997</v>
      </c>
      <c r="AJ435" s="1144" t="s">
        <v>1</v>
      </c>
      <c r="AK435" s="1144">
        <v>2013</v>
      </c>
      <c r="AL435" s="1144" t="s">
        <v>39</v>
      </c>
      <c r="AM435" s="1144">
        <v>3</v>
      </c>
      <c r="AN435" s="1145">
        <v>1131055000</v>
      </c>
      <c r="AO435" s="1392">
        <v>8.4311559521774687E-2</v>
      </c>
      <c r="AP435" s="817"/>
      <c r="AQ435" s="817" t="s">
        <v>538</v>
      </c>
      <c r="AR435" s="817" t="s">
        <v>582</v>
      </c>
      <c r="AS435" s="874" t="s">
        <v>80</v>
      </c>
      <c r="AT435" s="874">
        <v>12</v>
      </c>
      <c r="AU435" s="1114">
        <v>13094795.16</v>
      </c>
      <c r="AV435" s="1113">
        <v>6.5781504332755635E-3</v>
      </c>
      <c r="AW435" s="817">
        <v>2004</v>
      </c>
    </row>
    <row r="436" spans="1:49">
      <c r="A436" s="798">
        <f t="shared" si="12"/>
        <v>2006</v>
      </c>
      <c r="B436" s="798">
        <f t="shared" si="13"/>
        <v>3</v>
      </c>
      <c r="C436" s="1105">
        <v>38930</v>
      </c>
      <c r="D436" s="805">
        <v>392.25749167780748</v>
      </c>
      <c r="E436" s="1102">
        <v>826.69</v>
      </c>
      <c r="F436" s="1102">
        <v>632.59</v>
      </c>
      <c r="G436" s="1103"/>
      <c r="H436" s="805"/>
      <c r="I436" s="1103"/>
      <c r="J436" s="1103"/>
      <c r="K436" s="84">
        <v>40293.106159895149</v>
      </c>
      <c r="L436" s="84">
        <v>30743.64</v>
      </c>
      <c r="M436" s="84">
        <v>3.56</v>
      </c>
      <c r="N436" s="805">
        <v>78.77</v>
      </c>
      <c r="O436" s="941">
        <v>10086.06</v>
      </c>
      <c r="P436" s="941">
        <v>1538.8466579292269</v>
      </c>
      <c r="Q436" s="941">
        <v>4387.0249017038013</v>
      </c>
      <c r="R436" s="805">
        <v>48.5</v>
      </c>
      <c r="S436" s="805">
        <v>917.13126362522473</v>
      </c>
      <c r="T436" s="805">
        <v>1143.8677636199459</v>
      </c>
      <c r="U436" s="805">
        <v>53147</v>
      </c>
      <c r="V436" s="805"/>
      <c r="W436" s="805"/>
      <c r="X436" s="5">
        <v>0.76300000000000001</v>
      </c>
      <c r="AJ436" s="1144" t="s">
        <v>1</v>
      </c>
      <c r="AK436" s="1144">
        <v>2013</v>
      </c>
      <c r="AL436" s="1144" t="s">
        <v>70</v>
      </c>
      <c r="AM436" s="1144">
        <v>4</v>
      </c>
      <c r="AN436" s="1145">
        <v>897737000</v>
      </c>
      <c r="AO436" s="1392">
        <v>6.6919474747381386E-2</v>
      </c>
      <c r="AP436" s="817"/>
      <c r="AQ436" s="817" t="s">
        <v>538</v>
      </c>
      <c r="AR436" s="817" t="s">
        <v>582</v>
      </c>
      <c r="AS436" s="874" t="s">
        <v>45</v>
      </c>
      <c r="AT436" s="874"/>
      <c r="AU436" s="1114">
        <v>22575218.998999998</v>
      </c>
      <c r="AV436" s="1113">
        <v>1.1340626930399618E-2</v>
      </c>
      <c r="AW436" s="817">
        <v>2004</v>
      </c>
    </row>
    <row r="437" spans="1:49">
      <c r="A437" s="798">
        <f t="shared" si="12"/>
        <v>2006</v>
      </c>
      <c r="B437" s="798">
        <f t="shared" si="13"/>
        <v>3</v>
      </c>
      <c r="C437" s="1105">
        <v>38961</v>
      </c>
      <c r="D437" s="934">
        <v>399.63102339351019</v>
      </c>
      <c r="E437" s="1100">
        <v>795.58</v>
      </c>
      <c r="F437" s="1100">
        <v>598.19000000000005</v>
      </c>
      <c r="G437" s="1101"/>
      <c r="H437" s="935"/>
      <c r="I437" s="1101"/>
      <c r="J437" s="1101"/>
      <c r="K437" s="936">
        <v>41556.379036527258</v>
      </c>
      <c r="L437" s="936">
        <v>31400</v>
      </c>
      <c r="M437" s="936">
        <v>3.56</v>
      </c>
      <c r="N437" s="937">
        <v>69.73</v>
      </c>
      <c r="O437" s="938">
        <v>10065.51</v>
      </c>
      <c r="P437" s="938">
        <v>1867.3901535203811</v>
      </c>
      <c r="Q437" s="938">
        <v>4501.0587612493382</v>
      </c>
      <c r="R437" s="939">
        <v>54</v>
      </c>
      <c r="S437" s="940">
        <v>897.15104429421854</v>
      </c>
      <c r="T437" s="940">
        <v>1110.0415290428209</v>
      </c>
      <c r="U437" s="1756">
        <v>59157</v>
      </c>
      <c r="V437" s="1323"/>
      <c r="W437" s="1323"/>
      <c r="X437" s="538">
        <v>0.75560000000000005</v>
      </c>
      <c r="AJ437" s="1144" t="s">
        <v>1</v>
      </c>
      <c r="AK437" s="1144">
        <v>2013</v>
      </c>
      <c r="AL437" s="1144" t="s">
        <v>85</v>
      </c>
      <c r="AM437" s="1144">
        <v>5</v>
      </c>
      <c r="AN437" s="1145">
        <v>681104000</v>
      </c>
      <c r="AO437" s="1392">
        <v>5.0771129995021314E-2</v>
      </c>
      <c r="AP437" s="817"/>
      <c r="AQ437" s="817" t="s">
        <v>538</v>
      </c>
      <c r="AR437" s="817" t="s">
        <v>582</v>
      </c>
      <c r="AS437" s="874" t="s">
        <v>452</v>
      </c>
      <c r="AT437" s="874"/>
      <c r="AU437" s="1114">
        <v>554259801.17511058</v>
      </c>
      <c r="AV437" s="874"/>
      <c r="AW437" s="817">
        <v>2004</v>
      </c>
    </row>
    <row r="438" spans="1:49">
      <c r="A438" s="798">
        <f t="shared" si="12"/>
        <v>2006</v>
      </c>
      <c r="B438" s="798">
        <f t="shared" si="13"/>
        <v>4</v>
      </c>
      <c r="C438" s="1105">
        <v>38991</v>
      </c>
      <c r="D438" s="805">
        <v>425.31</v>
      </c>
      <c r="E438" s="1102">
        <v>779.94</v>
      </c>
      <c r="F438" s="1102">
        <v>585.78</v>
      </c>
      <c r="G438" s="1103"/>
      <c r="H438" s="805"/>
      <c r="I438" s="1103"/>
      <c r="J438" s="1103"/>
      <c r="K438" s="84">
        <v>43361.111111111117</v>
      </c>
      <c r="L438" s="84">
        <v>32702.95</v>
      </c>
      <c r="M438" s="84">
        <v>3.51</v>
      </c>
      <c r="N438" s="805">
        <v>63.52</v>
      </c>
      <c r="O438" s="941">
        <v>9944.83</v>
      </c>
      <c r="P438" s="941">
        <v>2030.1511535401753</v>
      </c>
      <c r="Q438" s="941">
        <v>5068.8809334394055</v>
      </c>
      <c r="R438" s="805">
        <v>60</v>
      </c>
      <c r="S438" s="805">
        <v>889.23</v>
      </c>
      <c r="T438" s="805">
        <v>1102.17</v>
      </c>
      <c r="U438" s="805">
        <v>57092</v>
      </c>
      <c r="V438" s="805"/>
      <c r="W438" s="805"/>
      <c r="X438" s="5">
        <v>0.75419999999999998</v>
      </c>
      <c r="AJ438" s="1144" t="s">
        <v>1</v>
      </c>
      <c r="AK438" s="1144">
        <v>2013</v>
      </c>
      <c r="AL438" s="1144" t="s">
        <v>72</v>
      </c>
      <c r="AM438" s="1144">
        <v>6</v>
      </c>
      <c r="AN438" s="1145">
        <v>667473000</v>
      </c>
      <c r="AO438" s="1392">
        <v>4.9755042476871167E-2</v>
      </c>
      <c r="AP438" s="817"/>
      <c r="AQ438" s="1142" t="s">
        <v>1</v>
      </c>
      <c r="AR438" s="1142" t="s">
        <v>604</v>
      </c>
      <c r="AS438" s="1142" t="s">
        <v>72</v>
      </c>
      <c r="AT438" s="1142">
        <v>1</v>
      </c>
      <c r="AU438" s="1143">
        <v>1990650000</v>
      </c>
      <c r="AV438" s="1121">
        <v>0.40179477009806447</v>
      </c>
      <c r="AW438" s="817">
        <v>2002</v>
      </c>
    </row>
    <row r="439" spans="1:49">
      <c r="A439" s="798">
        <f t="shared" si="12"/>
        <v>2006</v>
      </c>
      <c r="B439" s="798">
        <f t="shared" si="13"/>
        <v>4</v>
      </c>
      <c r="C439" s="1105">
        <v>39022</v>
      </c>
      <c r="D439" s="934">
        <v>414.03</v>
      </c>
      <c r="E439" s="1100">
        <v>812.86</v>
      </c>
      <c r="F439" s="1100">
        <v>627.83000000000004</v>
      </c>
      <c r="G439" s="1101"/>
      <c r="H439" s="935"/>
      <c r="I439" s="1101"/>
      <c r="J439" s="1101"/>
      <c r="K439" s="936">
        <v>41560.579785168884</v>
      </c>
      <c r="L439" s="936">
        <v>32113.86</v>
      </c>
      <c r="M439" s="936">
        <v>3.51</v>
      </c>
      <c r="N439" s="937">
        <v>60.13</v>
      </c>
      <c r="O439" s="938">
        <v>9096.91</v>
      </c>
      <c r="P439" s="938">
        <v>2102.3942021483108</v>
      </c>
      <c r="Q439" s="938">
        <v>5671.3213407532021</v>
      </c>
      <c r="R439" s="939">
        <v>63</v>
      </c>
      <c r="S439" s="940">
        <v>871.69</v>
      </c>
      <c r="T439" s="940">
        <v>1158.22</v>
      </c>
      <c r="U439" s="1756">
        <v>51089</v>
      </c>
      <c r="V439" s="1323"/>
      <c r="W439" s="1323"/>
      <c r="X439" s="538">
        <v>0.77270000000000005</v>
      </c>
      <c r="AJ439" s="1144" t="s">
        <v>1</v>
      </c>
      <c r="AK439" s="1144">
        <v>2013</v>
      </c>
      <c r="AL439" s="1144" t="s">
        <v>431</v>
      </c>
      <c r="AM439" s="1144">
        <v>7</v>
      </c>
      <c r="AN439" s="1145">
        <v>203966000</v>
      </c>
      <c r="AO439" s="1392">
        <v>1.5204116112318408E-2</v>
      </c>
      <c r="AP439" s="817"/>
      <c r="AQ439" s="1142" t="s">
        <v>1</v>
      </c>
      <c r="AR439" s="1142" t="s">
        <v>604</v>
      </c>
      <c r="AS439" s="1142" t="s">
        <v>431</v>
      </c>
      <c r="AT439" s="1142">
        <v>2</v>
      </c>
      <c r="AU439" s="1143">
        <v>904284000</v>
      </c>
      <c r="AV439" s="1121">
        <v>0.18252157932502355</v>
      </c>
      <c r="AW439" s="817">
        <v>2002</v>
      </c>
    </row>
    <row r="440" spans="1:49">
      <c r="A440" s="798">
        <f t="shared" si="12"/>
        <v>2006</v>
      </c>
      <c r="B440" s="798">
        <f t="shared" si="13"/>
        <v>4</v>
      </c>
      <c r="C440" s="1105">
        <v>39052</v>
      </c>
      <c r="D440" s="805">
        <v>417.05</v>
      </c>
      <c r="E440" s="1102">
        <v>802.12</v>
      </c>
      <c r="F440" s="1102">
        <v>629.79</v>
      </c>
      <c r="G440" s="1103"/>
      <c r="H440" s="805"/>
      <c r="I440" s="1103"/>
      <c r="J440" s="1103"/>
      <c r="K440" s="84">
        <v>44021.724181841339</v>
      </c>
      <c r="L440" s="84">
        <v>34570.26</v>
      </c>
      <c r="M440" s="84">
        <v>3.51</v>
      </c>
      <c r="N440" s="805">
        <v>64.11</v>
      </c>
      <c r="O440" s="941">
        <v>8500.08</v>
      </c>
      <c r="P440" s="941">
        <v>2197.249458805552</v>
      </c>
      <c r="Q440" s="941">
        <v>5609.8179039857387</v>
      </c>
      <c r="R440" s="805">
        <v>72</v>
      </c>
      <c r="S440" s="805">
        <v>848.17</v>
      </c>
      <c r="T440" s="805">
        <v>1202.45</v>
      </c>
      <c r="U440" s="805">
        <v>76922</v>
      </c>
      <c r="V440" s="805"/>
      <c r="W440" s="805"/>
      <c r="X440" s="5">
        <v>0.7853</v>
      </c>
      <c r="AJ440" s="1144" t="s">
        <v>1</v>
      </c>
      <c r="AK440" s="1144">
        <v>2013</v>
      </c>
      <c r="AL440" s="1144" t="s">
        <v>434</v>
      </c>
      <c r="AM440" s="1144">
        <v>8</v>
      </c>
      <c r="AN440" s="1145">
        <v>166919000</v>
      </c>
      <c r="AO440" s="1392">
        <v>1.2442543646255142E-2</v>
      </c>
      <c r="AP440" s="817"/>
      <c r="AQ440" s="1142" t="s">
        <v>1</v>
      </c>
      <c r="AR440" s="1142" t="s">
        <v>604</v>
      </c>
      <c r="AS440" s="1142" t="s">
        <v>70</v>
      </c>
      <c r="AT440" s="1142">
        <v>3</v>
      </c>
      <c r="AU440" s="1143">
        <v>533104000</v>
      </c>
      <c r="AV440" s="1121">
        <v>0.10760224003132572</v>
      </c>
      <c r="AW440" s="817">
        <v>2002</v>
      </c>
    </row>
    <row r="441" spans="1:49">
      <c r="A441" s="798">
        <f t="shared" si="12"/>
        <v>2007</v>
      </c>
      <c r="B441" s="798">
        <f t="shared" si="13"/>
        <v>1</v>
      </c>
      <c r="C441" s="1105">
        <v>39083</v>
      </c>
      <c r="D441" s="934">
        <v>395.40590989293202</v>
      </c>
      <c r="E441" s="1100">
        <v>806.62</v>
      </c>
      <c r="F441" s="1100">
        <v>631.16999999999996</v>
      </c>
      <c r="G441" s="1101"/>
      <c r="H441" s="935"/>
      <c r="I441" s="1101"/>
      <c r="J441" s="1101"/>
      <c r="K441" s="936">
        <v>47024.961676034742</v>
      </c>
      <c r="L441" s="936">
        <v>36811.14</v>
      </c>
      <c r="M441" s="936">
        <v>3.62</v>
      </c>
      <c r="N441" s="937">
        <v>59.14</v>
      </c>
      <c r="O441" s="938">
        <v>7242.8</v>
      </c>
      <c r="P441" s="938">
        <v>2128.3725089422583</v>
      </c>
      <c r="Q441" s="938">
        <v>4837.3530914665298</v>
      </c>
      <c r="R441" s="939">
        <v>75</v>
      </c>
      <c r="S441" s="940">
        <v>938.06</v>
      </c>
      <c r="T441" s="940">
        <v>1167.7</v>
      </c>
      <c r="U441" s="1756">
        <v>65039</v>
      </c>
      <c r="V441" s="1323"/>
      <c r="W441" s="1323"/>
      <c r="X441" s="538">
        <v>0.78280000000000005</v>
      </c>
      <c r="AJ441" s="1144" t="s">
        <v>1</v>
      </c>
      <c r="AK441" s="1144">
        <v>2013</v>
      </c>
      <c r="AL441" s="1144" t="s">
        <v>67</v>
      </c>
      <c r="AM441" s="1144">
        <v>9</v>
      </c>
      <c r="AN441" s="1145">
        <v>81625000</v>
      </c>
      <c r="AO441" s="1392">
        <v>6.08452378174789E-3</v>
      </c>
      <c r="AP441" s="817"/>
      <c r="AQ441" s="1142" t="s">
        <v>1</v>
      </c>
      <c r="AR441" s="1142" t="s">
        <v>604</v>
      </c>
      <c r="AS441" s="1142" t="s">
        <v>29</v>
      </c>
      <c r="AT441" s="1142">
        <v>4</v>
      </c>
      <c r="AU441" s="1143">
        <v>274448000</v>
      </c>
      <c r="AV441" s="1121">
        <v>5.5394856486008885E-2</v>
      </c>
      <c r="AW441" s="817">
        <v>2002</v>
      </c>
    </row>
    <row r="442" spans="1:49">
      <c r="A442" s="798">
        <f t="shared" si="12"/>
        <v>2007</v>
      </c>
      <c r="B442" s="798">
        <f t="shared" si="13"/>
        <v>1</v>
      </c>
      <c r="C442" s="1105">
        <v>39114</v>
      </c>
      <c r="D442" s="805">
        <v>413.07340691144304</v>
      </c>
      <c r="E442" s="1102">
        <v>849.57</v>
      </c>
      <c r="F442" s="1102">
        <v>664.75</v>
      </c>
      <c r="G442" s="1103"/>
      <c r="H442" s="805"/>
      <c r="I442" s="1103"/>
      <c r="J442" s="1103"/>
      <c r="K442" s="84">
        <v>52598.020434227328</v>
      </c>
      <c r="L442" s="84">
        <v>41184.25</v>
      </c>
      <c r="M442" s="84">
        <v>3.62</v>
      </c>
      <c r="N442" s="805">
        <v>64.14</v>
      </c>
      <c r="O442" s="941">
        <v>7249.62</v>
      </c>
      <c r="P442" s="941">
        <v>2272.7969348659003</v>
      </c>
      <c r="Q442" s="941">
        <v>4226.69220945083</v>
      </c>
      <c r="R442" s="805">
        <v>85</v>
      </c>
      <c r="S442" s="805">
        <v>872.16738294503511</v>
      </c>
      <c r="T442" s="805">
        <v>1118.3969873254082</v>
      </c>
      <c r="U442" s="805">
        <v>72238</v>
      </c>
      <c r="V442" s="805"/>
      <c r="W442" s="805"/>
      <c r="X442" s="5">
        <v>0.78300000000000003</v>
      </c>
      <c r="AJ442" s="1144" t="s">
        <v>1</v>
      </c>
      <c r="AK442" s="1144">
        <v>2013</v>
      </c>
      <c r="AL442" s="1144" t="s">
        <v>643</v>
      </c>
      <c r="AM442" s="1144">
        <v>10</v>
      </c>
      <c r="AN442" s="1145">
        <v>45445000</v>
      </c>
      <c r="AO442" s="1392">
        <v>3.3875795805394528E-3</v>
      </c>
      <c r="AP442" s="817"/>
      <c r="AQ442" s="1142" t="s">
        <v>1</v>
      </c>
      <c r="AR442" s="1142" t="s">
        <v>604</v>
      </c>
      <c r="AS442" s="1142" t="s">
        <v>430</v>
      </c>
      <c r="AT442" s="1142">
        <v>5</v>
      </c>
      <c r="AU442" s="1143">
        <v>253703000</v>
      </c>
      <c r="AV442" s="1121">
        <v>5.1207665113500236E-2</v>
      </c>
      <c r="AW442" s="817">
        <v>2002</v>
      </c>
    </row>
    <row r="443" spans="1:49">
      <c r="A443" s="798">
        <f t="shared" si="12"/>
        <v>2007</v>
      </c>
      <c r="B443" s="798">
        <f t="shared" si="13"/>
        <v>1</v>
      </c>
      <c r="C443" s="1105">
        <v>39142</v>
      </c>
      <c r="D443" s="934">
        <v>392.50375611962926</v>
      </c>
      <c r="E443" s="1100">
        <v>828.07</v>
      </c>
      <c r="F443" s="1100">
        <v>654.9</v>
      </c>
      <c r="G443" s="1101"/>
      <c r="H443" s="935"/>
      <c r="I443" s="1101"/>
      <c r="J443" s="1101"/>
      <c r="K443" s="936">
        <v>58439.220386022454</v>
      </c>
      <c r="L443" s="936">
        <v>46324.77</v>
      </c>
      <c r="M443" s="936">
        <v>3.62</v>
      </c>
      <c r="N443" s="937">
        <v>67.31</v>
      </c>
      <c r="O443" s="938">
        <v>8139.88</v>
      </c>
      <c r="P443" s="938">
        <v>2414.5956856313865</v>
      </c>
      <c r="Q443" s="938">
        <v>4126.7818846978689</v>
      </c>
      <c r="R443" s="939">
        <v>95</v>
      </c>
      <c r="S443" s="940">
        <v>861.20957095709571</v>
      </c>
      <c r="T443" s="940">
        <v>1121.0938719445571</v>
      </c>
      <c r="U443" s="1756">
        <v>82461</v>
      </c>
      <c r="V443" s="1323"/>
      <c r="W443" s="1323"/>
      <c r="X443" s="538">
        <v>0.79269999999999996</v>
      </c>
      <c r="AJ443" s="1144" t="s">
        <v>1</v>
      </c>
      <c r="AK443" s="1144">
        <v>2013</v>
      </c>
      <c r="AL443" s="1144" t="s">
        <v>45</v>
      </c>
      <c r="AM443" s="1144"/>
      <c r="AN443" s="1145">
        <v>93417000</v>
      </c>
      <c r="AO443" s="1392">
        <v>6.9635278176973063E-3</v>
      </c>
      <c r="AP443" s="817"/>
      <c r="AQ443" s="1142" t="s">
        <v>1</v>
      </c>
      <c r="AR443" s="1142" t="s">
        <v>604</v>
      </c>
      <c r="AS443" s="1142" t="s">
        <v>27</v>
      </c>
      <c r="AT443" s="1142">
        <v>6</v>
      </c>
      <c r="AU443" s="1143">
        <v>411938000</v>
      </c>
      <c r="AV443" s="1121">
        <v>8.3145974432801584E-2</v>
      </c>
      <c r="AW443" s="817">
        <v>2002</v>
      </c>
    </row>
    <row r="444" spans="1:49">
      <c r="A444" s="798">
        <f t="shared" si="12"/>
        <v>2007</v>
      </c>
      <c r="B444" s="798">
        <f t="shared" si="13"/>
        <v>2</v>
      </c>
      <c r="C444" s="1105">
        <v>39173</v>
      </c>
      <c r="D444" s="805">
        <v>403.07020771629061</v>
      </c>
      <c r="E444" s="1102">
        <v>821.42</v>
      </c>
      <c r="F444" s="1102">
        <v>679.37</v>
      </c>
      <c r="G444" s="1103"/>
      <c r="H444" s="805"/>
      <c r="I444" s="1103"/>
      <c r="J444" s="1103"/>
      <c r="K444" s="84">
        <v>60826.28267182962</v>
      </c>
      <c r="L444" s="84">
        <v>50266.84</v>
      </c>
      <c r="M444" s="84">
        <v>3.6</v>
      </c>
      <c r="N444" s="805">
        <v>74.19</v>
      </c>
      <c r="O444" s="941">
        <v>9397.9500000000007</v>
      </c>
      <c r="P444" s="941">
        <v>2421.2850919651501</v>
      </c>
      <c r="Q444" s="941">
        <v>4304.7797676669888</v>
      </c>
      <c r="R444" s="805">
        <v>113</v>
      </c>
      <c r="S444" s="805">
        <v>878.26861400894188</v>
      </c>
      <c r="T444" s="805">
        <v>1051.0881213569387</v>
      </c>
      <c r="U444" s="805">
        <v>82033</v>
      </c>
      <c r="V444" s="805"/>
      <c r="W444" s="805"/>
      <c r="X444" s="5">
        <v>0.82640000000000002</v>
      </c>
      <c r="AJ444" s="1144" t="s">
        <v>1</v>
      </c>
      <c r="AK444" s="1144">
        <v>2013</v>
      </c>
      <c r="AL444" s="1144" t="s">
        <v>452</v>
      </c>
      <c r="AM444" s="1144"/>
      <c r="AN444" s="1145">
        <v>13415183000</v>
      </c>
      <c r="AO444" s="1392">
        <v>1</v>
      </c>
      <c r="AP444" s="817"/>
      <c r="AQ444" s="1142" t="s">
        <v>1</v>
      </c>
      <c r="AR444" s="1142" t="s">
        <v>604</v>
      </c>
      <c r="AS444" s="1142" t="s">
        <v>433</v>
      </c>
      <c r="AT444" s="1142">
        <v>7</v>
      </c>
      <c r="AU444" s="1143">
        <v>166503000</v>
      </c>
      <c r="AV444" s="1121">
        <v>3.360713063855425E-2</v>
      </c>
      <c r="AW444" s="817">
        <v>2002</v>
      </c>
    </row>
    <row r="445" spans="1:49">
      <c r="A445" s="798">
        <f t="shared" si="12"/>
        <v>2007</v>
      </c>
      <c r="B445" s="798">
        <f t="shared" si="13"/>
        <v>2</v>
      </c>
      <c r="C445" s="1105">
        <v>39203</v>
      </c>
      <c r="D445" s="934">
        <v>406.82015989211459</v>
      </c>
      <c r="E445" s="1100">
        <v>810.86</v>
      </c>
      <c r="F445" s="1100">
        <v>666.84</v>
      </c>
      <c r="G445" s="1101"/>
      <c r="H445" s="935"/>
      <c r="I445" s="1101"/>
      <c r="J445" s="1101"/>
      <c r="K445" s="936">
        <v>63247.333333333343</v>
      </c>
      <c r="L445" s="936">
        <v>52179.05</v>
      </c>
      <c r="M445" s="936">
        <v>3.6</v>
      </c>
      <c r="N445" s="937">
        <v>75.87</v>
      </c>
      <c r="O445" s="938">
        <v>9311.7199999999993</v>
      </c>
      <c r="P445" s="938">
        <v>2546.2303030303028</v>
      </c>
      <c r="Q445" s="938">
        <v>4642.7757575757578</v>
      </c>
      <c r="R445" s="939">
        <v>125</v>
      </c>
      <c r="S445" s="940">
        <v>803.37164908669922</v>
      </c>
      <c r="T445" s="940">
        <v>1070.3289343459953</v>
      </c>
      <c r="U445" s="1756">
        <v>78581</v>
      </c>
      <c r="V445" s="1323"/>
      <c r="W445" s="1323"/>
      <c r="X445" s="538">
        <v>0.82499999999999996</v>
      </c>
      <c r="AJ445" s="1148" t="s">
        <v>1</v>
      </c>
      <c r="AK445" s="1148">
        <v>2014</v>
      </c>
      <c r="AL445" s="1148" t="s">
        <v>646</v>
      </c>
      <c r="AM445" s="1148">
        <v>1</v>
      </c>
      <c r="AN445" s="1149">
        <v>7047955000</v>
      </c>
      <c r="AO445" s="1392">
        <v>0.54178576279702217</v>
      </c>
      <c r="AP445" s="817"/>
      <c r="AQ445" s="1142" t="s">
        <v>1</v>
      </c>
      <c r="AR445" s="1142" t="s">
        <v>604</v>
      </c>
      <c r="AS445" s="1142" t="s">
        <v>39</v>
      </c>
      <c r="AT445" s="1142">
        <v>8</v>
      </c>
      <c r="AU445" s="1143">
        <v>261687000</v>
      </c>
      <c r="AV445" s="1121">
        <v>5.2819163591114555E-2</v>
      </c>
      <c r="AW445" s="817">
        <v>2002</v>
      </c>
    </row>
    <row r="446" spans="1:49">
      <c r="A446" s="798">
        <f t="shared" si="12"/>
        <v>2007</v>
      </c>
      <c r="B446" s="798">
        <f t="shared" si="13"/>
        <v>2</v>
      </c>
      <c r="C446" s="1105">
        <v>39234</v>
      </c>
      <c r="D446" s="805">
        <v>393.08026301054508</v>
      </c>
      <c r="E446" s="1102">
        <v>781.62</v>
      </c>
      <c r="F446" s="1102">
        <v>655.49</v>
      </c>
      <c r="G446" s="1103"/>
      <c r="H446" s="805"/>
      <c r="I446" s="1103"/>
      <c r="J446" s="1103"/>
      <c r="K446" s="84">
        <v>49529.34821322569</v>
      </c>
      <c r="L446" s="84">
        <v>41718.57</v>
      </c>
      <c r="M446" s="84">
        <v>3.6</v>
      </c>
      <c r="N446" s="805">
        <v>75.400000000000006</v>
      </c>
      <c r="O446" s="941">
        <v>8875.56</v>
      </c>
      <c r="P446" s="941">
        <v>2880.1852071708417</v>
      </c>
      <c r="Q446" s="941">
        <v>4277.8819897898611</v>
      </c>
      <c r="R446" s="805">
        <v>136</v>
      </c>
      <c r="S446" s="805">
        <v>796.64587110083141</v>
      </c>
      <c r="T446" s="805">
        <v>1049.9480984340046</v>
      </c>
      <c r="U446" s="805">
        <v>74006</v>
      </c>
      <c r="V446" s="805"/>
      <c r="W446" s="805"/>
      <c r="X446" s="5">
        <v>0.84230000000000005</v>
      </c>
      <c r="AJ446" s="1148" t="s">
        <v>1</v>
      </c>
      <c r="AK446" s="1148">
        <v>2014</v>
      </c>
      <c r="AL446" s="1148" t="s">
        <v>70</v>
      </c>
      <c r="AM446" s="1148">
        <v>2</v>
      </c>
      <c r="AN446" s="1149">
        <v>3165716000</v>
      </c>
      <c r="AO446" s="1392">
        <v>0.24335283892401952</v>
      </c>
      <c r="AP446" s="817"/>
      <c r="AQ446" s="1142" t="s">
        <v>1</v>
      </c>
      <c r="AR446" s="1142" t="s">
        <v>604</v>
      </c>
      <c r="AS446" s="1142" t="s">
        <v>40</v>
      </c>
      <c r="AT446" s="1142">
        <v>9</v>
      </c>
      <c r="AU446" s="1143">
        <v>53535000</v>
      </c>
      <c r="AV446" s="1121">
        <v>1.0805557489865059E-2</v>
      </c>
      <c r="AW446" s="817">
        <v>2002</v>
      </c>
    </row>
    <row r="447" spans="1:49">
      <c r="A447" s="798">
        <f t="shared" si="12"/>
        <v>2007</v>
      </c>
      <c r="B447" s="798">
        <f t="shared" si="13"/>
        <v>3</v>
      </c>
      <c r="C447" s="1105">
        <v>39264</v>
      </c>
      <c r="D447" s="934">
        <v>373.56339793588546</v>
      </c>
      <c r="E447" s="1100">
        <v>766.51</v>
      </c>
      <c r="F447" s="1100">
        <v>665.3</v>
      </c>
      <c r="G447" s="1101"/>
      <c r="H447" s="935"/>
      <c r="I447" s="1101"/>
      <c r="J447" s="1101"/>
      <c r="K447" s="936">
        <v>38535.485358542777</v>
      </c>
      <c r="L447" s="936">
        <v>33425.68</v>
      </c>
      <c r="M447" s="936">
        <v>3.65</v>
      </c>
      <c r="N447" s="937">
        <v>77.11</v>
      </c>
      <c r="O447" s="938">
        <v>9192.89</v>
      </c>
      <c r="P447" s="938">
        <v>3554.9342863730694</v>
      </c>
      <c r="Q447" s="938">
        <v>4089.1284297901775</v>
      </c>
      <c r="R447" s="939">
        <v>120</v>
      </c>
      <c r="S447" s="940">
        <v>746.81143410852712</v>
      </c>
      <c r="T447" s="940">
        <v>1071.7319355217935</v>
      </c>
      <c r="U447" s="1756">
        <v>67671</v>
      </c>
      <c r="V447" s="1323"/>
      <c r="W447" s="1323"/>
      <c r="X447" s="538">
        <v>0.86739999999999995</v>
      </c>
      <c r="AJ447" s="1148" t="s">
        <v>1</v>
      </c>
      <c r="AK447" s="1148">
        <v>2014</v>
      </c>
      <c r="AL447" s="1148" t="s">
        <v>72</v>
      </c>
      <c r="AM447" s="1148">
        <v>3</v>
      </c>
      <c r="AN447" s="1149">
        <v>873594000</v>
      </c>
      <c r="AO447" s="1392">
        <v>6.7154343588303536E-2</v>
      </c>
      <c r="AP447" s="817"/>
      <c r="AQ447" s="1142" t="s">
        <v>1</v>
      </c>
      <c r="AR447" s="1142" t="s">
        <v>604</v>
      </c>
      <c r="AS447" s="1142" t="s">
        <v>37</v>
      </c>
      <c r="AT447" s="1142">
        <v>10</v>
      </c>
      <c r="AU447" s="1143">
        <v>27299000</v>
      </c>
      <c r="AV447" s="1121">
        <v>5.5100572320131921E-3</v>
      </c>
      <c r="AW447" s="817">
        <v>2002</v>
      </c>
    </row>
    <row r="448" spans="1:49">
      <c r="A448" s="798">
        <f t="shared" si="12"/>
        <v>2007</v>
      </c>
      <c r="B448" s="798">
        <f t="shared" si="13"/>
        <v>3</v>
      </c>
      <c r="C448" s="1105">
        <v>39295</v>
      </c>
      <c r="D448" s="805">
        <v>404.81424924390467</v>
      </c>
      <c r="E448" s="1102">
        <v>799.62</v>
      </c>
      <c r="F448" s="1102">
        <v>664.53</v>
      </c>
      <c r="G448" s="1103"/>
      <c r="H448" s="805"/>
      <c r="I448" s="1103"/>
      <c r="J448" s="1103"/>
      <c r="K448" s="84">
        <v>33352.152936919556</v>
      </c>
      <c r="L448" s="84">
        <v>27652.27</v>
      </c>
      <c r="M448" s="84">
        <v>3.65</v>
      </c>
      <c r="N448" s="805">
        <v>77.150000000000006</v>
      </c>
      <c r="O448" s="941">
        <v>9062.24</v>
      </c>
      <c r="P448" s="941">
        <v>3762.4532625738752</v>
      </c>
      <c r="Q448" s="941">
        <v>3922.9525992039562</v>
      </c>
      <c r="R448" s="805">
        <v>90</v>
      </c>
      <c r="S448" s="805">
        <v>795.05883675189659</v>
      </c>
      <c r="T448" s="805">
        <v>1057.3895787455308</v>
      </c>
      <c r="U448" s="805">
        <v>67540</v>
      </c>
      <c r="V448" s="805"/>
      <c r="W448" s="805"/>
      <c r="X448" s="5">
        <v>0.82909999999999995</v>
      </c>
      <c r="AJ448" s="1148" t="s">
        <v>1</v>
      </c>
      <c r="AK448" s="1148">
        <v>2014</v>
      </c>
      <c r="AL448" s="1148" t="s">
        <v>27</v>
      </c>
      <c r="AM448" s="1148">
        <v>4</v>
      </c>
      <c r="AN448" s="1149">
        <v>699246000</v>
      </c>
      <c r="AO448" s="1392">
        <v>5.3751978764445374E-2</v>
      </c>
      <c r="AP448" s="817"/>
      <c r="AQ448" s="1142" t="s">
        <v>1</v>
      </c>
      <c r="AR448" s="1142" t="s">
        <v>604</v>
      </c>
      <c r="AS448" s="1142" t="s">
        <v>45</v>
      </c>
      <c r="AT448" s="1142"/>
      <c r="AU448" s="1143">
        <v>77244000</v>
      </c>
      <c r="AV448" s="1121">
        <v>1.5591005561728526E-2</v>
      </c>
      <c r="AW448" s="817">
        <v>2002</v>
      </c>
    </row>
    <row r="449" spans="1:49">
      <c r="A449" s="798">
        <f t="shared" si="12"/>
        <v>2007</v>
      </c>
      <c r="B449" s="798">
        <f t="shared" si="13"/>
        <v>3</v>
      </c>
      <c r="C449" s="1105">
        <v>39326</v>
      </c>
      <c r="D449" s="934">
        <v>392.37131321129027</v>
      </c>
      <c r="E449" s="1100">
        <v>840.67</v>
      </c>
      <c r="F449" s="1100">
        <v>712.65</v>
      </c>
      <c r="G449" s="1101"/>
      <c r="H449" s="935"/>
      <c r="I449" s="1101"/>
      <c r="J449" s="1101"/>
      <c r="K449" s="936">
        <v>34959.758551307845</v>
      </c>
      <c r="L449" s="936">
        <v>29537.5</v>
      </c>
      <c r="M449" s="936">
        <v>3.65</v>
      </c>
      <c r="N449" s="937">
        <v>82.42</v>
      </c>
      <c r="O449" s="938">
        <v>9053.1200000000008</v>
      </c>
      <c r="P449" s="938">
        <v>3818.8543022842941</v>
      </c>
      <c r="Q449" s="938">
        <v>3410.3444194579242</v>
      </c>
      <c r="R449" s="939">
        <v>75</v>
      </c>
      <c r="S449" s="940">
        <v>771.03562610229278</v>
      </c>
      <c r="T449" s="940">
        <v>1045.237053123956</v>
      </c>
      <c r="U449" s="1756">
        <v>73143</v>
      </c>
      <c r="V449" s="1323"/>
      <c r="W449" s="1323"/>
      <c r="X449" s="538">
        <v>0.84489999999999998</v>
      </c>
      <c r="AJ449" s="1148" t="s">
        <v>1</v>
      </c>
      <c r="AK449" s="1148">
        <v>2014</v>
      </c>
      <c r="AL449" s="1148" t="s">
        <v>39</v>
      </c>
      <c r="AM449" s="1148">
        <v>5</v>
      </c>
      <c r="AN449" s="1149">
        <v>589736000</v>
      </c>
      <c r="AO449" s="1392">
        <v>4.5333798046222583E-2</v>
      </c>
      <c r="AP449" s="817"/>
      <c r="AQ449" s="1142" t="s">
        <v>1</v>
      </c>
      <c r="AR449" s="1142" t="s">
        <v>604</v>
      </c>
      <c r="AS449" s="1142" t="s">
        <v>452</v>
      </c>
      <c r="AT449" s="1142"/>
      <c r="AU449" s="1143">
        <v>4954395000</v>
      </c>
      <c r="AV449" s="1121">
        <v>1</v>
      </c>
      <c r="AW449" s="817">
        <v>2002</v>
      </c>
    </row>
    <row r="450" spans="1:49">
      <c r="A450" s="798">
        <f t="shared" si="12"/>
        <v>2007</v>
      </c>
      <c r="B450" s="798">
        <f t="shared" si="13"/>
        <v>4</v>
      </c>
      <c r="C450" s="1105">
        <v>39356</v>
      </c>
      <c r="D450" s="805">
        <v>353.39639242557257</v>
      </c>
      <c r="E450" s="1102">
        <v>839.69</v>
      </c>
      <c r="F450" s="1102">
        <v>754.6</v>
      </c>
      <c r="G450" s="1103"/>
      <c r="H450" s="805"/>
      <c r="I450" s="1103"/>
      <c r="J450" s="1103"/>
      <c r="K450" s="84">
        <v>34555.947479692884</v>
      </c>
      <c r="L450" s="84">
        <v>31055.43</v>
      </c>
      <c r="M450" s="84">
        <v>3.73</v>
      </c>
      <c r="N450" s="805">
        <v>87.93</v>
      </c>
      <c r="O450" s="941">
        <v>8911.1299999999992</v>
      </c>
      <c r="P450" s="941">
        <v>4139.0007789028596</v>
      </c>
      <c r="Q450" s="941">
        <v>3310.7043507288304</v>
      </c>
      <c r="R450" s="805">
        <v>85</v>
      </c>
      <c r="S450" s="805">
        <v>722.64</v>
      </c>
      <c r="T450" s="805">
        <v>1011.38</v>
      </c>
      <c r="U450" s="805">
        <v>74820</v>
      </c>
      <c r="V450" s="805"/>
      <c r="W450" s="805"/>
      <c r="X450" s="5">
        <v>0.89870000000000005</v>
      </c>
      <c r="AJ450" s="1148" t="s">
        <v>1</v>
      </c>
      <c r="AK450" s="1148">
        <v>2014</v>
      </c>
      <c r="AL450" s="1148" t="s">
        <v>85</v>
      </c>
      <c r="AM450" s="1148">
        <v>6</v>
      </c>
      <c r="AN450" s="1149">
        <v>284768000</v>
      </c>
      <c r="AO450" s="1392">
        <v>2.1890498463764656E-2</v>
      </c>
      <c r="AP450" s="817"/>
      <c r="AQ450" s="1146" t="s">
        <v>1</v>
      </c>
      <c r="AR450" s="1146" t="s">
        <v>605</v>
      </c>
      <c r="AS450" s="1146" t="s">
        <v>27</v>
      </c>
      <c r="AT450" s="1146">
        <v>1</v>
      </c>
      <c r="AU450" s="1147">
        <v>2670555000</v>
      </c>
      <c r="AV450" s="1121">
        <v>0.48083583228978832</v>
      </c>
      <c r="AW450" s="817">
        <v>2003</v>
      </c>
    </row>
    <row r="451" spans="1:49">
      <c r="A451" s="798">
        <f t="shared" si="12"/>
        <v>2007</v>
      </c>
      <c r="B451" s="798">
        <f t="shared" si="13"/>
        <v>4</v>
      </c>
      <c r="C451" s="1105">
        <v>39387</v>
      </c>
      <c r="D451" s="934">
        <v>353.09564042932101</v>
      </c>
      <c r="E451" s="1100">
        <v>898.01</v>
      </c>
      <c r="F451" s="1100">
        <v>806.25</v>
      </c>
      <c r="G451" s="1101"/>
      <c r="H451" s="935"/>
      <c r="I451" s="1101"/>
      <c r="J451" s="1101"/>
      <c r="K451" s="936">
        <v>34113.70779003678</v>
      </c>
      <c r="L451" s="936">
        <v>30610.23</v>
      </c>
      <c r="M451" s="936">
        <v>3.73</v>
      </c>
      <c r="N451" s="937">
        <v>99.51</v>
      </c>
      <c r="O451" s="938">
        <v>7764.07</v>
      </c>
      <c r="P451" s="938">
        <v>3709.1050930569486</v>
      </c>
      <c r="Q451" s="938">
        <v>2619.2020505962332</v>
      </c>
      <c r="R451" s="939">
        <v>93</v>
      </c>
      <c r="S451" s="940">
        <v>709.62615410441492</v>
      </c>
      <c r="T451" s="940">
        <v>967.93107290671765</v>
      </c>
      <c r="U451" s="1756">
        <v>79912</v>
      </c>
      <c r="V451" s="1323"/>
      <c r="W451" s="1323"/>
      <c r="X451" s="538">
        <v>0.89729999999999999</v>
      </c>
      <c r="AJ451" s="1148" t="s">
        <v>1</v>
      </c>
      <c r="AK451" s="1148">
        <v>2014</v>
      </c>
      <c r="AL451" s="1148" t="s">
        <v>431</v>
      </c>
      <c r="AM451" s="1148">
        <v>7</v>
      </c>
      <c r="AN451" s="1149">
        <v>165269000</v>
      </c>
      <c r="AO451" s="1392">
        <v>1.2704449905213791E-2</v>
      </c>
      <c r="AP451" s="817"/>
      <c r="AQ451" s="1146" t="s">
        <v>1</v>
      </c>
      <c r="AR451" s="1146" t="s">
        <v>605</v>
      </c>
      <c r="AS451" s="1146" t="s">
        <v>72</v>
      </c>
      <c r="AT451" s="1146">
        <v>2</v>
      </c>
      <c r="AU451" s="1147">
        <v>1226639000</v>
      </c>
      <c r="AV451" s="1121">
        <v>0.22085745640292512</v>
      </c>
      <c r="AW451" s="817">
        <v>2003</v>
      </c>
    </row>
    <row r="452" spans="1:49">
      <c r="A452" s="798">
        <f t="shared" si="12"/>
        <v>2007</v>
      </c>
      <c r="B452" s="798">
        <f t="shared" si="13"/>
        <v>4</v>
      </c>
      <c r="C452" s="1105">
        <v>39417</v>
      </c>
      <c r="D452" s="805">
        <v>370.18392055825979</v>
      </c>
      <c r="E452" s="1102">
        <v>919.87</v>
      </c>
      <c r="F452" s="1102">
        <v>803.2</v>
      </c>
      <c r="G452" s="1103"/>
      <c r="H452" s="805"/>
      <c r="I452" s="1103"/>
      <c r="J452" s="1103"/>
      <c r="K452" s="84">
        <v>29766.307833256986</v>
      </c>
      <c r="L452" s="84">
        <v>25991.94</v>
      </c>
      <c r="M452" s="84">
        <v>3.73</v>
      </c>
      <c r="N452" s="805">
        <v>98.05</v>
      </c>
      <c r="O452" s="941">
        <v>7544.29</v>
      </c>
      <c r="P452" s="941">
        <v>2973.0073293632618</v>
      </c>
      <c r="Q452" s="941">
        <v>2694.7778286761336</v>
      </c>
      <c r="R452" s="805">
        <v>90</v>
      </c>
      <c r="S452" s="805">
        <v>760.16818181818178</v>
      </c>
      <c r="T452" s="805">
        <v>981.94270603790221</v>
      </c>
      <c r="U452" s="805">
        <v>97455</v>
      </c>
      <c r="V452" s="805"/>
      <c r="W452" s="805"/>
      <c r="X452" s="5">
        <v>0.87319999999999998</v>
      </c>
      <c r="AJ452" s="1148" t="s">
        <v>1</v>
      </c>
      <c r="AK452" s="1148">
        <v>2014</v>
      </c>
      <c r="AL452" s="1148" t="s">
        <v>434</v>
      </c>
      <c r="AM452" s="1148">
        <v>8</v>
      </c>
      <c r="AN452" s="1149">
        <v>108494000</v>
      </c>
      <c r="AO452" s="1392">
        <v>8.3400794342330681E-3</v>
      </c>
      <c r="AP452" s="817"/>
      <c r="AQ452" s="1146" t="s">
        <v>1</v>
      </c>
      <c r="AR452" s="1146" t="s">
        <v>605</v>
      </c>
      <c r="AS452" s="1146" t="s">
        <v>431</v>
      </c>
      <c r="AT452" s="1146">
        <v>3</v>
      </c>
      <c r="AU452" s="1147">
        <v>745512000</v>
      </c>
      <c r="AV452" s="1121">
        <v>0.13423010685120684</v>
      </c>
      <c r="AW452" s="817">
        <v>2003</v>
      </c>
    </row>
    <row r="453" spans="1:49">
      <c r="A453" s="798">
        <f t="shared" si="12"/>
        <v>2008</v>
      </c>
      <c r="B453" s="798">
        <f t="shared" si="13"/>
        <v>1</v>
      </c>
      <c r="C453" s="1105">
        <v>39448</v>
      </c>
      <c r="D453" s="934">
        <v>350.52082332713275</v>
      </c>
      <c r="E453" s="1100">
        <v>1002.09</v>
      </c>
      <c r="F453" s="1100">
        <v>887.93</v>
      </c>
      <c r="G453" s="1101"/>
      <c r="H453" s="935"/>
      <c r="I453" s="1101"/>
      <c r="J453" s="1101"/>
      <c r="K453" s="936">
        <v>31433.250085140196</v>
      </c>
      <c r="L453" s="936">
        <v>27689.55</v>
      </c>
      <c r="M453" s="936">
        <v>3.63</v>
      </c>
      <c r="N453" s="937">
        <v>96.74</v>
      </c>
      <c r="O453" s="938">
        <v>8015.69</v>
      </c>
      <c r="P453" s="938">
        <v>2960.7673969803609</v>
      </c>
      <c r="Q453" s="938">
        <v>2656.4990350777616</v>
      </c>
      <c r="R453" s="939">
        <v>78</v>
      </c>
      <c r="S453" s="940">
        <v>715.87956366874448</v>
      </c>
      <c r="T453" s="940">
        <v>951</v>
      </c>
      <c r="U453" s="1756">
        <v>109571</v>
      </c>
      <c r="V453" s="1323"/>
      <c r="W453" s="1323"/>
      <c r="X453" s="538">
        <v>0.88090000000000002</v>
      </c>
      <c r="AJ453" s="1148" t="s">
        <v>1</v>
      </c>
      <c r="AK453" s="1148">
        <v>2014</v>
      </c>
      <c r="AL453" s="1148" t="s">
        <v>67</v>
      </c>
      <c r="AM453" s="1148">
        <v>9</v>
      </c>
      <c r="AN453" s="1149">
        <v>30829000</v>
      </c>
      <c r="AO453" s="1392">
        <v>2.3698666182274714E-3</v>
      </c>
      <c r="AP453" s="817"/>
      <c r="AQ453" s="1146" t="s">
        <v>1</v>
      </c>
      <c r="AR453" s="1146" t="s">
        <v>605</v>
      </c>
      <c r="AS453" s="1146" t="s">
        <v>70</v>
      </c>
      <c r="AT453" s="1146">
        <v>4</v>
      </c>
      <c r="AU453" s="1147">
        <v>302664000</v>
      </c>
      <c r="AV453" s="1121">
        <v>5.449492571549977E-2</v>
      </c>
      <c r="AW453" s="817">
        <v>2003</v>
      </c>
    </row>
    <row r="454" spans="1:49">
      <c r="A454" s="798">
        <f t="shared" si="12"/>
        <v>2008</v>
      </c>
      <c r="B454" s="798">
        <f t="shared" si="13"/>
        <v>1</v>
      </c>
      <c r="C454" s="1105">
        <v>39479</v>
      </c>
      <c r="D454" s="805">
        <v>347.79</v>
      </c>
      <c r="E454" s="1102">
        <v>1015.42</v>
      </c>
      <c r="F454" s="1102">
        <v>922.68</v>
      </c>
      <c r="G454" s="1103"/>
      <c r="H454" s="805"/>
      <c r="I454" s="1103"/>
      <c r="J454" s="1103"/>
      <c r="K454" s="84">
        <v>30616.011389771109</v>
      </c>
      <c r="L454" s="84">
        <v>27955.48</v>
      </c>
      <c r="M454" s="84">
        <v>3.63</v>
      </c>
      <c r="N454" s="805">
        <v>100.13</v>
      </c>
      <c r="O454" s="941">
        <v>8638.36</v>
      </c>
      <c r="P454" s="941">
        <v>3372.9931004271166</v>
      </c>
      <c r="Q454" s="941">
        <v>2670.1785127587336</v>
      </c>
      <c r="R454" s="805">
        <v>73</v>
      </c>
      <c r="S454" s="805">
        <v>656.46393210749602</v>
      </c>
      <c r="T454" s="805">
        <v>964.92</v>
      </c>
      <c r="U454" s="805">
        <v>113056</v>
      </c>
      <c r="V454" s="805"/>
      <c r="W454" s="805"/>
      <c r="X454" s="5">
        <v>0.91310000000000002</v>
      </c>
      <c r="AJ454" s="1148" t="s">
        <v>1</v>
      </c>
      <c r="AK454" s="1148">
        <v>2014</v>
      </c>
      <c r="AL454" s="1148" t="s">
        <v>29</v>
      </c>
      <c r="AM454" s="1148">
        <v>10</v>
      </c>
      <c r="AN454" s="1149">
        <v>22247000</v>
      </c>
      <c r="AO454" s="1392">
        <v>1.710156756810359E-3</v>
      </c>
      <c r="AP454" s="817"/>
      <c r="AQ454" s="1146" t="s">
        <v>1</v>
      </c>
      <c r="AR454" s="1146" t="s">
        <v>605</v>
      </c>
      <c r="AS454" s="1146" t="s">
        <v>39</v>
      </c>
      <c r="AT454" s="1146">
        <v>5</v>
      </c>
      <c r="AU454" s="1147">
        <v>235400000</v>
      </c>
      <c r="AV454" s="1121">
        <v>4.2383981951697743E-2</v>
      </c>
      <c r="AW454" s="817">
        <v>2003</v>
      </c>
    </row>
    <row r="455" spans="1:49">
      <c r="A455" s="798">
        <f t="shared" si="12"/>
        <v>2008</v>
      </c>
      <c r="B455" s="798">
        <f t="shared" si="13"/>
        <v>1</v>
      </c>
      <c r="C455" s="1105">
        <v>39508</v>
      </c>
      <c r="D455" s="934">
        <v>344.34</v>
      </c>
      <c r="E455" s="1100">
        <v>1044.98</v>
      </c>
      <c r="F455" s="1100">
        <v>968.43</v>
      </c>
      <c r="G455" s="1101"/>
      <c r="H455" s="935"/>
      <c r="I455" s="1101"/>
      <c r="J455" s="1101"/>
      <c r="K455" s="936">
        <v>33833.362199610303</v>
      </c>
      <c r="L455" s="936">
        <v>31255.26</v>
      </c>
      <c r="M455" s="936">
        <v>3.63</v>
      </c>
      <c r="N455" s="937">
        <v>109.61</v>
      </c>
      <c r="O455" s="938">
        <v>9135.41</v>
      </c>
      <c r="P455" s="938">
        <v>3256.7438839575666</v>
      </c>
      <c r="Q455" s="938">
        <v>2718.6295735007575</v>
      </c>
      <c r="R455" s="939">
        <v>71</v>
      </c>
      <c r="S455" s="940">
        <v>782.53</v>
      </c>
      <c r="T455" s="940">
        <v>872.27</v>
      </c>
      <c r="U455" s="1756">
        <v>115445</v>
      </c>
      <c r="V455" s="1323"/>
      <c r="W455" s="1323"/>
      <c r="X455" s="538">
        <v>0.92379999999999995</v>
      </c>
      <c r="AJ455" s="1148" t="s">
        <v>1</v>
      </c>
      <c r="AK455" s="1148">
        <v>2014</v>
      </c>
      <c r="AL455" s="1148" t="s">
        <v>45</v>
      </c>
      <c r="AM455" s="1148"/>
      <c r="AN455" s="1149">
        <v>20895000</v>
      </c>
      <c r="AO455" s="1392">
        <v>1.606226701737423E-3</v>
      </c>
      <c r="AP455" s="817"/>
      <c r="AQ455" s="1146" t="s">
        <v>1</v>
      </c>
      <c r="AR455" s="1146" t="s">
        <v>605</v>
      </c>
      <c r="AS455" s="1146" t="s">
        <v>29</v>
      </c>
      <c r="AT455" s="1146">
        <v>6</v>
      </c>
      <c r="AU455" s="1147">
        <v>162184000</v>
      </c>
      <c r="AV455" s="1121">
        <v>2.9201375228777176E-2</v>
      </c>
      <c r="AW455" s="817">
        <v>2003</v>
      </c>
    </row>
    <row r="456" spans="1:49">
      <c r="A456" s="798">
        <f t="shared" si="12"/>
        <v>2008</v>
      </c>
      <c r="B456" s="798">
        <f t="shared" si="13"/>
        <v>2</v>
      </c>
      <c r="C456" s="1105">
        <v>39539</v>
      </c>
      <c r="D456" s="805">
        <v>375.94</v>
      </c>
      <c r="E456" s="1102">
        <v>986.32</v>
      </c>
      <c r="F456" s="1102">
        <v>913.13</v>
      </c>
      <c r="G456" s="1103"/>
      <c r="H456" s="805"/>
      <c r="I456" s="1103"/>
      <c r="J456" s="1103"/>
      <c r="K456" s="84">
        <v>30908.209757145927</v>
      </c>
      <c r="L456" s="84">
        <v>28763.18</v>
      </c>
      <c r="M456" s="84">
        <v>3.57</v>
      </c>
      <c r="N456" s="805">
        <v>118.57</v>
      </c>
      <c r="O456" s="941">
        <v>9333.76</v>
      </c>
      <c r="P456" s="941">
        <v>3033.2581130453473</v>
      </c>
      <c r="Q456" s="941">
        <v>2432.6241134751776</v>
      </c>
      <c r="R456" s="805">
        <v>65</v>
      </c>
      <c r="S456" s="805">
        <v>789.57</v>
      </c>
      <c r="T456" s="805">
        <v>861.51</v>
      </c>
      <c r="U456" s="805">
        <v>112381</v>
      </c>
      <c r="V456" s="805"/>
      <c r="W456" s="805"/>
      <c r="X456" s="5">
        <v>0.93059999999999998</v>
      </c>
      <c r="AJ456" s="1148" t="s">
        <v>1</v>
      </c>
      <c r="AK456" s="1148">
        <v>2014</v>
      </c>
      <c r="AL456" s="1148" t="s">
        <v>452</v>
      </c>
      <c r="AM456" s="1148"/>
      <c r="AN456" s="1149">
        <v>13008749000</v>
      </c>
      <c r="AO456" s="1392">
        <v>1</v>
      </c>
      <c r="AP456" s="817"/>
      <c r="AQ456" s="1146" t="s">
        <v>1</v>
      </c>
      <c r="AR456" s="1146" t="s">
        <v>605</v>
      </c>
      <c r="AS456" s="1146" t="s">
        <v>430</v>
      </c>
      <c r="AT456" s="1146">
        <v>7</v>
      </c>
      <c r="AU456" s="1147">
        <v>88152000</v>
      </c>
      <c r="AV456" s="1121">
        <v>1.5871846971138741E-2</v>
      </c>
      <c r="AW456" s="817">
        <v>2003</v>
      </c>
    </row>
    <row r="457" spans="1:49">
      <c r="A457" s="798">
        <f t="shared" si="12"/>
        <v>2008</v>
      </c>
      <c r="B457" s="798">
        <f t="shared" ref="B457" si="14">IF(OR(MONTH(C457)=1,MONTH(C457)=2,MONTH(C457)=3),1,IF(OR(MONTH(C457)=4,MONTH(C457)=5,MONTH(C457)=6),2,IF(OR(MONTH(C457)=7,MONTH(C457)=8,MONTH(C457)=9),3,4)))</f>
        <v>2</v>
      </c>
      <c r="C457" s="1105">
        <v>39569</v>
      </c>
      <c r="D457" s="934">
        <v>378.27</v>
      </c>
      <c r="E457" s="1100">
        <v>938.92</v>
      </c>
      <c r="F457" s="1100">
        <v>888.66</v>
      </c>
      <c r="G457" s="1101"/>
      <c r="H457" s="935"/>
      <c r="I457" s="1101"/>
      <c r="J457" s="1101"/>
      <c r="K457" s="936">
        <v>27120.876804721258</v>
      </c>
      <c r="L457" s="936">
        <v>25735</v>
      </c>
      <c r="M457" s="936">
        <v>3.57</v>
      </c>
      <c r="N457" s="937">
        <v>131.1</v>
      </c>
      <c r="O457" s="938">
        <v>8834.18</v>
      </c>
      <c r="P457" s="938">
        <v>2354.9689113710615</v>
      </c>
      <c r="Q457" s="938">
        <v>2299.6100748234799</v>
      </c>
      <c r="R457" s="939">
        <v>60</v>
      </c>
      <c r="S457" s="940">
        <v>791.89</v>
      </c>
      <c r="T457" s="940">
        <v>842.08</v>
      </c>
      <c r="U457" s="1756">
        <v>108616</v>
      </c>
      <c r="V457" s="1323"/>
      <c r="W457" s="1323"/>
      <c r="X457" s="538">
        <v>0.94889999999999997</v>
      </c>
      <c r="AJ457" s="1152" t="s">
        <v>1</v>
      </c>
      <c r="AK457" s="1152">
        <v>2015</v>
      </c>
      <c r="AL457" s="1152" t="s">
        <v>646</v>
      </c>
      <c r="AM457" s="1152">
        <v>1</v>
      </c>
      <c r="AN457" s="1153">
        <v>8991120000</v>
      </c>
      <c r="AO457" s="1392">
        <v>0.65178477253623968</v>
      </c>
      <c r="AP457" s="817"/>
      <c r="AQ457" s="1146" t="s">
        <v>1</v>
      </c>
      <c r="AR457" s="1146" t="s">
        <v>605</v>
      </c>
      <c r="AS457" s="1146" t="s">
        <v>433</v>
      </c>
      <c r="AT457" s="1146">
        <v>8</v>
      </c>
      <c r="AU457" s="1147">
        <v>62992000</v>
      </c>
      <c r="AV457" s="1121">
        <v>1.1341766317337911E-2</v>
      </c>
      <c r="AW457" s="817">
        <v>2003</v>
      </c>
    </row>
    <row r="458" spans="1:49">
      <c r="A458" s="798">
        <f t="shared" ref="A458:A521" si="15">YEAR(C458)</f>
        <v>2008</v>
      </c>
      <c r="B458" s="798">
        <f t="shared" ref="B458:B521" si="16">IF(OR(MONTH(C458)=1,MONTH(C458)=2,MONTH(C458)=3),1,IF(OR(MONTH(C458)=4,MONTH(C458)=5,MONTH(C458)=6),2,IF(OR(MONTH(C458)=7,MONTH(C458)=8,MONTH(C458)=9),3,4)))</f>
        <v>2</v>
      </c>
      <c r="C458" s="1105">
        <v>39600</v>
      </c>
      <c r="D458" s="805">
        <v>370.65017628614265</v>
      </c>
      <c r="E458" s="1102">
        <v>930.84</v>
      </c>
      <c r="F458" s="1102">
        <v>887.45</v>
      </c>
      <c r="G458" s="1103"/>
      <c r="H458" s="805"/>
      <c r="I458" s="1103"/>
      <c r="J458" s="1103"/>
      <c r="K458" s="84">
        <v>23698.423541776141</v>
      </c>
      <c r="L458" s="84">
        <v>22549.05</v>
      </c>
      <c r="M458" s="84">
        <v>3.57</v>
      </c>
      <c r="N458" s="805">
        <v>139.21</v>
      </c>
      <c r="O458" s="941">
        <v>8681.66</v>
      </c>
      <c r="P458" s="941">
        <v>1958.0136626379401</v>
      </c>
      <c r="Q458" s="941">
        <v>1991.0457172884919</v>
      </c>
      <c r="R458" s="805">
        <v>59</v>
      </c>
      <c r="S458" s="805">
        <v>777.0535858178888</v>
      </c>
      <c r="T458" s="805">
        <v>850.29561432875801</v>
      </c>
      <c r="U458" s="805">
        <v>101586</v>
      </c>
      <c r="V458" s="805"/>
      <c r="W458" s="805"/>
      <c r="X458" s="5">
        <v>0.95150000000000001</v>
      </c>
      <c r="AJ458" s="1152" t="s">
        <v>1</v>
      </c>
      <c r="AK458" s="1152">
        <v>2015</v>
      </c>
      <c r="AL458" s="1152" t="s">
        <v>70</v>
      </c>
      <c r="AM458" s="1152">
        <v>2</v>
      </c>
      <c r="AN458" s="1153">
        <v>2066004000</v>
      </c>
      <c r="AO458" s="1392">
        <v>0.1497688772031695</v>
      </c>
      <c r="AP458" s="817"/>
      <c r="AQ458" s="1146" t="s">
        <v>1</v>
      </c>
      <c r="AR458" s="1146" t="s">
        <v>605</v>
      </c>
      <c r="AS458" s="1146" t="s">
        <v>31</v>
      </c>
      <c r="AT458" s="1146">
        <v>9</v>
      </c>
      <c r="AU458" s="1147">
        <v>16152000</v>
      </c>
      <c r="AV458" s="1121">
        <v>2.9081821430918522E-3</v>
      </c>
      <c r="AW458" s="817">
        <v>2003</v>
      </c>
    </row>
    <row r="459" spans="1:49">
      <c r="A459" s="798">
        <f t="shared" si="15"/>
        <v>2008</v>
      </c>
      <c r="B459" s="798">
        <f t="shared" si="16"/>
        <v>3</v>
      </c>
      <c r="C459" s="1105">
        <v>39630</v>
      </c>
      <c r="D459" s="934">
        <v>386.17098837934032</v>
      </c>
      <c r="E459" s="1100">
        <v>940</v>
      </c>
      <c r="F459" s="1100">
        <v>944.13</v>
      </c>
      <c r="G459" s="1101"/>
      <c r="H459" s="935"/>
      <c r="I459" s="1101"/>
      <c r="J459" s="1101"/>
      <c r="K459" s="936">
        <v>20934.807892004155</v>
      </c>
      <c r="L459" s="936">
        <v>20160.22</v>
      </c>
      <c r="M459" s="936">
        <v>4.2</v>
      </c>
      <c r="N459" s="937">
        <v>143.11000000000001</v>
      </c>
      <c r="O459" s="938">
        <v>8737.32</v>
      </c>
      <c r="P459" s="938">
        <v>2019.6365524402909</v>
      </c>
      <c r="Q459" s="938">
        <v>1923.541017653167</v>
      </c>
      <c r="R459" s="939">
        <v>64.5</v>
      </c>
      <c r="S459" s="940">
        <v>753.3577535377359</v>
      </c>
      <c r="T459" s="940">
        <v>899.28568611987384</v>
      </c>
      <c r="U459" s="1756">
        <v>87281</v>
      </c>
      <c r="V459" s="1323"/>
      <c r="W459" s="1323"/>
      <c r="X459" s="538">
        <v>0.96299999999999997</v>
      </c>
      <c r="AJ459" s="1152" t="s">
        <v>1</v>
      </c>
      <c r="AK459" s="1152">
        <v>2015</v>
      </c>
      <c r="AL459" s="1152" t="s">
        <v>27</v>
      </c>
      <c r="AM459" s="1152">
        <v>3</v>
      </c>
      <c r="AN459" s="1153">
        <v>929831000</v>
      </c>
      <c r="AO459" s="1392">
        <v>6.7405360715032642E-2</v>
      </c>
      <c r="AP459" s="817"/>
      <c r="AQ459" s="1146" t="s">
        <v>1</v>
      </c>
      <c r="AR459" s="1146" t="s">
        <v>605</v>
      </c>
      <c r="AS459" s="1146" t="s">
        <v>163</v>
      </c>
      <c r="AT459" s="1146">
        <v>10</v>
      </c>
      <c r="AU459" s="1147">
        <v>11074000</v>
      </c>
      <c r="AV459" s="1121">
        <v>1.9938836709137674E-3</v>
      </c>
      <c r="AW459" s="817">
        <v>2003</v>
      </c>
    </row>
    <row r="460" spans="1:49">
      <c r="A460" s="798">
        <f t="shared" si="15"/>
        <v>2008</v>
      </c>
      <c r="B460" s="798">
        <f t="shared" si="16"/>
        <v>3</v>
      </c>
      <c r="C460" s="1105">
        <v>39661</v>
      </c>
      <c r="D460" s="805">
        <v>410.69921635149581</v>
      </c>
      <c r="E460" s="1102">
        <v>950.68</v>
      </c>
      <c r="F460" s="1102">
        <v>839.03</v>
      </c>
      <c r="G460" s="1103"/>
      <c r="H460" s="805"/>
      <c r="I460" s="1103"/>
      <c r="J460" s="1103"/>
      <c r="K460" s="84">
        <v>21440.586769370184</v>
      </c>
      <c r="L460" s="84">
        <v>18927.75</v>
      </c>
      <c r="M460" s="84">
        <v>4.2</v>
      </c>
      <c r="N460" s="805">
        <v>122.5</v>
      </c>
      <c r="O460" s="941">
        <v>8648.2800000000007</v>
      </c>
      <c r="P460" s="941">
        <v>2178.9533303126414</v>
      </c>
      <c r="Q460" s="941">
        <v>1951.7444494789306</v>
      </c>
      <c r="R460" s="805">
        <v>64.5</v>
      </c>
      <c r="S460" s="805">
        <v>831.10687454560139</v>
      </c>
      <c r="T460" s="805">
        <v>971.56504282315768</v>
      </c>
      <c r="U460" s="805">
        <v>71448</v>
      </c>
      <c r="V460" s="805"/>
      <c r="W460" s="805"/>
      <c r="X460" s="5">
        <v>0.88280000000000003</v>
      </c>
      <c r="AJ460" s="1152" t="s">
        <v>1</v>
      </c>
      <c r="AK460" s="1152">
        <v>2015</v>
      </c>
      <c r="AL460" s="1152" t="s">
        <v>39</v>
      </c>
      <c r="AM460" s="1152">
        <v>4</v>
      </c>
      <c r="AN460" s="1153">
        <v>673610000</v>
      </c>
      <c r="AO460" s="1392">
        <v>4.8831373691835545E-2</v>
      </c>
      <c r="AP460" s="817"/>
      <c r="AQ460" s="1146" t="s">
        <v>1</v>
      </c>
      <c r="AR460" s="1146" t="s">
        <v>605</v>
      </c>
      <c r="AS460" s="1146" t="s">
        <v>45</v>
      </c>
      <c r="AT460" s="1146"/>
      <c r="AU460" s="1147">
        <v>32661000</v>
      </c>
      <c r="AV460" s="1121">
        <v>5.8806424576227697E-3</v>
      </c>
      <c r="AW460" s="817">
        <v>2003</v>
      </c>
    </row>
    <row r="461" spans="1:49">
      <c r="A461" s="798">
        <f t="shared" si="15"/>
        <v>2008</v>
      </c>
      <c r="B461" s="798">
        <f t="shared" si="16"/>
        <v>3</v>
      </c>
      <c r="C461" s="1105">
        <v>39692</v>
      </c>
      <c r="D461" s="934">
        <v>449.94679608683958</v>
      </c>
      <c r="E461" s="1100">
        <v>1001.55</v>
      </c>
      <c r="F461" s="1100">
        <v>829.93</v>
      </c>
      <c r="G461" s="1101"/>
      <c r="H461" s="935"/>
      <c r="I461" s="1101"/>
      <c r="J461" s="1101"/>
      <c r="K461" s="936">
        <v>21719.211522031001</v>
      </c>
      <c r="L461" s="936">
        <v>17794.55</v>
      </c>
      <c r="M461" s="936">
        <v>4.2</v>
      </c>
      <c r="N461" s="937">
        <v>104.34</v>
      </c>
      <c r="O461" s="938">
        <v>8532.7199999999993</v>
      </c>
      <c r="P461" s="938">
        <v>2280.4345172708408</v>
      </c>
      <c r="Q461" s="938">
        <v>2117.6614182839007</v>
      </c>
      <c r="R461" s="939">
        <v>53</v>
      </c>
      <c r="S461" s="940">
        <v>905.34117330221284</v>
      </c>
      <c r="T461" s="940">
        <v>1128.4221565929456</v>
      </c>
      <c r="U461" s="1756">
        <v>85687</v>
      </c>
      <c r="V461" s="1323"/>
      <c r="W461" s="1323"/>
      <c r="X461" s="538">
        <v>0.81930000000000003</v>
      </c>
      <c r="AJ461" s="1152" t="s">
        <v>1</v>
      </c>
      <c r="AK461" s="1152">
        <v>2015</v>
      </c>
      <c r="AL461" s="1152" t="s">
        <v>72</v>
      </c>
      <c r="AM461" s="1152">
        <v>5</v>
      </c>
      <c r="AN461" s="1153">
        <v>410333000</v>
      </c>
      <c r="AO461" s="1392">
        <v>2.9745882723077086E-2</v>
      </c>
      <c r="AP461" s="817"/>
      <c r="AQ461" s="1146" t="s">
        <v>1</v>
      </c>
      <c r="AR461" s="1146" t="s">
        <v>605</v>
      </c>
      <c r="AS461" s="1146" t="s">
        <v>452</v>
      </c>
      <c r="AT461" s="1146"/>
      <c r="AU461" s="1147">
        <v>5553985000</v>
      </c>
      <c r="AV461" s="1121">
        <v>1</v>
      </c>
      <c r="AW461" s="817">
        <v>2003</v>
      </c>
    </row>
    <row r="462" spans="1:49">
      <c r="A462" s="798">
        <f t="shared" si="15"/>
        <v>2008</v>
      </c>
      <c r="B462" s="798">
        <f t="shared" si="16"/>
        <v>4</v>
      </c>
      <c r="C462" s="1105">
        <v>39722</v>
      </c>
      <c r="D462" s="805">
        <v>483.57176000288308</v>
      </c>
      <c r="E462" s="1102">
        <v>1164.8800000000001</v>
      </c>
      <c r="F462" s="1102">
        <v>806.62</v>
      </c>
      <c r="G462" s="1103"/>
      <c r="H462" s="805"/>
      <c r="I462" s="1103"/>
      <c r="J462" s="1103"/>
      <c r="K462" s="84">
        <v>17681.007864841249</v>
      </c>
      <c r="L462" s="84">
        <v>12139.78</v>
      </c>
      <c r="M462" s="84">
        <v>4.0999999999999996</v>
      </c>
      <c r="N462" s="805">
        <v>74.94</v>
      </c>
      <c r="O462" s="941">
        <v>7174.05</v>
      </c>
      <c r="P462" s="941">
        <v>2155.7092921642875</v>
      </c>
      <c r="Q462" s="941">
        <v>1896.4608214389746</v>
      </c>
      <c r="R462" s="805">
        <v>46</v>
      </c>
      <c r="S462" s="805">
        <v>1053.4740799020894</v>
      </c>
      <c r="T462" s="805">
        <v>1219.9605650149695</v>
      </c>
      <c r="U462" s="805">
        <v>99619</v>
      </c>
      <c r="V462" s="805"/>
      <c r="W462" s="805"/>
      <c r="X462" s="5">
        <v>0.68659999999999999</v>
      </c>
      <c r="AJ462" s="1152" t="s">
        <v>1</v>
      </c>
      <c r="AK462" s="1152">
        <v>2015</v>
      </c>
      <c r="AL462" s="1152" t="s">
        <v>431</v>
      </c>
      <c r="AM462" s="1152">
        <v>6</v>
      </c>
      <c r="AN462" s="1153">
        <v>335740000</v>
      </c>
      <c r="AO462" s="1392">
        <v>2.4338482806515439E-2</v>
      </c>
      <c r="AP462" s="817"/>
      <c r="AQ462" s="1150" t="s">
        <v>1</v>
      </c>
      <c r="AR462" s="1150" t="s">
        <v>582</v>
      </c>
      <c r="AS462" s="1150" t="s">
        <v>27</v>
      </c>
      <c r="AT462" s="1150">
        <v>1</v>
      </c>
      <c r="AU462" s="1151">
        <v>2773127000</v>
      </c>
      <c r="AV462" s="1121">
        <v>0.49383254020419476</v>
      </c>
      <c r="AW462" s="817">
        <v>2004</v>
      </c>
    </row>
    <row r="463" spans="1:49">
      <c r="A463" s="798">
        <f t="shared" si="15"/>
        <v>2008</v>
      </c>
      <c r="B463" s="798">
        <f t="shared" si="16"/>
        <v>4</v>
      </c>
      <c r="C463" s="1105">
        <v>39753</v>
      </c>
      <c r="D463" s="934">
        <v>469.53729693317382</v>
      </c>
      <c r="E463" s="1100">
        <v>1151.9100000000001</v>
      </c>
      <c r="F463" s="1100">
        <v>760.86</v>
      </c>
      <c r="G463" s="1101"/>
      <c r="H463" s="935"/>
      <c r="I463" s="1101"/>
      <c r="J463" s="1101"/>
      <c r="K463" s="936">
        <v>16305.805271979278</v>
      </c>
      <c r="L463" s="936">
        <v>10701.5</v>
      </c>
      <c r="M463" s="936">
        <v>4.0999999999999996</v>
      </c>
      <c r="N463" s="937">
        <v>53.17</v>
      </c>
      <c r="O463" s="938">
        <v>5663.57</v>
      </c>
      <c r="P463" s="938">
        <v>1967.2405911930518</v>
      </c>
      <c r="Q463" s="938">
        <v>1756.2090507389912</v>
      </c>
      <c r="R463" s="939">
        <v>55</v>
      </c>
      <c r="S463" s="940">
        <v>1087.240635249439</v>
      </c>
      <c r="T463" s="940">
        <v>1310.1483438035409</v>
      </c>
      <c r="U463" s="1756">
        <v>67288</v>
      </c>
      <c r="V463" s="1323"/>
      <c r="W463" s="1323"/>
      <c r="X463" s="538">
        <v>0.65629999999999999</v>
      </c>
      <c r="AJ463" s="1152" t="s">
        <v>1</v>
      </c>
      <c r="AK463" s="1152">
        <v>2015</v>
      </c>
      <c r="AL463" s="1152" t="s">
        <v>434</v>
      </c>
      <c r="AM463" s="1152">
        <v>7</v>
      </c>
      <c r="AN463" s="1153">
        <v>124054000</v>
      </c>
      <c r="AO463" s="1392">
        <v>8.9929294873398059E-3</v>
      </c>
      <c r="AP463" s="817"/>
      <c r="AQ463" s="1150" t="s">
        <v>1</v>
      </c>
      <c r="AR463" s="1150" t="s">
        <v>582</v>
      </c>
      <c r="AS463" s="1150" t="s">
        <v>39</v>
      </c>
      <c r="AT463" s="1150">
        <v>2</v>
      </c>
      <c r="AU463" s="1151">
        <v>978022000</v>
      </c>
      <c r="AV463" s="1121">
        <v>0.17416407133015796</v>
      </c>
      <c r="AW463" s="817">
        <v>2004</v>
      </c>
    </row>
    <row r="464" spans="1:49">
      <c r="A464" s="798">
        <f t="shared" si="15"/>
        <v>2008</v>
      </c>
      <c r="B464" s="798">
        <f t="shared" si="16"/>
        <v>4</v>
      </c>
      <c r="C464" s="1105">
        <v>39783</v>
      </c>
      <c r="D464" s="805">
        <v>428.34171582357851</v>
      </c>
      <c r="E464" s="1102">
        <v>1224.46</v>
      </c>
      <c r="F464" s="1102">
        <v>816.09</v>
      </c>
      <c r="G464" s="1103"/>
      <c r="H464" s="805"/>
      <c r="I464" s="1103"/>
      <c r="J464" s="1103"/>
      <c r="K464" s="84">
        <v>14405.755502676979</v>
      </c>
      <c r="L464" s="84">
        <v>9686.43</v>
      </c>
      <c r="M464" s="84">
        <v>4.0999999999999996</v>
      </c>
      <c r="N464" s="805">
        <v>42.65</v>
      </c>
      <c r="O464" s="941">
        <v>4568.68</v>
      </c>
      <c r="P464" s="941">
        <v>1432.004759071981</v>
      </c>
      <c r="Q464" s="941">
        <v>1636.7787031528851</v>
      </c>
      <c r="R464" s="805">
        <v>53</v>
      </c>
      <c r="S464" s="805">
        <v>1050.24129397207</v>
      </c>
      <c r="T464" s="805">
        <v>1292.6525705831586</v>
      </c>
      <c r="U464" s="805">
        <v>45697</v>
      </c>
      <c r="V464" s="805"/>
      <c r="W464" s="805"/>
      <c r="X464" s="5">
        <v>0.6724</v>
      </c>
      <c r="AJ464" s="1152" t="s">
        <v>1</v>
      </c>
      <c r="AK464" s="1152">
        <v>2015</v>
      </c>
      <c r="AL464" s="1152" t="s">
        <v>432</v>
      </c>
      <c r="AM464" s="1152">
        <v>8</v>
      </c>
      <c r="AN464" s="1153">
        <v>71559000</v>
      </c>
      <c r="AO464" s="1392">
        <v>5.1874590193347189E-3</v>
      </c>
      <c r="AP464" s="817"/>
      <c r="AQ464" s="1150" t="s">
        <v>1</v>
      </c>
      <c r="AR464" s="1150" t="s">
        <v>582</v>
      </c>
      <c r="AS464" s="1150" t="s">
        <v>72</v>
      </c>
      <c r="AT464" s="1150">
        <v>3</v>
      </c>
      <c r="AU464" s="1151">
        <v>790592000</v>
      </c>
      <c r="AV464" s="1121">
        <v>0.14078693677754922</v>
      </c>
      <c r="AW464" s="817">
        <v>2004</v>
      </c>
    </row>
    <row r="465" spans="1:49">
      <c r="A465" s="798">
        <f t="shared" si="15"/>
        <v>2009</v>
      </c>
      <c r="B465" s="798">
        <f t="shared" si="16"/>
        <v>1</v>
      </c>
      <c r="C465" s="1105">
        <v>39814</v>
      </c>
      <c r="D465" s="934">
        <v>343.80601500013233</v>
      </c>
      <c r="E465" s="1100">
        <v>1257.2</v>
      </c>
      <c r="F465" s="1100">
        <v>858.69</v>
      </c>
      <c r="G465" s="1101"/>
      <c r="H465" s="935"/>
      <c r="I465" s="1101"/>
      <c r="J465" s="1101"/>
      <c r="K465" s="936">
        <v>16701.477104874444</v>
      </c>
      <c r="L465" s="936">
        <v>11306.9</v>
      </c>
      <c r="M465" s="936">
        <v>3.89</v>
      </c>
      <c r="N465" s="937">
        <v>45.07</v>
      </c>
      <c r="O465" s="938">
        <v>4757.3</v>
      </c>
      <c r="P465" s="938">
        <v>1673.175775480059</v>
      </c>
      <c r="Q465" s="938">
        <v>1753.9143279172822</v>
      </c>
      <c r="R465" s="939">
        <v>48</v>
      </c>
      <c r="S465" s="940">
        <v>1371.2818496382511</v>
      </c>
      <c r="T465" s="940">
        <v>1411.9975562072336</v>
      </c>
      <c r="U465" s="1756">
        <v>55197</v>
      </c>
      <c r="V465" s="1323"/>
      <c r="W465" s="1323"/>
      <c r="X465" s="538">
        <v>0.67700000000000005</v>
      </c>
      <c r="AJ465" s="1152" t="s">
        <v>1</v>
      </c>
      <c r="AK465" s="1152">
        <v>2015</v>
      </c>
      <c r="AL465" s="1152" t="s">
        <v>29</v>
      </c>
      <c r="AM465" s="1152">
        <v>9</v>
      </c>
      <c r="AN465" s="1153">
        <v>64145000</v>
      </c>
      <c r="AO465" s="1392">
        <v>4.6500029178052453E-3</v>
      </c>
      <c r="AP465" s="817"/>
      <c r="AQ465" s="1150" t="s">
        <v>1</v>
      </c>
      <c r="AR465" s="1150" t="s">
        <v>582</v>
      </c>
      <c r="AS465" s="1150" t="s">
        <v>431</v>
      </c>
      <c r="AT465" s="1150">
        <v>4</v>
      </c>
      <c r="AU465" s="1151">
        <v>283053000</v>
      </c>
      <c r="AV465" s="1121">
        <v>5.0405474398546458E-2</v>
      </c>
      <c r="AW465" s="817">
        <v>2004</v>
      </c>
    </row>
    <row r="466" spans="1:49">
      <c r="A466" s="798">
        <f t="shared" si="15"/>
        <v>2009</v>
      </c>
      <c r="B466" s="798">
        <f t="shared" si="16"/>
        <v>1</v>
      </c>
      <c r="C466" s="1105">
        <v>39845</v>
      </c>
      <c r="D466" s="805">
        <v>348.99816190673113</v>
      </c>
      <c r="E466" s="1102">
        <v>1436.07</v>
      </c>
      <c r="F466" s="1102">
        <v>943.16</v>
      </c>
      <c r="G466" s="1103"/>
      <c r="H466" s="805"/>
      <c r="I466" s="1103"/>
      <c r="J466" s="1103"/>
      <c r="K466" s="84">
        <v>16025.789068514243</v>
      </c>
      <c r="L466" s="84">
        <v>10408.75</v>
      </c>
      <c r="M466" s="84">
        <v>3.89</v>
      </c>
      <c r="N466" s="805">
        <v>48.29</v>
      </c>
      <c r="O466" s="941">
        <v>5103.51</v>
      </c>
      <c r="P466" s="941">
        <v>1694.4264819091609</v>
      </c>
      <c r="Q466" s="941">
        <v>1712.2093918398768</v>
      </c>
      <c r="R466" s="805">
        <v>45</v>
      </c>
      <c r="S466" s="805">
        <v>1367.6318651440999</v>
      </c>
      <c r="T466" s="805">
        <v>947.46562905317774</v>
      </c>
      <c r="U466" s="805">
        <v>51977</v>
      </c>
      <c r="V466" s="805"/>
      <c r="W466" s="805"/>
      <c r="X466" s="5">
        <v>0.64949999999999997</v>
      </c>
      <c r="AJ466" s="1152" t="s">
        <v>1</v>
      </c>
      <c r="AK466" s="1152">
        <v>2015</v>
      </c>
      <c r="AL466" s="1152" t="s">
        <v>85</v>
      </c>
      <c r="AM466" s="1152">
        <v>10</v>
      </c>
      <c r="AN466" s="1153">
        <v>48229000</v>
      </c>
      <c r="AO466" s="1392">
        <v>3.4962193580610986E-3</v>
      </c>
      <c r="AP466" s="817"/>
      <c r="AQ466" s="1150" t="s">
        <v>1</v>
      </c>
      <c r="AR466" s="1150" t="s">
        <v>582</v>
      </c>
      <c r="AS466" s="1150" t="s">
        <v>70</v>
      </c>
      <c r="AT466" s="1150">
        <v>5</v>
      </c>
      <c r="AU466" s="1151">
        <v>235223000</v>
      </c>
      <c r="AV466" s="1121">
        <v>4.1888010035043943E-2</v>
      </c>
      <c r="AW466" s="817">
        <v>2004</v>
      </c>
    </row>
    <row r="467" spans="1:49">
      <c r="A467" s="798">
        <f t="shared" si="15"/>
        <v>2009</v>
      </c>
      <c r="B467" s="798">
        <f t="shared" si="16"/>
        <v>1</v>
      </c>
      <c r="C467" s="1105">
        <v>39873</v>
      </c>
      <c r="D467" s="934">
        <v>312.85100965399096</v>
      </c>
      <c r="E467" s="1100">
        <v>1396.53</v>
      </c>
      <c r="F467" s="1100">
        <v>924.27</v>
      </c>
      <c r="G467" s="1101"/>
      <c r="H467" s="935"/>
      <c r="I467" s="1101"/>
      <c r="J467" s="1101"/>
      <c r="K467" s="936">
        <v>14535.092190076452</v>
      </c>
      <c r="L467" s="936">
        <v>9696.36</v>
      </c>
      <c r="M467" s="936">
        <v>3.89</v>
      </c>
      <c r="N467" s="937">
        <v>50.1</v>
      </c>
      <c r="O467" s="938">
        <v>5620.97</v>
      </c>
      <c r="P467" s="938">
        <v>1857.1578473991906</v>
      </c>
      <c r="Q467" s="938">
        <v>1823.9394393644131</v>
      </c>
      <c r="R467" s="939">
        <v>42</v>
      </c>
      <c r="S467" s="940">
        <v>1282.8573358551744</v>
      </c>
      <c r="T467" s="940">
        <v>1336.2480694980695</v>
      </c>
      <c r="U467" s="1756">
        <v>44821</v>
      </c>
      <c r="V467" s="1323"/>
      <c r="W467" s="1323"/>
      <c r="X467" s="538">
        <v>0.66710000000000003</v>
      </c>
      <c r="AJ467" s="1152" t="s">
        <v>1</v>
      </c>
      <c r="AK467" s="1152">
        <v>2015</v>
      </c>
      <c r="AL467" s="1152" t="s">
        <v>45</v>
      </c>
      <c r="AM467" s="1152"/>
      <c r="AN467" s="1153">
        <v>79990000</v>
      </c>
      <c r="AO467" s="1392">
        <v>5.7986395415892357E-3</v>
      </c>
      <c r="AP467" s="817"/>
      <c r="AQ467" s="1150" t="s">
        <v>1</v>
      </c>
      <c r="AR467" s="1150" t="s">
        <v>582</v>
      </c>
      <c r="AS467" s="1150" t="s">
        <v>29</v>
      </c>
      <c r="AT467" s="1150">
        <v>6</v>
      </c>
      <c r="AU467" s="1151">
        <v>137151000</v>
      </c>
      <c r="AV467" s="1121">
        <v>2.4423557493596766E-2</v>
      </c>
      <c r="AW467" s="817">
        <v>2004</v>
      </c>
    </row>
    <row r="468" spans="1:49">
      <c r="A468" s="798">
        <f t="shared" si="15"/>
        <v>2009</v>
      </c>
      <c r="B468" s="798">
        <f t="shared" si="16"/>
        <v>2</v>
      </c>
      <c r="C468" s="1105">
        <v>39904</v>
      </c>
      <c r="D468" s="805">
        <v>277.93697871626699</v>
      </c>
      <c r="E468" s="1102">
        <v>1251.19</v>
      </c>
      <c r="F468" s="1102">
        <v>890.14</v>
      </c>
      <c r="G468" s="1103"/>
      <c r="H468" s="805"/>
      <c r="I468" s="1103"/>
      <c r="J468" s="1103"/>
      <c r="K468" s="84">
        <v>15586.264656616415</v>
      </c>
      <c r="L468" s="84">
        <v>11166</v>
      </c>
      <c r="M468" s="84">
        <v>3.68</v>
      </c>
      <c r="N468" s="805">
        <v>52.38</v>
      </c>
      <c r="O468" s="941">
        <v>6150.96</v>
      </c>
      <c r="P468" s="941">
        <v>1930.6253489670573</v>
      </c>
      <c r="Q468" s="941">
        <v>1924.6929089893911</v>
      </c>
      <c r="R468" s="805">
        <v>44</v>
      </c>
      <c r="S468" s="805">
        <v>1151.2317566624808</v>
      </c>
      <c r="T468" s="805">
        <v>1369.1489621489623</v>
      </c>
      <c r="U468" s="805">
        <v>47314</v>
      </c>
      <c r="V468" s="805"/>
      <c r="W468" s="805"/>
      <c r="X468" s="5">
        <v>0.71640000000000004</v>
      </c>
      <c r="AJ468" s="1152" t="s">
        <v>1</v>
      </c>
      <c r="AK468" s="1152">
        <v>2015</v>
      </c>
      <c r="AL468" s="1152" t="s">
        <v>452</v>
      </c>
      <c r="AM468" s="1152"/>
      <c r="AN468" s="1153">
        <v>13794615000</v>
      </c>
      <c r="AO468" s="1392">
        <v>1</v>
      </c>
      <c r="AP468" s="817"/>
      <c r="AQ468" s="1150" t="s">
        <v>1</v>
      </c>
      <c r="AR468" s="1150" t="s">
        <v>582</v>
      </c>
      <c r="AS468" s="1150" t="s">
        <v>643</v>
      </c>
      <c r="AT468" s="1150">
        <v>7</v>
      </c>
      <c r="AU468" s="1151">
        <v>117296000</v>
      </c>
      <c r="AV468" s="1121">
        <v>2.0887821450583124E-2</v>
      </c>
      <c r="AW468" s="817">
        <v>2004</v>
      </c>
    </row>
    <row r="469" spans="1:49">
      <c r="A469" s="798">
        <f t="shared" si="15"/>
        <v>2009</v>
      </c>
      <c r="B469" s="798">
        <f t="shared" si="16"/>
        <v>2</v>
      </c>
      <c r="C469" s="1105">
        <v>39934</v>
      </c>
      <c r="D469" s="934">
        <v>258.76697779772036</v>
      </c>
      <c r="E469" s="1100">
        <v>1214.76</v>
      </c>
      <c r="F469" s="1100">
        <v>928.64</v>
      </c>
      <c r="G469" s="1101"/>
      <c r="H469" s="935"/>
      <c r="I469" s="1101"/>
      <c r="J469" s="1101"/>
      <c r="K469" s="936">
        <v>16505.212279555846</v>
      </c>
      <c r="L469" s="936">
        <v>12634.74</v>
      </c>
      <c r="M469" s="936">
        <v>3.68</v>
      </c>
      <c r="N469" s="937">
        <v>60.05</v>
      </c>
      <c r="O469" s="938">
        <v>5968.16</v>
      </c>
      <c r="P469" s="938">
        <v>1881.3324624428481</v>
      </c>
      <c r="Q469" s="938">
        <v>1938.3278902677989</v>
      </c>
      <c r="R469" s="939">
        <v>49.5</v>
      </c>
      <c r="S469" s="940">
        <v>1088.6696119861699</v>
      </c>
      <c r="T469" s="940">
        <v>1284.5668460710442</v>
      </c>
      <c r="U469" s="1756">
        <v>45504</v>
      </c>
      <c r="V469" s="1323"/>
      <c r="W469" s="1323"/>
      <c r="X469" s="538">
        <v>0.76549999999999996</v>
      </c>
      <c r="AJ469" s="1156" t="s">
        <v>2</v>
      </c>
      <c r="AK469" s="1156">
        <v>2012</v>
      </c>
      <c r="AL469" s="817" t="s">
        <v>24</v>
      </c>
      <c r="AM469" s="817">
        <v>1</v>
      </c>
      <c r="AN469" s="1115">
        <v>37350032893.193909</v>
      </c>
      <c r="AO469" s="1367">
        <v>0.70798709218282097</v>
      </c>
      <c r="AP469" s="817"/>
      <c r="AQ469" s="1150" t="s">
        <v>1</v>
      </c>
      <c r="AR469" s="1150" t="s">
        <v>582</v>
      </c>
      <c r="AS469" s="1150" t="s">
        <v>85</v>
      </c>
      <c r="AT469" s="1150">
        <v>8</v>
      </c>
      <c r="AU469" s="1151">
        <v>86047000</v>
      </c>
      <c r="AV469" s="1121">
        <v>1.532306619457037E-2</v>
      </c>
      <c r="AW469" s="817">
        <v>2004</v>
      </c>
    </row>
    <row r="470" spans="1:49">
      <c r="A470" s="798">
        <f t="shared" si="15"/>
        <v>2009</v>
      </c>
      <c r="B470" s="798">
        <f t="shared" si="16"/>
        <v>2</v>
      </c>
      <c r="C470" s="1105">
        <v>39965</v>
      </c>
      <c r="D470" s="805">
        <v>253.25094404230074</v>
      </c>
      <c r="E470" s="1102">
        <v>1184.49</v>
      </c>
      <c r="F470" s="1102">
        <v>945.67</v>
      </c>
      <c r="G470" s="1103"/>
      <c r="H470" s="805"/>
      <c r="I470" s="1103"/>
      <c r="J470" s="1103"/>
      <c r="K470" s="84">
        <v>19672.028931288191</v>
      </c>
      <c r="L470" s="84">
        <v>15775</v>
      </c>
      <c r="M470" s="84">
        <v>3.68</v>
      </c>
      <c r="N470" s="805">
        <v>71.34</v>
      </c>
      <c r="O470" s="941">
        <v>6287.57</v>
      </c>
      <c r="P470" s="941">
        <v>2113.7298915076694</v>
      </c>
      <c r="Q470" s="941">
        <v>1926.0506297543336</v>
      </c>
      <c r="R470" s="805">
        <v>52</v>
      </c>
      <c r="S470" s="805">
        <v>1030.5178142883515</v>
      </c>
      <c r="T470" s="805">
        <v>1242.775313059034</v>
      </c>
      <c r="U470" s="805">
        <v>38575</v>
      </c>
      <c r="V470" s="805"/>
      <c r="W470" s="805"/>
      <c r="X470" s="5">
        <v>0.80189999999999995</v>
      </c>
      <c r="AJ470" s="1156" t="s">
        <v>2</v>
      </c>
      <c r="AK470" s="1156">
        <v>2012</v>
      </c>
      <c r="AL470" s="817" t="s">
        <v>29</v>
      </c>
      <c r="AM470" s="817">
        <v>2</v>
      </c>
      <c r="AN470" s="1115">
        <v>8439085184.4540787</v>
      </c>
      <c r="AO470" s="1367">
        <v>0.15996675016351905</v>
      </c>
      <c r="AP470" s="817"/>
      <c r="AQ470" s="1150" t="s">
        <v>1</v>
      </c>
      <c r="AR470" s="1150" t="s">
        <v>582</v>
      </c>
      <c r="AS470" s="1150" t="s">
        <v>24</v>
      </c>
      <c r="AT470" s="1150">
        <v>9</v>
      </c>
      <c r="AU470" s="1151">
        <v>80215000</v>
      </c>
      <c r="AV470" s="1121">
        <v>1.4284516076068454E-2</v>
      </c>
      <c r="AW470" s="817">
        <v>2004</v>
      </c>
    </row>
    <row r="471" spans="1:49">
      <c r="A471" s="798">
        <f t="shared" si="15"/>
        <v>2009</v>
      </c>
      <c r="B471" s="798">
        <f t="shared" si="16"/>
        <v>3</v>
      </c>
      <c r="C471" s="1105">
        <v>39995</v>
      </c>
      <c r="D471" s="934">
        <v>269.4173147354951</v>
      </c>
      <c r="E471" s="1100">
        <v>1162.99</v>
      </c>
      <c r="F471" s="1100">
        <v>934.23</v>
      </c>
      <c r="G471" s="1101"/>
      <c r="H471" s="935"/>
      <c r="I471" s="1101"/>
      <c r="J471" s="1101"/>
      <c r="K471" s="936">
        <v>19849.211473984851</v>
      </c>
      <c r="L471" s="936">
        <v>15984.57</v>
      </c>
      <c r="M471" s="936">
        <v>3.83</v>
      </c>
      <c r="N471" s="937">
        <v>69.010000000000005</v>
      </c>
      <c r="O471" s="938">
        <v>6476.52</v>
      </c>
      <c r="P471" s="938">
        <v>2084.4529988824038</v>
      </c>
      <c r="Q471" s="938">
        <v>1960.2756736619892</v>
      </c>
      <c r="R471" s="939">
        <v>47</v>
      </c>
      <c r="S471" s="940">
        <v>1090.9830717143736</v>
      </c>
      <c r="T471" s="940">
        <v>1211.3141868512112</v>
      </c>
      <c r="U471" s="1756">
        <v>47101</v>
      </c>
      <c r="V471" s="1323"/>
      <c r="W471" s="1323"/>
      <c r="X471" s="538">
        <v>0.80530000000000002</v>
      </c>
      <c r="AJ471" s="1156" t="s">
        <v>2</v>
      </c>
      <c r="AK471" s="1156">
        <v>2012</v>
      </c>
      <c r="AL471" s="817" t="s">
        <v>30</v>
      </c>
      <c r="AM471" s="817">
        <v>3</v>
      </c>
      <c r="AN471" s="1115">
        <v>5423990893.97155</v>
      </c>
      <c r="AO471" s="1367">
        <v>0.10281424790254416</v>
      </c>
      <c r="AP471" s="817"/>
      <c r="AQ471" s="1150" t="s">
        <v>1</v>
      </c>
      <c r="AR471" s="1150" t="s">
        <v>582</v>
      </c>
      <c r="AS471" s="1150" t="s">
        <v>31</v>
      </c>
      <c r="AT471" s="1150">
        <v>10</v>
      </c>
      <c r="AU471" s="1151">
        <v>70203000</v>
      </c>
      <c r="AV471" s="1121">
        <v>1.2501600474826824E-2</v>
      </c>
      <c r="AW471" s="817">
        <v>2004</v>
      </c>
    </row>
    <row r="472" spans="1:49">
      <c r="A472" s="798">
        <f t="shared" si="15"/>
        <v>2009</v>
      </c>
      <c r="B472" s="798">
        <f t="shared" si="16"/>
        <v>3</v>
      </c>
      <c r="C472" s="1105">
        <v>40026</v>
      </c>
      <c r="D472" s="805">
        <v>268.35054241898365</v>
      </c>
      <c r="E472" s="1102">
        <v>1137.17</v>
      </c>
      <c r="F472" s="1102">
        <v>949.38</v>
      </c>
      <c r="G472" s="1103"/>
      <c r="H472" s="805"/>
      <c r="I472" s="1103"/>
      <c r="J472" s="1103"/>
      <c r="K472" s="84">
        <v>23503.350484623668</v>
      </c>
      <c r="L472" s="84">
        <v>19641.75</v>
      </c>
      <c r="M472" s="84">
        <v>3.83</v>
      </c>
      <c r="N472" s="805">
        <v>76.94</v>
      </c>
      <c r="O472" s="941">
        <v>7377.41</v>
      </c>
      <c r="P472" s="941">
        <v>2273.6627976546606</v>
      </c>
      <c r="Q472" s="941">
        <v>2177.8150053847075</v>
      </c>
      <c r="R472" s="805">
        <v>46</v>
      </c>
      <c r="S472" s="805">
        <v>1056.5670316661735</v>
      </c>
      <c r="T472" s="805">
        <v>1242.8931329576289</v>
      </c>
      <c r="U472" s="805">
        <v>49464</v>
      </c>
      <c r="V472" s="805"/>
      <c r="W472" s="805"/>
      <c r="X472" s="5">
        <v>0.8357</v>
      </c>
      <c r="AJ472" s="1156" t="s">
        <v>2</v>
      </c>
      <c r="AK472" s="1156">
        <v>2012</v>
      </c>
      <c r="AL472" s="817" t="s">
        <v>433</v>
      </c>
      <c r="AM472" s="817">
        <v>4</v>
      </c>
      <c r="AN472" s="1115">
        <v>1403573571.5284207</v>
      </c>
      <c r="AO472" s="1367">
        <v>2.6605384108032256E-2</v>
      </c>
      <c r="AP472" s="817"/>
      <c r="AQ472" s="1150" t="s">
        <v>1</v>
      </c>
      <c r="AR472" s="1150" t="s">
        <v>582</v>
      </c>
      <c r="AS472" s="1150" t="s">
        <v>45</v>
      </c>
      <c r="AT472" s="1150"/>
      <c r="AU472" s="1151">
        <v>64592000</v>
      </c>
      <c r="AV472" s="1121">
        <v>1.1502405564862104E-2</v>
      </c>
      <c r="AW472" s="817">
        <v>2004</v>
      </c>
    </row>
    <row r="473" spans="1:49">
      <c r="A473" s="798">
        <f t="shared" si="15"/>
        <v>2009</v>
      </c>
      <c r="B473" s="798">
        <f t="shared" si="16"/>
        <v>3</v>
      </c>
      <c r="C473" s="1105">
        <v>40057</v>
      </c>
      <c r="D473" s="934">
        <v>277.35998333399652</v>
      </c>
      <c r="E473" s="1100">
        <v>1160.3599999999999</v>
      </c>
      <c r="F473" s="1100">
        <v>996.59</v>
      </c>
      <c r="G473" s="1101"/>
      <c r="H473" s="935"/>
      <c r="I473" s="1101"/>
      <c r="J473" s="1101"/>
      <c r="K473" s="936">
        <v>20272.862281007077</v>
      </c>
      <c r="L473" s="936">
        <v>17473.18</v>
      </c>
      <c r="M473" s="936">
        <v>3.83</v>
      </c>
      <c r="N473" s="937">
        <v>70.94</v>
      </c>
      <c r="O473" s="938">
        <v>7189.27</v>
      </c>
      <c r="P473" s="938">
        <v>2557.7793247476507</v>
      </c>
      <c r="Q473" s="938">
        <v>2185.8916347604131</v>
      </c>
      <c r="R473" s="939">
        <v>42.75</v>
      </c>
      <c r="S473" s="940">
        <v>1043.0939672572326</v>
      </c>
      <c r="T473" s="940">
        <v>1177.5950388068786</v>
      </c>
      <c r="U473" s="1756">
        <v>46041</v>
      </c>
      <c r="V473" s="1323"/>
      <c r="W473" s="1323"/>
      <c r="X473" s="538">
        <v>0.8619</v>
      </c>
      <c r="AJ473" s="1156" t="s">
        <v>2</v>
      </c>
      <c r="AK473" s="1156">
        <v>2012</v>
      </c>
      <c r="AL473" s="817" t="s">
        <v>33</v>
      </c>
      <c r="AM473" s="817">
        <v>5</v>
      </c>
      <c r="AN473" s="1115">
        <v>46240996.60375379</v>
      </c>
      <c r="AO473" s="1367">
        <v>8.7651940812863427E-4</v>
      </c>
      <c r="AP473" s="817"/>
      <c r="AQ473" s="1150" t="s">
        <v>1</v>
      </c>
      <c r="AR473" s="1150" t="s">
        <v>582</v>
      </c>
      <c r="AS473" s="1150" t="s">
        <v>452</v>
      </c>
      <c r="AT473" s="1150"/>
      <c r="AU473" s="1151">
        <v>5615521000</v>
      </c>
      <c r="AV473" s="1121">
        <v>1</v>
      </c>
      <c r="AW473" s="817">
        <v>2004</v>
      </c>
    </row>
    <row r="474" spans="1:49">
      <c r="A474" s="798">
        <f t="shared" si="15"/>
        <v>2009</v>
      </c>
      <c r="B474" s="798">
        <f t="shared" si="16"/>
        <v>4</v>
      </c>
      <c r="C474" s="1105">
        <v>40087</v>
      </c>
      <c r="D474" s="805">
        <v>274.431570135789</v>
      </c>
      <c r="E474" s="1102">
        <v>1149.6099999999999</v>
      </c>
      <c r="F474" s="1102">
        <v>1043.1600000000001</v>
      </c>
      <c r="G474" s="1103"/>
      <c r="H474" s="805"/>
      <c r="I474" s="1103"/>
      <c r="J474" s="1103"/>
      <c r="K474" s="84">
        <v>20431.487812948053</v>
      </c>
      <c r="L474" s="84">
        <v>18525.23</v>
      </c>
      <c r="M474" s="84">
        <v>3.75</v>
      </c>
      <c r="N474" s="805">
        <v>78.260000000000005</v>
      </c>
      <c r="O474" s="941">
        <v>6935.02</v>
      </c>
      <c r="P474" s="941">
        <v>2471.346641667586</v>
      </c>
      <c r="Q474" s="941">
        <v>2284.7579133120107</v>
      </c>
      <c r="R474" s="805">
        <v>49.5</v>
      </c>
      <c r="S474" s="805">
        <v>920.24943357363543</v>
      </c>
      <c r="T474" s="805">
        <v>1059.0833719851578</v>
      </c>
      <c r="U474" s="805">
        <v>40557</v>
      </c>
      <c r="V474" s="805"/>
      <c r="W474" s="805"/>
      <c r="X474" s="5">
        <v>0.90669999999999995</v>
      </c>
      <c r="AJ474" s="1156" t="s">
        <v>2</v>
      </c>
      <c r="AK474" s="1156">
        <v>2012</v>
      </c>
      <c r="AL474" s="817" t="s">
        <v>45</v>
      </c>
      <c r="AM474" s="817"/>
      <c r="AN474" s="1115">
        <v>92322008.636259899</v>
      </c>
      <c r="AO474" s="1367">
        <v>1.7500062349549799E-3</v>
      </c>
      <c r="AP474" s="817"/>
      <c r="AQ474" s="1154" t="s">
        <v>1</v>
      </c>
      <c r="AR474" s="1154" t="s">
        <v>606</v>
      </c>
      <c r="AS474" s="1154" t="s">
        <v>27</v>
      </c>
      <c r="AT474" s="1154">
        <v>1</v>
      </c>
      <c r="AU474" s="1155">
        <v>2744915000</v>
      </c>
      <c r="AV474" s="1121">
        <v>0.38341572952723585</v>
      </c>
      <c r="AW474" s="817">
        <v>2005</v>
      </c>
    </row>
    <row r="475" spans="1:49">
      <c r="A475" s="798">
        <f t="shared" si="15"/>
        <v>2009</v>
      </c>
      <c r="B475" s="798">
        <f t="shared" si="16"/>
        <v>4</v>
      </c>
      <c r="C475" s="1105">
        <v>40118</v>
      </c>
      <c r="D475" s="934">
        <v>277.86207600233621</v>
      </c>
      <c r="E475" s="1100">
        <v>1219.8900000000001</v>
      </c>
      <c r="F475" s="1100">
        <v>1127.04</v>
      </c>
      <c r="G475" s="1101"/>
      <c r="H475" s="935"/>
      <c r="I475" s="1101"/>
      <c r="J475" s="1101"/>
      <c r="K475" s="936">
        <v>18456.647838366283</v>
      </c>
      <c r="L475" s="936">
        <v>16991.189999999999</v>
      </c>
      <c r="M475" s="936">
        <v>3.75</v>
      </c>
      <c r="N475" s="937">
        <v>80.36</v>
      </c>
      <c r="O475" s="938">
        <v>7251.36</v>
      </c>
      <c r="P475" s="938">
        <v>2507.8861611992183</v>
      </c>
      <c r="Q475" s="938">
        <v>2382.5548555290029</v>
      </c>
      <c r="R475" s="939">
        <v>45.5</v>
      </c>
      <c r="S475" s="940">
        <v>920.56123076923075</v>
      </c>
      <c r="T475" s="940">
        <v>1074.1064182194616</v>
      </c>
      <c r="U475" s="1756">
        <v>47970</v>
      </c>
      <c r="V475" s="1323"/>
      <c r="W475" s="1323"/>
      <c r="X475" s="538">
        <v>0.92059999999999997</v>
      </c>
      <c r="AJ475" s="1156" t="s">
        <v>2</v>
      </c>
      <c r="AK475" s="1156">
        <v>2012</v>
      </c>
      <c r="AL475" s="817" t="s">
        <v>452</v>
      </c>
      <c r="AM475" s="817"/>
      <c r="AN475" s="1115">
        <v>52755245548.38797</v>
      </c>
      <c r="AP475" s="817"/>
      <c r="AQ475" s="1154" t="s">
        <v>1</v>
      </c>
      <c r="AR475" s="1154" t="s">
        <v>606</v>
      </c>
      <c r="AS475" s="1154" t="s">
        <v>72</v>
      </c>
      <c r="AT475" s="1154">
        <v>2</v>
      </c>
      <c r="AU475" s="1155">
        <v>2372023000</v>
      </c>
      <c r="AV475" s="1121">
        <v>0.33132935956136439</v>
      </c>
      <c r="AW475" s="817">
        <v>2005</v>
      </c>
    </row>
    <row r="476" spans="1:49">
      <c r="A476" s="798">
        <f t="shared" si="15"/>
        <v>2009</v>
      </c>
      <c r="B476" s="798">
        <f t="shared" si="16"/>
        <v>4</v>
      </c>
      <c r="C476" s="1105">
        <v>40148</v>
      </c>
      <c r="D476" s="805">
        <v>288.05262745528194</v>
      </c>
      <c r="E476" s="1102">
        <v>1257.55</v>
      </c>
      <c r="F476" s="1102">
        <v>1134.72</v>
      </c>
      <c r="G476" s="1103"/>
      <c r="H476" s="805"/>
      <c r="I476" s="1103"/>
      <c r="J476" s="1103"/>
      <c r="K476" s="84">
        <v>18903.790733761914</v>
      </c>
      <c r="L476" s="84">
        <v>17055</v>
      </c>
      <c r="M476" s="84">
        <v>3.75</v>
      </c>
      <c r="N476" s="805">
        <v>79.34</v>
      </c>
      <c r="O476" s="941">
        <v>7736.57</v>
      </c>
      <c r="P476" s="941">
        <v>2579.2507204610952</v>
      </c>
      <c r="Q476" s="941">
        <v>2632.4761693637774</v>
      </c>
      <c r="R476" s="805">
        <v>44.5</v>
      </c>
      <c r="S476" s="805">
        <v>1033.5622595313046</v>
      </c>
      <c r="T476" s="805">
        <v>1002.0904151574255</v>
      </c>
      <c r="U476" s="805">
        <v>47345</v>
      </c>
      <c r="V476" s="805"/>
      <c r="W476" s="805"/>
      <c r="X476" s="5">
        <v>0.9022</v>
      </c>
      <c r="AJ476" s="1156" t="s">
        <v>2</v>
      </c>
      <c r="AK476" s="817">
        <v>2013</v>
      </c>
      <c r="AL476" s="817" t="s">
        <v>24</v>
      </c>
      <c r="AM476" s="817">
        <v>1</v>
      </c>
      <c r="AN476" s="1115">
        <v>44578026790.587692</v>
      </c>
      <c r="AO476" s="1367">
        <v>0.6319604171376132</v>
      </c>
      <c r="AP476" s="817"/>
      <c r="AQ476" s="1154" t="s">
        <v>1</v>
      </c>
      <c r="AR476" s="1154" t="s">
        <v>606</v>
      </c>
      <c r="AS476" s="1154" t="s">
        <v>39</v>
      </c>
      <c r="AT476" s="1154">
        <v>3</v>
      </c>
      <c r="AU476" s="1155">
        <v>704714000</v>
      </c>
      <c r="AV476" s="1121">
        <v>9.8435992523650637E-2</v>
      </c>
      <c r="AW476" s="817">
        <v>2005</v>
      </c>
    </row>
    <row r="477" spans="1:49">
      <c r="A477" s="798">
        <f t="shared" si="15"/>
        <v>2010</v>
      </c>
      <c r="B477" s="798">
        <f t="shared" si="16"/>
        <v>1</v>
      </c>
      <c r="C477" s="1105">
        <v>40179</v>
      </c>
      <c r="D477" s="934">
        <v>309.02690311797556</v>
      </c>
      <c r="E477" s="1100">
        <v>1223.1600000000001</v>
      </c>
      <c r="F477" s="1100">
        <v>1117.96</v>
      </c>
      <c r="G477" s="1101"/>
      <c r="H477" s="935"/>
      <c r="I477" s="1101"/>
      <c r="J477" s="1101"/>
      <c r="K477" s="936">
        <v>20220.693058449389</v>
      </c>
      <c r="L477" s="936">
        <v>18439.25</v>
      </c>
      <c r="M477" s="936">
        <v>3.94</v>
      </c>
      <c r="N477" s="937">
        <v>80.73</v>
      </c>
      <c r="O477" s="938">
        <v>8099.85</v>
      </c>
      <c r="P477" s="938">
        <v>2597.1926746353765</v>
      </c>
      <c r="Q477" s="938">
        <v>2669.6457944950103</v>
      </c>
      <c r="R477" s="939">
        <v>42.5</v>
      </c>
      <c r="S477" s="940">
        <v>967.93429883433419</v>
      </c>
      <c r="T477" s="940">
        <v>1000.7088944797987</v>
      </c>
      <c r="U477" s="1756">
        <v>52402</v>
      </c>
      <c r="V477" s="1323"/>
      <c r="W477" s="1323"/>
      <c r="X477" s="538">
        <v>0.91190000000000004</v>
      </c>
      <c r="AJ477" s="1156" t="s">
        <v>2</v>
      </c>
      <c r="AK477" s="817">
        <v>2013</v>
      </c>
      <c r="AL477" s="817" t="s">
        <v>29</v>
      </c>
      <c r="AM477" s="817">
        <v>2</v>
      </c>
      <c r="AN477" s="1115">
        <v>11403013190.444498</v>
      </c>
      <c r="AO477" s="1367">
        <v>0.161654821697504</v>
      </c>
      <c r="AP477" s="817"/>
      <c r="AQ477" s="1154" t="s">
        <v>1</v>
      </c>
      <c r="AR477" s="1154" t="s">
        <v>606</v>
      </c>
      <c r="AS477" s="1154" t="s">
        <v>29</v>
      </c>
      <c r="AT477" s="1154">
        <v>4</v>
      </c>
      <c r="AU477" s="1155">
        <v>383553000</v>
      </c>
      <c r="AV477" s="1121">
        <v>5.3575521758364067E-2</v>
      </c>
      <c r="AW477" s="817">
        <v>2005</v>
      </c>
    </row>
    <row r="478" spans="1:49">
      <c r="A478" s="798">
        <f t="shared" si="15"/>
        <v>2010</v>
      </c>
      <c r="B478" s="798">
        <f t="shared" si="16"/>
        <v>1</v>
      </c>
      <c r="C478" s="1105">
        <v>40210</v>
      </c>
      <c r="D478" s="805">
        <v>330.08166323507442</v>
      </c>
      <c r="E478" s="1102">
        <v>1232.1600000000001</v>
      </c>
      <c r="F478" s="1102">
        <v>1095.4100000000001</v>
      </c>
      <c r="G478" s="1103"/>
      <c r="H478" s="805"/>
      <c r="I478" s="1103"/>
      <c r="J478" s="1103"/>
      <c r="K478" s="84">
        <v>21388.63841298467</v>
      </c>
      <c r="L478" s="84">
        <v>18976</v>
      </c>
      <c r="M478" s="84">
        <v>3.94</v>
      </c>
      <c r="N478" s="805">
        <v>77.61</v>
      </c>
      <c r="O478" s="941">
        <v>7718.87</v>
      </c>
      <c r="P478" s="941">
        <v>2393.688007213706</v>
      </c>
      <c r="Q478" s="941">
        <v>2431.1316501352571</v>
      </c>
      <c r="R478" s="805">
        <v>41.75</v>
      </c>
      <c r="S478" s="805">
        <v>914.425385023898</v>
      </c>
      <c r="T478" s="805">
        <v>1021.8392035114014</v>
      </c>
      <c r="U478" s="805">
        <v>52494</v>
      </c>
      <c r="V478" s="805"/>
      <c r="W478" s="805"/>
      <c r="X478" s="5">
        <v>0.88719999999999999</v>
      </c>
      <c r="AJ478" s="1156" t="s">
        <v>2</v>
      </c>
      <c r="AK478" s="817">
        <v>2013</v>
      </c>
      <c r="AL478" s="817" t="s">
        <v>30</v>
      </c>
      <c r="AM478" s="817">
        <v>3</v>
      </c>
      <c r="AN478" s="1115">
        <v>4798752857.0648727</v>
      </c>
      <c r="AO478" s="1367">
        <v>6.802952206783959E-2</v>
      </c>
      <c r="AP478" s="817"/>
      <c r="AQ478" s="1154" t="s">
        <v>1</v>
      </c>
      <c r="AR478" s="1154" t="s">
        <v>606</v>
      </c>
      <c r="AS478" s="1154" t="s">
        <v>70</v>
      </c>
      <c r="AT478" s="1154">
        <v>5</v>
      </c>
      <c r="AU478" s="1155">
        <v>304767000</v>
      </c>
      <c r="AV478" s="1121">
        <v>4.2570520996397736E-2</v>
      </c>
      <c r="AW478" s="817">
        <v>2005</v>
      </c>
    </row>
    <row r="479" spans="1:49">
      <c r="A479" s="798">
        <f t="shared" si="15"/>
        <v>2010</v>
      </c>
      <c r="B479" s="798">
        <f t="shared" si="16"/>
        <v>1</v>
      </c>
      <c r="C479" s="1105">
        <v>40238</v>
      </c>
      <c r="D479" s="934">
        <v>312.80110862703356</v>
      </c>
      <c r="E479" s="1100">
        <v>1227.3</v>
      </c>
      <c r="F479" s="1100">
        <v>1113.3399999999999</v>
      </c>
      <c r="G479" s="1101"/>
      <c r="H479" s="935"/>
      <c r="I479" s="1101"/>
      <c r="J479" s="1101"/>
      <c r="K479" s="936">
        <v>24609.729374383696</v>
      </c>
      <c r="L479" s="936">
        <v>22461.3</v>
      </c>
      <c r="M479" s="936">
        <v>3.94</v>
      </c>
      <c r="N479" s="937">
        <v>82.76</v>
      </c>
      <c r="O479" s="938">
        <v>8176.65</v>
      </c>
      <c r="P479" s="938">
        <v>2379.8509915634932</v>
      </c>
      <c r="Q479" s="938">
        <v>2492.681056206859</v>
      </c>
      <c r="R479" s="939">
        <v>42</v>
      </c>
      <c r="S479" s="940">
        <v>883.62583400053381</v>
      </c>
      <c r="T479" s="940">
        <v>970.56097811568884</v>
      </c>
      <c r="U479" s="1756">
        <v>46498</v>
      </c>
      <c r="V479" s="1323"/>
      <c r="W479" s="1323"/>
      <c r="X479" s="538">
        <v>0.91269999999999996</v>
      </c>
      <c r="AJ479" s="1156" t="s">
        <v>2</v>
      </c>
      <c r="AK479" s="817">
        <v>2013</v>
      </c>
      <c r="AL479" s="817" t="s">
        <v>433</v>
      </c>
      <c r="AM479" s="817">
        <v>4</v>
      </c>
      <c r="AN479" s="1115">
        <v>2048203842.3611562</v>
      </c>
      <c r="AO479" s="1367">
        <v>2.9036362705823434E-2</v>
      </c>
      <c r="AP479" s="817"/>
      <c r="AQ479" s="1154" t="s">
        <v>1</v>
      </c>
      <c r="AR479" s="1154" t="s">
        <v>606</v>
      </c>
      <c r="AS479" s="1154" t="s">
        <v>643</v>
      </c>
      <c r="AT479" s="1154">
        <v>6</v>
      </c>
      <c r="AU479" s="1155">
        <v>208354000</v>
      </c>
      <c r="AV479" s="1121">
        <v>2.9103342329331764E-2</v>
      </c>
      <c r="AW479" s="817">
        <v>2005</v>
      </c>
    </row>
    <row r="480" spans="1:49">
      <c r="A480" s="798">
        <f t="shared" si="15"/>
        <v>2010</v>
      </c>
      <c r="B480" s="798">
        <f t="shared" si="16"/>
        <v>2</v>
      </c>
      <c r="C480" s="1105">
        <v>40269</v>
      </c>
      <c r="D480" s="805">
        <v>315.63672039635696</v>
      </c>
      <c r="E480" s="1102">
        <v>1232.8399999999999</v>
      </c>
      <c r="F480" s="1102">
        <v>1145.99</v>
      </c>
      <c r="G480" s="1103"/>
      <c r="H480" s="805"/>
      <c r="I480" s="1103"/>
      <c r="J480" s="1103"/>
      <c r="K480" s="84">
        <v>28107.925709966526</v>
      </c>
      <c r="L480" s="84">
        <v>26030.75</v>
      </c>
      <c r="M480" s="84">
        <v>4.09</v>
      </c>
      <c r="N480" s="805">
        <v>86.92</v>
      </c>
      <c r="O480" s="941">
        <v>8363.11</v>
      </c>
      <c r="P480" s="941">
        <v>2445.5782312925166</v>
      </c>
      <c r="Q480" s="941">
        <v>2555.5339596155918</v>
      </c>
      <c r="R480" s="805">
        <v>41.75</v>
      </c>
      <c r="S480" s="805">
        <v>930.16761687571261</v>
      </c>
      <c r="T480" s="805">
        <v>943.02945801446697</v>
      </c>
      <c r="U480" s="805">
        <v>51658</v>
      </c>
      <c r="V480" s="805"/>
      <c r="W480" s="805"/>
      <c r="X480" s="5">
        <v>0.92610000000000003</v>
      </c>
      <c r="AJ480" s="1156" t="s">
        <v>2</v>
      </c>
      <c r="AK480" s="817">
        <v>2013</v>
      </c>
      <c r="AL480" s="817" t="s">
        <v>41</v>
      </c>
      <c r="AM480" s="817">
        <v>5</v>
      </c>
      <c r="AN480" s="1115">
        <v>1135824166.5416176</v>
      </c>
      <c r="AO480" s="1367">
        <v>1.6102011815251085E-2</v>
      </c>
      <c r="AP480" s="817"/>
      <c r="AQ480" s="1154" t="s">
        <v>1</v>
      </c>
      <c r="AR480" s="1154" t="s">
        <v>606</v>
      </c>
      <c r="AS480" s="1154" t="s">
        <v>431</v>
      </c>
      <c r="AT480" s="1154">
        <v>7</v>
      </c>
      <c r="AU480" s="1155">
        <v>157766000</v>
      </c>
      <c r="AV480" s="1121">
        <v>2.2037099868153984E-2</v>
      </c>
      <c r="AW480" s="817">
        <v>2005</v>
      </c>
    </row>
    <row r="481" spans="1:49">
      <c r="A481" s="798">
        <f t="shared" si="15"/>
        <v>2010</v>
      </c>
      <c r="B481" s="798">
        <f t="shared" si="16"/>
        <v>2</v>
      </c>
      <c r="C481" s="1105">
        <v>40299</v>
      </c>
      <c r="D481" s="934">
        <v>350.72846015218892</v>
      </c>
      <c r="E481" s="1100">
        <v>1373.51</v>
      </c>
      <c r="F481" s="1100">
        <v>1205.43</v>
      </c>
      <c r="G481" s="1101"/>
      <c r="H481" s="935"/>
      <c r="I481" s="1101"/>
      <c r="J481" s="1101"/>
      <c r="K481" s="936">
        <v>25328.760501783865</v>
      </c>
      <c r="L481" s="936">
        <v>22008.16</v>
      </c>
      <c r="M481" s="936">
        <v>4.09</v>
      </c>
      <c r="N481" s="937">
        <v>79.06</v>
      </c>
      <c r="O481" s="938">
        <v>7869.35</v>
      </c>
      <c r="P481" s="938">
        <v>2166.7395557601567</v>
      </c>
      <c r="Q481" s="938">
        <v>2265.3584992519277</v>
      </c>
      <c r="R481" s="939">
        <v>40.75</v>
      </c>
      <c r="S481" s="940">
        <v>916.29567673256577</v>
      </c>
      <c r="T481" s="940">
        <v>1023.3899423907825</v>
      </c>
      <c r="U481" s="1756">
        <v>52172</v>
      </c>
      <c r="V481" s="1323"/>
      <c r="W481" s="1323"/>
      <c r="X481" s="538">
        <v>0.86890000000000001</v>
      </c>
      <c r="AJ481" s="1156" t="s">
        <v>2</v>
      </c>
      <c r="AK481" s="817">
        <v>2013</v>
      </c>
      <c r="AL481" s="817" t="s">
        <v>45</v>
      </c>
      <c r="AM481" s="817"/>
      <c r="AN481" s="1115">
        <v>6575449622.6576891</v>
      </c>
      <c r="AO481" s="1367">
        <v>9.321686457596863E-2</v>
      </c>
      <c r="AP481" s="817"/>
      <c r="AQ481" s="1154" t="s">
        <v>1</v>
      </c>
      <c r="AR481" s="1154" t="s">
        <v>606</v>
      </c>
      <c r="AS481" s="1154" t="s">
        <v>40</v>
      </c>
      <c r="AT481" s="1154">
        <v>8</v>
      </c>
      <c r="AU481" s="1155">
        <v>85974000</v>
      </c>
      <c r="AV481" s="1121">
        <v>1.2009036320022506E-2</v>
      </c>
      <c r="AW481" s="817">
        <v>2005</v>
      </c>
    </row>
    <row r="482" spans="1:49">
      <c r="A482" s="798">
        <f t="shared" si="15"/>
        <v>2010</v>
      </c>
      <c r="B482" s="798">
        <f t="shared" si="16"/>
        <v>2</v>
      </c>
      <c r="C482" s="1105">
        <v>40330</v>
      </c>
      <c r="D482" s="805">
        <v>338.86174730458742</v>
      </c>
      <c r="E482" s="1102">
        <v>1448.34</v>
      </c>
      <c r="F482" s="1102">
        <v>1232.92</v>
      </c>
      <c r="G482" s="1103"/>
      <c r="H482" s="805"/>
      <c r="I482" s="1103"/>
      <c r="J482" s="1103"/>
      <c r="K482" s="84">
        <v>22735.272045028141</v>
      </c>
      <c r="L482" s="84">
        <v>19388.64</v>
      </c>
      <c r="M482" s="84">
        <v>4.09</v>
      </c>
      <c r="N482" s="805">
        <v>80.930000000000007</v>
      </c>
      <c r="O482" s="941">
        <v>7621.13</v>
      </c>
      <c r="P482" s="941">
        <v>1998.0651969981238</v>
      </c>
      <c r="Q482" s="941">
        <v>2043.6679174484052</v>
      </c>
      <c r="R482" s="805">
        <v>41.75</v>
      </c>
      <c r="S482" s="805">
        <v>989.28187456926253</v>
      </c>
      <c r="T482" s="805">
        <v>1064.047182925832</v>
      </c>
      <c r="U482" s="805">
        <v>50249</v>
      </c>
      <c r="V482" s="805"/>
      <c r="W482" s="805"/>
      <c r="X482" s="5">
        <v>0.8528</v>
      </c>
      <c r="AJ482" s="1156" t="s">
        <v>2</v>
      </c>
      <c r="AK482" s="817">
        <v>2013</v>
      </c>
      <c r="AL482" s="817" t="s">
        <v>452</v>
      </c>
      <c r="AM482" s="817"/>
      <c r="AN482" s="1115">
        <v>70539270469.657532</v>
      </c>
      <c r="AP482" s="817"/>
      <c r="AQ482" s="1154" t="s">
        <v>1</v>
      </c>
      <c r="AR482" s="1154" t="s">
        <v>606</v>
      </c>
      <c r="AS482" s="1154" t="s">
        <v>85</v>
      </c>
      <c r="AT482" s="1154">
        <v>9</v>
      </c>
      <c r="AU482" s="1155">
        <v>78325000</v>
      </c>
      <c r="AV482" s="1121">
        <v>1.0940607273893999E-2</v>
      </c>
      <c r="AW482" s="817">
        <v>2005</v>
      </c>
    </row>
    <row r="483" spans="1:49">
      <c r="A483" s="798">
        <f t="shared" si="15"/>
        <v>2010</v>
      </c>
      <c r="B483" s="798">
        <f t="shared" si="16"/>
        <v>3</v>
      </c>
      <c r="C483" s="1105">
        <v>40360</v>
      </c>
      <c r="D483" s="934">
        <v>312.78593696109795</v>
      </c>
      <c r="E483" s="1100">
        <v>1371.04</v>
      </c>
      <c r="F483" s="1100">
        <v>1192.97</v>
      </c>
      <c r="G483" s="1101"/>
      <c r="H483" s="935"/>
      <c r="I483" s="1101"/>
      <c r="J483" s="1101"/>
      <c r="K483" s="936">
        <v>22229.498861047836</v>
      </c>
      <c r="L483" s="936">
        <v>19517.5</v>
      </c>
      <c r="M483" s="936">
        <v>3.99</v>
      </c>
      <c r="N483" s="937">
        <v>79.86</v>
      </c>
      <c r="O483" s="938">
        <v>7671.14</v>
      </c>
      <c r="P483" s="938">
        <v>2092.2323462414579</v>
      </c>
      <c r="Q483" s="938">
        <v>2100.102505694761</v>
      </c>
      <c r="R483" s="939">
        <v>46</v>
      </c>
      <c r="S483" s="940">
        <v>918.29236172080778</v>
      </c>
      <c r="T483" s="940">
        <v>1099.8412283567461</v>
      </c>
      <c r="U483" s="1756">
        <v>47206</v>
      </c>
      <c r="V483" s="1323"/>
      <c r="W483" s="1323"/>
      <c r="X483" s="538">
        <v>0.878</v>
      </c>
      <c r="AJ483" s="1156" t="s">
        <v>2</v>
      </c>
      <c r="AK483" s="817">
        <v>2014</v>
      </c>
      <c r="AL483" s="817" t="s">
        <v>24</v>
      </c>
      <c r="AM483" s="817">
        <v>1</v>
      </c>
      <c r="AN483" s="1115">
        <v>51013904690.063545</v>
      </c>
      <c r="AO483" s="1367">
        <v>0.78254300162578883</v>
      </c>
      <c r="AP483" s="817"/>
      <c r="AQ483" s="1154" t="s">
        <v>1</v>
      </c>
      <c r="AR483" s="1154" t="s">
        <v>606</v>
      </c>
      <c r="AS483" s="1154" t="s">
        <v>432</v>
      </c>
      <c r="AT483" s="1154">
        <v>10</v>
      </c>
      <c r="AU483" s="1155">
        <v>67854000</v>
      </c>
      <c r="AV483" s="1121">
        <v>9.4779950968758818E-3</v>
      </c>
      <c r="AW483" s="817">
        <v>2005</v>
      </c>
    </row>
    <row r="484" spans="1:49">
      <c r="A484" s="798">
        <f t="shared" si="15"/>
        <v>2010</v>
      </c>
      <c r="B484" s="798">
        <f t="shared" si="16"/>
        <v>3</v>
      </c>
      <c r="C484" s="1105">
        <v>40391</v>
      </c>
      <c r="D484" s="805">
        <v>306.52230582893344</v>
      </c>
      <c r="E484" s="1102">
        <v>1359.8</v>
      </c>
      <c r="F484" s="1102">
        <v>1215.81</v>
      </c>
      <c r="G484" s="1103"/>
      <c r="H484" s="805"/>
      <c r="I484" s="1103"/>
      <c r="J484" s="1103"/>
      <c r="K484" s="84">
        <v>23784.660668666002</v>
      </c>
      <c r="L484" s="84">
        <v>21413.33</v>
      </c>
      <c r="M484" s="84">
        <v>3.99</v>
      </c>
      <c r="N484" s="805">
        <v>81.25</v>
      </c>
      <c r="O484" s="941">
        <v>8090.58</v>
      </c>
      <c r="P484" s="941">
        <v>2305.0538709319112</v>
      </c>
      <c r="Q484" s="941">
        <v>2270.9874486282351</v>
      </c>
      <c r="R484" s="805">
        <v>45</v>
      </c>
      <c r="S484" s="805">
        <v>931.40234291799788</v>
      </c>
      <c r="T484" s="805">
        <v>1059.7523056653492</v>
      </c>
      <c r="U484" s="805">
        <v>44307</v>
      </c>
      <c r="V484" s="805"/>
      <c r="W484" s="805"/>
      <c r="X484" s="5">
        <v>0.90029999999999999</v>
      </c>
      <c r="AJ484" s="1156" t="s">
        <v>2</v>
      </c>
      <c r="AK484" s="817">
        <v>2014</v>
      </c>
      <c r="AL484" s="817" t="s">
        <v>29</v>
      </c>
      <c r="AM484" s="817">
        <v>2</v>
      </c>
      <c r="AN484" s="1115">
        <v>7447813568.1640291</v>
      </c>
      <c r="AO484" s="1367">
        <v>0.11424795691664777</v>
      </c>
      <c r="AP484" s="817"/>
      <c r="AQ484" s="1154" t="s">
        <v>1</v>
      </c>
      <c r="AR484" s="1154" t="s">
        <v>606</v>
      </c>
      <c r="AS484" s="1154" t="s">
        <v>45</v>
      </c>
      <c r="AT484" s="1154"/>
      <c r="AU484" s="1155">
        <v>50864000</v>
      </c>
      <c r="AV484" s="1121">
        <v>7.1047947447091531E-3</v>
      </c>
      <c r="AW484" s="817">
        <v>2005</v>
      </c>
    </row>
    <row r="485" spans="1:49">
      <c r="A485" s="798">
        <f t="shared" si="15"/>
        <v>2010</v>
      </c>
      <c r="B485" s="798">
        <f t="shared" si="16"/>
        <v>3</v>
      </c>
      <c r="C485" s="1105">
        <v>40422</v>
      </c>
      <c r="D485" s="934">
        <v>300.04503317964117</v>
      </c>
      <c r="E485" s="1100">
        <v>1369.58</v>
      </c>
      <c r="F485" s="1100">
        <v>1271.0999999999999</v>
      </c>
      <c r="G485" s="1101"/>
      <c r="H485" s="935"/>
      <c r="I485" s="1101"/>
      <c r="J485" s="1101"/>
      <c r="K485" s="936">
        <v>24116.956012354884</v>
      </c>
      <c r="L485" s="936">
        <v>22643.41</v>
      </c>
      <c r="M485" s="936">
        <v>3.99</v>
      </c>
      <c r="N485" s="937">
        <v>82.32</v>
      </c>
      <c r="O485" s="938">
        <v>8210.99</v>
      </c>
      <c r="P485" s="938">
        <v>2326.3712855469166</v>
      </c>
      <c r="Q485" s="938">
        <v>2291.4154862072637</v>
      </c>
      <c r="R485" s="939">
        <v>46.5</v>
      </c>
      <c r="S485" s="940">
        <v>824.69842460615155</v>
      </c>
      <c r="T485" s="940">
        <v>1048.0543699186992</v>
      </c>
      <c r="U485" s="1756">
        <v>45788</v>
      </c>
      <c r="V485" s="1323"/>
      <c r="W485" s="1323"/>
      <c r="X485" s="538">
        <v>0.93889999999999996</v>
      </c>
      <c r="Z485" s="71"/>
      <c r="AB485" s="1042"/>
      <c r="AJ485" s="1156" t="s">
        <v>2</v>
      </c>
      <c r="AK485" s="817">
        <v>2014</v>
      </c>
      <c r="AL485" s="817" t="s">
        <v>30</v>
      </c>
      <c r="AM485" s="817">
        <v>3</v>
      </c>
      <c r="AN485" s="1115">
        <v>4892410307.317029</v>
      </c>
      <c r="AO485" s="1367">
        <v>7.5048586661481967E-2</v>
      </c>
      <c r="AP485" s="817"/>
      <c r="AQ485" s="1154" t="s">
        <v>1</v>
      </c>
      <c r="AR485" s="1154" t="s">
        <v>606</v>
      </c>
      <c r="AS485" s="1154" t="s">
        <v>452</v>
      </c>
      <c r="AT485" s="1154"/>
      <c r="AU485" s="1155">
        <v>7159109000</v>
      </c>
      <c r="AV485" s="1121">
        <v>1</v>
      </c>
      <c r="AW485" s="817">
        <v>2005</v>
      </c>
    </row>
    <row r="486" spans="1:49">
      <c r="A486" s="798">
        <f t="shared" si="15"/>
        <v>2010</v>
      </c>
      <c r="B486" s="798">
        <f t="shared" si="16"/>
        <v>4</v>
      </c>
      <c r="C486" s="1105">
        <v>40452</v>
      </c>
      <c r="D486" s="805">
        <v>300.55474787735739</v>
      </c>
      <c r="E486" s="1102">
        <v>1378.54</v>
      </c>
      <c r="F486" s="1102">
        <v>1342.02</v>
      </c>
      <c r="G486" s="1103"/>
      <c r="H486" s="805"/>
      <c r="I486" s="1103"/>
      <c r="J486" s="1103"/>
      <c r="K486" s="84">
        <v>24248.706457526991</v>
      </c>
      <c r="L486" s="84">
        <v>23807.38</v>
      </c>
      <c r="M486" s="84">
        <v>3.91</v>
      </c>
      <c r="N486" s="805">
        <v>89.88</v>
      </c>
      <c r="O486" s="941">
        <v>8446.1200000000008</v>
      </c>
      <c r="P486" s="941">
        <v>2423.7828478305155</v>
      </c>
      <c r="Q486" s="941">
        <v>2416.1132613566915</v>
      </c>
      <c r="R486" s="805">
        <v>52</v>
      </c>
      <c r="S486" s="805">
        <v>822.48897795591188</v>
      </c>
      <c r="T486" s="805">
        <v>1069.2155072223145</v>
      </c>
      <c r="U486" s="805">
        <v>46032</v>
      </c>
      <c r="V486" s="805"/>
      <c r="W486" s="805"/>
      <c r="X486" s="5">
        <v>0.98180000000000001</v>
      </c>
      <c r="AJ486" s="1156" t="s">
        <v>2</v>
      </c>
      <c r="AK486" s="817">
        <v>2014</v>
      </c>
      <c r="AL486" s="817" t="s">
        <v>433</v>
      </c>
      <c r="AM486" s="817">
        <v>4</v>
      </c>
      <c r="AN486" s="1115">
        <v>1442061621.1455843</v>
      </c>
      <c r="AO486" s="1367">
        <v>2.2120934211891846E-2</v>
      </c>
      <c r="AP486" s="817"/>
      <c r="AQ486" s="1157" t="s">
        <v>1</v>
      </c>
      <c r="AR486" s="1157" t="s">
        <v>607</v>
      </c>
      <c r="AS486" s="1157" t="s">
        <v>27</v>
      </c>
      <c r="AT486" s="1157">
        <v>1</v>
      </c>
      <c r="AU486" s="1158">
        <v>4636000000</v>
      </c>
      <c r="AV486" s="1121">
        <v>0.44445854815256819</v>
      </c>
      <c r="AW486" s="817">
        <v>2006</v>
      </c>
    </row>
    <row r="487" spans="1:49">
      <c r="A487" s="798">
        <f t="shared" si="15"/>
        <v>2010</v>
      </c>
      <c r="B487" s="798">
        <f t="shared" si="16"/>
        <v>4</v>
      </c>
      <c r="C487" s="1105">
        <v>40483</v>
      </c>
      <c r="D487" s="934">
        <v>314.03861367376749</v>
      </c>
      <c r="E487" s="1100">
        <v>1394.01</v>
      </c>
      <c r="F487" s="1100">
        <v>1369.24</v>
      </c>
      <c r="G487" s="1101"/>
      <c r="H487" s="935"/>
      <c r="I487" s="1101"/>
      <c r="J487" s="1101"/>
      <c r="K487" s="936">
        <v>23166.467792496715</v>
      </c>
      <c r="L487" s="936">
        <v>22909.32</v>
      </c>
      <c r="M487" s="936">
        <v>3.91</v>
      </c>
      <c r="N487" s="937">
        <v>91.6</v>
      </c>
      <c r="O487" s="938">
        <v>8564.9599999999991</v>
      </c>
      <c r="P487" s="938">
        <v>2403.4078268783496</v>
      </c>
      <c r="Q487" s="938">
        <v>2317.403175245222</v>
      </c>
      <c r="R487" s="939">
        <v>57</v>
      </c>
      <c r="S487" s="940">
        <v>810.42676864244743</v>
      </c>
      <c r="T487" s="940">
        <v>1091.1910447761195</v>
      </c>
      <c r="U487" s="1756">
        <v>39014</v>
      </c>
      <c r="V487" s="1323"/>
      <c r="W487" s="1323"/>
      <c r="X487" s="538">
        <v>0.9889</v>
      </c>
      <c r="AJ487" s="1156" t="s">
        <v>2</v>
      </c>
      <c r="AK487" s="817">
        <v>2014</v>
      </c>
      <c r="AL487" s="817" t="s">
        <v>28</v>
      </c>
      <c r="AM487" s="817">
        <v>5</v>
      </c>
      <c r="AN487" s="1115">
        <v>156508893.00574327</v>
      </c>
      <c r="AO487" s="1367">
        <v>2.4008148299555542E-3</v>
      </c>
      <c r="AP487" s="817"/>
      <c r="AQ487" s="1157" t="s">
        <v>1</v>
      </c>
      <c r="AR487" s="1157" t="s">
        <v>607</v>
      </c>
      <c r="AS487" s="1157" t="s">
        <v>72</v>
      </c>
      <c r="AT487" s="1157">
        <v>2</v>
      </c>
      <c r="AU487" s="1158">
        <v>1861492000</v>
      </c>
      <c r="AV487" s="1121">
        <v>0.17846333729888275</v>
      </c>
      <c r="AW487" s="817">
        <v>2006</v>
      </c>
    </row>
    <row r="488" spans="1:49">
      <c r="A488" s="798">
        <f t="shared" si="15"/>
        <v>2010</v>
      </c>
      <c r="B488" s="798">
        <f t="shared" si="16"/>
        <v>4</v>
      </c>
      <c r="C488" s="1105">
        <v>40513</v>
      </c>
      <c r="D488" s="805">
        <v>319.1883744321222</v>
      </c>
      <c r="E488" s="1102">
        <v>1415.35</v>
      </c>
      <c r="F488" s="1102">
        <v>1391.5</v>
      </c>
      <c r="G488" s="1103"/>
      <c r="H488" s="805"/>
      <c r="I488" s="1103"/>
      <c r="J488" s="1103"/>
      <c r="K488" s="84">
        <v>24225.04772430423</v>
      </c>
      <c r="L488" s="84">
        <v>24111.19</v>
      </c>
      <c r="M488" s="84">
        <v>3.91</v>
      </c>
      <c r="N488" s="805">
        <v>95.16</v>
      </c>
      <c r="O488" s="941">
        <v>9190.4599999999991</v>
      </c>
      <c r="P488" s="941">
        <v>2424.3243243243242</v>
      </c>
      <c r="Q488" s="941">
        <v>2291.7009946749722</v>
      </c>
      <c r="R488" s="805">
        <v>62.5</v>
      </c>
      <c r="S488" s="805">
        <v>860.28002868411613</v>
      </c>
      <c r="T488" s="805">
        <v>1123.3703110399147</v>
      </c>
      <c r="U488" s="805">
        <v>37600</v>
      </c>
      <c r="V488" s="805"/>
      <c r="W488" s="805"/>
      <c r="X488" s="5">
        <v>0.99529999999999996</v>
      </c>
      <c r="Z488" s="71"/>
      <c r="AA488" s="71"/>
      <c r="AB488" s="1042"/>
      <c r="AJ488" s="1156" t="s">
        <v>2</v>
      </c>
      <c r="AK488" s="817">
        <v>2014</v>
      </c>
      <c r="AL488" s="817" t="s">
        <v>45</v>
      </c>
      <c r="AM488" s="817"/>
      <c r="AN488" s="1115">
        <v>237206885.95518574</v>
      </c>
      <c r="AO488" s="1367">
        <v>3.6387057542339638E-3</v>
      </c>
      <c r="AP488" s="817"/>
      <c r="AQ488" s="1157" t="s">
        <v>1</v>
      </c>
      <c r="AR488" s="1157" t="s">
        <v>607</v>
      </c>
      <c r="AS488" s="1157" t="s">
        <v>432</v>
      </c>
      <c r="AT488" s="1157">
        <v>3</v>
      </c>
      <c r="AU488" s="1158">
        <v>959767000</v>
      </c>
      <c r="AV488" s="1121">
        <v>9.2013944647270474E-2</v>
      </c>
      <c r="AW488" s="817">
        <v>2006</v>
      </c>
    </row>
    <row r="489" spans="1:49">
      <c r="A489" s="798">
        <f t="shared" si="15"/>
        <v>2011</v>
      </c>
      <c r="B489" s="798">
        <f t="shared" si="16"/>
        <v>1</v>
      </c>
      <c r="C489" s="1105">
        <v>40544</v>
      </c>
      <c r="D489" s="934">
        <v>328.24251467706716</v>
      </c>
      <c r="E489" s="1100">
        <v>1381</v>
      </c>
      <c r="F489" s="1100">
        <v>1356.4</v>
      </c>
      <c r="G489" s="1101">
        <v>180.47499999999999</v>
      </c>
      <c r="H489" s="935">
        <v>181.12705740666399</v>
      </c>
      <c r="I489" s="1101">
        <v>153.6</v>
      </c>
      <c r="J489" s="1101">
        <v>154.1549578482537</v>
      </c>
      <c r="K489" s="936">
        <v>25738.910076274591</v>
      </c>
      <c r="L489" s="936">
        <v>25646.25</v>
      </c>
      <c r="M489" s="936">
        <v>4.05</v>
      </c>
      <c r="N489" s="937">
        <v>101.21</v>
      </c>
      <c r="O489" s="938">
        <v>9590.2199999999993</v>
      </c>
      <c r="P489" s="938">
        <v>2611.0497792051387</v>
      </c>
      <c r="Q489" s="938">
        <v>2380.1184263348055</v>
      </c>
      <c r="R489" s="939">
        <v>73</v>
      </c>
      <c r="S489" s="940">
        <v>964.06735228876789</v>
      </c>
      <c r="T489" s="940">
        <v>1344.3113346418056</v>
      </c>
      <c r="U489" s="1756">
        <v>42316</v>
      </c>
      <c r="V489" s="1323"/>
      <c r="W489" s="1323"/>
      <c r="X489" s="538">
        <v>0.99639999999999995</v>
      </c>
      <c r="AJ489" s="1156" t="s">
        <v>2</v>
      </c>
      <c r="AK489" s="817">
        <v>2014</v>
      </c>
      <c r="AL489" s="817" t="s">
        <v>452</v>
      </c>
      <c r="AM489" s="817"/>
      <c r="AN489" s="1115">
        <v>65189905965.651123</v>
      </c>
      <c r="AP489" s="817"/>
      <c r="AQ489" s="1157" t="s">
        <v>1</v>
      </c>
      <c r="AR489" s="1157" t="s">
        <v>607</v>
      </c>
      <c r="AS489" s="1157" t="s">
        <v>643</v>
      </c>
      <c r="AT489" s="1157">
        <v>4</v>
      </c>
      <c r="AU489" s="1158">
        <v>752378000</v>
      </c>
      <c r="AV489" s="1121">
        <v>7.2131327338639542E-2</v>
      </c>
      <c r="AW489" s="817">
        <v>2006</v>
      </c>
    </row>
    <row r="490" spans="1:49">
      <c r="A490" s="798">
        <f t="shared" si="15"/>
        <v>2011</v>
      </c>
      <c r="B490" s="798">
        <f t="shared" si="16"/>
        <v>1</v>
      </c>
      <c r="C490" s="1105">
        <v>40575</v>
      </c>
      <c r="D490" s="805">
        <v>338.58594859341878</v>
      </c>
      <c r="E490" s="1102">
        <v>1370.65</v>
      </c>
      <c r="F490" s="1102">
        <v>1372.73</v>
      </c>
      <c r="G490" s="1103">
        <v>186.97499999999999</v>
      </c>
      <c r="H490" s="805">
        <v>185.28887127142997</v>
      </c>
      <c r="I490" s="1103">
        <v>160.19999999999999</v>
      </c>
      <c r="J490" s="1103">
        <v>158.75532652858979</v>
      </c>
      <c r="K490" s="84">
        <v>27997.472995738775</v>
      </c>
      <c r="L490" s="84">
        <v>28252.25</v>
      </c>
      <c r="M490" s="84">
        <v>4.05</v>
      </c>
      <c r="N490" s="805">
        <v>107.67</v>
      </c>
      <c r="O490" s="941">
        <v>9778.61</v>
      </c>
      <c r="P490" s="941">
        <v>2563.3534833019517</v>
      </c>
      <c r="Q490" s="941">
        <v>2442.899613516995</v>
      </c>
      <c r="R490" s="805">
        <v>69.75</v>
      </c>
      <c r="S490" s="805">
        <v>928.66079295154179</v>
      </c>
      <c r="T490" s="805">
        <v>1370.6117706491539</v>
      </c>
      <c r="U490" s="805">
        <v>42193</v>
      </c>
      <c r="V490" s="805"/>
      <c r="W490" s="805"/>
      <c r="X490" s="5">
        <v>1.0091000000000001</v>
      </c>
      <c r="AJ490" s="1156" t="s">
        <v>2</v>
      </c>
      <c r="AK490" s="817">
        <v>2015</v>
      </c>
      <c r="AL490" s="817" t="s">
        <v>24</v>
      </c>
      <c r="AM490" s="817">
        <v>1</v>
      </c>
      <c r="AN490" s="1115">
        <v>39894844984.675888</v>
      </c>
      <c r="AO490" s="1367">
        <v>0.80316788198874089</v>
      </c>
      <c r="AP490" s="817"/>
      <c r="AQ490" s="1157" t="s">
        <v>1</v>
      </c>
      <c r="AR490" s="1157" t="s">
        <v>607</v>
      </c>
      <c r="AS490" s="1157" t="s">
        <v>39</v>
      </c>
      <c r="AT490" s="1157">
        <v>5</v>
      </c>
      <c r="AU490" s="1158">
        <v>621783000</v>
      </c>
      <c r="AV490" s="1121">
        <v>5.9611037412844757E-2</v>
      </c>
      <c r="AW490" s="817">
        <v>2006</v>
      </c>
    </row>
    <row r="491" spans="1:49">
      <c r="A491" s="798">
        <f t="shared" si="15"/>
        <v>2011</v>
      </c>
      <c r="B491" s="798">
        <f t="shared" si="16"/>
        <v>1</v>
      </c>
      <c r="C491" s="1105">
        <v>40603</v>
      </c>
      <c r="D491" s="934">
        <v>352.31410890922433</v>
      </c>
      <c r="E491" s="1100">
        <v>1416.54</v>
      </c>
      <c r="F491" s="1100">
        <v>1424.01</v>
      </c>
      <c r="G491" s="1101">
        <v>168.77500000000001</v>
      </c>
      <c r="H491" s="935">
        <v>166.87265176982399</v>
      </c>
      <c r="I491" s="1101">
        <v>146.625</v>
      </c>
      <c r="J491" s="1101">
        <v>144.97231560213564</v>
      </c>
      <c r="K491" s="936">
        <v>26509.531342693295</v>
      </c>
      <c r="L491" s="936">
        <v>26811.74</v>
      </c>
      <c r="M491" s="936">
        <v>4.05</v>
      </c>
      <c r="N491" s="937">
        <v>118.69</v>
      </c>
      <c r="O491" s="938">
        <v>9423.23</v>
      </c>
      <c r="P491" s="938">
        <v>2594.6213169863554</v>
      </c>
      <c r="Q491" s="938">
        <v>2322.7605299584729</v>
      </c>
      <c r="R491" s="939">
        <v>62.5</v>
      </c>
      <c r="S491" s="940">
        <v>945.48518061129982</v>
      </c>
      <c r="T491" s="940">
        <v>1409.9302193913659</v>
      </c>
      <c r="U491" s="1756">
        <v>41279</v>
      </c>
      <c r="V491" s="1323"/>
      <c r="W491" s="1323"/>
      <c r="X491" s="538">
        <v>1.0114000000000001</v>
      </c>
      <c r="Z491" s="71"/>
      <c r="AB491" s="1042"/>
      <c r="AJ491" s="1156" t="s">
        <v>2</v>
      </c>
      <c r="AK491" s="817">
        <v>2015</v>
      </c>
      <c r="AL491" s="817" t="s">
        <v>29</v>
      </c>
      <c r="AM491" s="817">
        <v>2</v>
      </c>
      <c r="AN491" s="1115">
        <v>5158223379.3708601</v>
      </c>
      <c r="AO491" s="1367">
        <v>0.10384598180605656</v>
      </c>
      <c r="AP491" s="817"/>
      <c r="AQ491" s="1157" t="s">
        <v>1</v>
      </c>
      <c r="AR491" s="1157" t="s">
        <v>607</v>
      </c>
      <c r="AS491" s="1157" t="s">
        <v>40</v>
      </c>
      <c r="AT491" s="1157">
        <v>6</v>
      </c>
      <c r="AU491" s="1158">
        <v>581606000</v>
      </c>
      <c r="AV491" s="1121">
        <v>5.5759223114068716E-2</v>
      </c>
      <c r="AW491" s="817">
        <v>2006</v>
      </c>
    </row>
    <row r="492" spans="1:49">
      <c r="A492" s="798">
        <f t="shared" si="15"/>
        <v>2011</v>
      </c>
      <c r="B492" s="798">
        <f t="shared" si="16"/>
        <v>2</v>
      </c>
      <c r="C492" s="1105">
        <v>40634</v>
      </c>
      <c r="D492" s="805">
        <v>341.29722776977474</v>
      </c>
      <c r="E492" s="1102">
        <v>1407.91</v>
      </c>
      <c r="F492" s="1102">
        <v>1474.53</v>
      </c>
      <c r="G492" s="1103">
        <v>179.32</v>
      </c>
      <c r="H492" s="805">
        <v>173.60828734630653</v>
      </c>
      <c r="I492" s="1103">
        <v>155.97999999999999</v>
      </c>
      <c r="J492" s="1103">
        <v>151.01171458998934</v>
      </c>
      <c r="K492" s="84">
        <v>25490.26043179398</v>
      </c>
      <c r="L492" s="84">
        <v>26328.89</v>
      </c>
      <c r="M492" s="84">
        <v>4.1500000000000004</v>
      </c>
      <c r="N492" s="805">
        <v>123.76</v>
      </c>
      <c r="O492" s="941">
        <v>9181.19</v>
      </c>
      <c r="P492" s="941">
        <v>2653.8290250750315</v>
      </c>
      <c r="Q492" s="941">
        <v>2296.8244747797462</v>
      </c>
      <c r="R492" s="805">
        <v>55.25</v>
      </c>
      <c r="S492" s="805">
        <v>946.18335828877002</v>
      </c>
      <c r="T492" s="805">
        <v>1494.7121581717806</v>
      </c>
      <c r="U492" s="805">
        <v>36498</v>
      </c>
      <c r="V492" s="805"/>
      <c r="W492" s="805"/>
      <c r="X492" s="5">
        <v>1.0328999999999999</v>
      </c>
      <c r="AJ492" s="1156" t="s">
        <v>2</v>
      </c>
      <c r="AK492" s="817">
        <v>2015</v>
      </c>
      <c r="AL492" s="817" t="s">
        <v>30</v>
      </c>
      <c r="AM492" s="817">
        <v>3</v>
      </c>
      <c r="AN492" s="1115">
        <v>3282614296.38062</v>
      </c>
      <c r="AO492" s="1367">
        <v>6.608599113050051E-2</v>
      </c>
      <c r="AP492" s="817"/>
      <c r="AQ492" s="1157" t="s">
        <v>1</v>
      </c>
      <c r="AR492" s="1157" t="s">
        <v>607</v>
      </c>
      <c r="AS492" s="1157" t="s">
        <v>70</v>
      </c>
      <c r="AT492" s="1157">
        <v>7</v>
      </c>
      <c r="AU492" s="1158">
        <v>470820000</v>
      </c>
      <c r="AV492" s="1121">
        <v>4.5138044357461639E-2</v>
      </c>
      <c r="AW492" s="817">
        <v>2006</v>
      </c>
    </row>
    <row r="493" spans="1:49">
      <c r="A493" s="798">
        <f t="shared" si="15"/>
        <v>2011</v>
      </c>
      <c r="B493" s="798">
        <f t="shared" si="16"/>
        <v>2</v>
      </c>
      <c r="C493" s="1105">
        <v>40664</v>
      </c>
      <c r="D493" s="934">
        <v>349.6741052431102</v>
      </c>
      <c r="E493" s="1100">
        <v>1425.24</v>
      </c>
      <c r="F493" s="1100">
        <v>1510.44</v>
      </c>
      <c r="G493" s="1101">
        <v>176.3</v>
      </c>
      <c r="H493" s="935">
        <v>165.13675533907829</v>
      </c>
      <c r="I493" s="1101">
        <v>155.4</v>
      </c>
      <c r="J493" s="1101">
        <v>145.56013488197826</v>
      </c>
      <c r="K493" s="936">
        <v>22677.032596478079</v>
      </c>
      <c r="L493" s="936">
        <v>24210</v>
      </c>
      <c r="M493" s="936">
        <v>4.1500000000000004</v>
      </c>
      <c r="N493" s="937">
        <v>121.88</v>
      </c>
      <c r="O493" s="938">
        <v>8361.7900000000009</v>
      </c>
      <c r="P493" s="938">
        <v>2267.1225177969277</v>
      </c>
      <c r="Q493" s="938">
        <v>2023.6324466092167</v>
      </c>
      <c r="R493" s="939">
        <v>57.5</v>
      </c>
      <c r="S493" s="940">
        <v>948.93265693374121</v>
      </c>
      <c r="T493" s="940">
        <v>1586.1985721230503</v>
      </c>
      <c r="U493" s="1756">
        <v>37622</v>
      </c>
      <c r="V493" s="1323"/>
      <c r="W493" s="1323"/>
      <c r="X493" s="538">
        <v>1.0676000000000001</v>
      </c>
      <c r="AJ493" s="1156" t="s">
        <v>2</v>
      </c>
      <c r="AK493" s="817">
        <v>2015</v>
      </c>
      <c r="AL493" s="817" t="s">
        <v>433</v>
      </c>
      <c r="AM493" s="817">
        <v>4</v>
      </c>
      <c r="AN493" s="1115">
        <v>1047259557.9833177</v>
      </c>
      <c r="AO493" s="1367">
        <v>2.1083557071120668E-2</v>
      </c>
      <c r="AP493" s="817"/>
      <c r="AQ493" s="1157" t="s">
        <v>1</v>
      </c>
      <c r="AR493" s="1157" t="s">
        <v>607</v>
      </c>
      <c r="AS493" s="1157" t="s">
        <v>29</v>
      </c>
      <c r="AT493" s="1157">
        <v>8</v>
      </c>
      <c r="AU493" s="1158">
        <v>268742000</v>
      </c>
      <c r="AV493" s="1121">
        <v>2.576459860820049E-2</v>
      </c>
      <c r="AW493" s="817">
        <v>2006</v>
      </c>
    </row>
    <row r="494" spans="1:49">
      <c r="A494" s="798">
        <f t="shared" si="15"/>
        <v>2011</v>
      </c>
      <c r="B494" s="798">
        <f t="shared" si="16"/>
        <v>2</v>
      </c>
      <c r="C494" s="1105">
        <v>40695</v>
      </c>
      <c r="D494" s="805">
        <v>348.95312914296102</v>
      </c>
      <c r="E494" s="1102">
        <v>1451.04</v>
      </c>
      <c r="F494" s="1102">
        <v>1528.66</v>
      </c>
      <c r="G494" s="1103">
        <v>171.4</v>
      </c>
      <c r="H494" s="805">
        <v>161.53048723023278</v>
      </c>
      <c r="I494" s="1103">
        <v>150.42500000000001</v>
      </c>
      <c r="J494" s="1103">
        <v>141.76326453680144</v>
      </c>
      <c r="K494" s="84">
        <v>21066.902271227973</v>
      </c>
      <c r="L494" s="84">
        <v>22354.09</v>
      </c>
      <c r="M494" s="84">
        <v>4.1500000000000004</v>
      </c>
      <c r="N494" s="805">
        <v>122.29</v>
      </c>
      <c r="O494" s="941">
        <v>8524.58</v>
      </c>
      <c r="P494" s="941">
        <v>2367.5431156347186</v>
      </c>
      <c r="Q494" s="941">
        <v>2102.0450475921216</v>
      </c>
      <c r="R494" s="805">
        <v>52.75</v>
      </c>
      <c r="S494" s="805">
        <v>972.1010787645929</v>
      </c>
      <c r="T494" s="805">
        <v>1636.3976232654265</v>
      </c>
      <c r="U494" s="805">
        <v>35710</v>
      </c>
      <c r="V494" s="805"/>
      <c r="W494" s="805"/>
      <c r="X494" s="5">
        <v>1.0610999999999999</v>
      </c>
      <c r="Z494" s="71"/>
      <c r="AA494" s="71"/>
      <c r="AJ494" s="1156" t="s">
        <v>2</v>
      </c>
      <c r="AK494" s="817">
        <v>2015</v>
      </c>
      <c r="AL494" s="817" t="s">
        <v>28</v>
      </c>
      <c r="AM494" s="817">
        <v>5</v>
      </c>
      <c r="AN494" s="1115">
        <v>178866754.39375445</v>
      </c>
      <c r="AO494" s="1367">
        <v>3.6009673014098359E-3</v>
      </c>
      <c r="AP494" s="817"/>
      <c r="AQ494" s="1157" t="s">
        <v>1</v>
      </c>
      <c r="AR494" s="1157" t="s">
        <v>607</v>
      </c>
      <c r="AS494" s="1157" t="s">
        <v>431</v>
      </c>
      <c r="AT494" s="1157">
        <v>9</v>
      </c>
      <c r="AU494" s="1158">
        <v>160438000</v>
      </c>
      <c r="AV494" s="1121">
        <v>1.5381371990617284E-2</v>
      </c>
      <c r="AW494" s="817">
        <v>2006</v>
      </c>
    </row>
    <row r="495" spans="1:49">
      <c r="A495" s="798">
        <f t="shared" si="15"/>
        <v>2011</v>
      </c>
      <c r="B495" s="798">
        <f t="shared" si="16"/>
        <v>3</v>
      </c>
      <c r="C495" s="1105">
        <v>40725</v>
      </c>
      <c r="D495" s="934">
        <v>339.90998962935254</v>
      </c>
      <c r="E495" s="1100">
        <v>1466.18</v>
      </c>
      <c r="F495" s="1100">
        <v>1572.81</v>
      </c>
      <c r="G495" s="1101">
        <v>172.82</v>
      </c>
      <c r="H495" s="935">
        <v>160.28566128733073</v>
      </c>
      <c r="I495" s="1101">
        <v>151.44</v>
      </c>
      <c r="J495" s="1101">
        <v>140.45631608235948</v>
      </c>
      <c r="K495" s="936">
        <v>22010.007419773694</v>
      </c>
      <c r="L495" s="936">
        <v>23731.19</v>
      </c>
      <c r="M495" s="936">
        <v>4.21</v>
      </c>
      <c r="N495" s="937">
        <v>124.24</v>
      </c>
      <c r="O495" s="938">
        <v>8921.57</v>
      </c>
      <c r="P495" s="938">
        <v>2488.0356149137451</v>
      </c>
      <c r="Q495" s="938">
        <v>2217.1675013912077</v>
      </c>
      <c r="R495" s="939">
        <v>52.25</v>
      </c>
      <c r="S495" s="940">
        <v>1117.9030364032881</v>
      </c>
      <c r="T495" s="940">
        <v>2011.3092317624273</v>
      </c>
      <c r="U495" s="1756">
        <v>32664</v>
      </c>
      <c r="V495" s="1323"/>
      <c r="W495" s="1323"/>
      <c r="X495" s="538">
        <v>1.0782</v>
      </c>
      <c r="AJ495" s="1156" t="s">
        <v>2</v>
      </c>
      <c r="AK495" s="817">
        <v>2015</v>
      </c>
      <c r="AL495" s="817" t="s">
        <v>45</v>
      </c>
      <c r="AM495" s="817"/>
      <c r="AN495" s="1115">
        <v>110054007.93555841</v>
      </c>
      <c r="AO495" s="1367">
        <v>2.2156207021715949E-3</v>
      </c>
      <c r="AP495" s="817"/>
      <c r="AQ495" s="1157" t="s">
        <v>1</v>
      </c>
      <c r="AR495" s="1157" t="s">
        <v>607</v>
      </c>
      <c r="AS495" s="1157" t="s">
        <v>85</v>
      </c>
      <c r="AT495" s="1157">
        <v>10</v>
      </c>
      <c r="AU495" s="1158">
        <v>58294000</v>
      </c>
      <c r="AV495" s="1121">
        <v>5.5887115198459464E-3</v>
      </c>
      <c r="AW495" s="817">
        <v>2006</v>
      </c>
    </row>
    <row r="496" spans="1:49">
      <c r="A496" s="798">
        <f t="shared" si="15"/>
        <v>2011</v>
      </c>
      <c r="B496" s="798">
        <f t="shared" si="16"/>
        <v>3</v>
      </c>
      <c r="C496" s="1105">
        <v>40756</v>
      </c>
      <c r="D496" s="805">
        <v>348.29697632314071</v>
      </c>
      <c r="E496" s="1102">
        <v>1691.22</v>
      </c>
      <c r="F496" s="1102">
        <v>1755.81</v>
      </c>
      <c r="G496" s="1103">
        <v>177.42500000000001</v>
      </c>
      <c r="H496" s="805">
        <v>168.87968779744909</v>
      </c>
      <c r="I496" s="1103">
        <v>154.1</v>
      </c>
      <c r="J496" s="1103">
        <v>146.67808871121264</v>
      </c>
      <c r="K496" s="84">
        <v>21020.236055587284</v>
      </c>
      <c r="L496" s="84">
        <v>22083.86</v>
      </c>
      <c r="M496" s="84">
        <v>4.21</v>
      </c>
      <c r="N496" s="805">
        <v>118.63</v>
      </c>
      <c r="O496" s="941">
        <v>8605.84</v>
      </c>
      <c r="P496" s="941">
        <v>2288.8825433085854</v>
      </c>
      <c r="Q496" s="941">
        <v>2105.2922139729681</v>
      </c>
      <c r="R496" s="805">
        <v>51</v>
      </c>
      <c r="S496" s="805">
        <v>1252.1246596066567</v>
      </c>
      <c r="T496" s="805">
        <v>2215.2815353660426</v>
      </c>
      <c r="U496" s="805">
        <v>34428</v>
      </c>
      <c r="V496" s="805"/>
      <c r="W496" s="805"/>
      <c r="X496" s="5">
        <v>1.0506</v>
      </c>
      <c r="AJ496" s="1156" t="s">
        <v>2</v>
      </c>
      <c r="AK496" s="817">
        <v>2015</v>
      </c>
      <c r="AL496" s="817" t="s">
        <v>452</v>
      </c>
      <c r="AM496" s="817"/>
      <c r="AN496" s="1115">
        <v>49671862980.739998</v>
      </c>
      <c r="AP496" s="817"/>
      <c r="AQ496" s="1157" t="s">
        <v>1</v>
      </c>
      <c r="AR496" s="1157" t="s">
        <v>607</v>
      </c>
      <c r="AS496" s="1157" t="s">
        <v>45</v>
      </c>
      <c r="AT496" s="1157"/>
      <c r="AU496" s="1158">
        <v>59349000</v>
      </c>
      <c r="AV496" s="1121">
        <v>5.6898555596002522E-3</v>
      </c>
      <c r="AW496" s="817">
        <v>2006</v>
      </c>
    </row>
    <row r="497" spans="1:49">
      <c r="A497" s="798">
        <f t="shared" si="15"/>
        <v>2011</v>
      </c>
      <c r="B497" s="798">
        <f t="shared" si="16"/>
        <v>3</v>
      </c>
      <c r="C497" s="1105">
        <v>40787</v>
      </c>
      <c r="D497" s="934">
        <v>335.94740616012234</v>
      </c>
      <c r="E497" s="1100">
        <v>1759.97</v>
      </c>
      <c r="F497" s="1100">
        <v>1771.88</v>
      </c>
      <c r="G497" s="1101">
        <v>176.72</v>
      </c>
      <c r="H497" s="935">
        <v>172.96662425369482</v>
      </c>
      <c r="I497" s="1101">
        <v>154.54</v>
      </c>
      <c r="J497" s="1101">
        <v>151.25770774199862</v>
      </c>
      <c r="K497" s="936">
        <v>19958.940980718409</v>
      </c>
      <c r="L497" s="936">
        <v>20392.05</v>
      </c>
      <c r="M497" s="936">
        <v>4.21</v>
      </c>
      <c r="N497" s="937">
        <v>120.04</v>
      </c>
      <c r="O497" s="938">
        <v>8138.24</v>
      </c>
      <c r="P497" s="938">
        <v>2249.975530977782</v>
      </c>
      <c r="Q497" s="938">
        <v>2032.6612508564156</v>
      </c>
      <c r="R497" s="939">
        <v>52.75</v>
      </c>
      <c r="S497" s="940">
        <v>1357.8448634749602</v>
      </c>
      <c r="T497" s="940">
        <v>2324.963917525773</v>
      </c>
      <c r="U497" s="1756">
        <v>36089</v>
      </c>
      <c r="V497" s="1323"/>
      <c r="W497" s="1323"/>
      <c r="X497" s="538">
        <v>1.0217000000000001</v>
      </c>
      <c r="AJ497" s="1156" t="s">
        <v>2</v>
      </c>
      <c r="AK497" s="817">
        <v>2011</v>
      </c>
      <c r="AL497" s="817" t="s">
        <v>24</v>
      </c>
      <c r="AM497" s="817">
        <v>1</v>
      </c>
      <c r="AN497" s="1115">
        <v>42894037039.711349</v>
      </c>
      <c r="AO497" s="1367">
        <v>0.68036534002252369</v>
      </c>
      <c r="AP497" s="817"/>
      <c r="AQ497" s="1157" t="s">
        <v>1</v>
      </c>
      <c r="AR497" s="1157" t="s">
        <v>607</v>
      </c>
      <c r="AS497" s="1157" t="s">
        <v>452</v>
      </c>
      <c r="AT497" s="1157"/>
      <c r="AU497" s="1158">
        <v>10430669000</v>
      </c>
      <c r="AV497" s="1121">
        <v>1</v>
      </c>
      <c r="AW497" s="817">
        <v>2006</v>
      </c>
    </row>
    <row r="498" spans="1:49">
      <c r="A498" s="798">
        <f t="shared" si="15"/>
        <v>2011</v>
      </c>
      <c r="B498" s="798">
        <f t="shared" si="16"/>
        <v>4</v>
      </c>
      <c r="C498" s="1105">
        <v>40817</v>
      </c>
      <c r="D498" s="805">
        <v>333.31220565857888</v>
      </c>
      <c r="E498" s="1102">
        <v>1686.47</v>
      </c>
      <c r="F498" s="1102">
        <v>1665.21</v>
      </c>
      <c r="G498" s="1103">
        <v>146.75</v>
      </c>
      <c r="H498" s="805">
        <v>144.39633966348521</v>
      </c>
      <c r="I498" s="1103">
        <v>132.125</v>
      </c>
      <c r="J498" s="1103">
        <v>130.00590376857227</v>
      </c>
      <c r="K498" s="84">
        <v>18583.518646069075</v>
      </c>
      <c r="L498" s="84">
        <v>18886.43</v>
      </c>
      <c r="M498" s="84">
        <v>4.7</v>
      </c>
      <c r="N498" s="805">
        <v>118.58</v>
      </c>
      <c r="O498" s="941">
        <v>7229.66</v>
      </c>
      <c r="P498" s="941">
        <v>1917.3472399881923</v>
      </c>
      <c r="Q498" s="941">
        <v>1829.3515694184789</v>
      </c>
      <c r="R498" s="805">
        <v>52</v>
      </c>
      <c r="S498" s="805">
        <v>1306.6010152284264</v>
      </c>
      <c r="T498" s="805">
        <v>2408.1484527039993</v>
      </c>
      <c r="U498" s="805">
        <v>32308</v>
      </c>
      <c r="V498" s="805"/>
      <c r="W498" s="805"/>
      <c r="X498" s="5">
        <v>1.0163</v>
      </c>
      <c r="AJ498" s="1156" t="s">
        <v>2</v>
      </c>
      <c r="AK498" s="817">
        <v>2011</v>
      </c>
      <c r="AL498" s="817" t="s">
        <v>29</v>
      </c>
      <c r="AM498" s="817">
        <v>2</v>
      </c>
      <c r="AN498" s="1115">
        <v>11280956876.016518</v>
      </c>
      <c r="AO498" s="1367">
        <v>0.17893331079153779</v>
      </c>
      <c r="AP498" s="817"/>
      <c r="AQ498" s="1159" t="s">
        <v>1</v>
      </c>
      <c r="AR498" s="1159" t="s">
        <v>608</v>
      </c>
      <c r="AS498" s="1159" t="s">
        <v>72</v>
      </c>
      <c r="AT498" s="1159">
        <v>1</v>
      </c>
      <c r="AU498" s="1160">
        <v>4114066000</v>
      </c>
      <c r="AV498" s="1121">
        <v>0.34233391933014795</v>
      </c>
      <c r="AW498" s="817">
        <v>2007</v>
      </c>
    </row>
    <row r="499" spans="1:49">
      <c r="A499" s="798">
        <f t="shared" si="15"/>
        <v>2011</v>
      </c>
      <c r="B499" s="798">
        <f t="shared" si="16"/>
        <v>4</v>
      </c>
      <c r="C499" s="1105">
        <v>40848</v>
      </c>
      <c r="D499" s="934">
        <v>325.2965664397617</v>
      </c>
      <c r="E499" s="1100">
        <v>1728.91</v>
      </c>
      <c r="F499" s="1100">
        <v>1738.64</v>
      </c>
      <c r="G499" s="1101">
        <v>137.1</v>
      </c>
      <c r="H499" s="935">
        <v>135.68883610451306</v>
      </c>
      <c r="I499" s="1101">
        <v>118</v>
      </c>
      <c r="J499" s="1101">
        <v>116.78543151227237</v>
      </c>
      <c r="K499" s="936">
        <v>17697.990894695169</v>
      </c>
      <c r="L499" s="936">
        <v>17882.05</v>
      </c>
      <c r="M499" s="936">
        <v>4.7</v>
      </c>
      <c r="N499" s="937">
        <v>120.47</v>
      </c>
      <c r="O499" s="938">
        <v>7474.04</v>
      </c>
      <c r="P499" s="938">
        <v>1961.6488519398258</v>
      </c>
      <c r="Q499" s="938">
        <v>1896.3875692794932</v>
      </c>
      <c r="R499" s="939">
        <v>51.75</v>
      </c>
      <c r="S499" s="940">
        <v>1370.0965988886853</v>
      </c>
      <c r="T499" s="940">
        <v>2542.5624422836654</v>
      </c>
      <c r="U499" s="1756">
        <v>31092</v>
      </c>
      <c r="V499" s="1323"/>
      <c r="W499" s="1323"/>
      <c r="X499" s="538">
        <v>1.0104</v>
      </c>
      <c r="AJ499" s="1156" t="s">
        <v>2</v>
      </c>
      <c r="AK499" s="817">
        <v>2011</v>
      </c>
      <c r="AL499" s="817" t="s">
        <v>30</v>
      </c>
      <c r="AM499" s="817">
        <v>3</v>
      </c>
      <c r="AN499" s="1115">
        <v>6835474848.9729204</v>
      </c>
      <c r="AO499" s="1367">
        <v>0.10842113474959983</v>
      </c>
      <c r="AP499" s="817"/>
      <c r="AQ499" s="1159" t="s">
        <v>1</v>
      </c>
      <c r="AR499" s="1159" t="s">
        <v>608</v>
      </c>
      <c r="AS499" s="1159" t="s">
        <v>27</v>
      </c>
      <c r="AT499" s="1159">
        <v>2</v>
      </c>
      <c r="AU499" s="1160">
        <v>4021766000</v>
      </c>
      <c r="AV499" s="1121">
        <v>0.33465358052319333</v>
      </c>
      <c r="AW499" s="817">
        <v>2007</v>
      </c>
    </row>
    <row r="500" spans="1:49">
      <c r="A500" s="798">
        <f t="shared" si="15"/>
        <v>2011</v>
      </c>
      <c r="B500" s="798">
        <f t="shared" si="16"/>
        <v>4</v>
      </c>
      <c r="C500" s="1105">
        <v>40878</v>
      </c>
      <c r="D500" s="805">
        <v>308.0156758947648</v>
      </c>
      <c r="E500" s="1102">
        <v>1640.46</v>
      </c>
      <c r="F500" s="1102">
        <v>1652.31</v>
      </c>
      <c r="G500" s="1103">
        <v>136.91999999999999</v>
      </c>
      <c r="H500" s="805">
        <v>135.26970954356847</v>
      </c>
      <c r="I500" s="1103">
        <v>122.3</v>
      </c>
      <c r="J500" s="1103">
        <v>120.82592373048804</v>
      </c>
      <c r="K500" s="84">
        <v>17934.696700256867</v>
      </c>
      <c r="L500" s="84">
        <v>18153.5</v>
      </c>
      <c r="M500" s="84">
        <v>4.7</v>
      </c>
      <c r="N500" s="805">
        <v>117.54</v>
      </c>
      <c r="O500" s="941">
        <v>7476.34</v>
      </c>
      <c r="P500" s="941">
        <v>1994.6453270104723</v>
      </c>
      <c r="Q500" s="941">
        <v>1893.2819600869395</v>
      </c>
      <c r="R500" s="805">
        <v>52</v>
      </c>
      <c r="S500" s="805">
        <v>1496.836823832456</v>
      </c>
      <c r="T500" s="805">
        <v>2518.360413233107</v>
      </c>
      <c r="U500" s="805">
        <v>30983</v>
      </c>
      <c r="V500" s="805"/>
      <c r="W500" s="805"/>
      <c r="X500" s="5">
        <v>1.0122</v>
      </c>
      <c r="AJ500" s="1156" t="s">
        <v>2</v>
      </c>
      <c r="AK500" s="817">
        <v>2011</v>
      </c>
      <c r="AL500" s="817" t="s">
        <v>433</v>
      </c>
      <c r="AM500" s="817">
        <v>4</v>
      </c>
      <c r="AN500" s="1115">
        <v>1899604274.4632068</v>
      </c>
      <c r="AO500" s="1367">
        <v>3.0130642795567847E-2</v>
      </c>
      <c r="AP500" s="817"/>
      <c r="AQ500" s="1159" t="s">
        <v>1</v>
      </c>
      <c r="AR500" s="1159" t="s">
        <v>608</v>
      </c>
      <c r="AS500" s="1159" t="s">
        <v>40</v>
      </c>
      <c r="AT500" s="1159">
        <v>3</v>
      </c>
      <c r="AU500" s="1160">
        <v>1000317000</v>
      </c>
      <c r="AV500" s="1121">
        <v>8.3236982387393799E-2</v>
      </c>
      <c r="AW500" s="817">
        <v>2007</v>
      </c>
    </row>
    <row r="501" spans="1:49">
      <c r="A501" s="798">
        <f t="shared" si="15"/>
        <v>2012</v>
      </c>
      <c r="B501" s="798">
        <f t="shared" si="16"/>
        <v>1</v>
      </c>
      <c r="C501" s="1105">
        <v>40909</v>
      </c>
      <c r="D501" s="934">
        <v>283.97913247840023</v>
      </c>
      <c r="E501" s="1100">
        <v>1596.4</v>
      </c>
      <c r="F501" s="1100">
        <v>1656.12</v>
      </c>
      <c r="G501" s="1101">
        <v>140.44999999999999</v>
      </c>
      <c r="H501" s="935">
        <v>134.8406298003072</v>
      </c>
      <c r="I501" s="1101">
        <v>125.47499999999999</v>
      </c>
      <c r="J501" s="1101">
        <v>120.46370967741935</v>
      </c>
      <c r="K501" s="936">
        <v>19030.241935483871</v>
      </c>
      <c r="L501" s="936">
        <v>19821.900000000001</v>
      </c>
      <c r="M501" s="936">
        <v>4.51</v>
      </c>
      <c r="N501" s="937">
        <v>121.45</v>
      </c>
      <c r="O501" s="938">
        <v>7722.21</v>
      </c>
      <c r="P501" s="938">
        <v>2010.4358678955452</v>
      </c>
      <c r="Q501" s="938">
        <v>1901.5841013824884</v>
      </c>
      <c r="R501" s="939">
        <v>51.75</v>
      </c>
      <c r="S501" s="940">
        <v>2695.0144432099819</v>
      </c>
      <c r="T501" s="940">
        <v>2349.5719191148419</v>
      </c>
      <c r="U501" s="1756">
        <v>31484</v>
      </c>
      <c r="V501" s="1323"/>
      <c r="W501" s="1323"/>
      <c r="X501" s="538">
        <v>1.0416000000000001</v>
      </c>
      <c r="AJ501" s="1156" t="s">
        <v>2</v>
      </c>
      <c r="AK501" s="817">
        <v>2011</v>
      </c>
      <c r="AL501" s="817" t="s">
        <v>33</v>
      </c>
      <c r="AM501" s="817">
        <v>5</v>
      </c>
      <c r="AN501" s="1115">
        <v>108289446.34869003</v>
      </c>
      <c r="AO501" s="1367">
        <v>1.7176370206811648E-3</v>
      </c>
      <c r="AP501" s="817"/>
      <c r="AQ501" s="1159" t="s">
        <v>1</v>
      </c>
      <c r="AR501" s="1159" t="s">
        <v>608</v>
      </c>
      <c r="AS501" s="1159" t="s">
        <v>432</v>
      </c>
      <c r="AT501" s="1159">
        <v>4</v>
      </c>
      <c r="AU501" s="1160">
        <v>737220000</v>
      </c>
      <c r="AV501" s="1121">
        <v>6.1344521942178779E-2</v>
      </c>
      <c r="AW501" s="817">
        <v>2007</v>
      </c>
    </row>
    <row r="502" spans="1:49">
      <c r="A502" s="798">
        <f t="shared" si="15"/>
        <v>2012</v>
      </c>
      <c r="B502" s="798">
        <f t="shared" si="16"/>
        <v>1</v>
      </c>
      <c r="C502" s="1105">
        <v>40940</v>
      </c>
      <c r="D502" s="805">
        <v>285.35639965726739</v>
      </c>
      <c r="E502" s="1102">
        <v>1633.51</v>
      </c>
      <c r="F502" s="1102">
        <v>1742.62</v>
      </c>
      <c r="G502" s="1103">
        <v>139.82499999999999</v>
      </c>
      <c r="H502" s="805">
        <v>130.33650260999252</v>
      </c>
      <c r="I502" s="1103">
        <v>127.97499999999999</v>
      </c>
      <c r="J502" s="1103">
        <v>119.29064131245339</v>
      </c>
      <c r="K502" s="84">
        <v>19076.249067859808</v>
      </c>
      <c r="L502" s="84">
        <v>20465</v>
      </c>
      <c r="M502" s="84">
        <v>4.51</v>
      </c>
      <c r="N502" s="805">
        <v>127.71</v>
      </c>
      <c r="O502" s="941">
        <v>7851.13</v>
      </c>
      <c r="P502" s="941">
        <v>1981.8419090231171</v>
      </c>
      <c r="Q502" s="941">
        <v>1918.540268456376</v>
      </c>
      <c r="R502" s="805">
        <v>51.75</v>
      </c>
      <c r="S502" s="805">
        <v>2459.6131195172375</v>
      </c>
      <c r="T502" s="805">
        <v>2202.5297943399542</v>
      </c>
      <c r="U502" s="805">
        <v>31981</v>
      </c>
      <c r="V502" s="805"/>
      <c r="W502" s="805"/>
      <c r="X502" s="5">
        <v>1.0728</v>
      </c>
      <c r="AJ502" s="1156" t="s">
        <v>2</v>
      </c>
      <c r="AK502" s="817">
        <v>2011</v>
      </c>
      <c r="AL502" s="817" t="s">
        <v>45</v>
      </c>
      <c r="AM502" s="817"/>
      <c r="AN502" s="1115">
        <v>27231574.718745954</v>
      </c>
      <c r="AO502" s="1367">
        <v>4.3193462008986577E-4</v>
      </c>
      <c r="AP502" s="817"/>
      <c r="AQ502" s="1159" t="s">
        <v>1</v>
      </c>
      <c r="AR502" s="1159" t="s">
        <v>608</v>
      </c>
      <c r="AS502" s="1159" t="s">
        <v>643</v>
      </c>
      <c r="AT502" s="1159">
        <v>5</v>
      </c>
      <c r="AU502" s="1160">
        <v>612624000</v>
      </c>
      <c r="AV502" s="1121">
        <v>5.0976813448231649E-2</v>
      </c>
      <c r="AW502" s="817">
        <v>2007</v>
      </c>
    </row>
    <row r="503" spans="1:49">
      <c r="A503" s="798">
        <f t="shared" si="15"/>
        <v>2012</v>
      </c>
      <c r="B503" s="798">
        <f t="shared" si="16"/>
        <v>1</v>
      </c>
      <c r="C503" s="1105">
        <v>40969</v>
      </c>
      <c r="D503" s="934">
        <v>298.95365984744848</v>
      </c>
      <c r="E503" s="1100">
        <v>1599.14</v>
      </c>
      <c r="F503" s="1100">
        <v>1673.77</v>
      </c>
      <c r="G503" s="1101">
        <v>144.65</v>
      </c>
      <c r="H503" s="935">
        <v>137.33029526250832</v>
      </c>
      <c r="I503" s="1101">
        <v>134.22499999999999</v>
      </c>
      <c r="J503" s="1101">
        <v>127.43283015285294</v>
      </c>
      <c r="K503" s="936">
        <v>17755.235925187506</v>
      </c>
      <c r="L503" s="936">
        <v>18701.59</v>
      </c>
      <c r="M503" s="936">
        <v>4.51</v>
      </c>
      <c r="N503" s="937">
        <v>134.03</v>
      </c>
      <c r="O503" s="938">
        <v>8029.1</v>
      </c>
      <c r="P503" s="938">
        <v>1956.2992499762654</v>
      </c>
      <c r="Q503" s="938">
        <v>1930.9408525586255</v>
      </c>
      <c r="R503" s="939">
        <v>51.25</v>
      </c>
      <c r="S503" s="940">
        <v>2485.2196397877588</v>
      </c>
      <c r="T503" s="940">
        <v>2271.1958694644868</v>
      </c>
      <c r="U503" s="1756">
        <v>30349</v>
      </c>
      <c r="V503" s="1323"/>
      <c r="W503" s="1323"/>
      <c r="X503" s="538">
        <v>1.0532999999999999</v>
      </c>
      <c r="AJ503" s="1156" t="s">
        <v>2</v>
      </c>
      <c r="AK503" s="817">
        <v>2011</v>
      </c>
      <c r="AL503" s="817" t="s">
        <v>452</v>
      </c>
      <c r="AM503" s="817"/>
      <c r="AN503" s="1115">
        <v>63045594060.231415</v>
      </c>
      <c r="AP503" s="817"/>
      <c r="AQ503" s="1159" t="s">
        <v>1</v>
      </c>
      <c r="AR503" s="1159" t="s">
        <v>608</v>
      </c>
      <c r="AS503" s="1159" t="s">
        <v>39</v>
      </c>
      <c r="AT503" s="1159">
        <v>6</v>
      </c>
      <c r="AU503" s="1160">
        <v>566331000</v>
      </c>
      <c r="AV503" s="1121">
        <v>4.7124744928292849E-2</v>
      </c>
      <c r="AW503" s="817">
        <v>2007</v>
      </c>
    </row>
    <row r="504" spans="1:49">
      <c r="A504" s="798">
        <f t="shared" si="15"/>
        <v>2012</v>
      </c>
      <c r="B504" s="798">
        <f t="shared" si="16"/>
        <v>2</v>
      </c>
      <c r="C504" s="1105">
        <v>41000</v>
      </c>
      <c r="D504" s="805">
        <v>302.85323958028965</v>
      </c>
      <c r="E504" s="1102">
        <v>1603.44</v>
      </c>
      <c r="F504" s="1102">
        <v>1650.07</v>
      </c>
      <c r="G504" s="1103">
        <v>147.69999999999999</v>
      </c>
      <c r="H504" s="805">
        <v>142.67774343122102</v>
      </c>
      <c r="I504" s="1103">
        <v>135.75</v>
      </c>
      <c r="J504" s="1103">
        <v>131.13408037094283</v>
      </c>
      <c r="K504" s="84">
        <v>17288.804095826894</v>
      </c>
      <c r="L504" s="84">
        <v>17897.37</v>
      </c>
      <c r="M504" s="84">
        <v>4.32</v>
      </c>
      <c r="N504" s="805">
        <v>129.59</v>
      </c>
      <c r="O504" s="941">
        <v>7978.78</v>
      </c>
      <c r="P504" s="941">
        <v>1992.8999227202476</v>
      </c>
      <c r="Q504" s="941">
        <v>1928.8446676970636</v>
      </c>
      <c r="R504" s="805">
        <v>51.75</v>
      </c>
      <c r="S504" s="805">
        <v>2794.8025653257009</v>
      </c>
      <c r="T504" s="805">
        <v>2221.6572204310201</v>
      </c>
      <c r="U504" s="805">
        <v>31546</v>
      </c>
      <c r="V504" s="805">
        <v>5745.3751857671305</v>
      </c>
      <c r="W504" s="805"/>
      <c r="X504" s="5">
        <v>1.0351999999999999</v>
      </c>
      <c r="AJ504" s="1156" t="s">
        <v>2</v>
      </c>
      <c r="AK504" s="817">
        <v>2010</v>
      </c>
      <c r="AL504" s="817" t="s">
        <v>24</v>
      </c>
      <c r="AM504" s="817">
        <v>1</v>
      </c>
      <c r="AN504" s="1115">
        <v>35057809265.178223</v>
      </c>
      <c r="AO504" s="1367">
        <v>0.69189485800000317</v>
      </c>
      <c r="AP504" s="817"/>
      <c r="AQ504" s="1159" t="s">
        <v>1</v>
      </c>
      <c r="AR504" s="1159" t="s">
        <v>608</v>
      </c>
      <c r="AS504" s="1159" t="s">
        <v>70</v>
      </c>
      <c r="AT504" s="1159">
        <v>7</v>
      </c>
      <c r="AU504" s="1160">
        <v>528556000</v>
      </c>
      <c r="AV504" s="1121">
        <v>4.3981464338555994E-2</v>
      </c>
      <c r="AW504" s="817">
        <v>2007</v>
      </c>
    </row>
    <row r="505" spans="1:49">
      <c r="A505" s="798">
        <f t="shared" si="15"/>
        <v>2012</v>
      </c>
      <c r="B505" s="798">
        <f t="shared" si="16"/>
        <v>2</v>
      </c>
      <c r="C505" s="1105">
        <v>41030</v>
      </c>
      <c r="D505" s="934">
        <v>308.78501679059843</v>
      </c>
      <c r="E505" s="1100">
        <v>1601.99</v>
      </c>
      <c r="F505" s="1100">
        <v>1585.5</v>
      </c>
      <c r="G505" s="1101">
        <v>135.875</v>
      </c>
      <c r="H505" s="935">
        <v>136.54406592302283</v>
      </c>
      <c r="I505" s="1101">
        <v>128.5</v>
      </c>
      <c r="J505" s="1101">
        <v>129.13275047733896</v>
      </c>
      <c r="K505" s="936">
        <v>17103.808662445987</v>
      </c>
      <c r="L505" s="936">
        <v>17020</v>
      </c>
      <c r="M505" s="936">
        <v>4.32</v>
      </c>
      <c r="N505" s="937">
        <v>118.76</v>
      </c>
      <c r="O505" s="938">
        <v>7958.93</v>
      </c>
      <c r="P505" s="938">
        <v>2008.7519847251533</v>
      </c>
      <c r="Q505" s="938">
        <v>1939.526379258366</v>
      </c>
      <c r="R505" s="939">
        <v>50.5</v>
      </c>
      <c r="S505" s="940">
        <v>2978.2526151138918</v>
      </c>
      <c r="T505" s="940">
        <v>2527.2245022039824</v>
      </c>
      <c r="U505" s="1756">
        <v>30946</v>
      </c>
      <c r="V505" s="1323">
        <v>6048.0944139404537</v>
      </c>
      <c r="W505" s="1323"/>
      <c r="X505" s="538">
        <v>0.99509999999999998</v>
      </c>
      <c r="AJ505" s="1156" t="s">
        <v>2</v>
      </c>
      <c r="AK505" s="817">
        <v>2010</v>
      </c>
      <c r="AL505" s="817" t="s">
        <v>29</v>
      </c>
      <c r="AM505" s="817">
        <v>2</v>
      </c>
      <c r="AN505" s="1115">
        <v>9068999543.5983448</v>
      </c>
      <c r="AO505" s="1367">
        <v>0.17898420588569461</v>
      </c>
      <c r="AP505" s="817"/>
      <c r="AQ505" s="1159" t="s">
        <v>1</v>
      </c>
      <c r="AR505" s="1159" t="s">
        <v>608</v>
      </c>
      <c r="AS505" s="1159" t="s">
        <v>431</v>
      </c>
      <c r="AT505" s="1159">
        <v>8</v>
      </c>
      <c r="AU505" s="1160">
        <v>187138000</v>
      </c>
      <c r="AV505" s="1121">
        <v>1.5571866128449382E-2</v>
      </c>
      <c r="AW505" s="817">
        <v>2007</v>
      </c>
    </row>
    <row r="506" spans="1:49">
      <c r="A506" s="798">
        <f t="shared" si="15"/>
        <v>2012</v>
      </c>
      <c r="B506" s="798">
        <f t="shared" si="16"/>
        <v>2</v>
      </c>
      <c r="C506" s="1105">
        <v>41061</v>
      </c>
      <c r="D506" s="805">
        <v>298.18824292008873</v>
      </c>
      <c r="E506" s="1102">
        <v>1606.88</v>
      </c>
      <c r="F506" s="1102">
        <v>1596.7</v>
      </c>
      <c r="G506" s="1103">
        <v>134.56</v>
      </c>
      <c r="H506" s="805">
        <v>134.57345734573457</v>
      </c>
      <c r="I506" s="1103">
        <v>122.44</v>
      </c>
      <c r="J506" s="1103">
        <v>122.45224522452244</v>
      </c>
      <c r="K506" s="84">
        <v>16540.864086408641</v>
      </c>
      <c r="L506" s="84">
        <v>16539.21</v>
      </c>
      <c r="M506" s="84">
        <v>4.32</v>
      </c>
      <c r="N506" s="805">
        <v>97.94</v>
      </c>
      <c r="O506" s="941">
        <v>7420.84</v>
      </c>
      <c r="P506" s="941">
        <v>1854.9254925492548</v>
      </c>
      <c r="Q506" s="941">
        <v>1855.9755975597559</v>
      </c>
      <c r="R506" s="805">
        <v>50.75</v>
      </c>
      <c r="S506" s="805">
        <v>3011.5314150984586</v>
      </c>
      <c r="T506" s="805">
        <v>2483.3603359211202</v>
      </c>
      <c r="U506" s="805">
        <v>29069</v>
      </c>
      <c r="V506" s="805">
        <v>6372.1826692365194</v>
      </c>
      <c r="W506" s="805"/>
      <c r="X506" s="5">
        <v>0.99990000000000001</v>
      </c>
      <c r="AJ506" s="1156" t="s">
        <v>2</v>
      </c>
      <c r="AK506" s="817">
        <v>2010</v>
      </c>
      <c r="AL506" s="817" t="s">
        <v>30</v>
      </c>
      <c r="AM506" s="817">
        <v>3</v>
      </c>
      <c r="AN506" s="1115">
        <v>4651050621.4142771</v>
      </c>
      <c r="AO506" s="1367">
        <v>9.1792330345371306E-2</v>
      </c>
      <c r="AP506" s="817"/>
      <c r="AQ506" s="1159" t="s">
        <v>1</v>
      </c>
      <c r="AR506" s="1159" t="s">
        <v>608</v>
      </c>
      <c r="AS506" s="1159" t="s">
        <v>29</v>
      </c>
      <c r="AT506" s="1159">
        <v>9</v>
      </c>
      <c r="AU506" s="1160">
        <v>92694000</v>
      </c>
      <c r="AV506" s="1121">
        <v>7.713123785177179E-3</v>
      </c>
      <c r="AW506" s="817">
        <v>2007</v>
      </c>
    </row>
    <row r="507" spans="1:49">
      <c r="A507" s="798">
        <f t="shared" si="15"/>
        <v>2012</v>
      </c>
      <c r="B507" s="798">
        <f t="shared" si="16"/>
        <v>3</v>
      </c>
      <c r="C507" s="1105">
        <v>41091</v>
      </c>
      <c r="D507" s="934">
        <v>280.2131028523666</v>
      </c>
      <c r="E507" s="1100">
        <v>1555.97</v>
      </c>
      <c r="F507" s="1100">
        <v>1594</v>
      </c>
      <c r="G507" s="1101">
        <v>127.27500000000001</v>
      </c>
      <c r="H507" s="935">
        <v>123.49602173491171</v>
      </c>
      <c r="I507" s="1101">
        <v>116.875</v>
      </c>
      <c r="J507" s="1101">
        <v>113.40481273044828</v>
      </c>
      <c r="K507" s="936">
        <v>15679.30419173297</v>
      </c>
      <c r="L507" s="936">
        <v>16159.09</v>
      </c>
      <c r="M507" s="936">
        <v>4.74</v>
      </c>
      <c r="N507" s="937">
        <v>109.63</v>
      </c>
      <c r="O507" s="938">
        <v>7364.05</v>
      </c>
      <c r="P507" s="938">
        <v>1820.6737822627597</v>
      </c>
      <c r="Q507" s="938">
        <v>1796.2175431787309</v>
      </c>
      <c r="R507" s="939">
        <v>49.5</v>
      </c>
      <c r="S507" s="940">
        <v>2857.7592033303404</v>
      </c>
      <c r="T507" s="940">
        <v>2436.2018485073836</v>
      </c>
      <c r="U507" s="1756">
        <v>28267</v>
      </c>
      <c r="V507" s="1323">
        <v>6251.6330831987016</v>
      </c>
      <c r="W507" s="1323"/>
      <c r="X507" s="538">
        <v>1.0306</v>
      </c>
      <c r="AJ507" s="1156" t="s">
        <v>2</v>
      </c>
      <c r="AK507" s="817">
        <v>2010</v>
      </c>
      <c r="AL507" s="817" t="s">
        <v>433</v>
      </c>
      <c r="AM507" s="817">
        <v>4</v>
      </c>
      <c r="AN507" s="1115">
        <v>1555990190.6311243</v>
      </c>
      <c r="AO507" s="1367">
        <v>3.0708753186852809E-2</v>
      </c>
      <c r="AP507" s="817"/>
      <c r="AQ507" s="1159" t="s">
        <v>1</v>
      </c>
      <c r="AR507" s="1159" t="s">
        <v>608</v>
      </c>
      <c r="AS507" s="1159" t="s">
        <v>85</v>
      </c>
      <c r="AT507" s="1159">
        <v>10</v>
      </c>
      <c r="AU507" s="1160">
        <v>51029000</v>
      </c>
      <c r="AV507" s="1121">
        <v>4.2461539434462455E-3</v>
      </c>
      <c r="AW507" s="817">
        <v>2007</v>
      </c>
    </row>
    <row r="508" spans="1:49">
      <c r="A508" s="798">
        <f t="shared" si="15"/>
        <v>2012</v>
      </c>
      <c r="B508" s="798">
        <f t="shared" si="16"/>
        <v>3</v>
      </c>
      <c r="C508" s="1105">
        <v>41122</v>
      </c>
      <c r="D508" s="805">
        <v>267.44357290073094</v>
      </c>
      <c r="E508" s="1102">
        <v>1562.01</v>
      </c>
      <c r="F508" s="1102">
        <v>1626.03</v>
      </c>
      <c r="G508" s="1103">
        <v>105.9</v>
      </c>
      <c r="H508" s="805">
        <v>102.36829386176898</v>
      </c>
      <c r="I508" s="1103">
        <v>96.58</v>
      </c>
      <c r="J508" s="1103">
        <v>93.359110681488644</v>
      </c>
      <c r="K508" s="84">
        <v>15135.550797486709</v>
      </c>
      <c r="L508" s="84">
        <v>15657.73</v>
      </c>
      <c r="M508" s="84">
        <v>4.74</v>
      </c>
      <c r="N508" s="805">
        <v>119.68</v>
      </c>
      <c r="O508" s="941">
        <v>7242.59</v>
      </c>
      <c r="P508" s="941">
        <v>1832.5277912034801</v>
      </c>
      <c r="Q508" s="941">
        <v>1753.3064282261962</v>
      </c>
      <c r="R508" s="805">
        <v>48</v>
      </c>
      <c r="S508" s="805">
        <v>2779.5386399884001</v>
      </c>
      <c r="T508" s="805">
        <v>2363.0822641110935</v>
      </c>
      <c r="U508" s="805">
        <v>28233</v>
      </c>
      <c r="V508" s="805">
        <v>6157.9759784320649</v>
      </c>
      <c r="W508" s="805"/>
      <c r="X508" s="5">
        <v>1.0345</v>
      </c>
      <c r="AJ508" s="1156" t="s">
        <v>2</v>
      </c>
      <c r="AK508" s="817">
        <v>2010</v>
      </c>
      <c r="AL508" s="817" t="s">
        <v>432</v>
      </c>
      <c r="AM508" s="817">
        <v>5</v>
      </c>
      <c r="AN508" s="1115">
        <v>119013969.04855077</v>
      </c>
      <c r="AO508" s="1367">
        <v>2.3488391014966975E-3</v>
      </c>
      <c r="AP508" s="817"/>
      <c r="AQ508" s="1159" t="s">
        <v>1</v>
      </c>
      <c r="AR508" s="1159" t="s">
        <v>608</v>
      </c>
      <c r="AS508" s="1159" t="s">
        <v>45</v>
      </c>
      <c r="AT508" s="1159"/>
      <c r="AU508" s="1160">
        <v>105958000</v>
      </c>
      <c r="AV508" s="1121">
        <v>8.8168292449328275E-3</v>
      </c>
      <c r="AW508" s="817">
        <v>2007</v>
      </c>
    </row>
    <row r="509" spans="1:49">
      <c r="A509" s="798">
        <f t="shared" si="15"/>
        <v>2012</v>
      </c>
      <c r="B509" s="798">
        <f t="shared" si="16"/>
        <v>3</v>
      </c>
      <c r="C509" s="1105">
        <v>41153</v>
      </c>
      <c r="D509" s="934">
        <v>266.30545491096683</v>
      </c>
      <c r="E509" s="1100">
        <v>1684.95</v>
      </c>
      <c r="F509" s="1100">
        <v>1744.45</v>
      </c>
      <c r="G509" s="1101">
        <v>100.3</v>
      </c>
      <c r="H509" s="935">
        <v>96.451581882873342</v>
      </c>
      <c r="I509" s="1101">
        <v>91.775000000000006</v>
      </c>
      <c r="J509" s="1101">
        <v>88.253678238292139</v>
      </c>
      <c r="K509" s="936">
        <v>16554.957207423791</v>
      </c>
      <c r="L509" s="936">
        <v>17215.5</v>
      </c>
      <c r="M509" s="936">
        <v>4.74</v>
      </c>
      <c r="N509" s="937">
        <v>118.99</v>
      </c>
      <c r="O509" s="938">
        <v>7758.79</v>
      </c>
      <c r="P509" s="938">
        <v>2086.0371189537454</v>
      </c>
      <c r="Q509" s="938">
        <v>1925.2812770458697</v>
      </c>
      <c r="R509" s="939">
        <v>45.75</v>
      </c>
      <c r="S509" s="940">
        <v>2831.3765579050555</v>
      </c>
      <c r="T509" s="940">
        <v>2332.8932533187854</v>
      </c>
      <c r="U509" s="1756">
        <v>28337</v>
      </c>
      <c r="V509" s="1323">
        <v>6442.2084399531595</v>
      </c>
      <c r="W509" s="1323"/>
      <c r="X509" s="538">
        <v>1.0399</v>
      </c>
      <c r="AJ509" s="1156" t="s">
        <v>2</v>
      </c>
      <c r="AK509" s="817">
        <v>2010</v>
      </c>
      <c r="AL509" s="817" t="s">
        <v>45</v>
      </c>
      <c r="AM509" s="817"/>
      <c r="AN509" s="1115">
        <v>216409146.91004679</v>
      </c>
      <c r="AO509" s="1367">
        <v>4.2710134805814277E-3</v>
      </c>
      <c r="AP509" s="817"/>
      <c r="AQ509" s="1159" t="s">
        <v>1</v>
      </c>
      <c r="AR509" s="1159" t="s">
        <v>608</v>
      </c>
      <c r="AS509" s="1159" t="s">
        <v>452</v>
      </c>
      <c r="AT509" s="1159"/>
      <c r="AU509" s="1160">
        <v>12017699000</v>
      </c>
      <c r="AV509" s="1121">
        <v>1</v>
      </c>
      <c r="AW509" s="817">
        <v>2007</v>
      </c>
    </row>
    <row r="510" spans="1:49">
      <c r="A510" s="798">
        <f t="shared" si="15"/>
        <v>2012</v>
      </c>
      <c r="B510" s="798">
        <f t="shared" si="16"/>
        <v>4</v>
      </c>
      <c r="C510" s="1105">
        <v>41183</v>
      </c>
      <c r="D510" s="805">
        <v>283.02463094680689</v>
      </c>
      <c r="E510" s="1102">
        <v>1705.69</v>
      </c>
      <c r="F510" s="1102">
        <v>1747.01</v>
      </c>
      <c r="G510" s="1103">
        <v>113.4</v>
      </c>
      <c r="H510" s="805">
        <v>109.91567316080256</v>
      </c>
      <c r="I510" s="1103">
        <v>104.65</v>
      </c>
      <c r="J510" s="1103">
        <v>101.43452554037026</v>
      </c>
      <c r="K510" s="84">
        <v>16715.551807696032</v>
      </c>
      <c r="L510" s="84">
        <v>17245.43</v>
      </c>
      <c r="M510" s="84">
        <v>4.49</v>
      </c>
      <c r="N510" s="805">
        <v>114.27</v>
      </c>
      <c r="O510" s="941">
        <v>7821.58</v>
      </c>
      <c r="P510" s="941">
        <v>2087.1419017156145</v>
      </c>
      <c r="Q510" s="941">
        <v>1853.0411941455848</v>
      </c>
      <c r="R510" s="805">
        <v>42.5</v>
      </c>
      <c r="S510" s="805">
        <v>2959.3282922517924</v>
      </c>
      <c r="T510" s="805">
        <v>1948.7152163506566</v>
      </c>
      <c r="U510" s="805">
        <v>26265</v>
      </c>
      <c r="V510" s="805">
        <v>6670.1027802201124</v>
      </c>
      <c r="W510" s="805"/>
      <c r="X510" s="5">
        <v>1.0317000000000001</v>
      </c>
      <c r="AJ510" s="1156" t="s">
        <v>2</v>
      </c>
      <c r="AK510" s="817">
        <v>2010</v>
      </c>
      <c r="AL510" s="817" t="s">
        <v>452</v>
      </c>
      <c r="AM510" s="817"/>
      <c r="AN510" s="1115">
        <v>50669272736.780563</v>
      </c>
      <c r="AP510" s="817"/>
      <c r="AQ510" s="1161" t="s">
        <v>1</v>
      </c>
      <c r="AR510" s="1161" t="s">
        <v>609</v>
      </c>
      <c r="AS510" s="1161" t="s">
        <v>72</v>
      </c>
      <c r="AT510" s="1161">
        <v>1</v>
      </c>
      <c r="AU510" s="1162">
        <v>7016292000</v>
      </c>
      <c r="AV510" s="1121">
        <v>0.41645290906604471</v>
      </c>
      <c r="AW510" s="817">
        <v>2008</v>
      </c>
    </row>
    <row r="511" spans="1:49">
      <c r="A511" s="798">
        <f t="shared" si="15"/>
        <v>2012</v>
      </c>
      <c r="B511" s="798">
        <f t="shared" si="16"/>
        <v>4</v>
      </c>
      <c r="C511" s="1105">
        <v>41214</v>
      </c>
      <c r="D511" s="934">
        <v>277.04511037909776</v>
      </c>
      <c r="E511" s="1100">
        <v>1665.03</v>
      </c>
      <c r="F511" s="1100">
        <v>1721.14</v>
      </c>
      <c r="G511" s="1101">
        <v>119.9</v>
      </c>
      <c r="H511" s="935">
        <v>115.23306102835176</v>
      </c>
      <c r="I511" s="1101">
        <v>110.14</v>
      </c>
      <c r="J511" s="1101">
        <v>105.85295530994715</v>
      </c>
      <c r="K511" s="936">
        <v>15663.142719846228</v>
      </c>
      <c r="L511" s="936">
        <v>16297.5</v>
      </c>
      <c r="M511" s="936">
        <v>4.49</v>
      </c>
      <c r="N511" s="937">
        <v>112.5</v>
      </c>
      <c r="O511" s="938">
        <v>7394.72</v>
      </c>
      <c r="P511" s="938">
        <v>2094.6442095146563</v>
      </c>
      <c r="Q511" s="938">
        <v>1830.173474291206</v>
      </c>
      <c r="R511" s="939">
        <v>42.5</v>
      </c>
      <c r="S511" s="940">
        <v>2324.1406616306331</v>
      </c>
      <c r="T511" s="940">
        <v>1544.1681388210236</v>
      </c>
      <c r="U511" s="1756">
        <v>22598</v>
      </c>
      <c r="V511" s="1323">
        <v>6627.1419994773951</v>
      </c>
      <c r="W511" s="1323"/>
      <c r="X511" s="538">
        <v>1.0405</v>
      </c>
      <c r="AJ511" s="1156" t="s">
        <v>2</v>
      </c>
      <c r="AK511" s="817">
        <v>2009</v>
      </c>
      <c r="AL511" s="817" t="s">
        <v>24</v>
      </c>
      <c r="AM511" s="817">
        <v>1</v>
      </c>
      <c r="AN511" s="1115">
        <v>20020560972.525166</v>
      </c>
      <c r="AO511" s="1367">
        <v>0.71219870043194333</v>
      </c>
      <c r="AP511" s="817"/>
      <c r="AQ511" s="1161" t="s">
        <v>1</v>
      </c>
      <c r="AR511" s="1161" t="s">
        <v>609</v>
      </c>
      <c r="AS511" s="1161" t="s">
        <v>27</v>
      </c>
      <c r="AT511" s="1161">
        <v>2</v>
      </c>
      <c r="AU511" s="1162">
        <v>5690369000</v>
      </c>
      <c r="AV511" s="1121">
        <v>0.33775257981127921</v>
      </c>
      <c r="AW511" s="817">
        <v>2008</v>
      </c>
    </row>
    <row r="512" spans="1:49">
      <c r="A512" s="798">
        <f t="shared" si="15"/>
        <v>2012</v>
      </c>
      <c r="B512" s="798">
        <f t="shared" si="16"/>
        <v>4</v>
      </c>
      <c r="C512" s="1105">
        <v>41244</v>
      </c>
      <c r="D512" s="805">
        <v>273.31733212341544</v>
      </c>
      <c r="E512" s="1102">
        <v>1620.3</v>
      </c>
      <c r="F512" s="1102">
        <v>1688.53</v>
      </c>
      <c r="G512" s="1103">
        <v>131.27500000000001</v>
      </c>
      <c r="H512" s="805">
        <v>125.48991492209159</v>
      </c>
      <c r="I512" s="1103">
        <v>119.52500000000001</v>
      </c>
      <c r="J512" s="1103">
        <v>114.25771914730906</v>
      </c>
      <c r="K512" s="84">
        <v>16639.498040340313</v>
      </c>
      <c r="L512" s="84">
        <v>17406.580000000002</v>
      </c>
      <c r="M512" s="84">
        <v>4.49</v>
      </c>
      <c r="N512" s="805">
        <v>113.07</v>
      </c>
      <c r="O512" s="941">
        <v>7611.68</v>
      </c>
      <c r="P512" s="941">
        <v>2175.2222540866073</v>
      </c>
      <c r="Q512" s="941">
        <v>1947.7859669247682</v>
      </c>
      <c r="R512" s="805">
        <v>43.5</v>
      </c>
      <c r="S512" s="805">
        <v>2207.9419923007963</v>
      </c>
      <c r="T512" s="805">
        <v>1578.4901200718541</v>
      </c>
      <c r="U512" s="805">
        <v>22978</v>
      </c>
      <c r="V512" s="805">
        <v>6591.5323416721212</v>
      </c>
      <c r="W512" s="805"/>
      <c r="X512" s="5">
        <v>1.0461</v>
      </c>
      <c r="AJ512" s="1156" t="s">
        <v>2</v>
      </c>
      <c r="AK512" s="817">
        <v>2009</v>
      </c>
      <c r="AL512" s="817" t="s">
        <v>29</v>
      </c>
      <c r="AM512" s="817">
        <v>2</v>
      </c>
      <c r="AN512" s="1115">
        <v>4933322680.1497345</v>
      </c>
      <c r="AO512" s="1367">
        <v>0.17549488280751799</v>
      </c>
      <c r="AP512" s="817"/>
      <c r="AQ512" s="1161" t="s">
        <v>1</v>
      </c>
      <c r="AR512" s="1161" t="s">
        <v>609</v>
      </c>
      <c r="AS512" s="1161" t="s">
        <v>39</v>
      </c>
      <c r="AT512" s="1161">
        <v>3</v>
      </c>
      <c r="AU512" s="1162">
        <v>1310727000</v>
      </c>
      <c r="AV512" s="1121">
        <v>7.7798368731148815E-2</v>
      </c>
      <c r="AW512" s="817">
        <v>2008</v>
      </c>
    </row>
    <row r="513" spans="1:49">
      <c r="A513" s="798">
        <f t="shared" si="15"/>
        <v>2013</v>
      </c>
      <c r="B513" s="798">
        <f t="shared" si="16"/>
        <v>1</v>
      </c>
      <c r="C513" s="1105">
        <v>41275</v>
      </c>
      <c r="D513" s="934">
        <v>289.81412144379198</v>
      </c>
      <c r="E513" s="1100">
        <v>1600.05</v>
      </c>
      <c r="F513" s="1100">
        <v>1670.95</v>
      </c>
      <c r="G513" s="1101">
        <v>150.47499999999999</v>
      </c>
      <c r="H513" s="935">
        <v>143.3095238095238</v>
      </c>
      <c r="I513" s="1101">
        <v>141.05000000000001</v>
      </c>
      <c r="J513" s="1101">
        <v>134.33333333333334</v>
      </c>
      <c r="K513" s="936">
        <v>16633.116857142857</v>
      </c>
      <c r="L513" s="936">
        <v>17464.77</v>
      </c>
      <c r="M513" s="936">
        <v>4.75</v>
      </c>
      <c r="N513" s="937">
        <v>117.28</v>
      </c>
      <c r="O513" s="938">
        <v>7665.97</v>
      </c>
      <c r="P513" s="938">
        <v>2228.8311428571428</v>
      </c>
      <c r="Q513" s="938">
        <v>1936.3420000000001</v>
      </c>
      <c r="R513" s="939">
        <v>44</v>
      </c>
      <c r="S513" s="940">
        <v>1803.7672158350124</v>
      </c>
      <c r="T513" s="940">
        <v>1245.3423622496257</v>
      </c>
      <c r="U513" s="1756">
        <v>24881</v>
      </c>
      <c r="V513" s="1323">
        <v>6580.0212192932358</v>
      </c>
      <c r="W513" s="1323"/>
      <c r="X513" s="538">
        <v>1.05</v>
      </c>
      <c r="AJ513" s="1156" t="s">
        <v>2</v>
      </c>
      <c r="AK513" s="817">
        <v>2009</v>
      </c>
      <c r="AL513" s="817" t="s">
        <v>30</v>
      </c>
      <c r="AM513" s="817">
        <v>3</v>
      </c>
      <c r="AN513" s="1115">
        <v>2237568097.4908104</v>
      </c>
      <c r="AO513" s="1367">
        <v>7.9597824124302413E-2</v>
      </c>
      <c r="AP513" s="817"/>
      <c r="AQ513" s="1161" t="s">
        <v>1</v>
      </c>
      <c r="AR513" s="1161" t="s">
        <v>609</v>
      </c>
      <c r="AS513" s="1161" t="s">
        <v>40</v>
      </c>
      <c r="AT513" s="1161">
        <v>4</v>
      </c>
      <c r="AU513" s="1162">
        <v>1299674000</v>
      </c>
      <c r="AV513" s="1121">
        <v>7.7142316502434985E-2</v>
      </c>
      <c r="AW513" s="817">
        <v>2008</v>
      </c>
    </row>
    <row r="514" spans="1:49">
      <c r="A514" s="798">
        <f t="shared" si="15"/>
        <v>2013</v>
      </c>
      <c r="B514" s="798">
        <f t="shared" si="16"/>
        <v>1</v>
      </c>
      <c r="C514" s="1105">
        <v>41306</v>
      </c>
      <c r="D514" s="805">
        <v>291.78799059271438</v>
      </c>
      <c r="E514" s="1102">
        <v>1588.9</v>
      </c>
      <c r="F514" s="1102">
        <v>1627.59</v>
      </c>
      <c r="G514" s="1103">
        <v>154.25</v>
      </c>
      <c r="H514" s="805">
        <v>149.62653991657777</v>
      </c>
      <c r="I514" s="1103">
        <v>142.77500000000001</v>
      </c>
      <c r="J514" s="1103">
        <v>138.49548937821322</v>
      </c>
      <c r="K514" s="84">
        <v>17202.201959452905</v>
      </c>
      <c r="L514" s="84">
        <v>17733.75</v>
      </c>
      <c r="M514" s="84">
        <v>4.75</v>
      </c>
      <c r="N514" s="805">
        <v>122.43</v>
      </c>
      <c r="O514" s="941">
        <v>7828.57</v>
      </c>
      <c r="P514" s="941">
        <v>2304.9762343583275</v>
      </c>
      <c r="Q514" s="941">
        <v>2065.4525172179651</v>
      </c>
      <c r="R514" s="805">
        <v>42</v>
      </c>
      <c r="S514" s="805">
        <v>1892.5939221610099</v>
      </c>
      <c r="T514" s="805">
        <v>1233.4971187631763</v>
      </c>
      <c r="U514" s="805">
        <v>24750</v>
      </c>
      <c r="V514" s="805">
        <v>6694.6605175545865</v>
      </c>
      <c r="W514" s="805"/>
      <c r="X514" s="5">
        <v>1.0308999999999999</v>
      </c>
      <c r="AJ514" s="1156" t="s">
        <v>2</v>
      </c>
      <c r="AK514" s="817">
        <v>2009</v>
      </c>
      <c r="AL514" s="817" t="s">
        <v>433</v>
      </c>
      <c r="AM514" s="817">
        <v>4</v>
      </c>
      <c r="AN514" s="1115">
        <v>748320084.78367472</v>
      </c>
      <c r="AO514" s="1367">
        <v>2.6620262670034176E-2</v>
      </c>
      <c r="AP514" s="817"/>
      <c r="AQ514" s="1161" t="s">
        <v>1</v>
      </c>
      <c r="AR514" s="1161" t="s">
        <v>609</v>
      </c>
      <c r="AS514" s="1161" t="s">
        <v>70</v>
      </c>
      <c r="AT514" s="1161">
        <v>5</v>
      </c>
      <c r="AU514" s="1162">
        <v>731005000</v>
      </c>
      <c r="AV514" s="1121">
        <v>4.3388895272862646E-2</v>
      </c>
      <c r="AW514" s="817">
        <v>2008</v>
      </c>
    </row>
    <row r="515" spans="1:49">
      <c r="A515" s="798">
        <f t="shared" si="15"/>
        <v>2013</v>
      </c>
      <c r="B515" s="798">
        <f t="shared" si="16"/>
        <v>1</v>
      </c>
      <c r="C515" s="1105">
        <v>41334</v>
      </c>
      <c r="D515" s="934">
        <v>301.65301213849665</v>
      </c>
      <c r="E515" s="1100">
        <v>1549.48</v>
      </c>
      <c r="F515" s="1100">
        <v>1592.86</v>
      </c>
      <c r="G515" s="1101">
        <v>140.82</v>
      </c>
      <c r="H515" s="935">
        <v>136.05797101449275</v>
      </c>
      <c r="I515" s="1101">
        <v>131.9</v>
      </c>
      <c r="J515" s="1101">
        <v>127.43961352657007</v>
      </c>
      <c r="K515" s="936">
        <v>16162.077294685992</v>
      </c>
      <c r="L515" s="936">
        <v>16727.75</v>
      </c>
      <c r="M515" s="936">
        <v>4.75</v>
      </c>
      <c r="N515" s="937">
        <v>115.85</v>
      </c>
      <c r="O515" s="938">
        <v>7403.77</v>
      </c>
      <c r="P515" s="938">
        <v>2109.6376811594205</v>
      </c>
      <c r="Q515" s="938">
        <v>1870.434782608696</v>
      </c>
      <c r="R515" s="939">
        <v>42.25</v>
      </c>
      <c r="S515" s="940">
        <v>1604.068578185043</v>
      </c>
      <c r="T515" s="940">
        <v>1170.0686457653439</v>
      </c>
      <c r="U515" s="1756">
        <v>24662</v>
      </c>
      <c r="V515" s="1323">
        <v>6772.3938544028733</v>
      </c>
      <c r="W515" s="1323"/>
      <c r="X515" s="538">
        <v>1.0349999999999999</v>
      </c>
      <c r="AJ515" s="1156" t="s">
        <v>2</v>
      </c>
      <c r="AK515" s="817">
        <v>2009</v>
      </c>
      <c r="AL515" s="817" t="s">
        <v>647</v>
      </c>
      <c r="AM515" s="817">
        <v>5</v>
      </c>
      <c r="AN515" s="1115">
        <v>55577725.138101906</v>
      </c>
      <c r="AO515" s="1367">
        <v>1.9770866396121491E-3</v>
      </c>
      <c r="AP515" s="817"/>
      <c r="AQ515" s="1161" t="s">
        <v>1</v>
      </c>
      <c r="AR515" s="1161" t="s">
        <v>609</v>
      </c>
      <c r="AS515" s="1161" t="s">
        <v>432</v>
      </c>
      <c r="AT515" s="1161">
        <v>6</v>
      </c>
      <c r="AU515" s="1162">
        <v>337708000</v>
      </c>
      <c r="AV515" s="1121">
        <v>2.0044701533926443E-2</v>
      </c>
      <c r="AW515" s="817">
        <v>2008</v>
      </c>
    </row>
    <row r="516" spans="1:49">
      <c r="A516" s="798">
        <f t="shared" si="15"/>
        <v>2013</v>
      </c>
      <c r="B516" s="798">
        <f t="shared" si="16"/>
        <v>2</v>
      </c>
      <c r="C516" s="1105">
        <v>41365</v>
      </c>
      <c r="D516" s="805">
        <v>289.61385061881441</v>
      </c>
      <c r="E516" s="1102">
        <v>1441.66</v>
      </c>
      <c r="F516" s="1102">
        <v>1471.22</v>
      </c>
      <c r="G516" s="1103">
        <v>137.25</v>
      </c>
      <c r="H516" s="805">
        <v>132.23817323441565</v>
      </c>
      <c r="I516" s="1103">
        <v>128</v>
      </c>
      <c r="J516" s="1103">
        <v>123.32594662298872</v>
      </c>
      <c r="K516" s="84">
        <v>15064.071683206474</v>
      </c>
      <c r="L516" s="84">
        <v>15635</v>
      </c>
      <c r="M516" s="84">
        <v>4.83</v>
      </c>
      <c r="N516" s="805">
        <v>108.41</v>
      </c>
      <c r="O516" s="941">
        <v>6940.32</v>
      </c>
      <c r="P516" s="941">
        <v>1956.1247711725598</v>
      </c>
      <c r="Q516" s="941">
        <v>1785.2440504865594</v>
      </c>
      <c r="R516" s="805">
        <v>40.5</v>
      </c>
      <c r="S516" s="805">
        <v>1554.213893680414</v>
      </c>
      <c r="T516" s="805">
        <v>1112.3356592217922</v>
      </c>
      <c r="U516" s="805">
        <v>25210</v>
      </c>
      <c r="V516" s="805">
        <v>6769.1005343699144</v>
      </c>
      <c r="W516" s="805"/>
      <c r="X516" s="5">
        <v>1.0379</v>
      </c>
      <c r="AJ516" s="1156" t="s">
        <v>2</v>
      </c>
      <c r="AK516" s="817">
        <v>2009</v>
      </c>
      <c r="AL516" s="817" t="s">
        <v>45</v>
      </c>
      <c r="AM516" s="817"/>
      <c r="AN516" s="1115">
        <v>115570833.87397581</v>
      </c>
      <c r="AO516" s="1367">
        <v>4.1112433265899648E-3</v>
      </c>
      <c r="AP516" s="817"/>
      <c r="AQ516" s="1161" t="s">
        <v>1</v>
      </c>
      <c r="AR516" s="1161" t="s">
        <v>609</v>
      </c>
      <c r="AS516" s="1161" t="s">
        <v>431</v>
      </c>
      <c r="AT516" s="1161">
        <v>7</v>
      </c>
      <c r="AU516" s="1162">
        <v>285059000</v>
      </c>
      <c r="AV516" s="1121">
        <v>1.6919713404952023E-2</v>
      </c>
      <c r="AW516" s="817">
        <v>2008</v>
      </c>
    </row>
    <row r="517" spans="1:49">
      <c r="A517" s="798">
        <f t="shared" si="15"/>
        <v>2013</v>
      </c>
      <c r="B517" s="798">
        <f t="shared" si="16"/>
        <v>2</v>
      </c>
      <c r="C517" s="1105">
        <v>41395</v>
      </c>
      <c r="D517" s="934">
        <v>291.52997573543252</v>
      </c>
      <c r="E517" s="1100">
        <v>1437.27</v>
      </c>
      <c r="F517" s="1100">
        <v>1413.5</v>
      </c>
      <c r="G517" s="1101">
        <v>122.88</v>
      </c>
      <c r="H517" s="935">
        <v>124.13375088392766</v>
      </c>
      <c r="I517" s="1101">
        <v>114.48</v>
      </c>
      <c r="J517" s="1101">
        <v>115.64804525709668</v>
      </c>
      <c r="K517" s="936">
        <v>15103.497727043135</v>
      </c>
      <c r="L517" s="936">
        <v>14950.95</v>
      </c>
      <c r="M517" s="936">
        <v>4.83</v>
      </c>
      <c r="N517" s="937">
        <v>108.46</v>
      </c>
      <c r="O517" s="938">
        <v>7302.93</v>
      </c>
      <c r="P517" s="938">
        <v>2048.980402060814</v>
      </c>
      <c r="Q517" s="938">
        <v>1847.6854227699766</v>
      </c>
      <c r="R517" s="939">
        <v>40</v>
      </c>
      <c r="S517" s="940">
        <v>1565.5716066827363</v>
      </c>
      <c r="T517" s="940">
        <v>1157.6930083702609</v>
      </c>
      <c r="U517" s="1756">
        <v>28165</v>
      </c>
      <c r="V517" s="1323">
        <v>7139.9770921274703</v>
      </c>
      <c r="W517" s="1323"/>
      <c r="X517" s="538">
        <v>0.9899</v>
      </c>
      <c r="AJ517" s="1156" t="s">
        <v>2</v>
      </c>
      <c r="AK517" s="817">
        <v>2009</v>
      </c>
      <c r="AL517" s="817" t="s">
        <v>452</v>
      </c>
      <c r="AM517" s="817"/>
      <c r="AN517" s="1115">
        <v>28110920393.961464</v>
      </c>
      <c r="AP517" s="817"/>
      <c r="AQ517" s="1161" t="s">
        <v>1</v>
      </c>
      <c r="AR517" s="1161" t="s">
        <v>609</v>
      </c>
      <c r="AS517" s="1161" t="s">
        <v>430</v>
      </c>
      <c r="AT517" s="1161">
        <v>8</v>
      </c>
      <c r="AU517" s="1162">
        <v>80396000</v>
      </c>
      <c r="AV517" s="1121">
        <v>4.7719148629038997E-3</v>
      </c>
      <c r="AW517" s="817">
        <v>2008</v>
      </c>
    </row>
    <row r="518" spans="1:49">
      <c r="A518" s="798">
        <f t="shared" si="15"/>
        <v>2013</v>
      </c>
      <c r="B518" s="798">
        <f t="shared" si="16"/>
        <v>2</v>
      </c>
      <c r="C518" s="1105">
        <v>41426</v>
      </c>
      <c r="D518" s="805">
        <v>307.40479291173506</v>
      </c>
      <c r="E518" s="1102">
        <v>1433.1</v>
      </c>
      <c r="F518" s="1102">
        <v>1342.36</v>
      </c>
      <c r="G518" s="1103">
        <v>114.9</v>
      </c>
      <c r="H518" s="805">
        <v>121.85809735921096</v>
      </c>
      <c r="I518" s="1103">
        <v>104.22499999999999</v>
      </c>
      <c r="J518" s="1103">
        <v>110.53664227383604</v>
      </c>
      <c r="K518" s="84">
        <v>15134.690847385726</v>
      </c>
      <c r="L518" s="84">
        <v>14270.5</v>
      </c>
      <c r="M518" s="84">
        <v>4.83</v>
      </c>
      <c r="N518" s="805">
        <v>109.77</v>
      </c>
      <c r="O518" s="941">
        <v>7428.2</v>
      </c>
      <c r="P518" s="941">
        <v>2231.2281259942729</v>
      </c>
      <c r="Q518" s="941">
        <v>1950.6045179764556</v>
      </c>
      <c r="R518" s="805">
        <v>39.65</v>
      </c>
      <c r="S518" s="805">
        <v>1418.50491936302</v>
      </c>
      <c r="T518" s="805">
        <v>1287.1705589166484</v>
      </c>
      <c r="U518" s="805">
        <v>32379</v>
      </c>
      <c r="V518" s="805">
        <v>7516.786580557854</v>
      </c>
      <c r="W518" s="805"/>
      <c r="X518" s="5">
        <v>0.94289999999999996</v>
      </c>
      <c r="AJ518" s="1156" t="s">
        <v>2</v>
      </c>
      <c r="AK518" s="817">
        <v>2008</v>
      </c>
      <c r="AL518" s="817" t="s">
        <v>24</v>
      </c>
      <c r="AM518" s="817">
        <v>1</v>
      </c>
      <c r="AN518" s="1115">
        <v>19120970618.376392</v>
      </c>
      <c r="AO518" s="1367">
        <v>0.59469863864212491</v>
      </c>
      <c r="AP518" s="817"/>
      <c r="AQ518" s="1161" t="s">
        <v>1</v>
      </c>
      <c r="AR518" s="1161" t="s">
        <v>609</v>
      </c>
      <c r="AS518" s="1161" t="s">
        <v>645</v>
      </c>
      <c r="AT518" s="1161">
        <v>9</v>
      </c>
      <c r="AU518" s="1162">
        <v>31046000</v>
      </c>
      <c r="AV518" s="1121">
        <v>1.8427393008820646E-3</v>
      </c>
      <c r="AW518" s="817">
        <v>2008</v>
      </c>
    </row>
    <row r="519" spans="1:49">
      <c r="A519" s="798">
        <f t="shared" si="15"/>
        <v>2013</v>
      </c>
      <c r="B519" s="798">
        <f t="shared" si="16"/>
        <v>3</v>
      </c>
      <c r="C519" s="1105">
        <v>41456</v>
      </c>
      <c r="D519" s="934">
        <v>314.92377371839535</v>
      </c>
      <c r="E519" s="1100">
        <v>1410.13</v>
      </c>
      <c r="F519" s="1100">
        <v>1286.72</v>
      </c>
      <c r="G519" s="1101">
        <v>128.42500000000001</v>
      </c>
      <c r="H519" s="935">
        <v>140.12547735951992</v>
      </c>
      <c r="I519" s="1101">
        <v>118.25</v>
      </c>
      <c r="J519" s="1101">
        <v>129.02345881069286</v>
      </c>
      <c r="K519" s="936">
        <v>14953.627932351337</v>
      </c>
      <c r="L519" s="936">
        <v>13705</v>
      </c>
      <c r="M519" s="936">
        <v>5.13</v>
      </c>
      <c r="N519" s="937">
        <v>113.19</v>
      </c>
      <c r="O519" s="938">
        <v>7520.98</v>
      </c>
      <c r="P519" s="938">
        <v>2234.8499727223129</v>
      </c>
      <c r="Q519" s="938">
        <v>2003.1533006001093</v>
      </c>
      <c r="R519" s="939">
        <v>35.75</v>
      </c>
      <c r="S519" s="940">
        <v>1784.7097059492785</v>
      </c>
      <c r="T519" s="940">
        <v>1352.9764748892612</v>
      </c>
      <c r="U519" s="1756">
        <v>32051</v>
      </c>
      <c r="V519" s="1323">
        <v>7730.9908804443412</v>
      </c>
      <c r="W519" s="1323"/>
      <c r="X519" s="538">
        <v>0.91649999999999998</v>
      </c>
      <c r="AJ519" s="1156" t="s">
        <v>2</v>
      </c>
      <c r="AK519" s="817">
        <v>2008</v>
      </c>
      <c r="AL519" s="817" t="s">
        <v>29</v>
      </c>
      <c r="AM519" s="817">
        <v>2</v>
      </c>
      <c r="AN519" s="1115">
        <v>7615567318.5996027</v>
      </c>
      <c r="AO519" s="1367">
        <v>0.23685866200254674</v>
      </c>
      <c r="AP519" s="817"/>
      <c r="AQ519" s="1161" t="s">
        <v>1</v>
      </c>
      <c r="AR519" s="1161" t="s">
        <v>609</v>
      </c>
      <c r="AS519" s="1161" t="s">
        <v>644</v>
      </c>
      <c r="AT519" s="1161">
        <v>10</v>
      </c>
      <c r="AU519" s="1162">
        <v>23174000</v>
      </c>
      <c r="AV519" s="1121">
        <v>1.3754957340282473E-3</v>
      </c>
      <c r="AW519" s="817">
        <v>2008</v>
      </c>
    </row>
    <row r="520" spans="1:49">
      <c r="A520" s="798">
        <f t="shared" si="15"/>
        <v>2013</v>
      </c>
      <c r="B520" s="798">
        <f t="shared" si="16"/>
        <v>3</v>
      </c>
      <c r="C520" s="1105">
        <v>41487</v>
      </c>
      <c r="D520" s="805">
        <v>311.78597279458711</v>
      </c>
      <c r="E520" s="1102">
        <v>1507.65</v>
      </c>
      <c r="F520" s="1102">
        <v>1347.1</v>
      </c>
      <c r="G520" s="1103">
        <v>135.47999999999999</v>
      </c>
      <c r="H520" s="805">
        <v>149.96679211866282</v>
      </c>
      <c r="I520" s="1103">
        <v>126.2</v>
      </c>
      <c r="J520" s="1103">
        <v>139.69448749169803</v>
      </c>
      <c r="K520" s="84">
        <v>15809.323555457164</v>
      </c>
      <c r="L520" s="84">
        <v>14282.14</v>
      </c>
      <c r="M520" s="84">
        <v>5.13</v>
      </c>
      <c r="N520" s="805">
        <v>116.61</v>
      </c>
      <c r="O520" s="941">
        <v>7950.26</v>
      </c>
      <c r="P520" s="941">
        <v>2405.8583130396282</v>
      </c>
      <c r="Q520" s="941">
        <v>2097.2094310382995</v>
      </c>
      <c r="R520" s="805">
        <v>35</v>
      </c>
      <c r="S520" s="805">
        <v>1553.7751697543802</v>
      </c>
      <c r="T520" s="805">
        <v>1361.9977880999779</v>
      </c>
      <c r="U520" s="805">
        <v>30022</v>
      </c>
      <c r="V520" s="805">
        <v>7858.2132307019992</v>
      </c>
      <c r="W520" s="805"/>
      <c r="X520" s="5">
        <v>0.90339999999999998</v>
      </c>
      <c r="AJ520" s="1156" t="s">
        <v>2</v>
      </c>
      <c r="AK520" s="817">
        <v>2008</v>
      </c>
      <c r="AL520" s="817" t="s">
        <v>30</v>
      </c>
      <c r="AM520" s="817">
        <v>3</v>
      </c>
      <c r="AN520" s="1115">
        <v>3789500406.7640591</v>
      </c>
      <c r="AO520" s="1367">
        <v>0.11786068699203534</v>
      </c>
      <c r="AP520" s="817"/>
      <c r="AQ520" s="1161" t="s">
        <v>1</v>
      </c>
      <c r="AR520" s="1161" t="s">
        <v>609</v>
      </c>
      <c r="AS520" s="1161" t="s">
        <v>45</v>
      </c>
      <c r="AT520" s="1161"/>
      <c r="AU520" s="1162">
        <v>42294000</v>
      </c>
      <c r="AV520" s="1121">
        <v>2.510365779537011E-3</v>
      </c>
      <c r="AW520" s="817">
        <v>2008</v>
      </c>
    </row>
    <row r="521" spans="1:49">
      <c r="A521" s="798">
        <f t="shared" si="15"/>
        <v>2013</v>
      </c>
      <c r="B521" s="798">
        <f t="shared" si="16"/>
        <v>3</v>
      </c>
      <c r="C521" s="1105">
        <v>41518</v>
      </c>
      <c r="D521" s="934">
        <v>305.89370037264365</v>
      </c>
      <c r="E521" s="1100">
        <v>1469.65</v>
      </c>
      <c r="F521" s="1100">
        <v>1348.8</v>
      </c>
      <c r="G521" s="1101">
        <v>133.07499999999999</v>
      </c>
      <c r="H521" s="935">
        <v>144.34862783382144</v>
      </c>
      <c r="I521" s="1101">
        <v>123.675</v>
      </c>
      <c r="J521" s="1101">
        <v>134.15229417507319</v>
      </c>
      <c r="K521" s="936">
        <v>14946.87471526196</v>
      </c>
      <c r="L521" s="936">
        <v>13779.52</v>
      </c>
      <c r="M521" s="936">
        <v>5.13</v>
      </c>
      <c r="N521" s="937">
        <v>118.25</v>
      </c>
      <c r="O521" s="938">
        <v>7768.12</v>
      </c>
      <c r="P521" s="938">
        <v>2265.326825035253</v>
      </c>
      <c r="Q521" s="938">
        <v>2005.0207180822213</v>
      </c>
      <c r="R521" s="939">
        <v>35</v>
      </c>
      <c r="S521" s="940">
        <v>1589.1376797321252</v>
      </c>
      <c r="T521" s="940">
        <v>1357.4013927576602</v>
      </c>
      <c r="U521" s="1756">
        <v>31031</v>
      </c>
      <c r="V521" s="1323">
        <v>7582.8415404125089</v>
      </c>
      <c r="W521" s="1323"/>
      <c r="X521" s="538">
        <v>0.92190000000000005</v>
      </c>
      <c r="AJ521" s="1156" t="s">
        <v>2</v>
      </c>
      <c r="AK521" s="817">
        <v>2008</v>
      </c>
      <c r="AL521" s="817" t="s">
        <v>433</v>
      </c>
      <c r="AM521" s="817">
        <v>4</v>
      </c>
      <c r="AN521" s="1115">
        <v>1112538865.7145638</v>
      </c>
      <c r="AO521" s="1367">
        <v>3.4602079679001412E-2</v>
      </c>
      <c r="AP521" s="817"/>
      <c r="AQ521" s="1161" t="s">
        <v>1</v>
      </c>
      <c r="AR521" s="1161" t="s">
        <v>609</v>
      </c>
      <c r="AS521" s="1161" t="s">
        <v>452</v>
      </c>
      <c r="AT521" s="1161"/>
      <c r="AU521" s="1162">
        <v>16847744000</v>
      </c>
      <c r="AV521" s="1121">
        <v>1</v>
      </c>
      <c r="AW521" s="817">
        <v>2008</v>
      </c>
    </row>
    <row r="522" spans="1:49">
      <c r="A522" s="798">
        <f t="shared" ref="A522:A585" si="17">YEAR(C522)</f>
        <v>2013</v>
      </c>
      <c r="B522" s="798">
        <f t="shared" ref="B522:B585" si="18">IF(OR(MONTH(C522)=1,MONTH(C522)=2,MONTH(C522)=3),1,IF(OR(MONTH(C522)=4,MONTH(C522)=5,MONTH(C522)=6),2,IF(OR(MONTH(C522)=7,MONTH(C522)=8,MONTH(C522)=9),3,4)))</f>
        <v>4</v>
      </c>
      <c r="C522" s="1105">
        <v>41548</v>
      </c>
      <c r="D522" s="805">
        <v>296.54695514803677</v>
      </c>
      <c r="E522" s="1102">
        <v>1392.46</v>
      </c>
      <c r="F522" s="1102">
        <v>1316.18</v>
      </c>
      <c r="G522" s="1103">
        <v>133.05000000000001</v>
      </c>
      <c r="H522" s="805">
        <v>139.80245875801199</v>
      </c>
      <c r="I522" s="1103">
        <v>123.125</v>
      </c>
      <c r="J522" s="1103">
        <v>129.3737522328465</v>
      </c>
      <c r="K522" s="84">
        <v>14783.842177156668</v>
      </c>
      <c r="L522" s="84">
        <v>14069.78</v>
      </c>
      <c r="M522" s="84">
        <v>4.6100000000000003</v>
      </c>
      <c r="N522" s="805">
        <v>116.47</v>
      </c>
      <c r="O522" s="941">
        <v>7553.58</v>
      </c>
      <c r="P522" s="941">
        <v>2218.6156351791528</v>
      </c>
      <c r="Q522" s="941">
        <v>1978.3819480928864</v>
      </c>
      <c r="R522" s="805">
        <v>34.75</v>
      </c>
      <c r="S522" s="805">
        <v>1416.7382163445236</v>
      </c>
      <c r="T522" s="805">
        <v>1229.887467195339</v>
      </c>
      <c r="U522" s="805">
        <v>28553</v>
      </c>
      <c r="V522" s="805">
        <v>7403.8478094471848</v>
      </c>
      <c r="W522" s="805"/>
      <c r="X522" s="5">
        <v>0.95169999999999999</v>
      </c>
      <c r="AJ522" s="1156" t="s">
        <v>2</v>
      </c>
      <c r="AK522" s="817">
        <v>2008</v>
      </c>
      <c r="AL522" s="817" t="s">
        <v>26</v>
      </c>
      <c r="AM522" s="817">
        <v>5</v>
      </c>
      <c r="AN522" s="1115">
        <v>206376220.06046522</v>
      </c>
      <c r="AO522" s="1367">
        <v>6.4186938815811896E-3</v>
      </c>
      <c r="AP522" s="817"/>
      <c r="AQ522" s="1163" t="s">
        <v>1</v>
      </c>
      <c r="AR522" s="1163" t="s">
        <v>610</v>
      </c>
      <c r="AS522" s="1163" t="s">
        <v>27</v>
      </c>
      <c r="AT522" s="1163">
        <v>1</v>
      </c>
      <c r="AU522" s="1164">
        <v>7125640000</v>
      </c>
      <c r="AV522" s="1121">
        <v>0.52169148450470193</v>
      </c>
      <c r="AW522" s="817">
        <v>2009</v>
      </c>
    </row>
    <row r="523" spans="1:49">
      <c r="A523" s="798">
        <f t="shared" si="17"/>
        <v>2013</v>
      </c>
      <c r="B523" s="798">
        <f t="shared" si="18"/>
        <v>4</v>
      </c>
      <c r="C523" s="1105">
        <v>41579</v>
      </c>
      <c r="D523" s="934">
        <v>302.61744066470931</v>
      </c>
      <c r="E523" s="1100">
        <v>1378.73</v>
      </c>
      <c r="F523" s="1100">
        <v>1275.82</v>
      </c>
      <c r="G523" s="1101">
        <v>136.18</v>
      </c>
      <c r="H523" s="935">
        <v>146.16292798110982</v>
      </c>
      <c r="I523" s="1101">
        <v>123.14</v>
      </c>
      <c r="J523" s="1101">
        <v>132.16700654717184</v>
      </c>
      <c r="K523" s="936">
        <v>14735.480948803262</v>
      </c>
      <c r="L523" s="936">
        <v>13729.05</v>
      </c>
      <c r="M523" s="936">
        <v>4.6100000000000003</v>
      </c>
      <c r="N523" s="937">
        <v>115.35</v>
      </c>
      <c r="O523" s="938">
        <v>7584.42</v>
      </c>
      <c r="P523" s="938">
        <v>2243.4157990769563</v>
      </c>
      <c r="Q523" s="938">
        <v>2005.6527852312977</v>
      </c>
      <c r="R523" s="939">
        <v>36.25</v>
      </c>
      <c r="S523" s="940">
        <v>1301.7395529640428</v>
      </c>
      <c r="T523" s="940">
        <v>1132.1673421141506</v>
      </c>
      <c r="U523" s="1756">
        <v>28742</v>
      </c>
      <c r="V523" s="1323">
        <v>7395.879917045535</v>
      </c>
      <c r="W523" s="1323"/>
      <c r="X523" s="538">
        <v>0.93169999999999997</v>
      </c>
      <c r="AJ523" s="1156" t="s">
        <v>2</v>
      </c>
      <c r="AK523" s="817">
        <v>2008</v>
      </c>
      <c r="AL523" s="817" t="s">
        <v>45</v>
      </c>
      <c r="AM523" s="817"/>
      <c r="AN523" s="1115">
        <v>307416486.84338468</v>
      </c>
      <c r="AO523" s="1367">
        <v>9.5612388027103857E-3</v>
      </c>
      <c r="AP523" s="817"/>
      <c r="AQ523" s="1163" t="s">
        <v>1</v>
      </c>
      <c r="AR523" s="1163" t="s">
        <v>610</v>
      </c>
      <c r="AS523" s="1163" t="s">
        <v>72</v>
      </c>
      <c r="AT523" s="1163">
        <v>2</v>
      </c>
      <c r="AU523" s="1164">
        <v>4162595000</v>
      </c>
      <c r="AV523" s="1121">
        <v>0.30475723793818515</v>
      </c>
      <c r="AW523" s="817">
        <v>2009</v>
      </c>
    </row>
    <row r="524" spans="1:49">
      <c r="A524" s="798">
        <f t="shared" si="17"/>
        <v>2013</v>
      </c>
      <c r="B524" s="798">
        <f t="shared" si="18"/>
        <v>4</v>
      </c>
      <c r="C524" s="1105">
        <v>41609</v>
      </c>
      <c r="D524" s="805">
        <v>307.60200088522311</v>
      </c>
      <c r="E524" s="1102">
        <v>1373.28</v>
      </c>
      <c r="F524" s="1102">
        <v>1225.4000000000001</v>
      </c>
      <c r="G524" s="1103">
        <v>135.47499999999999</v>
      </c>
      <c r="H524" s="805">
        <v>150.8966362218757</v>
      </c>
      <c r="I524" s="1103">
        <v>122.9</v>
      </c>
      <c r="J524" s="1103">
        <v>136.89017598574293</v>
      </c>
      <c r="K524" s="84">
        <v>15498.440632657606</v>
      </c>
      <c r="L524" s="84">
        <v>13914.5</v>
      </c>
      <c r="M524" s="84">
        <v>4.6100000000000003</v>
      </c>
      <c r="N524" s="805">
        <v>119.81</v>
      </c>
      <c r="O524" s="941">
        <v>8022.89</v>
      </c>
      <c r="P524" s="941">
        <v>2375.8075295165959</v>
      </c>
      <c r="Q524" s="941">
        <v>2198.930719536645</v>
      </c>
      <c r="R524" s="805">
        <v>34.5</v>
      </c>
      <c r="S524" s="805">
        <v>1400.6941045606229</v>
      </c>
      <c r="T524" s="805">
        <v>1222.7106629096841</v>
      </c>
      <c r="U524" s="805">
        <v>29998</v>
      </c>
      <c r="V524" s="805">
        <v>7507.9680600051452</v>
      </c>
      <c r="W524" s="805"/>
      <c r="X524" s="5">
        <v>0.89780000000000004</v>
      </c>
      <c r="AJ524" s="1156" t="s">
        <v>2</v>
      </c>
      <c r="AK524" s="817">
        <v>2008</v>
      </c>
      <c r="AL524" s="817" t="s">
        <v>452</v>
      </c>
      <c r="AM524" s="817"/>
      <c r="AN524" s="1115">
        <v>32152369916.358471</v>
      </c>
      <c r="AP524" s="817"/>
      <c r="AQ524" s="1163" t="s">
        <v>1</v>
      </c>
      <c r="AR524" s="1163" t="s">
        <v>610</v>
      </c>
      <c r="AS524" s="1163" t="s">
        <v>39</v>
      </c>
      <c r="AT524" s="1163">
        <v>3</v>
      </c>
      <c r="AU524" s="1164">
        <v>1314187000</v>
      </c>
      <c r="AV524" s="1121">
        <v>9.6215942279820568E-2</v>
      </c>
      <c r="AW524" s="817">
        <v>2009</v>
      </c>
    </row>
    <row r="525" spans="1:49">
      <c r="A525" s="798">
        <f t="shared" si="17"/>
        <v>2014</v>
      </c>
      <c r="B525" s="798">
        <f t="shared" si="18"/>
        <v>1</v>
      </c>
      <c r="C525" s="1105">
        <v>41640</v>
      </c>
      <c r="D525" s="934">
        <v>322.78993273300932</v>
      </c>
      <c r="E525" s="1100">
        <v>1411.08</v>
      </c>
      <c r="F525" s="1100">
        <v>1244.8</v>
      </c>
      <c r="G525" s="1101">
        <v>127.98</v>
      </c>
      <c r="H525" s="935">
        <v>144.51219512195121</v>
      </c>
      <c r="I525" s="1101">
        <v>117.68</v>
      </c>
      <c r="J525" s="1101">
        <v>132.88166214995482</v>
      </c>
      <c r="K525" s="936">
        <v>15898.055781391146</v>
      </c>
      <c r="L525" s="936">
        <v>14079.32</v>
      </c>
      <c r="M525" s="936">
        <v>5.01</v>
      </c>
      <c r="N525" s="937">
        <v>114.98</v>
      </c>
      <c r="O525" s="938">
        <v>8237.2199999999993</v>
      </c>
      <c r="P525" s="938">
        <v>2426.4751580849138</v>
      </c>
      <c r="Q525" s="938">
        <v>2301.7266260162601</v>
      </c>
      <c r="R525" s="939">
        <v>35.5</v>
      </c>
      <c r="S525" s="940">
        <v>1297.651111111111</v>
      </c>
      <c r="T525" s="940">
        <v>1233.3457711442786</v>
      </c>
      <c r="U525" s="1756">
        <v>32541</v>
      </c>
      <c r="V525" s="1323">
        <v>7473.8618116746693</v>
      </c>
      <c r="W525" s="1323"/>
      <c r="X525" s="538">
        <v>0.88560000000000005</v>
      </c>
      <c r="AJ525" s="1156" t="s">
        <v>2</v>
      </c>
      <c r="AK525" s="817">
        <v>2007</v>
      </c>
      <c r="AL525" s="817" t="s">
        <v>24</v>
      </c>
      <c r="AM525" s="817">
        <v>1</v>
      </c>
      <c r="AN525" s="1115">
        <v>8692795558.0471916</v>
      </c>
      <c r="AO525" s="1367">
        <v>0.53354838462399057</v>
      </c>
      <c r="AP525" s="817"/>
      <c r="AQ525" s="1163" t="s">
        <v>1</v>
      </c>
      <c r="AR525" s="1163" t="s">
        <v>610</v>
      </c>
      <c r="AS525" s="1163" t="s">
        <v>70</v>
      </c>
      <c r="AT525" s="1163">
        <v>4</v>
      </c>
      <c r="AU525" s="1164">
        <v>441682000</v>
      </c>
      <c r="AV525" s="1121">
        <v>3.2336988433180142E-2</v>
      </c>
      <c r="AW525" s="817">
        <v>2009</v>
      </c>
    </row>
    <row r="526" spans="1:49">
      <c r="A526" s="798">
        <f t="shared" si="17"/>
        <v>2014</v>
      </c>
      <c r="B526" s="798">
        <f t="shared" si="18"/>
        <v>1</v>
      </c>
      <c r="C526" s="1105">
        <v>41671</v>
      </c>
      <c r="D526" s="805">
        <v>322.47456542619142</v>
      </c>
      <c r="E526" s="1102">
        <v>1458.63</v>
      </c>
      <c r="F526" s="1102">
        <v>1300.98</v>
      </c>
      <c r="G526" s="1103">
        <v>121.15</v>
      </c>
      <c r="H526" s="805">
        <v>135.00111433028752</v>
      </c>
      <c r="I526" s="1103">
        <v>110.27500000000001</v>
      </c>
      <c r="J526" s="1103">
        <v>122.88277245375531</v>
      </c>
      <c r="K526" s="84">
        <v>15817.361265879206</v>
      </c>
      <c r="L526" s="84">
        <v>14194.5</v>
      </c>
      <c r="M526" s="84">
        <v>5.01</v>
      </c>
      <c r="N526" s="805">
        <v>114.41</v>
      </c>
      <c r="O526" s="941">
        <v>7969.86</v>
      </c>
      <c r="P526" s="941">
        <v>2351.766213505683</v>
      </c>
      <c r="Q526" s="941">
        <v>2268.1078671718301</v>
      </c>
      <c r="R526" s="805">
        <v>35.5</v>
      </c>
      <c r="S526" s="805">
        <v>1154.6897598675132</v>
      </c>
      <c r="T526" s="805">
        <v>1165.6497441146366</v>
      </c>
      <c r="U526" s="805">
        <v>35119</v>
      </c>
      <c r="V526" s="805">
        <v>7336.8177103442713</v>
      </c>
      <c r="W526" s="805"/>
      <c r="X526" s="5">
        <v>0.89739999999999998</v>
      </c>
      <c r="AJ526" s="1156" t="s">
        <v>2</v>
      </c>
      <c r="AK526" s="817">
        <v>2007</v>
      </c>
      <c r="AL526" s="817" t="s">
        <v>29</v>
      </c>
      <c r="AM526" s="817">
        <v>2</v>
      </c>
      <c r="AN526" s="1115">
        <v>4869773185.7839947</v>
      </c>
      <c r="AO526" s="1367">
        <v>0.29889804717137114</v>
      </c>
      <c r="AP526" s="817"/>
      <c r="AQ526" s="1163" t="s">
        <v>1</v>
      </c>
      <c r="AR526" s="1163" t="s">
        <v>610</v>
      </c>
      <c r="AS526" s="1163" t="s">
        <v>431</v>
      </c>
      <c r="AT526" s="1163">
        <v>5</v>
      </c>
      <c r="AU526" s="1164">
        <v>381255000</v>
      </c>
      <c r="AV526" s="1121">
        <v>2.791292949473172E-2</v>
      </c>
      <c r="AW526" s="817">
        <v>2009</v>
      </c>
    </row>
    <row r="527" spans="1:49">
      <c r="A527" s="798">
        <f t="shared" si="17"/>
        <v>2014</v>
      </c>
      <c r="B527" s="798">
        <f t="shared" si="18"/>
        <v>1</v>
      </c>
      <c r="C527" s="1105">
        <v>41699</v>
      </c>
      <c r="D527" s="934">
        <v>313.09230354147041</v>
      </c>
      <c r="E527" s="1100">
        <v>1485.19</v>
      </c>
      <c r="F527" s="1100">
        <v>1336.08</v>
      </c>
      <c r="G527" s="1101">
        <v>111.825</v>
      </c>
      <c r="H527" s="935">
        <v>123.11460971044809</v>
      </c>
      <c r="I527" s="1101">
        <v>101.27500000000001</v>
      </c>
      <c r="J527" s="1101">
        <v>111.49950456897501</v>
      </c>
      <c r="K527" s="936">
        <v>17240.737531652536</v>
      </c>
      <c r="L527" s="936">
        <v>15659.76</v>
      </c>
      <c r="M527" s="936">
        <v>5.01</v>
      </c>
      <c r="N527" s="937">
        <v>113.4</v>
      </c>
      <c r="O527" s="938">
        <v>7341</v>
      </c>
      <c r="P527" s="938">
        <v>2263.9624573378842</v>
      </c>
      <c r="Q527" s="938">
        <v>2217.7747440273038</v>
      </c>
      <c r="R527" s="939">
        <v>33.75</v>
      </c>
      <c r="S527" s="940">
        <v>1155.9962995594713</v>
      </c>
      <c r="T527" s="940">
        <v>1132.4525269036917</v>
      </c>
      <c r="U527" s="1756">
        <v>34004</v>
      </c>
      <c r="V527" s="1323">
        <v>7143.3613086637915</v>
      </c>
      <c r="W527" s="1323"/>
      <c r="X527" s="538">
        <v>0.9083</v>
      </c>
      <c r="AJ527" s="1156" t="s">
        <v>2</v>
      </c>
      <c r="AK527" s="817">
        <v>2007</v>
      </c>
      <c r="AL527" s="817" t="s">
        <v>30</v>
      </c>
      <c r="AM527" s="817">
        <v>3</v>
      </c>
      <c r="AN527" s="1115">
        <v>1796894750.4024489</v>
      </c>
      <c r="AO527" s="1367">
        <v>0.11029021504238977</v>
      </c>
      <c r="AP527" s="817"/>
      <c r="AQ527" s="1163" t="s">
        <v>1</v>
      </c>
      <c r="AR527" s="1163" t="s">
        <v>610</v>
      </c>
      <c r="AS527" s="1163" t="s">
        <v>434</v>
      </c>
      <c r="AT527" s="1163">
        <v>6</v>
      </c>
      <c r="AU527" s="1164">
        <v>84105000</v>
      </c>
      <c r="AV527" s="1121">
        <v>6.1576030088901423E-3</v>
      </c>
      <c r="AW527" s="817">
        <v>2009</v>
      </c>
    </row>
    <row r="528" spans="1:49">
      <c r="A528" s="798">
        <f t="shared" si="17"/>
        <v>2014</v>
      </c>
      <c r="B528" s="798">
        <f t="shared" si="18"/>
        <v>2</v>
      </c>
      <c r="C528" s="1105">
        <v>41730</v>
      </c>
      <c r="D528" s="805">
        <v>306.34307106707661</v>
      </c>
      <c r="E528" s="1102">
        <v>1405.39</v>
      </c>
      <c r="F528" s="1102">
        <v>1299</v>
      </c>
      <c r="G528" s="1103">
        <v>115.03</v>
      </c>
      <c r="H528" s="805">
        <v>123.43599098615732</v>
      </c>
      <c r="I528" s="1103">
        <v>103.9</v>
      </c>
      <c r="J528" s="1103">
        <v>111.49264942590408</v>
      </c>
      <c r="K528" s="84">
        <v>18644.704367421396</v>
      </c>
      <c r="L528" s="84">
        <v>17375</v>
      </c>
      <c r="M528" s="84">
        <v>4.6100000000000003</v>
      </c>
      <c r="N528" s="805">
        <v>114.13</v>
      </c>
      <c r="O528" s="941">
        <v>7158.31</v>
      </c>
      <c r="P528" s="941">
        <v>2238.3839467754051</v>
      </c>
      <c r="Q528" s="941">
        <v>2178.9891619272453</v>
      </c>
      <c r="R528" s="805">
        <v>30.75</v>
      </c>
      <c r="S528" s="805">
        <v>971.04483886034564</v>
      </c>
      <c r="T528" s="805">
        <v>1188.551920341394</v>
      </c>
      <c r="U528" s="805">
        <v>32444</v>
      </c>
      <c r="V528" s="805">
        <v>6902.3391664153969</v>
      </c>
      <c r="W528" s="805"/>
      <c r="X528" s="5">
        <v>0.93189999999999995</v>
      </c>
      <c r="AJ528" s="1156" t="s">
        <v>2</v>
      </c>
      <c r="AK528" s="817">
        <v>2007</v>
      </c>
      <c r="AL528" s="817" t="s">
        <v>433</v>
      </c>
      <c r="AM528" s="817">
        <v>4</v>
      </c>
      <c r="AN528" s="1115">
        <v>635743495.43354642</v>
      </c>
      <c r="AO528" s="1367">
        <v>3.9020808985869924E-2</v>
      </c>
      <c r="AP528" s="817"/>
      <c r="AQ528" s="1163" t="s">
        <v>1</v>
      </c>
      <c r="AR528" s="1163" t="s">
        <v>610</v>
      </c>
      <c r="AS528" s="1163" t="s">
        <v>645</v>
      </c>
      <c r="AT528" s="1163">
        <v>7</v>
      </c>
      <c r="AU528" s="1164">
        <v>51261000</v>
      </c>
      <c r="AV528" s="1121">
        <v>3.7529860036706209E-3</v>
      </c>
      <c r="AW528" s="817">
        <v>2009</v>
      </c>
    </row>
    <row r="529" spans="1:49">
      <c r="A529" s="798">
        <f t="shared" si="17"/>
        <v>2014</v>
      </c>
      <c r="B529" s="798">
        <f t="shared" si="18"/>
        <v>2</v>
      </c>
      <c r="C529" s="1105">
        <v>41760</v>
      </c>
      <c r="D529" s="934">
        <v>319.64</v>
      </c>
      <c r="E529" s="1100">
        <v>1396.41</v>
      </c>
      <c r="F529" s="1100">
        <v>1287.53</v>
      </c>
      <c r="G529" s="1101">
        <v>99.74</v>
      </c>
      <c r="H529" s="935">
        <v>107.201203783319</v>
      </c>
      <c r="I529" s="1101">
        <v>88.62</v>
      </c>
      <c r="J529" s="1101">
        <v>95.249355116079116</v>
      </c>
      <c r="K529" s="936">
        <v>20893.97033533964</v>
      </c>
      <c r="L529" s="936">
        <v>19439.75</v>
      </c>
      <c r="M529" s="936">
        <v>4.6100000000000003</v>
      </c>
      <c r="N529" s="937">
        <v>114.44</v>
      </c>
      <c r="O529" s="938">
        <v>7398.83</v>
      </c>
      <c r="P529" s="938">
        <v>2254.0036543422184</v>
      </c>
      <c r="Q529" s="938">
        <v>2214.4239036973345</v>
      </c>
      <c r="R529" s="939">
        <v>28.25</v>
      </c>
      <c r="S529" s="940">
        <v>1012.17673220974</v>
      </c>
      <c r="T529" s="940">
        <v>1079.9807692307693</v>
      </c>
      <c r="U529" s="1756">
        <v>32663</v>
      </c>
      <c r="V529" s="1323">
        <v>6886.9499342218014</v>
      </c>
      <c r="W529" s="1323"/>
      <c r="X529" s="538">
        <v>0.9304</v>
      </c>
      <c r="AJ529" s="1156" t="s">
        <v>2</v>
      </c>
      <c r="AK529" s="817">
        <v>2007</v>
      </c>
      <c r="AL529" s="817" t="s">
        <v>26</v>
      </c>
      <c r="AM529" s="817">
        <v>5</v>
      </c>
      <c r="AN529" s="1115">
        <v>149090322.47448826</v>
      </c>
      <c r="AO529" s="1367">
        <v>9.1508997523465294E-3</v>
      </c>
      <c r="AP529" s="817"/>
      <c r="AQ529" s="1163" t="s">
        <v>1</v>
      </c>
      <c r="AR529" s="1163" t="s">
        <v>610</v>
      </c>
      <c r="AS529" s="1163" t="s">
        <v>430</v>
      </c>
      <c r="AT529" s="1163">
        <v>8</v>
      </c>
      <c r="AU529" s="1164">
        <v>40038000</v>
      </c>
      <c r="AV529" s="1121">
        <v>2.9313133496218242E-3</v>
      </c>
      <c r="AW529" s="817">
        <v>2009</v>
      </c>
    </row>
    <row r="530" spans="1:49">
      <c r="A530" s="798">
        <f t="shared" si="17"/>
        <v>2014</v>
      </c>
      <c r="B530" s="798">
        <f t="shared" si="18"/>
        <v>2</v>
      </c>
      <c r="C530" s="1105">
        <v>41791</v>
      </c>
      <c r="D530" s="805">
        <v>302.27807647182527</v>
      </c>
      <c r="E530" s="1102">
        <v>1375.63</v>
      </c>
      <c r="F530" s="1102">
        <v>1279.0999999999999</v>
      </c>
      <c r="G530" s="1103">
        <v>93</v>
      </c>
      <c r="H530" s="805">
        <v>99.231754161331622</v>
      </c>
      <c r="I530" s="1103">
        <v>75.73</v>
      </c>
      <c r="J530" s="1103">
        <v>80.80452411438327</v>
      </c>
      <c r="K530" s="84">
        <v>19818.151301749895</v>
      </c>
      <c r="L530" s="84">
        <v>18573.57</v>
      </c>
      <c r="M530" s="84">
        <v>4.6100000000000003</v>
      </c>
      <c r="N530" s="805">
        <v>116.42</v>
      </c>
      <c r="O530" s="941">
        <v>7262.16</v>
      </c>
      <c r="P530" s="941">
        <v>2244.2482927870251</v>
      </c>
      <c r="Q530" s="941">
        <v>2269.2975885616729</v>
      </c>
      <c r="R530" s="805">
        <v>28.25</v>
      </c>
      <c r="S530" s="805">
        <v>1031.5004990019961</v>
      </c>
      <c r="T530" s="805">
        <v>1120.1194675540764</v>
      </c>
      <c r="U530" s="805">
        <v>32593</v>
      </c>
      <c r="V530" s="805">
        <v>6852.8236203124534</v>
      </c>
      <c r="W530" s="805"/>
      <c r="X530" s="5">
        <v>0.93720000000000003</v>
      </c>
      <c r="AJ530" s="1156" t="s">
        <v>2</v>
      </c>
      <c r="AK530" s="817">
        <v>2007</v>
      </c>
      <c r="AL530" s="817" t="s">
        <v>45</v>
      </c>
      <c r="AM530" s="817"/>
      <c r="AN530" s="1115">
        <v>148124909.64669728</v>
      </c>
      <c r="AO530" s="1367">
        <v>9.0916444240320016E-3</v>
      </c>
      <c r="AP530" s="817"/>
      <c r="AQ530" s="1163" t="s">
        <v>1</v>
      </c>
      <c r="AR530" s="1163" t="s">
        <v>610</v>
      </c>
      <c r="AS530" s="1163" t="s">
        <v>643</v>
      </c>
      <c r="AT530" s="1163">
        <v>9</v>
      </c>
      <c r="AU530" s="1164">
        <v>19093000</v>
      </c>
      <c r="AV530" s="1121">
        <v>1.3978611764905711E-3</v>
      </c>
      <c r="AW530" s="817">
        <v>2009</v>
      </c>
    </row>
    <row r="531" spans="1:49">
      <c r="A531" s="798">
        <f t="shared" si="17"/>
        <v>2014</v>
      </c>
      <c r="B531" s="798">
        <f t="shared" si="18"/>
        <v>3</v>
      </c>
      <c r="C531" s="1105">
        <v>41821</v>
      </c>
      <c r="D531" s="934">
        <v>309.71202756029743</v>
      </c>
      <c r="E531" s="1100">
        <v>1407.7</v>
      </c>
      <c r="F531" s="1100">
        <v>1310.97</v>
      </c>
      <c r="G531" s="1101">
        <v>96.08</v>
      </c>
      <c r="H531" s="935">
        <v>102.33251677494941</v>
      </c>
      <c r="I531" s="1101">
        <v>80.349999999999994</v>
      </c>
      <c r="J531" s="1101">
        <v>85.578868889125573</v>
      </c>
      <c r="K531" s="936">
        <v>20290.163808712325</v>
      </c>
      <c r="L531" s="936">
        <v>19050.43</v>
      </c>
      <c r="M531" s="936">
        <v>4.59</v>
      </c>
      <c r="N531" s="937">
        <v>110.75</v>
      </c>
      <c r="O531" s="938">
        <v>7566.83</v>
      </c>
      <c r="P531" s="938">
        <v>2331.7295771647678</v>
      </c>
      <c r="Q531" s="938">
        <v>2461.4141016082649</v>
      </c>
      <c r="R531" s="939">
        <v>28.5</v>
      </c>
      <c r="S531" s="940">
        <v>1012.0029027576197</v>
      </c>
      <c r="T531" s="940">
        <v>1131.4202815282965</v>
      </c>
      <c r="U531" s="1756">
        <v>34314</v>
      </c>
      <c r="V531" s="1323">
        <v>6869.5832029730354</v>
      </c>
      <c r="W531" s="1323"/>
      <c r="X531" s="538">
        <v>0.93889999999999996</v>
      </c>
      <c r="AJ531" s="1156" t="s">
        <v>2</v>
      </c>
      <c r="AK531" s="874">
        <v>2007</v>
      </c>
      <c r="AL531" s="874" t="s">
        <v>452</v>
      </c>
      <c r="AM531" s="874"/>
      <c r="AN531" s="1116">
        <v>16292422221.788368</v>
      </c>
      <c r="AO531" s="1112"/>
      <c r="AP531" s="817"/>
      <c r="AQ531" s="1163" t="s">
        <v>1</v>
      </c>
      <c r="AR531" s="1163" t="s">
        <v>610</v>
      </c>
      <c r="AS531" s="1163" t="s">
        <v>433</v>
      </c>
      <c r="AT531" s="1163">
        <v>10</v>
      </c>
      <c r="AU531" s="1164">
        <v>14166000</v>
      </c>
      <c r="AV531" s="1121">
        <v>1.0371393403951937E-3</v>
      </c>
      <c r="AW531" s="817">
        <v>2009</v>
      </c>
    </row>
    <row r="532" spans="1:49">
      <c r="A532" s="798">
        <f t="shared" si="17"/>
        <v>2014</v>
      </c>
      <c r="B532" s="798">
        <f t="shared" si="18"/>
        <v>3</v>
      </c>
      <c r="C532" s="1105">
        <v>41852</v>
      </c>
      <c r="D532" s="805">
        <v>311.37801870682131</v>
      </c>
      <c r="E532" s="1102">
        <v>1400.55</v>
      </c>
      <c r="F532" s="1102">
        <v>1295.99</v>
      </c>
      <c r="G532" s="1103">
        <v>92.46</v>
      </c>
      <c r="H532" s="805">
        <v>99.323235578472449</v>
      </c>
      <c r="I532" s="1103">
        <v>79.72</v>
      </c>
      <c r="J532" s="1103">
        <v>85.63755505424858</v>
      </c>
      <c r="K532" s="84">
        <v>19954.613814588036</v>
      </c>
      <c r="L532" s="84">
        <v>18575.75</v>
      </c>
      <c r="M532" s="84">
        <v>4.59</v>
      </c>
      <c r="N532" s="805">
        <v>106.03</v>
      </c>
      <c r="O532" s="941">
        <v>7520.2</v>
      </c>
      <c r="P532" s="941">
        <v>2402.5942636158557</v>
      </c>
      <c r="Q532" s="941">
        <v>2502.1216027500268</v>
      </c>
      <c r="R532" s="805">
        <v>31</v>
      </c>
      <c r="S532" s="805">
        <v>984.06924577373206</v>
      </c>
      <c r="T532" s="805">
        <v>1133.8695235049568</v>
      </c>
      <c r="U532" s="805">
        <v>35211</v>
      </c>
      <c r="V532" s="805">
        <v>6986.0575755935088</v>
      </c>
      <c r="W532" s="805"/>
      <c r="X532" s="5">
        <v>0.93089999999999995</v>
      </c>
      <c r="AJ532" s="1156" t="s">
        <v>4</v>
      </c>
      <c r="AK532" s="874">
        <v>2015</v>
      </c>
      <c r="AL532" s="874" t="s">
        <v>29</v>
      </c>
      <c r="AM532" s="874">
        <v>1</v>
      </c>
      <c r="AN532" s="1114">
        <v>9930926886.8600082</v>
      </c>
      <c r="AO532" s="1112">
        <v>0.60402763945807469</v>
      </c>
      <c r="AP532" s="817"/>
      <c r="AQ532" s="1163" t="s">
        <v>1</v>
      </c>
      <c r="AR532" s="1163" t="s">
        <v>610</v>
      </c>
      <c r="AS532" s="1163" t="s">
        <v>45</v>
      </c>
      <c r="AT532" s="1163"/>
      <c r="AU532" s="1164">
        <v>24702000</v>
      </c>
      <c r="AV532" s="1121">
        <v>1.808514470312161E-3</v>
      </c>
      <c r="AW532" s="817">
        <v>2009</v>
      </c>
    </row>
    <row r="533" spans="1:49">
      <c r="A533" s="798">
        <f t="shared" si="17"/>
        <v>2014</v>
      </c>
      <c r="B533" s="798">
        <f t="shared" si="18"/>
        <v>3</v>
      </c>
      <c r="C533" s="1105">
        <v>41883</v>
      </c>
      <c r="D533" s="934">
        <v>333.70010707708559</v>
      </c>
      <c r="E533" s="1100">
        <v>1376.33</v>
      </c>
      <c r="F533" s="1100">
        <v>1238.82</v>
      </c>
      <c r="G533" s="1101">
        <v>81.48</v>
      </c>
      <c r="H533" s="935">
        <v>90.043098684937561</v>
      </c>
      <c r="I533" s="1101">
        <v>72.28</v>
      </c>
      <c r="J533" s="1101">
        <v>79.876229417615207</v>
      </c>
      <c r="K533" s="936">
        <v>19979.35484583932</v>
      </c>
      <c r="L533" s="936">
        <v>18079.32</v>
      </c>
      <c r="M533" s="936">
        <v>4.59</v>
      </c>
      <c r="N533" s="937">
        <v>101.96</v>
      </c>
      <c r="O533" s="938">
        <v>7594.46</v>
      </c>
      <c r="P533" s="938">
        <v>2345.2867720190075</v>
      </c>
      <c r="Q533" s="938">
        <v>2535.1370317162118</v>
      </c>
      <c r="R533" s="939">
        <v>35.5</v>
      </c>
      <c r="S533" s="940">
        <v>1065.7444295900177</v>
      </c>
      <c r="T533" s="940">
        <v>1149.4872700515084</v>
      </c>
      <c r="U533" s="1756">
        <v>36270</v>
      </c>
      <c r="V533" s="1323">
        <v>7189.7010800074831</v>
      </c>
      <c r="W533" s="1323"/>
      <c r="X533" s="538">
        <v>0.90490000000000004</v>
      </c>
      <c r="AJ533" s="1156" t="s">
        <v>4</v>
      </c>
      <c r="AK533" s="874">
        <v>2015</v>
      </c>
      <c r="AL533" s="874" t="s">
        <v>24</v>
      </c>
      <c r="AM533" s="874">
        <v>2</v>
      </c>
      <c r="AN533" s="1114">
        <v>1935234431.1799996</v>
      </c>
      <c r="AO533" s="1112">
        <v>0.1177065442713417</v>
      </c>
      <c r="AP533" s="817"/>
      <c r="AQ533" s="1163" t="s">
        <v>1</v>
      </c>
      <c r="AR533" s="1163" t="s">
        <v>610</v>
      </c>
      <c r="AS533" s="1163" t="s">
        <v>452</v>
      </c>
      <c r="AT533" s="1163"/>
      <c r="AU533" s="1164">
        <v>13658724000</v>
      </c>
      <c r="AV533" s="1121">
        <v>1</v>
      </c>
      <c r="AW533" s="817">
        <v>2009</v>
      </c>
    </row>
    <row r="534" spans="1:49">
      <c r="A534" s="798">
        <f t="shared" si="17"/>
        <v>2014</v>
      </c>
      <c r="B534" s="798">
        <f t="shared" si="18"/>
        <v>4</v>
      </c>
      <c r="C534" s="1105">
        <v>41913</v>
      </c>
      <c r="D534" s="805">
        <v>352.49245488090844</v>
      </c>
      <c r="E534" s="1102">
        <v>1405.95</v>
      </c>
      <c r="F534" s="1102">
        <v>1222.49</v>
      </c>
      <c r="G534" s="1103">
        <v>79.540000000000006</v>
      </c>
      <c r="H534" s="805">
        <v>90.61289587605377</v>
      </c>
      <c r="I534" s="1103">
        <v>71.42</v>
      </c>
      <c r="J534" s="1103">
        <v>81.362497151970842</v>
      </c>
      <c r="K534" s="84">
        <v>17965.863294600138</v>
      </c>
      <c r="L534" s="84">
        <v>15770.43</v>
      </c>
      <c r="M534" s="84">
        <v>4.57</v>
      </c>
      <c r="N534" s="805">
        <v>90.95</v>
      </c>
      <c r="O534" s="941">
        <v>7677.37</v>
      </c>
      <c r="P534" s="941">
        <v>2321.8124857598541</v>
      </c>
      <c r="Q534" s="941">
        <v>2589.0814536340854</v>
      </c>
      <c r="R534" s="805">
        <v>36.5</v>
      </c>
      <c r="S534" s="805">
        <v>1075.0982922201138</v>
      </c>
      <c r="T534" s="805">
        <v>1140.247400241838</v>
      </c>
      <c r="U534" s="805">
        <v>36281</v>
      </c>
      <c r="V534" s="805">
        <v>7528.9095802646843</v>
      </c>
      <c r="W534" s="805"/>
      <c r="X534" s="5">
        <v>0.87780000000000002</v>
      </c>
      <c r="AJ534" s="1156" t="s">
        <v>4</v>
      </c>
      <c r="AK534" s="874">
        <v>2015</v>
      </c>
      <c r="AL534" s="874" t="s">
        <v>30</v>
      </c>
      <c r="AM534" s="874">
        <v>3</v>
      </c>
      <c r="AN534" s="1114">
        <v>1577110724.3700001</v>
      </c>
      <c r="AO534" s="1112">
        <v>9.5924426678205804E-2</v>
      </c>
      <c r="AP534" s="817"/>
      <c r="AQ534" s="1165" t="s">
        <v>1</v>
      </c>
      <c r="AR534" s="1165" t="s">
        <v>611</v>
      </c>
      <c r="AS534" s="1165" t="s">
        <v>27</v>
      </c>
      <c r="AT534" s="1165">
        <v>1</v>
      </c>
      <c r="AU534" s="1166">
        <v>4236100000</v>
      </c>
      <c r="AV534" s="1121">
        <v>0.31617653370174942</v>
      </c>
      <c r="AW534" s="817">
        <v>2010</v>
      </c>
    </row>
    <row r="535" spans="1:49">
      <c r="A535" s="798">
        <f t="shared" si="17"/>
        <v>2014</v>
      </c>
      <c r="B535" s="798">
        <f t="shared" si="18"/>
        <v>4</v>
      </c>
      <c r="C535" s="1105">
        <v>41944</v>
      </c>
      <c r="D535" s="934">
        <v>356.63515887773798</v>
      </c>
      <c r="E535" s="1100">
        <v>1371.16</v>
      </c>
      <c r="F535" s="1100">
        <v>1176.3</v>
      </c>
      <c r="G535" s="1101">
        <v>72.650000000000006</v>
      </c>
      <c r="H535" s="935">
        <v>84.085648148148152</v>
      </c>
      <c r="I535" s="1101">
        <v>66</v>
      </c>
      <c r="J535" s="1101">
        <v>76.388888888888886</v>
      </c>
      <c r="K535" s="936">
        <v>18178.530092592591</v>
      </c>
      <c r="L535" s="936">
        <v>15706.25</v>
      </c>
      <c r="M535" s="936">
        <v>4.57</v>
      </c>
      <c r="N535" s="937">
        <v>82.27</v>
      </c>
      <c r="O535" s="938">
        <v>7755.93</v>
      </c>
      <c r="P535" s="938">
        <v>2342.2743055555557</v>
      </c>
      <c r="Q535" s="938">
        <v>2615.0752314814818</v>
      </c>
      <c r="R535" s="939">
        <v>39</v>
      </c>
      <c r="S535" s="940">
        <v>1144.1079759217457</v>
      </c>
      <c r="T535" s="940">
        <v>1628.719519768164</v>
      </c>
      <c r="U535" s="1756">
        <v>36279</v>
      </c>
      <c r="V535" s="1323">
        <v>7690.2097750314006</v>
      </c>
      <c r="W535" s="1323"/>
      <c r="X535" s="538">
        <v>0.86399999999999999</v>
      </c>
      <c r="AJ535" s="1156" t="s">
        <v>4</v>
      </c>
      <c r="AK535" s="874">
        <v>2015</v>
      </c>
      <c r="AL535" s="874" t="s">
        <v>70</v>
      </c>
      <c r="AM535" s="874">
        <v>4</v>
      </c>
      <c r="AN535" s="1114">
        <v>1005907508.1399997</v>
      </c>
      <c r="AO535" s="1112">
        <v>6.1182198255722908E-2</v>
      </c>
      <c r="AP535" s="817"/>
      <c r="AQ535" s="1165" t="s">
        <v>1</v>
      </c>
      <c r="AR535" s="1165" t="s">
        <v>611</v>
      </c>
      <c r="AS535" s="1165" t="s">
        <v>72</v>
      </c>
      <c r="AT535" s="1165">
        <v>2</v>
      </c>
      <c r="AU535" s="1166">
        <v>3500872000</v>
      </c>
      <c r="AV535" s="1121">
        <v>0.26130015200148976</v>
      </c>
      <c r="AW535" s="817">
        <v>2010</v>
      </c>
    </row>
    <row r="536" spans="1:49">
      <c r="A536" s="798">
        <f t="shared" si="17"/>
        <v>2014</v>
      </c>
      <c r="B536" s="798">
        <f t="shared" si="18"/>
        <v>4</v>
      </c>
      <c r="C536" s="1105">
        <v>41974</v>
      </c>
      <c r="D536" s="805">
        <v>386.64275173053409</v>
      </c>
      <c r="E536" s="1102">
        <v>1463.16</v>
      </c>
      <c r="F536" s="1102">
        <v>1202.29</v>
      </c>
      <c r="G536" s="1103">
        <v>68.95</v>
      </c>
      <c r="H536" s="805">
        <v>83.738158853534131</v>
      </c>
      <c r="I536" s="1103">
        <v>61</v>
      </c>
      <c r="J536" s="1103">
        <v>74.083070196745197</v>
      </c>
      <c r="K536" s="84">
        <v>19332.73184357542</v>
      </c>
      <c r="L536" s="84">
        <v>15918.57</v>
      </c>
      <c r="M536" s="84">
        <v>4.57</v>
      </c>
      <c r="N536" s="805">
        <v>66.069999999999993</v>
      </c>
      <c r="O536" s="941">
        <v>7800.53</v>
      </c>
      <c r="P536" s="941">
        <v>2351.3422394947775</v>
      </c>
      <c r="Q536" s="941">
        <v>2637.4961136750062</v>
      </c>
      <c r="R536" s="805">
        <v>35.5</v>
      </c>
      <c r="S536" s="805">
        <v>1178.515601023018</v>
      </c>
      <c r="T536" s="805">
        <v>1342.2298809944621</v>
      </c>
      <c r="U536" s="805">
        <v>38255</v>
      </c>
      <c r="V536" s="805">
        <v>8167.5563631281011</v>
      </c>
      <c r="W536" s="805"/>
      <c r="X536" s="5">
        <v>0.82340000000000002</v>
      </c>
      <c r="AJ536" s="1156" t="s">
        <v>4</v>
      </c>
      <c r="AK536" s="874">
        <v>2015</v>
      </c>
      <c r="AL536" s="874" t="s">
        <v>39</v>
      </c>
      <c r="AM536" s="874">
        <v>5</v>
      </c>
      <c r="AN536" s="1114">
        <v>477307499.00999993</v>
      </c>
      <c r="AO536" s="1112">
        <v>2.9031219865702323E-2</v>
      </c>
      <c r="AP536" s="817"/>
      <c r="AQ536" s="1165" t="s">
        <v>1</v>
      </c>
      <c r="AR536" s="1165" t="s">
        <v>611</v>
      </c>
      <c r="AS536" s="1165" t="s">
        <v>39</v>
      </c>
      <c r="AT536" s="1165">
        <v>3</v>
      </c>
      <c r="AU536" s="1166">
        <v>2366506000</v>
      </c>
      <c r="AV536" s="1121">
        <v>0.17663267252057133</v>
      </c>
      <c r="AW536" s="817">
        <v>2010</v>
      </c>
    </row>
    <row r="537" spans="1:49">
      <c r="A537" s="798">
        <f t="shared" si="17"/>
        <v>2015</v>
      </c>
      <c r="B537" s="798">
        <f t="shared" si="18"/>
        <v>1</v>
      </c>
      <c r="C537" s="1105">
        <v>42005</v>
      </c>
      <c r="D537" s="934">
        <v>383.82277233443335</v>
      </c>
      <c r="E537" s="1100">
        <v>1559.8</v>
      </c>
      <c r="F537" s="1100">
        <v>1251.8499999999999</v>
      </c>
      <c r="G537" s="1101">
        <v>66.55</v>
      </c>
      <c r="H537" s="935">
        <v>82.568238213399496</v>
      </c>
      <c r="I537" s="1101">
        <v>58.93</v>
      </c>
      <c r="J537" s="1101">
        <v>73.114143920595524</v>
      </c>
      <c r="K537" s="936">
        <v>18326.243672456574</v>
      </c>
      <c r="L537" s="936">
        <v>14770.95</v>
      </c>
      <c r="M537" s="936">
        <v>4.76</v>
      </c>
      <c r="N537" s="937">
        <v>50.28</v>
      </c>
      <c r="O537" s="938">
        <v>7215.67</v>
      </c>
      <c r="P537" s="938">
        <v>2269.4375930521092</v>
      </c>
      <c r="Q537" s="938">
        <v>2618.6636476426797</v>
      </c>
      <c r="R537" s="939">
        <v>36.75</v>
      </c>
      <c r="S537" s="940">
        <v>1277.9656777196044</v>
      </c>
      <c r="T537" s="940">
        <v>1395.1450248030346</v>
      </c>
      <c r="U537" s="1756">
        <v>38602</v>
      </c>
      <c r="V537" s="1323">
        <v>8666.4215691145291</v>
      </c>
      <c r="W537" s="1323"/>
      <c r="X537" s="538">
        <v>0.80600000000000005</v>
      </c>
      <c r="AJ537" s="1156" t="s">
        <v>4</v>
      </c>
      <c r="AK537" s="874">
        <v>2015</v>
      </c>
      <c r="AL537" s="874" t="s">
        <v>31</v>
      </c>
      <c r="AM537" s="874">
        <v>6</v>
      </c>
      <c r="AN537" s="1114">
        <v>420501760.13</v>
      </c>
      <c r="AO537" s="1112">
        <v>2.5576130853944723E-2</v>
      </c>
      <c r="AP537" s="817"/>
      <c r="AQ537" s="1167" t="s">
        <v>1</v>
      </c>
      <c r="AR537" s="1167" t="s">
        <v>611</v>
      </c>
      <c r="AS537" s="1167" t="s">
        <v>70</v>
      </c>
      <c r="AT537" s="1167">
        <v>4</v>
      </c>
      <c r="AU537" s="1168">
        <v>1118250000</v>
      </c>
      <c r="AV537" s="1169">
        <v>8.3464603954576444E-2</v>
      </c>
      <c r="AW537" s="874">
        <v>2010</v>
      </c>
    </row>
    <row r="538" spans="1:49">
      <c r="A538" s="798">
        <f t="shared" si="17"/>
        <v>2015</v>
      </c>
      <c r="B538" s="798">
        <f t="shared" si="18"/>
        <v>1</v>
      </c>
      <c r="C538" s="1105">
        <v>42036</v>
      </c>
      <c r="D538" s="805">
        <v>393.46429046678821</v>
      </c>
      <c r="E538" s="1102">
        <v>1590.3</v>
      </c>
      <c r="F538" s="1102">
        <v>1227.19</v>
      </c>
      <c r="G538" s="1103">
        <v>61.43</v>
      </c>
      <c r="H538" s="805">
        <v>78.82715257282176</v>
      </c>
      <c r="I538" s="1103">
        <v>53.16</v>
      </c>
      <c r="J538" s="1103">
        <v>68.215064801745157</v>
      </c>
      <c r="K538" s="84">
        <v>18650.712177595276</v>
      </c>
      <c r="L538" s="84">
        <v>14534.5</v>
      </c>
      <c r="M538" s="84">
        <v>4.76</v>
      </c>
      <c r="N538" s="805">
        <v>59.79</v>
      </c>
      <c r="O538" s="941">
        <v>7316.92</v>
      </c>
      <c r="P538" s="941">
        <v>2315.7641473116901</v>
      </c>
      <c r="Q538" s="941">
        <v>2698.7360451687414</v>
      </c>
      <c r="R538" s="805">
        <v>38.75</v>
      </c>
      <c r="S538" s="805">
        <v>1163.6295143212951</v>
      </c>
      <c r="T538" s="805">
        <v>1346.460918614021</v>
      </c>
      <c r="U538" s="805">
        <v>37397</v>
      </c>
      <c r="V538" s="805">
        <v>9136.7233656814387</v>
      </c>
      <c r="W538" s="805"/>
      <c r="X538" s="5">
        <v>0.77929999999999999</v>
      </c>
      <c r="AJ538" s="1156" t="s">
        <v>4</v>
      </c>
      <c r="AK538" s="874">
        <v>2015</v>
      </c>
      <c r="AL538" s="874" t="s">
        <v>27</v>
      </c>
      <c r="AM538" s="874">
        <v>7</v>
      </c>
      <c r="AN538" s="1114">
        <v>313327772.19999999</v>
      </c>
      <c r="AO538" s="1112">
        <v>1.9057499544079693E-2</v>
      </c>
      <c r="AP538" s="817"/>
      <c r="AQ538" s="1167" t="s">
        <v>1</v>
      </c>
      <c r="AR538" s="1167" t="s">
        <v>611</v>
      </c>
      <c r="AS538" s="1167" t="s">
        <v>24</v>
      </c>
      <c r="AT538" s="1167">
        <v>5</v>
      </c>
      <c r="AU538" s="1168">
        <v>632410000</v>
      </c>
      <c r="AV538" s="1169">
        <v>4.7202191090466077E-2</v>
      </c>
      <c r="AW538" s="874">
        <v>2010</v>
      </c>
    </row>
    <row r="539" spans="1:49">
      <c r="A539" s="798">
        <f t="shared" si="17"/>
        <v>2015</v>
      </c>
      <c r="B539" s="798">
        <f t="shared" si="18"/>
        <v>1</v>
      </c>
      <c r="C539" s="1105">
        <v>42064</v>
      </c>
      <c r="D539" s="934">
        <v>390.05408420727417</v>
      </c>
      <c r="E539" s="1100">
        <v>1536.21</v>
      </c>
      <c r="F539" s="1100">
        <v>1178.6300000000001</v>
      </c>
      <c r="G539" s="1101">
        <v>56.38</v>
      </c>
      <c r="H539" s="935">
        <v>72.9366106080207</v>
      </c>
      <c r="I539" s="1101">
        <v>48.32</v>
      </c>
      <c r="J539" s="1101">
        <v>62.509702457956017</v>
      </c>
      <c r="K539" s="936">
        <v>17782.253298835705</v>
      </c>
      <c r="L539" s="936">
        <v>13745.68</v>
      </c>
      <c r="M539" s="936">
        <v>4.76</v>
      </c>
      <c r="N539" s="937">
        <v>58.28</v>
      </c>
      <c r="O539" s="938">
        <v>7666.03</v>
      </c>
      <c r="P539" s="938">
        <v>2309.1556274256145</v>
      </c>
      <c r="Q539" s="938">
        <v>2624.8971539456661</v>
      </c>
      <c r="R539" s="939">
        <v>39.5</v>
      </c>
      <c r="S539" s="940">
        <v>1128.3213389121338</v>
      </c>
      <c r="T539" s="940">
        <v>1402.6031116050167</v>
      </c>
      <c r="U539" s="1756">
        <v>35814</v>
      </c>
      <c r="V539" s="1323">
        <v>9158.6398854981599</v>
      </c>
      <c r="W539" s="1323"/>
      <c r="X539" s="538">
        <v>0.77300000000000002</v>
      </c>
      <c r="AJ539" s="1156" t="s">
        <v>4</v>
      </c>
      <c r="AK539" s="874">
        <v>2015</v>
      </c>
      <c r="AL539" s="874" t="s">
        <v>41</v>
      </c>
      <c r="AM539" s="874">
        <v>8</v>
      </c>
      <c r="AN539" s="1114">
        <v>217503493.50999999</v>
      </c>
      <c r="AO539" s="1112">
        <v>1.3229190311788663E-2</v>
      </c>
      <c r="AP539" s="817"/>
      <c r="AQ539" s="1167" t="s">
        <v>1</v>
      </c>
      <c r="AR539" s="1167" t="s">
        <v>611</v>
      </c>
      <c r="AS539" s="1167" t="s">
        <v>430</v>
      </c>
      <c r="AT539" s="1167">
        <v>6</v>
      </c>
      <c r="AU539" s="1168">
        <v>629150000</v>
      </c>
      <c r="AV539" s="1169">
        <v>4.6958869285063064E-2</v>
      </c>
      <c r="AW539" s="874">
        <v>2010</v>
      </c>
    </row>
    <row r="540" spans="1:49">
      <c r="A540" s="798">
        <f t="shared" si="17"/>
        <v>2015</v>
      </c>
      <c r="B540" s="798">
        <f t="shared" si="18"/>
        <v>2</v>
      </c>
      <c r="C540" s="1105">
        <v>42095</v>
      </c>
      <c r="D540" s="805">
        <v>392.96639490980482</v>
      </c>
      <c r="E540" s="1102">
        <v>1565.5</v>
      </c>
      <c r="F540" s="1102">
        <v>1197.9100000000001</v>
      </c>
      <c r="G540" s="1103">
        <v>48.78</v>
      </c>
      <c r="H540" s="805">
        <v>63.063994828700714</v>
      </c>
      <c r="I540" s="1103">
        <v>42.41</v>
      </c>
      <c r="J540" s="1103">
        <v>54.828700711053649</v>
      </c>
      <c r="K540" s="84">
        <v>16525.856496444732</v>
      </c>
      <c r="L540" s="84">
        <v>12782.75</v>
      </c>
      <c r="M540" s="84">
        <v>4.42</v>
      </c>
      <c r="N540" s="805">
        <v>61.74</v>
      </c>
      <c r="O540" s="941">
        <v>7793.76</v>
      </c>
      <c r="P540" s="941">
        <v>2585.3910795087268</v>
      </c>
      <c r="Q540" s="941">
        <v>2853.1351001939238</v>
      </c>
      <c r="R540" s="805">
        <v>38.25</v>
      </c>
      <c r="S540" s="805">
        <v>1346.336236391913</v>
      </c>
      <c r="T540" s="805">
        <v>1334.3865791393143</v>
      </c>
      <c r="U540" s="805">
        <v>37220</v>
      </c>
      <c r="V540" s="805">
        <v>9424.7514284077351</v>
      </c>
      <c r="W540" s="805"/>
      <c r="X540" s="5">
        <v>0.77349999999999997</v>
      </c>
      <c r="AJ540" s="1156" t="s">
        <v>4</v>
      </c>
      <c r="AK540" s="874">
        <v>2015</v>
      </c>
      <c r="AL540" s="874" t="s">
        <v>28</v>
      </c>
      <c r="AM540" s="874">
        <v>9</v>
      </c>
      <c r="AN540" s="1114">
        <v>144891564.75</v>
      </c>
      <c r="AO540" s="1112">
        <v>8.8127232060411596E-3</v>
      </c>
      <c r="AP540" s="817"/>
      <c r="AQ540" s="1167" t="s">
        <v>1</v>
      </c>
      <c r="AR540" s="1167" t="s">
        <v>611</v>
      </c>
      <c r="AS540" s="1167" t="s">
        <v>431</v>
      </c>
      <c r="AT540" s="1167">
        <v>7</v>
      </c>
      <c r="AU540" s="1168">
        <v>461246000</v>
      </c>
      <c r="AV540" s="1169">
        <v>3.4426751366539297E-2</v>
      </c>
      <c r="AW540" s="874">
        <v>2010</v>
      </c>
    </row>
    <row r="541" spans="1:49">
      <c r="A541" s="798">
        <f t="shared" si="17"/>
        <v>2015</v>
      </c>
      <c r="B541" s="798">
        <f t="shared" si="18"/>
        <v>2</v>
      </c>
      <c r="C541" s="1105">
        <v>42125</v>
      </c>
      <c r="D541" s="934">
        <v>389.31352295370897</v>
      </c>
      <c r="E541" s="1100">
        <v>1529.37</v>
      </c>
      <c r="F541" s="1100">
        <v>1199.05</v>
      </c>
      <c r="G541" s="1101">
        <v>58.41</v>
      </c>
      <c r="H541" s="935">
        <v>74.067968551864055</v>
      </c>
      <c r="I541" s="1101">
        <v>52.11</v>
      </c>
      <c r="J541" s="1101">
        <v>66.079127567841752</v>
      </c>
      <c r="K541" s="936">
        <v>17130.290895257418</v>
      </c>
      <c r="L541" s="936">
        <v>13508.95</v>
      </c>
      <c r="M541" s="936">
        <v>4.42</v>
      </c>
      <c r="N541" s="937">
        <v>67.25</v>
      </c>
      <c r="O541" s="938">
        <v>7989.61</v>
      </c>
      <c r="P541" s="938">
        <v>2541.012046664976</v>
      </c>
      <c r="Q541" s="938">
        <v>2903.4131372051738</v>
      </c>
      <c r="R541" s="939">
        <v>35.25</v>
      </c>
      <c r="S541" s="940">
        <v>1387.7336585365854</v>
      </c>
      <c r="T541" s="940">
        <v>1317.8331099195711</v>
      </c>
      <c r="U541" s="1756">
        <v>38372</v>
      </c>
      <c r="V541" s="1323">
        <v>9311.4038836611144</v>
      </c>
      <c r="W541" s="1323"/>
      <c r="X541" s="538">
        <v>0.78859999999999997</v>
      </c>
      <c r="AJ541" s="1156" t="s">
        <v>4</v>
      </c>
      <c r="AK541" s="874">
        <v>2015</v>
      </c>
      <c r="AL541" s="874" t="s">
        <v>433</v>
      </c>
      <c r="AM541" s="874">
        <v>10</v>
      </c>
      <c r="AN541" s="1114">
        <v>135237903.69</v>
      </c>
      <c r="AO541" s="1112">
        <v>8.225559674516679E-3</v>
      </c>
      <c r="AP541" s="817"/>
      <c r="AQ541" s="1167" t="s">
        <v>1</v>
      </c>
      <c r="AR541" s="1167" t="s">
        <v>611</v>
      </c>
      <c r="AS541" s="1167" t="s">
        <v>434</v>
      </c>
      <c r="AT541" s="1167">
        <v>8</v>
      </c>
      <c r="AU541" s="1168">
        <v>165032000</v>
      </c>
      <c r="AV541" s="1169">
        <v>1.231775588627915E-2</v>
      </c>
      <c r="AW541" s="874">
        <v>2010</v>
      </c>
    </row>
    <row r="542" spans="1:49">
      <c r="A542" s="798">
        <f t="shared" si="17"/>
        <v>2015</v>
      </c>
      <c r="B542" s="798">
        <f t="shared" si="18"/>
        <v>2</v>
      </c>
      <c r="C542" s="1105">
        <v>42156</v>
      </c>
      <c r="D542" s="805">
        <v>393.72257846685386</v>
      </c>
      <c r="E542" s="1102">
        <v>1544.61</v>
      </c>
      <c r="F542" s="1102">
        <v>1181.5</v>
      </c>
      <c r="G542" s="1103">
        <v>61.3</v>
      </c>
      <c r="H542" s="805">
        <v>79.373300530881778</v>
      </c>
      <c r="I542" s="1103">
        <v>55.76</v>
      </c>
      <c r="J542" s="1103">
        <v>72.199922309983165</v>
      </c>
      <c r="K542" s="84">
        <v>16547.679269713841</v>
      </c>
      <c r="L542" s="84">
        <v>12779.77</v>
      </c>
      <c r="M542" s="84">
        <v>4.42</v>
      </c>
      <c r="N542" s="805">
        <v>64.989999999999995</v>
      </c>
      <c r="O542" s="941">
        <v>7553.56</v>
      </c>
      <c r="P542" s="941">
        <v>2377.7559238637837</v>
      </c>
      <c r="Q542" s="941">
        <v>2702.9062540463547</v>
      </c>
      <c r="R542" s="805">
        <v>36.5</v>
      </c>
      <c r="S542" s="805">
        <v>1328.751592356688</v>
      </c>
      <c r="T542" s="805">
        <v>1362.0528018826299</v>
      </c>
      <c r="U542" s="805">
        <v>39702</v>
      </c>
      <c r="V542" s="805">
        <v>9572.1107324875557</v>
      </c>
      <c r="W542" s="805"/>
      <c r="X542" s="5">
        <v>0.77229999999999999</v>
      </c>
      <c r="AJ542" s="1156" t="s">
        <v>4</v>
      </c>
      <c r="AK542" s="874">
        <v>2015</v>
      </c>
      <c r="AL542" s="874" t="s">
        <v>45</v>
      </c>
      <c r="AM542" s="874"/>
      <c r="AN542" s="1114">
        <v>283230028.28999901</v>
      </c>
      <c r="AO542" s="1112">
        <v>1.7226867880581493E-2</v>
      </c>
      <c r="AP542" s="874"/>
      <c r="AQ542" s="1167" t="s">
        <v>1</v>
      </c>
      <c r="AR542" s="1167" t="s">
        <v>611</v>
      </c>
      <c r="AS542" s="1167" t="s">
        <v>643</v>
      </c>
      <c r="AT542" s="1167">
        <v>9</v>
      </c>
      <c r="AU542" s="1168">
        <v>145995000</v>
      </c>
      <c r="AV542" s="1169">
        <v>1.0896861036752414E-2</v>
      </c>
      <c r="AW542" s="874">
        <v>2010</v>
      </c>
    </row>
    <row r="543" spans="1:49">
      <c r="A543" s="798">
        <f t="shared" si="17"/>
        <v>2015</v>
      </c>
      <c r="B543" s="798">
        <f t="shared" si="18"/>
        <v>3</v>
      </c>
      <c r="C543" s="1105">
        <v>42186</v>
      </c>
      <c r="D543" s="934">
        <v>402.10670604668087</v>
      </c>
      <c r="E543" s="1100">
        <v>1539.17</v>
      </c>
      <c r="F543" s="1100">
        <v>1130.04</v>
      </c>
      <c r="G543" s="1101">
        <v>51.08</v>
      </c>
      <c r="H543" s="935">
        <v>68.943177216898363</v>
      </c>
      <c r="I543" s="1101">
        <v>46.39</v>
      </c>
      <c r="J543" s="1101">
        <v>62.613038196787691</v>
      </c>
      <c r="K543" s="936">
        <v>15367.619921716831</v>
      </c>
      <c r="L543" s="936">
        <v>11385.87</v>
      </c>
      <c r="M543" s="936">
        <v>4.43</v>
      </c>
      <c r="N543" s="937">
        <v>58.7</v>
      </c>
      <c r="O543" s="938">
        <v>7365.25</v>
      </c>
      <c r="P543" s="938">
        <v>2378.6581185045216</v>
      </c>
      <c r="Q543" s="938">
        <v>2702.2070454852205</v>
      </c>
      <c r="R543" s="939">
        <v>36</v>
      </c>
      <c r="S543" s="940">
        <v>1212.897901659881</v>
      </c>
      <c r="T543" s="940">
        <v>1386.1667881881151</v>
      </c>
      <c r="U543" s="1756">
        <v>42525</v>
      </c>
      <c r="V543" s="1323">
        <v>9884.1012844521374</v>
      </c>
      <c r="W543" s="1323"/>
      <c r="X543" s="538">
        <v>0.7409</v>
      </c>
      <c r="AJ543" s="1156" t="s">
        <v>4</v>
      </c>
      <c r="AK543" s="874">
        <v>2015</v>
      </c>
      <c r="AL543" s="874" t="s">
        <v>452</v>
      </c>
      <c r="AM543" s="874"/>
      <c r="AN543" s="1114">
        <v>16441179572.130009</v>
      </c>
      <c r="AO543" s="1112"/>
      <c r="AP543" s="874"/>
      <c r="AQ543" s="1167" t="s">
        <v>1</v>
      </c>
      <c r="AR543" s="1167" t="s">
        <v>611</v>
      </c>
      <c r="AS543" s="1167" t="s">
        <v>67</v>
      </c>
      <c r="AT543" s="1167">
        <v>10</v>
      </c>
      <c r="AU543" s="1168">
        <v>46628000</v>
      </c>
      <c r="AV543" s="1169">
        <v>3.4802482031692293E-3</v>
      </c>
      <c r="AW543" s="874">
        <v>2010</v>
      </c>
    </row>
    <row r="544" spans="1:49">
      <c r="A544" s="798">
        <f t="shared" si="17"/>
        <v>2015</v>
      </c>
      <c r="B544" s="798">
        <f t="shared" si="18"/>
        <v>3</v>
      </c>
      <c r="C544" s="1105">
        <v>42217</v>
      </c>
      <c r="D544" s="805">
        <v>390.28992974721029</v>
      </c>
      <c r="E544" s="1102">
        <v>1542.91</v>
      </c>
      <c r="F544" s="1102">
        <v>1117.48</v>
      </c>
      <c r="G544" s="1103">
        <v>54.36</v>
      </c>
      <c r="H544" s="805">
        <v>74.506578947368411</v>
      </c>
      <c r="I544" s="1103">
        <v>49.56</v>
      </c>
      <c r="J544" s="1103">
        <v>67.92763157894737</v>
      </c>
      <c r="K544" s="84">
        <v>14175.233004385964</v>
      </c>
      <c r="L544" s="84">
        <v>10342.25</v>
      </c>
      <c r="M544" s="84">
        <v>4.43</v>
      </c>
      <c r="N544" s="805">
        <v>49.23</v>
      </c>
      <c r="O544" s="941">
        <v>6974.95</v>
      </c>
      <c r="P544" s="941">
        <v>2320.3125</v>
      </c>
      <c r="Q544" s="941">
        <v>2480.7086074561403</v>
      </c>
      <c r="R544" s="805">
        <v>36.5</v>
      </c>
      <c r="S544" s="805">
        <v>1325.607661056297</v>
      </c>
      <c r="T544" s="805">
        <v>1378.3134670487107</v>
      </c>
      <c r="U544" s="805">
        <v>40416</v>
      </c>
      <c r="V544" s="805">
        <v>9927.8484947926572</v>
      </c>
      <c r="W544" s="805"/>
      <c r="X544" s="5">
        <v>0.72960000000000003</v>
      </c>
      <c r="AJ544" s="1156" t="s">
        <v>4</v>
      </c>
      <c r="AK544" s="874">
        <v>2014</v>
      </c>
      <c r="AL544" s="874" t="s">
        <v>29</v>
      </c>
      <c r="AM544" s="874">
        <v>1</v>
      </c>
      <c r="AN544" s="1114">
        <v>14249329064.289991</v>
      </c>
      <c r="AO544" s="1112">
        <v>0.60918025592644531</v>
      </c>
      <c r="AP544" s="874"/>
      <c r="AQ544" s="1167" t="s">
        <v>1</v>
      </c>
      <c r="AR544" s="1167" t="s">
        <v>611</v>
      </c>
      <c r="AS544" s="1167" t="s">
        <v>45</v>
      </c>
      <c r="AT544" s="1167"/>
      <c r="AU544" s="1168">
        <v>95706000</v>
      </c>
      <c r="AV544" s="1169">
        <v>7.1433609533437898E-3</v>
      </c>
      <c r="AW544" s="874">
        <v>2010</v>
      </c>
    </row>
    <row r="545" spans="1:49">
      <c r="A545" s="798">
        <f t="shared" si="17"/>
        <v>2015</v>
      </c>
      <c r="B545" s="798">
        <f t="shared" si="18"/>
        <v>3</v>
      </c>
      <c r="C545" s="1105">
        <v>42248</v>
      </c>
      <c r="D545" s="934">
        <v>393.26748122441552</v>
      </c>
      <c r="E545" s="1100">
        <v>1605.71</v>
      </c>
      <c r="F545" s="1100">
        <v>1124.9000000000001</v>
      </c>
      <c r="G545" s="1101">
        <v>55.79</v>
      </c>
      <c r="H545" s="935">
        <v>79.078667611622961</v>
      </c>
      <c r="I545" s="1101">
        <v>51.41</v>
      </c>
      <c r="J545" s="1101">
        <v>72.870304748405374</v>
      </c>
      <c r="K545" s="936">
        <v>14030.345995747697</v>
      </c>
      <c r="L545" s="936">
        <v>9898.41</v>
      </c>
      <c r="M545" s="936">
        <v>4.43</v>
      </c>
      <c r="N545" s="937">
        <v>49.09</v>
      </c>
      <c r="O545" s="938">
        <v>7382.13</v>
      </c>
      <c r="P545" s="938">
        <v>2384.1892274982279</v>
      </c>
      <c r="Q545" s="938">
        <v>2436.4409638554216</v>
      </c>
      <c r="R545" s="939">
        <v>36.5</v>
      </c>
      <c r="S545" s="940">
        <v>1215.0913216108904</v>
      </c>
      <c r="T545" s="940">
        <v>1425.0652060511215</v>
      </c>
      <c r="U545" s="1756">
        <v>39740</v>
      </c>
      <c r="V545" s="1323">
        <v>10434.83218366616</v>
      </c>
      <c r="W545" s="1323"/>
      <c r="X545" s="538">
        <v>0.70550000000000002</v>
      </c>
      <c r="AJ545" s="1156" t="s">
        <v>4</v>
      </c>
      <c r="AK545" s="874">
        <v>2014</v>
      </c>
      <c r="AL545" s="874" t="s">
        <v>30</v>
      </c>
      <c r="AM545" s="874">
        <v>2</v>
      </c>
      <c r="AN545" s="1114">
        <v>2694653306.9300008</v>
      </c>
      <c r="AO545" s="1112">
        <v>0.11520048303624837</v>
      </c>
      <c r="AP545" s="874"/>
      <c r="AQ545" s="1167" t="s">
        <v>1</v>
      </c>
      <c r="AR545" s="1167" t="s">
        <v>611</v>
      </c>
      <c r="AS545" s="1167" t="s">
        <v>452</v>
      </c>
      <c r="AT545" s="1167"/>
      <c r="AU545" s="1168">
        <v>13397895000</v>
      </c>
      <c r="AV545" s="1169">
        <v>1</v>
      </c>
      <c r="AW545" s="874">
        <v>2010</v>
      </c>
    </row>
    <row r="546" spans="1:49">
      <c r="A546" s="798">
        <f t="shared" si="17"/>
        <v>2015</v>
      </c>
      <c r="B546" s="798">
        <f t="shared" si="18"/>
        <v>4</v>
      </c>
      <c r="C546" s="1105">
        <v>42278</v>
      </c>
      <c r="D546" s="805">
        <v>369.35891677987888</v>
      </c>
      <c r="E546" s="1102">
        <v>1618.18</v>
      </c>
      <c r="F546" s="1102">
        <v>1159.25</v>
      </c>
      <c r="G546" s="1103">
        <v>52.83</v>
      </c>
      <c r="H546" s="805">
        <v>73.313905079100749</v>
      </c>
      <c r="I546" s="1103">
        <v>48.2</v>
      </c>
      <c r="J546" s="1103">
        <v>66.888703857896203</v>
      </c>
      <c r="K546" s="84">
        <v>14354.830557868441</v>
      </c>
      <c r="L546" s="84">
        <v>10344.09</v>
      </c>
      <c r="M546" s="84">
        <v>4.58</v>
      </c>
      <c r="N546" s="805">
        <v>49</v>
      </c>
      <c r="O546" s="941">
        <v>7247.59</v>
      </c>
      <c r="P546" s="941">
        <v>2393.2392450735497</v>
      </c>
      <c r="Q546" s="941">
        <v>2398.0648071051901</v>
      </c>
      <c r="R546" s="805">
        <v>36.5</v>
      </c>
      <c r="S546" s="805">
        <v>1211.9656215621562</v>
      </c>
      <c r="T546" s="805">
        <v>1299.8665325285044</v>
      </c>
      <c r="U546" s="805">
        <v>38387</v>
      </c>
      <c r="V546" s="805">
        <v>10865.37131541973</v>
      </c>
      <c r="W546" s="805"/>
      <c r="X546" s="5">
        <v>0.72060000000000002</v>
      </c>
      <c r="AJ546" s="1156" t="s">
        <v>4</v>
      </c>
      <c r="AK546" s="874">
        <v>2014</v>
      </c>
      <c r="AL546" s="874" t="s">
        <v>24</v>
      </c>
      <c r="AM546" s="874">
        <v>3</v>
      </c>
      <c r="AN546" s="1114">
        <v>2539944083.0200009</v>
      </c>
      <c r="AO546" s="1112">
        <v>0.10858643095067592</v>
      </c>
      <c r="AP546" s="874"/>
      <c r="AQ546" s="1170" t="s">
        <v>1</v>
      </c>
      <c r="AR546" s="1170" t="s">
        <v>612</v>
      </c>
      <c r="AS546" s="1170" t="s">
        <v>72</v>
      </c>
      <c r="AT546" s="1170">
        <v>1</v>
      </c>
      <c r="AU546" s="1171">
        <v>4522565000</v>
      </c>
      <c r="AV546" s="1169">
        <v>0.28984679197566926</v>
      </c>
      <c r="AW546" s="874">
        <v>2011</v>
      </c>
    </row>
    <row r="547" spans="1:49">
      <c r="A547" s="798">
        <f t="shared" si="17"/>
        <v>2015</v>
      </c>
      <c r="B547" s="798">
        <f t="shared" si="18"/>
        <v>4</v>
      </c>
      <c r="C547" s="1105">
        <v>42309</v>
      </c>
      <c r="D547" s="934">
        <v>361.71097391158003</v>
      </c>
      <c r="E547" s="1100">
        <v>1536.07</v>
      </c>
      <c r="F547" s="1100">
        <v>1085.7</v>
      </c>
      <c r="G547" s="1101">
        <v>45.73</v>
      </c>
      <c r="H547" s="935">
        <v>63.958041958041953</v>
      </c>
      <c r="I547" s="1101">
        <v>42.04</v>
      </c>
      <c r="J547" s="1101">
        <v>58.7972027972028</v>
      </c>
      <c r="K547" s="936">
        <v>12912.087972027974</v>
      </c>
      <c r="L547" s="936">
        <v>9232.14</v>
      </c>
      <c r="M547" s="936">
        <v>4.58</v>
      </c>
      <c r="N547" s="937">
        <v>45.11</v>
      </c>
      <c r="O547" s="938">
        <v>6724.81</v>
      </c>
      <c r="P547" s="938">
        <v>2260.1065734265735</v>
      </c>
      <c r="Q547" s="938">
        <v>2212.9869930069931</v>
      </c>
      <c r="R547" s="939">
        <v>36</v>
      </c>
      <c r="S547" s="940">
        <v>1092.3896133093526</v>
      </c>
      <c r="T547" s="940">
        <v>1347.7326805837797</v>
      </c>
      <c r="U547" s="1756">
        <v>34622</v>
      </c>
      <c r="V547" s="1323">
        <v>12098.733812197988</v>
      </c>
      <c r="W547" s="1323"/>
      <c r="X547" s="538">
        <v>0.71499999999999997</v>
      </c>
      <c r="AJ547" s="1156" t="s">
        <v>4</v>
      </c>
      <c r="AK547" s="874">
        <v>2014</v>
      </c>
      <c r="AL547" s="874" t="s">
        <v>70</v>
      </c>
      <c r="AM547" s="874">
        <v>4</v>
      </c>
      <c r="AN547" s="1114">
        <v>1315565751.8300006</v>
      </c>
      <c r="AO547" s="1112">
        <v>5.6242415188254957E-2</v>
      </c>
      <c r="AP547" s="874"/>
      <c r="AQ547" s="1170" t="s">
        <v>1</v>
      </c>
      <c r="AR547" s="1170" t="s">
        <v>612</v>
      </c>
      <c r="AS547" s="1170" t="s">
        <v>646</v>
      </c>
      <c r="AT547" s="1170">
        <v>2</v>
      </c>
      <c r="AU547" s="1171">
        <v>4346966000</v>
      </c>
      <c r="AV547" s="1169">
        <v>0.27859282286209419</v>
      </c>
      <c r="AW547" s="874">
        <v>2011</v>
      </c>
    </row>
    <row r="548" spans="1:49">
      <c r="A548" s="798">
        <f t="shared" si="17"/>
        <v>2015</v>
      </c>
      <c r="B548" s="798">
        <f t="shared" si="18"/>
        <v>4</v>
      </c>
      <c r="C548" s="1105">
        <v>42339</v>
      </c>
      <c r="D548" s="805">
        <v>326.05707089999157</v>
      </c>
      <c r="E548" s="1102">
        <v>1486.33</v>
      </c>
      <c r="F548" s="1102">
        <v>1068.25</v>
      </c>
      <c r="G548" s="1103">
        <v>38.97</v>
      </c>
      <c r="H548" s="805">
        <v>53.736900165471596</v>
      </c>
      <c r="I548" s="1103">
        <v>35.659999999999997</v>
      </c>
      <c r="J548" s="1103">
        <v>49.172642029784882</v>
      </c>
      <c r="K548" s="84">
        <v>11985.85617760618</v>
      </c>
      <c r="L548" s="84">
        <v>8692.14</v>
      </c>
      <c r="M548" s="84">
        <v>4.58</v>
      </c>
      <c r="N548" s="805">
        <v>38.83</v>
      </c>
      <c r="O548" s="941">
        <v>6383.07</v>
      </c>
      <c r="P548" s="941">
        <v>2345.9538058466628</v>
      </c>
      <c r="Q548" s="941">
        <v>2098.8626585769443</v>
      </c>
      <c r="R548" s="805">
        <v>34.25</v>
      </c>
      <c r="S548" s="805">
        <v>1199.5194784544442</v>
      </c>
      <c r="T548" s="805">
        <v>1325.8455993294217</v>
      </c>
      <c r="U548" s="805">
        <v>33419</v>
      </c>
      <c r="V548" s="805">
        <v>18633.842968641795</v>
      </c>
      <c r="W548" s="805"/>
      <c r="X548" s="5">
        <v>0.72519999999999996</v>
      </c>
      <c r="AJ548" s="1156" t="s">
        <v>4</v>
      </c>
      <c r="AK548" s="874">
        <v>2014</v>
      </c>
      <c r="AL548" s="874" t="s">
        <v>39</v>
      </c>
      <c r="AM548" s="874">
        <v>5</v>
      </c>
      <c r="AN548" s="1114">
        <v>864285502.99000025</v>
      </c>
      <c r="AO548" s="1112">
        <v>3.6949505589314521E-2</v>
      </c>
      <c r="AP548" s="874"/>
      <c r="AQ548" s="1170" t="s">
        <v>1</v>
      </c>
      <c r="AR548" s="1170" t="s">
        <v>612</v>
      </c>
      <c r="AS548" s="1170" t="s">
        <v>27</v>
      </c>
      <c r="AT548" s="1170">
        <v>3</v>
      </c>
      <c r="AU548" s="1171">
        <v>2955373000</v>
      </c>
      <c r="AV548" s="1169">
        <v>0.18940698102548212</v>
      </c>
      <c r="AW548" s="874">
        <v>2011</v>
      </c>
    </row>
    <row r="549" spans="1:49">
      <c r="A549" s="798">
        <f t="shared" si="17"/>
        <v>2016</v>
      </c>
      <c r="B549" s="798">
        <f t="shared" si="18"/>
        <v>1</v>
      </c>
      <c r="C549" s="1105">
        <v>42370</v>
      </c>
      <c r="D549" s="934">
        <v>326.03896779657953</v>
      </c>
      <c r="E549" s="1100">
        <v>1574.65</v>
      </c>
      <c r="F549" s="1100">
        <v>1097.3800000000001</v>
      </c>
      <c r="G549" s="1101">
        <v>40.97</v>
      </c>
      <c r="H549" s="935">
        <v>58.4</v>
      </c>
      <c r="I549" s="1101">
        <v>36.630000000000003</v>
      </c>
      <c r="J549" s="1101">
        <v>52.22</v>
      </c>
      <c r="K549" s="936">
        <v>12092.658600000001</v>
      </c>
      <c r="L549" s="936">
        <v>8483</v>
      </c>
      <c r="M549" s="936">
        <v>5.32</v>
      </c>
      <c r="N549" s="937">
        <v>32.299999999999997</v>
      </c>
      <c r="O549" s="938">
        <v>6361.72</v>
      </c>
      <c r="P549" s="938">
        <v>2347.75</v>
      </c>
      <c r="Q549" s="938">
        <v>2155.67</v>
      </c>
      <c r="R549" s="939">
        <v>34.75</v>
      </c>
      <c r="S549" s="940">
        <v>1215.1039317281316</v>
      </c>
      <c r="T549" s="940">
        <v>1250.2923645804181</v>
      </c>
      <c r="U549" s="1756">
        <v>33335</v>
      </c>
      <c r="V549" s="1323">
        <v>24998.00221468772</v>
      </c>
      <c r="W549" s="1323"/>
      <c r="X549" s="538">
        <v>0.70150000000000001</v>
      </c>
      <c r="AJ549" s="1156" t="s">
        <v>4</v>
      </c>
      <c r="AK549" s="874">
        <v>2014</v>
      </c>
      <c r="AL549" s="874" t="s">
        <v>31</v>
      </c>
      <c r="AM549" s="874">
        <v>6</v>
      </c>
      <c r="AN549" s="1114">
        <v>817088070.18000007</v>
      </c>
      <c r="AO549" s="1112">
        <v>3.4931744327114364E-2</v>
      </c>
      <c r="AP549" s="874"/>
      <c r="AQ549" s="1170" t="s">
        <v>1</v>
      </c>
      <c r="AR549" s="1170" t="s">
        <v>612</v>
      </c>
      <c r="AS549" s="1170" t="s">
        <v>39</v>
      </c>
      <c r="AT549" s="1170">
        <v>4</v>
      </c>
      <c r="AU549" s="1171">
        <v>1607031000</v>
      </c>
      <c r="AV549" s="1169">
        <v>0.10299305371077071</v>
      </c>
      <c r="AW549" s="874">
        <v>2011</v>
      </c>
    </row>
    <row r="550" spans="1:49">
      <c r="A550" s="798">
        <f t="shared" si="17"/>
        <v>2016</v>
      </c>
      <c r="B550" s="798">
        <f t="shared" si="18"/>
        <v>1</v>
      </c>
      <c r="C550" s="1105">
        <v>42401</v>
      </c>
      <c r="D550" s="805">
        <v>317.46868888151062</v>
      </c>
      <c r="E550" s="1102">
        <v>1686.71</v>
      </c>
      <c r="F550" s="1102">
        <v>1199.9100000000001</v>
      </c>
      <c r="G550" s="1103">
        <v>45.57</v>
      </c>
      <c r="H550" s="805">
        <v>63.82</v>
      </c>
      <c r="I550" s="1103">
        <v>40.479999999999997</v>
      </c>
      <c r="J550" s="1103">
        <v>56.69</v>
      </c>
      <c r="K550" s="84">
        <v>11637.988499999999</v>
      </c>
      <c r="L550" s="84">
        <v>8309.52</v>
      </c>
      <c r="M550" s="84">
        <v>5.32</v>
      </c>
      <c r="N550" s="805">
        <v>35.08</v>
      </c>
      <c r="O550" s="941">
        <v>6436.24</v>
      </c>
      <c r="P550" s="941">
        <v>2481.19</v>
      </c>
      <c r="Q550" s="941">
        <v>2396.13</v>
      </c>
      <c r="R550" s="805">
        <v>32.15</v>
      </c>
      <c r="S550" s="805">
        <v>1138.3088668880544</v>
      </c>
      <c r="T550" s="805">
        <v>1380.8414544312816</v>
      </c>
      <c r="U550" s="805">
        <v>31348</v>
      </c>
      <c r="V550" s="805">
        <v>29336.775032058711</v>
      </c>
      <c r="W550" s="805"/>
      <c r="X550" s="630">
        <v>0.71399999999999997</v>
      </c>
      <c r="AJ550" s="1156" t="s">
        <v>4</v>
      </c>
      <c r="AK550" s="874">
        <v>2014</v>
      </c>
      <c r="AL550" s="874" t="s">
        <v>152</v>
      </c>
      <c r="AM550" s="874">
        <v>7</v>
      </c>
      <c r="AN550" s="1114">
        <v>325868501.89999998</v>
      </c>
      <c r="AO550" s="1112">
        <v>1.3931368732532019E-2</v>
      </c>
      <c r="AP550" s="874"/>
      <c r="AQ550" s="1170" t="s">
        <v>1</v>
      </c>
      <c r="AR550" s="1170" t="s">
        <v>612</v>
      </c>
      <c r="AS550" s="1170" t="s">
        <v>70</v>
      </c>
      <c r="AT550" s="1170">
        <v>5</v>
      </c>
      <c r="AU550" s="1171">
        <v>1116730000</v>
      </c>
      <c r="AV550" s="1169">
        <v>7.1570139512199191E-2</v>
      </c>
      <c r="AW550" s="874">
        <v>2011</v>
      </c>
    </row>
    <row r="551" spans="1:49">
      <c r="A551" s="798">
        <f t="shared" si="17"/>
        <v>2016</v>
      </c>
      <c r="B551" s="798">
        <f t="shared" si="18"/>
        <v>1</v>
      </c>
      <c r="C551" s="1105">
        <v>42430</v>
      </c>
      <c r="D551" s="934">
        <v>293.63685380994264</v>
      </c>
      <c r="E551" s="1100">
        <v>1677.74</v>
      </c>
      <c r="F551" s="1100">
        <v>1246.3399999999999</v>
      </c>
      <c r="G551" s="1101">
        <v>55.22</v>
      </c>
      <c r="H551" s="935">
        <v>73.53</v>
      </c>
      <c r="I551" s="1101">
        <v>49.94</v>
      </c>
      <c r="J551" s="1101">
        <v>66.5</v>
      </c>
      <c r="K551" s="936">
        <v>11589.943499999999</v>
      </c>
      <c r="L551" s="936">
        <v>8704.0499999999993</v>
      </c>
      <c r="M551" s="936">
        <v>5.32</v>
      </c>
      <c r="N551" s="937">
        <v>40.99</v>
      </c>
      <c r="O551" s="938">
        <v>6587.95</v>
      </c>
      <c r="P551" s="938">
        <v>2407.4899999999998</v>
      </c>
      <c r="Q551" s="938">
        <v>2402.9899999999998</v>
      </c>
      <c r="R551" s="939">
        <v>29.15</v>
      </c>
      <c r="S551" s="940">
        <v>1122.0669768661119</v>
      </c>
      <c r="T551" s="940">
        <v>1291.0093515066317</v>
      </c>
      <c r="U551" s="1756">
        <v>30837</v>
      </c>
      <c r="V551" s="1323">
        <v>33040.997713993936</v>
      </c>
      <c r="W551" s="1323"/>
      <c r="X551" s="538">
        <v>0.751</v>
      </c>
      <c r="AJ551" s="1156" t="s">
        <v>4</v>
      </c>
      <c r="AK551" s="874">
        <v>2014</v>
      </c>
      <c r="AL551" s="874" t="s">
        <v>28</v>
      </c>
      <c r="AM551" s="874">
        <v>8</v>
      </c>
      <c r="AN551" s="1114">
        <v>154139537.43000001</v>
      </c>
      <c r="AO551" s="1112">
        <v>6.589697131446662E-3</v>
      </c>
      <c r="AP551" s="874"/>
      <c r="AQ551" s="1170" t="s">
        <v>1</v>
      </c>
      <c r="AR551" s="1170" t="s">
        <v>612</v>
      </c>
      <c r="AS551" s="1170" t="s">
        <v>434</v>
      </c>
      <c r="AT551" s="1170">
        <v>6</v>
      </c>
      <c r="AU551" s="1171">
        <v>338791000</v>
      </c>
      <c r="AV551" s="1169">
        <v>2.171278566482272E-2</v>
      </c>
      <c r="AW551" s="874">
        <v>2011</v>
      </c>
    </row>
    <row r="552" spans="1:49">
      <c r="A552" s="798">
        <f t="shared" si="17"/>
        <v>2016</v>
      </c>
      <c r="B552" s="798">
        <f t="shared" si="18"/>
        <v>2</v>
      </c>
      <c r="C552" s="1105">
        <v>42461</v>
      </c>
      <c r="D552" s="805">
        <v>307.7176929156509</v>
      </c>
      <c r="E552" s="1102">
        <v>1631.08</v>
      </c>
      <c r="F552" s="1102">
        <v>1242.26</v>
      </c>
      <c r="G552" s="1103">
        <v>58.05</v>
      </c>
      <c r="H552" s="805">
        <v>75.75</v>
      </c>
      <c r="I552" s="1103">
        <v>51.85</v>
      </c>
      <c r="J552" s="1103">
        <v>67.66</v>
      </c>
      <c r="K552" s="84">
        <v>11552.419400000001</v>
      </c>
      <c r="L552" s="84">
        <v>8852.6200000000008</v>
      </c>
      <c r="M552" s="84">
        <v>5.27</v>
      </c>
      <c r="N552" s="805">
        <v>43.73</v>
      </c>
      <c r="O552" s="941">
        <v>6330.57</v>
      </c>
      <c r="P552" s="941">
        <v>2255.86</v>
      </c>
      <c r="Q552" s="941">
        <v>2416.19</v>
      </c>
      <c r="R552" s="805">
        <v>27.5</v>
      </c>
      <c r="S552" s="805">
        <v>1101.1751380433243</v>
      </c>
      <c r="T552" s="805">
        <v>1125.4958970570617</v>
      </c>
      <c r="U552" s="805">
        <v>30159</v>
      </c>
      <c r="V552" s="805">
        <v>34648.477643218408</v>
      </c>
      <c r="W552" s="805"/>
      <c r="X552" s="630">
        <v>0.76629999999999998</v>
      </c>
      <c r="AJ552" s="1156" t="s">
        <v>4</v>
      </c>
      <c r="AK552" s="874">
        <v>2014</v>
      </c>
      <c r="AL552" s="874" t="s">
        <v>433</v>
      </c>
      <c r="AM552" s="874">
        <v>9</v>
      </c>
      <c r="AN552" s="1114">
        <v>152807446.93000001</v>
      </c>
      <c r="AO552" s="1112">
        <v>6.532748258412293E-3</v>
      </c>
      <c r="AP552" s="874"/>
      <c r="AQ552" s="1170" t="s">
        <v>1</v>
      </c>
      <c r="AR552" s="1170" t="s">
        <v>612</v>
      </c>
      <c r="AS552" s="1170" t="s">
        <v>643</v>
      </c>
      <c r="AT552" s="1170">
        <v>7</v>
      </c>
      <c r="AU552" s="1171">
        <v>265020000</v>
      </c>
      <c r="AV552" s="1169">
        <v>1.6984874028210067E-2</v>
      </c>
      <c r="AW552" s="874">
        <v>2011</v>
      </c>
    </row>
    <row r="553" spans="1:49">
      <c r="A553" s="798">
        <f t="shared" si="17"/>
        <v>2016</v>
      </c>
      <c r="B553" s="798">
        <f t="shared" si="18"/>
        <v>2</v>
      </c>
      <c r="C553" s="1105">
        <v>42491</v>
      </c>
      <c r="D553" s="934">
        <v>330.85349665918795</v>
      </c>
      <c r="E553" s="1100">
        <v>1729.64</v>
      </c>
      <c r="F553" s="1100">
        <v>1259.4000000000001</v>
      </c>
      <c r="G553" s="1101">
        <v>53.64</v>
      </c>
      <c r="H553" s="935">
        <v>73.260000000000005</v>
      </c>
      <c r="I553" s="1101">
        <v>46.19</v>
      </c>
      <c r="J553" s="1101">
        <v>63.08</v>
      </c>
      <c r="K553" s="936">
        <v>11867.3177</v>
      </c>
      <c r="L553" s="936">
        <v>8689.25</v>
      </c>
      <c r="M553" s="936">
        <v>5.27</v>
      </c>
      <c r="N553" s="937">
        <v>48.53</v>
      </c>
      <c r="O553" s="938">
        <v>6430.42</v>
      </c>
      <c r="P553" s="938">
        <v>2341.4699999999998</v>
      </c>
      <c r="Q553" s="938">
        <v>2555.59</v>
      </c>
      <c r="R553" s="939">
        <v>27.25</v>
      </c>
      <c r="S553" s="940">
        <v>1102.2793091996014</v>
      </c>
      <c r="T553" s="940">
        <v>1188.057852198461</v>
      </c>
      <c r="U553" s="1756">
        <v>32217</v>
      </c>
      <c r="V553" s="1323">
        <v>35659.055974712384</v>
      </c>
      <c r="W553" s="1323"/>
      <c r="X553" s="538">
        <v>0.73219999999999996</v>
      </c>
      <c r="AJ553" s="1156" t="s">
        <v>4</v>
      </c>
      <c r="AK553" s="874">
        <v>2014</v>
      </c>
      <c r="AL553" s="874" t="s">
        <v>648</v>
      </c>
      <c r="AM553" s="874">
        <v>10</v>
      </c>
      <c r="AN553" s="1114">
        <v>70357676.700000003</v>
      </c>
      <c r="AO553" s="1112">
        <v>3.0078965335924562E-3</v>
      </c>
      <c r="AP553" s="874"/>
      <c r="AQ553" s="1170" t="s">
        <v>1</v>
      </c>
      <c r="AR553" s="1170" t="s">
        <v>612</v>
      </c>
      <c r="AS553" s="1170" t="s">
        <v>431</v>
      </c>
      <c r="AT553" s="1170">
        <v>8</v>
      </c>
      <c r="AU553" s="1171">
        <v>252254000</v>
      </c>
      <c r="AV553" s="1169">
        <v>1.6166713505064156E-2</v>
      </c>
      <c r="AW553" s="874">
        <v>2011</v>
      </c>
    </row>
    <row r="554" spans="1:49">
      <c r="A554" s="798">
        <f t="shared" si="17"/>
        <v>2016</v>
      </c>
      <c r="B554" s="798">
        <f t="shared" si="18"/>
        <v>2</v>
      </c>
      <c r="C554" s="1105">
        <v>42522</v>
      </c>
      <c r="D554" s="805">
        <v>334.82954687180103</v>
      </c>
      <c r="E554" s="1102">
        <v>1731.45</v>
      </c>
      <c r="F554" s="1102">
        <v>1276.4000000000001</v>
      </c>
      <c r="G554" s="1103">
        <v>52.72</v>
      </c>
      <c r="H554" s="805">
        <v>71.180000000000007</v>
      </c>
      <c r="I554" s="1103">
        <v>43.6</v>
      </c>
      <c r="J554" s="1103">
        <v>58.86</v>
      </c>
      <c r="K554" s="84">
        <v>12036.53</v>
      </c>
      <c r="L554" s="84">
        <v>8915.4500000000007</v>
      </c>
      <c r="M554" s="84">
        <v>5.27</v>
      </c>
      <c r="N554" s="805">
        <v>49.98</v>
      </c>
      <c r="O554" s="941">
        <v>6251.7</v>
      </c>
      <c r="P554" s="941">
        <v>2313.9</v>
      </c>
      <c r="Q554" s="941">
        <v>2731.2</v>
      </c>
      <c r="R554" s="805">
        <v>27</v>
      </c>
      <c r="S554" s="805">
        <v>1174.1419038122267</v>
      </c>
      <c r="T554" s="805">
        <v>1171.6025990358416</v>
      </c>
      <c r="U554" s="805">
        <v>32302</v>
      </c>
      <c r="V554" s="805">
        <v>33507.502302023539</v>
      </c>
      <c r="W554" s="805"/>
      <c r="X554" s="630">
        <v>0.74070000000000003</v>
      </c>
      <c r="AJ554" s="1156" t="s">
        <v>4</v>
      </c>
      <c r="AK554" s="874">
        <v>2014</v>
      </c>
      <c r="AL554" s="874" t="s">
        <v>45</v>
      </c>
      <c r="AM554" s="874"/>
      <c r="AN554" s="1114">
        <v>206950712.61000061</v>
      </c>
      <c r="AO554" s="1112">
        <v>8.8474543259628325E-3</v>
      </c>
      <c r="AP554" s="874"/>
      <c r="AQ554" s="1170" t="s">
        <v>1</v>
      </c>
      <c r="AR554" s="1170" t="s">
        <v>612</v>
      </c>
      <c r="AS554" s="1170" t="s">
        <v>67</v>
      </c>
      <c r="AT554" s="1170">
        <v>9</v>
      </c>
      <c r="AU554" s="1171">
        <v>101815000</v>
      </c>
      <c r="AV554" s="1169">
        <v>6.5252243196068519E-3</v>
      </c>
      <c r="AW554" s="874">
        <v>2011</v>
      </c>
    </row>
    <row r="555" spans="1:49">
      <c r="A555" s="798">
        <f t="shared" si="17"/>
        <v>2016</v>
      </c>
      <c r="B555" s="798">
        <f t="shared" si="18"/>
        <v>3</v>
      </c>
      <c r="C555" s="1105">
        <v>42552</v>
      </c>
      <c r="D555" s="934">
        <v>318.33882244544691</v>
      </c>
      <c r="E555" s="1100">
        <v>1789.93</v>
      </c>
      <c r="F555" s="1100">
        <v>1337.33</v>
      </c>
      <c r="G555" s="1101">
        <v>56.83</v>
      </c>
      <c r="H555" s="935">
        <v>75.47</v>
      </c>
      <c r="I555" s="1101">
        <v>47.22</v>
      </c>
      <c r="J555" s="1101">
        <v>62.71</v>
      </c>
      <c r="K555" s="936">
        <v>13614.75</v>
      </c>
      <c r="L555" s="936">
        <v>10251.9</v>
      </c>
      <c r="M555" s="936">
        <v>5.49</v>
      </c>
      <c r="N555" s="937">
        <v>45.84</v>
      </c>
      <c r="O555" s="938">
        <v>6448.59</v>
      </c>
      <c r="P555" s="938">
        <v>2436.7600000000002</v>
      </c>
      <c r="Q555" s="938">
        <v>2901.51</v>
      </c>
      <c r="R555" s="939">
        <v>25</v>
      </c>
      <c r="S555" s="940">
        <v>1103.5824732229796</v>
      </c>
      <c r="T555" s="940">
        <v>1183.8377883121539</v>
      </c>
      <c r="U555" s="1756">
        <v>33525</v>
      </c>
      <c r="V555" s="1323">
        <v>31772.784374804603</v>
      </c>
      <c r="W555" s="1323"/>
      <c r="X555" s="538">
        <v>0.753</v>
      </c>
      <c r="AJ555" s="1156" t="s">
        <v>4</v>
      </c>
      <c r="AK555" s="874">
        <v>2014</v>
      </c>
      <c r="AL555" s="874" t="s">
        <v>452</v>
      </c>
      <c r="AM555" s="874"/>
      <c r="AN555" s="1114">
        <v>23390989654.810001</v>
      </c>
      <c r="AO555" s="1112"/>
      <c r="AP555" s="874"/>
      <c r="AQ555" s="1170" t="s">
        <v>1</v>
      </c>
      <c r="AR555" s="1170" t="s">
        <v>612</v>
      </c>
      <c r="AS555" s="1170" t="s">
        <v>85</v>
      </c>
      <c r="AT555" s="1170">
        <v>10</v>
      </c>
      <c r="AU555" s="1171">
        <v>64040000</v>
      </c>
      <c r="AV555" s="1169">
        <v>4.1042613114729938E-3</v>
      </c>
      <c r="AW555" s="874">
        <v>2011</v>
      </c>
    </row>
    <row r="556" spans="1:49">
      <c r="A556" s="798">
        <f t="shared" si="17"/>
        <v>2016</v>
      </c>
      <c r="B556" s="798">
        <f t="shared" si="18"/>
        <v>3</v>
      </c>
      <c r="C556" s="1105">
        <v>42583</v>
      </c>
      <c r="D556" s="805">
        <v>310.82907512588451</v>
      </c>
      <c r="E556" s="1102">
        <v>1770.59</v>
      </c>
      <c r="F556" s="1102">
        <v>1341.09</v>
      </c>
      <c r="G556" s="1103">
        <v>60.63</v>
      </c>
      <c r="H556" s="805">
        <v>79.540000000000006</v>
      </c>
      <c r="I556" s="1103">
        <v>50.47</v>
      </c>
      <c r="J556" s="1103">
        <v>66.209999999999994</v>
      </c>
      <c r="K556" s="84">
        <v>13582.4</v>
      </c>
      <c r="L556" s="84">
        <v>10353.86</v>
      </c>
      <c r="M556" s="84">
        <v>5.49</v>
      </c>
      <c r="N556" s="805">
        <v>46.4</v>
      </c>
      <c r="O556" s="941">
        <v>6241.91</v>
      </c>
      <c r="P556" s="941">
        <v>2412.29</v>
      </c>
      <c r="Q556" s="941">
        <v>2994.59</v>
      </c>
      <c r="R556" s="805">
        <v>25.25</v>
      </c>
      <c r="S556" s="805">
        <v>1053.5592643775913</v>
      </c>
      <c r="T556" s="805">
        <v>1142.5105130012855</v>
      </c>
      <c r="U556" s="805">
        <v>34734</v>
      </c>
      <c r="V556" s="805">
        <v>31236.982724255471</v>
      </c>
      <c r="W556" s="805"/>
      <c r="X556" s="630">
        <v>0.76229999999999998</v>
      </c>
      <c r="AJ556" s="1156" t="s">
        <v>4</v>
      </c>
      <c r="AK556" s="874">
        <v>2013</v>
      </c>
      <c r="AL556" s="874" t="s">
        <v>29</v>
      </c>
      <c r="AM556" s="874">
        <v>1</v>
      </c>
      <c r="AN556" s="1114">
        <v>11971380719</v>
      </c>
      <c r="AO556" s="1112">
        <v>0.6</v>
      </c>
      <c r="AP556" s="874"/>
      <c r="AQ556" s="1170" t="s">
        <v>1</v>
      </c>
      <c r="AR556" s="1170" t="s">
        <v>612</v>
      </c>
      <c r="AS556" s="1170" t="s">
        <v>45</v>
      </c>
      <c r="AT556" s="1170"/>
      <c r="AU556" s="1171">
        <v>32710000</v>
      </c>
      <c r="AV556" s="1169">
        <v>2.0963520846077706E-3</v>
      </c>
      <c r="AW556" s="874">
        <v>2011</v>
      </c>
    </row>
    <row r="557" spans="1:49">
      <c r="A557" s="798">
        <f t="shared" si="17"/>
        <v>2016</v>
      </c>
      <c r="B557" s="798">
        <f t="shared" si="18"/>
        <v>3</v>
      </c>
      <c r="C557" s="1105">
        <v>42614</v>
      </c>
      <c r="D557" s="934">
        <v>306.11480138035</v>
      </c>
      <c r="E557" s="1100">
        <v>1758.83</v>
      </c>
      <c r="F557" s="1100">
        <v>1326.03</v>
      </c>
      <c r="G557" s="1101">
        <v>57.11</v>
      </c>
      <c r="H557" s="935">
        <v>75.22</v>
      </c>
      <c r="I557" s="1101">
        <v>47.81</v>
      </c>
      <c r="J557" s="1101">
        <v>62.97</v>
      </c>
      <c r="K557" s="936">
        <v>13419.93</v>
      </c>
      <c r="L557" s="936">
        <v>10188.41</v>
      </c>
      <c r="M557" s="936">
        <v>5.49</v>
      </c>
      <c r="N557" s="937">
        <v>46.87</v>
      </c>
      <c r="O557" s="938">
        <v>6200.19</v>
      </c>
      <c r="P557" s="938">
        <v>2557.9899999999998</v>
      </c>
      <c r="Q557" s="938">
        <v>3020.02</v>
      </c>
      <c r="R557" s="939">
        <v>23.75</v>
      </c>
      <c r="S557" s="940">
        <v>1153.4440303302918</v>
      </c>
      <c r="T557" s="940">
        <v>1135.416575743028</v>
      </c>
      <c r="U557" s="1756">
        <v>35310</v>
      </c>
      <c r="V557" s="1323">
        <v>31107.406002190342</v>
      </c>
      <c r="W557" s="1323"/>
      <c r="X557" s="538">
        <v>0.75919999999999999</v>
      </c>
      <c r="AJ557" s="1156" t="s">
        <v>4</v>
      </c>
      <c r="AK557" s="874">
        <v>2013</v>
      </c>
      <c r="AL557" s="874" t="s">
        <v>30</v>
      </c>
      <c r="AM557" s="874">
        <v>2</v>
      </c>
      <c r="AN557" s="1114">
        <v>1992417617</v>
      </c>
      <c r="AO557" s="1112">
        <v>0.1</v>
      </c>
      <c r="AP557" s="874"/>
      <c r="AQ557" s="1170" t="s">
        <v>1</v>
      </c>
      <c r="AR557" s="1170" t="s">
        <v>612</v>
      </c>
      <c r="AS557" s="1170" t="s">
        <v>452</v>
      </c>
      <c r="AT557" s="1170"/>
      <c r="AU557" s="1171">
        <v>15603295000</v>
      </c>
      <c r="AV557" s="1169">
        <v>1</v>
      </c>
      <c r="AW557" s="874">
        <v>2011</v>
      </c>
    </row>
    <row r="558" spans="1:49">
      <c r="A558" s="798">
        <f t="shared" si="17"/>
        <v>2016</v>
      </c>
      <c r="B558" s="798">
        <f t="shared" si="18"/>
        <v>4</v>
      </c>
      <c r="C558" s="1105">
        <v>42644</v>
      </c>
      <c r="D558" s="805">
        <v>301.89505520427042</v>
      </c>
      <c r="E558" s="1102">
        <v>1675.91</v>
      </c>
      <c r="F558" s="1102">
        <v>1266.5899999999999</v>
      </c>
      <c r="G558" s="1103">
        <v>58.54</v>
      </c>
      <c r="H558" s="805">
        <v>76.86</v>
      </c>
      <c r="I558" s="1103">
        <v>50.38</v>
      </c>
      <c r="J558" s="1103">
        <v>66.150000000000006</v>
      </c>
      <c r="K558" s="84">
        <v>13480.08</v>
      </c>
      <c r="L558" s="84">
        <v>10266.43</v>
      </c>
      <c r="M558" s="84">
        <v>5.53</v>
      </c>
      <c r="N558" s="805">
        <v>51.24</v>
      </c>
      <c r="O558" s="941">
        <v>6213.42</v>
      </c>
      <c r="P558" s="941">
        <v>2678.48</v>
      </c>
      <c r="Q558" s="941">
        <v>3038.53</v>
      </c>
      <c r="R558" s="805">
        <v>20</v>
      </c>
      <c r="S558" s="805">
        <v>1140.2731515598134</v>
      </c>
      <c r="T558" s="805">
        <v>1146.3494258872652</v>
      </c>
      <c r="U558" s="805">
        <v>37284</v>
      </c>
      <c r="V558" s="805">
        <v>30635.27369370688</v>
      </c>
      <c r="W558" s="805"/>
      <c r="X558" s="630">
        <v>0.76160000000000005</v>
      </c>
      <c r="AJ558" s="1156" t="s">
        <v>4</v>
      </c>
      <c r="AK558" s="874">
        <v>2013</v>
      </c>
      <c r="AL558" s="874" t="s">
        <v>24</v>
      </c>
      <c r="AM558" s="874">
        <v>3</v>
      </c>
      <c r="AN558" s="1114">
        <v>1936328376</v>
      </c>
      <c r="AO558" s="1112">
        <v>9.7000000000000003E-2</v>
      </c>
      <c r="AP558" s="874"/>
      <c r="AQ558" s="1172" t="s">
        <v>1</v>
      </c>
      <c r="AR558" s="1172" t="s">
        <v>613</v>
      </c>
      <c r="AS558" s="1172" t="s">
        <v>646</v>
      </c>
      <c r="AT558" s="1172">
        <v>1</v>
      </c>
      <c r="AU558" s="1173">
        <v>5990206000</v>
      </c>
      <c r="AV558" s="1169">
        <v>0.4017998403990547</v>
      </c>
      <c r="AW558" s="874">
        <v>2012</v>
      </c>
    </row>
    <row r="559" spans="1:49">
      <c r="A559" s="798">
        <f t="shared" si="17"/>
        <v>2016</v>
      </c>
      <c r="B559" s="798">
        <f t="shared" si="18"/>
        <v>4</v>
      </c>
      <c r="C559" s="1105">
        <v>42675</v>
      </c>
      <c r="D559" s="934">
        <v>340.72033058599879</v>
      </c>
      <c r="E559" s="1100">
        <v>1653.24</v>
      </c>
      <c r="F559" s="1100">
        <v>1235.98</v>
      </c>
      <c r="G559" s="1101">
        <v>73.67</v>
      </c>
      <c r="H559" s="935">
        <v>97.85</v>
      </c>
      <c r="I559" s="1101">
        <v>62.16</v>
      </c>
      <c r="J559" s="1101">
        <v>82.56</v>
      </c>
      <c r="K559" s="936">
        <v>14800.05</v>
      </c>
      <c r="L559" s="936">
        <v>11142.95</v>
      </c>
      <c r="M559" s="936">
        <v>5.53</v>
      </c>
      <c r="N559" s="937">
        <v>48.22</v>
      </c>
      <c r="O559" s="938">
        <v>7229.71</v>
      </c>
      <c r="P559" s="938">
        <v>2893.93</v>
      </c>
      <c r="Q559" s="938">
        <v>3411.93</v>
      </c>
      <c r="R559" s="939">
        <v>20</v>
      </c>
      <c r="S559" s="940">
        <v>1147.314632000782</v>
      </c>
      <c r="T559" s="940">
        <v>1175.3088181148746</v>
      </c>
      <c r="U559" s="1756">
        <v>39164</v>
      </c>
      <c r="V559" s="1323">
        <v>29782.53545770916</v>
      </c>
      <c r="W559" s="1323"/>
      <c r="X559" s="538">
        <v>0.75290000000000001</v>
      </c>
      <c r="AJ559" s="1156" t="s">
        <v>4</v>
      </c>
      <c r="AK559" s="874">
        <v>2013</v>
      </c>
      <c r="AL559" s="874" t="s">
        <v>70</v>
      </c>
      <c r="AM559" s="874">
        <v>4</v>
      </c>
      <c r="AN559" s="1114">
        <v>1227230422</v>
      </c>
      <c r="AO559" s="1112">
        <v>6.2E-2</v>
      </c>
      <c r="AP559" s="874"/>
      <c r="AQ559" s="1172" t="s">
        <v>1</v>
      </c>
      <c r="AR559" s="1172" t="s">
        <v>613</v>
      </c>
      <c r="AS559" s="1172" t="s">
        <v>27</v>
      </c>
      <c r="AT559" s="1172">
        <v>2</v>
      </c>
      <c r="AU559" s="1173">
        <v>2978925000</v>
      </c>
      <c r="AV559" s="1169">
        <v>0.19981476255754041</v>
      </c>
      <c r="AW559" s="874">
        <v>2012</v>
      </c>
    </row>
    <row r="560" spans="1:49">
      <c r="A560" s="798">
        <f t="shared" si="17"/>
        <v>2016</v>
      </c>
      <c r="B560" s="798">
        <f t="shared" si="18"/>
        <v>4</v>
      </c>
      <c r="C560" s="1105">
        <v>42705</v>
      </c>
      <c r="D560" s="1102">
        <v>389.74708282516639</v>
      </c>
      <c r="E560" s="1102">
        <v>1570.76</v>
      </c>
      <c r="F560" s="1102">
        <v>1151.4000000000001</v>
      </c>
      <c r="G560" s="1103">
        <v>80</v>
      </c>
      <c r="H560" s="805">
        <v>109</v>
      </c>
      <c r="I560" s="1103">
        <v>69</v>
      </c>
      <c r="J560" s="1103">
        <v>94</v>
      </c>
      <c r="K560" s="84">
        <v>15014.66</v>
      </c>
      <c r="L560" s="84">
        <v>11013.25</v>
      </c>
      <c r="M560" s="84">
        <v>5.53</v>
      </c>
      <c r="N560" s="805">
        <v>55.75</v>
      </c>
      <c r="O560" s="941">
        <v>7724.95</v>
      </c>
      <c r="P560" s="941">
        <v>3041.34</v>
      </c>
      <c r="Q560" s="941">
        <v>3642.4</v>
      </c>
      <c r="R560" s="805">
        <v>20.25</v>
      </c>
      <c r="S560" s="805">
        <v>1197.9728260869565</v>
      </c>
      <c r="T560" s="805">
        <v>1227.4514660353304</v>
      </c>
      <c r="U560" s="805">
        <v>43337</v>
      </c>
      <c r="V560" s="805">
        <v>30155.384594243897</v>
      </c>
      <c r="W560" s="805"/>
      <c r="X560" s="630">
        <v>0.73350000000000004</v>
      </c>
      <c r="AJ560" s="1156" t="s">
        <v>4</v>
      </c>
      <c r="AK560" s="874">
        <v>2013</v>
      </c>
      <c r="AL560" s="874" t="s">
        <v>39</v>
      </c>
      <c r="AM560" s="874">
        <v>5</v>
      </c>
      <c r="AN560" s="1114">
        <v>857604098</v>
      </c>
      <c r="AO560" s="1112">
        <v>4.2999999999999997E-2</v>
      </c>
      <c r="AP560" s="874"/>
      <c r="AQ560" s="1172" t="s">
        <v>1</v>
      </c>
      <c r="AR560" s="1172" t="s">
        <v>613</v>
      </c>
      <c r="AS560" s="1172" t="s">
        <v>72</v>
      </c>
      <c r="AT560" s="1172">
        <v>3</v>
      </c>
      <c r="AU560" s="1173">
        <v>2615993000</v>
      </c>
      <c r="AV560" s="1169">
        <v>0.17547068830104412</v>
      </c>
      <c r="AW560" s="874">
        <v>2012</v>
      </c>
    </row>
    <row r="561" spans="1:49">
      <c r="A561" s="798">
        <f t="shared" si="17"/>
        <v>2017</v>
      </c>
      <c r="B561" s="798">
        <f t="shared" si="18"/>
        <v>1</v>
      </c>
      <c r="C561" s="1105">
        <v>42736</v>
      </c>
      <c r="D561" s="934">
        <v>432.42348666291423</v>
      </c>
      <c r="E561" s="1100">
        <v>1602.86</v>
      </c>
      <c r="F561" s="1100">
        <v>1192.6199999999999</v>
      </c>
      <c r="G561" s="1101">
        <v>81</v>
      </c>
      <c r="H561" s="935">
        <v>108</v>
      </c>
      <c r="I561" s="1101">
        <v>69</v>
      </c>
      <c r="J561" s="1101">
        <v>93</v>
      </c>
      <c r="K561" s="936">
        <v>13385.56</v>
      </c>
      <c r="L561" s="936">
        <v>9984.2900000000009</v>
      </c>
      <c r="M561" s="936">
        <v>5.7450000000000001</v>
      </c>
      <c r="N561" s="937">
        <v>56.79</v>
      </c>
      <c r="O561" s="938">
        <v>7691.95</v>
      </c>
      <c r="P561" s="938">
        <v>2998.65</v>
      </c>
      <c r="Q561" s="938">
        <v>3637.22</v>
      </c>
      <c r="R561" s="939">
        <v>23</v>
      </c>
      <c r="S561" s="940">
        <v>1123.7136586895183</v>
      </c>
      <c r="T561" s="940">
        <v>1235.5819881053526</v>
      </c>
      <c r="U561" s="1756">
        <v>46872</v>
      </c>
      <c r="V561" s="1323">
        <v>27899.47047746514</v>
      </c>
      <c r="W561" s="1323"/>
      <c r="X561" s="538">
        <v>0.74590000000000001</v>
      </c>
      <c r="AJ561" s="1156" t="s">
        <v>4</v>
      </c>
      <c r="AK561" s="874">
        <v>2013</v>
      </c>
      <c r="AL561" s="874" t="s">
        <v>31</v>
      </c>
      <c r="AM561" s="874">
        <v>6</v>
      </c>
      <c r="AN561" s="1114">
        <v>636688281</v>
      </c>
      <c r="AO561" s="1112">
        <v>3.2000000000000001E-2</v>
      </c>
      <c r="AP561" s="874"/>
      <c r="AQ561" s="1172" t="s">
        <v>1</v>
      </c>
      <c r="AR561" s="1172" t="s">
        <v>613</v>
      </c>
      <c r="AS561" s="1172" t="s">
        <v>39</v>
      </c>
      <c r="AT561" s="1172">
        <v>4</v>
      </c>
      <c r="AU561" s="1173">
        <v>1271017000</v>
      </c>
      <c r="AV561" s="1169">
        <v>8.5254902376393285E-2</v>
      </c>
      <c r="AW561" s="874">
        <v>2012</v>
      </c>
    </row>
    <row r="562" spans="1:49">
      <c r="A562" s="798">
        <f t="shared" si="17"/>
        <v>2017</v>
      </c>
      <c r="B562" s="798">
        <f t="shared" si="18"/>
        <v>1</v>
      </c>
      <c r="C562" s="1105">
        <v>42767</v>
      </c>
      <c r="D562" s="1102">
        <v>403.19054536166158</v>
      </c>
      <c r="E562" s="1102">
        <v>1614.24</v>
      </c>
      <c r="F562" s="1102">
        <v>1234.3599999999999</v>
      </c>
      <c r="G562" s="1103">
        <v>89</v>
      </c>
      <c r="H562" s="805">
        <v>116</v>
      </c>
      <c r="I562" s="1103">
        <v>76</v>
      </c>
      <c r="J562" s="1103">
        <v>99</v>
      </c>
      <c r="K562" s="84">
        <v>13852.73</v>
      </c>
      <c r="L562" s="84">
        <v>10619.5</v>
      </c>
      <c r="M562" s="84">
        <v>5.7450000000000001</v>
      </c>
      <c r="N562" s="805">
        <v>57.28</v>
      </c>
      <c r="O562" s="941">
        <v>7750.52</v>
      </c>
      <c r="P562" s="941">
        <v>3028.6</v>
      </c>
      <c r="Q562" s="941">
        <v>3715.66</v>
      </c>
      <c r="R562" s="805">
        <v>24.5</v>
      </c>
      <c r="S562" s="805">
        <v>1082.0640740740741</v>
      </c>
      <c r="T562" s="805">
        <v>1121.9014401440145</v>
      </c>
      <c r="U562" s="805">
        <v>56395</v>
      </c>
      <c r="V562" s="805">
        <v>26466.294367801813</v>
      </c>
      <c r="W562" s="805"/>
      <c r="X562" s="630">
        <v>0.76659999999999995</v>
      </c>
      <c r="AJ562" s="1156" t="s">
        <v>4</v>
      </c>
      <c r="AK562" s="874">
        <v>2013</v>
      </c>
      <c r="AL562" s="874" t="s">
        <v>152</v>
      </c>
      <c r="AM562" s="874">
        <v>7</v>
      </c>
      <c r="AN562" s="1114">
        <v>430339608</v>
      </c>
      <c r="AO562" s="1112">
        <v>2.1999999999999999E-2</v>
      </c>
      <c r="AP562" s="874"/>
      <c r="AQ562" s="1172" t="s">
        <v>1</v>
      </c>
      <c r="AR562" s="1172" t="s">
        <v>613</v>
      </c>
      <c r="AS562" s="1172" t="s">
        <v>70</v>
      </c>
      <c r="AT562" s="1172">
        <v>5</v>
      </c>
      <c r="AU562" s="1173">
        <v>941201000</v>
      </c>
      <c r="AV562" s="1169">
        <v>6.313212126318038E-2</v>
      </c>
      <c r="AW562" s="874">
        <v>2012</v>
      </c>
    </row>
    <row r="563" spans="1:49">
      <c r="A563" s="798">
        <f t="shared" si="17"/>
        <v>2017</v>
      </c>
      <c r="B563" s="798">
        <f t="shared" si="18"/>
        <v>1</v>
      </c>
      <c r="C563" s="1105">
        <v>42795</v>
      </c>
      <c r="D563" s="934">
        <v>427.91088146993945</v>
      </c>
      <c r="E563" s="1100">
        <v>1618.35</v>
      </c>
      <c r="F563" s="1100">
        <v>1231.0899999999999</v>
      </c>
      <c r="G563" s="1101">
        <v>88</v>
      </c>
      <c r="H563" s="935">
        <v>115</v>
      </c>
      <c r="I563" s="1101">
        <v>75</v>
      </c>
      <c r="J563" s="1101">
        <v>98</v>
      </c>
      <c r="K563" s="936">
        <v>13418.72</v>
      </c>
      <c r="L563" s="936">
        <v>10230.43</v>
      </c>
      <c r="M563" s="936">
        <v>5.7450000000000001</v>
      </c>
      <c r="N563" s="937">
        <v>53.85</v>
      </c>
      <c r="O563" s="938">
        <v>7635.78</v>
      </c>
      <c r="P563" s="938">
        <v>2987.02</v>
      </c>
      <c r="Q563" s="938">
        <v>3648.66</v>
      </c>
      <c r="R563" s="939">
        <v>24.5</v>
      </c>
      <c r="S563" s="940">
        <v>1142.3251568739304</v>
      </c>
      <c r="T563" s="940">
        <v>1195.6817040699887</v>
      </c>
      <c r="U563" s="1756">
        <v>69512</v>
      </c>
      <c r="V563" s="1323">
        <v>26555.367219024934</v>
      </c>
      <c r="W563" s="1323"/>
      <c r="X563" s="538">
        <v>0.76239999999999997</v>
      </c>
      <c r="AJ563" s="1156" t="s">
        <v>4</v>
      </c>
      <c r="AK563" s="874">
        <v>2013</v>
      </c>
      <c r="AL563" s="874" t="s">
        <v>27</v>
      </c>
      <c r="AM563" s="874">
        <v>8</v>
      </c>
      <c r="AN563" s="1114">
        <v>246179699</v>
      </c>
      <c r="AO563" s="1112">
        <v>1.2E-2</v>
      </c>
      <c r="AP563" s="874"/>
      <c r="AQ563" s="1172" t="s">
        <v>1</v>
      </c>
      <c r="AR563" s="1172" t="s">
        <v>613</v>
      </c>
      <c r="AS563" s="1172" t="s">
        <v>85</v>
      </c>
      <c r="AT563" s="1172">
        <v>6</v>
      </c>
      <c r="AU563" s="1173">
        <v>466710000</v>
      </c>
      <c r="AV563" s="1169">
        <v>3.1305100945216713E-2</v>
      </c>
      <c r="AW563" s="874">
        <v>2012</v>
      </c>
    </row>
    <row r="564" spans="1:49">
      <c r="A564" s="798">
        <f t="shared" si="17"/>
        <v>2017</v>
      </c>
      <c r="B564" s="798">
        <f t="shared" si="18"/>
        <v>2</v>
      </c>
      <c r="C564" s="1105">
        <v>42826</v>
      </c>
      <c r="D564" s="1102">
        <v>413.89639603114728</v>
      </c>
      <c r="E564" s="1102">
        <v>1687.57</v>
      </c>
      <c r="F564" s="1102">
        <v>1265.6300000000001</v>
      </c>
      <c r="G564" s="1103">
        <v>71</v>
      </c>
      <c r="H564" s="805">
        <v>94</v>
      </c>
      <c r="I564" s="1103">
        <v>59</v>
      </c>
      <c r="J564" s="1103">
        <v>78</v>
      </c>
      <c r="K564" s="84">
        <v>12831.6</v>
      </c>
      <c r="L564" s="84">
        <v>9668.61</v>
      </c>
      <c r="M564" s="84">
        <v>5.9</v>
      </c>
      <c r="N564" s="805">
        <v>54.54</v>
      </c>
      <c r="O564" s="941">
        <v>7561.6</v>
      </c>
      <c r="P564" s="941">
        <v>2961.25</v>
      </c>
      <c r="Q564" s="941">
        <v>3494.4</v>
      </c>
      <c r="R564" s="805">
        <v>22.75</v>
      </c>
      <c r="S564" s="805">
        <v>1182.8298176617805</v>
      </c>
      <c r="T564" s="805">
        <v>1295.7932028792093</v>
      </c>
      <c r="U564" s="805">
        <v>73730</v>
      </c>
      <c r="V564" s="805">
        <v>27066.351940765649</v>
      </c>
      <c r="W564" s="805"/>
      <c r="X564" s="630">
        <v>0.75349999999999995</v>
      </c>
      <c r="Z564" s="805"/>
      <c r="AJ564" s="1156" t="s">
        <v>4</v>
      </c>
      <c r="AK564" s="874">
        <v>2013</v>
      </c>
      <c r="AL564" s="874" t="s">
        <v>28</v>
      </c>
      <c r="AM564" s="874">
        <v>9</v>
      </c>
      <c r="AN564" s="1114">
        <v>223208237</v>
      </c>
      <c r="AO564" s="1112">
        <v>1.0999999999999999E-2</v>
      </c>
      <c r="AP564" s="874"/>
      <c r="AQ564" s="1172" t="s">
        <v>1</v>
      </c>
      <c r="AR564" s="1172" t="s">
        <v>613</v>
      </c>
      <c r="AS564" s="1172" t="s">
        <v>434</v>
      </c>
      <c r="AT564" s="1172">
        <v>7</v>
      </c>
      <c r="AU564" s="1173">
        <v>256084000</v>
      </c>
      <c r="AV564" s="1169">
        <v>1.7177123846617549E-2</v>
      </c>
      <c r="AW564" s="874">
        <v>2012</v>
      </c>
    </row>
    <row r="565" spans="1:49">
      <c r="A565" s="798">
        <f t="shared" si="17"/>
        <v>2017</v>
      </c>
      <c r="B565" s="798">
        <f t="shared" si="18"/>
        <v>2</v>
      </c>
      <c r="C565" s="1105">
        <v>42856</v>
      </c>
      <c r="D565" s="934">
        <v>404.56430605252069</v>
      </c>
      <c r="E565" s="1100">
        <v>1679.56</v>
      </c>
      <c r="F565" s="1100">
        <v>1245</v>
      </c>
      <c r="G565" s="1101">
        <v>61.68</v>
      </c>
      <c r="H565" s="935">
        <v>82.947821409359861</v>
      </c>
      <c r="I565" s="1101">
        <v>50.29</v>
      </c>
      <c r="J565" s="1101">
        <v>67.630446476600312</v>
      </c>
      <c r="K565" s="936">
        <v>12310.77</v>
      </c>
      <c r="L565" s="936">
        <v>9154.2900000000009</v>
      </c>
      <c r="M565" s="936">
        <v>5.9</v>
      </c>
      <c r="N565" s="937">
        <v>51.87</v>
      </c>
      <c r="O565" s="938">
        <v>7519.5</v>
      </c>
      <c r="P565" s="938">
        <v>2866.68</v>
      </c>
      <c r="Q565" s="938">
        <v>3483.38</v>
      </c>
      <c r="R565" s="939">
        <v>19.25</v>
      </c>
      <c r="S565" s="940">
        <v>1208.9384993849937</v>
      </c>
      <c r="T565" s="940">
        <v>1268.9786068353769</v>
      </c>
      <c r="U565" s="1756">
        <v>73853</v>
      </c>
      <c r="V565" s="1323">
        <v>27443.713423597947</v>
      </c>
      <c r="W565" s="1323"/>
      <c r="X565" s="538">
        <v>0.74360000000000004</v>
      </c>
      <c r="AJ565" s="1156" t="s">
        <v>4</v>
      </c>
      <c r="AK565" s="874">
        <v>2013</v>
      </c>
      <c r="AL565" s="874" t="s">
        <v>433</v>
      </c>
      <c r="AM565" s="874">
        <v>10</v>
      </c>
      <c r="AN565" s="1114">
        <v>182792146</v>
      </c>
      <c r="AO565" s="1112">
        <v>8.9999999999999993E-3</v>
      </c>
      <c r="AP565" s="874"/>
      <c r="AQ565" s="1172" t="s">
        <v>1</v>
      </c>
      <c r="AR565" s="1172" t="s">
        <v>613</v>
      </c>
      <c r="AS565" s="1172" t="s">
        <v>431</v>
      </c>
      <c r="AT565" s="1172">
        <v>8</v>
      </c>
      <c r="AU565" s="1173">
        <v>208248000</v>
      </c>
      <c r="AV565" s="1169">
        <v>1.3968470059864777E-2</v>
      </c>
      <c r="AW565" s="874">
        <v>2012</v>
      </c>
    </row>
    <row r="566" spans="1:49">
      <c r="A566" s="798">
        <f t="shared" si="17"/>
        <v>2017</v>
      </c>
      <c r="B566" s="798">
        <f t="shared" si="18"/>
        <v>2</v>
      </c>
      <c r="C566" s="1105">
        <v>42887</v>
      </c>
      <c r="D566" s="1102">
        <v>364.85176877963738</v>
      </c>
      <c r="E566" s="1102">
        <v>1677.15</v>
      </c>
      <c r="F566" s="1102">
        <v>1260.26</v>
      </c>
      <c r="G566" s="1103">
        <v>57.15</v>
      </c>
      <c r="H566" s="805">
        <v>75.595238095238088</v>
      </c>
      <c r="I566" s="1103">
        <v>45.33</v>
      </c>
      <c r="J566" s="1103">
        <v>59.960317460317455</v>
      </c>
      <c r="K566" s="84">
        <v>11813.071164021165</v>
      </c>
      <c r="L566" s="84">
        <v>8930.6818000000003</v>
      </c>
      <c r="M566" s="84">
        <v>5.9</v>
      </c>
      <c r="N566" s="805">
        <v>47.88</v>
      </c>
      <c r="O566" s="941">
        <v>7538.9911375661368</v>
      </c>
      <c r="P566" s="941">
        <v>2819.0235449735446</v>
      </c>
      <c r="Q566" s="941">
        <v>3402.0261904761901</v>
      </c>
      <c r="R566" s="805">
        <v>20.100000000000001</v>
      </c>
      <c r="S566" s="805">
        <v>1184.3826378539493</v>
      </c>
      <c r="T566" s="805">
        <v>1264.2666238613106</v>
      </c>
      <c r="U566" s="805">
        <v>76311.026984126991</v>
      </c>
      <c r="V566" s="805">
        <v>27300.132128753361</v>
      </c>
      <c r="W566" s="805"/>
      <c r="X566" s="630">
        <v>0.75600000000000001</v>
      </c>
      <c r="AJ566" s="1156" t="s">
        <v>4</v>
      </c>
      <c r="AK566" s="874">
        <v>2013</v>
      </c>
      <c r="AL566" s="874" t="s">
        <v>45</v>
      </c>
      <c r="AM566" s="874"/>
      <c r="AN566" s="1114">
        <v>236241961</v>
      </c>
      <c r="AO566" s="1112">
        <v>1.2E-2</v>
      </c>
      <c r="AP566" s="874"/>
      <c r="AQ566" s="1172" t="s">
        <v>1</v>
      </c>
      <c r="AR566" s="1172" t="s">
        <v>613</v>
      </c>
      <c r="AS566" s="1172" t="s">
        <v>67</v>
      </c>
      <c r="AT566" s="1172">
        <v>9</v>
      </c>
      <c r="AU566" s="1173">
        <v>102965000</v>
      </c>
      <c r="AV566" s="1169">
        <v>6.9064937944853088E-3</v>
      </c>
      <c r="AW566" s="874">
        <v>2012</v>
      </c>
    </row>
    <row r="567" spans="1:49">
      <c r="A567" s="798">
        <f t="shared" si="17"/>
        <v>2017</v>
      </c>
      <c r="B567" s="798">
        <f t="shared" si="18"/>
        <v>3</v>
      </c>
      <c r="C567" s="1105">
        <v>42917</v>
      </c>
      <c r="D567" s="934">
        <v>381.89378007066256</v>
      </c>
      <c r="E567" s="1100">
        <v>1592.74</v>
      </c>
      <c r="F567" s="1100">
        <v>1236.22</v>
      </c>
      <c r="G567" s="1101">
        <v>67.209999999999994</v>
      </c>
      <c r="H567" s="935">
        <v>86.111467008327992</v>
      </c>
      <c r="I567" s="1101">
        <v>52.67</v>
      </c>
      <c r="J567" s="1101">
        <v>67.482383087764262</v>
      </c>
      <c r="K567" s="936">
        <v>12148.19602818706</v>
      </c>
      <c r="L567" s="936">
        <v>9481.6669999999995</v>
      </c>
      <c r="M567" s="936">
        <v>6.01</v>
      </c>
      <c r="N567" s="937">
        <v>48.77</v>
      </c>
      <c r="O567" s="938">
        <v>7659.955156950673</v>
      </c>
      <c r="P567" s="938">
        <v>2903.7860345932099</v>
      </c>
      <c r="Q567" s="938">
        <v>3568.3472133247915</v>
      </c>
      <c r="R567" s="939">
        <v>20.5</v>
      </c>
      <c r="S567" s="940">
        <v>1157.2112326043737</v>
      </c>
      <c r="T567" s="940">
        <v>1269.6128239033103</v>
      </c>
      <c r="U567" s="1756">
        <v>75485.803971812944</v>
      </c>
      <c r="V567" s="1323">
        <v>26062.485179978667</v>
      </c>
      <c r="W567" s="1323"/>
      <c r="X567" s="538">
        <v>0.78049999999999997</v>
      </c>
      <c r="AJ567" s="1156" t="s">
        <v>4</v>
      </c>
      <c r="AK567" s="874">
        <v>2013</v>
      </c>
      <c r="AL567" s="874" t="s">
        <v>452</v>
      </c>
      <c r="AM567" s="874"/>
      <c r="AN567" s="1114">
        <v>19940411163</v>
      </c>
      <c r="AO567" s="1112"/>
      <c r="AP567" s="874"/>
      <c r="AQ567" s="1172" t="s">
        <v>1</v>
      </c>
      <c r="AR567" s="1172" t="s">
        <v>613</v>
      </c>
      <c r="AS567" s="1172" t="s">
        <v>432</v>
      </c>
      <c r="AT567" s="1172">
        <v>10</v>
      </c>
      <c r="AU567" s="1173">
        <v>55236000</v>
      </c>
      <c r="AV567" s="1169">
        <v>3.7050171537142771E-3</v>
      </c>
      <c r="AW567" s="874">
        <v>2012</v>
      </c>
    </row>
    <row r="568" spans="1:49">
      <c r="A568" s="798">
        <f t="shared" si="17"/>
        <v>2017</v>
      </c>
      <c r="B568" s="798">
        <f t="shared" si="18"/>
        <v>3</v>
      </c>
      <c r="C568" s="1105">
        <v>42948</v>
      </c>
      <c r="D568" s="1102">
        <v>368.55134951417369</v>
      </c>
      <c r="E568" s="1102">
        <v>1623.19</v>
      </c>
      <c r="F568" s="1102">
        <v>1282.32</v>
      </c>
      <c r="G568" s="1103">
        <v>75.849999999999994</v>
      </c>
      <c r="H568" s="805">
        <v>95.818595250126322</v>
      </c>
      <c r="I568" s="1103">
        <v>60.32</v>
      </c>
      <c r="J568" s="1103">
        <v>76.200101061141993</v>
      </c>
      <c r="K568" s="84">
        <v>13710.149754237678</v>
      </c>
      <c r="L568" s="84">
        <v>10852.954545454546</v>
      </c>
      <c r="M568" s="84">
        <v>6.01</v>
      </c>
      <c r="N568" s="805">
        <v>51.64</v>
      </c>
      <c r="O568" s="941">
        <v>8183.6556571271076</v>
      </c>
      <c r="P568" s="941">
        <v>2977.9158436308517</v>
      </c>
      <c r="Q568" s="941">
        <v>3766.8530938490512</v>
      </c>
      <c r="R568" s="805">
        <v>20</v>
      </c>
      <c r="S568" s="805">
        <v>1081.4808238636363</v>
      </c>
      <c r="T568" s="805">
        <v>1363.271260199456</v>
      </c>
      <c r="U568" s="805">
        <v>73539.211723092478</v>
      </c>
      <c r="V568" s="805">
        <v>25606.338943652878</v>
      </c>
      <c r="W568" s="805"/>
      <c r="X568" s="630">
        <v>0.79159999999999997</v>
      </c>
      <c r="AJ568" s="1156" t="s">
        <v>4</v>
      </c>
      <c r="AK568" s="874">
        <v>2012</v>
      </c>
      <c r="AL568" s="874" t="s">
        <v>29</v>
      </c>
      <c r="AM568" s="874">
        <v>1</v>
      </c>
      <c r="AN568" s="1114">
        <v>11185622075.950001</v>
      </c>
      <c r="AO568" s="1112">
        <v>0.52682605235096291</v>
      </c>
      <c r="AP568" s="874"/>
      <c r="AQ568" s="1172" t="s">
        <v>1</v>
      </c>
      <c r="AR568" s="1172" t="s">
        <v>613</v>
      </c>
      <c r="AS568" s="1172" t="s">
        <v>45</v>
      </c>
      <c r="AT568" s="1172"/>
      <c r="AU568" s="1173">
        <v>21848000</v>
      </c>
      <c r="AV568" s="1169">
        <v>1.4654793028885062E-3</v>
      </c>
      <c r="AW568" s="874">
        <v>2012</v>
      </c>
    </row>
    <row r="569" spans="1:49">
      <c r="A569" s="798">
        <f t="shared" si="17"/>
        <v>2017</v>
      </c>
      <c r="B569" s="798">
        <f t="shared" si="18"/>
        <v>3</v>
      </c>
      <c r="C569" s="1105">
        <v>42979</v>
      </c>
      <c r="D569" s="934">
        <v>389.32141600849513</v>
      </c>
      <c r="E569" s="1100">
        <v>1657.81</v>
      </c>
      <c r="F569" s="1100">
        <v>1314.98</v>
      </c>
      <c r="G569" s="1101">
        <v>70.599999999999994</v>
      </c>
      <c r="H569" s="935">
        <v>88.615539098782477</v>
      </c>
      <c r="I569" s="1101">
        <v>55.71</v>
      </c>
      <c r="J569" s="1101">
        <v>69.925944521149745</v>
      </c>
      <c r="K569" s="936">
        <v>14100.125517760764</v>
      </c>
      <c r="L569" s="936">
        <v>11233.57</v>
      </c>
      <c r="M569" s="936">
        <v>6.01</v>
      </c>
      <c r="N569" s="937">
        <v>55.91</v>
      </c>
      <c r="O569" s="938">
        <v>8263.0739299610905</v>
      </c>
      <c r="P569" s="938">
        <v>2983.9161541358103</v>
      </c>
      <c r="Q569" s="938">
        <v>3915.8855278021842</v>
      </c>
      <c r="R569" s="939">
        <v>20.25</v>
      </c>
      <c r="S569" s="940">
        <v>1133.4576188143067</v>
      </c>
      <c r="T569" s="940">
        <v>1281.6329396744334</v>
      </c>
      <c r="U569" s="1756">
        <v>75681.235094765914</v>
      </c>
      <c r="V569" s="1323">
        <v>25933.760090656757</v>
      </c>
      <c r="W569" s="1323"/>
      <c r="X569" s="538">
        <v>0.79669999999999996</v>
      </c>
      <c r="AJ569" s="1156" t="s">
        <v>4</v>
      </c>
      <c r="AK569" s="874">
        <v>2012</v>
      </c>
      <c r="AL569" s="874" t="s">
        <v>24</v>
      </c>
      <c r="AM569" s="874">
        <v>2</v>
      </c>
      <c r="AN569" s="1114">
        <v>2762431481.3799996</v>
      </c>
      <c r="AO569" s="1112">
        <v>0.13010638678330697</v>
      </c>
      <c r="AP569" s="874"/>
      <c r="AQ569" s="1172" t="s">
        <v>1</v>
      </c>
      <c r="AR569" s="1172" t="s">
        <v>613</v>
      </c>
      <c r="AS569" s="1172" t="s">
        <v>452</v>
      </c>
      <c r="AT569" s="1172"/>
      <c r="AU569" s="1173">
        <v>14908433000</v>
      </c>
      <c r="AV569" s="1169">
        <v>1</v>
      </c>
      <c r="AW569" s="874">
        <v>2012</v>
      </c>
    </row>
    <row r="570" spans="1:49">
      <c r="A570" s="798">
        <f t="shared" si="17"/>
        <v>2017</v>
      </c>
      <c r="B570" s="798">
        <f t="shared" si="18"/>
        <v>4</v>
      </c>
      <c r="C570" s="1105">
        <v>43009</v>
      </c>
      <c r="D570" s="1102">
        <v>441.99328511996094</v>
      </c>
      <c r="E570" s="1102">
        <v>1647.23</v>
      </c>
      <c r="F570" s="1102">
        <v>1279.51</v>
      </c>
      <c r="G570" s="1103">
        <v>61.96</v>
      </c>
      <c r="H570" s="805">
        <v>79.568511621933993</v>
      </c>
      <c r="I570" s="1103">
        <v>47.34</v>
      </c>
      <c r="J570" s="1103">
        <v>60.793630409657126</v>
      </c>
      <c r="K570" s="84">
        <v>14543.469885706949</v>
      </c>
      <c r="L570" s="84">
        <v>11325</v>
      </c>
      <c r="M570" s="84">
        <v>6.02</v>
      </c>
      <c r="N570" s="805">
        <v>58.72</v>
      </c>
      <c r="O570" s="941">
        <v>8729.1465262617185</v>
      </c>
      <c r="P570" s="941">
        <v>3218.5636316938489</v>
      </c>
      <c r="Q570" s="941">
        <v>4204.3848722229359</v>
      </c>
      <c r="R570" s="805">
        <v>19.95</v>
      </c>
      <c r="S570" s="805">
        <v>1232.1185062965569</v>
      </c>
      <c r="T570" s="805">
        <v>1568.7805748637986</v>
      </c>
      <c r="U570" s="805">
        <v>76993.123796070373</v>
      </c>
      <c r="V570" s="805">
        <v>27463.954277295663</v>
      </c>
      <c r="W570" s="805"/>
      <c r="X570" s="630">
        <v>0.77869999999999995</v>
      </c>
      <c r="AJ570" s="1156" t="s">
        <v>4</v>
      </c>
      <c r="AK570" s="874">
        <v>2012</v>
      </c>
      <c r="AL570" s="874" t="s">
        <v>70</v>
      </c>
      <c r="AM570" s="874">
        <v>3</v>
      </c>
      <c r="AN570" s="1114">
        <v>2035872798.2100003</v>
      </c>
      <c r="AO570" s="1112">
        <v>9.5886560629985421E-2</v>
      </c>
      <c r="AP570" s="874"/>
      <c r="AQ570" s="1174" t="s">
        <v>1</v>
      </c>
      <c r="AR570" s="1174" t="s">
        <v>614</v>
      </c>
      <c r="AS570" s="1174" t="s">
        <v>646</v>
      </c>
      <c r="AT570" s="1174">
        <v>1</v>
      </c>
      <c r="AU570" s="1175">
        <v>8109699000</v>
      </c>
      <c r="AV570" s="1169">
        <v>0.63906605264665517</v>
      </c>
      <c r="AW570" s="874">
        <v>2013</v>
      </c>
    </row>
    <row r="571" spans="1:49">
      <c r="A571" s="798">
        <f t="shared" si="17"/>
        <v>2017</v>
      </c>
      <c r="B571" s="798">
        <f t="shared" si="18"/>
        <v>4</v>
      </c>
      <c r="C571" s="1105">
        <v>43040</v>
      </c>
      <c r="D571" s="934">
        <v>549.05556823551399</v>
      </c>
      <c r="E571" s="1100">
        <v>1686.71</v>
      </c>
      <c r="F571" s="1100">
        <v>1282.28</v>
      </c>
      <c r="G571" s="1101">
        <v>64.17</v>
      </c>
      <c r="H571" s="935">
        <v>84.179456906729641</v>
      </c>
      <c r="I571" s="1101">
        <v>50.06</v>
      </c>
      <c r="J571" s="1101">
        <v>65.669683851502043</v>
      </c>
      <c r="K571" s="936">
        <v>15732.293454020728</v>
      </c>
      <c r="L571" s="936">
        <v>11992.7273</v>
      </c>
      <c r="M571" s="936">
        <v>6.02</v>
      </c>
      <c r="N571" s="937">
        <v>64.37</v>
      </c>
      <c r="O571" s="938">
        <v>8953.9134199134205</v>
      </c>
      <c r="P571" s="938">
        <v>3232.8598976780795</v>
      </c>
      <c r="Q571" s="938">
        <v>4245.2565918929558</v>
      </c>
      <c r="R571" s="939">
        <v>22</v>
      </c>
      <c r="S571" s="940">
        <v>1253.5497441728255</v>
      </c>
      <c r="T571" s="940">
        <v>1651.0540428472702</v>
      </c>
      <c r="U571" s="1756">
        <v>81690.577594123053</v>
      </c>
      <c r="V571" s="1323">
        <v>28421.623120454744</v>
      </c>
      <c r="W571" s="1323"/>
      <c r="X571" s="538">
        <v>0.76229999999999998</v>
      </c>
      <c r="AJ571" s="1156" t="s">
        <v>4</v>
      </c>
      <c r="AK571" s="874">
        <v>2012</v>
      </c>
      <c r="AL571" s="874" t="s">
        <v>30</v>
      </c>
      <c r="AM571" s="874">
        <v>4</v>
      </c>
      <c r="AN571" s="1114">
        <v>1510438134.2399993</v>
      </c>
      <c r="AO571" s="1112">
        <v>7.1139374652475926E-2</v>
      </c>
      <c r="AP571" s="874"/>
      <c r="AQ571" s="1174" t="s">
        <v>1</v>
      </c>
      <c r="AR571" s="1174" t="s">
        <v>614</v>
      </c>
      <c r="AS571" s="1174" t="s">
        <v>70</v>
      </c>
      <c r="AT571" s="1174">
        <v>2</v>
      </c>
      <c r="AU571" s="1175">
        <v>2271477000</v>
      </c>
      <c r="AV571" s="1169">
        <v>0.17899848564880969</v>
      </c>
      <c r="AW571" s="874">
        <v>2013</v>
      </c>
    </row>
    <row r="572" spans="1:49">
      <c r="A572" s="798">
        <f t="shared" si="17"/>
        <v>2017</v>
      </c>
      <c r="B572" s="798">
        <f t="shared" si="18"/>
        <v>4</v>
      </c>
      <c r="C572" s="1105">
        <v>43070</v>
      </c>
      <c r="D572" s="1102">
        <v>544.07852812361705</v>
      </c>
      <c r="E572" s="1102">
        <v>1662.39</v>
      </c>
      <c r="F572" s="1102">
        <v>1261.05</v>
      </c>
      <c r="G572" s="1103">
        <v>71.61</v>
      </c>
      <c r="H572" s="805">
        <v>93.607843137254903</v>
      </c>
      <c r="I572" s="1103">
        <v>56.33</v>
      </c>
      <c r="J572" s="1103">
        <v>73.633986928104576</v>
      </c>
      <c r="K572" s="84">
        <v>14914.00065359477</v>
      </c>
      <c r="L572" s="84">
        <v>11409.210499999999</v>
      </c>
      <c r="M572" s="84">
        <v>6.02</v>
      </c>
      <c r="N572" s="805">
        <v>65.989999999999995</v>
      </c>
      <c r="O572" s="941">
        <v>8890.4024836601311</v>
      </c>
      <c r="P572" s="941">
        <v>3279.4977777777776</v>
      </c>
      <c r="Q572" s="941">
        <v>4173.1682352941179</v>
      </c>
      <c r="R572" s="805">
        <v>23.75</v>
      </c>
      <c r="S572" s="805">
        <v>1210.3602569986233</v>
      </c>
      <c r="T572" s="805">
        <v>1657.3379351295182</v>
      </c>
      <c r="U572" s="805">
        <v>94888.200915032678</v>
      </c>
      <c r="V572" s="805">
        <v>28479.538394366144</v>
      </c>
      <c r="W572" s="805"/>
      <c r="X572" s="630">
        <v>0.76500000000000001</v>
      </c>
      <c r="AJ572" s="1156" t="s">
        <v>4</v>
      </c>
      <c r="AK572" s="874">
        <v>2012</v>
      </c>
      <c r="AL572" s="874" t="s">
        <v>31</v>
      </c>
      <c r="AM572" s="874">
        <v>5</v>
      </c>
      <c r="AN572" s="1114">
        <v>833481286.0400002</v>
      </c>
      <c r="AO572" s="1112">
        <v>3.9255720660986496E-2</v>
      </c>
      <c r="AP572" s="874"/>
      <c r="AQ572" s="1174" t="s">
        <v>1</v>
      </c>
      <c r="AR572" s="1174" t="s">
        <v>614</v>
      </c>
      <c r="AS572" s="1174" t="s">
        <v>72</v>
      </c>
      <c r="AT572" s="1174">
        <v>3</v>
      </c>
      <c r="AU572" s="1175">
        <v>635929000</v>
      </c>
      <c r="AV572" s="1169">
        <v>5.0112912426655387E-2</v>
      </c>
      <c r="AW572" s="874">
        <v>2013</v>
      </c>
    </row>
    <row r="573" spans="1:49">
      <c r="A573" s="798">
        <f t="shared" si="17"/>
        <v>2018</v>
      </c>
      <c r="B573" s="798">
        <f t="shared" si="18"/>
        <v>1</v>
      </c>
      <c r="C573" s="1105">
        <v>43101</v>
      </c>
      <c r="D573" s="934">
        <v>491.47742085733648</v>
      </c>
      <c r="E573" s="1100">
        <v>1679.27</v>
      </c>
      <c r="F573" s="1100">
        <v>1332.2375000000002</v>
      </c>
      <c r="G573" s="1101">
        <v>75.78</v>
      </c>
      <c r="H573" s="935">
        <v>95.236898328515778</v>
      </c>
      <c r="I573" s="1101">
        <v>60.75</v>
      </c>
      <c r="J573" s="1101">
        <v>76.347869800175943</v>
      </c>
      <c r="K573" s="936">
        <v>16187.29420635918</v>
      </c>
      <c r="L573" s="936">
        <v>12880.23</v>
      </c>
      <c r="M573" s="936">
        <v>6.19</v>
      </c>
      <c r="N573" s="937">
        <v>70.72</v>
      </c>
      <c r="O573" s="938">
        <v>8898.1978132461991</v>
      </c>
      <c r="P573" s="938">
        <v>3254.7103179590299</v>
      </c>
      <c r="Q573" s="938">
        <v>4332.2923212265932</v>
      </c>
      <c r="R573" s="939">
        <v>22</v>
      </c>
      <c r="S573" s="940">
        <v>1206.4742616033755</v>
      </c>
      <c r="T573" s="940">
        <v>1673.7133990507484</v>
      </c>
      <c r="U573" s="1756">
        <v>97712.705793640824</v>
      </c>
      <c r="V573" s="1323">
        <v>27702.474712042906</v>
      </c>
      <c r="W573" s="1323">
        <v>1212.7686313937413</v>
      </c>
      <c r="X573" s="538">
        <v>0.79569999999999996</v>
      </c>
      <c r="AJ573" s="1156" t="s">
        <v>4</v>
      </c>
      <c r="AK573" s="874">
        <v>2012</v>
      </c>
      <c r="AL573" s="874" t="s">
        <v>39</v>
      </c>
      <c r="AM573" s="874">
        <v>6</v>
      </c>
      <c r="AN573" s="1114">
        <v>820276253.78999996</v>
      </c>
      <c r="AO573" s="1112">
        <v>3.8633783412955168E-2</v>
      </c>
      <c r="AP573" s="874"/>
      <c r="AQ573" s="1174" t="s">
        <v>1</v>
      </c>
      <c r="AR573" s="1174" t="s">
        <v>614</v>
      </c>
      <c r="AS573" s="1174" t="s">
        <v>85</v>
      </c>
      <c r="AT573" s="1174">
        <v>4</v>
      </c>
      <c r="AU573" s="1175">
        <v>537371000</v>
      </c>
      <c r="AV573" s="1169">
        <v>4.2346277436041177E-2</v>
      </c>
      <c r="AW573" s="874">
        <v>2013</v>
      </c>
    </row>
    <row r="574" spans="1:49">
      <c r="A574" s="798">
        <f t="shared" si="17"/>
        <v>2018</v>
      </c>
      <c r="B574" s="798">
        <f t="shared" si="18"/>
        <v>1</v>
      </c>
      <c r="C574" s="1105">
        <v>43132</v>
      </c>
      <c r="D574" s="1102">
        <v>490.26308556986919</v>
      </c>
      <c r="E574" s="1102">
        <v>1695.77</v>
      </c>
      <c r="F574" s="1102">
        <v>1332.65</v>
      </c>
      <c r="G574" s="1103">
        <v>77.48</v>
      </c>
      <c r="H574" s="805">
        <v>98.474834773767157</v>
      </c>
      <c r="I574" s="1103">
        <v>62.98</v>
      </c>
      <c r="J574" s="1103">
        <v>80.045754956786979</v>
      </c>
      <c r="K574" s="84">
        <v>17255.655821047279</v>
      </c>
      <c r="L574" s="84">
        <v>13576.75</v>
      </c>
      <c r="M574" s="84">
        <v>6.19</v>
      </c>
      <c r="N574" s="805">
        <v>67.489999999999995</v>
      </c>
      <c r="O574" s="941">
        <v>8899.0849008642599</v>
      </c>
      <c r="P574" s="941">
        <v>3280.1537874936448</v>
      </c>
      <c r="Q574" s="941">
        <v>4498.9514489069643</v>
      </c>
      <c r="R574" s="805">
        <v>21.75</v>
      </c>
      <c r="S574" s="805">
        <v>1294.9728155339806</v>
      </c>
      <c r="T574" s="805">
        <v>1855.9223646723647</v>
      </c>
      <c r="U574" s="805">
        <v>103107.5241484494</v>
      </c>
      <c r="V574" s="805">
        <v>27812.026844128144</v>
      </c>
      <c r="W574" s="805">
        <v>1226.487036095577</v>
      </c>
      <c r="X574" s="630">
        <v>0.78680000000000005</v>
      </c>
      <c r="AJ574" s="1156" t="s">
        <v>4</v>
      </c>
      <c r="AK574" s="874">
        <v>2012</v>
      </c>
      <c r="AL574" s="874" t="s">
        <v>433</v>
      </c>
      <c r="AM574" s="874">
        <v>7</v>
      </c>
      <c r="AN574" s="1114">
        <v>598752878.56999993</v>
      </c>
      <c r="AO574" s="1112">
        <v>2.8200364111087509E-2</v>
      </c>
      <c r="AP574" s="874"/>
      <c r="AQ574" s="1174" t="s">
        <v>1</v>
      </c>
      <c r="AR574" s="1174" t="s">
        <v>614</v>
      </c>
      <c r="AS574" s="1174" t="s">
        <v>39</v>
      </c>
      <c r="AT574" s="1174">
        <v>5</v>
      </c>
      <c r="AU574" s="1175">
        <v>444473000</v>
      </c>
      <c r="AV574" s="1169">
        <v>3.5025665640366771E-2</v>
      </c>
      <c r="AW574" s="874">
        <v>2013</v>
      </c>
    </row>
    <row r="575" spans="1:49">
      <c r="A575" s="798">
        <f t="shared" si="17"/>
        <v>2018</v>
      </c>
      <c r="B575" s="798">
        <f t="shared" si="18"/>
        <v>1</v>
      </c>
      <c r="C575" s="1105">
        <v>43160</v>
      </c>
      <c r="D575" s="934">
        <v>480.22047303581974</v>
      </c>
      <c r="E575" s="1100">
        <v>1712.39</v>
      </c>
      <c r="F575" s="1100">
        <v>1325.109523809524</v>
      </c>
      <c r="G575" s="1101">
        <v>70.010000000000005</v>
      </c>
      <c r="H575" s="935">
        <v>90.230699832452643</v>
      </c>
      <c r="I575" s="1101">
        <v>57.18</v>
      </c>
      <c r="J575" s="1101">
        <v>73.695063796881044</v>
      </c>
      <c r="K575" s="936">
        <v>17274.867895347339</v>
      </c>
      <c r="L575" s="936">
        <v>13403.57</v>
      </c>
      <c r="M575" s="936">
        <v>6.19</v>
      </c>
      <c r="N575" s="937">
        <v>67.87</v>
      </c>
      <c r="O575" s="938">
        <v>8758.5513597113022</v>
      </c>
      <c r="P575" s="938">
        <v>3089.3156334579198</v>
      </c>
      <c r="Q575" s="938">
        <v>4227.9675215878333</v>
      </c>
      <c r="R575" s="939">
        <v>21.1</v>
      </c>
      <c r="S575" s="940">
        <v>1293.3423787528868</v>
      </c>
      <c r="T575" s="940">
        <v>1740.1903616600866</v>
      </c>
      <c r="U575" s="1756">
        <v>113416.67740688233</v>
      </c>
      <c r="V575" s="1323">
        <v>28394.32199082875</v>
      </c>
      <c r="W575" s="1323">
        <v>1243.7169738368345</v>
      </c>
      <c r="X575" s="538">
        <v>0.77590000000000003</v>
      </c>
      <c r="AJ575" s="1156" t="s">
        <v>4</v>
      </c>
      <c r="AK575" s="874">
        <v>2012</v>
      </c>
      <c r="AL575" s="874" t="s">
        <v>152</v>
      </c>
      <c r="AM575" s="874">
        <v>8</v>
      </c>
      <c r="AN575" s="1114">
        <v>584697728.56999981</v>
      </c>
      <c r="AO575" s="1112">
        <v>2.7538387589851266E-2</v>
      </c>
      <c r="AP575" s="874"/>
      <c r="AQ575" s="1174" t="s">
        <v>1</v>
      </c>
      <c r="AR575" s="1174" t="s">
        <v>614</v>
      </c>
      <c r="AS575" s="1174" t="s">
        <v>27</v>
      </c>
      <c r="AT575" s="1174">
        <v>6</v>
      </c>
      <c r="AU575" s="1175">
        <v>240258000</v>
      </c>
      <c r="AV575" s="1169">
        <v>1.8932975401032771E-2</v>
      </c>
      <c r="AW575" s="874">
        <v>2013</v>
      </c>
    </row>
    <row r="576" spans="1:49">
      <c r="A576" s="798">
        <f t="shared" si="17"/>
        <v>2018</v>
      </c>
      <c r="B576" s="798">
        <f t="shared" si="18"/>
        <v>2</v>
      </c>
      <c r="C576" s="1105">
        <v>43191</v>
      </c>
      <c r="D576" s="1102">
        <v>480.11947310474034</v>
      </c>
      <c r="E576" s="1102">
        <v>1741.12</v>
      </c>
      <c r="F576" s="1102">
        <v>1334.74</v>
      </c>
      <c r="G576" s="1103">
        <v>65.430000000000007</v>
      </c>
      <c r="H576" s="805">
        <v>85.162046075751675</v>
      </c>
      <c r="I576" s="1103">
        <v>52.55</v>
      </c>
      <c r="J576" s="1103">
        <v>68.397761291162311</v>
      </c>
      <c r="K576" s="84">
        <v>18136.795522582324</v>
      </c>
      <c r="L576" s="84">
        <v>13934.5</v>
      </c>
      <c r="M576" s="84">
        <v>6.38</v>
      </c>
      <c r="N576" s="805">
        <v>73.02</v>
      </c>
      <c r="O576" s="941">
        <v>8900.8850709358321</v>
      </c>
      <c r="P576" s="941">
        <v>3068.3001431732396</v>
      </c>
      <c r="Q576" s="941">
        <v>4153.2279057659771</v>
      </c>
      <c r="R576" s="805">
        <v>21</v>
      </c>
      <c r="S576" s="805">
        <v>1245.1258426966292</v>
      </c>
      <c r="T576" s="805">
        <v>1872.7807713239965</v>
      </c>
      <c r="U576" s="805">
        <v>118264.34986333463</v>
      </c>
      <c r="V576" s="805">
        <v>29606.263301915478</v>
      </c>
      <c r="W576" s="805">
        <v>1256.0197839385658</v>
      </c>
      <c r="X576" s="630">
        <v>0.76829999999999998</v>
      </c>
      <c r="AJ576" s="1156" t="s">
        <v>4</v>
      </c>
      <c r="AK576" s="874">
        <v>2012</v>
      </c>
      <c r="AL576" s="874" t="s">
        <v>28</v>
      </c>
      <c r="AM576" s="874">
        <v>9</v>
      </c>
      <c r="AN576" s="1114">
        <v>236492879.88999999</v>
      </c>
      <c r="AO576" s="1112">
        <v>1.1138460559063505E-2</v>
      </c>
      <c r="AP576" s="874"/>
      <c r="AQ576" s="1174" t="s">
        <v>1</v>
      </c>
      <c r="AR576" s="1174" t="s">
        <v>614</v>
      </c>
      <c r="AS576" s="1174" t="s">
        <v>431</v>
      </c>
      <c r="AT576" s="1174">
        <v>7</v>
      </c>
      <c r="AU576" s="1175">
        <v>176937000</v>
      </c>
      <c r="AV576" s="1169">
        <v>1.3943110608314959E-2</v>
      </c>
      <c r="AW576" s="874">
        <v>2013</v>
      </c>
    </row>
    <row r="577" spans="1:49">
      <c r="A577" s="798">
        <f t="shared" si="17"/>
        <v>2018</v>
      </c>
      <c r="B577" s="798">
        <f t="shared" si="18"/>
        <v>2</v>
      </c>
      <c r="C577" s="1105">
        <v>43221</v>
      </c>
      <c r="D577" s="934">
        <v>609.17389773981392</v>
      </c>
      <c r="E577" s="1100">
        <v>1721.78</v>
      </c>
      <c r="F577" s="1100">
        <v>1303.03</v>
      </c>
      <c r="G577" s="1101">
        <v>66</v>
      </c>
      <c r="H577" s="935">
        <v>87.672688629117957</v>
      </c>
      <c r="I577" s="1101">
        <v>53.95</v>
      </c>
      <c r="J577" s="1101">
        <v>71.665781083953249</v>
      </c>
      <c r="K577" s="936">
        <v>19070.707454076208</v>
      </c>
      <c r="L577" s="936">
        <v>14356.428571428571</v>
      </c>
      <c r="M577" s="936">
        <v>6.38</v>
      </c>
      <c r="N577" s="937">
        <v>78.41</v>
      </c>
      <c r="O577" s="938">
        <v>9061.8516269419561</v>
      </c>
      <c r="P577" s="938">
        <v>3140.1181620363341</v>
      </c>
      <c r="Q577" s="938">
        <v>4061.9781387581597</v>
      </c>
      <c r="R577" s="939">
        <v>22.75</v>
      </c>
      <c r="S577" s="940">
        <v>1341.9234072314189</v>
      </c>
      <c r="T577" s="940">
        <v>1938.025706940874</v>
      </c>
      <c r="U577" s="1756">
        <v>120138.78346237537</v>
      </c>
      <c r="V577" s="1323">
        <v>28935.019304984304</v>
      </c>
      <c r="W577" s="1323">
        <v>1253.9851222104144</v>
      </c>
      <c r="X577" s="538">
        <v>0.75280000000000002</v>
      </c>
      <c r="AJ577" s="1156" t="s">
        <v>4</v>
      </c>
      <c r="AK577" s="874">
        <v>2012</v>
      </c>
      <c r="AL577" s="874" t="s">
        <v>41</v>
      </c>
      <c r="AM577" s="874">
        <v>10</v>
      </c>
      <c r="AN577" s="1114">
        <v>236190311.53999999</v>
      </c>
      <c r="AO577" s="1112">
        <v>1.1124210042792303E-2</v>
      </c>
      <c r="AP577" s="874"/>
      <c r="AQ577" s="1174" t="s">
        <v>1</v>
      </c>
      <c r="AR577" s="1174" t="s">
        <v>614</v>
      </c>
      <c r="AS577" s="1174" t="s">
        <v>434</v>
      </c>
      <c r="AT577" s="1174">
        <v>8</v>
      </c>
      <c r="AU577" s="1175">
        <v>120917000</v>
      </c>
      <c r="AV577" s="1169">
        <v>9.5285842159956377E-3</v>
      </c>
      <c r="AW577" s="874">
        <v>2013</v>
      </c>
    </row>
    <row r="578" spans="1:49">
      <c r="A578" s="798">
        <f t="shared" si="17"/>
        <v>2018</v>
      </c>
      <c r="B578" s="798">
        <f t="shared" si="18"/>
        <v>2</v>
      </c>
      <c r="C578" s="1105">
        <v>43252</v>
      </c>
      <c r="D578" s="1102">
        <v>643.76554106926437</v>
      </c>
      <c r="E578" s="1102">
        <v>1714.33</v>
      </c>
      <c r="F578" s="1102">
        <v>1281.57</v>
      </c>
      <c r="G578" s="1103">
        <v>64.45</v>
      </c>
      <c r="H578" s="805">
        <v>86.036577226004539</v>
      </c>
      <c r="I578" s="1103">
        <v>53.44</v>
      </c>
      <c r="J578" s="1103">
        <v>71.338940061407015</v>
      </c>
      <c r="K578" s="84">
        <v>20172.143079632067</v>
      </c>
      <c r="L578" s="84">
        <v>15110.952380952382</v>
      </c>
      <c r="M578" s="84">
        <v>6.38</v>
      </c>
      <c r="N578" s="805">
        <v>76.91</v>
      </c>
      <c r="O578" s="941">
        <v>9284.1886454221258</v>
      </c>
      <c r="P578" s="941">
        <v>3258.2273331172014</v>
      </c>
      <c r="Q578" s="941">
        <v>4127.3019687116603</v>
      </c>
      <c r="R578" s="805">
        <v>22.55</v>
      </c>
      <c r="S578" s="805">
        <v>1373.1087239583333</v>
      </c>
      <c r="T578" s="805">
        <v>1895.1131188347008</v>
      </c>
      <c r="U578" s="805">
        <v>109264.45067414231</v>
      </c>
      <c r="V578" s="805">
        <v>28071.768779445687</v>
      </c>
      <c r="W578" s="805">
        <v>1223.801895608063</v>
      </c>
      <c r="X578" s="630">
        <v>0.74909999999999999</v>
      </c>
      <c r="AJ578" s="1156" t="s">
        <v>4</v>
      </c>
      <c r="AK578" s="874">
        <v>2012</v>
      </c>
      <c r="AL578" s="874" t="s">
        <v>45</v>
      </c>
      <c r="AM578" s="874"/>
      <c r="AN578" s="1114">
        <v>427841608.97999954</v>
      </c>
      <c r="AO578" s="1112">
        <v>2.0150699206532445E-2</v>
      </c>
      <c r="AP578" s="874"/>
      <c r="AQ578" s="1174" t="s">
        <v>1</v>
      </c>
      <c r="AR578" s="1174" t="s">
        <v>614</v>
      </c>
      <c r="AS578" s="1174" t="s">
        <v>643</v>
      </c>
      <c r="AT578" s="1174">
        <v>9</v>
      </c>
      <c r="AU578" s="1175">
        <v>45445000</v>
      </c>
      <c r="AV578" s="1169">
        <v>3.5811880024803934E-3</v>
      </c>
      <c r="AW578" s="874">
        <v>2013</v>
      </c>
    </row>
    <row r="579" spans="1:49">
      <c r="A579" s="798">
        <f t="shared" si="17"/>
        <v>2018</v>
      </c>
      <c r="B579" s="798">
        <f t="shared" si="18"/>
        <v>3</v>
      </c>
      <c r="C579" s="1105">
        <v>43282</v>
      </c>
      <c r="D579" s="934">
        <v>614.83939372491841</v>
      </c>
      <c r="E579" s="1100">
        <v>1677.03</v>
      </c>
      <c r="F579" s="1100">
        <v>1238.53</v>
      </c>
      <c r="G579" s="1101">
        <v>64.09</v>
      </c>
      <c r="H579" s="935">
        <v>86.549628629304522</v>
      </c>
      <c r="I579" s="1101">
        <v>53.85</v>
      </c>
      <c r="J579" s="1101">
        <v>72.721134368669809</v>
      </c>
      <c r="K579" s="936">
        <v>18598.305813025596</v>
      </c>
      <c r="L579" s="936">
        <v>13772.045454545454</v>
      </c>
      <c r="M579" s="936">
        <v>5.9950000000000001</v>
      </c>
      <c r="N579" s="937">
        <v>76.33</v>
      </c>
      <c r="O579" s="938">
        <v>8437.7877355595101</v>
      </c>
      <c r="P579" s="938">
        <v>2988.3985022405009</v>
      </c>
      <c r="Q579" s="938">
        <v>3590.4487140138722</v>
      </c>
      <c r="R579" s="939">
        <v>25.7</v>
      </c>
      <c r="S579" s="940">
        <v>1361.773428232503</v>
      </c>
      <c r="T579" s="940">
        <v>2096.9206536719826</v>
      </c>
      <c r="U579" s="1756">
        <v>95804.431894911308</v>
      </c>
      <c r="V579" s="1323">
        <v>26068.921037309086</v>
      </c>
      <c r="W579" s="1323">
        <v>1174.2741390952058</v>
      </c>
      <c r="X579" s="538">
        <v>0.74050000000000005</v>
      </c>
      <c r="AJ579" s="1156" t="s">
        <v>4</v>
      </c>
      <c r="AK579" s="874">
        <v>2012</v>
      </c>
      <c r="AL579" s="874" t="s">
        <v>452</v>
      </c>
      <c r="AM579" s="874"/>
      <c r="AN579" s="1114">
        <v>21232097437.16</v>
      </c>
      <c r="AO579" s="1112"/>
      <c r="AP579" s="874"/>
      <c r="AQ579" s="1174" t="s">
        <v>1</v>
      </c>
      <c r="AR579" s="1174" t="s">
        <v>614</v>
      </c>
      <c r="AS579" s="1174" t="s">
        <v>67</v>
      </c>
      <c r="AT579" s="1174">
        <v>10</v>
      </c>
      <c r="AU579" s="1175">
        <v>34773000</v>
      </c>
      <c r="AV579" s="1169">
        <v>2.7402057522334846E-3</v>
      </c>
      <c r="AW579" s="874">
        <v>2013</v>
      </c>
    </row>
    <row r="580" spans="1:49">
      <c r="A580" s="798">
        <f t="shared" si="17"/>
        <v>2018</v>
      </c>
      <c r="B580" s="798">
        <f t="shared" si="18"/>
        <v>3</v>
      </c>
      <c r="C580" s="1105">
        <v>43313</v>
      </c>
      <c r="D580" s="1102">
        <v>600.19848496290138</v>
      </c>
      <c r="E580" s="1102">
        <v>1642.36</v>
      </c>
      <c r="F580" s="1102">
        <v>1201.25</v>
      </c>
      <c r="G580" s="1103">
        <v>66.81</v>
      </c>
      <c r="H580" s="805">
        <v>91.195741195741192</v>
      </c>
      <c r="I580" s="1103">
        <v>55.25</v>
      </c>
      <c r="J580" s="1103">
        <v>75.416325416325407</v>
      </c>
      <c r="K580" s="84">
        <v>18336.001290546745</v>
      </c>
      <c r="L580" s="84">
        <v>13432.954545454546</v>
      </c>
      <c r="M580" s="84">
        <v>5.9950000000000001</v>
      </c>
      <c r="N580" s="805">
        <v>74.77</v>
      </c>
      <c r="O580" s="941">
        <v>8244.2669942669945</v>
      </c>
      <c r="P580" s="941">
        <v>2818.5416821780459</v>
      </c>
      <c r="Q580" s="941">
        <v>3426.8669495942227</v>
      </c>
      <c r="R580" s="805">
        <v>27.35</v>
      </c>
      <c r="S580" s="805">
        <v>1436.7537037037036</v>
      </c>
      <c r="T580" s="805">
        <v>2112.8665584105456</v>
      </c>
      <c r="U580" s="805">
        <v>86559.70019606383</v>
      </c>
      <c r="V580" s="805">
        <v>22659.945202005336</v>
      </c>
      <c r="W580" s="805">
        <v>1108.3265083265082</v>
      </c>
      <c r="X580" s="630">
        <v>0.73260000000000003</v>
      </c>
      <c r="AJ580" s="1156" t="s">
        <v>4</v>
      </c>
      <c r="AK580" s="874">
        <v>2011</v>
      </c>
      <c r="AL580" s="874" t="s">
        <v>29</v>
      </c>
      <c r="AM580" s="874">
        <v>1</v>
      </c>
      <c r="AN580" s="1114">
        <v>8738790178.4799957</v>
      </c>
      <c r="AO580" s="1112">
        <v>0.448887204097208</v>
      </c>
      <c r="AP580" s="874"/>
      <c r="AQ580" s="1174" t="s">
        <v>1</v>
      </c>
      <c r="AR580" s="1174" t="s">
        <v>614</v>
      </c>
      <c r="AS580" s="1174" t="s">
        <v>45</v>
      </c>
      <c r="AT580" s="1174"/>
      <c r="AU580" s="1175">
        <v>72644000</v>
      </c>
      <c r="AV580" s="1169">
        <v>5.724542221414582E-3</v>
      </c>
      <c r="AW580" s="874">
        <v>2013</v>
      </c>
    </row>
    <row r="581" spans="1:49">
      <c r="A581" s="798">
        <f t="shared" si="17"/>
        <v>2018</v>
      </c>
      <c r="B581" s="798">
        <f t="shared" si="18"/>
        <v>3</v>
      </c>
      <c r="C581" s="1105">
        <v>43344</v>
      </c>
      <c r="D581" s="934">
        <v>697.52920842459241</v>
      </c>
      <c r="E581" s="1100">
        <v>1669.31</v>
      </c>
      <c r="F581" s="1100">
        <v>1198.47</v>
      </c>
      <c r="G581" s="1101">
        <v>68.34</v>
      </c>
      <c r="H581" s="935">
        <v>94.863964464186566</v>
      </c>
      <c r="I581" s="1101">
        <v>55.74</v>
      </c>
      <c r="J581" s="1101">
        <v>77.373681288173231</v>
      </c>
      <c r="K581" s="936">
        <v>17389.297612437535</v>
      </c>
      <c r="L581" s="936">
        <v>12527.25</v>
      </c>
      <c r="M581" s="936">
        <v>5.9950000000000001</v>
      </c>
      <c r="N581" s="937">
        <v>80.540000000000006</v>
      </c>
      <c r="O581" s="938">
        <v>8356.5033314825087</v>
      </c>
      <c r="P581" s="938">
        <v>2815.415047196002</v>
      </c>
      <c r="Q581" s="938">
        <v>3377.5680177679064</v>
      </c>
      <c r="R581" s="939">
        <v>27.4</v>
      </c>
      <c r="S581" s="940">
        <v>1494.2061579651941</v>
      </c>
      <c r="T581" s="940">
        <v>2147.098704778919</v>
      </c>
      <c r="U581" s="1756">
        <v>86792.059966685163</v>
      </c>
      <c r="V581" s="1323">
        <v>22784.394816094496</v>
      </c>
      <c r="W581" s="1323">
        <v>1117.4347584675179</v>
      </c>
      <c r="X581" s="538">
        <v>0.72040000000000004</v>
      </c>
      <c r="AJ581" s="1156" t="s">
        <v>4</v>
      </c>
      <c r="AK581" s="874">
        <v>2011</v>
      </c>
      <c r="AL581" s="874" t="s">
        <v>24</v>
      </c>
      <c r="AM581" s="874">
        <v>2</v>
      </c>
      <c r="AN581" s="1114">
        <v>3423677055.5500002</v>
      </c>
      <c r="AO581" s="1112">
        <v>0.17586471236970655</v>
      </c>
      <c r="AP581" s="874"/>
      <c r="AQ581" s="1174" t="s">
        <v>1</v>
      </c>
      <c r="AR581" s="1174" t="s">
        <v>614</v>
      </c>
      <c r="AS581" s="1174" t="s">
        <v>452</v>
      </c>
      <c r="AT581" s="1174"/>
      <c r="AU581" s="1175">
        <v>12689923000</v>
      </c>
      <c r="AV581" s="1169">
        <v>1</v>
      </c>
      <c r="AW581" s="874">
        <v>2013</v>
      </c>
    </row>
    <row r="582" spans="1:49">
      <c r="A582" s="798">
        <f t="shared" si="17"/>
        <v>2018</v>
      </c>
      <c r="B582" s="798">
        <f t="shared" si="18"/>
        <v>4</v>
      </c>
      <c r="C582" s="1105">
        <v>43374</v>
      </c>
      <c r="D582" s="1102">
        <v>730.88614178825844</v>
      </c>
      <c r="E582" s="1102">
        <v>1714.3</v>
      </c>
      <c r="F582" s="1102">
        <v>1215.3900000000001</v>
      </c>
      <c r="G582" s="1103">
        <v>72.56</v>
      </c>
      <c r="H582" s="805">
        <v>102.16840326668543</v>
      </c>
      <c r="I582" s="1103">
        <v>59.87</v>
      </c>
      <c r="J582" s="1103">
        <v>84.300197127569689</v>
      </c>
      <c r="K582" s="84">
        <v>17357.321881160235</v>
      </c>
      <c r="L582" s="84">
        <v>12327.17</v>
      </c>
      <c r="M582" s="84">
        <v>6.5449999999999999</v>
      </c>
      <c r="N582" s="805">
        <v>82.44</v>
      </c>
      <c r="O582" s="941">
        <v>8752.3092086736124</v>
      </c>
      <c r="P582" s="941">
        <v>2795.1985356237678</v>
      </c>
      <c r="Q582" s="941">
        <v>3762.1374260771609</v>
      </c>
      <c r="R582" s="805">
        <v>27.9</v>
      </c>
      <c r="S582" s="805">
        <v>1496.0272045028144</v>
      </c>
      <c r="T582" s="805">
        <v>2203.6002763067004</v>
      </c>
      <c r="U582" s="805">
        <v>83228.667980850456</v>
      </c>
      <c r="V582" s="805">
        <v>22679.112287955384</v>
      </c>
      <c r="W582" s="805">
        <v>1075.5984229794424</v>
      </c>
      <c r="X582" s="630">
        <v>0.71020000000000005</v>
      </c>
      <c r="AJ582" s="1156" t="s">
        <v>4</v>
      </c>
      <c r="AK582" s="874">
        <v>2011</v>
      </c>
      <c r="AL582" s="874" t="s">
        <v>70</v>
      </c>
      <c r="AM582" s="874">
        <v>3</v>
      </c>
      <c r="AN582" s="1114">
        <v>1783865205.7499998</v>
      </c>
      <c r="AO582" s="1112">
        <v>9.163216513280438E-2</v>
      </c>
      <c r="AP582" s="874"/>
      <c r="AQ582" s="1176" t="s">
        <v>1</v>
      </c>
      <c r="AR582" s="1176" t="s">
        <v>615</v>
      </c>
      <c r="AS582" s="1176" t="s">
        <v>646</v>
      </c>
      <c r="AT582" s="1176">
        <v>1</v>
      </c>
      <c r="AU582" s="1177">
        <v>6895489000</v>
      </c>
      <c r="AV582" s="1169">
        <v>0.53200153872171907</v>
      </c>
      <c r="AW582" s="874">
        <v>2014</v>
      </c>
    </row>
    <row r="583" spans="1:49">
      <c r="A583" s="798">
        <f t="shared" si="17"/>
        <v>2018</v>
      </c>
      <c r="B583" s="798">
        <f t="shared" si="18"/>
        <v>4</v>
      </c>
      <c r="C583" s="1105">
        <v>43405</v>
      </c>
      <c r="D583" s="934">
        <v>669.2541659937059</v>
      </c>
      <c r="E583" s="1100">
        <v>1691.04</v>
      </c>
      <c r="F583" s="1100">
        <v>1220.95</v>
      </c>
      <c r="G583" s="1101">
        <v>72.290000000000006</v>
      </c>
      <c r="H583" s="935">
        <v>99.724099875844956</v>
      </c>
      <c r="I583" s="1101">
        <v>63.24</v>
      </c>
      <c r="J583" s="1101">
        <v>87.239619257828664</v>
      </c>
      <c r="K583" s="936">
        <v>15524.084826747263</v>
      </c>
      <c r="L583" s="936">
        <v>11253.40909090909</v>
      </c>
      <c r="M583" s="936">
        <v>6.5449999999999999</v>
      </c>
      <c r="N583" s="937">
        <v>67.38</v>
      </c>
      <c r="O583" s="938">
        <v>8543.2473444613042</v>
      </c>
      <c r="P583" s="938">
        <v>2676.4506703118927</v>
      </c>
      <c r="Q583" s="938">
        <v>3576.8569959492847</v>
      </c>
      <c r="R583" s="939">
        <v>29.1</v>
      </c>
      <c r="S583" s="940">
        <v>1481.1102003642986</v>
      </c>
      <c r="T583" s="940">
        <v>2161.8938775510205</v>
      </c>
      <c r="U583" s="1756">
        <v>73474.084199701538</v>
      </c>
      <c r="V583" s="1323">
        <v>20695.663671067283</v>
      </c>
      <c r="W583" s="1323">
        <v>1037.1361567112706</v>
      </c>
      <c r="X583" s="538">
        <v>0.72489999999999999</v>
      </c>
      <c r="AJ583" s="1156" t="s">
        <v>4</v>
      </c>
      <c r="AK583" s="874">
        <v>2011</v>
      </c>
      <c r="AL583" s="874" t="s">
        <v>30</v>
      </c>
      <c r="AM583" s="874">
        <v>4</v>
      </c>
      <c r="AN583" s="1114">
        <v>1477253020.3399997</v>
      </c>
      <c r="AO583" s="1112">
        <v>7.5882354937136146E-2</v>
      </c>
      <c r="AP583" s="874"/>
      <c r="AQ583" s="1176" t="s">
        <v>1</v>
      </c>
      <c r="AR583" s="1176" t="s">
        <v>615</v>
      </c>
      <c r="AS583" s="1176" t="s">
        <v>70</v>
      </c>
      <c r="AT583" s="1176">
        <v>2</v>
      </c>
      <c r="AU583" s="1177">
        <v>3106885000</v>
      </c>
      <c r="AV583" s="1169">
        <v>0.23970273908513642</v>
      </c>
      <c r="AW583" s="874">
        <v>2014</v>
      </c>
    </row>
    <row r="584" spans="1:49">
      <c r="A584" s="798">
        <f t="shared" si="17"/>
        <v>2018</v>
      </c>
      <c r="B584" s="798">
        <f t="shared" si="18"/>
        <v>4</v>
      </c>
      <c r="C584" s="1105">
        <v>43435</v>
      </c>
      <c r="D584" s="805">
        <v>592.35887609284578</v>
      </c>
      <c r="E584" s="1102">
        <v>1748.32</v>
      </c>
      <c r="F584" s="1102">
        <v>1247.92</v>
      </c>
      <c r="G584" s="1103">
        <v>69.319999999999993</v>
      </c>
      <c r="H584" s="805">
        <v>96.842693489801619</v>
      </c>
      <c r="I584" s="1103">
        <v>60.98</v>
      </c>
      <c r="J584" s="1103">
        <v>85.191394244202286</v>
      </c>
      <c r="K584" s="84">
        <v>15139.483249511037</v>
      </c>
      <c r="L584" s="84">
        <v>10836.84211</v>
      </c>
      <c r="M584" s="84">
        <v>6.5449999999999999</v>
      </c>
      <c r="N584" s="805">
        <v>58.9</v>
      </c>
      <c r="O584" s="941">
        <v>8513.8460463816718</v>
      </c>
      <c r="P584" s="941">
        <v>2745.84197261805</v>
      </c>
      <c r="Q584" s="941">
        <v>3668.0706901369099</v>
      </c>
      <c r="R584" s="805">
        <v>28.5</v>
      </c>
      <c r="S584" s="805">
        <v>1484.9178668742702</v>
      </c>
      <c r="T584" s="805">
        <v>2122.5936593659367</v>
      </c>
      <c r="U584" s="805">
        <v>77241.506007264601</v>
      </c>
      <c r="V584" s="805">
        <v>18939.730514559233</v>
      </c>
      <c r="W584" s="805">
        <v>1012.8527521654094</v>
      </c>
      <c r="X584" s="630">
        <v>0.71579999999999999</v>
      </c>
      <c r="AJ584" s="1156" t="s">
        <v>4</v>
      </c>
      <c r="AK584" s="874">
        <v>2011</v>
      </c>
      <c r="AL584" s="874" t="s">
        <v>39</v>
      </c>
      <c r="AM584" s="874">
        <v>5</v>
      </c>
      <c r="AN584" s="1114">
        <v>1049571176.9000001</v>
      </c>
      <c r="AO584" s="1112">
        <v>5.3913535109227889E-2</v>
      </c>
      <c r="AP584" s="874"/>
      <c r="AQ584" s="1176" t="s">
        <v>1</v>
      </c>
      <c r="AR584" s="1176" t="s">
        <v>615</v>
      </c>
      <c r="AS584" s="1176" t="s">
        <v>27</v>
      </c>
      <c r="AT584" s="1176">
        <v>3</v>
      </c>
      <c r="AU584" s="1177">
        <v>898660000</v>
      </c>
      <c r="AV584" s="1169">
        <v>6.9333516852490104E-2</v>
      </c>
      <c r="AW584" s="874">
        <v>2014</v>
      </c>
    </row>
    <row r="585" spans="1:49">
      <c r="A585" s="798">
        <f t="shared" si="17"/>
        <v>2019</v>
      </c>
      <c r="B585" s="798">
        <f t="shared" si="18"/>
        <v>1</v>
      </c>
      <c r="C585" s="1105">
        <v>43466</v>
      </c>
      <c r="D585" s="934">
        <v>563.4450303600637</v>
      </c>
      <c r="E585" s="1100">
        <v>1811.23</v>
      </c>
      <c r="F585" s="1100">
        <v>1291.75</v>
      </c>
      <c r="G585" s="1101">
        <v>76.11</v>
      </c>
      <c r="H585" s="935">
        <v>106.43266675989372</v>
      </c>
      <c r="I585" s="1101">
        <v>66.88</v>
      </c>
      <c r="J585" s="1101">
        <v>93.525381065585236</v>
      </c>
      <c r="K585" s="936">
        <v>16018.109355334918</v>
      </c>
      <c r="L585" s="936">
        <v>11454.55</v>
      </c>
      <c r="M585" s="936">
        <v>7</v>
      </c>
      <c r="N585" s="937">
        <v>60.95</v>
      </c>
      <c r="O585" s="938">
        <v>8295.3712767445122</v>
      </c>
      <c r="P585" s="938">
        <v>2788.6449447629707</v>
      </c>
      <c r="Q585" s="938">
        <v>3578.7721996923506</v>
      </c>
      <c r="R585" s="939">
        <v>28.9</v>
      </c>
      <c r="S585" s="940">
        <v>1536.8104115371086</v>
      </c>
      <c r="T585" s="940">
        <v>2178.5865060240963</v>
      </c>
      <c r="U585" s="1756">
        <v>55014.557404558815</v>
      </c>
      <c r="V585" s="1323">
        <v>18656.295186666022</v>
      </c>
      <c r="W585" s="1323">
        <v>986.82701720039154</v>
      </c>
      <c r="X585" s="538">
        <v>0.71509999999999996</v>
      </c>
      <c r="AJ585" s="1156" t="s">
        <v>4</v>
      </c>
      <c r="AK585" s="874">
        <v>2011</v>
      </c>
      <c r="AL585" s="874" t="s">
        <v>31</v>
      </c>
      <c r="AM585" s="874">
        <v>6</v>
      </c>
      <c r="AN585" s="1114">
        <v>686277380.5</v>
      </c>
      <c r="AO585" s="1112">
        <v>3.525214912773935E-2</v>
      </c>
      <c r="AP585" s="874"/>
      <c r="AQ585" s="1176" t="s">
        <v>1</v>
      </c>
      <c r="AR585" s="1176" t="s">
        <v>615</v>
      </c>
      <c r="AS585" s="1176" t="s">
        <v>39</v>
      </c>
      <c r="AT585" s="1176">
        <v>4</v>
      </c>
      <c r="AU585" s="1177">
        <v>896319000</v>
      </c>
      <c r="AV585" s="1169">
        <v>6.9152903758604001E-2</v>
      </c>
      <c r="AW585" s="874">
        <v>2014</v>
      </c>
    </row>
    <row r="586" spans="1:49">
      <c r="A586" s="798">
        <f t="shared" ref="A586:A649" si="19">YEAR(C586)</f>
        <v>2019</v>
      </c>
      <c r="B586" s="798">
        <f t="shared" ref="B586:B649" si="20">IF(OR(MONTH(C586)=1,MONTH(C586)=2,MONTH(C586)=3),1,IF(OR(MONTH(C586)=4,MONTH(C586)=5,MONTH(C586)=6),2,IF(OR(MONTH(C586)=7,MONTH(C586)=8,MONTH(C586)=9),3,4)))</f>
        <v>1</v>
      </c>
      <c r="C586" s="1105">
        <v>43497</v>
      </c>
      <c r="D586" s="1102">
        <v>538.66072981151183</v>
      </c>
      <c r="E586" s="1102">
        <v>1849.13</v>
      </c>
      <c r="F586" s="1102">
        <v>1320.07</v>
      </c>
      <c r="G586" s="1103">
        <v>87.12</v>
      </c>
      <c r="H586" s="805">
        <v>122.05099467637994</v>
      </c>
      <c r="I586" s="1103">
        <v>77.89</v>
      </c>
      <c r="J586" s="1103">
        <v>109.12020173718129</v>
      </c>
      <c r="K586" s="84">
        <v>17721.70075651443</v>
      </c>
      <c r="L586" s="84">
        <v>12649.75</v>
      </c>
      <c r="M586" s="84">
        <v>7</v>
      </c>
      <c r="N586" s="805">
        <v>65.84</v>
      </c>
      <c r="O586" s="941">
        <v>8795.460913421126</v>
      </c>
      <c r="P586" s="941">
        <v>2888.8764359764641</v>
      </c>
      <c r="Q586" s="941">
        <v>3786.5648641075932</v>
      </c>
      <c r="R586" s="805">
        <v>28</v>
      </c>
      <c r="S586" s="805">
        <v>1583.0428802588997</v>
      </c>
      <c r="T586" s="805">
        <v>2152.1483010479519</v>
      </c>
      <c r="U586" s="805">
        <v>45390.865788736344</v>
      </c>
      <c r="V586" s="805">
        <v>18524.309259695921</v>
      </c>
      <c r="W586" s="805">
        <v>967.1196413561222</v>
      </c>
      <c r="X586" s="630">
        <v>0.71379999999999999</v>
      </c>
      <c r="AJ586" s="1156" t="s">
        <v>4</v>
      </c>
      <c r="AK586" s="874">
        <v>2011</v>
      </c>
      <c r="AL586" s="874" t="s">
        <v>28</v>
      </c>
      <c r="AM586" s="874">
        <v>7</v>
      </c>
      <c r="AN586" s="1114">
        <v>642481661.36000001</v>
      </c>
      <c r="AO586" s="1112">
        <v>3.3002485557077819E-2</v>
      </c>
      <c r="AP586" s="874"/>
      <c r="AQ586" s="1176" t="s">
        <v>1</v>
      </c>
      <c r="AR586" s="1176" t="s">
        <v>615</v>
      </c>
      <c r="AS586" s="1176" t="s">
        <v>72</v>
      </c>
      <c r="AT586" s="1176">
        <v>5</v>
      </c>
      <c r="AU586" s="1177">
        <v>582834000</v>
      </c>
      <c r="AV586" s="1169">
        <v>4.4966873969247784E-2</v>
      </c>
      <c r="AW586" s="874">
        <v>2014</v>
      </c>
    </row>
    <row r="587" spans="1:49">
      <c r="A587" s="798">
        <f t="shared" si="19"/>
        <v>2019</v>
      </c>
      <c r="B587" s="798">
        <f t="shared" si="20"/>
        <v>1</v>
      </c>
      <c r="C587" s="1105">
        <v>43525</v>
      </c>
      <c r="D587" s="934">
        <v>534.13870236016885</v>
      </c>
      <c r="E587" s="1100">
        <v>1841.84</v>
      </c>
      <c r="F587" s="1100">
        <v>1300.9000000000001</v>
      </c>
      <c r="G587" s="1101">
        <v>85.75</v>
      </c>
      <c r="H587" s="935">
        <v>121.06452068332626</v>
      </c>
      <c r="I587" s="1101">
        <v>76.75</v>
      </c>
      <c r="J587" s="1101">
        <v>108.35804037837075</v>
      </c>
      <c r="K587" s="936">
        <v>18439.517153748409</v>
      </c>
      <c r="L587" s="936">
        <v>13060.71</v>
      </c>
      <c r="M587" s="936">
        <v>7</v>
      </c>
      <c r="N587" s="937">
        <v>68.11</v>
      </c>
      <c r="O587" s="938">
        <v>9107.7509529860235</v>
      </c>
      <c r="P587" s="938">
        <v>2900.7059155724978</v>
      </c>
      <c r="Q587" s="938">
        <v>4025.6953268389098</v>
      </c>
      <c r="R587" s="939">
        <v>25.75</v>
      </c>
      <c r="S587" s="940">
        <v>1563.9150239744272</v>
      </c>
      <c r="T587" s="940">
        <v>2208.0118771726534</v>
      </c>
      <c r="U587" s="1756">
        <v>44237.37117040802</v>
      </c>
      <c r="V587" s="1323">
        <v>17581.147038310763</v>
      </c>
      <c r="W587" s="1323">
        <v>973.16108993364378</v>
      </c>
      <c r="X587" s="538">
        <v>0.70830000000000004</v>
      </c>
      <c r="AJ587" s="1156" t="s">
        <v>4</v>
      </c>
      <c r="AK587" s="874">
        <v>2011</v>
      </c>
      <c r="AL587" s="874" t="s">
        <v>27</v>
      </c>
      <c r="AM587" s="874">
        <v>8</v>
      </c>
      <c r="AN587" s="1114">
        <v>535887900.3499999</v>
      </c>
      <c r="AO587" s="1112">
        <v>2.752706225742977E-2</v>
      </c>
      <c r="AP587" s="874"/>
      <c r="AQ587" s="1176" t="s">
        <v>1</v>
      </c>
      <c r="AR587" s="1176" t="s">
        <v>615</v>
      </c>
      <c r="AS587" s="1176" t="s">
        <v>431</v>
      </c>
      <c r="AT587" s="1176">
        <v>6</v>
      </c>
      <c r="AU587" s="1177">
        <v>235990000</v>
      </c>
      <c r="AV587" s="1169">
        <v>1.8207126880042661E-2</v>
      </c>
      <c r="AW587" s="874">
        <v>2014</v>
      </c>
    </row>
    <row r="588" spans="1:49">
      <c r="A588" s="798">
        <f t="shared" si="19"/>
        <v>2019</v>
      </c>
      <c r="B588" s="798">
        <f t="shared" si="20"/>
        <v>2</v>
      </c>
      <c r="C588" s="1105">
        <v>43556</v>
      </c>
      <c r="D588" s="1102">
        <v>526.33458904718032</v>
      </c>
      <c r="E588" s="1102">
        <v>1812.21</v>
      </c>
      <c r="F588" s="1102">
        <v>1286.44</v>
      </c>
      <c r="G588" s="1103">
        <v>93.54</v>
      </c>
      <c r="H588" s="805">
        <v>131.52418447694038</v>
      </c>
      <c r="I588" s="1103">
        <v>84.51</v>
      </c>
      <c r="J588" s="1103">
        <v>118.82733408323959</v>
      </c>
      <c r="K588" s="84">
        <v>18024.465691788526</v>
      </c>
      <c r="L588" s="84">
        <v>12819</v>
      </c>
      <c r="M588" s="84">
        <v>7</v>
      </c>
      <c r="N588" s="805">
        <v>72.77</v>
      </c>
      <c r="O588" s="941">
        <v>9062.2890888638922</v>
      </c>
      <c r="P588" s="941">
        <v>2740.2277840269962</v>
      </c>
      <c r="Q588" s="941">
        <v>4132.100674915635</v>
      </c>
      <c r="R588" s="805">
        <v>24.1</v>
      </c>
      <c r="S588" s="805">
        <v>1540.1657940663176</v>
      </c>
      <c r="T588" s="805">
        <v>2167.5458242101972</v>
      </c>
      <c r="U588" s="805">
        <v>47774.887514060742</v>
      </c>
      <c r="V588" s="805">
        <v>17407.996343169332</v>
      </c>
      <c r="W588" s="805">
        <v>947.82058492688407</v>
      </c>
      <c r="X588" s="630">
        <v>0.71120000000000005</v>
      </c>
      <c r="AJ588" s="1156" t="s">
        <v>4</v>
      </c>
      <c r="AK588" s="874">
        <v>2011</v>
      </c>
      <c r="AL588" s="874" t="s">
        <v>152</v>
      </c>
      <c r="AM588" s="874">
        <v>9</v>
      </c>
      <c r="AN588" s="1114">
        <v>385569378.06000006</v>
      </c>
      <c r="AO588" s="1112">
        <v>1.9805620293878876E-2</v>
      </c>
      <c r="AP588" s="874"/>
      <c r="AQ588" s="1176" t="s">
        <v>1</v>
      </c>
      <c r="AR588" s="1176" t="s">
        <v>615</v>
      </c>
      <c r="AS588" s="1176" t="s">
        <v>85</v>
      </c>
      <c r="AT588" s="1176">
        <v>7</v>
      </c>
      <c r="AU588" s="1177">
        <v>156801000</v>
      </c>
      <c r="AV588" s="1169">
        <v>1.2097528293222465E-2</v>
      </c>
      <c r="AW588" s="874">
        <v>2014</v>
      </c>
    </row>
    <row r="589" spans="1:49">
      <c r="A589" s="798">
        <f t="shared" si="19"/>
        <v>2019</v>
      </c>
      <c r="B589" s="798">
        <f t="shared" si="20"/>
        <v>2</v>
      </c>
      <c r="C589" s="1105">
        <v>43586</v>
      </c>
      <c r="D589" s="934">
        <v>525.19027525071203</v>
      </c>
      <c r="E589" s="1100">
        <v>1850.4</v>
      </c>
      <c r="F589" s="1100">
        <v>1283.95</v>
      </c>
      <c r="G589" s="1101">
        <v>99.06</v>
      </c>
      <c r="H589" s="935">
        <v>142.65552995391704</v>
      </c>
      <c r="I589" s="1101">
        <v>91.09</v>
      </c>
      <c r="J589" s="1101">
        <v>131.17799539170508</v>
      </c>
      <c r="K589" s="936">
        <v>17278.701036866358</v>
      </c>
      <c r="L589" s="936">
        <v>11998.33</v>
      </c>
      <c r="M589" s="936">
        <v>7</v>
      </c>
      <c r="N589" s="937">
        <v>72.239999999999995</v>
      </c>
      <c r="O589" s="938">
        <v>8681.3220046082952</v>
      </c>
      <c r="P589" s="938">
        <v>2616.9498847926266</v>
      </c>
      <c r="Q589" s="938">
        <v>3956.998847926267</v>
      </c>
      <c r="R589" s="939">
        <v>24.7</v>
      </c>
      <c r="S589" s="940">
        <v>1629.5495928941525</v>
      </c>
      <c r="T589" s="940">
        <v>2225.5955696202532</v>
      </c>
      <c r="U589" s="1756">
        <v>49751.756912442397</v>
      </c>
      <c r="V589" s="1323">
        <v>16905.788691794187</v>
      </c>
      <c r="W589" s="1323">
        <v>924.53917050691246</v>
      </c>
      <c r="X589" s="538">
        <v>0.69440000000000002</v>
      </c>
      <c r="AJ589" s="1156" t="s">
        <v>4</v>
      </c>
      <c r="AK589" s="874">
        <v>2011</v>
      </c>
      <c r="AL589" s="874" t="s">
        <v>433</v>
      </c>
      <c r="AM589" s="874">
        <v>10</v>
      </c>
      <c r="AN589" s="1114">
        <v>266619821.10000002</v>
      </c>
      <c r="AO589" s="1112">
        <v>1.3695514322475016E-2</v>
      </c>
      <c r="AP589" s="874"/>
      <c r="AQ589" s="1176" t="s">
        <v>1</v>
      </c>
      <c r="AR589" s="1176" t="s">
        <v>615</v>
      </c>
      <c r="AS589" s="1176" t="s">
        <v>434</v>
      </c>
      <c r="AT589" s="1176">
        <v>8</v>
      </c>
      <c r="AU589" s="1177">
        <v>92629000</v>
      </c>
      <c r="AV589" s="1169">
        <v>7.1465229703439629E-3</v>
      </c>
      <c r="AW589" s="874">
        <v>2014</v>
      </c>
    </row>
    <row r="590" spans="1:49">
      <c r="A590" s="798">
        <f t="shared" si="19"/>
        <v>2019</v>
      </c>
      <c r="B590" s="798">
        <f t="shared" si="20"/>
        <v>2</v>
      </c>
      <c r="C590" s="1105">
        <v>43617</v>
      </c>
      <c r="D590" s="1102">
        <v>504.84742206796523</v>
      </c>
      <c r="E590" s="1102">
        <v>1958.23</v>
      </c>
      <c r="F590" s="1102">
        <v>1359.0409999999999</v>
      </c>
      <c r="G590" s="1103">
        <v>108.69</v>
      </c>
      <c r="H590" s="805">
        <v>156.43350604490502</v>
      </c>
      <c r="I590" s="1103">
        <v>101.44</v>
      </c>
      <c r="J590" s="1103">
        <v>145.99884858952217</v>
      </c>
      <c r="K590" s="84">
        <v>17227.9792746114</v>
      </c>
      <c r="L590" s="84">
        <v>11970</v>
      </c>
      <c r="M590" s="84">
        <v>7</v>
      </c>
      <c r="N590" s="805">
        <v>64.95</v>
      </c>
      <c r="O590" s="941">
        <v>8446.2147380541173</v>
      </c>
      <c r="P590" s="941">
        <v>2722.3661485319517</v>
      </c>
      <c r="Q590" s="941">
        <v>3745.149683362119</v>
      </c>
      <c r="R590" s="805">
        <v>25.5</v>
      </c>
      <c r="S590" s="805">
        <v>1624.5305669939817</v>
      </c>
      <c r="T590" s="805">
        <v>2240.4448030780118</v>
      </c>
      <c r="U590" s="805">
        <v>41673.862982153136</v>
      </c>
      <c r="V590" s="805">
        <v>16245.717547572425</v>
      </c>
      <c r="W590" s="805">
        <v>895.37996545768567</v>
      </c>
      <c r="X590" s="630">
        <v>0.69479999999999997</v>
      </c>
      <c r="AJ590" s="1156" t="s">
        <v>4</v>
      </c>
      <c r="AK590" s="874">
        <v>2011</v>
      </c>
      <c r="AL590" s="874" t="s">
        <v>45</v>
      </c>
      <c r="AM590" s="874"/>
      <c r="AN590" s="1114">
        <v>477682171.3900032</v>
      </c>
      <c r="AO590" s="1112">
        <v>2.4537196795316407E-2</v>
      </c>
      <c r="AP590" s="874"/>
      <c r="AQ590" s="1176" t="s">
        <v>1</v>
      </c>
      <c r="AR590" s="1176" t="s">
        <v>615</v>
      </c>
      <c r="AS590" s="1176" t="s">
        <v>67</v>
      </c>
      <c r="AT590" s="1176">
        <v>9</v>
      </c>
      <c r="AU590" s="1177">
        <v>31509000</v>
      </c>
      <c r="AV590" s="1169">
        <v>2.4309858928906491E-3</v>
      </c>
      <c r="AW590" s="874">
        <v>2014</v>
      </c>
    </row>
    <row r="591" spans="1:49">
      <c r="A591" s="798">
        <f t="shared" si="19"/>
        <v>2019</v>
      </c>
      <c r="B591" s="798">
        <f t="shared" si="20"/>
        <v>3</v>
      </c>
      <c r="C591" s="1105">
        <v>43647</v>
      </c>
      <c r="D591" s="934">
        <v>481.14046038368895</v>
      </c>
      <c r="E591" s="1100">
        <v>2029.59</v>
      </c>
      <c r="F591" s="1100">
        <v>1412.98</v>
      </c>
      <c r="G591" s="1101">
        <v>119.96</v>
      </c>
      <c r="H591" s="1101">
        <v>171.88708984095143</v>
      </c>
      <c r="I591" s="1101">
        <v>110.77</v>
      </c>
      <c r="J591" s="1101">
        <v>158.71901418541339</v>
      </c>
      <c r="K591" s="936">
        <v>19289.855280126092</v>
      </c>
      <c r="L591" s="936">
        <v>13462.39</v>
      </c>
      <c r="M591" s="936">
        <v>7.1</v>
      </c>
      <c r="N591" s="1563">
        <v>66.09</v>
      </c>
      <c r="O591" s="938">
        <v>8511.0330992978943</v>
      </c>
      <c r="P591" s="938">
        <v>2828.5141137698811</v>
      </c>
      <c r="Q591" s="938">
        <v>3498.3235420547358</v>
      </c>
      <c r="R591" s="939">
        <v>25.38</v>
      </c>
      <c r="S591" s="940">
        <v>1645.3816956367507</v>
      </c>
      <c r="T591" s="940">
        <v>2213.7237550471064</v>
      </c>
      <c r="U591" s="1756">
        <v>40400.70210631896</v>
      </c>
      <c r="V591" s="1323">
        <v>15191.188206064531</v>
      </c>
      <c r="W591" s="1323">
        <v>878.85083822897275</v>
      </c>
      <c r="X591" s="538">
        <v>0.69789999999999996</v>
      </c>
      <c r="AJ591" s="1156" t="s">
        <v>4</v>
      </c>
      <c r="AK591" s="874">
        <v>2011</v>
      </c>
      <c r="AL591" s="874" t="s">
        <v>452</v>
      </c>
      <c r="AM591" s="874"/>
      <c r="AN591" s="1114">
        <v>19467674949.779995</v>
      </c>
      <c r="AO591" s="1112"/>
      <c r="AP591" s="874"/>
      <c r="AQ591" s="1176" t="s">
        <v>1</v>
      </c>
      <c r="AR591" s="1176" t="s">
        <v>615</v>
      </c>
      <c r="AS591" s="1176" t="s">
        <v>29</v>
      </c>
      <c r="AT591" s="1176">
        <v>10</v>
      </c>
      <c r="AU591" s="1177">
        <v>26190000</v>
      </c>
      <c r="AV591" s="1169">
        <v>2.0206138098576945E-3</v>
      </c>
      <c r="AW591" s="874">
        <v>2014</v>
      </c>
    </row>
    <row r="592" spans="1:49">
      <c r="A592" s="798">
        <f t="shared" si="19"/>
        <v>2019</v>
      </c>
      <c r="B592" s="798">
        <f t="shared" si="20"/>
        <v>3</v>
      </c>
      <c r="C592" s="1105">
        <v>43678</v>
      </c>
      <c r="D592" s="1565">
        <v>451.81703742651098</v>
      </c>
      <c r="E592" s="1245">
        <v>2218.41</v>
      </c>
      <c r="F592" s="1245">
        <v>1498.798</v>
      </c>
      <c r="G592" s="303">
        <v>91.19</v>
      </c>
      <c r="H592" s="1245">
        <v>134.75690852667356</v>
      </c>
      <c r="I592" s="1245">
        <v>80.77</v>
      </c>
      <c r="J592" s="1245">
        <v>119.35865228313877</v>
      </c>
      <c r="K592" s="1245">
        <v>23174.434756908526</v>
      </c>
      <c r="L592" s="1245">
        <v>15682.14</v>
      </c>
      <c r="M592" s="1245">
        <v>7.1</v>
      </c>
      <c r="N592" s="1564">
        <v>61.46</v>
      </c>
      <c r="O592" s="1245">
        <v>8435.0229052756022</v>
      </c>
      <c r="P592" s="1245">
        <v>3019.3438746859761</v>
      </c>
      <c r="Q592" s="1245">
        <v>3362.1102408748338</v>
      </c>
      <c r="R592" s="1245">
        <v>25.3</v>
      </c>
      <c r="S592" s="1245">
        <v>1820.0979942693409</v>
      </c>
      <c r="T592" s="1245">
        <v>2252.8276311502118</v>
      </c>
      <c r="U592" s="805">
        <v>44339.825624353478</v>
      </c>
      <c r="V592" s="1245">
        <v>14305.463591486414</v>
      </c>
      <c r="W592" s="1245">
        <v>882.29643859908379</v>
      </c>
      <c r="X592">
        <v>0.67669999999999997</v>
      </c>
      <c r="AJ592" s="1156" t="s">
        <v>4</v>
      </c>
      <c r="AK592" s="874">
        <v>2010</v>
      </c>
      <c r="AL592" s="874" t="s">
        <v>29</v>
      </c>
      <c r="AM592" s="874">
        <v>1</v>
      </c>
      <c r="AN592" s="1114">
        <v>7343004463.0500088</v>
      </c>
      <c r="AO592" s="1112">
        <v>0.41883654242933077</v>
      </c>
      <c r="AP592" s="874"/>
      <c r="AQ592" s="1176" t="s">
        <v>1</v>
      </c>
      <c r="AR592" s="1176" t="s">
        <v>615</v>
      </c>
      <c r="AS592" s="1176" t="s">
        <v>45</v>
      </c>
      <c r="AT592" s="1176"/>
      <c r="AU592" s="1177">
        <v>38102000</v>
      </c>
      <c r="AV592" s="1169">
        <v>2.9396497664451269E-3</v>
      </c>
      <c r="AW592" s="874">
        <v>2014</v>
      </c>
    </row>
    <row r="593" spans="1:49">
      <c r="A593" s="798">
        <f t="shared" si="19"/>
        <v>2019</v>
      </c>
      <c r="B593" s="798">
        <f t="shared" si="20"/>
        <v>3</v>
      </c>
      <c r="C593" s="1105">
        <v>43709</v>
      </c>
      <c r="D593" s="934">
        <v>449.51272634315131</v>
      </c>
      <c r="E593" s="1100">
        <v>2221.84</v>
      </c>
      <c r="F593" s="1100">
        <v>1511.3140000000001</v>
      </c>
      <c r="G593" s="1101">
        <v>93.3</v>
      </c>
      <c r="H593" s="1101">
        <v>135.84740827023879</v>
      </c>
      <c r="I593" s="1101">
        <v>80.64</v>
      </c>
      <c r="J593" s="1101">
        <v>117.41409435061153</v>
      </c>
      <c r="K593" s="936">
        <v>25732.527664531157</v>
      </c>
      <c r="L593" s="936">
        <v>17673.099999999999</v>
      </c>
      <c r="M593" s="936">
        <v>7.1</v>
      </c>
      <c r="N593" s="1563">
        <v>64.05</v>
      </c>
      <c r="O593" s="938">
        <v>8365.5794991263829</v>
      </c>
      <c r="P593" s="938">
        <v>3015.2300524170068</v>
      </c>
      <c r="Q593" s="938">
        <v>3377.460687245195</v>
      </c>
      <c r="R593" s="939">
        <v>25.65</v>
      </c>
      <c r="S593" s="940">
        <v>1744.8484162895927</v>
      </c>
      <c r="T593" s="940">
        <v>2222.9214598540148</v>
      </c>
      <c r="U593" s="1756">
        <v>53075.684333139194</v>
      </c>
      <c r="V593" s="1323">
        <v>12876.336263444689</v>
      </c>
      <c r="W593" s="1323">
        <v>836.44437973209097</v>
      </c>
      <c r="X593" s="538">
        <v>0.68679999999999997</v>
      </c>
      <c r="AJ593" s="1156" t="s">
        <v>4</v>
      </c>
      <c r="AK593" s="874">
        <v>2010</v>
      </c>
      <c r="AL593" s="874" t="s">
        <v>30</v>
      </c>
      <c r="AM593" s="874">
        <v>2</v>
      </c>
      <c r="AN593" s="1114">
        <v>2719347736.7000003</v>
      </c>
      <c r="AO593" s="1112">
        <v>0.155108472211029</v>
      </c>
      <c r="AP593" s="874"/>
      <c r="AQ593" s="1176" t="s">
        <v>1</v>
      </c>
      <c r="AR593" s="1176" t="s">
        <v>615</v>
      </c>
      <c r="AS593" s="1176" t="s">
        <v>452</v>
      </c>
      <c r="AT593" s="1176"/>
      <c r="AU593" s="1177">
        <v>12961408000</v>
      </c>
      <c r="AV593" s="1169">
        <v>1</v>
      </c>
      <c r="AW593" s="874">
        <v>2014</v>
      </c>
    </row>
    <row r="594" spans="1:49">
      <c r="A594" s="798">
        <f t="shared" si="19"/>
        <v>2019</v>
      </c>
      <c r="B594" s="798">
        <f t="shared" si="20"/>
        <v>4</v>
      </c>
      <c r="C594" s="1105">
        <v>43739</v>
      </c>
      <c r="D594" s="1565">
        <v>430.30145532716136</v>
      </c>
      <c r="E594" s="1245">
        <v>2203.9299999999998</v>
      </c>
      <c r="F594" s="1245">
        <v>1494.8</v>
      </c>
      <c r="G594" s="303">
        <v>89.61</v>
      </c>
      <c r="H594" s="303">
        <v>131.81818181818181</v>
      </c>
      <c r="I594" s="1245">
        <v>78.599999999999994</v>
      </c>
      <c r="J594" s="1245">
        <v>116.99029126213593</v>
      </c>
      <c r="K594" s="1245">
        <v>25174.286554869079</v>
      </c>
      <c r="L594" s="1245">
        <v>17113.48</v>
      </c>
      <c r="M594" s="1245">
        <v>7</v>
      </c>
      <c r="N594" s="1564">
        <v>60.86</v>
      </c>
      <c r="O594" s="1245">
        <v>8447.9111503383356</v>
      </c>
      <c r="P594" s="1245">
        <v>3213.1509267431602</v>
      </c>
      <c r="Q594" s="1245">
        <v>3597.513974698441</v>
      </c>
      <c r="R594" s="1245">
        <v>24</v>
      </c>
      <c r="S594" s="1245">
        <v>1576.3932253313696</v>
      </c>
      <c r="T594" s="1245">
        <v>2167.8608354771532</v>
      </c>
      <c r="U594" s="805">
        <v>52109.311562224189</v>
      </c>
      <c r="V594" s="1245">
        <v>12374.576592392568</v>
      </c>
      <c r="W594" s="1245">
        <v>789.70285378052381</v>
      </c>
      <c r="X594">
        <v>0.67979999999999996</v>
      </c>
      <c r="AJ594" s="1156" t="s">
        <v>4</v>
      </c>
      <c r="AK594" s="874">
        <v>2010</v>
      </c>
      <c r="AL594" s="874" t="s">
        <v>24</v>
      </c>
      <c r="AM594" s="874">
        <v>3</v>
      </c>
      <c r="AN594" s="1114">
        <v>2173091242.0700006</v>
      </c>
      <c r="AO594" s="1112">
        <v>0.12395062903638879</v>
      </c>
      <c r="AP594" s="874"/>
      <c r="AQ594" s="1178" t="s">
        <v>1</v>
      </c>
      <c r="AR594" s="1178" t="s">
        <v>616</v>
      </c>
      <c r="AS594" s="1178" t="s">
        <v>430</v>
      </c>
      <c r="AT594" s="1178">
        <v>1</v>
      </c>
      <c r="AU594" s="1179">
        <v>5406390000</v>
      </c>
      <c r="AV594" s="1169">
        <v>0.33019713472347739</v>
      </c>
      <c r="AW594" s="874">
        <v>2015</v>
      </c>
    </row>
    <row r="595" spans="1:49">
      <c r="A595" s="798">
        <f t="shared" si="19"/>
        <v>2019</v>
      </c>
      <c r="B595" s="798">
        <f t="shared" si="20"/>
        <v>4</v>
      </c>
      <c r="C595" s="1105">
        <v>43770</v>
      </c>
      <c r="D595" s="934">
        <v>408.97919778067535</v>
      </c>
      <c r="E595" s="1100">
        <v>2160.4899999999998</v>
      </c>
      <c r="F595" s="1100">
        <v>1470.0165999999999</v>
      </c>
      <c r="G595" s="1101">
        <v>84.25</v>
      </c>
      <c r="H595" s="1101">
        <v>123.42513917374744</v>
      </c>
      <c r="I595" s="1101">
        <v>75.55</v>
      </c>
      <c r="J595" s="1101">
        <v>110.67975388221505</v>
      </c>
      <c r="K595" s="936">
        <v>22267.096396132434</v>
      </c>
      <c r="L595" s="936">
        <v>15199.52</v>
      </c>
      <c r="M595" s="936">
        <v>7</v>
      </c>
      <c r="N595" s="1563">
        <v>64.239999999999995</v>
      </c>
      <c r="O595" s="938">
        <v>8584.3685906826831</v>
      </c>
      <c r="P595" s="938">
        <v>2976.7067096396136</v>
      </c>
      <c r="Q595" s="938">
        <v>3564.2396718429532</v>
      </c>
      <c r="R595" s="939">
        <v>26</v>
      </c>
      <c r="S595" s="940">
        <v>1850.9246621621621</v>
      </c>
      <c r="T595" s="940">
        <v>1918.4700971204634</v>
      </c>
      <c r="U595" s="1756">
        <v>52007.03193671257</v>
      </c>
      <c r="V595" s="1323">
        <v>11560.590007240267</v>
      </c>
      <c r="W595" s="1323">
        <v>773.30794022853797</v>
      </c>
      <c r="X595" s="538">
        <v>0.68259999999999998</v>
      </c>
      <c r="AJ595" s="1156" t="s">
        <v>4</v>
      </c>
      <c r="AK595" s="874">
        <v>2010</v>
      </c>
      <c r="AL595" s="874" t="s">
        <v>39</v>
      </c>
      <c r="AM595" s="874">
        <v>4</v>
      </c>
      <c r="AN595" s="1114">
        <v>1768941227.9600003</v>
      </c>
      <c r="AO595" s="1112">
        <v>0.10089837632642813</v>
      </c>
      <c r="AP595" s="874"/>
      <c r="AQ595" s="1178" t="s">
        <v>1</v>
      </c>
      <c r="AR595" s="1178" t="s">
        <v>616</v>
      </c>
      <c r="AS595" s="1178" t="s">
        <v>24</v>
      </c>
      <c r="AT595" s="1178">
        <v>2</v>
      </c>
      <c r="AU595" s="1179">
        <v>4242710000</v>
      </c>
      <c r="AV595" s="1169">
        <v>0.25912497719599303</v>
      </c>
      <c r="AW595" s="874">
        <v>2015</v>
      </c>
    </row>
    <row r="596" spans="1:49">
      <c r="A596" s="798">
        <f t="shared" si="19"/>
        <v>2019</v>
      </c>
      <c r="B596" s="798">
        <f t="shared" si="20"/>
        <v>4</v>
      </c>
      <c r="C596" s="1105">
        <v>43800</v>
      </c>
      <c r="D596" s="84">
        <v>404.34495868376877</v>
      </c>
      <c r="E596" s="1245">
        <v>2156.37</v>
      </c>
      <c r="F596" s="1245">
        <v>1476.0440000000001</v>
      </c>
      <c r="G596" s="303">
        <v>91.4</v>
      </c>
      <c r="H596" s="1245">
        <v>132.67527943097693</v>
      </c>
      <c r="I596" s="1245">
        <v>80.650000000000006</v>
      </c>
      <c r="J596" s="1245">
        <v>117.07069240818699</v>
      </c>
      <c r="K596" s="1245">
        <v>20032.660763536074</v>
      </c>
      <c r="L596" s="1245">
        <v>13800.5</v>
      </c>
      <c r="M596" s="303">
        <v>7</v>
      </c>
      <c r="N596" s="1564">
        <v>75.52</v>
      </c>
      <c r="O596" s="1245">
        <v>8800.1596748439551</v>
      </c>
      <c r="P596" s="1245">
        <v>2756.9313398170998</v>
      </c>
      <c r="Q596" s="1245">
        <v>3300.9580490637254</v>
      </c>
      <c r="R596" s="1245">
        <v>25</v>
      </c>
      <c r="S596" s="1245">
        <v>1911.6204481792718</v>
      </c>
      <c r="T596" s="1245">
        <v>2118.9674428832668</v>
      </c>
      <c r="U596" s="805">
        <v>49063.724778632604</v>
      </c>
      <c r="V596" s="1245">
        <v>10365.987243195748</v>
      </c>
      <c r="W596" s="1245">
        <v>731.73174626215712</v>
      </c>
      <c r="X596">
        <v>0.68889999999999996</v>
      </c>
      <c r="AJ596" s="1156" t="s">
        <v>4</v>
      </c>
      <c r="AK596" s="874">
        <v>2010</v>
      </c>
      <c r="AL596" s="874" t="s">
        <v>70</v>
      </c>
      <c r="AM596" s="874">
        <v>5</v>
      </c>
      <c r="AN596" s="1114">
        <v>1203362281.3599999</v>
      </c>
      <c r="AO596" s="1112">
        <v>6.8638402679840685E-2</v>
      </c>
      <c r="AP596" s="874"/>
      <c r="AQ596" s="1178" t="s">
        <v>1</v>
      </c>
      <c r="AR596" s="1178" t="s">
        <v>616</v>
      </c>
      <c r="AS596" s="1178" t="s">
        <v>72</v>
      </c>
      <c r="AT596" s="1178">
        <v>3</v>
      </c>
      <c r="AU596" s="1179">
        <v>3924493000</v>
      </c>
      <c r="AV596" s="1169">
        <v>0.23968976412029913</v>
      </c>
      <c r="AW596" s="874">
        <v>2015</v>
      </c>
    </row>
    <row r="597" spans="1:49">
      <c r="A597" s="798">
        <f t="shared" si="19"/>
        <v>1900</v>
      </c>
      <c r="B597" s="798">
        <f t="shared" si="20"/>
        <v>1</v>
      </c>
      <c r="C597" s="1105"/>
      <c r="AJ597" s="1156" t="s">
        <v>4</v>
      </c>
      <c r="AK597" s="874">
        <v>2010</v>
      </c>
      <c r="AL597" s="874" t="s">
        <v>27</v>
      </c>
      <c r="AM597" s="874">
        <v>6</v>
      </c>
      <c r="AN597" s="1114">
        <v>781996526.18000007</v>
      </c>
      <c r="AO597" s="1112">
        <v>4.4604183868483679E-2</v>
      </c>
      <c r="AP597" s="874"/>
      <c r="AQ597" s="1178" t="s">
        <v>1</v>
      </c>
      <c r="AR597" s="1178" t="s">
        <v>616</v>
      </c>
      <c r="AS597" s="1178" t="s">
        <v>70</v>
      </c>
      <c r="AT597" s="1178">
        <v>4</v>
      </c>
      <c r="AU597" s="1179">
        <v>1189444000</v>
      </c>
      <c r="AV597" s="1169">
        <v>7.2645702717345925E-2</v>
      </c>
      <c r="AW597" s="874">
        <v>2015</v>
      </c>
    </row>
    <row r="598" spans="1:49">
      <c r="A598" s="798">
        <f t="shared" si="19"/>
        <v>1900</v>
      </c>
      <c r="B598" s="798">
        <f t="shared" si="20"/>
        <v>1</v>
      </c>
      <c r="C598" s="1105"/>
      <c r="AJ598" s="1156" t="s">
        <v>4</v>
      </c>
      <c r="AK598" s="874">
        <v>2010</v>
      </c>
      <c r="AL598" s="874" t="s">
        <v>31</v>
      </c>
      <c r="AM598" s="874">
        <v>7</v>
      </c>
      <c r="AN598" s="1114">
        <v>434995825.02000004</v>
      </c>
      <c r="AO598" s="1112">
        <v>2.4811662343303984E-2</v>
      </c>
      <c r="AP598" s="874"/>
      <c r="AQ598" s="1178" t="s">
        <v>1</v>
      </c>
      <c r="AR598" s="1178" t="s">
        <v>616</v>
      </c>
      <c r="AS598" s="1178" t="s">
        <v>27</v>
      </c>
      <c r="AT598" s="1178">
        <v>5</v>
      </c>
      <c r="AU598" s="1179">
        <v>685504000</v>
      </c>
      <c r="AV598" s="1169">
        <v>4.1867393332978689E-2</v>
      </c>
      <c r="AW598" s="874">
        <v>2015</v>
      </c>
    </row>
    <row r="599" spans="1:49">
      <c r="A599" s="798">
        <f t="shared" si="19"/>
        <v>1900</v>
      </c>
      <c r="B599" s="798">
        <f t="shared" si="20"/>
        <v>1</v>
      </c>
      <c r="C599" s="1105"/>
      <c r="AJ599" s="1156" t="s">
        <v>4</v>
      </c>
      <c r="AK599" s="874">
        <v>2010</v>
      </c>
      <c r="AL599" s="874" t="s">
        <v>433</v>
      </c>
      <c r="AM599" s="874">
        <v>8</v>
      </c>
      <c r="AN599" s="1114">
        <v>408377948.99000001</v>
      </c>
      <c r="AO599" s="1112">
        <v>2.329340926047975E-2</v>
      </c>
      <c r="AP599" s="874"/>
      <c r="AQ599" s="1178" t="s">
        <v>1</v>
      </c>
      <c r="AR599" s="1178" t="s">
        <v>616</v>
      </c>
      <c r="AS599" s="1178" t="s">
        <v>431</v>
      </c>
      <c r="AT599" s="1178">
        <v>6</v>
      </c>
      <c r="AU599" s="1179">
        <v>282003000</v>
      </c>
      <c r="AV599" s="1169">
        <v>1.7223430530062537E-2</v>
      </c>
      <c r="AW599" s="874">
        <v>2015</v>
      </c>
    </row>
    <row r="600" spans="1:49">
      <c r="A600" s="798">
        <f t="shared" si="19"/>
        <v>1900</v>
      </c>
      <c r="B600" s="798">
        <f t="shared" si="20"/>
        <v>1</v>
      </c>
      <c r="C600" s="1105"/>
      <c r="AJ600" s="1156" t="s">
        <v>4</v>
      </c>
      <c r="AK600" s="874">
        <v>2010</v>
      </c>
      <c r="AL600" s="874" t="s">
        <v>152</v>
      </c>
      <c r="AM600" s="874">
        <v>9</v>
      </c>
      <c r="AN600" s="1114">
        <v>360717255.75</v>
      </c>
      <c r="AO600" s="1112">
        <v>2.0574898047954204E-2</v>
      </c>
      <c r="AP600" s="874"/>
      <c r="AQ600" s="1178" t="s">
        <v>1</v>
      </c>
      <c r="AR600" s="1178" t="s">
        <v>616</v>
      </c>
      <c r="AS600" s="1178" t="s">
        <v>39</v>
      </c>
      <c r="AT600" s="1178">
        <v>7</v>
      </c>
      <c r="AU600" s="1179">
        <v>246629000</v>
      </c>
      <c r="AV600" s="1169">
        <v>1.5062951274272946E-2</v>
      </c>
      <c r="AW600" s="874">
        <v>2015</v>
      </c>
    </row>
    <row r="601" spans="1:49">
      <c r="A601" s="798">
        <f t="shared" si="19"/>
        <v>1900</v>
      </c>
      <c r="B601" s="798">
        <f t="shared" si="20"/>
        <v>1</v>
      </c>
      <c r="C601" s="1105"/>
      <c r="AJ601" s="1156" t="s">
        <v>4</v>
      </c>
      <c r="AK601" s="874">
        <v>2010</v>
      </c>
      <c r="AL601" s="874" t="s">
        <v>41</v>
      </c>
      <c r="AM601" s="874">
        <v>10</v>
      </c>
      <c r="AN601" s="1114">
        <v>201605993</v>
      </c>
      <c r="AO601" s="1112">
        <v>1.1499374331862882E-2</v>
      </c>
      <c r="AP601" s="874"/>
      <c r="AQ601" s="1178" t="s">
        <v>1</v>
      </c>
      <c r="AR601" s="1178" t="s">
        <v>616</v>
      </c>
      <c r="AS601" s="1178" t="s">
        <v>434</v>
      </c>
      <c r="AT601" s="1178">
        <v>8</v>
      </c>
      <c r="AU601" s="1179">
        <v>141009000</v>
      </c>
      <c r="AV601" s="1169">
        <v>8.6121733301191411E-3</v>
      </c>
      <c r="AW601" s="874">
        <v>2015</v>
      </c>
    </row>
    <row r="602" spans="1:49">
      <c r="A602" s="798">
        <f t="shared" si="19"/>
        <v>1900</v>
      </c>
      <c r="B602" s="798">
        <f t="shared" si="20"/>
        <v>1</v>
      </c>
      <c r="C602" s="1105"/>
      <c r="AJ602" s="1156" t="s">
        <v>4</v>
      </c>
      <c r="AK602" s="874">
        <v>2010</v>
      </c>
      <c r="AL602" s="874" t="s">
        <v>45</v>
      </c>
      <c r="AM602" s="874"/>
      <c r="AN602" s="1114">
        <v>136469252.72999954</v>
      </c>
      <c r="AO602" s="1112">
        <v>7.7840494648979278E-3</v>
      </c>
      <c r="AP602" s="874"/>
      <c r="AQ602" s="1178" t="s">
        <v>1</v>
      </c>
      <c r="AR602" s="1178" t="s">
        <v>616</v>
      </c>
      <c r="AS602" s="1178" t="s">
        <v>432</v>
      </c>
      <c r="AT602" s="1178">
        <v>9</v>
      </c>
      <c r="AU602" s="1179">
        <v>71550000</v>
      </c>
      <c r="AV602" s="1169">
        <v>4.3699409383090764E-3</v>
      </c>
      <c r="AW602" s="874">
        <v>2015</v>
      </c>
    </row>
    <row r="603" spans="1:49">
      <c r="A603" s="798">
        <f t="shared" si="19"/>
        <v>1900</v>
      </c>
      <c r="B603" s="798">
        <f t="shared" si="20"/>
        <v>1</v>
      </c>
      <c r="C603" s="1105"/>
      <c r="AJ603" s="1156" t="s">
        <v>4</v>
      </c>
      <c r="AK603" s="874">
        <v>2010</v>
      </c>
      <c r="AL603" s="874" t="s">
        <v>452</v>
      </c>
      <c r="AM603" s="874"/>
      <c r="AN603" s="1114">
        <v>17531909752.810013</v>
      </c>
      <c r="AO603" s="1112"/>
      <c r="AP603" s="874"/>
      <c r="AQ603" s="1178" t="s">
        <v>1</v>
      </c>
      <c r="AR603" s="1178" t="s">
        <v>616</v>
      </c>
      <c r="AS603" s="1178" t="s">
        <v>67</v>
      </c>
      <c r="AT603" s="1178">
        <v>10</v>
      </c>
      <c r="AU603" s="1179">
        <v>61998000</v>
      </c>
      <c r="AV603" s="1169">
        <v>3.7865492423939363E-3</v>
      </c>
      <c r="AW603" s="874">
        <v>2015</v>
      </c>
    </row>
    <row r="604" spans="1:49">
      <c r="A604" s="798">
        <f t="shared" si="19"/>
        <v>1900</v>
      </c>
      <c r="B604" s="798">
        <f t="shared" si="20"/>
        <v>1</v>
      </c>
      <c r="C604" s="1105"/>
      <c r="AJ604" s="1156" t="s">
        <v>4</v>
      </c>
      <c r="AK604" s="874">
        <v>2009</v>
      </c>
      <c r="AL604" s="874" t="s">
        <v>29</v>
      </c>
      <c r="AM604" s="874">
        <v>1</v>
      </c>
      <c r="AN604" s="1114">
        <v>5155799373.0300026</v>
      </c>
      <c r="AO604" s="1112">
        <v>0.51663482663482296</v>
      </c>
      <c r="AP604" s="874"/>
      <c r="AQ604" s="1178" t="s">
        <v>1</v>
      </c>
      <c r="AR604" s="1178" t="s">
        <v>616</v>
      </c>
      <c r="AS604" s="1178" t="s">
        <v>45</v>
      </c>
      <c r="AT604" s="1178"/>
      <c r="AU604" s="1179">
        <v>121489000</v>
      </c>
      <c r="AV604" s="1169">
        <v>7.4199825947481677E-3</v>
      </c>
      <c r="AW604" s="874">
        <v>2015</v>
      </c>
    </row>
    <row r="605" spans="1:49">
      <c r="A605" s="798">
        <f t="shared" si="19"/>
        <v>1900</v>
      </c>
      <c r="B605" s="798">
        <f t="shared" si="20"/>
        <v>1</v>
      </c>
      <c r="C605" s="1105"/>
      <c r="AJ605" s="1156" t="s">
        <v>4</v>
      </c>
      <c r="AK605" s="874">
        <v>2009</v>
      </c>
      <c r="AL605" s="874" t="s">
        <v>30</v>
      </c>
      <c r="AM605" s="874">
        <v>2</v>
      </c>
      <c r="AN605" s="1114">
        <v>1206140343.8699999</v>
      </c>
      <c r="AO605" s="1112">
        <v>0.1208608136911143</v>
      </c>
      <c r="AP605" s="874"/>
      <c r="AQ605" s="1178" t="s">
        <v>1</v>
      </c>
      <c r="AR605" s="1178" t="s">
        <v>616</v>
      </c>
      <c r="AS605" s="1178" t="s">
        <v>452</v>
      </c>
      <c r="AT605" s="1178"/>
      <c r="AU605" s="1179">
        <v>16373219000</v>
      </c>
      <c r="AV605" s="1169">
        <v>1</v>
      </c>
      <c r="AW605" s="874">
        <v>2015</v>
      </c>
    </row>
    <row r="606" spans="1:49">
      <c r="A606" s="798">
        <f t="shared" si="19"/>
        <v>1900</v>
      </c>
      <c r="B606" s="798">
        <f t="shared" si="20"/>
        <v>1</v>
      </c>
      <c r="C606" s="1105"/>
      <c r="AJ606" s="1156" t="s">
        <v>4</v>
      </c>
      <c r="AK606" s="874">
        <v>2009</v>
      </c>
      <c r="AL606" s="874" t="s">
        <v>24</v>
      </c>
      <c r="AM606" s="874">
        <v>3</v>
      </c>
      <c r="AN606" s="1114">
        <v>1070775091.5599996</v>
      </c>
      <c r="AO606" s="1112">
        <v>0.10729659239395076</v>
      </c>
      <c r="AP606" s="874"/>
      <c r="AQ606" s="1178" t="s">
        <v>2</v>
      </c>
      <c r="AR606" s="1178" t="s">
        <v>616</v>
      </c>
      <c r="AS606" s="874" t="s">
        <v>24</v>
      </c>
      <c r="AT606" s="874">
        <v>1</v>
      </c>
      <c r="AU606" s="1116">
        <v>39966996676.786247</v>
      </c>
      <c r="AV606" s="1117">
        <v>0.8157986615812427</v>
      </c>
      <c r="AW606" s="874">
        <v>2015</v>
      </c>
    </row>
    <row r="607" spans="1:49">
      <c r="A607" s="798">
        <f t="shared" si="19"/>
        <v>1900</v>
      </c>
      <c r="B607" s="798">
        <f t="shared" si="20"/>
        <v>1</v>
      </c>
      <c r="C607" s="1105"/>
      <c r="AJ607" s="1156" t="s">
        <v>4</v>
      </c>
      <c r="AK607" s="874">
        <v>2009</v>
      </c>
      <c r="AL607" s="874" t="s">
        <v>70</v>
      </c>
      <c r="AM607" s="874">
        <v>4</v>
      </c>
      <c r="AN607" s="1114">
        <v>1028108470.5899999</v>
      </c>
      <c r="AO607" s="1112">
        <v>0.10302120060053908</v>
      </c>
      <c r="AP607" s="874"/>
      <c r="AQ607" s="1178" t="s">
        <v>2</v>
      </c>
      <c r="AR607" s="1178" t="s">
        <v>616</v>
      </c>
      <c r="AS607" s="874" t="s">
        <v>29</v>
      </c>
      <c r="AT607" s="874">
        <v>2</v>
      </c>
      <c r="AU607" s="1116">
        <v>4779371529.131134</v>
      </c>
      <c r="AV607" s="1117">
        <v>9.755561390304085E-2</v>
      </c>
      <c r="AW607" s="874">
        <v>2015</v>
      </c>
    </row>
    <row r="608" spans="1:49">
      <c r="A608" s="798">
        <f t="shared" si="19"/>
        <v>1900</v>
      </c>
      <c r="B608" s="798">
        <f t="shared" si="20"/>
        <v>1</v>
      </c>
      <c r="C608" s="1105"/>
      <c r="AJ608" s="1156" t="s">
        <v>4</v>
      </c>
      <c r="AK608" s="874">
        <v>2009</v>
      </c>
      <c r="AL608" s="874" t="s">
        <v>39</v>
      </c>
      <c r="AM608" s="874">
        <v>5</v>
      </c>
      <c r="AN608" s="1114">
        <v>366451537.58000004</v>
      </c>
      <c r="AO608" s="1112">
        <v>3.6720130650942207E-2</v>
      </c>
      <c r="AP608" s="874"/>
      <c r="AQ608" s="1178" t="s">
        <v>2</v>
      </c>
      <c r="AR608" s="1178" t="s">
        <v>616</v>
      </c>
      <c r="AS608" s="874" t="s">
        <v>30</v>
      </c>
      <c r="AT608" s="874">
        <v>3</v>
      </c>
      <c r="AU608" s="1116">
        <v>2930892424.5567236</v>
      </c>
      <c r="AV608" s="1117">
        <v>5.9824813371096679E-2</v>
      </c>
      <c r="AW608" s="874">
        <v>2015</v>
      </c>
    </row>
    <row r="609" spans="1:49">
      <c r="A609" s="798">
        <f t="shared" si="19"/>
        <v>1900</v>
      </c>
      <c r="B609" s="798">
        <f t="shared" si="20"/>
        <v>1</v>
      </c>
      <c r="AJ609" s="1156" t="s">
        <v>4</v>
      </c>
      <c r="AK609" s="874">
        <v>2009</v>
      </c>
      <c r="AL609" s="874" t="s">
        <v>152</v>
      </c>
      <c r="AM609" s="874">
        <v>6</v>
      </c>
      <c r="AN609" s="1114">
        <v>260725064.34</v>
      </c>
      <c r="AO609" s="1112">
        <v>2.6125851428444462E-2</v>
      </c>
      <c r="AP609" s="874"/>
      <c r="AQ609" s="1178" t="s">
        <v>2</v>
      </c>
      <c r="AR609" s="1178" t="s">
        <v>616</v>
      </c>
      <c r="AS609" s="874" t="s">
        <v>433</v>
      </c>
      <c r="AT609" s="874">
        <v>4</v>
      </c>
      <c r="AU609" s="1116">
        <v>1044629323.0914229</v>
      </c>
      <c r="AV609" s="1117">
        <v>2.1322773150014643E-2</v>
      </c>
      <c r="AW609" s="874">
        <v>2015</v>
      </c>
    </row>
    <row r="610" spans="1:49">
      <c r="A610" s="798">
        <f t="shared" si="19"/>
        <v>1900</v>
      </c>
      <c r="B610" s="798">
        <f t="shared" si="20"/>
        <v>1</v>
      </c>
      <c r="AJ610" s="1156" t="s">
        <v>4</v>
      </c>
      <c r="AK610" s="874">
        <v>2009</v>
      </c>
      <c r="AL610" s="874" t="s">
        <v>27</v>
      </c>
      <c r="AM610" s="874">
        <v>7</v>
      </c>
      <c r="AN610" s="1114">
        <v>205126908.61999995</v>
      </c>
      <c r="AO610" s="1112">
        <v>2.0554660335968457E-2</v>
      </c>
      <c r="AP610" s="874"/>
      <c r="AQ610" s="1178" t="s">
        <v>2</v>
      </c>
      <c r="AR610" s="1178" t="s">
        <v>616</v>
      </c>
      <c r="AS610" s="874" t="s">
        <v>28</v>
      </c>
      <c r="AT610" s="874">
        <v>5</v>
      </c>
      <c r="AU610" s="1116">
        <v>182006724.85292566</v>
      </c>
      <c r="AV610" s="1117">
        <v>3.7150863182082265E-3</v>
      </c>
      <c r="AW610" s="874">
        <v>2015</v>
      </c>
    </row>
    <row r="611" spans="1:49">
      <c r="A611" s="798">
        <f t="shared" si="19"/>
        <v>1900</v>
      </c>
      <c r="B611" s="798">
        <f t="shared" si="20"/>
        <v>1</v>
      </c>
      <c r="AJ611" s="1156" t="s">
        <v>4</v>
      </c>
      <c r="AK611" s="874">
        <v>2009</v>
      </c>
      <c r="AL611" s="874" t="s">
        <v>433</v>
      </c>
      <c r="AM611" s="874">
        <v>8</v>
      </c>
      <c r="AN611" s="1114">
        <v>178174051.93000004</v>
      </c>
      <c r="AO611" s="1112">
        <v>1.7853860045679446E-2</v>
      </c>
      <c r="AP611" s="874"/>
      <c r="AQ611" s="1178" t="s">
        <v>2</v>
      </c>
      <c r="AR611" s="1178" t="s">
        <v>616</v>
      </c>
      <c r="AS611" s="874" t="s">
        <v>45</v>
      </c>
      <c r="AT611" s="874"/>
      <c r="AU611" s="1116">
        <v>87353931.528845891</v>
      </c>
      <c r="AV611" s="1117">
        <v>1.7830516763968735E-3</v>
      </c>
      <c r="AW611" s="874">
        <v>2015</v>
      </c>
    </row>
    <row r="612" spans="1:49">
      <c r="A612" s="798">
        <f t="shared" si="19"/>
        <v>1900</v>
      </c>
      <c r="B612" s="798">
        <f t="shared" si="20"/>
        <v>1</v>
      </c>
      <c r="AJ612" s="1156" t="s">
        <v>4</v>
      </c>
      <c r="AK612" s="874">
        <v>2009</v>
      </c>
      <c r="AL612" s="874" t="s">
        <v>41</v>
      </c>
      <c r="AM612" s="874">
        <v>9</v>
      </c>
      <c r="AN612" s="1114">
        <v>151547605.91</v>
      </c>
      <c r="AO612" s="1112">
        <v>1.5185767606822605E-2</v>
      </c>
      <c r="AP612" s="874"/>
      <c r="AQ612" s="1178" t="s">
        <v>2</v>
      </c>
      <c r="AR612" s="1178" t="s">
        <v>616</v>
      </c>
      <c r="AS612" s="874" t="s">
        <v>452</v>
      </c>
      <c r="AT612" s="874"/>
      <c r="AU612" s="1116">
        <v>48991250609.947304</v>
      </c>
      <c r="AV612" s="874"/>
      <c r="AW612" s="874">
        <v>2015</v>
      </c>
    </row>
    <row r="613" spans="1:49">
      <c r="A613" s="798">
        <f t="shared" si="19"/>
        <v>1900</v>
      </c>
      <c r="B613" s="798">
        <f t="shared" si="20"/>
        <v>1</v>
      </c>
      <c r="AJ613" s="1156" t="s">
        <v>4</v>
      </c>
      <c r="AK613" s="874">
        <v>2009</v>
      </c>
      <c r="AL613" s="874" t="s">
        <v>31</v>
      </c>
      <c r="AM613" s="874">
        <v>10</v>
      </c>
      <c r="AN613" s="1114">
        <v>111679785.52000001</v>
      </c>
      <c r="AO613" s="1112">
        <v>1.1190828512947193E-2</v>
      </c>
      <c r="AP613" s="874"/>
      <c r="AQ613" s="1178" t="s">
        <v>2</v>
      </c>
      <c r="AR613" s="1178" t="s">
        <v>615</v>
      </c>
      <c r="AS613" s="874" t="s">
        <v>24</v>
      </c>
      <c r="AT613" s="874">
        <v>1</v>
      </c>
      <c r="AU613" s="1116">
        <v>42923552957.242661</v>
      </c>
      <c r="AV613" s="1117">
        <v>0.7894723012368795</v>
      </c>
      <c r="AW613" s="874">
        <v>2014</v>
      </c>
    </row>
    <row r="614" spans="1:49">
      <c r="A614" s="798">
        <f t="shared" si="19"/>
        <v>1900</v>
      </c>
      <c r="B614" s="798">
        <f t="shared" si="20"/>
        <v>1</v>
      </c>
      <c r="AJ614" s="1156" t="s">
        <v>4</v>
      </c>
      <c r="AK614" s="874">
        <v>2009</v>
      </c>
      <c r="AL614" s="874" t="s">
        <v>45</v>
      </c>
      <c r="AM614" s="874"/>
      <c r="AN614" s="1114">
        <v>245053295.86999702</v>
      </c>
      <c r="AO614" s="1112">
        <v>2.455546809876831E-2</v>
      </c>
      <c r="AP614" s="874"/>
      <c r="AQ614" s="1178" t="s">
        <v>2</v>
      </c>
      <c r="AR614" s="1178" t="s">
        <v>615</v>
      </c>
      <c r="AS614" s="874" t="s">
        <v>29</v>
      </c>
      <c r="AT614" s="874">
        <v>2</v>
      </c>
      <c r="AU614" s="1116">
        <v>6107351979.1707363</v>
      </c>
      <c r="AV614" s="1117">
        <v>0.1123295927124776</v>
      </c>
      <c r="AW614" s="874">
        <v>2014</v>
      </c>
    </row>
    <row r="615" spans="1:49">
      <c r="A615" s="798">
        <f t="shared" si="19"/>
        <v>1900</v>
      </c>
      <c r="B615" s="798">
        <f t="shared" si="20"/>
        <v>1</v>
      </c>
      <c r="AJ615" s="1156" t="s">
        <v>4</v>
      </c>
      <c r="AK615" s="874">
        <v>2009</v>
      </c>
      <c r="AL615" s="874" t="s">
        <v>452</v>
      </c>
      <c r="AM615" s="874"/>
      <c r="AN615" s="1114">
        <v>9979581528.8200016</v>
      </c>
      <c r="AO615" s="1112"/>
      <c r="AP615" s="874"/>
      <c r="AQ615" s="1178" t="s">
        <v>2</v>
      </c>
      <c r="AR615" s="1178" t="s">
        <v>615</v>
      </c>
      <c r="AS615" s="874" t="s">
        <v>30</v>
      </c>
      <c r="AT615" s="874">
        <v>3</v>
      </c>
      <c r="AU615" s="1116">
        <v>3728621644.7344747</v>
      </c>
      <c r="AV615" s="1117">
        <v>6.8578747738855847E-2</v>
      </c>
      <c r="AW615" s="874">
        <v>2014</v>
      </c>
    </row>
    <row r="616" spans="1:49">
      <c r="A616" s="798">
        <f t="shared" si="19"/>
        <v>1900</v>
      </c>
      <c r="B616" s="798">
        <f t="shared" si="20"/>
        <v>1</v>
      </c>
      <c r="AJ616" s="1156" t="s">
        <v>4</v>
      </c>
      <c r="AK616" s="874">
        <v>2008</v>
      </c>
      <c r="AL616" s="874" t="s">
        <v>29</v>
      </c>
      <c r="AM616" s="874">
        <v>1</v>
      </c>
      <c r="AN616" s="1114">
        <v>7689296422.5899925</v>
      </c>
      <c r="AO616" s="1112">
        <v>0.59272203080613262</v>
      </c>
      <c r="AP616" s="874"/>
      <c r="AQ616" s="1178" t="s">
        <v>2</v>
      </c>
      <c r="AR616" s="1178" t="s">
        <v>615</v>
      </c>
      <c r="AS616" s="874" t="s">
        <v>433</v>
      </c>
      <c r="AT616" s="874">
        <v>4</v>
      </c>
      <c r="AU616" s="1116">
        <v>1231981920.7978566</v>
      </c>
      <c r="AV616" s="1117">
        <v>2.2659251974396531E-2</v>
      </c>
      <c r="AW616" s="874">
        <v>2014</v>
      </c>
    </row>
    <row r="617" spans="1:49">
      <c r="A617" s="798">
        <f t="shared" si="19"/>
        <v>1900</v>
      </c>
      <c r="B617" s="798">
        <f t="shared" si="20"/>
        <v>1</v>
      </c>
      <c r="AJ617" s="1156" t="s">
        <v>4</v>
      </c>
      <c r="AK617" s="874">
        <v>2008</v>
      </c>
      <c r="AL617" s="874" t="s">
        <v>70</v>
      </c>
      <c r="AM617" s="874">
        <v>2</v>
      </c>
      <c r="AN617" s="1114">
        <v>1386728353.9400005</v>
      </c>
      <c r="AO617" s="1112">
        <v>0.10689462350664669</v>
      </c>
      <c r="AP617" s="874"/>
      <c r="AQ617" s="1178" t="s">
        <v>2</v>
      </c>
      <c r="AR617" s="1178" t="s">
        <v>615</v>
      </c>
      <c r="AS617" s="874" t="s">
        <v>28</v>
      </c>
      <c r="AT617" s="874">
        <v>5</v>
      </c>
      <c r="AU617" s="1116">
        <v>192493931.61318237</v>
      </c>
      <c r="AV617" s="1117">
        <v>3.5404484646500197E-3</v>
      </c>
      <c r="AW617" s="874">
        <v>2014</v>
      </c>
    </row>
    <row r="618" spans="1:49">
      <c r="A618" s="798">
        <f t="shared" si="19"/>
        <v>1900</v>
      </c>
      <c r="B618" s="798">
        <f t="shared" si="20"/>
        <v>1</v>
      </c>
      <c r="AJ618" s="1156" t="s">
        <v>4</v>
      </c>
      <c r="AK618" s="874">
        <v>2008</v>
      </c>
      <c r="AL618" s="874" t="s">
        <v>30</v>
      </c>
      <c r="AM618" s="874">
        <v>3</v>
      </c>
      <c r="AN618" s="1114">
        <v>1369947130.47</v>
      </c>
      <c r="AO618" s="1112">
        <v>0.10560105901024769</v>
      </c>
      <c r="AP618" s="874"/>
      <c r="AQ618" s="1178" t="s">
        <v>2</v>
      </c>
      <c r="AR618" s="1178" t="s">
        <v>615</v>
      </c>
      <c r="AS618" s="874" t="s">
        <v>45</v>
      </c>
      <c r="AT618" s="874"/>
      <c r="AU618" s="1116">
        <v>185926555.70849308</v>
      </c>
      <c r="AV618" s="1117">
        <v>3.419657872740553E-3</v>
      </c>
      <c r="AW618" s="874">
        <v>2014</v>
      </c>
    </row>
    <row r="619" spans="1:49">
      <c r="A619" s="798">
        <f t="shared" si="19"/>
        <v>1900</v>
      </c>
      <c r="B619" s="798">
        <f t="shared" si="20"/>
        <v>1</v>
      </c>
      <c r="AJ619" s="1156" t="s">
        <v>4</v>
      </c>
      <c r="AK619" s="874">
        <v>2008</v>
      </c>
      <c r="AL619" s="874" t="s">
        <v>24</v>
      </c>
      <c r="AM619" s="874">
        <v>4</v>
      </c>
      <c r="AN619" s="1114">
        <v>855348594.64000022</v>
      </c>
      <c r="AO619" s="1112">
        <v>6.5933725037930657E-2</v>
      </c>
      <c r="AP619" s="874"/>
      <c r="AQ619" s="1178" t="s">
        <v>2</v>
      </c>
      <c r="AR619" s="1178" t="s">
        <v>615</v>
      </c>
      <c r="AS619" s="874" t="s">
        <v>452</v>
      </c>
      <c r="AT619" s="874"/>
      <c r="AU619" s="1116">
        <v>54369928989.267403</v>
      </c>
      <c r="AV619" s="874"/>
      <c r="AW619" s="874">
        <v>2014</v>
      </c>
    </row>
    <row r="620" spans="1:49">
      <c r="A620" s="798">
        <f t="shared" si="19"/>
        <v>1900</v>
      </c>
      <c r="B620" s="798">
        <f t="shared" si="20"/>
        <v>1</v>
      </c>
      <c r="AJ620" s="1156" t="s">
        <v>4</v>
      </c>
      <c r="AK620" s="874">
        <v>2008</v>
      </c>
      <c r="AL620" s="874" t="s">
        <v>39</v>
      </c>
      <c r="AM620" s="874">
        <v>5</v>
      </c>
      <c r="AN620" s="1114">
        <v>592867349.92000008</v>
      </c>
      <c r="AO620" s="1112">
        <v>4.5700610345942187E-2</v>
      </c>
      <c r="AP620" s="874"/>
      <c r="AQ620" s="1178" t="s">
        <v>2</v>
      </c>
      <c r="AR620" s="1178" t="s">
        <v>614</v>
      </c>
      <c r="AS620" s="874" t="s">
        <v>24</v>
      </c>
      <c r="AT620" s="874">
        <v>1</v>
      </c>
      <c r="AU620" s="1116">
        <v>49014730714.380302</v>
      </c>
      <c r="AV620" s="1117">
        <v>0.65372439248930869</v>
      </c>
      <c r="AW620" s="874">
        <v>2013</v>
      </c>
    </row>
    <row r="621" spans="1:49">
      <c r="A621" s="798">
        <f t="shared" si="19"/>
        <v>1900</v>
      </c>
      <c r="B621" s="798">
        <f t="shared" si="20"/>
        <v>1</v>
      </c>
      <c r="AJ621" s="1156" t="s">
        <v>4</v>
      </c>
      <c r="AK621" s="874">
        <v>2008</v>
      </c>
      <c r="AL621" s="874" t="s">
        <v>34</v>
      </c>
      <c r="AM621" s="874">
        <v>6</v>
      </c>
      <c r="AN621" s="1114">
        <v>224188668.60000002</v>
      </c>
      <c r="AO621" s="1112">
        <v>1.7281368233630464E-2</v>
      </c>
      <c r="AP621" s="874"/>
      <c r="AQ621" s="1178" t="s">
        <v>2</v>
      </c>
      <c r="AR621" s="1178" t="s">
        <v>614</v>
      </c>
      <c r="AS621" s="874" t="s">
        <v>29</v>
      </c>
      <c r="AT621" s="874">
        <v>2</v>
      </c>
      <c r="AU621" s="1116">
        <v>10956237957.531624</v>
      </c>
      <c r="AV621" s="1117">
        <v>0.14612668270060125</v>
      </c>
      <c r="AW621" s="874">
        <v>2013</v>
      </c>
    </row>
    <row r="622" spans="1:49">
      <c r="A622" s="798">
        <f t="shared" si="19"/>
        <v>1900</v>
      </c>
      <c r="B622" s="798">
        <f t="shared" si="20"/>
        <v>1</v>
      </c>
      <c r="AJ622" s="1156" t="s">
        <v>4</v>
      </c>
      <c r="AK622" s="874">
        <v>2008</v>
      </c>
      <c r="AL622" s="874" t="s">
        <v>433</v>
      </c>
      <c r="AM622" s="874">
        <v>7</v>
      </c>
      <c r="AN622" s="1114">
        <v>206714278.58000001</v>
      </c>
      <c r="AO622" s="1112">
        <v>1.5934371659363386E-2</v>
      </c>
      <c r="AP622" s="874"/>
      <c r="AQ622" s="1178" t="s">
        <v>2</v>
      </c>
      <c r="AR622" s="1178" t="s">
        <v>614</v>
      </c>
      <c r="AS622" s="874" t="s">
        <v>30</v>
      </c>
      <c r="AT622" s="874">
        <v>3</v>
      </c>
      <c r="AU622" s="1116">
        <v>5237371639.0353251</v>
      </c>
      <c r="AV622" s="1117">
        <v>6.9852420753269667E-2</v>
      </c>
      <c r="AW622" s="874">
        <v>2013</v>
      </c>
    </row>
    <row r="623" spans="1:49">
      <c r="A623" s="798">
        <f t="shared" si="19"/>
        <v>1900</v>
      </c>
      <c r="B623" s="798">
        <f t="shared" si="20"/>
        <v>1</v>
      </c>
      <c r="AJ623" s="1156" t="s">
        <v>4</v>
      </c>
      <c r="AK623" s="874">
        <v>2008</v>
      </c>
      <c r="AL623" s="874" t="s">
        <v>41</v>
      </c>
      <c r="AM623" s="874">
        <v>8</v>
      </c>
      <c r="AN623" s="1114">
        <v>192480190.47</v>
      </c>
      <c r="AO623" s="1112">
        <v>1.4837150646209774E-2</v>
      </c>
      <c r="AP623" s="874"/>
      <c r="AQ623" s="1178" t="s">
        <v>2</v>
      </c>
      <c r="AR623" s="1178" t="s">
        <v>614</v>
      </c>
      <c r="AS623" s="874" t="s">
        <v>433</v>
      </c>
      <c r="AT623" s="874">
        <v>4</v>
      </c>
      <c r="AU623" s="1116">
        <v>1952610827.1688156</v>
      </c>
      <c r="AV623" s="1117">
        <v>2.6042565329946421E-2</v>
      </c>
      <c r="AW623" s="874">
        <v>2013</v>
      </c>
    </row>
    <row r="624" spans="1:49">
      <c r="A624" s="798">
        <f t="shared" si="19"/>
        <v>1900</v>
      </c>
      <c r="B624" s="798">
        <f t="shared" si="20"/>
        <v>1</v>
      </c>
      <c r="AJ624" s="1156" t="s">
        <v>4</v>
      </c>
      <c r="AK624" s="874">
        <v>2008</v>
      </c>
      <c r="AL624" s="874" t="s">
        <v>152</v>
      </c>
      <c r="AM624" s="874">
        <v>9</v>
      </c>
      <c r="AN624" s="1114">
        <v>155580477.22999999</v>
      </c>
      <c r="AO624" s="1112">
        <v>1.1992771685408854E-2</v>
      </c>
      <c r="AP624" s="874"/>
      <c r="AQ624" s="1178" t="s">
        <v>2</v>
      </c>
      <c r="AR624" s="1178" t="s">
        <v>614</v>
      </c>
      <c r="AS624" s="874" t="s">
        <v>41</v>
      </c>
      <c r="AT624" s="874">
        <v>5</v>
      </c>
      <c r="AU624" s="1116">
        <v>1122577092.247129</v>
      </c>
      <c r="AV624" s="1117">
        <v>1.4972152594859916E-2</v>
      </c>
      <c r="AW624" s="874">
        <v>2013</v>
      </c>
    </row>
    <row r="625" spans="1:49">
      <c r="A625" s="798">
        <f t="shared" si="19"/>
        <v>1900</v>
      </c>
      <c r="B625" s="798">
        <f t="shared" si="20"/>
        <v>1</v>
      </c>
      <c r="AJ625" s="1156" t="s">
        <v>4</v>
      </c>
      <c r="AK625" s="874">
        <v>2008</v>
      </c>
      <c r="AL625" s="874" t="s">
        <v>27</v>
      </c>
      <c r="AM625" s="874">
        <v>10</v>
      </c>
      <c r="AN625" s="1114">
        <v>117731109.77</v>
      </c>
      <c r="AO625" s="1112">
        <v>9.0751895409995707E-3</v>
      </c>
      <c r="AP625" s="874"/>
      <c r="AQ625" s="1178" t="s">
        <v>2</v>
      </c>
      <c r="AR625" s="1178" t="s">
        <v>614</v>
      </c>
      <c r="AS625" s="874" t="s">
        <v>45</v>
      </c>
      <c r="AT625" s="874"/>
      <c r="AU625" s="1116">
        <v>6694140153.3080044</v>
      </c>
      <c r="AV625" s="1117">
        <v>8.9281786132014054E-2</v>
      </c>
      <c r="AW625" s="874">
        <v>2013</v>
      </c>
    </row>
    <row r="626" spans="1:49">
      <c r="A626" s="798">
        <f t="shared" si="19"/>
        <v>1900</v>
      </c>
      <c r="B626" s="798">
        <f t="shared" si="20"/>
        <v>1</v>
      </c>
      <c r="AJ626" s="1156" t="s">
        <v>4</v>
      </c>
      <c r="AK626" s="874">
        <v>2008</v>
      </c>
      <c r="AL626" s="874" t="s">
        <v>45</v>
      </c>
      <c r="AM626" s="874"/>
      <c r="AN626" s="1114">
        <v>181971515.5</v>
      </c>
      <c r="AO626" s="1112">
        <v>1.4027099527488309E-2</v>
      </c>
      <c r="AP626" s="874"/>
      <c r="AQ626" s="1178" t="s">
        <v>2</v>
      </c>
      <c r="AR626" s="1178" t="s">
        <v>614</v>
      </c>
      <c r="AS626" s="874" t="s">
        <v>452</v>
      </c>
      <c r="AT626" s="874"/>
      <c r="AU626" s="1116">
        <v>74977668383.671204</v>
      </c>
      <c r="AV626" s="874"/>
      <c r="AW626" s="874">
        <v>2013</v>
      </c>
    </row>
    <row r="627" spans="1:49">
      <c r="A627" s="798">
        <f t="shared" si="19"/>
        <v>1900</v>
      </c>
      <c r="B627" s="798">
        <f t="shared" si="20"/>
        <v>1</v>
      </c>
      <c r="AJ627" s="1156" t="s">
        <v>4</v>
      </c>
      <c r="AK627" s="874">
        <v>2008</v>
      </c>
      <c r="AL627" s="874" t="s">
        <v>452</v>
      </c>
      <c r="AM627" s="874"/>
      <c r="AN627" s="1114">
        <v>12972854091.709991</v>
      </c>
      <c r="AO627" s="1112"/>
      <c r="AP627" s="874"/>
      <c r="AQ627" s="1178" t="s">
        <v>2</v>
      </c>
      <c r="AR627" s="874" t="s">
        <v>613</v>
      </c>
      <c r="AS627" s="874" t="s">
        <v>24</v>
      </c>
      <c r="AT627" s="1107">
        <v>1</v>
      </c>
      <c r="AU627" s="1116">
        <v>41507439528.252579</v>
      </c>
      <c r="AV627" s="1117">
        <v>0.73192243194079032</v>
      </c>
      <c r="AW627" s="874">
        <v>2012</v>
      </c>
    </row>
    <row r="628" spans="1:49">
      <c r="A628" s="798">
        <f t="shared" si="19"/>
        <v>1900</v>
      </c>
      <c r="B628" s="798">
        <f t="shared" si="20"/>
        <v>1</v>
      </c>
      <c r="AJ628" s="1156" t="s">
        <v>4</v>
      </c>
      <c r="AK628" s="874">
        <v>2007</v>
      </c>
      <c r="AL628" s="874" t="s">
        <v>29</v>
      </c>
      <c r="AM628" s="874">
        <v>1</v>
      </c>
      <c r="AN628" s="1114">
        <v>4499727895.9300003</v>
      </c>
      <c r="AO628" s="1112">
        <v>0.45126358876600725</v>
      </c>
      <c r="AP628" s="874"/>
      <c r="AQ628" s="1178" t="s">
        <v>2</v>
      </c>
      <c r="AR628" s="874" t="s">
        <v>613</v>
      </c>
      <c r="AS628" s="874" t="s">
        <v>29</v>
      </c>
      <c r="AT628" s="874">
        <v>2</v>
      </c>
      <c r="AU628" s="1116">
        <v>8441257893.429245</v>
      </c>
      <c r="AV628" s="1117">
        <v>0.14884912382496526</v>
      </c>
      <c r="AW628" s="874">
        <v>2012</v>
      </c>
    </row>
    <row r="629" spans="1:49">
      <c r="A629" s="798">
        <f t="shared" si="19"/>
        <v>1900</v>
      </c>
      <c r="B629" s="798">
        <f t="shared" si="20"/>
        <v>1</v>
      </c>
      <c r="AJ629" s="1156" t="s">
        <v>4</v>
      </c>
      <c r="AK629" s="874">
        <v>2007</v>
      </c>
      <c r="AL629" s="874" t="s">
        <v>30</v>
      </c>
      <c r="AM629" s="874">
        <v>2</v>
      </c>
      <c r="AN629" s="1114">
        <v>2048579250.27</v>
      </c>
      <c r="AO629" s="1112">
        <v>0.20544558376176039</v>
      </c>
      <c r="AP629" s="874"/>
      <c r="AQ629" s="1178" t="s">
        <v>2</v>
      </c>
      <c r="AR629" s="874" t="s">
        <v>613</v>
      </c>
      <c r="AS629" s="874" t="s">
        <v>30</v>
      </c>
      <c r="AT629" s="874">
        <v>3</v>
      </c>
      <c r="AU629" s="1116">
        <v>4956212326.0423832</v>
      </c>
      <c r="AV629" s="1117">
        <v>8.7395489100760226E-2</v>
      </c>
      <c r="AW629" s="874">
        <v>2012</v>
      </c>
    </row>
    <row r="630" spans="1:49">
      <c r="A630" s="798">
        <f t="shared" si="19"/>
        <v>1900</v>
      </c>
      <c r="B630" s="798">
        <f t="shared" si="20"/>
        <v>1</v>
      </c>
      <c r="AJ630" s="1156" t="s">
        <v>4</v>
      </c>
      <c r="AK630" s="874">
        <v>2007</v>
      </c>
      <c r="AL630" s="874" t="s">
        <v>24</v>
      </c>
      <c r="AM630" s="874">
        <v>3</v>
      </c>
      <c r="AN630" s="1114">
        <v>678326661.55999982</v>
      </c>
      <c r="AO630" s="1112">
        <v>6.8027252031862023E-2</v>
      </c>
      <c r="AP630" s="874"/>
      <c r="AQ630" s="1178" t="s">
        <v>2</v>
      </c>
      <c r="AR630" s="874" t="s">
        <v>613</v>
      </c>
      <c r="AS630" s="874" t="s">
        <v>433</v>
      </c>
      <c r="AT630" s="874">
        <v>4</v>
      </c>
      <c r="AU630" s="1116">
        <v>1518699067.1814537</v>
      </c>
      <c r="AV630" s="1117">
        <v>2.6780016480685464E-2</v>
      </c>
      <c r="AW630" s="874">
        <v>2012</v>
      </c>
    </row>
    <row r="631" spans="1:49">
      <c r="A631" s="798">
        <f t="shared" si="19"/>
        <v>1900</v>
      </c>
      <c r="B631" s="798">
        <f t="shared" si="20"/>
        <v>1</v>
      </c>
      <c r="AJ631" s="1156" t="s">
        <v>4</v>
      </c>
      <c r="AK631" s="874">
        <v>2007</v>
      </c>
      <c r="AL631" s="874" t="s">
        <v>70</v>
      </c>
      <c r="AM631" s="874">
        <v>4</v>
      </c>
      <c r="AN631" s="1114">
        <v>666280634.88</v>
      </c>
      <c r="AO631" s="1112">
        <v>6.6819193821296766E-2</v>
      </c>
      <c r="AP631" s="874"/>
      <c r="AQ631" s="1178" t="s">
        <v>2</v>
      </c>
      <c r="AR631" s="874" t="s">
        <v>613</v>
      </c>
      <c r="AS631" s="874" t="s">
        <v>41</v>
      </c>
      <c r="AT631" s="874">
        <v>5</v>
      </c>
      <c r="AU631" s="1116">
        <v>44076354.093250401</v>
      </c>
      <c r="AV631" s="1117">
        <v>7.7722144862866647E-4</v>
      </c>
      <c r="AW631" s="874">
        <v>2012</v>
      </c>
    </row>
    <row r="632" spans="1:49">
      <c r="A632" s="798">
        <f t="shared" si="19"/>
        <v>1900</v>
      </c>
      <c r="B632" s="798">
        <f t="shared" si="20"/>
        <v>1</v>
      </c>
      <c r="AJ632" s="1156" t="s">
        <v>4</v>
      </c>
      <c r="AK632" s="874">
        <v>2007</v>
      </c>
      <c r="AL632" s="874" t="s">
        <v>39</v>
      </c>
      <c r="AM632" s="874">
        <v>5</v>
      </c>
      <c r="AN632" s="1114">
        <v>638197708.50999999</v>
      </c>
      <c r="AO632" s="1112">
        <v>6.4002845270923245E-2</v>
      </c>
      <c r="AP632" s="874"/>
      <c r="AQ632" s="1178" t="s">
        <v>2</v>
      </c>
      <c r="AR632" s="874" t="s">
        <v>613</v>
      </c>
      <c r="AS632" s="874" t="s">
        <v>45</v>
      </c>
      <c r="AT632" s="874"/>
      <c r="AU632" s="1116">
        <v>242476614.3884967</v>
      </c>
      <c r="AV632" s="1117">
        <v>4.2757172041700551E-3</v>
      </c>
      <c r="AW632" s="874">
        <v>2012</v>
      </c>
    </row>
    <row r="633" spans="1:49">
      <c r="A633" s="798">
        <f t="shared" si="19"/>
        <v>1900</v>
      </c>
      <c r="B633" s="798">
        <f t="shared" si="20"/>
        <v>1</v>
      </c>
      <c r="AJ633" s="1156" t="s">
        <v>4</v>
      </c>
      <c r="AK633" s="874">
        <v>2007</v>
      </c>
      <c r="AL633" s="874" t="s">
        <v>152</v>
      </c>
      <c r="AM633" s="874">
        <v>6</v>
      </c>
      <c r="AN633" s="1114">
        <v>436184095.39999998</v>
      </c>
      <c r="AO633" s="1112">
        <v>4.3743534010333075E-2</v>
      </c>
      <c r="AP633" s="874"/>
      <c r="AQ633" s="1178" t="s">
        <v>2</v>
      </c>
      <c r="AR633" s="874" t="s">
        <v>613</v>
      </c>
      <c r="AS633" s="874" t="s">
        <v>452</v>
      </c>
      <c r="AT633" s="874"/>
      <c r="AU633" s="1116">
        <v>56710161783.387405</v>
      </c>
      <c r="AV633" s="874"/>
      <c r="AW633" s="874">
        <v>2012</v>
      </c>
    </row>
    <row r="634" spans="1:49">
      <c r="A634" s="798">
        <f t="shared" si="19"/>
        <v>1900</v>
      </c>
      <c r="B634" s="798">
        <f t="shared" si="20"/>
        <v>1</v>
      </c>
      <c r="AJ634" s="1156" t="s">
        <v>4</v>
      </c>
      <c r="AK634" s="874">
        <v>2007</v>
      </c>
      <c r="AL634" s="874" t="s">
        <v>28</v>
      </c>
      <c r="AM634" s="874">
        <v>7</v>
      </c>
      <c r="AN634" s="1114">
        <v>303777385.22000003</v>
      </c>
      <c r="AO634" s="1112">
        <v>3.0464880590740415E-2</v>
      </c>
      <c r="AP634" s="874"/>
      <c r="AQ634" s="1178" t="s">
        <v>2</v>
      </c>
      <c r="AR634" s="874" t="s">
        <v>612</v>
      </c>
      <c r="AS634" s="874" t="s">
        <v>24</v>
      </c>
      <c r="AT634" s="1107">
        <v>1</v>
      </c>
      <c r="AU634" s="1118">
        <v>42198077215.796463</v>
      </c>
      <c r="AV634" s="1112">
        <v>0.69325972763464394</v>
      </c>
      <c r="AW634" s="874">
        <v>2011</v>
      </c>
    </row>
    <row r="635" spans="1:49">
      <c r="A635" s="798">
        <f t="shared" si="19"/>
        <v>1900</v>
      </c>
      <c r="B635" s="798">
        <f t="shared" si="20"/>
        <v>1</v>
      </c>
      <c r="AJ635" s="1156" t="s">
        <v>4</v>
      </c>
      <c r="AK635" s="874">
        <v>2007</v>
      </c>
      <c r="AL635" s="874" t="s">
        <v>34</v>
      </c>
      <c r="AM635" s="874">
        <v>8</v>
      </c>
      <c r="AN635" s="1114">
        <v>229810652.37000006</v>
      </c>
      <c r="AO635" s="1112">
        <v>2.3046989089928038E-2</v>
      </c>
      <c r="AP635" s="874"/>
      <c r="AQ635" s="1178" t="s">
        <v>2</v>
      </c>
      <c r="AR635" s="874" t="s">
        <v>612</v>
      </c>
      <c r="AS635" s="874" t="s">
        <v>29</v>
      </c>
      <c r="AT635" s="874">
        <v>2</v>
      </c>
      <c r="AU635" s="1118">
        <v>10399054315.637474</v>
      </c>
      <c r="AV635" s="1112">
        <v>0.1708429871259155</v>
      </c>
      <c r="AW635" s="874">
        <v>2011</v>
      </c>
    </row>
    <row r="636" spans="1:49">
      <c r="A636" s="798">
        <f t="shared" si="19"/>
        <v>1900</v>
      </c>
      <c r="B636" s="798">
        <f t="shared" si="20"/>
        <v>1</v>
      </c>
      <c r="AJ636" s="1156" t="s">
        <v>4</v>
      </c>
      <c r="AK636" s="874">
        <v>2007</v>
      </c>
      <c r="AL636" s="874" t="s">
        <v>31</v>
      </c>
      <c r="AM636" s="874">
        <v>9</v>
      </c>
      <c r="AN636" s="1114">
        <v>144629099.77000001</v>
      </c>
      <c r="AO636" s="1112">
        <v>1.450439851290564E-2</v>
      </c>
      <c r="AP636" s="874"/>
      <c r="AQ636" s="1178" t="s">
        <v>2</v>
      </c>
      <c r="AR636" s="874" t="s">
        <v>612</v>
      </c>
      <c r="AS636" s="874" t="s">
        <v>30</v>
      </c>
      <c r="AT636" s="874">
        <v>3</v>
      </c>
      <c r="AU636" s="1118">
        <v>6379743143.9624119</v>
      </c>
      <c r="AV636" s="1112">
        <v>0.104810912870379</v>
      </c>
      <c r="AW636" s="874">
        <v>2011</v>
      </c>
    </row>
    <row r="637" spans="1:49">
      <c r="A637" s="798">
        <f t="shared" si="19"/>
        <v>1900</v>
      </c>
      <c r="B637" s="798">
        <f t="shared" si="20"/>
        <v>1</v>
      </c>
      <c r="AJ637" s="1156" t="s">
        <v>4</v>
      </c>
      <c r="AK637" s="874">
        <v>2007</v>
      </c>
      <c r="AL637" s="874" t="s">
        <v>41</v>
      </c>
      <c r="AM637" s="874">
        <v>10</v>
      </c>
      <c r="AN637" s="1114">
        <v>136152981.06</v>
      </c>
      <c r="AO637" s="1112">
        <v>1.3654355168875663E-2</v>
      </c>
      <c r="AP637" s="874"/>
      <c r="AQ637" s="1178" t="s">
        <v>2</v>
      </c>
      <c r="AR637" s="874" t="s">
        <v>612</v>
      </c>
      <c r="AS637" s="874" t="s">
        <v>433</v>
      </c>
      <c r="AT637" s="874">
        <v>4</v>
      </c>
      <c r="AU637" s="1118">
        <v>1747417687.4970729</v>
      </c>
      <c r="AV637" s="1112">
        <v>2.8707808270579168E-2</v>
      </c>
      <c r="AW637" s="874">
        <v>2011</v>
      </c>
    </row>
    <row r="638" spans="1:49">
      <c r="A638" s="798">
        <f t="shared" si="19"/>
        <v>1900</v>
      </c>
      <c r="B638" s="798">
        <f t="shared" si="20"/>
        <v>1</v>
      </c>
      <c r="AJ638" s="1156" t="s">
        <v>4</v>
      </c>
      <c r="AK638" s="874">
        <v>2007</v>
      </c>
      <c r="AL638" s="874" t="s">
        <v>45</v>
      </c>
      <c r="AM638" s="874"/>
      <c r="AN638" s="1114">
        <v>189729528.57999802</v>
      </c>
      <c r="AO638" s="1112">
        <v>1.9027378975367392E-2</v>
      </c>
      <c r="AP638" s="874"/>
      <c r="AQ638" s="1178" t="s">
        <v>2</v>
      </c>
      <c r="AR638" s="874" t="s">
        <v>612</v>
      </c>
      <c r="AS638" s="874" t="s">
        <v>33</v>
      </c>
      <c r="AT638" s="874">
        <v>5</v>
      </c>
      <c r="AU638" s="1118">
        <v>83854138.601706073</v>
      </c>
      <c r="AV638" s="1112">
        <v>1.3776148375380238E-3</v>
      </c>
      <c r="AW638" s="874">
        <v>2011</v>
      </c>
    </row>
    <row r="639" spans="1:49">
      <c r="A639" s="798">
        <f t="shared" si="19"/>
        <v>1900</v>
      </c>
      <c r="B639" s="798">
        <f t="shared" si="20"/>
        <v>1</v>
      </c>
      <c r="AJ639" s="1156" t="s">
        <v>4</v>
      </c>
      <c r="AK639" s="874">
        <v>2007</v>
      </c>
      <c r="AL639" s="874" t="s">
        <v>452</v>
      </c>
      <c r="AM639" s="874"/>
      <c r="AN639" s="1114">
        <v>9971395893.5499992</v>
      </c>
      <c r="AO639" s="1112"/>
      <c r="AP639" s="874"/>
      <c r="AQ639" s="1178" t="s">
        <v>2</v>
      </c>
      <c r="AR639" s="874" t="s">
        <v>612</v>
      </c>
      <c r="AS639" s="874" t="s">
        <v>45</v>
      </c>
      <c r="AT639" s="874"/>
      <c r="AU639" s="1118">
        <v>60926853.989545316</v>
      </c>
      <c r="AV639" s="1112">
        <v>1.0009492609444404E-3</v>
      </c>
      <c r="AW639" s="874">
        <v>2011</v>
      </c>
    </row>
    <row r="640" spans="1:49">
      <c r="A640" s="798">
        <f t="shared" si="19"/>
        <v>1900</v>
      </c>
      <c r="B640" s="798">
        <f t="shared" si="20"/>
        <v>1</v>
      </c>
      <c r="AJ640" s="1156" t="s">
        <v>0</v>
      </c>
      <c r="AK640" s="874">
        <v>2016</v>
      </c>
      <c r="AL640" s="874" t="s">
        <v>40</v>
      </c>
      <c r="AM640" s="874">
        <v>1</v>
      </c>
      <c r="AN640" s="1116">
        <v>966122261.19000018</v>
      </c>
      <c r="AO640" s="1112">
        <v>0.21394147123030136</v>
      </c>
      <c r="AP640" s="874"/>
      <c r="AQ640" s="1178" t="s">
        <v>2</v>
      </c>
      <c r="AR640" s="874" t="s">
        <v>612</v>
      </c>
      <c r="AS640" s="874" t="s">
        <v>452</v>
      </c>
      <c r="AT640" s="874"/>
      <c r="AU640" s="1118">
        <v>60869073355.484673</v>
      </c>
      <c r="AV640" s="874"/>
      <c r="AW640" s="874">
        <v>2011</v>
      </c>
    </row>
    <row r="641" spans="1:49">
      <c r="A641" s="798">
        <f t="shared" si="19"/>
        <v>1900</v>
      </c>
      <c r="B641" s="798">
        <f t="shared" si="20"/>
        <v>1</v>
      </c>
      <c r="AJ641" s="1156" t="s">
        <v>0</v>
      </c>
      <c r="AK641" s="874">
        <v>2016</v>
      </c>
      <c r="AL641" s="874" t="s">
        <v>23</v>
      </c>
      <c r="AM641" s="874">
        <v>2</v>
      </c>
      <c r="AN641" s="1116">
        <v>608194648.67000008</v>
      </c>
      <c r="AO641" s="1112">
        <v>0.13468073675332351</v>
      </c>
      <c r="AP641" s="874"/>
      <c r="AQ641" s="1178" t="s">
        <v>2</v>
      </c>
      <c r="AR641" s="874" t="s">
        <v>611</v>
      </c>
      <c r="AS641" s="874" t="s">
        <v>24</v>
      </c>
      <c r="AT641" s="874">
        <v>1</v>
      </c>
      <c r="AU641" s="1116">
        <v>39558337456.315392</v>
      </c>
      <c r="AV641" s="1117">
        <v>0.68252458418875683</v>
      </c>
      <c r="AW641" s="874">
        <v>2010</v>
      </c>
    </row>
    <row r="642" spans="1:49">
      <c r="A642" s="798">
        <f t="shared" si="19"/>
        <v>1900</v>
      </c>
      <c r="B642" s="798">
        <f t="shared" si="20"/>
        <v>1</v>
      </c>
      <c r="AJ642" s="1156" t="s">
        <v>0</v>
      </c>
      <c r="AK642" s="874">
        <v>2016</v>
      </c>
      <c r="AL642" s="874" t="s">
        <v>32</v>
      </c>
      <c r="AM642" s="874">
        <v>3</v>
      </c>
      <c r="AN642" s="1116">
        <v>384411897.37999988</v>
      </c>
      <c r="AO642" s="1112">
        <v>8.5125506561260098E-2</v>
      </c>
      <c r="AP642" s="874"/>
      <c r="AQ642" s="1178" t="s">
        <v>2</v>
      </c>
      <c r="AR642" s="874" t="s">
        <v>611</v>
      </c>
      <c r="AS642" s="874" t="s">
        <v>29</v>
      </c>
      <c r="AT642" s="874">
        <v>2</v>
      </c>
      <c r="AU642" s="1116">
        <v>10347639130.988295</v>
      </c>
      <c r="AV642" s="1117">
        <v>0.17853424965122189</v>
      </c>
      <c r="AW642" s="874">
        <v>2010</v>
      </c>
    </row>
    <row r="643" spans="1:49">
      <c r="A643" s="798">
        <f t="shared" si="19"/>
        <v>1900</v>
      </c>
      <c r="B643" s="798">
        <f t="shared" si="20"/>
        <v>1</v>
      </c>
      <c r="AJ643" s="1156" t="s">
        <v>0</v>
      </c>
      <c r="AK643" s="874">
        <v>2016</v>
      </c>
      <c r="AL643" s="874" t="s">
        <v>38</v>
      </c>
      <c r="AM643" s="874">
        <v>4</v>
      </c>
      <c r="AN643" s="1116">
        <v>373831019.82999992</v>
      </c>
      <c r="AO643" s="1112">
        <v>8.278244026324684E-2</v>
      </c>
      <c r="AP643" s="874"/>
      <c r="AQ643" s="1178" t="s">
        <v>2</v>
      </c>
      <c r="AR643" s="874" t="s">
        <v>611</v>
      </c>
      <c r="AS643" s="874" t="s">
        <v>30</v>
      </c>
      <c r="AT643" s="874">
        <v>3</v>
      </c>
      <c r="AU643" s="1116">
        <v>6017937682.9607887</v>
      </c>
      <c r="AV643" s="1117">
        <v>0.10383121938004823</v>
      </c>
      <c r="AW643" s="874">
        <v>2010</v>
      </c>
    </row>
    <row r="644" spans="1:49">
      <c r="A644" s="798">
        <f t="shared" si="19"/>
        <v>1900</v>
      </c>
      <c r="B644" s="798">
        <f t="shared" si="20"/>
        <v>1</v>
      </c>
      <c r="AJ644" s="1156" t="s">
        <v>0</v>
      </c>
      <c r="AK644" s="874">
        <v>2016</v>
      </c>
      <c r="AL644" s="874" t="s">
        <v>24</v>
      </c>
      <c r="AM644" s="874">
        <v>5</v>
      </c>
      <c r="AN644" s="1116">
        <v>371852281</v>
      </c>
      <c r="AO644" s="1112">
        <v>8.2344261459718099E-2</v>
      </c>
      <c r="AP644" s="874"/>
      <c r="AQ644" s="1178" t="s">
        <v>2</v>
      </c>
      <c r="AR644" s="874" t="s">
        <v>611</v>
      </c>
      <c r="AS644" s="874" t="s">
        <v>433</v>
      </c>
      <c r="AT644" s="874">
        <v>4</v>
      </c>
      <c r="AU644" s="1116">
        <v>1890021164.969667</v>
      </c>
      <c r="AV644" s="1117">
        <v>3.2609709929124653E-2</v>
      </c>
      <c r="AW644" s="874">
        <v>2010</v>
      </c>
    </row>
    <row r="645" spans="1:49">
      <c r="A645" s="798">
        <f t="shared" si="19"/>
        <v>1900</v>
      </c>
      <c r="B645" s="798">
        <f t="shared" si="20"/>
        <v>1</v>
      </c>
      <c r="AJ645" s="1156" t="s">
        <v>0</v>
      </c>
      <c r="AK645" s="874">
        <v>2016</v>
      </c>
      <c r="AL645" s="874" t="s">
        <v>31</v>
      </c>
      <c r="AM645" s="874">
        <v>6</v>
      </c>
      <c r="AN645" s="1116">
        <v>330773158.39000005</v>
      </c>
      <c r="AO645" s="1112">
        <v>7.3247557780405037E-2</v>
      </c>
      <c r="AP645" s="874"/>
      <c r="AQ645" s="1178" t="s">
        <v>2</v>
      </c>
      <c r="AR645" s="874" t="s">
        <v>611</v>
      </c>
      <c r="AS645" s="874" t="s">
        <v>33</v>
      </c>
      <c r="AT645" s="874">
        <v>5</v>
      </c>
      <c r="AU645" s="1116">
        <v>84333713.038426876</v>
      </c>
      <c r="AV645" s="1117">
        <v>1.4550619698871332E-3</v>
      </c>
      <c r="AW645" s="874">
        <v>2010</v>
      </c>
    </row>
    <row r="646" spans="1:49">
      <c r="A646" s="798">
        <f t="shared" si="19"/>
        <v>1900</v>
      </c>
      <c r="B646" s="798">
        <f t="shared" si="20"/>
        <v>1</v>
      </c>
      <c r="AJ646" s="1156" t="s">
        <v>0</v>
      </c>
      <c r="AK646" s="874">
        <v>2016</v>
      </c>
      <c r="AL646" s="874" t="s">
        <v>27</v>
      </c>
      <c r="AM646" s="874">
        <v>7</v>
      </c>
      <c r="AN646" s="1116">
        <v>294070140.32999998</v>
      </c>
      <c r="AO646" s="1112">
        <v>6.5119913901589083E-2</v>
      </c>
      <c r="AP646" s="874"/>
      <c r="AQ646" s="1178" t="s">
        <v>2</v>
      </c>
      <c r="AR646" s="874" t="s">
        <v>611</v>
      </c>
      <c r="AS646" s="874" t="s">
        <v>45</v>
      </c>
      <c r="AT646" s="874"/>
      <c r="AU646" s="1116">
        <v>60577130.259819478</v>
      </c>
      <c r="AV646" s="1117">
        <v>1.0451748809613018E-3</v>
      </c>
      <c r="AW646" s="874">
        <v>2010</v>
      </c>
    </row>
    <row r="647" spans="1:49">
      <c r="A647" s="798">
        <f t="shared" si="19"/>
        <v>1900</v>
      </c>
      <c r="B647" s="798">
        <f t="shared" si="20"/>
        <v>1</v>
      </c>
      <c r="AJ647" s="1156" t="s">
        <v>0</v>
      </c>
      <c r="AK647" s="874">
        <v>2016</v>
      </c>
      <c r="AL647" s="874" t="s">
        <v>453</v>
      </c>
      <c r="AM647" s="874">
        <v>8</v>
      </c>
      <c r="AN647" s="1116">
        <v>211057990.67000002</v>
      </c>
      <c r="AO647" s="1112">
        <v>4.6737414976064713E-2</v>
      </c>
      <c r="AP647" s="874"/>
      <c r="AQ647" s="1178" t="s">
        <v>2</v>
      </c>
      <c r="AR647" s="874" t="s">
        <v>611</v>
      </c>
      <c r="AS647" s="874" t="s">
        <v>452</v>
      </c>
      <c r="AT647" s="874"/>
      <c r="AU647" s="1116">
        <v>57958846278.532387</v>
      </c>
      <c r="AV647" s="874"/>
      <c r="AW647" s="874">
        <v>2010</v>
      </c>
    </row>
    <row r="648" spans="1:49">
      <c r="A648" s="798">
        <f t="shared" si="19"/>
        <v>1900</v>
      </c>
      <c r="B648" s="798">
        <f t="shared" si="20"/>
        <v>1</v>
      </c>
      <c r="AJ648" s="1156" t="s">
        <v>0</v>
      </c>
      <c r="AK648" s="874">
        <v>2016</v>
      </c>
      <c r="AL648" s="874" t="s">
        <v>65</v>
      </c>
      <c r="AM648" s="874">
        <v>9</v>
      </c>
      <c r="AN648" s="1116">
        <v>183952047.45000002</v>
      </c>
      <c r="AO648" s="1112">
        <v>4.0734980703999696E-2</v>
      </c>
      <c r="AP648" s="874"/>
      <c r="AQ648" s="1178" t="s">
        <v>2</v>
      </c>
      <c r="AR648" s="874" t="s">
        <v>610</v>
      </c>
      <c r="AS648" s="874" t="s">
        <v>24</v>
      </c>
      <c r="AT648" s="874">
        <v>1</v>
      </c>
      <c r="AU648" s="1116">
        <v>24638089610.395767</v>
      </c>
      <c r="AV648" s="1117">
        <v>0.69334961278812635</v>
      </c>
      <c r="AW648" s="874">
        <v>2009</v>
      </c>
    </row>
    <row r="649" spans="1:49">
      <c r="A649" s="798">
        <f t="shared" si="19"/>
        <v>1900</v>
      </c>
      <c r="B649" s="798">
        <f t="shared" si="20"/>
        <v>1</v>
      </c>
      <c r="AJ649" s="1156" t="s">
        <v>0</v>
      </c>
      <c r="AK649" s="874">
        <v>2016</v>
      </c>
      <c r="AL649" s="874" t="s">
        <v>35</v>
      </c>
      <c r="AM649" s="874">
        <v>10</v>
      </c>
      <c r="AN649" s="1116">
        <v>179823287.33999997</v>
      </c>
      <c r="AO649" s="1112">
        <v>3.9820693715930097E-2</v>
      </c>
      <c r="AP649" s="874"/>
      <c r="AQ649" s="1178" t="s">
        <v>2</v>
      </c>
      <c r="AR649" s="874" t="s">
        <v>610</v>
      </c>
      <c r="AS649" s="874" t="s">
        <v>29</v>
      </c>
      <c r="AT649" s="874">
        <v>2</v>
      </c>
      <c r="AU649" s="1116">
        <v>6543698100.4362917</v>
      </c>
      <c r="AV649" s="1117">
        <v>0.18414863391947137</v>
      </c>
      <c r="AW649" s="874">
        <v>2009</v>
      </c>
    </row>
    <row r="650" spans="1:49">
      <c r="A650" s="798">
        <f t="shared" ref="A650:A713" si="21">YEAR(C650)</f>
        <v>1900</v>
      </c>
      <c r="B650" s="798">
        <f t="shared" ref="B650:B713" si="22">IF(OR(MONTH(C650)=1,MONTH(C650)=2,MONTH(C650)=3),1,IF(OR(MONTH(C650)=4,MONTH(C650)=5,MONTH(C650)=6),2,IF(OR(MONTH(C650)=7,MONTH(C650)=8,MONTH(C650)=9),3,4)))</f>
        <v>1</v>
      </c>
      <c r="AJ650" s="1156" t="s">
        <v>0</v>
      </c>
      <c r="AK650" s="874">
        <v>2016</v>
      </c>
      <c r="AL650" s="874" t="s">
        <v>45</v>
      </c>
      <c r="AM650" s="874"/>
      <c r="AN650" s="1116">
        <v>611736346.61000109</v>
      </c>
      <c r="AO650" s="1112">
        <v>0.1354650226541616</v>
      </c>
      <c r="AP650" s="874"/>
      <c r="AQ650" s="1178" t="s">
        <v>2</v>
      </c>
      <c r="AR650" s="874" t="s">
        <v>610</v>
      </c>
      <c r="AS650" s="874" t="s">
        <v>30</v>
      </c>
      <c r="AT650" s="874">
        <v>3</v>
      </c>
      <c r="AU650" s="1116">
        <v>3091787345.8649349</v>
      </c>
      <c r="AV650" s="1117">
        <v>8.7007133790688695E-2</v>
      </c>
      <c r="AW650" s="874">
        <v>2009</v>
      </c>
    </row>
    <row r="651" spans="1:49">
      <c r="A651" s="798">
        <f t="shared" si="21"/>
        <v>1900</v>
      </c>
      <c r="B651" s="798">
        <f t="shared" si="22"/>
        <v>1</v>
      </c>
      <c r="AJ651" s="1156" t="s">
        <v>0</v>
      </c>
      <c r="AK651" s="874">
        <v>2016</v>
      </c>
      <c r="AL651" s="874" t="s">
        <v>452</v>
      </c>
      <c r="AM651" s="874"/>
      <c r="AN651" s="1116">
        <v>4515825078.8600006</v>
      </c>
      <c r="AO651" s="1112"/>
      <c r="AP651" s="874"/>
      <c r="AQ651" s="1178" t="s">
        <v>2</v>
      </c>
      <c r="AR651" s="874" t="s">
        <v>610</v>
      </c>
      <c r="AS651" s="874" t="s">
        <v>433</v>
      </c>
      <c r="AT651" s="874">
        <v>4</v>
      </c>
      <c r="AU651" s="1116">
        <v>978960360.77848065</v>
      </c>
      <c r="AV651" s="1117">
        <v>2.7549286402233395E-2</v>
      </c>
      <c r="AW651" s="874">
        <v>2009</v>
      </c>
    </row>
    <row r="652" spans="1:49">
      <c r="A652" s="798">
        <f t="shared" si="21"/>
        <v>1900</v>
      </c>
      <c r="B652" s="798">
        <f t="shared" si="22"/>
        <v>1</v>
      </c>
      <c r="AJ652" s="1156" t="s">
        <v>3</v>
      </c>
      <c r="AK652" s="874">
        <v>2016</v>
      </c>
      <c r="AL652" s="874" t="s">
        <v>31</v>
      </c>
      <c r="AM652" s="874">
        <v>1</v>
      </c>
      <c r="AN652" s="1116">
        <v>589077775.14677739</v>
      </c>
      <c r="AO652" s="1112">
        <v>0.29364614445923903</v>
      </c>
      <c r="AP652" s="874"/>
      <c r="AQ652" s="1178" t="s">
        <v>2</v>
      </c>
      <c r="AR652" s="874" t="s">
        <v>610</v>
      </c>
      <c r="AS652" s="874" t="s">
        <v>432</v>
      </c>
      <c r="AT652" s="874">
        <v>5</v>
      </c>
      <c r="AU652" s="1116">
        <v>124134876.57906669</v>
      </c>
      <c r="AV652" s="1117">
        <v>3.493325577210416E-3</v>
      </c>
      <c r="AW652" s="874">
        <v>2009</v>
      </c>
    </row>
    <row r="653" spans="1:49">
      <c r="A653" s="798">
        <f t="shared" si="21"/>
        <v>1900</v>
      </c>
      <c r="B653" s="798">
        <f t="shared" si="22"/>
        <v>1</v>
      </c>
      <c r="AJ653" s="1156" t="s">
        <v>3</v>
      </c>
      <c r="AK653" s="874">
        <v>2016</v>
      </c>
      <c r="AL653" s="874" t="s">
        <v>24</v>
      </c>
      <c r="AM653" s="874">
        <v>2</v>
      </c>
      <c r="AN653" s="1116">
        <v>462829908.42104566</v>
      </c>
      <c r="AO653" s="1112">
        <v>0.23071353882668413</v>
      </c>
      <c r="AP653" s="874"/>
      <c r="AQ653" s="1178" t="s">
        <v>2</v>
      </c>
      <c r="AR653" s="874" t="s">
        <v>610</v>
      </c>
      <c r="AS653" s="874" t="s">
        <v>45</v>
      </c>
      <c r="AT653" s="874"/>
      <c r="AU653" s="1116">
        <v>158201516.60394403</v>
      </c>
      <c r="AV653" s="1117">
        <v>4.452007522269783E-3</v>
      </c>
      <c r="AW653" s="874">
        <v>2009</v>
      </c>
    </row>
    <row r="654" spans="1:49">
      <c r="A654" s="798">
        <f t="shared" si="21"/>
        <v>1900</v>
      </c>
      <c r="B654" s="798">
        <f t="shared" si="22"/>
        <v>1</v>
      </c>
      <c r="AJ654" s="1156" t="s">
        <v>3</v>
      </c>
      <c r="AK654" s="874">
        <v>2016</v>
      </c>
      <c r="AL654" s="874" t="s">
        <v>433</v>
      </c>
      <c r="AM654" s="874">
        <v>3</v>
      </c>
      <c r="AN654" s="1116">
        <v>297910826.61290324</v>
      </c>
      <c r="AO654" s="1112">
        <v>0.14850393160011319</v>
      </c>
      <c r="AP654" s="874"/>
      <c r="AQ654" s="1178" t="s">
        <v>2</v>
      </c>
      <c r="AR654" s="874" t="s">
        <v>610</v>
      </c>
      <c r="AS654" s="874" t="s">
        <v>452</v>
      </c>
      <c r="AT654" s="874"/>
      <c r="AU654" s="1116">
        <v>35534871810.658485</v>
      </c>
      <c r="AV654" s="874"/>
      <c r="AW654" s="874">
        <v>2009</v>
      </c>
    </row>
    <row r="655" spans="1:49">
      <c r="A655" s="798">
        <f t="shared" si="21"/>
        <v>1900</v>
      </c>
      <c r="B655" s="798">
        <f t="shared" si="22"/>
        <v>1</v>
      </c>
      <c r="AJ655" s="1156" t="s">
        <v>3</v>
      </c>
      <c r="AK655" s="874">
        <v>2016</v>
      </c>
      <c r="AL655" s="874" t="s">
        <v>70</v>
      </c>
      <c r="AM655" s="874">
        <v>4</v>
      </c>
      <c r="AN655" s="1116">
        <v>207400753</v>
      </c>
      <c r="AO655" s="1112">
        <v>0.1033860621565942</v>
      </c>
      <c r="AP655" s="874"/>
      <c r="AQ655" s="1178" t="s">
        <v>2</v>
      </c>
      <c r="AR655" s="874" t="s">
        <v>609</v>
      </c>
      <c r="AS655" s="874" t="s">
        <v>24</v>
      </c>
      <c r="AT655" s="874">
        <v>1</v>
      </c>
      <c r="AU655" s="1116">
        <v>21595554164.365742</v>
      </c>
      <c r="AV655" s="1117">
        <v>0.64243510106795965</v>
      </c>
      <c r="AW655" s="874">
        <v>2008</v>
      </c>
    </row>
    <row r="656" spans="1:49">
      <c r="A656" s="798">
        <f t="shared" si="21"/>
        <v>1900</v>
      </c>
      <c r="B656" s="798">
        <f t="shared" si="22"/>
        <v>1</v>
      </c>
      <c r="AJ656" s="1156" t="s">
        <v>3</v>
      </c>
      <c r="AK656" s="874">
        <v>2016</v>
      </c>
      <c r="AL656" s="874" t="s">
        <v>29</v>
      </c>
      <c r="AM656" s="874">
        <v>5</v>
      </c>
      <c r="AN656" s="1116">
        <v>185870947.81962851</v>
      </c>
      <c r="AO656" s="1112">
        <v>9.2653787830679624E-2</v>
      </c>
      <c r="AP656" s="874"/>
      <c r="AQ656" s="1178" t="s">
        <v>2</v>
      </c>
      <c r="AR656" s="874" t="s">
        <v>609</v>
      </c>
      <c r="AS656" s="874" t="s">
        <v>29</v>
      </c>
      <c r="AT656" s="874">
        <v>2</v>
      </c>
      <c r="AU656" s="1116">
        <v>7078121538.2306223</v>
      </c>
      <c r="AV656" s="1117">
        <v>0.21056341926560806</v>
      </c>
      <c r="AW656" s="874">
        <v>2008</v>
      </c>
    </row>
    <row r="657" spans="1:49">
      <c r="A657" s="798">
        <f t="shared" si="21"/>
        <v>1900</v>
      </c>
      <c r="B657" s="798">
        <f t="shared" si="22"/>
        <v>1</v>
      </c>
      <c r="AJ657" s="1156" t="s">
        <v>3</v>
      </c>
      <c r="AK657" s="874">
        <v>2016</v>
      </c>
      <c r="AL657" s="874" t="s">
        <v>30</v>
      </c>
      <c r="AM657" s="874">
        <v>6</v>
      </c>
      <c r="AN657" s="1116">
        <v>90085720.329999998</v>
      </c>
      <c r="AO657" s="1112">
        <v>4.4906335906403104E-2</v>
      </c>
      <c r="AP657" s="874"/>
      <c r="AQ657" s="1178" t="s">
        <v>2</v>
      </c>
      <c r="AR657" s="874" t="s">
        <v>609</v>
      </c>
      <c r="AS657" s="874" t="s">
        <v>30</v>
      </c>
      <c r="AT657" s="874">
        <v>3</v>
      </c>
      <c r="AU657" s="1116">
        <v>3460345456.2001505</v>
      </c>
      <c r="AV657" s="1117">
        <v>0.10294004802859799</v>
      </c>
      <c r="AW657" s="874">
        <v>2008</v>
      </c>
    </row>
    <row r="658" spans="1:49">
      <c r="A658" s="798">
        <f t="shared" si="21"/>
        <v>1900</v>
      </c>
      <c r="B658" s="798">
        <f t="shared" si="22"/>
        <v>1</v>
      </c>
      <c r="AJ658" s="1156" t="s">
        <v>3</v>
      </c>
      <c r="AK658" s="874">
        <v>2016</v>
      </c>
      <c r="AL658" s="874" t="s">
        <v>41</v>
      </c>
      <c r="AM658" s="874">
        <v>7</v>
      </c>
      <c r="AN658" s="1116">
        <v>59590613.809999973</v>
      </c>
      <c r="AO658" s="1112">
        <v>2.9704997760110628E-2</v>
      </c>
      <c r="AP658" s="874"/>
      <c r="AQ658" s="1178" t="s">
        <v>2</v>
      </c>
      <c r="AR658" s="874" t="s">
        <v>609</v>
      </c>
      <c r="AS658" s="874" t="s">
        <v>433</v>
      </c>
      <c r="AT658" s="874">
        <v>4</v>
      </c>
      <c r="AU658" s="1116">
        <v>1006668518.1948214</v>
      </c>
      <c r="AV658" s="1117">
        <v>2.9946867133215673E-2</v>
      </c>
      <c r="AW658" s="874">
        <v>2008</v>
      </c>
    </row>
    <row r="659" spans="1:49">
      <c r="A659" s="798">
        <f t="shared" si="21"/>
        <v>1900</v>
      </c>
      <c r="B659" s="798">
        <f t="shared" si="22"/>
        <v>1</v>
      </c>
      <c r="AJ659" s="1156" t="s">
        <v>3</v>
      </c>
      <c r="AK659" s="874">
        <v>2016</v>
      </c>
      <c r="AL659" s="874" t="s">
        <v>33</v>
      </c>
      <c r="AM659" s="874">
        <v>8</v>
      </c>
      <c r="AN659" s="1116">
        <v>40861930.779999986</v>
      </c>
      <c r="AO659" s="1112">
        <v>2.0369039428991504E-2</v>
      </c>
      <c r="AP659" s="874"/>
      <c r="AQ659" s="1178" t="s">
        <v>2</v>
      </c>
      <c r="AR659" s="874" t="s">
        <v>609</v>
      </c>
      <c r="AS659" s="874" t="s">
        <v>26</v>
      </c>
      <c r="AT659" s="874">
        <v>5</v>
      </c>
      <c r="AU659" s="1116">
        <v>124664454.95307282</v>
      </c>
      <c r="AV659" s="1117">
        <v>3.7085791412341672E-3</v>
      </c>
      <c r="AW659" s="874">
        <v>2008</v>
      </c>
    </row>
    <row r="660" spans="1:49">
      <c r="A660" s="798">
        <f t="shared" si="21"/>
        <v>1900</v>
      </c>
      <c r="B660" s="798">
        <f t="shared" si="22"/>
        <v>1</v>
      </c>
      <c r="AJ660" s="1156" t="s">
        <v>3</v>
      </c>
      <c r="AK660" s="874">
        <v>2016</v>
      </c>
      <c r="AL660" s="874" t="s">
        <v>72</v>
      </c>
      <c r="AM660" s="874">
        <v>9</v>
      </c>
      <c r="AN660" s="1116">
        <v>26628063.220000003</v>
      </c>
      <c r="AO660" s="1112">
        <v>1.3273676972487367E-2</v>
      </c>
      <c r="AP660" s="874"/>
      <c r="AQ660" s="1178" t="s">
        <v>2</v>
      </c>
      <c r="AR660" s="874" t="s">
        <v>609</v>
      </c>
      <c r="AS660" s="874" t="s">
        <v>45</v>
      </c>
      <c r="AT660" s="874"/>
      <c r="AU660" s="1116">
        <v>349798789.28625667</v>
      </c>
      <c r="AV660" s="1117">
        <v>1.0405985363384461E-2</v>
      </c>
      <c r="AW660" s="874">
        <v>2008</v>
      </c>
    </row>
    <row r="661" spans="1:49">
      <c r="A661" s="798">
        <f t="shared" si="21"/>
        <v>1900</v>
      </c>
      <c r="B661" s="798">
        <f t="shared" si="22"/>
        <v>1</v>
      </c>
      <c r="AJ661" s="1156" t="s">
        <v>3</v>
      </c>
      <c r="AK661" s="874">
        <v>2016</v>
      </c>
      <c r="AL661" s="874" t="s">
        <v>84</v>
      </c>
      <c r="AM661" s="874">
        <v>10</v>
      </c>
      <c r="AN661" s="1116">
        <v>17107816.640000001</v>
      </c>
      <c r="AO661" s="1112">
        <v>8.5279815474279229E-3</v>
      </c>
      <c r="AP661" s="874"/>
      <c r="AQ661" s="1178" t="s">
        <v>2</v>
      </c>
      <c r="AR661" s="874" t="s">
        <v>609</v>
      </c>
      <c r="AS661" s="874" t="s">
        <v>452</v>
      </c>
      <c r="AT661" s="874"/>
      <c r="AU661" s="1116">
        <v>33615152921.230663</v>
      </c>
      <c r="AV661" s="874"/>
      <c r="AW661" s="874">
        <v>2008</v>
      </c>
    </row>
    <row r="662" spans="1:49">
      <c r="A662" s="798">
        <f t="shared" si="21"/>
        <v>1900</v>
      </c>
      <c r="B662" s="798">
        <f t="shared" si="22"/>
        <v>1</v>
      </c>
      <c r="AJ662" s="1156" t="s">
        <v>3</v>
      </c>
      <c r="AK662" s="874">
        <v>2016</v>
      </c>
      <c r="AL662" s="874" t="s">
        <v>45</v>
      </c>
      <c r="AM662" s="874"/>
      <c r="AN662" s="1116">
        <v>28716044.940000057</v>
      </c>
      <c r="AO662" s="1112">
        <v>1.4314503511269307E-2</v>
      </c>
      <c r="AP662" s="874"/>
      <c r="AQ662" s="1178" t="s">
        <v>2</v>
      </c>
      <c r="AR662" s="874" t="s">
        <v>608</v>
      </c>
      <c r="AS662" s="874" t="s">
        <v>24</v>
      </c>
      <c r="AT662" s="874">
        <v>1</v>
      </c>
      <c r="AU662" s="1116">
        <v>13068287373.815794</v>
      </c>
      <c r="AV662" s="1117">
        <v>0.5900684503769309</v>
      </c>
      <c r="AW662" s="874">
        <v>2007</v>
      </c>
    </row>
    <row r="663" spans="1:49">
      <c r="A663" s="798">
        <f t="shared" si="21"/>
        <v>1900</v>
      </c>
      <c r="B663" s="798">
        <f t="shared" si="22"/>
        <v>1</v>
      </c>
      <c r="AJ663" s="1156" t="s">
        <v>3</v>
      </c>
      <c r="AK663" s="874">
        <v>2016</v>
      </c>
      <c r="AL663" s="874" t="s">
        <v>137</v>
      </c>
      <c r="AM663" s="874"/>
      <c r="AN663" s="1116">
        <v>2006080400.7203548</v>
      </c>
      <c r="AO663" s="1112"/>
      <c r="AP663" s="874"/>
      <c r="AQ663" s="1178" t="s">
        <v>2</v>
      </c>
      <c r="AR663" s="874" t="s">
        <v>608</v>
      </c>
      <c r="AS663" s="874" t="s">
        <v>29</v>
      </c>
      <c r="AT663" s="874">
        <v>2</v>
      </c>
      <c r="AU663" s="1116">
        <v>5659730157.2008905</v>
      </c>
      <c r="AV663" s="1117">
        <v>0.25555209400296336</v>
      </c>
      <c r="AW663" s="874">
        <v>2007</v>
      </c>
    </row>
    <row r="664" spans="1:49">
      <c r="A664" s="798">
        <f t="shared" si="21"/>
        <v>1900</v>
      </c>
      <c r="B664" s="798">
        <f t="shared" si="22"/>
        <v>1</v>
      </c>
      <c r="AJ664" s="1156" t="s">
        <v>2</v>
      </c>
      <c r="AK664" s="874">
        <v>2016</v>
      </c>
      <c r="AL664" s="874" t="s">
        <v>24</v>
      </c>
      <c r="AM664" s="874">
        <v>1</v>
      </c>
      <c r="AN664" s="1116">
        <v>43707756513.134193</v>
      </c>
      <c r="AO664" s="1112">
        <v>0.81117332360199623</v>
      </c>
      <c r="AP664" s="874"/>
      <c r="AQ664" s="1178" t="s">
        <v>2</v>
      </c>
      <c r="AR664" s="874" t="s">
        <v>608</v>
      </c>
      <c r="AS664" s="874" t="s">
        <v>30</v>
      </c>
      <c r="AT664" s="874">
        <v>3</v>
      </c>
      <c r="AU664" s="1116">
        <v>2344145245.6895409</v>
      </c>
      <c r="AV664" s="1117">
        <v>0.10584448543379381</v>
      </c>
      <c r="AW664" s="874">
        <v>2007</v>
      </c>
    </row>
    <row r="665" spans="1:49">
      <c r="A665" s="798">
        <f t="shared" si="21"/>
        <v>1900</v>
      </c>
      <c r="B665" s="798">
        <f t="shared" si="22"/>
        <v>1</v>
      </c>
      <c r="AJ665" s="1156" t="s">
        <v>2</v>
      </c>
      <c r="AK665" s="874">
        <v>2016</v>
      </c>
      <c r="AL665" s="874" t="s">
        <v>29</v>
      </c>
      <c r="AM665" s="874">
        <v>2</v>
      </c>
      <c r="AN665" s="1116">
        <v>5216384281.3427105</v>
      </c>
      <c r="AO665" s="1112">
        <v>9.6811003635257326E-2</v>
      </c>
      <c r="AP665" s="874"/>
      <c r="AQ665" s="1178" t="s">
        <v>2</v>
      </c>
      <c r="AR665" s="874" t="s">
        <v>608</v>
      </c>
      <c r="AS665" s="874" t="s">
        <v>433</v>
      </c>
      <c r="AT665" s="874">
        <v>4</v>
      </c>
      <c r="AU665" s="1116">
        <v>764903834.98100543</v>
      </c>
      <c r="AV665" s="1117">
        <v>3.4537472867251895E-2</v>
      </c>
      <c r="AW665" s="874">
        <v>2007</v>
      </c>
    </row>
    <row r="666" spans="1:49">
      <c r="A666" s="798">
        <f t="shared" si="21"/>
        <v>1900</v>
      </c>
      <c r="B666" s="798">
        <f t="shared" si="22"/>
        <v>1</v>
      </c>
      <c r="Y666" s="1245"/>
      <c r="Z666" s="1216"/>
      <c r="AJ666" s="1156" t="s">
        <v>2</v>
      </c>
      <c r="AK666" s="874">
        <v>2016</v>
      </c>
      <c r="AL666" s="874" t="s">
        <v>30</v>
      </c>
      <c r="AM666" s="874">
        <v>3</v>
      </c>
      <c r="AN666" s="1116">
        <v>3233991205.6600304</v>
      </c>
      <c r="AO666" s="1112">
        <v>6.0019721991600349E-2</v>
      </c>
      <c r="AP666" s="874"/>
      <c r="AQ666" s="1178" t="s">
        <v>2</v>
      </c>
      <c r="AR666" s="874" t="s">
        <v>608</v>
      </c>
      <c r="AS666" s="874" t="s">
        <v>26</v>
      </c>
      <c r="AT666" s="874">
        <v>5</v>
      </c>
      <c r="AU666" s="1116">
        <v>156814736.91208699</v>
      </c>
      <c r="AV666" s="1117">
        <v>7.0806086642524711E-3</v>
      </c>
      <c r="AW666" s="874">
        <v>2007</v>
      </c>
    </row>
    <row r="667" spans="1:49">
      <c r="A667" s="798">
        <f t="shared" si="21"/>
        <v>1900</v>
      </c>
      <c r="B667" s="798">
        <f t="shared" si="22"/>
        <v>1</v>
      </c>
      <c r="Y667" s="1245"/>
      <c r="Z667" s="1216"/>
      <c r="AJ667" s="1156" t="s">
        <v>2</v>
      </c>
      <c r="AK667" s="874">
        <v>2016</v>
      </c>
      <c r="AL667" s="874" t="s">
        <v>433</v>
      </c>
      <c r="AM667" s="874">
        <v>4</v>
      </c>
      <c r="AN667" s="1116">
        <v>1406831519.7881303</v>
      </c>
      <c r="AO667" s="1112">
        <v>2.6109420631362283E-2</v>
      </c>
      <c r="AP667" s="874"/>
      <c r="AQ667" s="1178" t="s">
        <v>2</v>
      </c>
      <c r="AR667" s="874" t="s">
        <v>608</v>
      </c>
      <c r="AS667" s="874" t="s">
        <v>45</v>
      </c>
      <c r="AT667" s="874"/>
      <c r="AU667" s="1116">
        <v>153188818.37517339</v>
      </c>
      <c r="AV667" s="1117">
        <v>6.9168886548075853E-3</v>
      </c>
      <c r="AW667" s="874">
        <v>2007</v>
      </c>
    </row>
    <row r="668" spans="1:49">
      <c r="A668" s="798">
        <f t="shared" si="21"/>
        <v>1900</v>
      </c>
      <c r="B668" s="798">
        <f t="shared" si="22"/>
        <v>1</v>
      </c>
      <c r="AJ668" s="1156" t="s">
        <v>2</v>
      </c>
      <c r="AK668" s="874">
        <v>2016</v>
      </c>
      <c r="AL668" s="874" t="s">
        <v>28</v>
      </c>
      <c r="AM668" s="874">
        <v>5</v>
      </c>
      <c r="AN668" s="1116">
        <v>221629215.81880534</v>
      </c>
      <c r="AO668" s="1112">
        <v>4.1132220444446872E-3</v>
      </c>
      <c r="AP668" s="874"/>
      <c r="AQ668" s="1178" t="s">
        <v>2</v>
      </c>
      <c r="AR668" s="874" t="s">
        <v>608</v>
      </c>
      <c r="AS668" s="874" t="s">
        <v>452</v>
      </c>
      <c r="AT668" s="874"/>
      <c r="AU668" s="1116">
        <v>22147070166.974491</v>
      </c>
      <c r="AV668" s="874"/>
      <c r="AW668" s="874">
        <v>2007</v>
      </c>
    </row>
    <row r="669" spans="1:49">
      <c r="A669" s="798">
        <f t="shared" si="21"/>
        <v>1900</v>
      </c>
      <c r="B669" s="798">
        <f t="shared" si="22"/>
        <v>1</v>
      </c>
      <c r="AJ669" s="1156" t="s">
        <v>2</v>
      </c>
      <c r="AK669" s="874">
        <v>2016</v>
      </c>
      <c r="AL669" s="874" t="s">
        <v>45</v>
      </c>
      <c r="AM669" s="874"/>
      <c r="AN669" s="1116">
        <v>95549639.267835259</v>
      </c>
      <c r="AO669" s="1112">
        <v>1.7733080953393422E-3</v>
      </c>
      <c r="AP669" s="874"/>
      <c r="AQ669" s="1178" t="s">
        <v>4</v>
      </c>
      <c r="AR669" s="874" t="s">
        <v>616</v>
      </c>
      <c r="AS669" s="874" t="s">
        <v>29</v>
      </c>
      <c r="AT669" s="874">
        <v>1</v>
      </c>
      <c r="AU669" s="1114">
        <v>8337940889.7599955</v>
      </c>
      <c r="AV669" s="1113">
        <v>0.58528471532344073</v>
      </c>
      <c r="AW669" s="874">
        <v>2015</v>
      </c>
    </row>
    <row r="670" spans="1:49">
      <c r="A670" s="798">
        <f t="shared" si="21"/>
        <v>1900</v>
      </c>
      <c r="B670" s="798">
        <f t="shared" si="22"/>
        <v>1</v>
      </c>
      <c r="AJ670" s="1156" t="s">
        <v>2</v>
      </c>
      <c r="AK670" s="874">
        <v>2016</v>
      </c>
      <c r="AL670" s="874" t="s">
        <v>452</v>
      </c>
      <c r="AM670" s="874"/>
      <c r="AN670" s="1116">
        <v>53882142375.011696</v>
      </c>
      <c r="AO670" s="1112"/>
      <c r="AP670" s="874"/>
      <c r="AQ670" s="1178" t="s">
        <v>4</v>
      </c>
      <c r="AR670" s="874" t="s">
        <v>616</v>
      </c>
      <c r="AS670" s="874" t="s">
        <v>24</v>
      </c>
      <c r="AT670" s="874">
        <v>2</v>
      </c>
      <c r="AU670" s="1114">
        <v>1936328375.98</v>
      </c>
      <c r="AV670" s="1113">
        <v>0.13592125649391312</v>
      </c>
      <c r="AW670" s="874">
        <v>2015</v>
      </c>
    </row>
    <row r="671" spans="1:49">
      <c r="A671" s="798">
        <f t="shared" si="21"/>
        <v>1900</v>
      </c>
      <c r="B671" s="798">
        <f t="shared" si="22"/>
        <v>1</v>
      </c>
      <c r="AJ671" s="1156" t="s">
        <v>4</v>
      </c>
      <c r="AK671" s="874">
        <v>2016</v>
      </c>
      <c r="AL671" s="874" t="s">
        <v>29</v>
      </c>
      <c r="AM671" s="874">
        <v>1</v>
      </c>
      <c r="AN671" s="1116">
        <v>7804566507</v>
      </c>
      <c r="AO671" s="1112">
        <v>0.54800000000000004</v>
      </c>
      <c r="AP671" s="874"/>
      <c r="AQ671" s="1178" t="s">
        <v>4</v>
      </c>
      <c r="AR671" s="874" t="s">
        <v>616</v>
      </c>
      <c r="AS671" s="874" t="s">
        <v>30</v>
      </c>
      <c r="AT671" s="874">
        <v>3</v>
      </c>
      <c r="AU671" s="1114">
        <v>1449121793.45</v>
      </c>
      <c r="AV671" s="1113">
        <v>0.1017216177905515</v>
      </c>
      <c r="AW671" s="874">
        <v>2015</v>
      </c>
    </row>
    <row r="672" spans="1:49">
      <c r="A672" s="798">
        <f t="shared" si="21"/>
        <v>1900</v>
      </c>
      <c r="B672" s="798">
        <f t="shared" si="22"/>
        <v>1</v>
      </c>
      <c r="AJ672" s="1156" t="s">
        <v>4</v>
      </c>
      <c r="AK672" s="874">
        <v>2016</v>
      </c>
      <c r="AL672" s="874" t="s">
        <v>24</v>
      </c>
      <c r="AM672" s="874">
        <v>2</v>
      </c>
      <c r="AN672" s="1116">
        <v>1936328376</v>
      </c>
      <c r="AO672" s="1112">
        <v>0.13600000000000001</v>
      </c>
      <c r="AP672" s="874"/>
      <c r="AQ672" s="1178" t="s">
        <v>4</v>
      </c>
      <c r="AR672" s="874" t="s">
        <v>616</v>
      </c>
      <c r="AS672" s="874" t="s">
        <v>70</v>
      </c>
      <c r="AT672" s="874">
        <v>4</v>
      </c>
      <c r="AU672" s="1114">
        <v>598440244.89999998</v>
      </c>
      <c r="AV672" s="1113">
        <v>4.2007725049303953E-2</v>
      </c>
      <c r="AW672" s="874">
        <v>2015</v>
      </c>
    </row>
    <row r="673" spans="1:49">
      <c r="A673" s="798">
        <f t="shared" si="21"/>
        <v>1900</v>
      </c>
      <c r="B673" s="798">
        <f t="shared" si="22"/>
        <v>1</v>
      </c>
      <c r="X673" s="1403"/>
      <c r="Z673" s="1216"/>
      <c r="AB673" s="1216"/>
      <c r="AJ673" s="1156" t="s">
        <v>4</v>
      </c>
      <c r="AK673" s="874">
        <v>2016</v>
      </c>
      <c r="AL673" s="874" t="s">
        <v>70</v>
      </c>
      <c r="AM673" s="874">
        <v>3</v>
      </c>
      <c r="AN673" s="1116">
        <v>1100069778</v>
      </c>
      <c r="AO673" s="1112">
        <v>7.6999999999999999E-2</v>
      </c>
      <c r="AP673" s="874"/>
      <c r="AQ673" s="1178" t="s">
        <v>4</v>
      </c>
      <c r="AR673" s="874" t="s">
        <v>616</v>
      </c>
      <c r="AS673" s="874" t="s">
        <v>28</v>
      </c>
      <c r="AT673" s="874">
        <v>5</v>
      </c>
      <c r="AU673" s="1114">
        <v>389001810.10000002</v>
      </c>
      <c r="AV673" s="1113">
        <v>2.7306119903571929E-2</v>
      </c>
      <c r="AW673" s="874">
        <v>2015</v>
      </c>
    </row>
    <row r="674" spans="1:49">
      <c r="A674" s="798">
        <f t="shared" si="21"/>
        <v>1900</v>
      </c>
      <c r="B674" s="798">
        <f t="shared" si="22"/>
        <v>1</v>
      </c>
      <c r="AJ674" s="1156" t="s">
        <v>4</v>
      </c>
      <c r="AK674" s="874">
        <v>2016</v>
      </c>
      <c r="AL674" s="874" t="s">
        <v>30</v>
      </c>
      <c r="AM674" s="874">
        <v>4</v>
      </c>
      <c r="AN674" s="1116">
        <v>1073013912</v>
      </c>
      <c r="AO674" s="1112">
        <v>7.4999999999999997E-2</v>
      </c>
      <c r="AP674" s="874"/>
      <c r="AQ674" s="1178" t="s">
        <v>4</v>
      </c>
      <c r="AR674" s="874" t="s">
        <v>616</v>
      </c>
      <c r="AS674" s="874" t="s">
        <v>39</v>
      </c>
      <c r="AT674" s="874">
        <v>6</v>
      </c>
      <c r="AU674" s="1114">
        <v>352297445.79000002</v>
      </c>
      <c r="AV674" s="1113">
        <v>2.4729644044563463E-2</v>
      </c>
      <c r="AW674" s="874">
        <v>2015</v>
      </c>
    </row>
    <row r="675" spans="1:49">
      <c r="A675" s="798">
        <f t="shared" si="21"/>
        <v>1900</v>
      </c>
      <c r="B675" s="798">
        <f t="shared" si="22"/>
        <v>1</v>
      </c>
      <c r="AJ675" s="1156" t="s">
        <v>4</v>
      </c>
      <c r="AK675" s="874">
        <v>2016</v>
      </c>
      <c r="AL675" s="874" t="s">
        <v>39</v>
      </c>
      <c r="AM675" s="874">
        <v>5</v>
      </c>
      <c r="AN675" s="1116">
        <v>695159292</v>
      </c>
      <c r="AO675" s="1112">
        <v>4.9000000000000002E-2</v>
      </c>
      <c r="AP675" s="874"/>
      <c r="AQ675" s="1178" t="s">
        <v>4</v>
      </c>
      <c r="AR675" s="874" t="s">
        <v>616</v>
      </c>
      <c r="AS675" s="874" t="s">
        <v>27</v>
      </c>
      <c r="AT675" s="874">
        <v>7</v>
      </c>
      <c r="AU675" s="1114">
        <v>277793585.93000007</v>
      </c>
      <c r="AV675" s="1113">
        <v>1.9499819201092693E-2</v>
      </c>
      <c r="AW675" s="874">
        <v>2015</v>
      </c>
    </row>
    <row r="676" spans="1:49">
      <c r="A676" s="798">
        <f t="shared" si="21"/>
        <v>1900</v>
      </c>
      <c r="B676" s="798">
        <f t="shared" si="22"/>
        <v>1</v>
      </c>
      <c r="AJ676" s="1156" t="s">
        <v>4</v>
      </c>
      <c r="AK676" s="874">
        <v>2016</v>
      </c>
      <c r="AL676" s="874" t="s">
        <v>28</v>
      </c>
      <c r="AM676" s="874">
        <v>6</v>
      </c>
      <c r="AN676" s="1116">
        <v>655885163</v>
      </c>
      <c r="AO676" s="1112">
        <v>4.5999999999999999E-2</v>
      </c>
      <c r="AP676" s="874"/>
      <c r="AQ676" s="1178" t="s">
        <v>4</v>
      </c>
      <c r="AR676" s="874" t="s">
        <v>616</v>
      </c>
      <c r="AS676" s="874" t="s">
        <v>31</v>
      </c>
      <c r="AT676" s="874">
        <v>8</v>
      </c>
      <c r="AU676" s="1114">
        <v>253206484.62</v>
      </c>
      <c r="AV676" s="1113">
        <v>1.7773918912146629E-2</v>
      </c>
      <c r="AW676" s="874">
        <v>2015</v>
      </c>
    </row>
    <row r="677" spans="1:49">
      <c r="A677" s="798">
        <f t="shared" si="21"/>
        <v>1900</v>
      </c>
      <c r="B677" s="798">
        <f t="shared" si="22"/>
        <v>1</v>
      </c>
      <c r="AJ677" s="1156" t="s">
        <v>4</v>
      </c>
      <c r="AK677" s="874">
        <v>2016</v>
      </c>
      <c r="AL677" s="874" t="s">
        <v>31</v>
      </c>
      <c r="AM677" s="874">
        <v>7</v>
      </c>
      <c r="AN677" s="1116">
        <v>357107506</v>
      </c>
      <c r="AO677" s="1112">
        <v>2.5000000000000001E-2</v>
      </c>
      <c r="AP677" s="874"/>
      <c r="AQ677" s="1178" t="s">
        <v>4</v>
      </c>
      <c r="AR677" s="874" t="s">
        <v>616</v>
      </c>
      <c r="AS677" s="874" t="s">
        <v>41</v>
      </c>
      <c r="AT677" s="874">
        <v>9</v>
      </c>
      <c r="AU677" s="1114">
        <v>205282023.37000003</v>
      </c>
      <c r="AV677" s="1113">
        <v>1.440984437257012E-2</v>
      </c>
      <c r="AW677" s="874">
        <v>2015</v>
      </c>
    </row>
    <row r="678" spans="1:49">
      <c r="A678" s="798">
        <f t="shared" si="21"/>
        <v>1900</v>
      </c>
      <c r="B678" s="798">
        <f t="shared" si="22"/>
        <v>1</v>
      </c>
      <c r="X678" s="1404"/>
      <c r="Y678" s="1245"/>
      <c r="Z678" s="1245"/>
      <c r="AA678" s="1245"/>
      <c r="AB678" s="1245"/>
      <c r="AC678" s="1348"/>
      <c r="AJ678" s="1156" t="s">
        <v>4</v>
      </c>
      <c r="AK678" s="874">
        <v>2016</v>
      </c>
      <c r="AL678" s="874" t="s">
        <v>27</v>
      </c>
      <c r="AM678" s="874">
        <v>8</v>
      </c>
      <c r="AN678" s="1116">
        <v>323494386</v>
      </c>
      <c r="AO678" s="1112">
        <v>2.3E-2</v>
      </c>
      <c r="AP678" s="874"/>
      <c r="AQ678" s="1178" t="s">
        <v>4</v>
      </c>
      <c r="AR678" s="874" t="s">
        <v>616</v>
      </c>
      <c r="AS678" s="874" t="s">
        <v>672</v>
      </c>
      <c r="AT678" s="874">
        <v>10</v>
      </c>
      <c r="AU678" s="1114">
        <v>145876042.13999999</v>
      </c>
      <c r="AV678" s="1113">
        <v>1.0239820469496964E-2</v>
      </c>
      <c r="AW678" s="874">
        <v>2015</v>
      </c>
    </row>
    <row r="679" spans="1:49">
      <c r="A679" s="798">
        <f t="shared" si="21"/>
        <v>1900</v>
      </c>
      <c r="B679" s="798">
        <f t="shared" si="22"/>
        <v>1</v>
      </c>
      <c r="AJ679" s="1156" t="s">
        <v>4</v>
      </c>
      <c r="AK679" s="874">
        <v>2016</v>
      </c>
      <c r="AL679" s="874" t="s">
        <v>433</v>
      </c>
      <c r="AM679" s="874">
        <v>9</v>
      </c>
      <c r="AN679" s="1116">
        <v>104617048</v>
      </c>
      <c r="AO679" s="1112">
        <v>7.0000000000000001E-3</v>
      </c>
      <c r="AP679" s="874"/>
      <c r="AQ679" s="1178" t="s">
        <v>4</v>
      </c>
      <c r="AR679" s="874" t="s">
        <v>616</v>
      </c>
      <c r="AS679" s="874" t="s">
        <v>45</v>
      </c>
      <c r="AT679" s="874"/>
      <c r="AU679" s="1114">
        <v>300668308.23999977</v>
      </c>
      <c r="AV679" s="1113">
        <v>2.1105518439348665E-2</v>
      </c>
      <c r="AW679" s="874">
        <v>2015</v>
      </c>
    </row>
    <row r="680" spans="1:49">
      <c r="A680" s="798">
        <f t="shared" si="21"/>
        <v>1900</v>
      </c>
      <c r="B680" s="798">
        <f t="shared" si="22"/>
        <v>1</v>
      </c>
      <c r="AJ680" s="1156" t="s">
        <v>4</v>
      </c>
      <c r="AK680" s="874">
        <v>2016</v>
      </c>
      <c r="AL680" s="874" t="s">
        <v>34</v>
      </c>
      <c r="AM680" s="874">
        <v>10</v>
      </c>
      <c r="AN680" s="1116">
        <v>88824877</v>
      </c>
      <c r="AO680" s="1112">
        <v>6.0000000000000001E-3</v>
      </c>
      <c r="AP680" s="874"/>
      <c r="AQ680" s="1178" t="s">
        <v>4</v>
      </c>
      <c r="AR680" s="874" t="s">
        <v>616</v>
      </c>
      <c r="AS680" s="874" t="s">
        <v>452</v>
      </c>
      <c r="AT680" s="874"/>
      <c r="AU680" s="1114">
        <v>14245957004.279999</v>
      </c>
      <c r="AV680" s="874"/>
      <c r="AW680" s="874">
        <v>2015</v>
      </c>
    </row>
    <row r="681" spans="1:49">
      <c r="A681" s="798">
        <f t="shared" si="21"/>
        <v>1900</v>
      </c>
      <c r="B681" s="798">
        <f t="shared" si="22"/>
        <v>1</v>
      </c>
      <c r="AJ681" s="1156" t="s">
        <v>4</v>
      </c>
      <c r="AK681" s="874">
        <v>2016</v>
      </c>
      <c r="AL681" s="874" t="s">
        <v>45</v>
      </c>
      <c r="AM681" s="874"/>
      <c r="AN681" s="1116">
        <v>113587877</v>
      </c>
      <c r="AO681" s="1112">
        <v>8.0000000000000002E-3</v>
      </c>
      <c r="AP681" s="874"/>
      <c r="AQ681" s="1178" t="s">
        <v>4</v>
      </c>
      <c r="AR681" s="874" t="s">
        <v>615</v>
      </c>
      <c r="AS681" s="874" t="s">
        <v>29</v>
      </c>
      <c r="AT681" s="874">
        <v>1</v>
      </c>
      <c r="AU681" s="1114">
        <v>12251880772</v>
      </c>
      <c r="AV681" s="1113">
        <v>0.61899999999999999</v>
      </c>
      <c r="AW681" s="874">
        <v>2014</v>
      </c>
    </row>
    <row r="682" spans="1:49">
      <c r="A682" s="798">
        <f t="shared" si="21"/>
        <v>1900</v>
      </c>
      <c r="B682" s="798">
        <f t="shared" si="22"/>
        <v>1</v>
      </c>
      <c r="AJ682" s="1156" t="s">
        <v>4</v>
      </c>
      <c r="AK682" s="874">
        <v>2016</v>
      </c>
      <c r="AL682" s="874" t="s">
        <v>137</v>
      </c>
      <c r="AM682" s="874"/>
      <c r="AN682" s="1116">
        <v>14252654720</v>
      </c>
      <c r="AO682" s="1112">
        <v>1</v>
      </c>
      <c r="AP682" s="874"/>
      <c r="AQ682" s="1178" t="s">
        <v>4</v>
      </c>
      <c r="AR682" s="874" t="s">
        <v>615</v>
      </c>
      <c r="AS682" s="874" t="s">
        <v>30</v>
      </c>
      <c r="AT682" s="874">
        <v>2</v>
      </c>
      <c r="AU682" s="1114">
        <v>2271243378</v>
      </c>
      <c r="AV682" s="1113">
        <v>0.115</v>
      </c>
      <c r="AW682" s="874">
        <v>2014</v>
      </c>
    </row>
    <row r="683" spans="1:49">
      <c r="A683" s="798">
        <f t="shared" si="21"/>
        <v>1900</v>
      </c>
      <c r="B683" s="798">
        <f t="shared" si="22"/>
        <v>1</v>
      </c>
      <c r="AJ683" s="1156" t="s">
        <v>538</v>
      </c>
      <c r="AK683" s="874">
        <v>2016</v>
      </c>
      <c r="AL683" s="874" t="s">
        <v>72</v>
      </c>
      <c r="AM683" s="874">
        <v>1</v>
      </c>
      <c r="AN683" s="1116">
        <v>116184485.22999999</v>
      </c>
      <c r="AO683" s="1112">
        <v>0.15468502215532481</v>
      </c>
      <c r="AP683" s="874"/>
      <c r="AQ683" s="1178" t="s">
        <v>4</v>
      </c>
      <c r="AR683" s="874" t="s">
        <v>615</v>
      </c>
      <c r="AS683" s="874" t="s">
        <v>24</v>
      </c>
      <c r="AT683" s="874">
        <v>3</v>
      </c>
      <c r="AU683" s="1114">
        <v>1936328376</v>
      </c>
      <c r="AV683" s="1113">
        <v>9.8000000000000004E-2</v>
      </c>
      <c r="AW683" s="874">
        <v>2014</v>
      </c>
    </row>
    <row r="684" spans="1:49">
      <c r="A684" s="798">
        <f t="shared" si="21"/>
        <v>1900</v>
      </c>
      <c r="B684" s="798">
        <f t="shared" si="22"/>
        <v>1</v>
      </c>
      <c r="AJ684" s="1156" t="s">
        <v>538</v>
      </c>
      <c r="AK684" s="874">
        <v>2016</v>
      </c>
      <c r="AL684" s="874" t="s">
        <v>41</v>
      </c>
      <c r="AM684" s="874">
        <v>2</v>
      </c>
      <c r="AN684" s="1116">
        <v>110455581.50999999</v>
      </c>
      <c r="AO684" s="1112">
        <v>0.1470577077415316</v>
      </c>
      <c r="AP684" s="874"/>
      <c r="AQ684" s="1178" t="s">
        <v>4</v>
      </c>
      <c r="AR684" s="874" t="s">
        <v>615</v>
      </c>
      <c r="AS684" s="874" t="s">
        <v>70</v>
      </c>
      <c r="AT684" s="874">
        <v>4</v>
      </c>
      <c r="AU684" s="1114">
        <v>1472235510</v>
      </c>
      <c r="AV684" s="1113">
        <v>7.3999999999999996E-2</v>
      </c>
      <c r="AW684" s="874">
        <v>2014</v>
      </c>
    </row>
    <row r="685" spans="1:49">
      <c r="A685" s="798">
        <f t="shared" si="21"/>
        <v>1900</v>
      </c>
      <c r="B685" s="798">
        <f t="shared" si="22"/>
        <v>1</v>
      </c>
      <c r="AJ685" s="1156" t="s">
        <v>538</v>
      </c>
      <c r="AK685" s="874">
        <v>2016</v>
      </c>
      <c r="AL685" s="874" t="s">
        <v>24</v>
      </c>
      <c r="AM685" s="874">
        <v>3</v>
      </c>
      <c r="AN685" s="1116">
        <v>109730907.50999998</v>
      </c>
      <c r="AO685" s="1112">
        <v>0.14609289549897198</v>
      </c>
      <c r="AP685" s="874"/>
      <c r="AQ685" s="1178" t="s">
        <v>4</v>
      </c>
      <c r="AR685" s="874" t="s">
        <v>615</v>
      </c>
      <c r="AS685" s="874" t="s">
        <v>31</v>
      </c>
      <c r="AT685" s="874">
        <v>5</v>
      </c>
      <c r="AU685" s="1114">
        <v>684083684</v>
      </c>
      <c r="AV685" s="1113">
        <v>3.5000000000000003E-2</v>
      </c>
      <c r="AW685" s="874">
        <v>2014</v>
      </c>
    </row>
    <row r="686" spans="1:49">
      <c r="A686" s="798">
        <f t="shared" si="21"/>
        <v>1900</v>
      </c>
      <c r="B686" s="798">
        <f t="shared" si="22"/>
        <v>1</v>
      </c>
      <c r="AJ686" s="1156" t="s">
        <v>538</v>
      </c>
      <c r="AK686" s="874">
        <v>2016</v>
      </c>
      <c r="AL686" s="874" t="s">
        <v>37</v>
      </c>
      <c r="AM686" s="874">
        <v>4</v>
      </c>
      <c r="AN686" s="1116">
        <v>90044172.909999996</v>
      </c>
      <c r="AO686" s="1112">
        <v>0.11988248563453439</v>
      </c>
      <c r="AP686" s="874"/>
      <c r="AQ686" s="1178" t="s">
        <v>4</v>
      </c>
      <c r="AR686" s="874" t="s">
        <v>615</v>
      </c>
      <c r="AS686" s="874" t="s">
        <v>39</v>
      </c>
      <c r="AT686" s="874">
        <v>6</v>
      </c>
      <c r="AU686" s="1114">
        <v>456657713</v>
      </c>
      <c r="AV686" s="1113">
        <v>2.3E-2</v>
      </c>
      <c r="AW686" s="874">
        <v>2014</v>
      </c>
    </row>
    <row r="687" spans="1:49">
      <c r="A687" s="798">
        <f t="shared" si="21"/>
        <v>1900</v>
      </c>
      <c r="B687" s="798">
        <f t="shared" si="22"/>
        <v>1</v>
      </c>
      <c r="AJ687" s="1156" t="s">
        <v>538</v>
      </c>
      <c r="AK687" s="874">
        <v>2016</v>
      </c>
      <c r="AL687" s="874" t="s">
        <v>33</v>
      </c>
      <c r="AM687" s="874">
        <v>5</v>
      </c>
      <c r="AN687" s="1116">
        <v>65183914.619999997</v>
      </c>
      <c r="AO687" s="1112">
        <v>8.6784179980701717E-2</v>
      </c>
      <c r="AP687" s="874"/>
      <c r="AQ687" s="1178" t="s">
        <v>4</v>
      </c>
      <c r="AR687" s="874" t="s">
        <v>615</v>
      </c>
      <c r="AS687" s="874" t="s">
        <v>152</v>
      </c>
      <c r="AT687" s="874">
        <v>7</v>
      </c>
      <c r="AU687" s="1114">
        <v>193116456</v>
      </c>
      <c r="AV687" s="1113">
        <v>0.01</v>
      </c>
      <c r="AW687" s="874">
        <v>2014</v>
      </c>
    </row>
    <row r="688" spans="1:49">
      <c r="A688" s="798">
        <f t="shared" si="21"/>
        <v>1900</v>
      </c>
      <c r="B688" s="798">
        <f t="shared" si="22"/>
        <v>1</v>
      </c>
      <c r="AJ688" s="1156" t="s">
        <v>538</v>
      </c>
      <c r="AK688" s="874">
        <v>2016</v>
      </c>
      <c r="AL688" s="874" t="s">
        <v>84</v>
      </c>
      <c r="AM688" s="874">
        <v>6</v>
      </c>
      <c r="AN688" s="1116">
        <v>51054366.489999995</v>
      </c>
      <c r="AO688" s="1112">
        <v>6.7972464619506248E-2</v>
      </c>
      <c r="AP688" s="874"/>
      <c r="AQ688" s="1178" t="s">
        <v>4</v>
      </c>
      <c r="AR688" s="874" t="s">
        <v>615</v>
      </c>
      <c r="AS688" s="874" t="s">
        <v>433</v>
      </c>
      <c r="AT688" s="874">
        <v>8</v>
      </c>
      <c r="AU688" s="1114">
        <v>126956301</v>
      </c>
      <c r="AV688" s="1113">
        <v>6.0000000000000001E-3</v>
      </c>
      <c r="AW688" s="874">
        <v>2014</v>
      </c>
    </row>
    <row r="689" spans="1:49">
      <c r="A689" s="798">
        <f t="shared" si="21"/>
        <v>1900</v>
      </c>
      <c r="B689" s="798">
        <f t="shared" si="22"/>
        <v>1</v>
      </c>
      <c r="AJ689" s="1156" t="s">
        <v>538</v>
      </c>
      <c r="AK689" s="874">
        <v>2016</v>
      </c>
      <c r="AL689" s="874" t="s">
        <v>31</v>
      </c>
      <c r="AM689" s="874">
        <v>7</v>
      </c>
      <c r="AN689" s="1116">
        <v>33636942.020000011</v>
      </c>
      <c r="AO689" s="1112">
        <v>4.4783355637380548E-2</v>
      </c>
      <c r="AP689" s="874"/>
      <c r="AQ689" s="1178" t="s">
        <v>4</v>
      </c>
      <c r="AR689" s="874" t="s">
        <v>615</v>
      </c>
      <c r="AS689" s="874" t="s">
        <v>27</v>
      </c>
      <c r="AT689" s="874">
        <v>9</v>
      </c>
      <c r="AU689" s="1114">
        <v>123007257</v>
      </c>
      <c r="AV689" s="1113">
        <v>6.0000000000000001E-3</v>
      </c>
      <c r="AW689" s="874">
        <v>2014</v>
      </c>
    </row>
    <row r="690" spans="1:49">
      <c r="A690" s="798">
        <f t="shared" si="21"/>
        <v>1900</v>
      </c>
      <c r="B690" s="798">
        <f t="shared" si="22"/>
        <v>1</v>
      </c>
      <c r="AJ690" s="1156" t="s">
        <v>538</v>
      </c>
      <c r="AK690" s="874">
        <v>2016</v>
      </c>
      <c r="AL690" s="874" t="s">
        <v>63</v>
      </c>
      <c r="AM690" s="874">
        <v>8</v>
      </c>
      <c r="AN690" s="1116">
        <v>31618901.259999998</v>
      </c>
      <c r="AO690" s="1112">
        <v>4.2096588303058811E-2</v>
      </c>
      <c r="AP690" s="874"/>
      <c r="AQ690" s="1178" t="s">
        <v>4</v>
      </c>
      <c r="AR690" s="874" t="s">
        <v>615</v>
      </c>
      <c r="AS690" s="874" t="s">
        <v>648</v>
      </c>
      <c r="AT690" s="874">
        <v>10</v>
      </c>
      <c r="AU690" s="1114">
        <v>70357677</v>
      </c>
      <c r="AV690" s="1113">
        <v>4.0000000000000001E-3</v>
      </c>
      <c r="AW690" s="874">
        <v>2014</v>
      </c>
    </row>
    <row r="691" spans="1:49">
      <c r="A691" s="798">
        <f t="shared" si="21"/>
        <v>1900</v>
      </c>
      <c r="B691" s="798">
        <f t="shared" si="22"/>
        <v>1</v>
      </c>
      <c r="AJ691" s="1156" t="s">
        <v>538</v>
      </c>
      <c r="AK691" s="874">
        <v>2016</v>
      </c>
      <c r="AL691" s="874" t="s">
        <v>27</v>
      </c>
      <c r="AM691" s="874">
        <v>9</v>
      </c>
      <c r="AN691" s="1116">
        <v>29056666.979999997</v>
      </c>
      <c r="AO691" s="1112">
        <v>3.8685295774763526E-2</v>
      </c>
      <c r="AP691" s="874"/>
      <c r="AQ691" s="1178" t="s">
        <v>4</v>
      </c>
      <c r="AR691" s="874" t="s">
        <v>615</v>
      </c>
      <c r="AS691" s="874" t="s">
        <v>45</v>
      </c>
      <c r="AT691" s="874"/>
      <c r="AU691" s="1114">
        <v>217463237</v>
      </c>
      <c r="AV691" s="1113">
        <v>1.0999999999999999E-2</v>
      </c>
      <c r="AW691" s="874">
        <v>2014</v>
      </c>
    </row>
    <row r="692" spans="1:49">
      <c r="A692" s="798">
        <f t="shared" si="21"/>
        <v>1900</v>
      </c>
      <c r="B692" s="798">
        <f t="shared" si="22"/>
        <v>1</v>
      </c>
      <c r="AJ692" s="1156" t="s">
        <v>538</v>
      </c>
      <c r="AK692" s="874">
        <v>2016</v>
      </c>
      <c r="AL692" s="874" t="s">
        <v>672</v>
      </c>
      <c r="AM692" s="874">
        <v>10</v>
      </c>
      <c r="AN692" s="1116">
        <v>20632773.189999998</v>
      </c>
      <c r="AO692" s="1112">
        <v>2.7469941203447732E-2</v>
      </c>
      <c r="AP692" s="874"/>
      <c r="AQ692" s="1178" t="s">
        <v>4</v>
      </c>
      <c r="AR692" s="874" t="s">
        <v>615</v>
      </c>
      <c r="AS692" s="874" t="s">
        <v>452</v>
      </c>
      <c r="AT692" s="874"/>
      <c r="AU692" s="1114">
        <v>19803330360</v>
      </c>
      <c r="AV692" s="874">
        <v>1</v>
      </c>
      <c r="AW692" s="874">
        <v>2014</v>
      </c>
    </row>
    <row r="693" spans="1:49">
      <c r="A693" s="798">
        <f t="shared" si="21"/>
        <v>1900</v>
      </c>
      <c r="B693" s="798">
        <f t="shared" si="22"/>
        <v>1</v>
      </c>
      <c r="AJ693" s="1156" t="s">
        <v>538</v>
      </c>
      <c r="AK693" s="874">
        <v>2016</v>
      </c>
      <c r="AL693" s="874" t="s">
        <v>45</v>
      </c>
      <c r="AM693" s="874"/>
      <c r="AN693" s="1116">
        <v>93504941.439999938</v>
      </c>
      <c r="AO693" s="1112">
        <v>0.12449006345077852</v>
      </c>
      <c r="AP693" s="874"/>
      <c r="AQ693" s="1178" t="s">
        <v>4</v>
      </c>
      <c r="AR693" s="874" t="s">
        <v>614</v>
      </c>
      <c r="AS693" s="874" t="s">
        <v>29</v>
      </c>
      <c r="AT693" s="874">
        <v>1</v>
      </c>
      <c r="AU693" s="1114">
        <v>12934183492</v>
      </c>
      <c r="AV693" s="1113">
        <v>0.61099999999999999</v>
      </c>
      <c r="AW693" s="874">
        <v>2013</v>
      </c>
    </row>
    <row r="694" spans="1:49">
      <c r="A694" s="798">
        <f t="shared" si="21"/>
        <v>1900</v>
      </c>
      <c r="B694" s="798">
        <f t="shared" si="22"/>
        <v>1</v>
      </c>
      <c r="AJ694" s="1156" t="s">
        <v>538</v>
      </c>
      <c r="AK694" s="874">
        <v>2016</v>
      </c>
      <c r="AL694" s="874" t="s">
        <v>452</v>
      </c>
      <c r="AM694" s="874"/>
      <c r="AN694" s="1116">
        <v>751103653.15999997</v>
      </c>
      <c r="AO694" s="1112"/>
      <c r="AP694" s="874"/>
      <c r="AQ694" s="1178" t="s">
        <v>4</v>
      </c>
      <c r="AR694" s="874" t="s">
        <v>614</v>
      </c>
      <c r="AS694" s="874" t="s">
        <v>30</v>
      </c>
      <c r="AT694" s="874">
        <v>2</v>
      </c>
      <c r="AU694" s="1114">
        <v>2210936410</v>
      </c>
      <c r="AV694" s="1113">
        <v>0.104</v>
      </c>
      <c r="AW694" s="874">
        <v>2013</v>
      </c>
    </row>
    <row r="695" spans="1:49">
      <c r="A695" s="798">
        <f t="shared" si="21"/>
        <v>1900</v>
      </c>
      <c r="B695" s="798">
        <f t="shared" si="22"/>
        <v>1</v>
      </c>
      <c r="AJ695" s="1156" t="s">
        <v>1</v>
      </c>
      <c r="AK695" s="874">
        <v>2016</v>
      </c>
      <c r="AL695" s="874" t="s">
        <v>650</v>
      </c>
      <c r="AM695" s="874">
        <v>1</v>
      </c>
      <c r="AN695" s="1116">
        <v>8826362000</v>
      </c>
      <c r="AO695" s="1112">
        <v>0.49722621569246023</v>
      </c>
      <c r="AP695" s="874"/>
      <c r="AQ695" s="1178" t="s">
        <v>4</v>
      </c>
      <c r="AR695" s="874" t="s">
        <v>614</v>
      </c>
      <c r="AS695" s="874" t="s">
        <v>24</v>
      </c>
      <c r="AT695" s="874">
        <v>3</v>
      </c>
      <c r="AU695" s="1114">
        <v>1936328376</v>
      </c>
      <c r="AV695" s="1113">
        <v>9.0999999999999998E-2</v>
      </c>
      <c r="AW695" s="874">
        <v>2013</v>
      </c>
    </row>
    <row r="696" spans="1:49">
      <c r="A696" s="798">
        <f t="shared" si="21"/>
        <v>1900</v>
      </c>
      <c r="B696" s="798">
        <f t="shared" si="22"/>
        <v>1</v>
      </c>
      <c r="AJ696" s="1156" t="s">
        <v>1</v>
      </c>
      <c r="AK696" s="874">
        <v>2016</v>
      </c>
      <c r="AL696" s="874" t="s">
        <v>72</v>
      </c>
      <c r="AM696" s="874">
        <v>2</v>
      </c>
      <c r="AN696" s="1116">
        <v>6962954000</v>
      </c>
      <c r="AO696" s="1112">
        <v>0.39225258010726033</v>
      </c>
      <c r="AP696" s="874"/>
      <c r="AQ696" s="1178" t="s">
        <v>4</v>
      </c>
      <c r="AR696" s="874" t="s">
        <v>614</v>
      </c>
      <c r="AS696" s="874" t="s">
        <v>39</v>
      </c>
      <c r="AT696" s="874">
        <v>4</v>
      </c>
      <c r="AU696" s="1114">
        <v>1124351431</v>
      </c>
      <c r="AV696" s="1113">
        <v>5.2999999999999999E-2</v>
      </c>
      <c r="AW696" s="874">
        <v>2013</v>
      </c>
    </row>
    <row r="697" spans="1:49">
      <c r="A697" s="798">
        <f t="shared" si="21"/>
        <v>1900</v>
      </c>
      <c r="B697" s="798">
        <f t="shared" si="22"/>
        <v>1</v>
      </c>
      <c r="AJ697" s="1156" t="s">
        <v>1</v>
      </c>
      <c r="AK697" s="874">
        <v>2016</v>
      </c>
      <c r="AL697" s="874" t="s">
        <v>70</v>
      </c>
      <c r="AM697" s="874">
        <v>3</v>
      </c>
      <c r="AN697" s="1116">
        <v>677095000</v>
      </c>
      <c r="AO697" s="1112">
        <v>3.8143618459597101E-2</v>
      </c>
      <c r="AP697" s="874"/>
      <c r="AQ697" s="1178" t="s">
        <v>4</v>
      </c>
      <c r="AR697" s="874" t="s">
        <v>614</v>
      </c>
      <c r="AS697" s="874" t="s">
        <v>70</v>
      </c>
      <c r="AT697" s="874">
        <v>5</v>
      </c>
      <c r="AU697" s="1114">
        <v>1108091708</v>
      </c>
      <c r="AV697" s="1113">
        <v>5.1999999999999998E-2</v>
      </c>
      <c r="AW697" s="874">
        <v>2013</v>
      </c>
    </row>
    <row r="698" spans="1:49">
      <c r="A698" s="798">
        <f t="shared" si="21"/>
        <v>1900</v>
      </c>
      <c r="B698" s="798">
        <f t="shared" si="22"/>
        <v>1</v>
      </c>
      <c r="AJ698" s="1156" t="s">
        <v>1</v>
      </c>
      <c r="AK698" s="874">
        <v>2016</v>
      </c>
      <c r="AL698" s="874" t="s">
        <v>39</v>
      </c>
      <c r="AM698" s="874">
        <v>4</v>
      </c>
      <c r="AN698" s="1116">
        <v>413398000</v>
      </c>
      <c r="AO698" s="1112">
        <v>2.3288453738338818E-2</v>
      </c>
      <c r="AP698" s="874"/>
      <c r="AQ698" s="1178" t="s">
        <v>4</v>
      </c>
      <c r="AR698" s="874" t="s">
        <v>614</v>
      </c>
      <c r="AS698" s="874" t="s">
        <v>31</v>
      </c>
      <c r="AT698" s="874">
        <v>6</v>
      </c>
      <c r="AU698" s="1114">
        <v>654849377</v>
      </c>
      <c r="AV698" s="1113">
        <v>3.1E-2</v>
      </c>
      <c r="AW698" s="874">
        <v>2013</v>
      </c>
    </row>
    <row r="699" spans="1:49">
      <c r="A699" s="798">
        <f t="shared" si="21"/>
        <v>1900</v>
      </c>
      <c r="B699" s="798">
        <f t="shared" si="22"/>
        <v>1</v>
      </c>
      <c r="AJ699" s="1156" t="s">
        <v>1</v>
      </c>
      <c r="AK699" s="874">
        <v>2016</v>
      </c>
      <c r="AL699" s="874" t="s">
        <v>27</v>
      </c>
      <c r="AM699" s="874">
        <v>5</v>
      </c>
      <c r="AN699" s="1116">
        <v>292369000</v>
      </c>
      <c r="AO699" s="1112">
        <v>1.647037946730362E-2</v>
      </c>
      <c r="AP699" s="874"/>
      <c r="AQ699" s="1178" t="s">
        <v>4</v>
      </c>
      <c r="AR699" s="874" t="s">
        <v>614</v>
      </c>
      <c r="AS699" s="874" t="s">
        <v>152</v>
      </c>
      <c r="AT699" s="874">
        <v>7</v>
      </c>
      <c r="AU699" s="1114">
        <v>425405185</v>
      </c>
      <c r="AV699" s="1113">
        <v>0.02</v>
      </c>
      <c r="AW699" s="874">
        <v>2013</v>
      </c>
    </row>
    <row r="700" spans="1:49">
      <c r="A700" s="798">
        <f t="shared" si="21"/>
        <v>1900</v>
      </c>
      <c r="B700" s="798">
        <f t="shared" si="22"/>
        <v>1</v>
      </c>
      <c r="AJ700" s="1156" t="s">
        <v>1</v>
      </c>
      <c r="AK700" s="874">
        <v>2016</v>
      </c>
      <c r="AL700" s="874" t="s">
        <v>431</v>
      </c>
      <c r="AM700" s="874">
        <v>6</v>
      </c>
      <c r="AN700" s="1116">
        <v>216016000</v>
      </c>
      <c r="AO700" s="1112">
        <v>1.2169092793726622E-2</v>
      </c>
      <c r="AP700" s="874"/>
      <c r="AQ700" s="1178" t="s">
        <v>4</v>
      </c>
      <c r="AR700" s="874" t="s">
        <v>614</v>
      </c>
      <c r="AS700" s="874" t="s">
        <v>28</v>
      </c>
      <c r="AT700" s="874">
        <v>8</v>
      </c>
      <c r="AU700" s="1114">
        <v>307454638</v>
      </c>
      <c r="AV700" s="1113">
        <v>1.4999999999999999E-2</v>
      </c>
      <c r="AW700" s="874">
        <v>2013</v>
      </c>
    </row>
    <row r="701" spans="1:49">
      <c r="A701" s="798">
        <f t="shared" si="21"/>
        <v>1900</v>
      </c>
      <c r="B701" s="798">
        <f t="shared" si="22"/>
        <v>1</v>
      </c>
      <c r="AJ701" s="1156" t="s">
        <v>1</v>
      </c>
      <c r="AK701" s="874">
        <v>2016</v>
      </c>
      <c r="AL701" s="874" t="s">
        <v>434</v>
      </c>
      <c r="AM701" s="874">
        <v>7</v>
      </c>
      <c r="AN701" s="1116">
        <v>147318000</v>
      </c>
      <c r="AO701" s="1112">
        <v>8.299044571634594E-3</v>
      </c>
      <c r="AP701" s="874"/>
      <c r="AQ701" s="1178" t="s">
        <v>4</v>
      </c>
      <c r="AR701" s="874" t="s">
        <v>614</v>
      </c>
      <c r="AS701" s="874" t="s">
        <v>27</v>
      </c>
      <c r="AT701" s="874">
        <v>9</v>
      </c>
      <c r="AU701" s="1114">
        <v>182139294</v>
      </c>
      <c r="AV701" s="1113">
        <v>8.9999999999999993E-3</v>
      </c>
      <c r="AW701" s="874">
        <v>2013</v>
      </c>
    </row>
    <row r="702" spans="1:49">
      <c r="A702" s="798">
        <f t="shared" si="21"/>
        <v>1900</v>
      </c>
      <c r="B702" s="798">
        <f t="shared" si="22"/>
        <v>1</v>
      </c>
      <c r="AJ702" s="1156" t="s">
        <v>1</v>
      </c>
      <c r="AK702" s="874">
        <v>2016</v>
      </c>
      <c r="AL702" s="874" t="s">
        <v>85</v>
      </c>
      <c r="AM702" s="874">
        <v>8</v>
      </c>
      <c r="AN702" s="1116">
        <v>74805000</v>
      </c>
      <c r="AO702" s="1112">
        <v>4.2140813015458106E-3</v>
      </c>
      <c r="AP702" s="874"/>
      <c r="AQ702" s="1178" t="s">
        <v>4</v>
      </c>
      <c r="AR702" s="874" t="s">
        <v>614</v>
      </c>
      <c r="AS702" s="874" t="s">
        <v>433</v>
      </c>
      <c r="AT702" s="874">
        <v>10</v>
      </c>
      <c r="AU702" s="1114">
        <v>165872276</v>
      </c>
      <c r="AV702" s="1113">
        <v>8.0000000000000002E-3</v>
      </c>
      <c r="AW702" s="874">
        <v>2013</v>
      </c>
    </row>
    <row r="703" spans="1:49">
      <c r="A703" s="798">
        <f t="shared" si="21"/>
        <v>1900</v>
      </c>
      <c r="B703" s="798">
        <f t="shared" si="22"/>
        <v>1</v>
      </c>
      <c r="AJ703" s="1156" t="s">
        <v>1</v>
      </c>
      <c r="AK703" s="874">
        <v>2016</v>
      </c>
      <c r="AL703" s="874" t="s">
        <v>67</v>
      </c>
      <c r="AM703" s="874">
        <v>9</v>
      </c>
      <c r="AN703" s="1116">
        <v>73367000</v>
      </c>
      <c r="AO703" s="1112">
        <v>4.133072693677047E-3</v>
      </c>
      <c r="AP703" s="874"/>
      <c r="AQ703" s="1178" t="s">
        <v>4</v>
      </c>
      <c r="AR703" s="874" t="s">
        <v>614</v>
      </c>
      <c r="AS703" s="874" t="s">
        <v>45</v>
      </c>
      <c r="AT703" s="874"/>
      <c r="AU703" s="1114">
        <v>113248309</v>
      </c>
      <c r="AV703" s="1113">
        <v>5.0000000000000001E-3</v>
      </c>
      <c r="AW703" s="874">
        <v>2013</v>
      </c>
    </row>
    <row r="704" spans="1:49">
      <c r="A704" s="798">
        <f t="shared" si="21"/>
        <v>1900</v>
      </c>
      <c r="B704" s="798">
        <f t="shared" si="22"/>
        <v>1</v>
      </c>
      <c r="AJ704" s="1156" t="s">
        <v>1</v>
      </c>
      <c r="AK704" s="874">
        <v>2016</v>
      </c>
      <c r="AL704" s="874" t="s">
        <v>34</v>
      </c>
      <c r="AM704" s="874">
        <v>10</v>
      </c>
      <c r="AN704" s="1116">
        <v>25361000</v>
      </c>
      <c r="AO704" s="1112">
        <v>1.4286921447564109E-3</v>
      </c>
      <c r="AP704" s="874"/>
      <c r="AQ704" s="1178" t="s">
        <v>4</v>
      </c>
      <c r="AR704" s="874" t="s">
        <v>614</v>
      </c>
      <c r="AS704" s="874" t="s">
        <v>452</v>
      </c>
      <c r="AT704" s="874"/>
      <c r="AU704" s="1114">
        <v>21162860496</v>
      </c>
      <c r="AV704" s="874">
        <v>1</v>
      </c>
      <c r="AW704" s="874">
        <v>2013</v>
      </c>
    </row>
    <row r="705" spans="1:49">
      <c r="A705" s="798">
        <f t="shared" si="21"/>
        <v>1900</v>
      </c>
      <c r="B705" s="798">
        <f t="shared" si="22"/>
        <v>1</v>
      </c>
      <c r="AJ705" s="1156" t="s">
        <v>1</v>
      </c>
      <c r="AK705" s="874">
        <v>2016</v>
      </c>
      <c r="AL705" s="874" t="s">
        <v>45</v>
      </c>
      <c r="AM705" s="874"/>
      <c r="AN705" s="874">
        <v>42155000</v>
      </c>
      <c r="AO705" s="1112">
        <v>2.3747690296994006E-3</v>
      </c>
      <c r="AP705" s="874"/>
      <c r="AQ705" s="1178" t="s">
        <v>4</v>
      </c>
      <c r="AR705" s="874" t="s">
        <v>613</v>
      </c>
      <c r="AS705" s="874" t="s">
        <v>29</v>
      </c>
      <c r="AT705" s="874">
        <v>1</v>
      </c>
      <c r="AU705" s="1114">
        <v>11181272350</v>
      </c>
      <c r="AV705" s="1113">
        <v>0.55800000000000005</v>
      </c>
      <c r="AW705" s="874">
        <v>2012</v>
      </c>
    </row>
    <row r="706" spans="1:49">
      <c r="A706" s="798">
        <f t="shared" si="21"/>
        <v>1900</v>
      </c>
      <c r="B706" s="798">
        <f t="shared" si="22"/>
        <v>1</v>
      </c>
      <c r="AJ706" s="1156" t="s">
        <v>1</v>
      </c>
      <c r="AK706" s="874">
        <v>2016</v>
      </c>
      <c r="AL706" s="874" t="s">
        <v>452</v>
      </c>
      <c r="AM706" s="874"/>
      <c r="AN706" s="1116">
        <v>17751200000</v>
      </c>
      <c r="AO706" s="1112"/>
      <c r="AP706" s="874"/>
      <c r="AQ706" s="1178" t="s">
        <v>4</v>
      </c>
      <c r="AR706" s="874" t="s">
        <v>613</v>
      </c>
      <c r="AS706" s="874" t="s">
        <v>24</v>
      </c>
      <c r="AT706" s="874">
        <v>2</v>
      </c>
      <c r="AU706" s="1114">
        <v>1936328376</v>
      </c>
      <c r="AV706" s="1113">
        <v>9.7000000000000003E-2</v>
      </c>
      <c r="AW706" s="874">
        <v>2012</v>
      </c>
    </row>
    <row r="707" spans="1:49">
      <c r="A707" s="798">
        <f t="shared" si="21"/>
        <v>1900</v>
      </c>
      <c r="B707" s="798">
        <f t="shared" si="22"/>
        <v>1</v>
      </c>
      <c r="AJ707" s="1156" t="s">
        <v>651</v>
      </c>
      <c r="AK707" s="874">
        <v>2016</v>
      </c>
      <c r="AL707" s="874"/>
      <c r="AM707" s="874"/>
      <c r="AN707" s="1116">
        <v>1571587536</v>
      </c>
      <c r="AO707" s="1112"/>
      <c r="AP707" s="874"/>
      <c r="AQ707" s="1178" t="s">
        <v>4</v>
      </c>
      <c r="AR707" s="874" t="s">
        <v>613</v>
      </c>
      <c r="AS707" s="874" t="s">
        <v>30</v>
      </c>
      <c r="AT707" s="874">
        <v>3</v>
      </c>
      <c r="AU707" s="1114">
        <v>1925099567</v>
      </c>
      <c r="AV707" s="1113">
        <v>9.6000000000000002E-2</v>
      </c>
      <c r="AW707" s="874">
        <v>2012</v>
      </c>
    </row>
    <row r="708" spans="1:49">
      <c r="A708" s="798">
        <f t="shared" si="21"/>
        <v>1900</v>
      </c>
      <c r="B708" s="798">
        <f t="shared" si="22"/>
        <v>1</v>
      </c>
      <c r="AJ708" s="1156" t="s">
        <v>651</v>
      </c>
      <c r="AK708" s="874">
        <v>2015</v>
      </c>
      <c r="AL708" s="874"/>
      <c r="AM708" s="874"/>
      <c r="AN708" s="1116">
        <v>1677383069.8900001</v>
      </c>
      <c r="AO708" s="1112"/>
      <c r="AP708" s="874"/>
      <c r="AQ708" s="1178" t="s">
        <v>4</v>
      </c>
      <c r="AR708" s="874" t="s">
        <v>613</v>
      </c>
      <c r="AS708" s="874" t="s">
        <v>70</v>
      </c>
      <c r="AT708" s="874">
        <v>4</v>
      </c>
      <c r="AU708" s="1114">
        <v>1895077906</v>
      </c>
      <c r="AV708" s="1113">
        <v>9.5000000000000001E-2</v>
      </c>
      <c r="AW708" s="874">
        <v>2012</v>
      </c>
    </row>
    <row r="709" spans="1:49">
      <c r="A709" s="798">
        <f t="shared" si="21"/>
        <v>1900</v>
      </c>
      <c r="B709" s="798">
        <f t="shared" si="22"/>
        <v>1</v>
      </c>
      <c r="AJ709" s="1156" t="s">
        <v>651</v>
      </c>
      <c r="AK709" s="874">
        <v>2014</v>
      </c>
      <c r="AL709" s="874"/>
      <c r="AM709" s="874"/>
      <c r="AN709" s="1116">
        <v>1394427032.1800001</v>
      </c>
      <c r="AO709" s="1112"/>
      <c r="AP709" s="874"/>
      <c r="AQ709" s="1178" t="s">
        <v>4</v>
      </c>
      <c r="AR709" s="874" t="s">
        <v>613</v>
      </c>
      <c r="AS709" s="874" t="s">
        <v>39</v>
      </c>
      <c r="AT709" s="874">
        <v>5</v>
      </c>
      <c r="AU709" s="1114">
        <v>725008512</v>
      </c>
      <c r="AV709" s="1113">
        <v>3.5999999999999997E-2</v>
      </c>
      <c r="AW709" s="874">
        <v>2012</v>
      </c>
    </row>
    <row r="710" spans="1:49">
      <c r="A710" s="798">
        <f t="shared" si="21"/>
        <v>1900</v>
      </c>
      <c r="B710" s="798">
        <f t="shared" si="22"/>
        <v>1</v>
      </c>
      <c r="AJ710" s="1156" t="s">
        <v>651</v>
      </c>
      <c r="AK710" s="874">
        <v>2013</v>
      </c>
      <c r="AL710" s="874"/>
      <c r="AM710" s="874"/>
      <c r="AN710" s="1116">
        <v>1437108629.9100001</v>
      </c>
      <c r="AO710" s="1112"/>
      <c r="AP710" s="874"/>
      <c r="AQ710" s="1178" t="s">
        <v>4</v>
      </c>
      <c r="AR710" s="874" t="s">
        <v>613</v>
      </c>
      <c r="AS710" s="874" t="s">
        <v>31</v>
      </c>
      <c r="AT710" s="874">
        <v>6</v>
      </c>
      <c r="AU710" s="1114">
        <v>692532916</v>
      </c>
      <c r="AV710" s="1113">
        <v>3.5000000000000003E-2</v>
      </c>
      <c r="AW710" s="874">
        <v>2012</v>
      </c>
    </row>
    <row r="711" spans="1:49">
      <c r="A711" s="798">
        <f t="shared" si="21"/>
        <v>1900</v>
      </c>
      <c r="B711" s="798">
        <f t="shared" si="22"/>
        <v>1</v>
      </c>
      <c r="AJ711" s="1156" t="s">
        <v>651</v>
      </c>
      <c r="AK711" s="874">
        <v>2012</v>
      </c>
      <c r="AL711" s="874"/>
      <c r="AM711" s="874"/>
      <c r="AN711" s="1116">
        <v>1538980691.24</v>
      </c>
      <c r="AO711" s="1112"/>
      <c r="AP711" s="874"/>
      <c r="AQ711" s="1178" t="s">
        <v>4</v>
      </c>
      <c r="AR711" s="874" t="s">
        <v>613</v>
      </c>
      <c r="AS711" s="874" t="s">
        <v>152</v>
      </c>
      <c r="AT711" s="874">
        <v>7</v>
      </c>
      <c r="AU711" s="1114">
        <v>544784212</v>
      </c>
      <c r="AV711" s="1113">
        <v>2.7E-2</v>
      </c>
      <c r="AW711" s="874">
        <v>2012</v>
      </c>
    </row>
    <row r="712" spans="1:49">
      <c r="A712" s="798">
        <f t="shared" si="21"/>
        <v>1900</v>
      </c>
      <c r="B712" s="798">
        <f t="shared" si="22"/>
        <v>1</v>
      </c>
      <c r="AJ712" s="1156" t="s">
        <v>651</v>
      </c>
      <c r="AK712" s="874">
        <v>2011</v>
      </c>
      <c r="AL712" s="874"/>
      <c r="AM712" s="874"/>
      <c r="AN712" s="1116">
        <v>1426935860.8</v>
      </c>
      <c r="AO712" s="1112"/>
      <c r="AP712" s="874"/>
      <c r="AQ712" s="1178" t="s">
        <v>4</v>
      </c>
      <c r="AR712" s="874" t="s">
        <v>613</v>
      </c>
      <c r="AS712" s="874" t="s">
        <v>433</v>
      </c>
      <c r="AT712" s="874">
        <v>8</v>
      </c>
      <c r="AU712" s="1114">
        <v>309798437</v>
      </c>
      <c r="AV712" s="1113">
        <v>1.4999999999999999E-2</v>
      </c>
      <c r="AW712" s="874">
        <v>2012</v>
      </c>
    </row>
    <row r="713" spans="1:49">
      <c r="A713" s="798">
        <f t="shared" si="21"/>
        <v>1900</v>
      </c>
      <c r="B713" s="798">
        <f t="shared" si="22"/>
        <v>1</v>
      </c>
      <c r="AJ713" s="1156" t="s">
        <v>651</v>
      </c>
      <c r="AK713" s="874">
        <v>2010</v>
      </c>
      <c r="AL713" s="874"/>
      <c r="AM713" s="874"/>
      <c r="AN713" s="1116">
        <v>1352345032.6700001</v>
      </c>
      <c r="AO713" s="1112"/>
      <c r="AP713" s="874"/>
      <c r="AQ713" s="1178" t="s">
        <v>4</v>
      </c>
      <c r="AR713" s="874" t="s">
        <v>613</v>
      </c>
      <c r="AS713" s="874" t="s">
        <v>28</v>
      </c>
      <c r="AT713" s="874">
        <v>9</v>
      </c>
      <c r="AU713" s="1114">
        <v>241839267</v>
      </c>
      <c r="AV713" s="1113">
        <v>1.2E-2</v>
      </c>
      <c r="AW713" s="874">
        <v>2012</v>
      </c>
    </row>
    <row r="714" spans="1:49">
      <c r="A714" s="798">
        <f t="shared" ref="A714:A777" si="23">YEAR(C714)</f>
        <v>1900</v>
      </c>
      <c r="B714" s="798">
        <f t="shared" ref="B714:B777" si="24">IF(OR(MONTH(C714)=1,MONTH(C714)=2,MONTH(C714)=3),1,IF(OR(MONTH(C714)=4,MONTH(C714)=5,MONTH(C714)=6),2,IF(OR(MONTH(C714)=7,MONTH(C714)=8,MONTH(C714)=9),3,4)))</f>
        <v>1</v>
      </c>
      <c r="AJ714" s="1156" t="s">
        <v>651</v>
      </c>
      <c r="AK714" s="874">
        <v>2009</v>
      </c>
      <c r="AL714" s="874"/>
      <c r="AM714" s="874"/>
      <c r="AN714" s="1116">
        <v>694236040.76999998</v>
      </c>
      <c r="AO714" s="1112"/>
      <c r="AP714" s="874"/>
      <c r="AQ714" s="1178" t="s">
        <v>4</v>
      </c>
      <c r="AR714" s="874" t="s">
        <v>613</v>
      </c>
      <c r="AS714" s="874" t="s">
        <v>41</v>
      </c>
      <c r="AT714" s="874">
        <v>10</v>
      </c>
      <c r="AU714" s="1114">
        <v>191997945</v>
      </c>
      <c r="AV714" s="1113">
        <v>0.01</v>
      </c>
      <c r="AW714" s="874">
        <v>2012</v>
      </c>
    </row>
    <row r="715" spans="1:49">
      <c r="A715" s="798">
        <f t="shared" si="23"/>
        <v>1900</v>
      </c>
      <c r="B715" s="798">
        <f t="shared" si="24"/>
        <v>1</v>
      </c>
      <c r="AJ715" s="1156" t="s">
        <v>651</v>
      </c>
      <c r="AK715" s="874">
        <v>2008</v>
      </c>
      <c r="AL715" s="874"/>
      <c r="AM715" s="874"/>
      <c r="AN715" s="1116">
        <v>491296568.06999999</v>
      </c>
      <c r="AO715" s="1112"/>
      <c r="AP715" s="874"/>
      <c r="AQ715" s="1178" t="s">
        <v>4</v>
      </c>
      <c r="AR715" s="874" t="s">
        <v>613</v>
      </c>
      <c r="AS715" s="874" t="s">
        <v>45</v>
      </c>
      <c r="AT715" s="874"/>
      <c r="AU715" s="1114">
        <v>391965781</v>
      </c>
      <c r="AV715" s="1113">
        <v>0.02</v>
      </c>
      <c r="AW715" s="874">
        <v>2012</v>
      </c>
    </row>
    <row r="716" spans="1:49">
      <c r="A716" s="798">
        <f t="shared" si="23"/>
        <v>1900</v>
      </c>
      <c r="B716" s="798">
        <f t="shared" si="24"/>
        <v>1</v>
      </c>
      <c r="AJ716" s="1156" t="s">
        <v>651</v>
      </c>
      <c r="AK716" s="874">
        <v>2007</v>
      </c>
      <c r="AL716" s="874"/>
      <c r="AM716" s="874"/>
      <c r="AN716" s="1116">
        <v>437912431</v>
      </c>
      <c r="AO716" s="1112"/>
      <c r="AP716" s="874"/>
      <c r="AQ716" s="1178" t="s">
        <v>4</v>
      </c>
      <c r="AR716" s="874" t="s">
        <v>613</v>
      </c>
      <c r="AS716" s="874" t="s">
        <v>452</v>
      </c>
      <c r="AT716" s="874"/>
      <c r="AU716" s="1114">
        <v>20035705269</v>
      </c>
      <c r="AV716" s="874">
        <v>1</v>
      </c>
      <c r="AW716" s="874">
        <v>2012</v>
      </c>
    </row>
    <row r="717" spans="1:49">
      <c r="A717" s="798">
        <f t="shared" si="23"/>
        <v>1900</v>
      </c>
      <c r="B717" s="798">
        <f t="shared" si="24"/>
        <v>1</v>
      </c>
      <c r="AJ717" s="1156" t="s">
        <v>350</v>
      </c>
      <c r="AK717" s="874">
        <v>2016</v>
      </c>
      <c r="AL717" s="874" t="s">
        <v>30</v>
      </c>
      <c r="AM717" s="874">
        <v>1</v>
      </c>
      <c r="AN717" s="1116">
        <v>866456650</v>
      </c>
      <c r="AO717" s="1112">
        <v>0.27100000000000002</v>
      </c>
      <c r="AP717" s="874"/>
      <c r="AQ717" s="1178" t="s">
        <v>4</v>
      </c>
      <c r="AR717" s="874" t="s">
        <v>612</v>
      </c>
      <c r="AS717" s="874" t="s">
        <v>29</v>
      </c>
      <c r="AT717" s="874">
        <v>1</v>
      </c>
      <c r="AU717" s="1114">
        <v>10278079882</v>
      </c>
      <c r="AV717" s="1113">
        <v>0.48699999999999999</v>
      </c>
      <c r="AW717" s="874">
        <v>2011</v>
      </c>
    </row>
    <row r="718" spans="1:49">
      <c r="A718" s="798">
        <f t="shared" si="23"/>
        <v>1900</v>
      </c>
      <c r="B718" s="798">
        <f t="shared" si="24"/>
        <v>1</v>
      </c>
      <c r="AJ718" s="1156" t="s">
        <v>350</v>
      </c>
      <c r="AK718" s="874">
        <v>2016</v>
      </c>
      <c r="AL718" s="874" t="s">
        <v>24</v>
      </c>
      <c r="AM718" s="874">
        <v>2</v>
      </c>
      <c r="AN718" s="1116">
        <v>764196974</v>
      </c>
      <c r="AO718" s="1112">
        <v>0.23899999999999999</v>
      </c>
      <c r="AP718" s="874"/>
      <c r="AQ718" s="1178" t="s">
        <v>4</v>
      </c>
      <c r="AR718" s="874" t="s">
        <v>612</v>
      </c>
      <c r="AS718" s="874" t="s">
        <v>24</v>
      </c>
      <c r="AT718" s="874">
        <v>2</v>
      </c>
      <c r="AU718" s="1114">
        <v>3572345774</v>
      </c>
      <c r="AV718" s="1113">
        <v>0.16900000000000001</v>
      </c>
      <c r="AW718" s="874">
        <v>2011</v>
      </c>
    </row>
    <row r="719" spans="1:49">
      <c r="A719" s="798">
        <f t="shared" si="23"/>
        <v>1900</v>
      </c>
      <c r="B719" s="798">
        <f t="shared" si="24"/>
        <v>1</v>
      </c>
      <c r="AJ719" s="1156" t="s">
        <v>350</v>
      </c>
      <c r="AK719" s="874">
        <v>2016</v>
      </c>
      <c r="AL719" s="874" t="s">
        <v>83</v>
      </c>
      <c r="AM719" s="874">
        <v>3</v>
      </c>
      <c r="AN719" s="1116">
        <v>597028917</v>
      </c>
      <c r="AO719" s="1112">
        <v>0.187</v>
      </c>
      <c r="AP719" s="874"/>
      <c r="AQ719" s="1178" t="s">
        <v>4</v>
      </c>
      <c r="AR719" s="874" t="s">
        <v>612</v>
      </c>
      <c r="AS719" s="874" t="s">
        <v>30</v>
      </c>
      <c r="AT719" s="874">
        <v>3</v>
      </c>
      <c r="AU719" s="1114">
        <v>1939758548</v>
      </c>
      <c r="AV719" s="1113">
        <v>9.1999999999999998E-2</v>
      </c>
      <c r="AW719" s="874">
        <v>2011</v>
      </c>
    </row>
    <row r="720" spans="1:49">
      <c r="A720" s="798">
        <f t="shared" si="23"/>
        <v>1900</v>
      </c>
      <c r="B720" s="798">
        <f t="shared" si="24"/>
        <v>1</v>
      </c>
      <c r="AJ720" s="1156" t="s">
        <v>350</v>
      </c>
      <c r="AK720" s="874">
        <v>2016</v>
      </c>
      <c r="AL720" s="874" t="s">
        <v>29</v>
      </c>
      <c r="AM720" s="874">
        <v>4</v>
      </c>
      <c r="AN720" s="1116">
        <v>381058259</v>
      </c>
      <c r="AO720" s="1112">
        <v>0.11899999999999999</v>
      </c>
      <c r="AP720" s="874"/>
      <c r="AQ720" s="1178" t="s">
        <v>4</v>
      </c>
      <c r="AR720" s="874" t="s">
        <v>612</v>
      </c>
      <c r="AS720" s="874" t="s">
        <v>39</v>
      </c>
      <c r="AT720" s="874">
        <v>4</v>
      </c>
      <c r="AU720" s="1114">
        <v>1204001673</v>
      </c>
      <c r="AV720" s="1113">
        <v>5.7000000000000002E-2</v>
      </c>
      <c r="AW720" s="874">
        <v>2011</v>
      </c>
    </row>
    <row r="721" spans="1:49">
      <c r="A721" s="798">
        <f t="shared" si="23"/>
        <v>1900</v>
      </c>
      <c r="B721" s="798">
        <f t="shared" si="24"/>
        <v>1</v>
      </c>
      <c r="AJ721" s="1156" t="s">
        <v>350</v>
      </c>
      <c r="AK721" s="874">
        <v>2016</v>
      </c>
      <c r="AL721" s="874" t="s">
        <v>67</v>
      </c>
      <c r="AM721" s="874">
        <v>5</v>
      </c>
      <c r="AN721" s="1116">
        <v>300388036</v>
      </c>
      <c r="AO721" s="1112">
        <v>9.4E-2</v>
      </c>
      <c r="AP721" s="874"/>
      <c r="AQ721" s="1178" t="s">
        <v>4</v>
      </c>
      <c r="AR721" s="874" t="s">
        <v>612</v>
      </c>
      <c r="AS721" s="874" t="s">
        <v>70</v>
      </c>
      <c r="AT721" s="874">
        <v>5</v>
      </c>
      <c r="AU721" s="1114">
        <v>989510479.70000005</v>
      </c>
      <c r="AV721" s="1113">
        <v>4.7E-2</v>
      </c>
      <c r="AW721" s="874">
        <v>2011</v>
      </c>
    </row>
    <row r="722" spans="1:49">
      <c r="A722" s="798">
        <f t="shared" si="23"/>
        <v>1900</v>
      </c>
      <c r="B722" s="798">
        <f t="shared" si="24"/>
        <v>1</v>
      </c>
      <c r="AJ722" s="1156" t="s">
        <v>350</v>
      </c>
      <c r="AK722" s="874">
        <v>2016</v>
      </c>
      <c r="AL722" s="874" t="s">
        <v>27</v>
      </c>
      <c r="AM722" s="874">
        <v>6</v>
      </c>
      <c r="AN722" s="1116">
        <v>197316612</v>
      </c>
      <c r="AO722" s="1112">
        <v>6.2E-2</v>
      </c>
      <c r="AP722" s="874"/>
      <c r="AQ722" s="1178" t="s">
        <v>4</v>
      </c>
      <c r="AR722" s="874" t="s">
        <v>612</v>
      </c>
      <c r="AS722" s="874" t="s">
        <v>27</v>
      </c>
      <c r="AT722" s="874">
        <v>6</v>
      </c>
      <c r="AU722" s="1114">
        <v>968737223.60000002</v>
      </c>
      <c r="AV722" s="1113">
        <v>4.5999999999999999E-2</v>
      </c>
      <c r="AW722" s="874">
        <v>2011</v>
      </c>
    </row>
    <row r="723" spans="1:49">
      <c r="A723" s="798">
        <f t="shared" si="23"/>
        <v>1900</v>
      </c>
      <c r="B723" s="798">
        <f t="shared" si="24"/>
        <v>1</v>
      </c>
      <c r="AJ723" s="1156" t="s">
        <v>350</v>
      </c>
      <c r="AK723" s="874">
        <v>2016</v>
      </c>
      <c r="AL723" s="874" t="s">
        <v>63</v>
      </c>
      <c r="AM723" s="874">
        <v>7</v>
      </c>
      <c r="AN723" s="1116">
        <v>34609876</v>
      </c>
      <c r="AO723" s="1112">
        <v>1.0999999999999999E-2</v>
      </c>
      <c r="AP723" s="874"/>
      <c r="AQ723" s="1178" t="s">
        <v>4</v>
      </c>
      <c r="AR723" s="874" t="s">
        <v>612</v>
      </c>
      <c r="AS723" s="874" t="s">
        <v>31</v>
      </c>
      <c r="AT723" s="874">
        <v>7</v>
      </c>
      <c r="AU723" s="1114">
        <v>528099909.80000001</v>
      </c>
      <c r="AV723" s="1113">
        <v>2.5000000000000001E-2</v>
      </c>
      <c r="AW723" s="874">
        <v>2011</v>
      </c>
    </row>
    <row r="724" spans="1:49">
      <c r="A724" s="798">
        <f t="shared" si="23"/>
        <v>1900</v>
      </c>
      <c r="B724" s="798">
        <f t="shared" si="24"/>
        <v>1</v>
      </c>
      <c r="AJ724" s="1156" t="s">
        <v>350</v>
      </c>
      <c r="AK724" s="874">
        <v>2016</v>
      </c>
      <c r="AL724" s="874" t="s">
        <v>433</v>
      </c>
      <c r="AM724" s="874">
        <v>8</v>
      </c>
      <c r="AN724" s="1116">
        <v>29200956</v>
      </c>
      <c r="AO724" s="1112">
        <v>8.9999999999999993E-3</v>
      </c>
      <c r="AP724" s="874"/>
      <c r="AQ724" s="1178" t="s">
        <v>4</v>
      </c>
      <c r="AR724" s="874" t="s">
        <v>612</v>
      </c>
      <c r="AS724" s="874" t="s">
        <v>433</v>
      </c>
      <c r="AT724" s="874">
        <v>8</v>
      </c>
      <c r="AU724" s="1114">
        <v>392696843.60000002</v>
      </c>
      <c r="AV724" s="1113">
        <v>1.9E-2</v>
      </c>
      <c r="AW724" s="874">
        <v>2011</v>
      </c>
    </row>
    <row r="725" spans="1:49">
      <c r="A725" s="798">
        <f t="shared" si="23"/>
        <v>1900</v>
      </c>
      <c r="B725" s="798">
        <f t="shared" si="24"/>
        <v>1</v>
      </c>
      <c r="AJ725" s="1156" t="s">
        <v>350</v>
      </c>
      <c r="AK725" s="874">
        <v>2016</v>
      </c>
      <c r="AL725" s="874" t="s">
        <v>66</v>
      </c>
      <c r="AM725" s="874">
        <v>9</v>
      </c>
      <c r="AN725" s="1116">
        <v>26896181</v>
      </c>
      <c r="AO725" s="1112">
        <v>8.0000000000000002E-3</v>
      </c>
      <c r="AP725" s="874"/>
      <c r="AQ725" s="1178" t="s">
        <v>4</v>
      </c>
      <c r="AR725" s="874" t="s">
        <v>612</v>
      </c>
      <c r="AS725" s="874" t="s">
        <v>152</v>
      </c>
      <c r="AT725" s="874">
        <v>9</v>
      </c>
      <c r="AU725" s="1114">
        <v>362910453.19999999</v>
      </c>
      <c r="AV725" s="1113">
        <v>1.7000000000000001E-2</v>
      </c>
      <c r="AW725" s="874">
        <v>2011</v>
      </c>
    </row>
    <row r="726" spans="1:49">
      <c r="A726" s="798">
        <f t="shared" si="23"/>
        <v>1900</v>
      </c>
      <c r="B726" s="798">
        <f t="shared" si="24"/>
        <v>1</v>
      </c>
      <c r="AJ726" s="1156" t="s">
        <v>350</v>
      </c>
      <c r="AK726" s="874">
        <v>2016</v>
      </c>
      <c r="AL726" s="874" t="s">
        <v>31</v>
      </c>
      <c r="AM726" s="874">
        <v>10</v>
      </c>
      <c r="AN726" s="1116">
        <v>3402178</v>
      </c>
      <c r="AO726" s="1112">
        <v>1E-3</v>
      </c>
      <c r="AP726" s="874"/>
      <c r="AQ726" s="1178" t="s">
        <v>4</v>
      </c>
      <c r="AR726" s="874" t="s">
        <v>612</v>
      </c>
      <c r="AS726" s="874" t="s">
        <v>28</v>
      </c>
      <c r="AT726" s="874">
        <v>10</v>
      </c>
      <c r="AU726" s="1114">
        <v>307686624.39999998</v>
      </c>
      <c r="AV726" s="1113">
        <v>1.4999999999999999E-2</v>
      </c>
      <c r="AW726" s="874">
        <v>2011</v>
      </c>
    </row>
    <row r="727" spans="1:49">
      <c r="A727" s="798">
        <f t="shared" si="23"/>
        <v>1900</v>
      </c>
      <c r="B727" s="798">
        <f t="shared" si="24"/>
        <v>1</v>
      </c>
      <c r="AJ727" s="1156" t="s">
        <v>350</v>
      </c>
      <c r="AK727" s="874">
        <v>2016</v>
      </c>
      <c r="AL727" s="874" t="s">
        <v>45</v>
      </c>
      <c r="AM727" s="874"/>
      <c r="AN727" s="874">
        <v>0</v>
      </c>
      <c r="AO727" s="1112">
        <v>0</v>
      </c>
      <c r="AP727" s="874"/>
      <c r="AQ727" s="1178" t="s">
        <v>4</v>
      </c>
      <c r="AR727" s="874" t="s">
        <v>612</v>
      </c>
      <c r="AS727" s="874" t="s">
        <v>45</v>
      </c>
      <c r="AT727" s="874"/>
      <c r="AU727" s="1114">
        <v>540163619.20000076</v>
      </c>
      <c r="AV727" s="1113"/>
      <c r="AW727" s="874">
        <v>2011</v>
      </c>
    </row>
    <row r="728" spans="1:49">
      <c r="A728" s="798">
        <f t="shared" si="23"/>
        <v>1900</v>
      </c>
      <c r="B728" s="798">
        <f t="shared" si="24"/>
        <v>1</v>
      </c>
      <c r="AJ728" s="1156" t="s">
        <v>350</v>
      </c>
      <c r="AK728" s="874">
        <v>2016</v>
      </c>
      <c r="AL728" s="874" t="s">
        <v>137</v>
      </c>
      <c r="AM728" s="874"/>
      <c r="AN728" s="1116">
        <v>3200554639</v>
      </c>
      <c r="AO728" s="1112"/>
      <c r="AP728" s="874"/>
      <c r="AQ728" s="1178" t="s">
        <v>4</v>
      </c>
      <c r="AR728" s="874" t="s">
        <v>612</v>
      </c>
      <c r="AS728" s="874" t="s">
        <v>452</v>
      </c>
      <c r="AT728" s="874"/>
      <c r="AU728" s="1114">
        <v>21083991030.5</v>
      </c>
      <c r="AV728" s="874"/>
      <c r="AW728" s="874">
        <v>2011</v>
      </c>
    </row>
    <row r="729" spans="1:49">
      <c r="A729" s="798">
        <f t="shared" si="23"/>
        <v>1900</v>
      </c>
      <c r="B729" s="798">
        <f t="shared" si="24"/>
        <v>1</v>
      </c>
      <c r="AJ729" s="1156" t="s">
        <v>350</v>
      </c>
      <c r="AK729" s="874">
        <v>2015</v>
      </c>
      <c r="AL729" s="874" t="s">
        <v>24</v>
      </c>
      <c r="AM729" s="874">
        <v>1</v>
      </c>
      <c r="AN729" s="1116">
        <v>761233963</v>
      </c>
      <c r="AO729" s="1112">
        <v>0.26900000000000002</v>
      </c>
      <c r="AP729" s="874"/>
      <c r="AQ729" s="1178" t="s">
        <v>4</v>
      </c>
      <c r="AR729" s="874" t="s">
        <v>611</v>
      </c>
      <c r="AS729" s="874" t="s">
        <v>29</v>
      </c>
      <c r="AT729" s="874">
        <v>1</v>
      </c>
      <c r="AU729" s="1114">
        <v>7876986740.7000008</v>
      </c>
      <c r="AV729" s="1113">
        <v>0.42320556894639833</v>
      </c>
      <c r="AW729" s="874">
        <v>2010</v>
      </c>
    </row>
    <row r="730" spans="1:49">
      <c r="A730" s="798">
        <f t="shared" si="23"/>
        <v>1900</v>
      </c>
      <c r="B730" s="798">
        <f t="shared" si="24"/>
        <v>1</v>
      </c>
      <c r="AJ730" s="1156" t="s">
        <v>350</v>
      </c>
      <c r="AK730" s="874">
        <v>2015</v>
      </c>
      <c r="AL730" s="874" t="s">
        <v>30</v>
      </c>
      <c r="AM730" s="874">
        <v>2</v>
      </c>
      <c r="AN730" s="1116">
        <v>682922009</v>
      </c>
      <c r="AO730" s="1112">
        <v>0.24199999999999999</v>
      </c>
      <c r="AP730" s="874"/>
      <c r="AQ730" s="1178" t="s">
        <v>4</v>
      </c>
      <c r="AR730" s="874" t="s">
        <v>611</v>
      </c>
      <c r="AS730" s="874" t="s">
        <v>24</v>
      </c>
      <c r="AT730" s="874">
        <v>2</v>
      </c>
      <c r="AU730" s="1114">
        <v>2795098090.7600002</v>
      </c>
      <c r="AV730" s="1113">
        <v>0.15017177465198542</v>
      </c>
      <c r="AW730" s="874">
        <v>2010</v>
      </c>
    </row>
    <row r="731" spans="1:49">
      <c r="A731" s="798">
        <f t="shared" si="23"/>
        <v>1900</v>
      </c>
      <c r="B731" s="798">
        <f t="shared" si="24"/>
        <v>1</v>
      </c>
      <c r="AJ731" s="1156" t="s">
        <v>350</v>
      </c>
      <c r="AK731" s="874">
        <v>2015</v>
      </c>
      <c r="AL731" s="874" t="s">
        <v>29</v>
      </c>
      <c r="AM731" s="874">
        <v>3</v>
      </c>
      <c r="AN731" s="1116">
        <v>464918292</v>
      </c>
      <c r="AO731" s="1112">
        <v>0.16500000000000001</v>
      </c>
      <c r="AP731" s="874"/>
      <c r="AQ731" s="1178" t="s">
        <v>4</v>
      </c>
      <c r="AR731" s="874" t="s">
        <v>611</v>
      </c>
      <c r="AS731" s="874" t="s">
        <v>30</v>
      </c>
      <c r="AT731" s="874">
        <v>3</v>
      </c>
      <c r="AU731" s="1114">
        <v>2461601685.7299995</v>
      </c>
      <c r="AV731" s="1113">
        <v>0.13225406823983046</v>
      </c>
      <c r="AW731" s="874">
        <v>2010</v>
      </c>
    </row>
    <row r="732" spans="1:49">
      <c r="A732" s="798">
        <f t="shared" si="23"/>
        <v>1900</v>
      </c>
      <c r="B732" s="798">
        <f t="shared" si="24"/>
        <v>1</v>
      </c>
      <c r="AJ732" s="1156" t="s">
        <v>350</v>
      </c>
      <c r="AK732" s="874">
        <v>2015</v>
      </c>
      <c r="AL732" s="874" t="s">
        <v>83</v>
      </c>
      <c r="AM732" s="874">
        <v>4</v>
      </c>
      <c r="AN732" s="1116">
        <v>369239008</v>
      </c>
      <c r="AO732" s="1112">
        <v>0.13100000000000001</v>
      </c>
      <c r="AP732" s="874"/>
      <c r="AQ732" s="1178" t="s">
        <v>4</v>
      </c>
      <c r="AR732" s="874" t="s">
        <v>611</v>
      </c>
      <c r="AS732" s="874" t="s">
        <v>39</v>
      </c>
      <c r="AT732" s="874">
        <v>4</v>
      </c>
      <c r="AU732" s="1114">
        <v>1594005741.51</v>
      </c>
      <c r="AV732" s="1113">
        <v>8.5640883874284188E-2</v>
      </c>
      <c r="AW732" s="874">
        <v>2010</v>
      </c>
    </row>
    <row r="733" spans="1:49">
      <c r="A733" s="798">
        <f t="shared" si="23"/>
        <v>1900</v>
      </c>
      <c r="B733" s="798">
        <f t="shared" si="24"/>
        <v>1</v>
      </c>
      <c r="AJ733" s="1156" t="s">
        <v>350</v>
      </c>
      <c r="AK733" s="874">
        <v>2015</v>
      </c>
      <c r="AL733" s="874" t="s">
        <v>67</v>
      </c>
      <c r="AM733" s="874">
        <v>5</v>
      </c>
      <c r="AN733" s="1116">
        <v>253135438</v>
      </c>
      <c r="AO733" s="1112">
        <v>0.09</v>
      </c>
      <c r="AP733" s="874"/>
      <c r="AQ733" s="1178" t="s">
        <v>4</v>
      </c>
      <c r="AR733" s="874" t="s">
        <v>611</v>
      </c>
      <c r="AS733" s="874" t="s">
        <v>70</v>
      </c>
      <c r="AT733" s="874">
        <v>5</v>
      </c>
      <c r="AU733" s="1114">
        <v>1164623296.97</v>
      </c>
      <c r="AV733" s="1113">
        <v>6.2571524013841223E-2</v>
      </c>
      <c r="AW733" s="874">
        <v>2010</v>
      </c>
    </row>
    <row r="734" spans="1:49">
      <c r="A734" s="798">
        <f t="shared" si="23"/>
        <v>1900</v>
      </c>
      <c r="B734" s="798">
        <f t="shared" si="24"/>
        <v>1</v>
      </c>
      <c r="AJ734" s="1156" t="s">
        <v>350</v>
      </c>
      <c r="AK734" s="874">
        <v>2015</v>
      </c>
      <c r="AL734" s="874" t="s">
        <v>27</v>
      </c>
      <c r="AM734" s="874">
        <v>6</v>
      </c>
      <c r="AN734" s="1116">
        <v>156089315</v>
      </c>
      <c r="AO734" s="1112">
        <v>5.5E-2</v>
      </c>
      <c r="AP734" s="874"/>
      <c r="AQ734" s="1178" t="s">
        <v>4</v>
      </c>
      <c r="AR734" s="874" t="s">
        <v>611</v>
      </c>
      <c r="AS734" s="874" t="s">
        <v>27</v>
      </c>
      <c r="AT734" s="874">
        <v>6</v>
      </c>
      <c r="AU734" s="1114">
        <v>901731950.97000003</v>
      </c>
      <c r="AV734" s="1113">
        <v>4.8447203976566745E-2</v>
      </c>
      <c r="AW734" s="874">
        <v>2010</v>
      </c>
    </row>
    <row r="735" spans="1:49">
      <c r="A735" s="798">
        <f t="shared" si="23"/>
        <v>1900</v>
      </c>
      <c r="B735" s="798">
        <f t="shared" si="24"/>
        <v>1</v>
      </c>
      <c r="AJ735" s="1156" t="s">
        <v>350</v>
      </c>
      <c r="AK735" s="874">
        <v>2015</v>
      </c>
      <c r="AL735" s="874" t="s">
        <v>433</v>
      </c>
      <c r="AM735" s="874">
        <v>7</v>
      </c>
      <c r="AN735" s="1116">
        <v>57402316</v>
      </c>
      <c r="AO735" s="1112">
        <v>0.02</v>
      </c>
      <c r="AP735" s="874"/>
      <c r="AQ735" s="1178" t="s">
        <v>4</v>
      </c>
      <c r="AR735" s="874" t="s">
        <v>611</v>
      </c>
      <c r="AS735" s="874" t="s">
        <v>31</v>
      </c>
      <c r="AT735" s="874">
        <v>7</v>
      </c>
      <c r="AU735" s="1114">
        <v>532895170.69</v>
      </c>
      <c r="AV735" s="1113">
        <v>2.8630771045402056E-2</v>
      </c>
      <c r="AW735" s="874">
        <v>2010</v>
      </c>
    </row>
    <row r="736" spans="1:49">
      <c r="A736" s="798">
        <f t="shared" si="23"/>
        <v>1900</v>
      </c>
      <c r="B736" s="798">
        <f t="shared" si="24"/>
        <v>1</v>
      </c>
      <c r="AJ736" s="1156" t="s">
        <v>350</v>
      </c>
      <c r="AK736" s="874">
        <v>2015</v>
      </c>
      <c r="AL736" s="874" t="s">
        <v>63</v>
      </c>
      <c r="AM736" s="874">
        <v>8</v>
      </c>
      <c r="AN736" s="1116">
        <v>55730468</v>
      </c>
      <c r="AO736" s="1112">
        <v>0.02</v>
      </c>
      <c r="AP736" s="874"/>
      <c r="AQ736" s="1178" t="s">
        <v>4</v>
      </c>
      <c r="AR736" s="874" t="s">
        <v>611</v>
      </c>
      <c r="AS736" s="874" t="s">
        <v>433</v>
      </c>
      <c r="AT736" s="874">
        <v>8</v>
      </c>
      <c r="AU736" s="1114">
        <v>479497291.08999997</v>
      </c>
      <c r="AV736" s="1113">
        <v>2.5761871965010681E-2</v>
      </c>
      <c r="AW736" s="874">
        <v>2010</v>
      </c>
    </row>
    <row r="737" spans="1:49">
      <c r="A737" s="798">
        <f t="shared" si="23"/>
        <v>1900</v>
      </c>
      <c r="B737" s="798">
        <f t="shared" si="24"/>
        <v>1</v>
      </c>
      <c r="AJ737" s="1156" t="s">
        <v>350</v>
      </c>
      <c r="AK737" s="874">
        <v>2015</v>
      </c>
      <c r="AL737" s="874" t="s">
        <v>39</v>
      </c>
      <c r="AM737" s="874">
        <v>9</v>
      </c>
      <c r="AN737" s="1116">
        <v>17560885</v>
      </c>
      <c r="AO737" s="1112">
        <v>6.0000000000000001E-3</v>
      </c>
      <c r="AP737" s="874"/>
      <c r="AQ737" s="1178" t="s">
        <v>4</v>
      </c>
      <c r="AR737" s="874" t="s">
        <v>611</v>
      </c>
      <c r="AS737" s="874" t="s">
        <v>152</v>
      </c>
      <c r="AT737" s="874">
        <v>9</v>
      </c>
      <c r="AU737" s="1114">
        <v>372208692.46000004</v>
      </c>
      <c r="AV737" s="1113">
        <v>1.9997595101363719E-2</v>
      </c>
      <c r="AW737" s="874">
        <v>2010</v>
      </c>
    </row>
    <row r="738" spans="1:49">
      <c r="A738" s="798">
        <f t="shared" si="23"/>
        <v>1900</v>
      </c>
      <c r="B738" s="798">
        <f t="shared" si="24"/>
        <v>1</v>
      </c>
      <c r="AJ738" s="1156" t="s">
        <v>350</v>
      </c>
      <c r="AK738" s="874">
        <v>2015</v>
      </c>
      <c r="AL738" s="874" t="s">
        <v>38</v>
      </c>
      <c r="AM738" s="874">
        <v>10</v>
      </c>
      <c r="AN738" s="1116">
        <v>2957293</v>
      </c>
      <c r="AO738" s="1112">
        <v>1E-3</v>
      </c>
      <c r="AP738" s="874"/>
      <c r="AQ738" s="1178" t="s">
        <v>4</v>
      </c>
      <c r="AR738" s="874" t="s">
        <v>611</v>
      </c>
      <c r="AS738" s="874" t="s">
        <v>28</v>
      </c>
      <c r="AT738" s="874">
        <v>10</v>
      </c>
      <c r="AU738" s="1114">
        <v>178928500.53000003</v>
      </c>
      <c r="AV738" s="1113">
        <v>9.6132620709217173E-3</v>
      </c>
      <c r="AW738" s="874">
        <v>2010</v>
      </c>
    </row>
    <row r="739" spans="1:49">
      <c r="A739" s="798">
        <f t="shared" si="23"/>
        <v>1900</v>
      </c>
      <c r="B739" s="798">
        <f t="shared" si="24"/>
        <v>1</v>
      </c>
      <c r="AJ739" s="1156" t="s">
        <v>350</v>
      </c>
      <c r="AK739" s="874">
        <v>2015</v>
      </c>
      <c r="AL739" s="874" t="s">
        <v>45</v>
      </c>
      <c r="AM739" s="874"/>
      <c r="AN739" s="1116">
        <v>3718762</v>
      </c>
      <c r="AO739" s="1112">
        <v>1E-3</v>
      </c>
      <c r="AP739" s="874"/>
      <c r="AQ739" s="1178" t="s">
        <v>4</v>
      </c>
      <c r="AR739" s="874" t="s">
        <v>611</v>
      </c>
      <c r="AS739" s="874" t="s">
        <v>45</v>
      </c>
      <c r="AT739" s="874"/>
      <c r="AU739" s="1114">
        <v>255095541.15000153</v>
      </c>
      <c r="AV739" s="1113">
        <v>1.3705476114395734E-2</v>
      </c>
      <c r="AW739" s="874">
        <v>2010</v>
      </c>
    </row>
    <row r="740" spans="1:49">
      <c r="A740" s="798">
        <f t="shared" si="23"/>
        <v>1900</v>
      </c>
      <c r="B740" s="798">
        <f t="shared" si="24"/>
        <v>1</v>
      </c>
      <c r="AJ740" s="1156" t="s">
        <v>350</v>
      </c>
      <c r="AK740" s="874">
        <v>2015</v>
      </c>
      <c r="AL740" s="874" t="s">
        <v>452</v>
      </c>
      <c r="AM740" s="874"/>
      <c r="AN740" s="1116">
        <v>2824907750</v>
      </c>
      <c r="AO740" s="1112"/>
      <c r="AP740" s="874"/>
      <c r="AQ740" s="1178" t="s">
        <v>4</v>
      </c>
      <c r="AR740" s="874" t="s">
        <v>611</v>
      </c>
      <c r="AS740" s="874" t="s">
        <v>452</v>
      </c>
      <c r="AT740" s="874"/>
      <c r="AU740" s="1114">
        <v>18612672702.559998</v>
      </c>
      <c r="AV740" s="874">
        <v>1</v>
      </c>
      <c r="AW740" s="874">
        <v>2010</v>
      </c>
    </row>
    <row r="741" spans="1:49">
      <c r="A741" s="798">
        <f t="shared" si="23"/>
        <v>1900</v>
      </c>
      <c r="B741" s="798">
        <f t="shared" si="24"/>
        <v>1</v>
      </c>
      <c r="AJ741" s="1156" t="s">
        <v>350</v>
      </c>
      <c r="AK741" s="874">
        <v>2014</v>
      </c>
      <c r="AL741" s="874" t="s">
        <v>24</v>
      </c>
      <c r="AM741" s="874">
        <v>1</v>
      </c>
      <c r="AN741" s="1116">
        <v>973599788</v>
      </c>
      <c r="AO741" s="1112">
        <v>0.35399999999999998</v>
      </c>
      <c r="AP741" s="874"/>
      <c r="AQ741" s="1178" t="s">
        <v>4</v>
      </c>
      <c r="AR741" s="874" t="s">
        <v>610</v>
      </c>
      <c r="AS741" s="874" t="s">
        <v>29</v>
      </c>
      <c r="AT741" s="874">
        <v>1</v>
      </c>
      <c r="AU741" s="1114">
        <v>5979438355.0500021</v>
      </c>
      <c r="AV741" s="1113">
        <v>0.46064543998597707</v>
      </c>
      <c r="AW741" s="874">
        <v>2009</v>
      </c>
    </row>
    <row r="742" spans="1:49">
      <c r="A742" s="798">
        <f t="shared" si="23"/>
        <v>1900</v>
      </c>
      <c r="B742" s="798">
        <f t="shared" si="24"/>
        <v>1</v>
      </c>
      <c r="AJ742" s="1156" t="s">
        <v>350</v>
      </c>
      <c r="AK742" s="874">
        <v>2014</v>
      </c>
      <c r="AL742" s="874" t="s">
        <v>30</v>
      </c>
      <c r="AM742" s="874">
        <v>2</v>
      </c>
      <c r="AN742" s="1116">
        <v>504391398</v>
      </c>
      <c r="AO742" s="1112">
        <v>0.183</v>
      </c>
      <c r="AP742" s="874"/>
      <c r="AQ742" s="1178" t="s">
        <v>4</v>
      </c>
      <c r="AR742" s="874" t="s">
        <v>610</v>
      </c>
      <c r="AS742" s="874" t="s">
        <v>30</v>
      </c>
      <c r="AT742" s="874">
        <v>2</v>
      </c>
      <c r="AU742" s="1114">
        <v>1652449589.97</v>
      </c>
      <c r="AV742" s="1113">
        <v>0.12730181719885172</v>
      </c>
      <c r="AW742" s="874">
        <v>2009</v>
      </c>
    </row>
    <row r="743" spans="1:49">
      <c r="A743" s="798">
        <f t="shared" si="23"/>
        <v>1900</v>
      </c>
      <c r="B743" s="798">
        <f t="shared" si="24"/>
        <v>1</v>
      </c>
      <c r="AJ743" s="1156" t="s">
        <v>350</v>
      </c>
      <c r="AK743" s="874">
        <v>2014</v>
      </c>
      <c r="AL743" s="874" t="s">
        <v>83</v>
      </c>
      <c r="AM743" s="874">
        <v>3</v>
      </c>
      <c r="AN743" s="1116">
        <v>392778223</v>
      </c>
      <c r="AO743" s="1112">
        <v>0.14299999999999999</v>
      </c>
      <c r="AP743" s="874"/>
      <c r="AQ743" s="1178" t="s">
        <v>4</v>
      </c>
      <c r="AR743" s="874" t="s">
        <v>610</v>
      </c>
      <c r="AS743" s="874" t="s">
        <v>24</v>
      </c>
      <c r="AT743" s="874">
        <v>3</v>
      </c>
      <c r="AU743" s="1114">
        <v>1397985090.3800001</v>
      </c>
      <c r="AV743" s="1113">
        <v>0.107698318606806</v>
      </c>
      <c r="AW743" s="874">
        <v>2009</v>
      </c>
    </row>
    <row r="744" spans="1:49">
      <c r="A744" s="798">
        <f t="shared" si="23"/>
        <v>1900</v>
      </c>
      <c r="B744" s="798">
        <f t="shared" si="24"/>
        <v>1</v>
      </c>
      <c r="AJ744" s="1156" t="s">
        <v>350</v>
      </c>
      <c r="AK744" s="874">
        <v>2014</v>
      </c>
      <c r="AL744" s="874" t="s">
        <v>29</v>
      </c>
      <c r="AM744" s="874">
        <v>4</v>
      </c>
      <c r="AN744" s="1116">
        <v>364022458</v>
      </c>
      <c r="AO744" s="1112">
        <v>0.13200000000000001</v>
      </c>
      <c r="AP744" s="874"/>
      <c r="AQ744" s="1178" t="s">
        <v>4</v>
      </c>
      <c r="AR744" s="874" t="s">
        <v>610</v>
      </c>
      <c r="AS744" s="874" t="s">
        <v>70</v>
      </c>
      <c r="AT744" s="874">
        <v>4</v>
      </c>
      <c r="AU744" s="1114">
        <v>1341637524.1100001</v>
      </c>
      <c r="AV744" s="1113">
        <v>0.10335740096281666</v>
      </c>
      <c r="AW744" s="874">
        <v>2009</v>
      </c>
    </row>
    <row r="745" spans="1:49">
      <c r="A745" s="798">
        <f t="shared" si="23"/>
        <v>1900</v>
      </c>
      <c r="B745" s="798">
        <f t="shared" si="24"/>
        <v>1</v>
      </c>
      <c r="AJ745" s="1156" t="s">
        <v>350</v>
      </c>
      <c r="AK745" s="874">
        <v>2014</v>
      </c>
      <c r="AL745" s="874" t="s">
        <v>67</v>
      </c>
      <c r="AM745" s="874">
        <v>5</v>
      </c>
      <c r="AN745" s="1116">
        <v>190807971</v>
      </c>
      <c r="AO745" s="1112">
        <v>6.9000000000000006E-2</v>
      </c>
      <c r="AP745" s="874"/>
      <c r="AQ745" s="1178" t="s">
        <v>4</v>
      </c>
      <c r="AR745" s="874" t="s">
        <v>610</v>
      </c>
      <c r="AS745" s="874" t="s">
        <v>39</v>
      </c>
      <c r="AT745" s="874">
        <v>5</v>
      </c>
      <c r="AU745" s="1114">
        <v>936982008.54999995</v>
      </c>
      <c r="AV745" s="1113">
        <v>7.2183450009637232E-2</v>
      </c>
      <c r="AW745" s="874">
        <v>2009</v>
      </c>
    </row>
    <row r="746" spans="1:49">
      <c r="A746" s="798">
        <f t="shared" si="23"/>
        <v>1900</v>
      </c>
      <c r="B746" s="798">
        <f t="shared" si="24"/>
        <v>1</v>
      </c>
      <c r="AJ746" s="1156" t="s">
        <v>350</v>
      </c>
      <c r="AK746" s="874">
        <v>2014</v>
      </c>
      <c r="AL746" s="874" t="s">
        <v>27</v>
      </c>
      <c r="AM746" s="874">
        <v>6</v>
      </c>
      <c r="AN746" s="1116">
        <v>187620288</v>
      </c>
      <c r="AO746" s="1112">
        <v>6.8000000000000005E-2</v>
      </c>
      <c r="AP746" s="874"/>
      <c r="AQ746" s="1178" t="s">
        <v>4</v>
      </c>
      <c r="AR746" s="874" t="s">
        <v>610</v>
      </c>
      <c r="AS746" s="874" t="s">
        <v>27</v>
      </c>
      <c r="AT746" s="874">
        <v>6</v>
      </c>
      <c r="AU746" s="1114">
        <v>435511897.07000005</v>
      </c>
      <c r="AV746" s="1113">
        <v>3.3551072447382077E-2</v>
      </c>
      <c r="AW746" s="874">
        <v>2009</v>
      </c>
    </row>
    <row r="747" spans="1:49">
      <c r="A747" s="798">
        <f t="shared" si="23"/>
        <v>1900</v>
      </c>
      <c r="B747" s="798">
        <f t="shared" si="24"/>
        <v>1</v>
      </c>
      <c r="AJ747" s="1156" t="s">
        <v>350</v>
      </c>
      <c r="AK747" s="874">
        <v>2014</v>
      </c>
      <c r="AL747" s="874" t="s">
        <v>445</v>
      </c>
      <c r="AM747" s="874">
        <v>7</v>
      </c>
      <c r="AN747" s="1116">
        <v>50575557</v>
      </c>
      <c r="AO747" s="1112">
        <v>1.7999999999999999E-2</v>
      </c>
      <c r="AP747" s="874"/>
      <c r="AQ747" s="1178" t="s">
        <v>4</v>
      </c>
      <c r="AR747" s="874" t="s">
        <v>610</v>
      </c>
      <c r="AS747" s="874" t="s">
        <v>152</v>
      </c>
      <c r="AT747" s="874">
        <v>7</v>
      </c>
      <c r="AU747" s="1114">
        <v>320329681.07999998</v>
      </c>
      <c r="AV747" s="1113">
        <v>2.46776366139877E-2</v>
      </c>
      <c r="AW747" s="874">
        <v>2009</v>
      </c>
    </row>
    <row r="748" spans="1:49">
      <c r="A748" s="798">
        <f t="shared" si="23"/>
        <v>1900</v>
      </c>
      <c r="B748" s="798">
        <f t="shared" si="24"/>
        <v>1</v>
      </c>
      <c r="AJ748" s="1156" t="s">
        <v>350</v>
      </c>
      <c r="AK748" s="874">
        <v>2014</v>
      </c>
      <c r="AL748" s="874" t="s">
        <v>433</v>
      </c>
      <c r="AM748" s="874">
        <v>8</v>
      </c>
      <c r="AN748" s="1116">
        <v>32206698</v>
      </c>
      <c r="AO748" s="1112">
        <v>1.2E-2</v>
      </c>
      <c r="AP748" s="874"/>
      <c r="AQ748" s="1178" t="s">
        <v>4</v>
      </c>
      <c r="AR748" s="874" t="s">
        <v>610</v>
      </c>
      <c r="AS748" s="874" t="s">
        <v>433</v>
      </c>
      <c r="AT748" s="874">
        <v>8</v>
      </c>
      <c r="AU748" s="1114">
        <v>290649015.20999998</v>
      </c>
      <c r="AV748" s="1113">
        <v>2.2391090189904931E-2</v>
      </c>
      <c r="AW748" s="874">
        <v>2009</v>
      </c>
    </row>
    <row r="749" spans="1:49">
      <c r="A749" s="798">
        <f t="shared" si="23"/>
        <v>1900</v>
      </c>
      <c r="B749" s="798">
        <f t="shared" si="24"/>
        <v>1</v>
      </c>
      <c r="AJ749" s="1156" t="s">
        <v>350</v>
      </c>
      <c r="AK749" s="874">
        <v>2014</v>
      </c>
      <c r="AL749" s="874" t="s">
        <v>63</v>
      </c>
      <c r="AM749" s="874">
        <v>9</v>
      </c>
      <c r="AN749" s="1116">
        <v>23029553</v>
      </c>
      <c r="AO749" s="1112">
        <v>8.0000000000000002E-3</v>
      </c>
      <c r="AP749" s="874"/>
      <c r="AQ749" s="1178" t="s">
        <v>4</v>
      </c>
      <c r="AR749" s="874" t="s">
        <v>610</v>
      </c>
      <c r="AS749" s="874" t="s">
        <v>41</v>
      </c>
      <c r="AT749" s="874">
        <v>9</v>
      </c>
      <c r="AU749" s="1114">
        <v>229174475.24000001</v>
      </c>
      <c r="AV749" s="1113">
        <v>1.7655199487310782E-2</v>
      </c>
      <c r="AW749" s="874">
        <v>2009</v>
      </c>
    </row>
    <row r="750" spans="1:49">
      <c r="A750" s="798">
        <f t="shared" si="23"/>
        <v>1900</v>
      </c>
      <c r="B750" s="798">
        <f t="shared" si="24"/>
        <v>1</v>
      </c>
      <c r="AJ750" s="1156" t="s">
        <v>350</v>
      </c>
      <c r="AK750" s="874">
        <v>2014</v>
      </c>
      <c r="AL750" s="874" t="s">
        <v>28</v>
      </c>
      <c r="AM750" s="874">
        <v>10</v>
      </c>
      <c r="AN750" s="1116">
        <v>15865259</v>
      </c>
      <c r="AO750" s="1112">
        <v>6.0000000000000001E-3</v>
      </c>
      <c r="AP750" s="874"/>
      <c r="AQ750" s="1178" t="s">
        <v>4</v>
      </c>
      <c r="AR750" s="874" t="s">
        <v>610</v>
      </c>
      <c r="AS750" s="874" t="s">
        <v>31</v>
      </c>
      <c r="AT750" s="874">
        <v>10</v>
      </c>
      <c r="AU750" s="1114">
        <v>202973606.83000001</v>
      </c>
      <c r="AV750" s="1113">
        <v>1.5636730554263605E-2</v>
      </c>
      <c r="AW750" s="874">
        <v>2009</v>
      </c>
    </row>
    <row r="751" spans="1:49">
      <c r="A751" s="798">
        <f t="shared" si="23"/>
        <v>1900</v>
      </c>
      <c r="B751" s="798">
        <f t="shared" si="24"/>
        <v>1</v>
      </c>
      <c r="AJ751" s="1156" t="s">
        <v>350</v>
      </c>
      <c r="AK751" s="874">
        <v>2014</v>
      </c>
      <c r="AL751" s="874" t="s">
        <v>45</v>
      </c>
      <c r="AM751" s="874"/>
      <c r="AN751" s="1116">
        <v>14407936</v>
      </c>
      <c r="AO751" s="1112">
        <v>5.0000000000000001E-3</v>
      </c>
      <c r="AP751" s="874"/>
      <c r="AQ751" s="1178" t="s">
        <v>4</v>
      </c>
      <c r="AR751" s="874" t="s">
        <v>610</v>
      </c>
      <c r="AS751" s="874" t="s">
        <v>45</v>
      </c>
      <c r="AT751" s="874"/>
      <c r="AU751" s="1114">
        <v>193434362.96000099</v>
      </c>
      <c r="AV751" s="1113">
        <v>1.4901843943062395E-2</v>
      </c>
      <c r="AW751" s="874">
        <v>2009</v>
      </c>
    </row>
    <row r="752" spans="1:49">
      <c r="A752" s="798">
        <f t="shared" si="23"/>
        <v>1900</v>
      </c>
      <c r="B752" s="798">
        <f t="shared" si="24"/>
        <v>1</v>
      </c>
      <c r="AJ752" s="1156" t="s">
        <v>350</v>
      </c>
      <c r="AK752" s="874">
        <v>2014</v>
      </c>
      <c r="AL752" s="874" t="s">
        <v>452</v>
      </c>
      <c r="AM752" s="874"/>
      <c r="AN752" s="1116">
        <v>2749305131</v>
      </c>
      <c r="AO752" s="1112"/>
      <c r="AP752" s="874"/>
      <c r="AQ752" s="1178" t="s">
        <v>4</v>
      </c>
      <c r="AR752" s="874" t="s">
        <v>610</v>
      </c>
      <c r="AS752" s="874" t="s">
        <v>452</v>
      </c>
      <c r="AT752" s="874"/>
      <c r="AU752" s="1114">
        <v>12980565606.450001</v>
      </c>
      <c r="AV752" s="874">
        <v>1</v>
      </c>
      <c r="AW752" s="874">
        <v>2009</v>
      </c>
    </row>
    <row r="753" spans="1:49">
      <c r="A753" s="798">
        <f t="shared" si="23"/>
        <v>1900</v>
      </c>
      <c r="B753" s="798">
        <f t="shared" si="24"/>
        <v>1</v>
      </c>
      <c r="AJ753" s="1156" t="s">
        <v>350</v>
      </c>
      <c r="AK753" s="874">
        <v>2013</v>
      </c>
      <c r="AL753" s="874" t="s">
        <v>24</v>
      </c>
      <c r="AM753" s="874">
        <v>1</v>
      </c>
      <c r="AN753" s="1116">
        <v>893758146</v>
      </c>
      <c r="AO753" s="1112">
        <v>0.33301379192245451</v>
      </c>
      <c r="AP753" s="874"/>
      <c r="AQ753" s="1178" t="s">
        <v>4</v>
      </c>
      <c r="AR753" s="874" t="s">
        <v>609</v>
      </c>
      <c r="AS753" s="874" t="s">
        <v>29</v>
      </c>
      <c r="AT753" s="874">
        <v>1</v>
      </c>
      <c r="AU753" s="1114">
        <v>7537525484.4000053</v>
      </c>
      <c r="AV753" s="1113">
        <v>0.61116818224090752</v>
      </c>
      <c r="AW753" s="874">
        <v>2008</v>
      </c>
    </row>
    <row r="754" spans="1:49">
      <c r="A754" s="798">
        <f t="shared" si="23"/>
        <v>1900</v>
      </c>
      <c r="B754" s="798">
        <f t="shared" si="24"/>
        <v>1</v>
      </c>
      <c r="AJ754" s="1156" t="s">
        <v>350</v>
      </c>
      <c r="AK754" s="874">
        <v>2013</v>
      </c>
      <c r="AL754" s="874" t="s">
        <v>30</v>
      </c>
      <c r="AM754" s="874">
        <v>2</v>
      </c>
      <c r="AN754" s="1116">
        <v>499164434</v>
      </c>
      <c r="AO754" s="1112">
        <v>0.18598839261283306</v>
      </c>
      <c r="AP754" s="874"/>
      <c r="AQ754" s="1178" t="s">
        <v>4</v>
      </c>
      <c r="AR754" s="874" t="s">
        <v>609</v>
      </c>
      <c r="AS754" s="874" t="s">
        <v>30</v>
      </c>
      <c r="AT754" s="874">
        <v>2</v>
      </c>
      <c r="AU754" s="1114">
        <v>1476797969.1000001</v>
      </c>
      <c r="AV754" s="1113">
        <v>0.11974379817088694</v>
      </c>
      <c r="AW754" s="874">
        <v>2008</v>
      </c>
    </row>
    <row r="755" spans="1:49">
      <c r="A755" s="798">
        <f t="shared" si="23"/>
        <v>1900</v>
      </c>
      <c r="B755" s="798">
        <f t="shared" si="24"/>
        <v>1</v>
      </c>
      <c r="AJ755" s="1156" t="s">
        <v>350</v>
      </c>
      <c r="AK755" s="874">
        <v>2013</v>
      </c>
      <c r="AL755" s="874" t="s">
        <v>29</v>
      </c>
      <c r="AM755" s="874">
        <v>3</v>
      </c>
      <c r="AN755" s="1116">
        <v>333612601</v>
      </c>
      <c r="AO755" s="1112">
        <v>0.12430387100731705</v>
      </c>
      <c r="AP755" s="874"/>
      <c r="AQ755" s="1178" t="s">
        <v>4</v>
      </c>
      <c r="AR755" s="874" t="s">
        <v>609</v>
      </c>
      <c r="AS755" s="874" t="s">
        <v>24</v>
      </c>
      <c r="AT755" s="874">
        <v>3</v>
      </c>
      <c r="AU755" s="1114">
        <v>896703869.18999982</v>
      </c>
      <c r="AV755" s="1113">
        <v>7.2707797124597712E-2</v>
      </c>
      <c r="AW755" s="874">
        <v>2008</v>
      </c>
    </row>
    <row r="756" spans="1:49">
      <c r="A756" s="798">
        <f t="shared" si="23"/>
        <v>1900</v>
      </c>
      <c r="B756" s="798">
        <f t="shared" si="24"/>
        <v>1</v>
      </c>
      <c r="AJ756" s="1156" t="s">
        <v>350</v>
      </c>
      <c r="AK756" s="874">
        <v>2013</v>
      </c>
      <c r="AL756" s="874" t="s">
        <v>83</v>
      </c>
      <c r="AM756" s="874">
        <v>4</v>
      </c>
      <c r="AN756" s="1116">
        <v>294208904</v>
      </c>
      <c r="AO756" s="1112">
        <v>0.10962207525254757</v>
      </c>
      <c r="AP756" s="874"/>
      <c r="AQ756" s="1178" t="s">
        <v>4</v>
      </c>
      <c r="AR756" s="874" t="s">
        <v>609</v>
      </c>
      <c r="AS756" s="874" t="s">
        <v>70</v>
      </c>
      <c r="AT756" s="874">
        <v>4</v>
      </c>
      <c r="AU756" s="1114">
        <v>852033317.38999987</v>
      </c>
      <c r="AV756" s="1113">
        <v>6.9085756973647897E-2</v>
      </c>
      <c r="AW756" s="874">
        <v>2008</v>
      </c>
    </row>
    <row r="757" spans="1:49">
      <c r="A757" s="798">
        <f t="shared" si="23"/>
        <v>1900</v>
      </c>
      <c r="B757" s="798">
        <f t="shared" si="24"/>
        <v>1</v>
      </c>
      <c r="AJ757" s="1156" t="s">
        <v>350</v>
      </c>
      <c r="AK757" s="874">
        <v>2013</v>
      </c>
      <c r="AL757" s="874" t="s">
        <v>27</v>
      </c>
      <c r="AM757" s="874">
        <v>5</v>
      </c>
      <c r="AN757" s="1116">
        <v>289065688</v>
      </c>
      <c r="AO757" s="1112">
        <v>0.10770571580955766</v>
      </c>
      <c r="AP757" s="874"/>
      <c r="AQ757" s="1178" t="s">
        <v>4</v>
      </c>
      <c r="AR757" s="874" t="s">
        <v>609</v>
      </c>
      <c r="AS757" s="874" t="s">
        <v>39</v>
      </c>
      <c r="AT757" s="874">
        <v>5</v>
      </c>
      <c r="AU757" s="1114">
        <v>514536955.93999994</v>
      </c>
      <c r="AV757" s="1113">
        <v>4.1720405019984051E-2</v>
      </c>
      <c r="AW757" s="874">
        <v>2008</v>
      </c>
    </row>
    <row r="758" spans="1:49">
      <c r="A758" s="798">
        <f t="shared" si="23"/>
        <v>1900</v>
      </c>
      <c r="B758" s="798">
        <f t="shared" si="24"/>
        <v>1</v>
      </c>
      <c r="AJ758" s="1156" t="s">
        <v>350</v>
      </c>
      <c r="AK758" s="874">
        <v>2013</v>
      </c>
      <c r="AL758" s="874" t="s">
        <v>67</v>
      </c>
      <c r="AM758" s="874">
        <v>6</v>
      </c>
      <c r="AN758" s="1116">
        <v>198529645</v>
      </c>
      <c r="AO758" s="1112">
        <v>7.3972036155817877E-2</v>
      </c>
      <c r="AP758" s="874"/>
      <c r="AQ758" s="1178" t="s">
        <v>4</v>
      </c>
      <c r="AR758" s="874" t="s">
        <v>609</v>
      </c>
      <c r="AS758" s="874" t="s">
        <v>41</v>
      </c>
      <c r="AT758" s="874">
        <v>6</v>
      </c>
      <c r="AU758" s="1114">
        <v>221719373.13999999</v>
      </c>
      <c r="AV758" s="1113">
        <v>1.7977760278226621E-2</v>
      </c>
      <c r="AW758" s="874">
        <v>2008</v>
      </c>
    </row>
    <row r="759" spans="1:49">
      <c r="A759" s="798">
        <f t="shared" si="23"/>
        <v>1900</v>
      </c>
      <c r="B759" s="798">
        <f t="shared" si="24"/>
        <v>1</v>
      </c>
      <c r="AJ759" s="1156" t="s">
        <v>350</v>
      </c>
      <c r="AK759" s="874">
        <v>2013</v>
      </c>
      <c r="AL759" s="874" t="s">
        <v>63</v>
      </c>
      <c r="AM759" s="874">
        <v>7</v>
      </c>
      <c r="AN759" s="1116">
        <v>42798820</v>
      </c>
      <c r="AO759" s="1112">
        <v>1.5946816710755422E-2</v>
      </c>
      <c r="AP759" s="874"/>
      <c r="AQ759" s="1178" t="s">
        <v>4</v>
      </c>
      <c r="AR759" s="874" t="s">
        <v>609</v>
      </c>
      <c r="AS759" s="874" t="s">
        <v>433</v>
      </c>
      <c r="AT759" s="874">
        <v>7</v>
      </c>
      <c r="AU759" s="1114">
        <v>217793123.30000001</v>
      </c>
      <c r="AV759" s="1113">
        <v>1.7659406598003219E-2</v>
      </c>
      <c r="AW759" s="874">
        <v>2008</v>
      </c>
    </row>
    <row r="760" spans="1:49">
      <c r="A760" s="798">
        <f t="shared" si="23"/>
        <v>1900</v>
      </c>
      <c r="B760" s="798">
        <f t="shared" si="24"/>
        <v>1</v>
      </c>
      <c r="AJ760" s="1156" t="s">
        <v>350</v>
      </c>
      <c r="AK760" s="874">
        <v>2013</v>
      </c>
      <c r="AL760" s="874" t="s">
        <v>433</v>
      </c>
      <c r="AM760" s="874">
        <v>8</v>
      </c>
      <c r="AN760" s="1116">
        <v>40312589</v>
      </c>
      <c r="AO760" s="1112">
        <v>1.502044841233976E-2</v>
      </c>
      <c r="AP760" s="874"/>
      <c r="AQ760" s="1178" t="s">
        <v>4</v>
      </c>
      <c r="AR760" s="874" t="s">
        <v>609</v>
      </c>
      <c r="AS760" s="874" t="s">
        <v>27</v>
      </c>
      <c r="AT760" s="874">
        <v>8</v>
      </c>
      <c r="AU760" s="1114">
        <v>181852500.06999999</v>
      </c>
      <c r="AV760" s="1113">
        <v>1.474521872380687E-2</v>
      </c>
      <c r="AW760" s="874">
        <v>2008</v>
      </c>
    </row>
    <row r="761" spans="1:49">
      <c r="A761" s="798">
        <f t="shared" si="23"/>
        <v>1900</v>
      </c>
      <c r="B761" s="798">
        <f t="shared" si="24"/>
        <v>1</v>
      </c>
      <c r="AJ761" s="1156" t="s">
        <v>350</v>
      </c>
      <c r="AK761" s="874">
        <v>2013</v>
      </c>
      <c r="AL761" s="874" t="s">
        <v>41</v>
      </c>
      <c r="AM761" s="874">
        <v>9</v>
      </c>
      <c r="AN761" s="1116">
        <v>38193450</v>
      </c>
      <c r="AO761" s="1112">
        <v>1.4230858390521087E-2</v>
      </c>
      <c r="AP761" s="874"/>
      <c r="AQ761" s="1178" t="s">
        <v>4</v>
      </c>
      <c r="AR761" s="874" t="s">
        <v>609</v>
      </c>
      <c r="AS761" s="874" t="s">
        <v>152</v>
      </c>
      <c r="AT761" s="874">
        <v>9</v>
      </c>
      <c r="AU761" s="1114">
        <v>177395280.74000001</v>
      </c>
      <c r="AV761" s="1113">
        <v>1.4383812232856615E-2</v>
      </c>
      <c r="AW761" s="874">
        <v>2008</v>
      </c>
    </row>
    <row r="762" spans="1:49">
      <c r="A762" s="798">
        <f t="shared" si="23"/>
        <v>1900</v>
      </c>
      <c r="B762" s="798">
        <f t="shared" si="24"/>
        <v>1</v>
      </c>
      <c r="AJ762" s="1156" t="s">
        <v>350</v>
      </c>
      <c r="AK762" s="874">
        <v>2013</v>
      </c>
      <c r="AL762" s="874" t="s">
        <v>39</v>
      </c>
      <c r="AM762" s="874">
        <v>10</v>
      </c>
      <c r="AN762" s="1116">
        <v>18726083</v>
      </c>
      <c r="AO762" s="1112">
        <v>6.9773281906228496E-3</v>
      </c>
      <c r="AP762" s="874"/>
      <c r="AQ762" s="1178" t="s">
        <v>4</v>
      </c>
      <c r="AR762" s="874" t="s">
        <v>609</v>
      </c>
      <c r="AS762" s="874" t="s">
        <v>34</v>
      </c>
      <c r="AT762" s="874">
        <v>10</v>
      </c>
      <c r="AU762" s="1114">
        <v>73127857.849999994</v>
      </c>
      <c r="AV762" s="1113">
        <v>5.9294552364506691E-3</v>
      </c>
      <c r="AW762" s="874">
        <v>2008</v>
      </c>
    </row>
    <row r="763" spans="1:49">
      <c r="A763" s="798">
        <f t="shared" si="23"/>
        <v>1900</v>
      </c>
      <c r="B763" s="798">
        <f t="shared" si="24"/>
        <v>1</v>
      </c>
      <c r="AJ763" s="1156" t="s">
        <v>350</v>
      </c>
      <c r="AK763" s="874">
        <v>2013</v>
      </c>
      <c r="AL763" s="874" t="s">
        <v>45</v>
      </c>
      <c r="AM763" s="874"/>
      <c r="AN763" s="1116">
        <v>35476878</v>
      </c>
      <c r="AO763" s="1112">
        <v>1.3218665162633722E-2</v>
      </c>
      <c r="AP763" s="874"/>
      <c r="AQ763" s="1178" t="s">
        <v>4</v>
      </c>
      <c r="AR763" s="874" t="s">
        <v>609</v>
      </c>
      <c r="AS763" s="874" t="s">
        <v>45</v>
      </c>
      <c r="AT763" s="874"/>
      <c r="AU763" s="1114">
        <v>183495113.46999931</v>
      </c>
      <c r="AV763" s="1113">
        <v>1.4878407400631895E-2</v>
      </c>
      <c r="AW763" s="874">
        <v>2008</v>
      </c>
    </row>
    <row r="764" spans="1:49">
      <c r="A764" s="798">
        <f t="shared" si="23"/>
        <v>1900</v>
      </c>
      <c r="B764" s="798">
        <f t="shared" si="24"/>
        <v>1</v>
      </c>
      <c r="AJ764" s="1156" t="s">
        <v>350</v>
      </c>
      <c r="AK764" s="874">
        <v>2013</v>
      </c>
      <c r="AL764" s="874" t="s">
        <v>452</v>
      </c>
      <c r="AM764" s="874"/>
      <c r="AN764" s="1116">
        <v>2683847239</v>
      </c>
      <c r="AO764" s="1112"/>
      <c r="AP764" s="874"/>
      <c r="AQ764" s="1178" t="s">
        <v>4</v>
      </c>
      <c r="AR764" s="874" t="s">
        <v>609</v>
      </c>
      <c r="AS764" s="874" t="s">
        <v>452</v>
      </c>
      <c r="AT764" s="874"/>
      <c r="AU764" s="1114">
        <v>12332980844.590004</v>
      </c>
      <c r="AV764" s="874">
        <v>1</v>
      </c>
      <c r="AW764" s="874">
        <v>2008</v>
      </c>
    </row>
    <row r="765" spans="1:49">
      <c r="A765" s="798">
        <f t="shared" si="23"/>
        <v>1900</v>
      </c>
      <c r="B765" s="798">
        <f t="shared" si="24"/>
        <v>1</v>
      </c>
      <c r="AJ765" s="1156" t="s">
        <v>350</v>
      </c>
      <c r="AK765" s="874">
        <v>2012</v>
      </c>
      <c r="AL765" s="874" t="s">
        <v>30</v>
      </c>
      <c r="AM765" s="874">
        <v>1</v>
      </c>
      <c r="AN765" s="1116">
        <v>628330244</v>
      </c>
      <c r="AO765" s="1112">
        <v>0.253</v>
      </c>
      <c r="AP765" s="874"/>
      <c r="AQ765" s="1178" t="s">
        <v>4</v>
      </c>
      <c r="AR765" s="874" t="s">
        <v>608</v>
      </c>
      <c r="AS765" s="874" t="s">
        <v>29</v>
      </c>
      <c r="AT765" s="874">
        <v>1</v>
      </c>
      <c r="AU765" s="1114">
        <v>5247427978.6699991</v>
      </c>
      <c r="AV765" s="1113">
        <v>0.49036192243478655</v>
      </c>
      <c r="AW765" s="874">
        <v>2007</v>
      </c>
    </row>
    <row r="766" spans="1:49">
      <c r="A766" s="798">
        <f t="shared" si="23"/>
        <v>1900</v>
      </c>
      <c r="B766" s="798">
        <f t="shared" si="24"/>
        <v>1</v>
      </c>
      <c r="AJ766" s="1156" t="s">
        <v>350</v>
      </c>
      <c r="AK766" s="874">
        <v>2012</v>
      </c>
      <c r="AL766" s="874" t="s">
        <v>24</v>
      </c>
      <c r="AM766" s="874">
        <v>2</v>
      </c>
      <c r="AN766" s="1116">
        <v>606672670</v>
      </c>
      <c r="AO766" s="1112">
        <v>0.245</v>
      </c>
      <c r="AP766" s="874"/>
      <c r="AQ766" s="1178" t="s">
        <v>4</v>
      </c>
      <c r="AR766" s="874" t="s">
        <v>608</v>
      </c>
      <c r="AS766" s="874" t="s">
        <v>30</v>
      </c>
      <c r="AT766" s="874">
        <v>2</v>
      </c>
      <c r="AU766" s="1114">
        <v>1687747371.78</v>
      </c>
      <c r="AV766" s="1113">
        <v>0.15771670410235197</v>
      </c>
      <c r="AW766" s="874">
        <v>2007</v>
      </c>
    </row>
    <row r="767" spans="1:49">
      <c r="A767" s="798">
        <f t="shared" si="23"/>
        <v>1900</v>
      </c>
      <c r="B767" s="798">
        <f t="shared" si="24"/>
        <v>1</v>
      </c>
      <c r="AJ767" s="1156" t="s">
        <v>350</v>
      </c>
      <c r="AK767" s="874">
        <v>2012</v>
      </c>
      <c r="AL767" s="874" t="s">
        <v>29</v>
      </c>
      <c r="AM767" s="874">
        <v>3</v>
      </c>
      <c r="AN767" s="1116">
        <v>473412647</v>
      </c>
      <c r="AO767" s="1112">
        <v>0.191</v>
      </c>
      <c r="AP767" s="874"/>
      <c r="AQ767" s="1178" t="s">
        <v>4</v>
      </c>
      <c r="AR767" s="874" t="s">
        <v>608</v>
      </c>
      <c r="AS767" s="874" t="s">
        <v>70</v>
      </c>
      <c r="AT767" s="874">
        <v>3</v>
      </c>
      <c r="AU767" s="1114">
        <v>1250954274.49</v>
      </c>
      <c r="AV767" s="1113">
        <v>0.11689924004872311</v>
      </c>
      <c r="AW767" s="874">
        <v>2007</v>
      </c>
    </row>
    <row r="768" spans="1:49">
      <c r="A768" s="798">
        <f t="shared" si="23"/>
        <v>1900</v>
      </c>
      <c r="B768" s="798">
        <f t="shared" si="24"/>
        <v>1</v>
      </c>
      <c r="AJ768" s="1156" t="s">
        <v>350</v>
      </c>
      <c r="AK768" s="874">
        <v>2012</v>
      </c>
      <c r="AL768" s="874" t="s">
        <v>27</v>
      </c>
      <c r="AM768" s="874">
        <v>4</v>
      </c>
      <c r="AN768" s="1116">
        <v>336543866</v>
      </c>
      <c r="AO768" s="1112">
        <v>0.13600000000000001</v>
      </c>
      <c r="AP768" s="874"/>
      <c r="AQ768" s="1178" t="s">
        <v>4</v>
      </c>
      <c r="AR768" s="874" t="s">
        <v>608</v>
      </c>
      <c r="AS768" s="874" t="s">
        <v>24</v>
      </c>
      <c r="AT768" s="874">
        <v>4</v>
      </c>
      <c r="AU768" s="1114">
        <v>769675146.28999996</v>
      </c>
      <c r="AV768" s="1113">
        <v>7.1924643066887756E-2</v>
      </c>
      <c r="AW768" s="874">
        <v>2007</v>
      </c>
    </row>
    <row r="769" spans="1:50">
      <c r="A769" s="798">
        <f t="shared" si="23"/>
        <v>1900</v>
      </c>
      <c r="B769" s="798">
        <f t="shared" si="24"/>
        <v>1</v>
      </c>
      <c r="AJ769" s="1156" t="s">
        <v>350</v>
      </c>
      <c r="AK769" s="874">
        <v>2012</v>
      </c>
      <c r="AL769" s="874" t="s">
        <v>67</v>
      </c>
      <c r="AM769" s="874">
        <v>5</v>
      </c>
      <c r="AN769" s="1116">
        <v>193176932</v>
      </c>
      <c r="AO769" s="1112">
        <v>7.8E-2</v>
      </c>
      <c r="AP769" s="874"/>
      <c r="AQ769" s="1178" t="s">
        <v>4</v>
      </c>
      <c r="AR769" s="874" t="s">
        <v>608</v>
      </c>
      <c r="AS769" s="874" t="s">
        <v>39</v>
      </c>
      <c r="AT769" s="874">
        <v>5</v>
      </c>
      <c r="AU769" s="1114">
        <v>561125122.26999998</v>
      </c>
      <c r="AV769" s="1113">
        <v>5.2436049584907662E-2</v>
      </c>
      <c r="AW769" s="874">
        <v>2007</v>
      </c>
    </row>
    <row r="770" spans="1:50">
      <c r="A770" s="798">
        <f t="shared" si="23"/>
        <v>1900</v>
      </c>
      <c r="B770" s="798">
        <f t="shared" si="24"/>
        <v>1</v>
      </c>
      <c r="AJ770" s="1156" t="s">
        <v>350</v>
      </c>
      <c r="AK770" s="874">
        <v>2012</v>
      </c>
      <c r="AL770" s="874" t="s">
        <v>83</v>
      </c>
      <c r="AM770" s="874">
        <v>6</v>
      </c>
      <c r="AN770" s="1116">
        <v>186862862</v>
      </c>
      <c r="AO770" s="1112">
        <v>7.4999999999999997E-2</v>
      </c>
      <c r="AP770" s="874"/>
      <c r="AQ770" s="1178" t="s">
        <v>4</v>
      </c>
      <c r="AR770" s="874" t="s">
        <v>608</v>
      </c>
      <c r="AS770" s="874" t="s">
        <v>152</v>
      </c>
      <c r="AT770" s="874">
        <v>6</v>
      </c>
      <c r="AU770" s="1114">
        <v>291379022.33999997</v>
      </c>
      <c r="AV770" s="1113">
        <v>2.722880202121904E-2</v>
      </c>
      <c r="AW770" s="874">
        <v>2007</v>
      </c>
    </row>
    <row r="771" spans="1:50">
      <c r="A771" s="798">
        <f t="shared" si="23"/>
        <v>1900</v>
      </c>
      <c r="B771" s="798">
        <f t="shared" si="24"/>
        <v>1</v>
      </c>
      <c r="AJ771" s="1156" t="s">
        <v>350</v>
      </c>
      <c r="AK771" s="874">
        <v>2012</v>
      </c>
      <c r="AL771" s="1213" t="s">
        <v>63</v>
      </c>
      <c r="AM771" s="1213">
        <v>7</v>
      </c>
      <c r="AN771" s="1210">
        <v>38732849</v>
      </c>
      <c r="AO771" s="1112">
        <v>1.6E-2</v>
      </c>
      <c r="AP771" s="874"/>
      <c r="AQ771" s="1178" t="s">
        <v>4</v>
      </c>
      <c r="AR771" s="874" t="s">
        <v>608</v>
      </c>
      <c r="AS771" s="874" t="s">
        <v>34</v>
      </c>
      <c r="AT771" s="874">
        <v>7</v>
      </c>
      <c r="AU771" s="1114">
        <v>244811358.72000003</v>
      </c>
      <c r="AV771" s="1113">
        <v>2.2877144571355888E-2</v>
      </c>
      <c r="AW771" s="874">
        <v>2007</v>
      </c>
    </row>
    <row r="772" spans="1:50">
      <c r="A772" s="798">
        <f t="shared" si="23"/>
        <v>1900</v>
      </c>
      <c r="B772" s="798">
        <f t="shared" si="24"/>
        <v>1</v>
      </c>
      <c r="AJ772" s="1156" t="s">
        <v>350</v>
      </c>
      <c r="AK772" s="874">
        <v>2012</v>
      </c>
      <c r="AL772" s="1217" t="s">
        <v>28</v>
      </c>
      <c r="AM772" s="1217">
        <v>8</v>
      </c>
      <c r="AN772" s="1209">
        <v>11002578</v>
      </c>
      <c r="AO772" s="1367">
        <v>4.0000000000000001E-3</v>
      </c>
      <c r="AP772" s="874"/>
      <c r="AQ772" s="1178" t="s">
        <v>4</v>
      </c>
      <c r="AR772" s="874" t="s">
        <v>608</v>
      </c>
      <c r="AS772" s="874" t="s">
        <v>31</v>
      </c>
      <c r="AT772" s="874">
        <v>8</v>
      </c>
      <c r="AU772" s="1114">
        <v>186951828.81999999</v>
      </c>
      <c r="AV772" s="1113">
        <v>1.7470284214574361E-2</v>
      </c>
      <c r="AW772" s="874">
        <v>2007</v>
      </c>
    </row>
    <row r="773" spans="1:50">
      <c r="A773" s="798">
        <f t="shared" si="23"/>
        <v>1900</v>
      </c>
      <c r="B773" s="798">
        <f t="shared" si="24"/>
        <v>1</v>
      </c>
      <c r="AJ773" s="1156" t="s">
        <v>350</v>
      </c>
      <c r="AK773" s="874">
        <v>2012</v>
      </c>
      <c r="AL773" s="1217" t="s">
        <v>39</v>
      </c>
      <c r="AM773" s="1217">
        <v>9</v>
      </c>
      <c r="AN773" s="1209">
        <v>6491219</v>
      </c>
      <c r="AO773" s="1367">
        <v>3.0000000000000001E-3</v>
      </c>
      <c r="AP773" s="874"/>
      <c r="AQ773" s="1178" t="s">
        <v>4</v>
      </c>
      <c r="AR773" s="874" t="s">
        <v>608</v>
      </c>
      <c r="AS773" s="874" t="s">
        <v>41</v>
      </c>
      <c r="AT773" s="874">
        <v>9</v>
      </c>
      <c r="AU773" s="1114">
        <v>136152981.06</v>
      </c>
      <c r="AV773" s="1113">
        <v>1.2723230849321841E-2</v>
      </c>
      <c r="AW773" s="874">
        <v>2007</v>
      </c>
    </row>
    <row r="774" spans="1:50">
      <c r="A774" s="798">
        <f t="shared" si="23"/>
        <v>1900</v>
      </c>
      <c r="B774" s="798">
        <f t="shared" si="24"/>
        <v>1</v>
      </c>
      <c r="AJ774" s="1156" t="s">
        <v>350</v>
      </c>
      <c r="AK774" s="874">
        <v>2012</v>
      </c>
      <c r="AL774" s="1217" t="s">
        <v>157</v>
      </c>
      <c r="AM774" s="1217">
        <v>10</v>
      </c>
      <c r="AN774" s="1209">
        <v>4235</v>
      </c>
      <c r="AO774" s="1367">
        <v>0</v>
      </c>
      <c r="AP774" s="874"/>
      <c r="AQ774" s="1178" t="s">
        <v>4</v>
      </c>
      <c r="AR774" s="874" t="s">
        <v>608</v>
      </c>
      <c r="AS774" s="874" t="s">
        <v>28</v>
      </c>
      <c r="AT774" s="874">
        <v>10</v>
      </c>
      <c r="AU774" s="1114">
        <v>113789725.36</v>
      </c>
      <c r="AV774" s="1113">
        <v>1.0633428168555533E-2</v>
      </c>
      <c r="AW774" s="874">
        <v>2007</v>
      </c>
    </row>
    <row r="775" spans="1:50">
      <c r="A775" s="798">
        <f t="shared" si="23"/>
        <v>1900</v>
      </c>
      <c r="B775" s="798">
        <f t="shared" si="24"/>
        <v>1</v>
      </c>
      <c r="AJ775" s="1156" t="s">
        <v>350</v>
      </c>
      <c r="AK775" s="874">
        <v>2012</v>
      </c>
      <c r="AL775" s="1217" t="s">
        <v>45</v>
      </c>
      <c r="AM775" s="1217"/>
      <c r="AN775" s="1217" t="s">
        <v>634</v>
      </c>
      <c r="AO775" s="1367">
        <v>0</v>
      </c>
      <c r="AP775" s="874"/>
      <c r="AQ775" s="1178" t="s">
        <v>4</v>
      </c>
      <c r="AR775" s="874" t="s">
        <v>608</v>
      </c>
      <c r="AS775" s="874" t="s">
        <v>45</v>
      </c>
      <c r="AT775" s="874"/>
      <c r="AU775" s="1114">
        <v>211117840.57999992</v>
      </c>
      <c r="AV775" s="1113">
        <v>1.9728550937316257E-2</v>
      </c>
      <c r="AW775" s="874">
        <v>2007</v>
      </c>
    </row>
    <row r="776" spans="1:50">
      <c r="A776" s="798">
        <f t="shared" si="23"/>
        <v>1900</v>
      </c>
      <c r="B776" s="798">
        <f t="shared" si="24"/>
        <v>1</v>
      </c>
      <c r="AJ776" s="1156" t="s">
        <v>350</v>
      </c>
      <c r="AK776" s="874">
        <v>2012</v>
      </c>
      <c r="AL776" s="874" t="s">
        <v>452</v>
      </c>
      <c r="AM776" s="1217"/>
      <c r="AN776" s="1209">
        <v>2481230102</v>
      </c>
      <c r="AP776" s="874"/>
      <c r="AQ776" s="1178" t="s">
        <v>4</v>
      </c>
      <c r="AR776" s="874" t="s">
        <v>608</v>
      </c>
      <c r="AS776" s="874" t="s">
        <v>452</v>
      </c>
      <c r="AT776" s="874"/>
      <c r="AU776" s="1114">
        <v>10701132650.379999</v>
      </c>
      <c r="AV776" s="874">
        <v>1</v>
      </c>
      <c r="AW776" s="874">
        <v>2007</v>
      </c>
    </row>
    <row r="777" spans="1:50">
      <c r="A777" s="798">
        <f t="shared" si="23"/>
        <v>1900</v>
      </c>
      <c r="B777" s="798">
        <f t="shared" si="24"/>
        <v>1</v>
      </c>
      <c r="AJ777" s="1156" t="s">
        <v>350</v>
      </c>
      <c r="AK777" s="874">
        <v>2011</v>
      </c>
      <c r="AL777" s="1217" t="s">
        <v>30</v>
      </c>
      <c r="AM777" s="1217">
        <v>1</v>
      </c>
      <c r="AN777" s="1209">
        <v>488514317</v>
      </c>
      <c r="AO777" s="1367">
        <v>0.23799999999999999</v>
      </c>
      <c r="AP777" s="874"/>
      <c r="AQ777" s="1156" t="s">
        <v>651</v>
      </c>
      <c r="AR777" s="874" t="s">
        <v>616</v>
      </c>
      <c r="AS777" s="1114"/>
      <c r="AT777" s="1213"/>
      <c r="AU777" s="1114">
        <v>1588816202.8699999</v>
      </c>
      <c r="AV777" s="1213"/>
      <c r="AW777" s="874">
        <v>2015</v>
      </c>
    </row>
    <row r="778" spans="1:50">
      <c r="A778" s="798">
        <f t="shared" ref="A778:A841" si="25">YEAR(C778)</f>
        <v>1900</v>
      </c>
      <c r="B778" s="798">
        <f t="shared" ref="B778:B841" si="26">IF(OR(MONTH(C778)=1,MONTH(C778)=2,MONTH(C778)=3),1,IF(OR(MONTH(C778)=4,MONTH(C778)=5,MONTH(C778)=6),2,IF(OR(MONTH(C778)=7,MONTH(C778)=8,MONTH(C778)=9),3,4)))</f>
        <v>1</v>
      </c>
      <c r="AJ778" s="1156" t="s">
        <v>350</v>
      </c>
      <c r="AK778" s="874">
        <v>2011</v>
      </c>
      <c r="AL778" s="1217" t="s">
        <v>24</v>
      </c>
      <c r="AM778" s="1217">
        <v>2</v>
      </c>
      <c r="AN778" s="1209">
        <v>487302886</v>
      </c>
      <c r="AO778" s="1367">
        <v>0.23799999999999999</v>
      </c>
      <c r="AP778" s="874"/>
      <c r="AQ778" s="1156" t="s">
        <v>651</v>
      </c>
      <c r="AR778" s="874" t="s">
        <v>615</v>
      </c>
      <c r="AS778" s="1114"/>
      <c r="AT778" s="1213"/>
      <c r="AU778" s="1114">
        <v>1520554770.7800002</v>
      </c>
      <c r="AV778" s="1217"/>
      <c r="AW778" s="874">
        <v>2014</v>
      </c>
    </row>
    <row r="779" spans="1:50">
      <c r="A779" s="798">
        <f t="shared" si="25"/>
        <v>1900</v>
      </c>
      <c r="B779" s="798">
        <f t="shared" si="26"/>
        <v>1</v>
      </c>
      <c r="AJ779" s="1156" t="s">
        <v>350</v>
      </c>
      <c r="AK779" s="874">
        <v>2011</v>
      </c>
      <c r="AL779" s="1217" t="s">
        <v>27</v>
      </c>
      <c r="AM779" s="1217">
        <v>3</v>
      </c>
      <c r="AN779" s="1209">
        <v>413066524</v>
      </c>
      <c r="AO779" s="1367">
        <v>0.20100000000000001</v>
      </c>
      <c r="AP779" s="874"/>
      <c r="AQ779" s="1156" t="s">
        <v>651</v>
      </c>
      <c r="AR779" s="874" t="s">
        <v>614</v>
      </c>
      <c r="AS779" s="1114"/>
      <c r="AT779" s="1213"/>
      <c r="AU779" s="1114">
        <v>1450427560.1800001</v>
      </c>
      <c r="AV779" s="1217"/>
      <c r="AW779" s="874">
        <v>2013</v>
      </c>
    </row>
    <row r="780" spans="1:50">
      <c r="A780" s="798">
        <f t="shared" si="25"/>
        <v>1900</v>
      </c>
      <c r="B780" s="798">
        <f t="shared" si="26"/>
        <v>1</v>
      </c>
      <c r="AJ780" s="1156" t="s">
        <v>350</v>
      </c>
      <c r="AK780" s="874">
        <v>2011</v>
      </c>
      <c r="AL780" s="1217" t="s">
        <v>29</v>
      </c>
      <c r="AM780" s="1217">
        <v>4</v>
      </c>
      <c r="AN780" s="1209">
        <v>290029875</v>
      </c>
      <c r="AO780" s="1367">
        <v>0.14099999999999999</v>
      </c>
      <c r="AP780" s="874"/>
      <c r="AQ780" s="1156" t="s">
        <v>651</v>
      </c>
      <c r="AR780" s="874" t="s">
        <v>613</v>
      </c>
      <c r="AS780" s="1114"/>
      <c r="AT780" s="1213"/>
      <c r="AU780" s="1114">
        <v>1541281662.23</v>
      </c>
      <c r="AV780" s="1217"/>
      <c r="AW780" s="874">
        <v>2012</v>
      </c>
    </row>
    <row r="781" spans="1:50">
      <c r="A781" s="798">
        <f t="shared" si="25"/>
        <v>1900</v>
      </c>
      <c r="B781" s="798">
        <f t="shared" si="26"/>
        <v>1</v>
      </c>
      <c r="AJ781" s="1156" t="s">
        <v>350</v>
      </c>
      <c r="AK781" s="874">
        <v>2011</v>
      </c>
      <c r="AL781" s="1217" t="s">
        <v>83</v>
      </c>
      <c r="AM781" s="1217">
        <v>5</v>
      </c>
      <c r="AN781" s="1209">
        <v>177026486</v>
      </c>
      <c r="AO781" s="1367">
        <v>8.5999999999999993E-2</v>
      </c>
      <c r="AP781" s="874"/>
      <c r="AQ781" s="1156" t="s">
        <v>651</v>
      </c>
      <c r="AR781" s="874" t="s">
        <v>612</v>
      </c>
      <c r="AS781" s="1114"/>
      <c r="AT781" s="1213"/>
      <c r="AU781" s="1114">
        <v>1547839336.1300001</v>
      </c>
      <c r="AV781" s="1217"/>
      <c r="AW781" s="874">
        <v>2011</v>
      </c>
    </row>
    <row r="782" spans="1:50">
      <c r="A782" s="798">
        <f t="shared" si="25"/>
        <v>1900</v>
      </c>
      <c r="B782" s="798">
        <f t="shared" si="26"/>
        <v>1</v>
      </c>
      <c r="AJ782" s="1156" t="s">
        <v>350</v>
      </c>
      <c r="AK782" s="874">
        <v>2011</v>
      </c>
      <c r="AL782" s="1217" t="s">
        <v>67</v>
      </c>
      <c r="AM782" s="1217">
        <v>6</v>
      </c>
      <c r="AN782" s="1209">
        <v>153540432</v>
      </c>
      <c r="AO782" s="1367">
        <v>7.4999999999999997E-2</v>
      </c>
      <c r="AP782" s="1044"/>
      <c r="AQ782" s="1156" t="s">
        <v>651</v>
      </c>
      <c r="AR782" s="874" t="s">
        <v>611</v>
      </c>
      <c r="AS782" s="1114"/>
      <c r="AT782" s="1213"/>
      <c r="AU782" s="1114">
        <v>1349644552.73</v>
      </c>
      <c r="AV782" s="1217"/>
      <c r="AW782" s="874">
        <v>2010</v>
      </c>
      <c r="AX782" s="1214"/>
    </row>
    <row r="783" spans="1:50">
      <c r="A783" s="798">
        <f t="shared" si="25"/>
        <v>1900</v>
      </c>
      <c r="B783" s="798">
        <f t="shared" si="26"/>
        <v>1</v>
      </c>
      <c r="AJ783" s="1156" t="s">
        <v>350</v>
      </c>
      <c r="AK783" s="874">
        <v>2011</v>
      </c>
      <c r="AL783" s="1217" t="s">
        <v>63</v>
      </c>
      <c r="AM783" s="1217">
        <v>7</v>
      </c>
      <c r="AN783" s="1209">
        <v>22577985</v>
      </c>
      <c r="AO783" s="1367">
        <v>1.0999999999999999E-2</v>
      </c>
      <c r="AQ783" s="1156" t="s">
        <v>651</v>
      </c>
      <c r="AR783" s="874" t="s">
        <v>610</v>
      </c>
      <c r="AS783" s="1114"/>
      <c r="AT783" s="1213"/>
      <c r="AU783" s="1114">
        <v>966602084.71000004</v>
      </c>
      <c r="AV783" s="1217"/>
      <c r="AW783" s="874">
        <v>2009</v>
      </c>
      <c r="AX783" s="1214"/>
    </row>
    <row r="784" spans="1:50">
      <c r="A784" s="798">
        <f t="shared" si="25"/>
        <v>1900</v>
      </c>
      <c r="B784" s="798">
        <f t="shared" si="26"/>
        <v>1</v>
      </c>
      <c r="AJ784" s="1156" t="s">
        <v>350</v>
      </c>
      <c r="AK784" s="874">
        <v>2011</v>
      </c>
      <c r="AL784" s="1217" t="s">
        <v>39</v>
      </c>
      <c r="AM784" s="1217">
        <v>8</v>
      </c>
      <c r="AN784" s="1209">
        <v>14988448</v>
      </c>
      <c r="AO784" s="1367">
        <v>7.0000000000000001E-3</v>
      </c>
      <c r="AQ784" s="1156" t="s">
        <v>651</v>
      </c>
      <c r="AR784" s="874" t="s">
        <v>609</v>
      </c>
      <c r="AS784" s="1114"/>
      <c r="AT784" s="1213"/>
      <c r="AU784" s="1114">
        <v>621565632.72000003</v>
      </c>
      <c r="AV784" s="1217"/>
      <c r="AW784" s="874">
        <v>2008</v>
      </c>
      <c r="AX784" s="1214"/>
    </row>
    <row r="785" spans="1:50">
      <c r="A785" s="798">
        <f t="shared" si="25"/>
        <v>1900</v>
      </c>
      <c r="B785" s="798">
        <f t="shared" si="26"/>
        <v>1</v>
      </c>
      <c r="AJ785" s="1156" t="s">
        <v>350</v>
      </c>
      <c r="AK785" s="874">
        <v>2011</v>
      </c>
      <c r="AL785" s="1217" t="s">
        <v>467</v>
      </c>
      <c r="AM785" s="1217">
        <v>9</v>
      </c>
      <c r="AN785" s="1209">
        <v>2750648</v>
      </c>
      <c r="AO785" s="1367">
        <v>1E-3</v>
      </c>
      <c r="AQ785" s="1156" t="s">
        <v>651</v>
      </c>
      <c r="AR785" s="874" t="s">
        <v>608</v>
      </c>
      <c r="AS785" s="1114"/>
      <c r="AT785" s="1213"/>
      <c r="AU785" s="1114">
        <v>456211782.08000004</v>
      </c>
      <c r="AV785" s="1217"/>
      <c r="AW785" s="874">
        <v>2007</v>
      </c>
      <c r="AX785" s="1214"/>
    </row>
    <row r="786" spans="1:50">
      <c r="A786" s="798">
        <f t="shared" si="25"/>
        <v>1900</v>
      </c>
      <c r="B786" s="798">
        <f t="shared" si="26"/>
        <v>1</v>
      </c>
      <c r="AJ786" s="1156" t="s">
        <v>350</v>
      </c>
      <c r="AK786" s="874">
        <v>2011</v>
      </c>
      <c r="AL786" s="1217" t="s">
        <v>84</v>
      </c>
      <c r="AM786" s="1217">
        <v>10</v>
      </c>
      <c r="AN786" s="1209">
        <v>270041</v>
      </c>
      <c r="AO786" s="1367">
        <v>0</v>
      </c>
      <c r="AQ786" s="1156" t="s">
        <v>350</v>
      </c>
      <c r="AR786" s="874" t="s">
        <v>616</v>
      </c>
      <c r="AS786" s="1217" t="s">
        <v>24</v>
      </c>
      <c r="AT786" s="1217">
        <v>1</v>
      </c>
      <c r="AU786" s="1209">
        <v>847806669</v>
      </c>
      <c r="AV786" s="1211">
        <v>0.27600000000000002</v>
      </c>
      <c r="AW786" s="874">
        <v>2015</v>
      </c>
      <c r="AX786" s="1214"/>
    </row>
    <row r="787" spans="1:50">
      <c r="A787" s="798">
        <f t="shared" si="25"/>
        <v>1900</v>
      </c>
      <c r="B787" s="798">
        <f t="shared" si="26"/>
        <v>1</v>
      </c>
      <c r="AJ787" s="1156" t="s">
        <v>350</v>
      </c>
      <c r="AK787" s="874">
        <v>2011</v>
      </c>
      <c r="AL787" s="1217" t="s">
        <v>45</v>
      </c>
      <c r="AM787" s="1217"/>
      <c r="AN787" s="1209">
        <v>91632</v>
      </c>
      <c r="AO787" s="1367">
        <v>0</v>
      </c>
      <c r="AQ787" s="1156" t="s">
        <v>350</v>
      </c>
      <c r="AR787" s="874" t="s">
        <v>616</v>
      </c>
      <c r="AS787" s="1217" t="s">
        <v>30</v>
      </c>
      <c r="AT787" s="1217">
        <v>2</v>
      </c>
      <c r="AU787" s="1209">
        <v>816366257</v>
      </c>
      <c r="AV787" s="1211">
        <v>0.26600000000000001</v>
      </c>
      <c r="AW787" s="874">
        <v>2015</v>
      </c>
      <c r="AX787" s="1214"/>
    </row>
    <row r="788" spans="1:50">
      <c r="A788" s="798">
        <f t="shared" si="25"/>
        <v>1900</v>
      </c>
      <c r="B788" s="798">
        <f t="shared" si="26"/>
        <v>1</v>
      </c>
      <c r="AJ788" s="1156" t="s">
        <v>350</v>
      </c>
      <c r="AK788" s="874">
        <v>2011</v>
      </c>
      <c r="AL788" s="874" t="s">
        <v>452</v>
      </c>
      <c r="AM788" s="1217"/>
      <c r="AN788" s="1209">
        <v>2050159274</v>
      </c>
      <c r="AQ788" s="1156" t="s">
        <v>350</v>
      </c>
      <c r="AR788" s="874" t="s">
        <v>616</v>
      </c>
      <c r="AS788" s="1217" t="s">
        <v>83</v>
      </c>
      <c r="AT788" s="1217">
        <v>3</v>
      </c>
      <c r="AU788" s="1209">
        <v>520528130</v>
      </c>
      <c r="AV788" s="1211">
        <v>0.16900000000000001</v>
      </c>
      <c r="AW788" s="874">
        <v>2015</v>
      </c>
      <c r="AX788" s="1214"/>
    </row>
    <row r="789" spans="1:50">
      <c r="A789" s="798">
        <f t="shared" si="25"/>
        <v>1900</v>
      </c>
      <c r="B789" s="798">
        <f t="shared" si="26"/>
        <v>1</v>
      </c>
      <c r="AJ789" s="1156" t="s">
        <v>350</v>
      </c>
      <c r="AK789" s="874">
        <v>2010</v>
      </c>
      <c r="AL789" s="1217" t="s">
        <v>24</v>
      </c>
      <c r="AM789" s="1217">
        <v>1</v>
      </c>
      <c r="AN789" s="1209">
        <v>839808558</v>
      </c>
      <c r="AO789" s="1367">
        <v>0.28000000000000003</v>
      </c>
      <c r="AQ789" s="1156" t="s">
        <v>350</v>
      </c>
      <c r="AR789" s="874" t="s">
        <v>616</v>
      </c>
      <c r="AS789" s="1217" t="s">
        <v>29</v>
      </c>
      <c r="AT789" s="1217">
        <v>4</v>
      </c>
      <c r="AU789" s="1209">
        <v>371624283</v>
      </c>
      <c r="AV789" s="1211">
        <v>0.121</v>
      </c>
      <c r="AW789" s="874">
        <v>2015</v>
      </c>
      <c r="AX789" s="1214"/>
    </row>
    <row r="790" spans="1:50">
      <c r="A790" s="798">
        <f t="shared" si="25"/>
        <v>1900</v>
      </c>
      <c r="B790" s="798">
        <f t="shared" si="26"/>
        <v>1</v>
      </c>
      <c r="AJ790" s="1156" t="s">
        <v>350</v>
      </c>
      <c r="AK790" s="874">
        <v>2010</v>
      </c>
      <c r="AL790" s="1217" t="s">
        <v>30</v>
      </c>
      <c r="AM790" s="1217">
        <v>2</v>
      </c>
      <c r="AN790" s="1209">
        <v>754039946</v>
      </c>
      <c r="AO790" s="1367">
        <v>0.251</v>
      </c>
      <c r="AQ790" s="1156" t="s">
        <v>350</v>
      </c>
      <c r="AR790" s="874" t="s">
        <v>616</v>
      </c>
      <c r="AS790" s="1217" t="s">
        <v>27</v>
      </c>
      <c r="AT790" s="1217">
        <v>5</v>
      </c>
      <c r="AU790" s="1209">
        <v>200594224</v>
      </c>
      <c r="AV790" s="1211">
        <v>6.5000000000000002E-2</v>
      </c>
      <c r="AW790" s="874">
        <v>2015</v>
      </c>
      <c r="AX790" s="1214"/>
    </row>
    <row r="791" spans="1:50">
      <c r="A791" s="798">
        <f t="shared" si="25"/>
        <v>1900</v>
      </c>
      <c r="B791" s="798">
        <f t="shared" si="26"/>
        <v>1</v>
      </c>
      <c r="AJ791" s="1156" t="s">
        <v>350</v>
      </c>
      <c r="AK791" s="874">
        <v>2010</v>
      </c>
      <c r="AL791" s="1217" t="s">
        <v>29</v>
      </c>
      <c r="AM791" s="1217">
        <v>3</v>
      </c>
      <c r="AN791" s="1209">
        <v>521627226</v>
      </c>
      <c r="AO791" s="1367">
        <v>0.17399999999999999</v>
      </c>
      <c r="AQ791" s="1156" t="s">
        <v>350</v>
      </c>
      <c r="AR791" s="874" t="s">
        <v>616</v>
      </c>
      <c r="AS791" s="1217" t="s">
        <v>67</v>
      </c>
      <c r="AT791" s="1217">
        <v>6</v>
      </c>
      <c r="AU791" s="1209">
        <v>197377870</v>
      </c>
      <c r="AV791" s="1211">
        <v>6.4000000000000001E-2</v>
      </c>
      <c r="AW791" s="874">
        <v>2015</v>
      </c>
    </row>
    <row r="792" spans="1:50">
      <c r="A792" s="798">
        <f t="shared" si="25"/>
        <v>1900</v>
      </c>
      <c r="B792" s="798">
        <f t="shared" si="26"/>
        <v>1</v>
      </c>
      <c r="AJ792" s="1156" t="s">
        <v>350</v>
      </c>
      <c r="AK792" s="874">
        <v>2010</v>
      </c>
      <c r="AL792" s="1217" t="s">
        <v>27</v>
      </c>
      <c r="AM792" s="1217">
        <v>4</v>
      </c>
      <c r="AN792" s="1209">
        <v>473161178</v>
      </c>
      <c r="AO792" s="1367">
        <v>0.157</v>
      </c>
      <c r="AQ792" s="1156" t="s">
        <v>350</v>
      </c>
      <c r="AR792" s="874" t="s">
        <v>616</v>
      </c>
      <c r="AS792" s="1217" t="s">
        <v>433</v>
      </c>
      <c r="AT792" s="1217">
        <v>7</v>
      </c>
      <c r="AU792" s="1209">
        <v>57402316</v>
      </c>
      <c r="AV792" s="1211">
        <v>1.9E-2</v>
      </c>
      <c r="AW792" s="874">
        <v>2015</v>
      </c>
    </row>
    <row r="793" spans="1:50">
      <c r="A793" s="798">
        <f t="shared" si="25"/>
        <v>1900</v>
      </c>
      <c r="B793" s="798">
        <f t="shared" si="26"/>
        <v>1</v>
      </c>
      <c r="AJ793" s="1156" t="s">
        <v>350</v>
      </c>
      <c r="AK793" s="874">
        <v>2010</v>
      </c>
      <c r="AL793" s="1217" t="s">
        <v>67</v>
      </c>
      <c r="AM793" s="1217">
        <v>5</v>
      </c>
      <c r="AN793" s="1209">
        <v>185377130</v>
      </c>
      <c r="AO793" s="1367">
        <v>6.2E-2</v>
      </c>
      <c r="AQ793" s="1156" t="s">
        <v>350</v>
      </c>
      <c r="AR793" s="874" t="s">
        <v>616</v>
      </c>
      <c r="AS793" s="1217" t="s">
        <v>63</v>
      </c>
      <c r="AT793" s="1217">
        <v>8</v>
      </c>
      <c r="AU793" s="1209">
        <v>52861207</v>
      </c>
      <c r="AV793" s="1211">
        <v>1.7000000000000001E-2</v>
      </c>
      <c r="AW793" s="874">
        <v>2015</v>
      </c>
    </row>
    <row r="794" spans="1:50">
      <c r="A794" s="798">
        <f t="shared" si="25"/>
        <v>1900</v>
      </c>
      <c r="B794" s="798">
        <f t="shared" si="26"/>
        <v>1</v>
      </c>
      <c r="AJ794" s="1156" t="s">
        <v>350</v>
      </c>
      <c r="AK794" s="874">
        <v>2010</v>
      </c>
      <c r="AL794" s="1217" t="s">
        <v>83</v>
      </c>
      <c r="AM794" s="1217">
        <v>6</v>
      </c>
      <c r="AN794" s="1209">
        <v>159454759</v>
      </c>
      <c r="AO794" s="1367">
        <v>5.2999999999999999E-2</v>
      </c>
      <c r="AQ794" s="1156" t="s">
        <v>350</v>
      </c>
      <c r="AR794" s="874" t="s">
        <v>616</v>
      </c>
      <c r="AS794" s="1217" t="s">
        <v>39</v>
      </c>
      <c r="AT794" s="1217">
        <v>9</v>
      </c>
      <c r="AU794" s="1209">
        <v>7460387</v>
      </c>
      <c r="AV794" s="1211">
        <v>2E-3</v>
      </c>
      <c r="AW794" s="874">
        <v>2015</v>
      </c>
    </row>
    <row r="795" spans="1:50">
      <c r="A795" s="798">
        <f t="shared" si="25"/>
        <v>1900</v>
      </c>
      <c r="B795" s="798">
        <f t="shared" si="26"/>
        <v>1</v>
      </c>
      <c r="AJ795" s="1156" t="s">
        <v>350</v>
      </c>
      <c r="AK795" s="874">
        <v>2010</v>
      </c>
      <c r="AL795" s="1217" t="s">
        <v>63</v>
      </c>
      <c r="AM795" s="1217">
        <v>7</v>
      </c>
      <c r="AN795" s="1209">
        <v>36370523</v>
      </c>
      <c r="AO795" s="1367">
        <v>1.2E-2</v>
      </c>
      <c r="AQ795" s="1156" t="s">
        <v>350</v>
      </c>
      <c r="AR795" s="874" t="s">
        <v>616</v>
      </c>
      <c r="AS795" s="1217" t="s">
        <v>157</v>
      </c>
      <c r="AT795" s="1217">
        <v>10</v>
      </c>
      <c r="AU795" s="1209">
        <v>2043</v>
      </c>
      <c r="AV795" s="1211">
        <v>0</v>
      </c>
      <c r="AW795" s="874">
        <v>2015</v>
      </c>
    </row>
    <row r="796" spans="1:50">
      <c r="A796" s="798">
        <f t="shared" si="25"/>
        <v>1900</v>
      </c>
      <c r="B796" s="798">
        <f t="shared" si="26"/>
        <v>1</v>
      </c>
      <c r="AJ796" s="1156" t="s">
        <v>350</v>
      </c>
      <c r="AK796" s="874">
        <v>2010</v>
      </c>
      <c r="AL796" s="1217" t="s">
        <v>39</v>
      </c>
      <c r="AM796" s="1217">
        <v>8</v>
      </c>
      <c r="AN796" s="1209">
        <v>26759529</v>
      </c>
      <c r="AO796" s="1367">
        <v>8.9999999999999993E-3</v>
      </c>
      <c r="AQ796" s="1156" t="s">
        <v>350</v>
      </c>
      <c r="AR796" s="874" t="s">
        <v>616</v>
      </c>
      <c r="AS796" s="1217" t="s">
        <v>45</v>
      </c>
      <c r="AT796" s="1217"/>
      <c r="AU796" s="1217" t="s">
        <v>634</v>
      </c>
      <c r="AV796" s="1211">
        <v>0</v>
      </c>
      <c r="AW796" s="874">
        <v>2015</v>
      </c>
    </row>
    <row r="797" spans="1:50">
      <c r="A797" s="798">
        <f t="shared" si="25"/>
        <v>1900</v>
      </c>
      <c r="B797" s="798">
        <f t="shared" si="26"/>
        <v>1</v>
      </c>
      <c r="AJ797" s="1156" t="s">
        <v>350</v>
      </c>
      <c r="AK797" s="874">
        <v>2010</v>
      </c>
      <c r="AL797" s="1217" t="s">
        <v>468</v>
      </c>
      <c r="AM797" s="1217">
        <v>9</v>
      </c>
      <c r="AN797" s="1209">
        <v>4939426</v>
      </c>
      <c r="AO797" s="1367">
        <v>2E-3</v>
      </c>
      <c r="AQ797" s="1156" t="s">
        <v>350</v>
      </c>
      <c r="AR797" s="874" t="s">
        <v>616</v>
      </c>
      <c r="AS797" s="1217" t="s">
        <v>452</v>
      </c>
      <c r="AT797" s="1217"/>
      <c r="AU797" s="1209">
        <v>3072023385</v>
      </c>
      <c r="AV797" s="1217"/>
      <c r="AW797" s="874">
        <v>2015</v>
      </c>
    </row>
    <row r="798" spans="1:50">
      <c r="A798" s="798">
        <f t="shared" si="25"/>
        <v>1900</v>
      </c>
      <c r="B798" s="798">
        <f t="shared" si="26"/>
        <v>1</v>
      </c>
      <c r="AJ798" s="1156" t="s">
        <v>350</v>
      </c>
      <c r="AK798" s="874">
        <v>2010</v>
      </c>
      <c r="AL798" s="1217" t="s">
        <v>467</v>
      </c>
      <c r="AM798" s="1217">
        <v>10</v>
      </c>
      <c r="AN798" s="1209">
        <v>2197618</v>
      </c>
      <c r="AO798" s="1367">
        <v>1E-3</v>
      </c>
      <c r="AQ798" s="1156" t="s">
        <v>350</v>
      </c>
      <c r="AR798" s="874" t="s">
        <v>615</v>
      </c>
      <c r="AS798" s="1217" t="s">
        <v>24</v>
      </c>
      <c r="AT798" s="1217">
        <v>1</v>
      </c>
      <c r="AU798" s="1209">
        <v>884908791</v>
      </c>
      <c r="AV798" s="1211">
        <v>0.314</v>
      </c>
      <c r="AW798" s="874">
        <v>2014</v>
      </c>
    </row>
    <row r="799" spans="1:50">
      <c r="A799" s="798">
        <f t="shared" si="25"/>
        <v>1900</v>
      </c>
      <c r="B799" s="798">
        <f t="shared" si="26"/>
        <v>1</v>
      </c>
      <c r="AJ799" s="1156" t="s">
        <v>350</v>
      </c>
      <c r="AK799" s="874">
        <v>2010</v>
      </c>
      <c r="AL799" s="1217" t="s">
        <v>45</v>
      </c>
      <c r="AM799" s="1217"/>
      <c r="AN799" s="1209">
        <v>517109</v>
      </c>
      <c r="AO799" s="1367">
        <v>0</v>
      </c>
      <c r="AQ799" s="1156" t="s">
        <v>350</v>
      </c>
      <c r="AR799" s="874" t="s">
        <v>615</v>
      </c>
      <c r="AS799" s="1217" t="s">
        <v>30</v>
      </c>
      <c r="AT799" s="1217">
        <v>2</v>
      </c>
      <c r="AU799" s="1209">
        <v>629178546</v>
      </c>
      <c r="AV799" s="1211">
        <v>0.224</v>
      </c>
      <c r="AW799" s="874">
        <v>2014</v>
      </c>
    </row>
    <row r="800" spans="1:50">
      <c r="A800" s="798">
        <f t="shared" si="25"/>
        <v>1900</v>
      </c>
      <c r="B800" s="798">
        <f t="shared" si="26"/>
        <v>1</v>
      </c>
      <c r="AJ800" s="1156" t="s">
        <v>350</v>
      </c>
      <c r="AK800" s="874">
        <v>2010</v>
      </c>
      <c r="AL800" s="874" t="s">
        <v>452</v>
      </c>
      <c r="AM800" s="1217"/>
      <c r="AN800" s="1209">
        <v>3004253002</v>
      </c>
      <c r="AQ800" s="1156" t="s">
        <v>350</v>
      </c>
      <c r="AR800" s="874" t="s">
        <v>615</v>
      </c>
      <c r="AS800" s="1217" t="s">
        <v>29</v>
      </c>
      <c r="AT800" s="1217">
        <v>3</v>
      </c>
      <c r="AU800" s="1209">
        <v>453952993</v>
      </c>
      <c r="AV800" s="1211">
        <v>0.161</v>
      </c>
      <c r="AW800" s="874">
        <v>2014</v>
      </c>
    </row>
    <row r="801" spans="1:49">
      <c r="A801" s="798">
        <f t="shared" si="25"/>
        <v>1900</v>
      </c>
      <c r="B801" s="798">
        <f t="shared" si="26"/>
        <v>1</v>
      </c>
      <c r="AJ801" s="1156" t="s">
        <v>350</v>
      </c>
      <c r="AK801" s="874">
        <v>2009</v>
      </c>
      <c r="AL801" s="1217" t="s">
        <v>24</v>
      </c>
      <c r="AM801" s="1217">
        <v>1</v>
      </c>
      <c r="AN801" s="1209">
        <v>541226418</v>
      </c>
      <c r="AO801" s="1367">
        <v>0.36199999999999999</v>
      </c>
      <c r="AQ801" s="1156" t="s">
        <v>350</v>
      </c>
      <c r="AR801" s="874" t="s">
        <v>615</v>
      </c>
      <c r="AS801" s="1217" t="s">
        <v>83</v>
      </c>
      <c r="AT801" s="1217">
        <v>4</v>
      </c>
      <c r="AU801" s="1209">
        <v>334968968</v>
      </c>
      <c r="AV801" s="1211">
        <v>0.11899999999999999</v>
      </c>
      <c r="AW801" s="874">
        <v>2014</v>
      </c>
    </row>
    <row r="802" spans="1:49">
      <c r="A802" s="798">
        <f t="shared" si="25"/>
        <v>1900</v>
      </c>
      <c r="B802" s="798">
        <f t="shared" si="26"/>
        <v>1</v>
      </c>
      <c r="AJ802" s="1156" t="s">
        <v>350</v>
      </c>
      <c r="AK802" s="874">
        <v>2009</v>
      </c>
      <c r="AL802" s="1217" t="s">
        <v>27</v>
      </c>
      <c r="AM802" s="1217">
        <v>2</v>
      </c>
      <c r="AN802" s="1209">
        <v>322634456</v>
      </c>
      <c r="AO802" s="1367">
        <v>0.216</v>
      </c>
      <c r="AQ802" s="1156" t="s">
        <v>350</v>
      </c>
      <c r="AR802" s="874" t="s">
        <v>615</v>
      </c>
      <c r="AS802" s="1217" t="s">
        <v>67</v>
      </c>
      <c r="AT802" s="1217">
        <v>5</v>
      </c>
      <c r="AU802" s="1209">
        <v>244355877</v>
      </c>
      <c r="AV802" s="1211">
        <v>8.6999999999999994E-2</v>
      </c>
      <c r="AW802" s="874">
        <v>2014</v>
      </c>
    </row>
    <row r="803" spans="1:49">
      <c r="A803" s="798">
        <f t="shared" si="25"/>
        <v>1900</v>
      </c>
      <c r="B803" s="798">
        <f t="shared" si="26"/>
        <v>1</v>
      </c>
      <c r="AJ803" s="1156" t="s">
        <v>350</v>
      </c>
      <c r="AK803" s="874">
        <v>2009</v>
      </c>
      <c r="AL803" s="1217" t="s">
        <v>30</v>
      </c>
      <c r="AM803" s="1217">
        <v>3</v>
      </c>
      <c r="AN803" s="1209">
        <v>298376415</v>
      </c>
      <c r="AO803" s="1367">
        <v>0.2</v>
      </c>
      <c r="AQ803" s="1156" t="s">
        <v>350</v>
      </c>
      <c r="AR803" s="874" t="s">
        <v>615</v>
      </c>
      <c r="AS803" s="1217" t="s">
        <v>27</v>
      </c>
      <c r="AT803" s="1217">
        <v>6</v>
      </c>
      <c r="AU803" s="1209">
        <v>114428051</v>
      </c>
      <c r="AV803" s="1211">
        <v>4.1000000000000002E-2</v>
      </c>
      <c r="AW803" s="874">
        <v>2014</v>
      </c>
    </row>
    <row r="804" spans="1:49">
      <c r="A804" s="798">
        <f t="shared" si="25"/>
        <v>1900</v>
      </c>
      <c r="B804" s="798">
        <f t="shared" si="26"/>
        <v>1</v>
      </c>
      <c r="AJ804" s="1156" t="s">
        <v>350</v>
      </c>
      <c r="AK804" s="874">
        <v>2009</v>
      </c>
      <c r="AL804" s="1217" t="s">
        <v>29</v>
      </c>
      <c r="AM804" s="1217">
        <v>4</v>
      </c>
      <c r="AN804" s="1209">
        <v>238807947</v>
      </c>
      <c r="AO804" s="1367">
        <v>0.16</v>
      </c>
      <c r="AQ804" s="1156" t="s">
        <v>350</v>
      </c>
      <c r="AR804" s="874" t="s">
        <v>615</v>
      </c>
      <c r="AS804" s="1217" t="s">
        <v>445</v>
      </c>
      <c r="AT804" s="1217">
        <v>7</v>
      </c>
      <c r="AU804" s="1209">
        <v>50575557</v>
      </c>
      <c r="AV804" s="1211">
        <v>1.7999999999999999E-2</v>
      </c>
      <c r="AW804" s="874">
        <v>2014</v>
      </c>
    </row>
    <row r="805" spans="1:49">
      <c r="A805" s="798">
        <f t="shared" si="25"/>
        <v>1900</v>
      </c>
      <c r="B805" s="798">
        <f t="shared" si="26"/>
        <v>1</v>
      </c>
      <c r="AJ805" s="1156" t="s">
        <v>350</v>
      </c>
      <c r="AK805" s="874">
        <v>2009</v>
      </c>
      <c r="AL805" s="1217" t="s">
        <v>63</v>
      </c>
      <c r="AM805" s="1217">
        <v>5</v>
      </c>
      <c r="AN805" s="1209">
        <v>39789405</v>
      </c>
      <c r="AO805" s="1367">
        <v>2.7E-2</v>
      </c>
      <c r="AQ805" s="1156" t="s">
        <v>350</v>
      </c>
      <c r="AR805" s="874" t="s">
        <v>615</v>
      </c>
      <c r="AS805" s="1217" t="s">
        <v>63</v>
      </c>
      <c r="AT805" s="1217">
        <v>8</v>
      </c>
      <c r="AU805" s="1209">
        <v>30474982</v>
      </c>
      <c r="AV805" s="1211">
        <v>1.0999999999999999E-2</v>
      </c>
      <c r="AW805" s="874">
        <v>2014</v>
      </c>
    </row>
    <row r="806" spans="1:49">
      <c r="A806" s="798">
        <f t="shared" si="25"/>
        <v>1900</v>
      </c>
      <c r="B806" s="798">
        <f t="shared" si="26"/>
        <v>1</v>
      </c>
      <c r="AJ806" s="1156" t="s">
        <v>350</v>
      </c>
      <c r="AK806" s="874">
        <v>2009</v>
      </c>
      <c r="AL806" s="1217" t="s">
        <v>67</v>
      </c>
      <c r="AM806" s="1217">
        <v>6</v>
      </c>
      <c r="AN806" s="1209">
        <v>22843790</v>
      </c>
      <c r="AO806" s="1367">
        <v>1.4999999999999999E-2</v>
      </c>
      <c r="AQ806" s="1156" t="s">
        <v>350</v>
      </c>
      <c r="AR806" s="874" t="s">
        <v>615</v>
      </c>
      <c r="AS806" s="1217" t="s">
        <v>433</v>
      </c>
      <c r="AT806" s="1217">
        <v>9</v>
      </c>
      <c r="AU806" s="1209">
        <v>26382998</v>
      </c>
      <c r="AV806" s="1211">
        <v>8.9999999999999993E-3</v>
      </c>
      <c r="AW806" s="874">
        <v>2014</v>
      </c>
    </row>
    <row r="807" spans="1:49">
      <c r="A807" s="798">
        <f t="shared" si="25"/>
        <v>1900</v>
      </c>
      <c r="B807" s="798">
        <f t="shared" si="26"/>
        <v>1</v>
      </c>
      <c r="AJ807" s="1156" t="s">
        <v>350</v>
      </c>
      <c r="AK807" s="874">
        <v>2009</v>
      </c>
      <c r="AL807" s="1217" t="s">
        <v>39</v>
      </c>
      <c r="AM807" s="1217">
        <v>7</v>
      </c>
      <c r="AN807" s="1209">
        <v>19315224</v>
      </c>
      <c r="AO807" s="1367">
        <v>1.2999999999999999E-2</v>
      </c>
      <c r="AQ807" s="1156" t="s">
        <v>350</v>
      </c>
      <c r="AR807" s="874" t="s">
        <v>615</v>
      </c>
      <c r="AS807" s="1217" t="s">
        <v>39</v>
      </c>
      <c r="AT807" s="1217">
        <v>10</v>
      </c>
      <c r="AU807" s="1209">
        <v>18821277</v>
      </c>
      <c r="AV807" s="1211">
        <v>7.0000000000000001E-3</v>
      </c>
      <c r="AW807" s="874">
        <v>2014</v>
      </c>
    </row>
    <row r="808" spans="1:49">
      <c r="A808" s="798">
        <f t="shared" si="25"/>
        <v>1900</v>
      </c>
      <c r="B808" s="798">
        <f t="shared" si="26"/>
        <v>1</v>
      </c>
      <c r="AJ808" s="1156" t="s">
        <v>350</v>
      </c>
      <c r="AK808" s="874">
        <v>2009</v>
      </c>
      <c r="AL808" s="1217" t="s">
        <v>83</v>
      </c>
      <c r="AM808" s="1217">
        <v>8</v>
      </c>
      <c r="AN808" s="1209">
        <v>7754809</v>
      </c>
      <c r="AO808" s="1367">
        <v>5.0000000000000001E-3</v>
      </c>
      <c r="AQ808" s="1156" t="s">
        <v>350</v>
      </c>
      <c r="AR808" s="874" t="s">
        <v>615</v>
      </c>
      <c r="AS808" s="1217" t="s">
        <v>45</v>
      </c>
      <c r="AT808" s="1217"/>
      <c r="AU808" s="1209">
        <v>26592680</v>
      </c>
      <c r="AV808" s="1211">
        <v>8.9999999999999993E-3</v>
      </c>
      <c r="AW808" s="874">
        <v>2014</v>
      </c>
    </row>
    <row r="809" spans="1:49">
      <c r="A809" s="798">
        <f t="shared" si="25"/>
        <v>1900</v>
      </c>
      <c r="B809" s="798">
        <f t="shared" si="26"/>
        <v>1</v>
      </c>
      <c r="AJ809" s="1156" t="s">
        <v>350</v>
      </c>
      <c r="AK809" s="874">
        <v>2009</v>
      </c>
      <c r="AL809" s="1217" t="s">
        <v>468</v>
      </c>
      <c r="AM809" s="1217">
        <v>9</v>
      </c>
      <c r="AN809" s="1209">
        <v>3259498</v>
      </c>
      <c r="AO809" s="1367">
        <v>2E-3</v>
      </c>
      <c r="AQ809" s="1156" t="s">
        <v>350</v>
      </c>
      <c r="AR809" s="874" t="s">
        <v>615</v>
      </c>
      <c r="AS809" s="1217" t="s">
        <v>452</v>
      </c>
      <c r="AT809" s="1217"/>
      <c r="AU809" s="1209">
        <v>2814640719</v>
      </c>
      <c r="AV809" s="1217"/>
      <c r="AW809" s="874">
        <v>2014</v>
      </c>
    </row>
    <row r="810" spans="1:49">
      <c r="A810" s="798">
        <f t="shared" si="25"/>
        <v>1900</v>
      </c>
      <c r="B810" s="798">
        <f t="shared" si="26"/>
        <v>1</v>
      </c>
      <c r="AJ810" s="1156" t="s">
        <v>350</v>
      </c>
      <c r="AK810" s="874">
        <v>2009</v>
      </c>
      <c r="AL810" s="1217"/>
      <c r="AM810" s="1217"/>
      <c r="AN810" s="1217"/>
      <c r="AO810" s="1367">
        <v>0</v>
      </c>
      <c r="AQ810" s="1156" t="s">
        <v>350</v>
      </c>
      <c r="AR810" s="874" t="s">
        <v>614</v>
      </c>
      <c r="AS810" s="1217" t="s">
        <v>24</v>
      </c>
      <c r="AT810" s="1217">
        <v>1</v>
      </c>
      <c r="AU810" s="1209">
        <v>956010000</v>
      </c>
      <c r="AV810" s="1211">
        <v>0.373</v>
      </c>
      <c r="AW810" s="874">
        <v>2013</v>
      </c>
    </row>
    <row r="811" spans="1:49">
      <c r="A811" s="798">
        <f t="shared" si="25"/>
        <v>1900</v>
      </c>
      <c r="B811" s="798">
        <f t="shared" si="26"/>
        <v>1</v>
      </c>
      <c r="AJ811" s="1156" t="s">
        <v>350</v>
      </c>
      <c r="AK811" s="874">
        <v>2009</v>
      </c>
      <c r="AL811" s="1217" t="s">
        <v>45</v>
      </c>
      <c r="AM811" s="1217"/>
      <c r="AN811" s="1217" t="s">
        <v>634</v>
      </c>
      <c r="AO811" s="1367">
        <v>0</v>
      </c>
      <c r="AQ811" s="1156" t="s">
        <v>350</v>
      </c>
      <c r="AR811" s="874" t="s">
        <v>614</v>
      </c>
      <c r="AS811" s="1217" t="s">
        <v>30</v>
      </c>
      <c r="AT811" s="1217">
        <v>2</v>
      </c>
      <c r="AU811" s="1209">
        <v>502737544</v>
      </c>
      <c r="AV811" s="1211">
        <v>0.19600000000000001</v>
      </c>
      <c r="AW811" s="874">
        <v>2013</v>
      </c>
    </row>
    <row r="812" spans="1:49">
      <c r="A812" s="798">
        <f t="shared" si="25"/>
        <v>1900</v>
      </c>
      <c r="B812" s="798">
        <f t="shared" si="26"/>
        <v>1</v>
      </c>
      <c r="AJ812" s="1156" t="s">
        <v>350</v>
      </c>
      <c r="AK812" s="874">
        <v>2009</v>
      </c>
      <c r="AL812" s="874" t="s">
        <v>452</v>
      </c>
      <c r="AM812" s="1217"/>
      <c r="AN812" s="1209">
        <v>1494007960</v>
      </c>
      <c r="AQ812" s="1156" t="s">
        <v>350</v>
      </c>
      <c r="AR812" s="874" t="s">
        <v>614</v>
      </c>
      <c r="AS812" s="1217" t="s">
        <v>83</v>
      </c>
      <c r="AT812" s="1217">
        <v>3</v>
      </c>
      <c r="AU812" s="1209">
        <v>357401377</v>
      </c>
      <c r="AV812" s="1211">
        <v>0.14000000000000001</v>
      </c>
      <c r="AW812" s="874">
        <v>2013</v>
      </c>
    </row>
    <row r="813" spans="1:49">
      <c r="A813" s="798">
        <f t="shared" si="25"/>
        <v>1900</v>
      </c>
      <c r="B813" s="798">
        <f t="shared" si="26"/>
        <v>1</v>
      </c>
      <c r="AJ813" s="1156" t="s">
        <v>350</v>
      </c>
      <c r="AK813" s="874">
        <v>2008</v>
      </c>
      <c r="AL813" s="1217" t="s">
        <v>27</v>
      </c>
      <c r="AM813" s="1217">
        <v>1</v>
      </c>
      <c r="AN813" s="1209">
        <v>464587044</v>
      </c>
      <c r="AO813" s="1367">
        <v>0.308</v>
      </c>
      <c r="AQ813" s="1156" t="s">
        <v>350</v>
      </c>
      <c r="AR813" s="874" t="s">
        <v>614</v>
      </c>
      <c r="AS813" s="1217" t="s">
        <v>27</v>
      </c>
      <c r="AT813" s="1217">
        <v>4</v>
      </c>
      <c r="AU813" s="1209">
        <v>295726921</v>
      </c>
      <c r="AV813" s="1211">
        <v>0.11600000000000001</v>
      </c>
      <c r="AW813" s="874">
        <v>2013</v>
      </c>
    </row>
    <row r="814" spans="1:49">
      <c r="A814" s="798">
        <f t="shared" si="25"/>
        <v>1900</v>
      </c>
      <c r="B814" s="798">
        <f t="shared" si="26"/>
        <v>1</v>
      </c>
      <c r="AJ814" s="1156" t="s">
        <v>350</v>
      </c>
      <c r="AK814" s="874">
        <v>2008</v>
      </c>
      <c r="AL814" s="1217" t="s">
        <v>24</v>
      </c>
      <c r="AM814" s="1217">
        <v>2</v>
      </c>
      <c r="AN814" s="1209">
        <v>379573095</v>
      </c>
      <c r="AO814" s="1367">
        <v>0.251</v>
      </c>
      <c r="AQ814" s="1156" t="s">
        <v>350</v>
      </c>
      <c r="AR814" s="874" t="s">
        <v>614</v>
      </c>
      <c r="AS814" s="1217" t="s">
        <v>29</v>
      </c>
      <c r="AT814" s="1217">
        <v>5</v>
      </c>
      <c r="AU814" s="1209">
        <v>229895487</v>
      </c>
      <c r="AV814" s="1211">
        <v>0.09</v>
      </c>
      <c r="AW814" s="874">
        <v>2013</v>
      </c>
    </row>
    <row r="815" spans="1:49">
      <c r="A815" s="798">
        <f t="shared" si="25"/>
        <v>1900</v>
      </c>
      <c r="B815" s="798">
        <f t="shared" si="26"/>
        <v>1</v>
      </c>
      <c r="AJ815" s="1156" t="s">
        <v>350</v>
      </c>
      <c r="AK815" s="874">
        <v>2008</v>
      </c>
      <c r="AL815" s="1217" t="s">
        <v>30</v>
      </c>
      <c r="AM815" s="1217">
        <v>3</v>
      </c>
      <c r="AN815" s="1209">
        <v>264550168</v>
      </c>
      <c r="AO815" s="1367">
        <v>0.17499999999999999</v>
      </c>
      <c r="AQ815" s="1156" t="s">
        <v>350</v>
      </c>
      <c r="AR815" s="874" t="s">
        <v>614</v>
      </c>
      <c r="AS815" s="1217" t="s">
        <v>67</v>
      </c>
      <c r="AT815" s="1217">
        <v>6</v>
      </c>
      <c r="AU815" s="1209">
        <v>150596969</v>
      </c>
      <c r="AV815" s="1211">
        <v>5.8999999999999997E-2</v>
      </c>
      <c r="AW815" s="874">
        <v>2013</v>
      </c>
    </row>
    <row r="816" spans="1:49">
      <c r="A816" s="798">
        <f t="shared" si="25"/>
        <v>1900</v>
      </c>
      <c r="B816" s="798">
        <f t="shared" si="26"/>
        <v>1</v>
      </c>
      <c r="AJ816" s="1156" t="s">
        <v>350</v>
      </c>
      <c r="AK816" s="874">
        <v>2008</v>
      </c>
      <c r="AL816" s="1217" t="s">
        <v>29</v>
      </c>
      <c r="AM816" s="1217">
        <v>4</v>
      </c>
      <c r="AN816" s="1209">
        <v>237000783</v>
      </c>
      <c r="AO816" s="1367">
        <v>0.157</v>
      </c>
      <c r="AP816" s="1217"/>
      <c r="AQ816" s="1156" t="s">
        <v>350</v>
      </c>
      <c r="AR816" s="874" t="s">
        <v>614</v>
      </c>
      <c r="AS816" s="1217" t="s">
        <v>63</v>
      </c>
      <c r="AT816" s="1217">
        <v>7</v>
      </c>
      <c r="AU816" s="1209">
        <v>20214113</v>
      </c>
      <c r="AV816" s="1211">
        <v>8.0000000000000002E-3</v>
      </c>
      <c r="AW816" s="874">
        <v>2013</v>
      </c>
    </row>
    <row r="817" spans="1:49">
      <c r="A817" s="798">
        <f t="shared" si="25"/>
        <v>1900</v>
      </c>
      <c r="B817" s="798">
        <f t="shared" si="26"/>
        <v>1</v>
      </c>
      <c r="AJ817" s="1156" t="s">
        <v>350</v>
      </c>
      <c r="AK817" s="874">
        <v>2008</v>
      </c>
      <c r="AL817" s="1217" t="s">
        <v>83</v>
      </c>
      <c r="AM817" s="1217">
        <v>5</v>
      </c>
      <c r="AN817" s="1209">
        <v>62414814</v>
      </c>
      <c r="AO817" s="1367">
        <v>4.1000000000000002E-2</v>
      </c>
      <c r="AP817" s="1217"/>
      <c r="AQ817" s="1156" t="s">
        <v>350</v>
      </c>
      <c r="AR817" s="874" t="s">
        <v>614</v>
      </c>
      <c r="AS817" s="1217" t="s">
        <v>28</v>
      </c>
      <c r="AT817" s="1217">
        <v>8</v>
      </c>
      <c r="AU817" s="1209">
        <v>16007580</v>
      </c>
      <c r="AV817" s="1211">
        <v>6.0000000000000001E-3</v>
      </c>
      <c r="AW817" s="874">
        <v>2013</v>
      </c>
    </row>
    <row r="818" spans="1:49">
      <c r="A818" s="798">
        <f t="shared" si="25"/>
        <v>1900</v>
      </c>
      <c r="B818" s="798">
        <f t="shared" si="26"/>
        <v>1</v>
      </c>
      <c r="AJ818" s="1156" t="s">
        <v>350</v>
      </c>
      <c r="AK818" s="874">
        <v>2008</v>
      </c>
      <c r="AL818" s="1217" t="s">
        <v>39</v>
      </c>
      <c r="AM818" s="1217">
        <v>6</v>
      </c>
      <c r="AN818" s="1209">
        <v>60258530</v>
      </c>
      <c r="AO818" s="1367">
        <v>0.04</v>
      </c>
      <c r="AP818" s="1217"/>
      <c r="AQ818" s="1156" t="s">
        <v>350</v>
      </c>
      <c r="AR818" s="874" t="s">
        <v>614</v>
      </c>
      <c r="AS818" s="1217" t="s">
        <v>65</v>
      </c>
      <c r="AT818" s="1217">
        <v>9</v>
      </c>
      <c r="AU818" s="1209">
        <v>12434191</v>
      </c>
      <c r="AV818" s="1211">
        <v>5.0000000000000001E-3</v>
      </c>
      <c r="AW818" s="874">
        <v>2013</v>
      </c>
    </row>
    <row r="819" spans="1:49">
      <c r="A819" s="798">
        <f t="shared" si="25"/>
        <v>1900</v>
      </c>
      <c r="B819" s="798">
        <f t="shared" si="26"/>
        <v>1</v>
      </c>
      <c r="AJ819" s="1156" t="s">
        <v>350</v>
      </c>
      <c r="AK819" s="874">
        <v>2008</v>
      </c>
      <c r="AL819" s="1217" t="s">
        <v>38</v>
      </c>
      <c r="AM819" s="1217">
        <v>7</v>
      </c>
      <c r="AN819" s="1209">
        <v>14639640</v>
      </c>
      <c r="AO819" s="1367">
        <v>0.01</v>
      </c>
      <c r="AP819" s="1217"/>
      <c r="AQ819" s="1156" t="s">
        <v>350</v>
      </c>
      <c r="AR819" s="874" t="s">
        <v>614</v>
      </c>
      <c r="AS819" s="1217" t="s">
        <v>39</v>
      </c>
      <c r="AT819" s="1217">
        <v>10</v>
      </c>
      <c r="AU819" s="1209">
        <v>7190591</v>
      </c>
      <c r="AV819" s="1211">
        <v>3.0000000000000001E-3</v>
      </c>
      <c r="AW819" s="874">
        <v>2013</v>
      </c>
    </row>
    <row r="820" spans="1:49">
      <c r="A820" s="798">
        <f t="shared" si="25"/>
        <v>1900</v>
      </c>
      <c r="B820" s="798">
        <f t="shared" si="26"/>
        <v>1</v>
      </c>
      <c r="AJ820" s="1156" t="s">
        <v>350</v>
      </c>
      <c r="AK820" s="874">
        <v>2008</v>
      </c>
      <c r="AL820" s="1217" t="s">
        <v>33</v>
      </c>
      <c r="AM820" s="1217">
        <v>8</v>
      </c>
      <c r="AN820" s="1209">
        <v>13505402</v>
      </c>
      <c r="AO820" s="1367">
        <v>8.9999999999999993E-3</v>
      </c>
      <c r="AP820" s="1217"/>
      <c r="AQ820" s="1156" t="s">
        <v>350</v>
      </c>
      <c r="AR820" s="874" t="s">
        <v>614</v>
      </c>
      <c r="AS820" s="1217" t="s">
        <v>45</v>
      </c>
      <c r="AT820" s="1217"/>
      <c r="AU820" s="1209">
        <v>12076932</v>
      </c>
      <c r="AV820" s="1211">
        <v>5.0000000000000001E-3</v>
      </c>
      <c r="AW820" s="874">
        <v>2013</v>
      </c>
    </row>
    <row r="821" spans="1:49">
      <c r="A821" s="798">
        <f t="shared" si="25"/>
        <v>1900</v>
      </c>
      <c r="B821" s="798">
        <f t="shared" si="26"/>
        <v>1</v>
      </c>
      <c r="AJ821" s="1156" t="s">
        <v>350</v>
      </c>
      <c r="AK821" s="874">
        <v>2008</v>
      </c>
      <c r="AL821" s="1217" t="s">
        <v>63</v>
      </c>
      <c r="AM821" s="1217">
        <v>9</v>
      </c>
      <c r="AN821" s="1209">
        <v>12863196</v>
      </c>
      <c r="AO821" s="1367">
        <v>8.9999999999999993E-3</v>
      </c>
      <c r="AP821" s="1217"/>
      <c r="AQ821" s="1156" t="s">
        <v>350</v>
      </c>
      <c r="AR821" s="874" t="s">
        <v>614</v>
      </c>
      <c r="AS821" s="1217" t="s">
        <v>452</v>
      </c>
      <c r="AT821" s="1217"/>
      <c r="AU821" s="1209">
        <v>2560291703</v>
      </c>
      <c r="AV821" s="1217"/>
      <c r="AW821" s="874">
        <v>2013</v>
      </c>
    </row>
    <row r="822" spans="1:49">
      <c r="A822" s="798">
        <f t="shared" si="25"/>
        <v>1900</v>
      </c>
      <c r="B822" s="798">
        <f t="shared" si="26"/>
        <v>1</v>
      </c>
      <c r="AJ822" s="1156" t="s">
        <v>350</v>
      </c>
      <c r="AK822" s="874">
        <v>2008</v>
      </c>
      <c r="AL822" s="1217" t="s">
        <v>157</v>
      </c>
      <c r="AM822" s="1217">
        <v>10</v>
      </c>
      <c r="AN822" s="1209">
        <v>2394</v>
      </c>
      <c r="AO822" s="1367">
        <v>0</v>
      </c>
      <c r="AP822" s="1217"/>
      <c r="AQ822" s="1156" t="s">
        <v>350</v>
      </c>
      <c r="AR822" s="874" t="s">
        <v>613</v>
      </c>
      <c r="AS822" s="1217" t="s">
        <v>24</v>
      </c>
      <c r="AT822" s="1217">
        <v>1</v>
      </c>
      <c r="AU822" s="1209">
        <v>822469101</v>
      </c>
      <c r="AV822" s="1211">
        <v>0.29899999999999999</v>
      </c>
      <c r="AW822" s="874">
        <v>2012</v>
      </c>
    </row>
    <row r="823" spans="1:49">
      <c r="A823" s="798">
        <f t="shared" si="25"/>
        <v>1900</v>
      </c>
      <c r="B823" s="798">
        <f t="shared" si="26"/>
        <v>1</v>
      </c>
      <c r="AJ823" s="1156" t="s">
        <v>350</v>
      </c>
      <c r="AK823" s="874">
        <v>2008</v>
      </c>
      <c r="AL823" s="1217" t="s">
        <v>45</v>
      </c>
      <c r="AM823" s="1217"/>
      <c r="AN823" s="1217" t="s">
        <v>634</v>
      </c>
      <c r="AO823" s="1367">
        <v>0</v>
      </c>
      <c r="AP823" s="1217"/>
      <c r="AQ823" s="1156" t="s">
        <v>350</v>
      </c>
      <c r="AR823" s="874" t="s">
        <v>613</v>
      </c>
      <c r="AS823" s="1217" t="s">
        <v>30</v>
      </c>
      <c r="AT823" s="1217">
        <v>2</v>
      </c>
      <c r="AU823" s="1209">
        <v>537000994</v>
      </c>
      <c r="AV823" s="1211">
        <v>0.19500000000000001</v>
      </c>
      <c r="AW823" s="874">
        <v>2012</v>
      </c>
    </row>
    <row r="824" spans="1:49">
      <c r="A824" s="798">
        <f t="shared" si="25"/>
        <v>1900</v>
      </c>
      <c r="B824" s="798">
        <f t="shared" si="26"/>
        <v>1</v>
      </c>
      <c r="AJ824" s="1156" t="s">
        <v>350</v>
      </c>
      <c r="AK824" s="874">
        <v>2008</v>
      </c>
      <c r="AL824" s="1217" t="s">
        <v>452</v>
      </c>
      <c r="AM824" s="1217"/>
      <c r="AN824" s="1209">
        <v>1509395066</v>
      </c>
      <c r="AP824" s="1217"/>
      <c r="AQ824" s="1156" t="s">
        <v>350</v>
      </c>
      <c r="AR824" s="874" t="s">
        <v>613</v>
      </c>
      <c r="AS824" s="1217" t="s">
        <v>29</v>
      </c>
      <c r="AT824" s="1217">
        <v>3</v>
      </c>
      <c r="AU824" s="1209">
        <v>456278097</v>
      </c>
      <c r="AV824" s="1211">
        <v>0.16600000000000001</v>
      </c>
      <c r="AW824" s="874">
        <v>2012</v>
      </c>
    </row>
    <row r="825" spans="1:49">
      <c r="A825" s="798">
        <f t="shared" si="25"/>
        <v>1900</v>
      </c>
      <c r="B825" s="798">
        <f t="shared" si="26"/>
        <v>1</v>
      </c>
      <c r="AJ825" s="1156" t="s">
        <v>350</v>
      </c>
      <c r="AK825" s="874">
        <v>2007</v>
      </c>
      <c r="AL825" s="1217" t="s">
        <v>27</v>
      </c>
      <c r="AM825" s="1217">
        <v>1</v>
      </c>
      <c r="AN825" s="1209">
        <v>379747670</v>
      </c>
      <c r="AO825" s="1367">
        <v>0.27500000000000002</v>
      </c>
      <c r="AP825" s="1217"/>
      <c r="AQ825" s="1156" t="s">
        <v>350</v>
      </c>
      <c r="AR825" s="874" t="s">
        <v>613</v>
      </c>
      <c r="AS825" s="1217" t="s">
        <v>27</v>
      </c>
      <c r="AT825" s="1217">
        <v>4</v>
      </c>
      <c r="AU825" s="1209">
        <v>292121906</v>
      </c>
      <c r="AV825" s="1211">
        <v>0.106</v>
      </c>
      <c r="AW825" s="874">
        <v>2012</v>
      </c>
    </row>
    <row r="826" spans="1:49">
      <c r="A826" s="798">
        <f t="shared" si="25"/>
        <v>1900</v>
      </c>
      <c r="B826" s="798">
        <f t="shared" si="26"/>
        <v>1</v>
      </c>
      <c r="AJ826" s="1156" t="s">
        <v>350</v>
      </c>
      <c r="AK826" s="874">
        <v>2007</v>
      </c>
      <c r="AL826" s="1217" t="s">
        <v>24</v>
      </c>
      <c r="AM826" s="1217">
        <v>2</v>
      </c>
      <c r="AN826" s="1209">
        <v>297492519</v>
      </c>
      <c r="AO826" s="1367">
        <v>0.216</v>
      </c>
      <c r="AP826" s="1217"/>
      <c r="AQ826" s="1156" t="s">
        <v>350</v>
      </c>
      <c r="AR826" s="874" t="s">
        <v>613</v>
      </c>
      <c r="AS826" s="1217" t="s">
        <v>83</v>
      </c>
      <c r="AT826" s="1217">
        <v>5</v>
      </c>
      <c r="AU826" s="1209">
        <v>265578998</v>
      </c>
      <c r="AV826" s="1211">
        <v>9.7000000000000003E-2</v>
      </c>
      <c r="AW826" s="874">
        <v>2012</v>
      </c>
    </row>
    <row r="827" spans="1:49">
      <c r="A827" s="798">
        <f t="shared" si="25"/>
        <v>1900</v>
      </c>
      <c r="B827" s="798">
        <f t="shared" si="26"/>
        <v>1</v>
      </c>
      <c r="AJ827" s="1156" t="s">
        <v>350</v>
      </c>
      <c r="AK827" s="874">
        <v>2007</v>
      </c>
      <c r="AL827" s="1217" t="s">
        <v>29</v>
      </c>
      <c r="AM827" s="1217">
        <v>3</v>
      </c>
      <c r="AN827" s="1209">
        <v>288281068</v>
      </c>
      <c r="AO827" s="1367">
        <v>0.20899999999999999</v>
      </c>
      <c r="AP827" s="1217"/>
      <c r="AQ827" s="1156" t="s">
        <v>350</v>
      </c>
      <c r="AR827" s="874" t="s">
        <v>613</v>
      </c>
      <c r="AS827" s="1217" t="s">
        <v>67</v>
      </c>
      <c r="AT827" s="1217">
        <v>6</v>
      </c>
      <c r="AU827" s="1209">
        <v>233320808</v>
      </c>
      <c r="AV827" s="1211">
        <v>8.5000000000000006E-2</v>
      </c>
      <c r="AW827" s="874">
        <v>2012</v>
      </c>
    </row>
    <row r="828" spans="1:49">
      <c r="A828" s="798">
        <f t="shared" si="25"/>
        <v>1900</v>
      </c>
      <c r="B828" s="798">
        <f t="shared" si="26"/>
        <v>1</v>
      </c>
      <c r="AJ828" s="1156" t="s">
        <v>350</v>
      </c>
      <c r="AK828" s="874">
        <v>2007</v>
      </c>
      <c r="AL828" s="1217" t="s">
        <v>30</v>
      </c>
      <c r="AM828" s="1217">
        <v>4</v>
      </c>
      <c r="AN828" s="1209">
        <v>239939224</v>
      </c>
      <c r="AO828" s="1367">
        <v>0.17399999999999999</v>
      </c>
      <c r="AQ828" s="1156" t="s">
        <v>350</v>
      </c>
      <c r="AR828" s="874" t="s">
        <v>613</v>
      </c>
      <c r="AS828" s="1217" t="s">
        <v>63</v>
      </c>
      <c r="AT828" s="1217">
        <v>7</v>
      </c>
      <c r="AU828" s="1209">
        <v>51302871</v>
      </c>
      <c r="AV828" s="1211">
        <v>1.9E-2</v>
      </c>
      <c r="AW828" s="874">
        <v>2012</v>
      </c>
    </row>
    <row r="829" spans="1:49">
      <c r="A829" s="798">
        <f t="shared" si="25"/>
        <v>1900</v>
      </c>
      <c r="B829" s="798">
        <f t="shared" si="26"/>
        <v>1</v>
      </c>
      <c r="AJ829" s="1156" t="s">
        <v>350</v>
      </c>
      <c r="AK829" s="874">
        <v>2007</v>
      </c>
      <c r="AL829" s="1217" t="s">
        <v>39</v>
      </c>
      <c r="AM829" s="1217">
        <v>5</v>
      </c>
      <c r="AN829" s="1209">
        <v>91506671</v>
      </c>
      <c r="AO829" s="1367">
        <v>6.6000000000000003E-2</v>
      </c>
      <c r="AQ829" s="1156" t="s">
        <v>350</v>
      </c>
      <c r="AR829" s="874" t="s">
        <v>613</v>
      </c>
      <c r="AS829" s="1217" t="s">
        <v>433</v>
      </c>
      <c r="AT829" s="1217">
        <v>8</v>
      </c>
      <c r="AU829" s="1209">
        <v>40312589</v>
      </c>
      <c r="AV829" s="1211">
        <v>1.4999999999999999E-2</v>
      </c>
      <c r="AW829" s="874">
        <v>2012</v>
      </c>
    </row>
    <row r="830" spans="1:49">
      <c r="A830" s="798">
        <f t="shared" si="25"/>
        <v>1900</v>
      </c>
      <c r="B830" s="798">
        <f t="shared" si="26"/>
        <v>1</v>
      </c>
      <c r="AJ830" s="1156" t="s">
        <v>350</v>
      </c>
      <c r="AK830" s="874">
        <v>2007</v>
      </c>
      <c r="AL830" s="1217" t="s">
        <v>63</v>
      </c>
      <c r="AM830" s="1217">
        <v>6</v>
      </c>
      <c r="AN830" s="1209">
        <v>49197222</v>
      </c>
      <c r="AO830" s="1367">
        <v>3.5999999999999997E-2</v>
      </c>
      <c r="AQ830" s="1156" t="s">
        <v>350</v>
      </c>
      <c r="AR830" s="874" t="s">
        <v>613</v>
      </c>
      <c r="AS830" s="1217" t="s">
        <v>41</v>
      </c>
      <c r="AT830" s="1217">
        <v>9</v>
      </c>
      <c r="AU830" s="1209">
        <v>38193450</v>
      </c>
      <c r="AV830" s="1211">
        <v>1.4E-2</v>
      </c>
      <c r="AW830" s="874">
        <v>2012</v>
      </c>
    </row>
    <row r="831" spans="1:49">
      <c r="A831" s="798">
        <f t="shared" si="25"/>
        <v>1900</v>
      </c>
      <c r="B831" s="798">
        <f t="shared" si="26"/>
        <v>1</v>
      </c>
      <c r="AJ831" s="1156" t="s">
        <v>350</v>
      </c>
      <c r="AK831" s="874">
        <v>2007</v>
      </c>
      <c r="AL831" s="1217" t="s">
        <v>83</v>
      </c>
      <c r="AM831" s="1217">
        <v>7</v>
      </c>
      <c r="AN831" s="1209">
        <v>18168605</v>
      </c>
      <c r="AO831" s="1367">
        <v>1.2999999999999999E-2</v>
      </c>
      <c r="AQ831" s="1156" t="s">
        <v>350</v>
      </c>
      <c r="AR831" s="874" t="s">
        <v>613</v>
      </c>
      <c r="AS831" s="1217" t="s">
        <v>39</v>
      </c>
      <c r="AT831" s="1217">
        <v>10</v>
      </c>
      <c r="AU831" s="1209">
        <v>11535492</v>
      </c>
      <c r="AV831" s="1211">
        <v>4.0000000000000001E-3</v>
      </c>
      <c r="AW831" s="874">
        <v>2012</v>
      </c>
    </row>
    <row r="832" spans="1:49">
      <c r="A832" s="798">
        <f t="shared" si="25"/>
        <v>1900</v>
      </c>
      <c r="B832" s="798">
        <f t="shared" si="26"/>
        <v>1</v>
      </c>
      <c r="AJ832" s="1156" t="s">
        <v>350</v>
      </c>
      <c r="AK832" s="874">
        <v>2007</v>
      </c>
      <c r="AL832" s="1217" t="s">
        <v>65</v>
      </c>
      <c r="AM832" s="1217">
        <v>8</v>
      </c>
      <c r="AN832" s="1209">
        <v>14456853</v>
      </c>
      <c r="AO832" s="1367">
        <v>0.01</v>
      </c>
      <c r="AQ832" s="1156" t="s">
        <v>350</v>
      </c>
      <c r="AR832" s="874" t="s">
        <v>613</v>
      </c>
      <c r="AS832" s="1217" t="s">
        <v>45</v>
      </c>
      <c r="AT832" s="1217"/>
      <c r="AU832" s="1209">
        <v>2417961</v>
      </c>
      <c r="AV832" s="1211">
        <v>1E-3</v>
      </c>
      <c r="AW832" s="874">
        <v>2012</v>
      </c>
    </row>
    <row r="833" spans="1:49">
      <c r="A833" s="798">
        <f t="shared" si="25"/>
        <v>1900</v>
      </c>
      <c r="B833" s="798">
        <f t="shared" si="26"/>
        <v>1</v>
      </c>
      <c r="AJ833" s="1156" t="s">
        <v>350</v>
      </c>
      <c r="AK833" s="874">
        <v>2007</v>
      </c>
      <c r="AL833" s="1217" t="s">
        <v>41</v>
      </c>
      <c r="AM833" s="1217">
        <v>9</v>
      </c>
      <c r="AN833" s="1209">
        <v>1700</v>
      </c>
      <c r="AO833" s="1367">
        <v>0</v>
      </c>
      <c r="AQ833" s="1156" t="s">
        <v>350</v>
      </c>
      <c r="AR833" s="874" t="s">
        <v>613</v>
      </c>
      <c r="AS833" s="1217" t="s">
        <v>452</v>
      </c>
      <c r="AT833" s="1217"/>
      <c r="AU833" s="1209">
        <v>2750532266</v>
      </c>
      <c r="AV833" s="1217"/>
      <c r="AW833" s="874">
        <v>2012</v>
      </c>
    </row>
    <row r="834" spans="1:49">
      <c r="A834" s="798">
        <f t="shared" si="25"/>
        <v>1900</v>
      </c>
      <c r="B834" s="798">
        <f t="shared" si="26"/>
        <v>1</v>
      </c>
      <c r="AJ834" s="1156" t="s">
        <v>350</v>
      </c>
      <c r="AK834" s="874">
        <v>2007</v>
      </c>
      <c r="AL834" s="1217"/>
      <c r="AM834" s="1217"/>
      <c r="AN834" s="1217"/>
      <c r="AO834" s="1367">
        <v>0</v>
      </c>
      <c r="AQ834" s="1156" t="s">
        <v>350</v>
      </c>
      <c r="AR834" s="874" t="s">
        <v>612</v>
      </c>
      <c r="AS834" s="1217" t="s">
        <v>30</v>
      </c>
      <c r="AT834" s="1217">
        <v>1</v>
      </c>
      <c r="AU834" s="1209">
        <v>376008888</v>
      </c>
      <c r="AV834" s="1211">
        <v>0.31</v>
      </c>
      <c r="AW834" s="874">
        <v>2011</v>
      </c>
    </row>
    <row r="835" spans="1:49">
      <c r="A835" s="798">
        <f t="shared" si="25"/>
        <v>1900</v>
      </c>
      <c r="B835" s="798">
        <f t="shared" si="26"/>
        <v>1</v>
      </c>
      <c r="AJ835" s="1156" t="s">
        <v>350</v>
      </c>
      <c r="AK835" s="874">
        <v>2007</v>
      </c>
      <c r="AL835" s="1217" t="s">
        <v>45</v>
      </c>
      <c r="AM835" s="1217"/>
      <c r="AN835" s="1217" t="s">
        <v>634</v>
      </c>
      <c r="AO835" s="1367">
        <v>0</v>
      </c>
      <c r="AQ835" s="1156" t="s">
        <v>350</v>
      </c>
      <c r="AR835" s="874" t="s">
        <v>612</v>
      </c>
      <c r="AS835" s="1217" t="s">
        <v>29</v>
      </c>
      <c r="AT835" s="1217">
        <v>2</v>
      </c>
      <c r="AU835" s="1209">
        <v>290957394</v>
      </c>
      <c r="AV835" s="1211">
        <v>0.24</v>
      </c>
      <c r="AW835" s="874">
        <v>2011</v>
      </c>
    </row>
    <row r="836" spans="1:49">
      <c r="A836" s="798">
        <f t="shared" si="25"/>
        <v>1900</v>
      </c>
      <c r="B836" s="798">
        <f t="shared" si="26"/>
        <v>1</v>
      </c>
      <c r="AJ836" s="1156" t="s">
        <v>350</v>
      </c>
      <c r="AK836" s="874">
        <v>2007</v>
      </c>
      <c r="AL836" s="1217" t="s">
        <v>452</v>
      </c>
      <c r="AM836" s="1217"/>
      <c r="AN836" s="1209">
        <v>1378791531</v>
      </c>
      <c r="AQ836" s="1156" t="s">
        <v>350</v>
      </c>
      <c r="AR836" s="874" t="s">
        <v>612</v>
      </c>
      <c r="AS836" s="1217" t="s">
        <v>24</v>
      </c>
      <c r="AT836" s="1217">
        <v>3</v>
      </c>
      <c r="AU836" s="1209">
        <v>181537424</v>
      </c>
      <c r="AV836" s="1211">
        <v>0.15</v>
      </c>
      <c r="AW836" s="874">
        <v>2011</v>
      </c>
    </row>
    <row r="837" spans="1:49">
      <c r="A837" s="798">
        <f t="shared" si="25"/>
        <v>1900</v>
      </c>
      <c r="B837" s="798">
        <f t="shared" si="26"/>
        <v>1</v>
      </c>
      <c r="AJ837" s="1156" t="s">
        <v>0</v>
      </c>
      <c r="AK837" s="874">
        <v>2007</v>
      </c>
      <c r="AL837" s="1217" t="s">
        <v>24</v>
      </c>
      <c r="AM837" s="1217">
        <v>1</v>
      </c>
      <c r="AN837" s="1209">
        <v>837070605.00999999</v>
      </c>
      <c r="AO837" s="1367">
        <v>0.20177416774446275</v>
      </c>
      <c r="AQ837" s="1156" t="s">
        <v>350</v>
      </c>
      <c r="AR837" s="874" t="s">
        <v>612</v>
      </c>
      <c r="AS837" s="1217" t="s">
        <v>27</v>
      </c>
      <c r="AT837" s="1217">
        <v>4</v>
      </c>
      <c r="AU837" s="1209">
        <v>165530679</v>
      </c>
      <c r="AV837" s="1211">
        <v>0.13700000000000001</v>
      </c>
      <c r="AW837" s="874">
        <v>2011</v>
      </c>
    </row>
    <row r="838" spans="1:49">
      <c r="A838" s="798">
        <f t="shared" si="25"/>
        <v>1900</v>
      </c>
      <c r="B838" s="798">
        <f t="shared" si="26"/>
        <v>1</v>
      </c>
      <c r="AJ838" s="1156" t="s">
        <v>0</v>
      </c>
      <c r="AK838" s="874">
        <v>2007</v>
      </c>
      <c r="AL838" s="1217" t="s">
        <v>23</v>
      </c>
      <c r="AM838" s="1217">
        <v>2</v>
      </c>
      <c r="AN838" s="1209">
        <v>716092011.2299999</v>
      </c>
      <c r="AO838" s="1367">
        <v>0.17261252363851146</v>
      </c>
      <c r="AQ838" s="1156" t="s">
        <v>350</v>
      </c>
      <c r="AR838" s="874" t="s">
        <v>612</v>
      </c>
      <c r="AS838" s="1217" t="s">
        <v>67</v>
      </c>
      <c r="AT838" s="1217">
        <v>5</v>
      </c>
      <c r="AU838" s="1209">
        <v>104646144</v>
      </c>
      <c r="AV838" s="1211">
        <v>8.5999999999999993E-2</v>
      </c>
      <c r="AW838" s="874">
        <v>2011</v>
      </c>
    </row>
    <row r="839" spans="1:49">
      <c r="A839" s="798">
        <f t="shared" si="25"/>
        <v>1900</v>
      </c>
      <c r="B839" s="798">
        <f t="shared" si="26"/>
        <v>1</v>
      </c>
      <c r="AJ839" s="1156" t="s">
        <v>0</v>
      </c>
      <c r="AK839" s="874">
        <v>2007</v>
      </c>
      <c r="AL839" s="1217" t="s">
        <v>38</v>
      </c>
      <c r="AM839" s="1217">
        <v>3</v>
      </c>
      <c r="AN839" s="1209">
        <v>690266140.17999995</v>
      </c>
      <c r="AO839" s="1367">
        <v>0.16638724992061843</v>
      </c>
      <c r="AQ839" s="1156" t="s">
        <v>350</v>
      </c>
      <c r="AR839" s="874" t="s">
        <v>612</v>
      </c>
      <c r="AS839" s="1217" t="s">
        <v>83</v>
      </c>
      <c r="AT839" s="1217">
        <v>6</v>
      </c>
      <c r="AU839" s="1209">
        <v>55207261</v>
      </c>
      <c r="AV839" s="1211">
        <v>4.5999999999999999E-2</v>
      </c>
      <c r="AW839" s="874">
        <v>2011</v>
      </c>
    </row>
    <row r="840" spans="1:49">
      <c r="A840" s="798">
        <f t="shared" si="25"/>
        <v>1900</v>
      </c>
      <c r="B840" s="798">
        <f t="shared" si="26"/>
        <v>1</v>
      </c>
      <c r="AJ840" s="1156" t="s">
        <v>0</v>
      </c>
      <c r="AK840" s="874">
        <v>2007</v>
      </c>
      <c r="AL840" s="1217" t="s">
        <v>40</v>
      </c>
      <c r="AM840" s="1217">
        <v>4</v>
      </c>
      <c r="AN840" s="1209">
        <v>590935072.19999993</v>
      </c>
      <c r="AO840" s="1367">
        <v>0.14244369790376829</v>
      </c>
      <c r="AQ840" s="1156" t="s">
        <v>350</v>
      </c>
      <c r="AR840" s="874" t="s">
        <v>612</v>
      </c>
      <c r="AS840" s="1217" t="s">
        <v>63</v>
      </c>
      <c r="AT840" s="1217">
        <v>7</v>
      </c>
      <c r="AU840" s="1209">
        <v>20512816</v>
      </c>
      <c r="AV840" s="1211">
        <v>1.7000000000000001E-2</v>
      </c>
      <c r="AW840" s="874">
        <v>2011</v>
      </c>
    </row>
    <row r="841" spans="1:49">
      <c r="A841" s="798">
        <f t="shared" si="25"/>
        <v>1900</v>
      </c>
      <c r="B841" s="798">
        <f t="shared" si="26"/>
        <v>1</v>
      </c>
      <c r="AJ841" s="1156" t="s">
        <v>0</v>
      </c>
      <c r="AK841" s="874">
        <v>2007</v>
      </c>
      <c r="AL841" s="1217" t="s">
        <v>32</v>
      </c>
      <c r="AM841" s="1217">
        <v>5</v>
      </c>
      <c r="AN841" s="1209">
        <v>334448851.42999995</v>
      </c>
      <c r="AO841" s="1367">
        <v>8.0618215771145765E-2</v>
      </c>
      <c r="AQ841" s="1156" t="s">
        <v>350</v>
      </c>
      <c r="AR841" s="874" t="s">
        <v>612</v>
      </c>
      <c r="AS841" s="1217" t="s">
        <v>28</v>
      </c>
      <c r="AT841" s="1217">
        <v>8</v>
      </c>
      <c r="AU841" s="1209">
        <v>11002578</v>
      </c>
      <c r="AV841" s="1211">
        <v>8.9999999999999993E-3</v>
      </c>
      <c r="AW841" s="874">
        <v>2011</v>
      </c>
    </row>
    <row r="842" spans="1:49">
      <c r="A842" s="798">
        <f t="shared" ref="A842:A905" si="27">YEAR(C842)</f>
        <v>1900</v>
      </c>
      <c r="B842" s="798">
        <f t="shared" ref="B842:B905" si="28">IF(OR(MONTH(C842)=1,MONTH(C842)=2,MONTH(C842)=3),1,IF(OR(MONTH(C842)=4,MONTH(C842)=5,MONTH(C842)=6),2,IF(OR(MONTH(C842)=7,MONTH(C842)=8,MONTH(C842)=9),3,4)))</f>
        <v>1</v>
      </c>
      <c r="AJ842" s="1156" t="s">
        <v>0</v>
      </c>
      <c r="AK842" s="874">
        <v>2007</v>
      </c>
      <c r="AL842" s="1217" t="s">
        <v>41</v>
      </c>
      <c r="AM842" s="1217">
        <v>6</v>
      </c>
      <c r="AN842" s="1209">
        <v>239638706.48999998</v>
      </c>
      <c r="AO842" s="1367">
        <v>5.7764423062976494E-2</v>
      </c>
      <c r="AQ842" s="1156" t="s">
        <v>350</v>
      </c>
      <c r="AR842" s="874" t="s">
        <v>612</v>
      </c>
      <c r="AS842" s="1217" t="s">
        <v>39</v>
      </c>
      <c r="AT842" s="1217">
        <v>9</v>
      </c>
      <c r="AU842" s="1209">
        <v>6491219</v>
      </c>
      <c r="AV842" s="1211">
        <v>5.0000000000000001E-3</v>
      </c>
      <c r="AW842" s="874">
        <v>2011</v>
      </c>
    </row>
    <row r="843" spans="1:49">
      <c r="A843" s="798">
        <f t="shared" si="27"/>
        <v>1900</v>
      </c>
      <c r="B843" s="798">
        <f t="shared" si="28"/>
        <v>1</v>
      </c>
      <c r="AJ843" s="1156" t="s">
        <v>0</v>
      </c>
      <c r="AK843" s="874">
        <v>2007</v>
      </c>
      <c r="AL843" s="1217" t="s">
        <v>65</v>
      </c>
      <c r="AM843" s="1217">
        <v>7</v>
      </c>
      <c r="AN843" s="1209">
        <v>231221894.25999996</v>
      </c>
      <c r="AO843" s="1367">
        <v>5.5735567584591396E-2</v>
      </c>
      <c r="AQ843" s="1156" t="s">
        <v>350</v>
      </c>
      <c r="AR843" s="874" t="s">
        <v>612</v>
      </c>
      <c r="AS843" s="1217" t="s">
        <v>157</v>
      </c>
      <c r="AT843" s="1217">
        <v>10</v>
      </c>
      <c r="AU843" s="1209">
        <v>1899</v>
      </c>
      <c r="AV843" s="1211">
        <v>0</v>
      </c>
      <c r="AW843" s="874">
        <v>2011</v>
      </c>
    </row>
    <row r="844" spans="1:49">
      <c r="A844" s="798">
        <f t="shared" si="27"/>
        <v>1900</v>
      </c>
      <c r="B844" s="798">
        <f t="shared" si="28"/>
        <v>1</v>
      </c>
      <c r="AJ844" s="1156" t="s">
        <v>0</v>
      </c>
      <c r="AK844" s="874">
        <v>2007</v>
      </c>
      <c r="AL844" s="1217" t="s">
        <v>36</v>
      </c>
      <c r="AM844" s="1217">
        <v>8</v>
      </c>
      <c r="AN844" s="1209">
        <v>115635007.34999999</v>
      </c>
      <c r="AO844" s="1367">
        <v>2.7873583459417199E-2</v>
      </c>
      <c r="AQ844" s="1156" t="s">
        <v>350</v>
      </c>
      <c r="AR844" s="874" t="s">
        <v>612</v>
      </c>
      <c r="AS844" s="1217" t="s">
        <v>45</v>
      </c>
      <c r="AT844" s="1217"/>
      <c r="AU844" s="1217" t="s">
        <v>634</v>
      </c>
      <c r="AV844" s="1211">
        <v>0</v>
      </c>
      <c r="AW844" s="874">
        <v>2011</v>
      </c>
    </row>
    <row r="845" spans="1:49">
      <c r="A845" s="798">
        <f t="shared" si="27"/>
        <v>1900</v>
      </c>
      <c r="B845" s="798">
        <f t="shared" si="28"/>
        <v>1</v>
      </c>
      <c r="AJ845" s="1156" t="s">
        <v>0</v>
      </c>
      <c r="AK845" s="874">
        <v>2007</v>
      </c>
      <c r="AL845" s="1217" t="s">
        <v>34</v>
      </c>
      <c r="AM845" s="1217">
        <v>9</v>
      </c>
      <c r="AN845" s="1209">
        <v>95825117.779999986</v>
      </c>
      <c r="AO845" s="1367">
        <v>2.3098449848019252E-2</v>
      </c>
      <c r="AQ845" s="1156" t="s">
        <v>350</v>
      </c>
      <c r="AR845" s="874" t="s">
        <v>612</v>
      </c>
      <c r="AS845" s="1217" t="s">
        <v>452</v>
      </c>
      <c r="AT845" s="1217"/>
      <c r="AU845" s="1209">
        <v>1211896302</v>
      </c>
      <c r="AV845" s="1217"/>
      <c r="AW845" s="874">
        <v>2011</v>
      </c>
    </row>
    <row r="846" spans="1:49">
      <c r="A846" s="798">
        <f t="shared" si="27"/>
        <v>1900</v>
      </c>
      <c r="B846" s="798">
        <f t="shared" si="28"/>
        <v>1</v>
      </c>
      <c r="AJ846" s="1156" t="s">
        <v>0</v>
      </c>
      <c r="AK846" s="874">
        <v>2007</v>
      </c>
      <c r="AL846" s="1217" t="s">
        <v>28</v>
      </c>
      <c r="AM846" s="1217">
        <v>10</v>
      </c>
      <c r="AN846" s="1209">
        <v>72265104.310000002</v>
      </c>
      <c r="AO846" s="1367">
        <v>1.7419356493760578E-2</v>
      </c>
      <c r="AQ846" s="1156" t="s">
        <v>350</v>
      </c>
      <c r="AR846" s="874" t="s">
        <v>611</v>
      </c>
      <c r="AS846" s="1217" t="s">
        <v>30</v>
      </c>
      <c r="AT846" s="1217">
        <v>1</v>
      </c>
      <c r="AU846" s="1209">
        <v>549299334</v>
      </c>
      <c r="AV846" s="1211">
        <v>0.245</v>
      </c>
      <c r="AW846" s="874">
        <v>2010</v>
      </c>
    </row>
    <row r="847" spans="1:49">
      <c r="A847" s="798">
        <f t="shared" si="27"/>
        <v>1900</v>
      </c>
      <c r="B847" s="798">
        <f t="shared" si="28"/>
        <v>1</v>
      </c>
      <c r="AJ847" s="1156" t="s">
        <v>0</v>
      </c>
      <c r="AK847" s="874">
        <v>2007</v>
      </c>
      <c r="AL847" s="1217" t="s">
        <v>45</v>
      </c>
      <c r="AM847" s="1217"/>
      <c r="AN847" s="1209">
        <v>225153380.05999994</v>
      </c>
      <c r="AO847" s="1367">
        <v>5.4272764572728574E-2</v>
      </c>
      <c r="AQ847" s="1156" t="s">
        <v>350</v>
      </c>
      <c r="AR847" s="874" t="s">
        <v>611</v>
      </c>
      <c r="AS847" s="1217" t="s">
        <v>24</v>
      </c>
      <c r="AT847" s="1217">
        <v>2</v>
      </c>
      <c r="AU847" s="1209">
        <v>543770287</v>
      </c>
      <c r="AV847" s="1211">
        <v>0.24199999999999999</v>
      </c>
      <c r="AW847" s="874">
        <v>2010</v>
      </c>
    </row>
    <row r="848" spans="1:49">
      <c r="A848" s="798">
        <f t="shared" si="27"/>
        <v>1900</v>
      </c>
      <c r="B848" s="798">
        <f t="shared" si="28"/>
        <v>1</v>
      </c>
      <c r="AJ848" s="1156" t="s">
        <v>0</v>
      </c>
      <c r="AK848" s="874">
        <v>2007</v>
      </c>
      <c r="AL848" s="1217" t="s">
        <v>452</v>
      </c>
      <c r="AM848" s="1217"/>
      <c r="AN848" s="1209">
        <v>4148551890.2999988</v>
      </c>
      <c r="AQ848" s="1156" t="s">
        <v>350</v>
      </c>
      <c r="AR848" s="874" t="s">
        <v>611</v>
      </c>
      <c r="AS848" s="1217" t="s">
        <v>27</v>
      </c>
      <c r="AT848" s="1217">
        <v>3</v>
      </c>
      <c r="AU848" s="1209">
        <v>445391954</v>
      </c>
      <c r="AV848" s="1211">
        <v>0.19900000000000001</v>
      </c>
      <c r="AW848" s="874">
        <v>2010</v>
      </c>
    </row>
    <row r="849" spans="1:49">
      <c r="A849" s="798">
        <f t="shared" si="27"/>
        <v>1900</v>
      </c>
      <c r="B849" s="798">
        <f t="shared" si="28"/>
        <v>1</v>
      </c>
      <c r="AJ849" s="1156" t="s">
        <v>3</v>
      </c>
      <c r="AK849" s="874">
        <v>2007</v>
      </c>
      <c r="AL849" s="1217" t="s">
        <v>24</v>
      </c>
      <c r="AM849" s="1217">
        <v>1</v>
      </c>
      <c r="AN849" s="1209">
        <v>1898006642.6199999</v>
      </c>
      <c r="AO849" s="1367">
        <v>0.35966858708361105</v>
      </c>
      <c r="AQ849" s="1156" t="s">
        <v>350</v>
      </c>
      <c r="AR849" s="874" t="s">
        <v>611</v>
      </c>
      <c r="AS849" s="1217" t="s">
        <v>29</v>
      </c>
      <c r="AT849" s="1217">
        <v>4</v>
      </c>
      <c r="AU849" s="1209">
        <v>379078335</v>
      </c>
      <c r="AV849" s="1211">
        <v>0.16900000000000001</v>
      </c>
      <c r="AW849" s="874">
        <v>2010</v>
      </c>
    </row>
    <row r="850" spans="1:49">
      <c r="A850" s="798">
        <f t="shared" si="27"/>
        <v>1900</v>
      </c>
      <c r="B850" s="798">
        <f t="shared" si="28"/>
        <v>1</v>
      </c>
      <c r="AJ850" s="1156" t="s">
        <v>3</v>
      </c>
      <c r="AK850" s="874">
        <v>2007</v>
      </c>
      <c r="AL850" s="1217" t="s">
        <v>66</v>
      </c>
      <c r="AM850" s="1217">
        <v>2</v>
      </c>
      <c r="AN850" s="1209">
        <v>1038109679.0400001</v>
      </c>
      <c r="AO850" s="1367">
        <v>0.1967197759554371</v>
      </c>
      <c r="AQ850" s="1156" t="s">
        <v>350</v>
      </c>
      <c r="AR850" s="874" t="s">
        <v>611</v>
      </c>
      <c r="AS850" s="1217" t="s">
        <v>83</v>
      </c>
      <c r="AT850" s="1217">
        <v>5</v>
      </c>
      <c r="AU850" s="1209">
        <v>176882617</v>
      </c>
      <c r="AV850" s="1211">
        <v>7.9000000000000001E-2</v>
      </c>
      <c r="AW850" s="874">
        <v>2010</v>
      </c>
    </row>
    <row r="851" spans="1:49">
      <c r="A851" s="798">
        <f t="shared" si="27"/>
        <v>1900</v>
      </c>
      <c r="B851" s="798">
        <f t="shared" si="28"/>
        <v>1</v>
      </c>
      <c r="AJ851" s="1156" t="s">
        <v>3</v>
      </c>
      <c r="AK851" s="874">
        <v>2007</v>
      </c>
      <c r="AL851" s="1217" t="s">
        <v>29</v>
      </c>
      <c r="AM851" s="1217">
        <v>3</v>
      </c>
      <c r="AN851" s="1209">
        <v>632438784.75</v>
      </c>
      <c r="AO851" s="1367">
        <v>0.11984592625761953</v>
      </c>
      <c r="AQ851" s="1156" t="s">
        <v>350</v>
      </c>
      <c r="AR851" s="874" t="s">
        <v>611</v>
      </c>
      <c r="AS851" s="1217" t="s">
        <v>67</v>
      </c>
      <c r="AT851" s="1217">
        <v>6</v>
      </c>
      <c r="AU851" s="1209">
        <v>108183042</v>
      </c>
      <c r="AV851" s="1211">
        <v>4.8000000000000001E-2</v>
      </c>
      <c r="AW851" s="874">
        <v>2010</v>
      </c>
    </row>
    <row r="852" spans="1:49">
      <c r="A852" s="798">
        <f t="shared" si="27"/>
        <v>1900</v>
      </c>
      <c r="B852" s="798">
        <f t="shared" si="28"/>
        <v>1</v>
      </c>
      <c r="AJ852" s="1156" t="s">
        <v>3</v>
      </c>
      <c r="AK852" s="874">
        <v>2007</v>
      </c>
      <c r="AL852" s="1217" t="s">
        <v>33</v>
      </c>
      <c r="AM852" s="1217">
        <v>4</v>
      </c>
      <c r="AN852" s="1209">
        <v>468796418.55999988</v>
      </c>
      <c r="AO852" s="1367">
        <v>8.8836014430688157E-2</v>
      </c>
      <c r="AQ852" s="1156" t="s">
        <v>350</v>
      </c>
      <c r="AR852" s="874" t="s">
        <v>611</v>
      </c>
      <c r="AS852" s="1217" t="s">
        <v>63</v>
      </c>
      <c r="AT852" s="1217">
        <v>7</v>
      </c>
      <c r="AU852" s="1209">
        <v>19493912</v>
      </c>
      <c r="AV852" s="1211">
        <v>8.9999999999999993E-3</v>
      </c>
      <c r="AW852" s="874">
        <v>2010</v>
      </c>
    </row>
    <row r="853" spans="1:49">
      <c r="A853" s="798">
        <f t="shared" si="27"/>
        <v>1900</v>
      </c>
      <c r="B853" s="798">
        <f t="shared" si="28"/>
        <v>1</v>
      </c>
      <c r="AJ853" s="1156" t="s">
        <v>3</v>
      </c>
      <c r="AK853" s="874">
        <v>2007</v>
      </c>
      <c r="AL853" s="1217" t="s">
        <v>41</v>
      </c>
      <c r="AM853" s="1217">
        <v>5</v>
      </c>
      <c r="AN853" s="1209">
        <v>345042014.34000003</v>
      </c>
      <c r="AO853" s="1367">
        <v>6.5384794233829827E-2</v>
      </c>
      <c r="AQ853" s="1156" t="s">
        <v>350</v>
      </c>
      <c r="AR853" s="874" t="s">
        <v>611</v>
      </c>
      <c r="AS853" s="1217" t="s">
        <v>39</v>
      </c>
      <c r="AT853" s="1217">
        <v>8</v>
      </c>
      <c r="AU853" s="1209">
        <v>13723943</v>
      </c>
      <c r="AV853" s="1211">
        <v>6.0000000000000001E-3</v>
      </c>
      <c r="AW853" s="874">
        <v>2010</v>
      </c>
    </row>
    <row r="854" spans="1:49">
      <c r="A854" s="798">
        <f t="shared" si="27"/>
        <v>1900</v>
      </c>
      <c r="B854" s="798">
        <f t="shared" si="28"/>
        <v>1</v>
      </c>
      <c r="AJ854" s="1156" t="s">
        <v>3</v>
      </c>
      <c r="AK854" s="874">
        <v>2007</v>
      </c>
      <c r="AL854" s="1217" t="s">
        <v>63</v>
      </c>
      <c r="AM854" s="1217">
        <v>6</v>
      </c>
      <c r="AN854" s="1209">
        <v>200676667.62</v>
      </c>
      <c r="AO854" s="1367">
        <v>3.8027840305079177E-2</v>
      </c>
      <c r="AQ854" s="1156" t="s">
        <v>350</v>
      </c>
      <c r="AR854" s="874" t="s">
        <v>611</v>
      </c>
      <c r="AS854" s="1217" t="s">
        <v>467</v>
      </c>
      <c r="AT854" s="1217">
        <v>9</v>
      </c>
      <c r="AU854" s="1209">
        <v>4948266</v>
      </c>
      <c r="AV854" s="1211">
        <v>2E-3</v>
      </c>
      <c r="AW854" s="874">
        <v>2010</v>
      </c>
    </row>
    <row r="855" spans="1:49">
      <c r="A855" s="798">
        <f t="shared" si="27"/>
        <v>1900</v>
      </c>
      <c r="B855" s="798">
        <f t="shared" si="28"/>
        <v>1</v>
      </c>
      <c r="AJ855" s="1156" t="s">
        <v>3</v>
      </c>
      <c r="AK855" s="874">
        <v>2007</v>
      </c>
      <c r="AL855" s="1217" t="s">
        <v>72</v>
      </c>
      <c r="AM855" s="1217">
        <v>7</v>
      </c>
      <c r="AN855" s="1209">
        <v>146610136.13999999</v>
      </c>
      <c r="AO855" s="1367">
        <v>2.7782337181296655E-2</v>
      </c>
      <c r="AQ855" s="1156" t="s">
        <v>350</v>
      </c>
      <c r="AR855" s="874" t="s">
        <v>611</v>
      </c>
      <c r="AS855" s="1217" t="s">
        <v>468</v>
      </c>
      <c r="AT855" s="1217">
        <v>10</v>
      </c>
      <c r="AU855" s="1209">
        <v>1414878</v>
      </c>
      <c r="AV855" s="1211">
        <v>1E-3</v>
      </c>
      <c r="AW855" s="874">
        <v>2010</v>
      </c>
    </row>
    <row r="856" spans="1:49">
      <c r="A856" s="798">
        <f t="shared" si="27"/>
        <v>1900</v>
      </c>
      <c r="B856" s="798">
        <f t="shared" si="28"/>
        <v>1</v>
      </c>
      <c r="AJ856" s="1156" t="s">
        <v>3</v>
      </c>
      <c r="AK856" s="874">
        <v>2007</v>
      </c>
      <c r="AL856" s="1217" t="s">
        <v>68</v>
      </c>
      <c r="AM856" s="1217">
        <v>8</v>
      </c>
      <c r="AN856" s="1209">
        <v>136281734.66000006</v>
      </c>
      <c r="AO856" s="1367">
        <v>2.5825125081124046E-2</v>
      </c>
      <c r="AQ856" s="1156" t="s">
        <v>350</v>
      </c>
      <c r="AR856" s="874" t="s">
        <v>611</v>
      </c>
      <c r="AS856" s="1217" t="s">
        <v>45</v>
      </c>
      <c r="AT856" s="1217"/>
      <c r="AU856" s="1209">
        <v>408286</v>
      </c>
      <c r="AV856" s="1211">
        <v>0</v>
      </c>
      <c r="AW856" s="874">
        <v>2010</v>
      </c>
    </row>
    <row r="857" spans="1:49">
      <c r="A857" s="798">
        <f t="shared" si="27"/>
        <v>1900</v>
      </c>
      <c r="B857" s="798">
        <f t="shared" si="28"/>
        <v>1</v>
      </c>
      <c r="AJ857" s="1156" t="s">
        <v>3</v>
      </c>
      <c r="AK857" s="874">
        <v>2007</v>
      </c>
      <c r="AL857" s="1217" t="s">
        <v>65</v>
      </c>
      <c r="AM857" s="1217">
        <v>9</v>
      </c>
      <c r="AN857" s="1209">
        <v>118973233.83</v>
      </c>
      <c r="AO857" s="1367">
        <v>2.2545197657125034E-2</v>
      </c>
      <c r="AQ857" s="1156" t="s">
        <v>350</v>
      </c>
      <c r="AR857" s="874" t="s">
        <v>611</v>
      </c>
      <c r="AS857" s="1217" t="s">
        <v>452</v>
      </c>
      <c r="AT857" s="1217"/>
      <c r="AU857" s="1209">
        <v>2242594855</v>
      </c>
      <c r="AV857" s="1217"/>
      <c r="AW857" s="874">
        <v>2010</v>
      </c>
    </row>
    <row r="858" spans="1:49">
      <c r="A858" s="798">
        <f t="shared" si="27"/>
        <v>1900</v>
      </c>
      <c r="B858" s="798">
        <f t="shared" si="28"/>
        <v>1</v>
      </c>
      <c r="AJ858" s="1156" t="s">
        <v>3</v>
      </c>
      <c r="AK858" s="874">
        <v>2007</v>
      </c>
      <c r="AL858" s="1217" t="s">
        <v>30</v>
      </c>
      <c r="AM858" s="1217">
        <v>10</v>
      </c>
      <c r="AN858" s="1209">
        <v>107449740.98000002</v>
      </c>
      <c r="AO858" s="1367">
        <v>2.0361518054241062E-2</v>
      </c>
      <c r="AQ858" s="1156" t="s">
        <v>350</v>
      </c>
      <c r="AR858" s="874" t="s">
        <v>610</v>
      </c>
      <c r="AS858" s="1217" t="s">
        <v>24</v>
      </c>
      <c r="AT858" s="1217">
        <v>1</v>
      </c>
      <c r="AU858" s="1209">
        <v>757048804</v>
      </c>
      <c r="AV858" s="1211">
        <v>0.32900000000000001</v>
      </c>
      <c r="AW858" s="874">
        <v>2009</v>
      </c>
    </row>
    <row r="859" spans="1:49">
      <c r="A859" s="798">
        <f t="shared" si="27"/>
        <v>1900</v>
      </c>
      <c r="B859" s="798">
        <f t="shared" si="28"/>
        <v>1</v>
      </c>
      <c r="AJ859" s="1156" t="s">
        <v>3</v>
      </c>
      <c r="AK859" s="874">
        <v>2007</v>
      </c>
      <c r="AL859" s="1217" t="s">
        <v>45</v>
      </c>
      <c r="AM859" s="1217"/>
      <c r="AN859" s="1209">
        <v>184713673.28999996</v>
      </c>
      <c r="AO859" s="1367">
        <v>3.5002883759948533E-2</v>
      </c>
      <c r="AQ859" s="1156" t="s">
        <v>350</v>
      </c>
      <c r="AR859" s="874" t="s">
        <v>610</v>
      </c>
      <c r="AS859" s="1217" t="s">
        <v>30</v>
      </c>
      <c r="AT859" s="1217">
        <v>2</v>
      </c>
      <c r="AU859" s="1209">
        <v>473072647</v>
      </c>
      <c r="AV859" s="1211">
        <v>0.20599999999999999</v>
      </c>
      <c r="AW859" s="874">
        <v>2009</v>
      </c>
    </row>
    <row r="860" spans="1:49">
      <c r="A860" s="798">
        <f t="shared" si="27"/>
        <v>1900</v>
      </c>
      <c r="B860" s="798">
        <f t="shared" si="28"/>
        <v>1</v>
      </c>
      <c r="AJ860" s="1156" t="s">
        <v>3</v>
      </c>
      <c r="AK860" s="874">
        <v>2007</v>
      </c>
      <c r="AL860" s="1217" t="s">
        <v>452</v>
      </c>
      <c r="AM860" s="1217"/>
      <c r="AN860" s="1209">
        <v>5277098725.829999</v>
      </c>
      <c r="AQ860" s="1156" t="s">
        <v>350</v>
      </c>
      <c r="AR860" s="874" t="s">
        <v>610</v>
      </c>
      <c r="AS860" s="1217" t="s">
        <v>27</v>
      </c>
      <c r="AT860" s="1217">
        <v>3</v>
      </c>
      <c r="AU860" s="1209">
        <v>427718340</v>
      </c>
      <c r="AV860" s="1211">
        <v>0.186</v>
      </c>
      <c r="AW860" s="874">
        <v>2009</v>
      </c>
    </row>
    <row r="861" spans="1:49">
      <c r="A861" s="798">
        <f t="shared" si="27"/>
        <v>1900</v>
      </c>
      <c r="B861" s="798">
        <f t="shared" si="28"/>
        <v>1</v>
      </c>
      <c r="AJ861" s="1156" t="s">
        <v>0</v>
      </c>
      <c r="AK861" s="874">
        <v>2017</v>
      </c>
      <c r="AL861" s="1217" t="s">
        <v>40</v>
      </c>
      <c r="AM861" s="1217">
        <v>1</v>
      </c>
      <c r="AN861" s="1217">
        <v>1624053758.9600003</v>
      </c>
      <c r="AO861" s="1367">
        <v>0.26889193656596555</v>
      </c>
      <c r="AQ861" s="1156" t="s">
        <v>350</v>
      </c>
      <c r="AR861" s="874" t="s">
        <v>610</v>
      </c>
      <c r="AS861" s="1217" t="s">
        <v>29</v>
      </c>
      <c r="AT861" s="1217">
        <v>4</v>
      </c>
      <c r="AU861" s="1209">
        <v>394060290</v>
      </c>
      <c r="AV861" s="1211">
        <v>0.17100000000000001</v>
      </c>
      <c r="AW861" s="874">
        <v>2009</v>
      </c>
    </row>
    <row r="862" spans="1:49">
      <c r="A862" s="798">
        <f t="shared" si="27"/>
        <v>1900</v>
      </c>
      <c r="B862" s="798">
        <f t="shared" si="28"/>
        <v>1</v>
      </c>
      <c r="AJ862" s="1156" t="s">
        <v>0</v>
      </c>
      <c r="AK862" s="874">
        <v>2017</v>
      </c>
      <c r="AL862" s="1217" t="s">
        <v>23</v>
      </c>
      <c r="AM862" s="1217">
        <v>2</v>
      </c>
      <c r="AN862" s="1217">
        <v>703176648.66999996</v>
      </c>
      <c r="AO862" s="1367">
        <v>0.11642381279910501</v>
      </c>
      <c r="AQ862" s="1156" t="s">
        <v>350</v>
      </c>
      <c r="AR862" s="874" t="s">
        <v>610</v>
      </c>
      <c r="AS862" s="1217" t="s">
        <v>67</v>
      </c>
      <c r="AT862" s="1217">
        <v>5</v>
      </c>
      <c r="AU862" s="1209">
        <v>138660093</v>
      </c>
      <c r="AV862" s="1211">
        <v>0.06</v>
      </c>
      <c r="AW862" s="874">
        <v>2009</v>
      </c>
    </row>
    <row r="863" spans="1:49">
      <c r="A863" s="798">
        <f t="shared" si="27"/>
        <v>1900</v>
      </c>
      <c r="B863" s="798">
        <f t="shared" si="28"/>
        <v>1</v>
      </c>
      <c r="AJ863" s="1156" t="s">
        <v>0</v>
      </c>
      <c r="AK863" s="874">
        <v>2017</v>
      </c>
      <c r="AL863" s="1217" t="s">
        <v>27</v>
      </c>
      <c r="AM863" s="1217">
        <v>3</v>
      </c>
      <c r="AN863" s="1217">
        <v>631154374.48000002</v>
      </c>
      <c r="AO863" s="1367">
        <v>0.10449920212905205</v>
      </c>
      <c r="AQ863" s="1156" t="s">
        <v>350</v>
      </c>
      <c r="AR863" s="874" t="s">
        <v>610</v>
      </c>
      <c r="AS863" s="1217" t="s">
        <v>83</v>
      </c>
      <c r="AT863" s="1217">
        <v>6</v>
      </c>
      <c r="AU863" s="1209">
        <v>49638125</v>
      </c>
      <c r="AV863" s="1211">
        <v>2.1999999999999999E-2</v>
      </c>
      <c r="AW863" s="874">
        <v>2009</v>
      </c>
    </row>
    <row r="864" spans="1:49">
      <c r="A864" s="798">
        <f t="shared" si="27"/>
        <v>1900</v>
      </c>
      <c r="B864" s="798">
        <f t="shared" si="28"/>
        <v>1</v>
      </c>
      <c r="AJ864" s="1156" t="s">
        <v>0</v>
      </c>
      <c r="AK864" s="874">
        <v>2017</v>
      </c>
      <c r="AL864" s="1217" t="s">
        <v>38</v>
      </c>
      <c r="AM864" s="1217">
        <v>4</v>
      </c>
      <c r="AN864" s="1217">
        <v>578768509.75999987</v>
      </c>
      <c r="AO864" s="1367">
        <v>9.5825759802694629E-2</v>
      </c>
      <c r="AQ864" s="1156" t="s">
        <v>350</v>
      </c>
      <c r="AR864" s="874" t="s">
        <v>610</v>
      </c>
      <c r="AS864" s="1217" t="s">
        <v>39</v>
      </c>
      <c r="AT864" s="1217">
        <v>7</v>
      </c>
      <c r="AU864" s="1209">
        <v>29209847</v>
      </c>
      <c r="AV864" s="1211">
        <v>1.2999999999999999E-2</v>
      </c>
      <c r="AW864" s="874">
        <v>2009</v>
      </c>
    </row>
    <row r="865" spans="1:49">
      <c r="A865" s="798">
        <f t="shared" si="27"/>
        <v>1900</v>
      </c>
      <c r="B865" s="798">
        <f t="shared" si="28"/>
        <v>1</v>
      </c>
      <c r="AJ865" s="1156" t="s">
        <v>0</v>
      </c>
      <c r="AK865" s="874">
        <v>2017</v>
      </c>
      <c r="AL865" s="1217" t="s">
        <v>32</v>
      </c>
      <c r="AM865" s="1217">
        <v>5</v>
      </c>
      <c r="AN865" s="1217">
        <v>508372371.02000004</v>
      </c>
      <c r="AO865" s="1367">
        <v>8.4170385731403702E-2</v>
      </c>
      <c r="AQ865" s="1156" t="s">
        <v>350</v>
      </c>
      <c r="AR865" s="874" t="s">
        <v>610</v>
      </c>
      <c r="AS865" s="1217" t="s">
        <v>63</v>
      </c>
      <c r="AT865" s="1217">
        <v>8</v>
      </c>
      <c r="AU865" s="1209">
        <v>22568061</v>
      </c>
      <c r="AV865" s="1211">
        <v>0.01</v>
      </c>
      <c r="AW865" s="874">
        <v>2009</v>
      </c>
    </row>
    <row r="866" spans="1:49">
      <c r="A866" s="798">
        <f t="shared" si="27"/>
        <v>1900</v>
      </c>
      <c r="B866" s="798">
        <f t="shared" si="28"/>
        <v>1</v>
      </c>
      <c r="AJ866" s="1156" t="s">
        <v>0</v>
      </c>
      <c r="AK866" s="874">
        <v>2017</v>
      </c>
      <c r="AL866" s="1217" t="s">
        <v>31</v>
      </c>
      <c r="AM866" s="1217">
        <v>6</v>
      </c>
      <c r="AN866" s="1217">
        <v>408860835.13999999</v>
      </c>
      <c r="AO866" s="1367">
        <v>6.7694422761703871E-2</v>
      </c>
      <c r="AQ866" s="1156" t="s">
        <v>350</v>
      </c>
      <c r="AR866" s="874" t="s">
        <v>610</v>
      </c>
      <c r="AS866" s="1217" t="s">
        <v>468</v>
      </c>
      <c r="AT866" s="1217">
        <v>9</v>
      </c>
      <c r="AU866" s="1209">
        <v>6784046</v>
      </c>
      <c r="AV866" s="1211">
        <v>3.0000000000000001E-3</v>
      </c>
      <c r="AW866" s="874">
        <v>2009</v>
      </c>
    </row>
    <row r="867" spans="1:49">
      <c r="A867" s="798">
        <f t="shared" si="27"/>
        <v>1900</v>
      </c>
      <c r="B867" s="798">
        <f t="shared" si="28"/>
        <v>1</v>
      </c>
      <c r="AJ867" s="1156" t="s">
        <v>0</v>
      </c>
      <c r="AK867" s="874">
        <v>2017</v>
      </c>
      <c r="AL867" s="1217" t="s">
        <v>453</v>
      </c>
      <c r="AM867" s="1217">
        <v>7</v>
      </c>
      <c r="AN867" s="1217">
        <v>269526785.87</v>
      </c>
      <c r="AO867" s="1367">
        <v>4.4625111089545907E-2</v>
      </c>
      <c r="AQ867" s="1156" t="s">
        <v>350</v>
      </c>
      <c r="AR867" s="874" t="s">
        <v>610</v>
      </c>
      <c r="AS867" s="1217" t="s">
        <v>84</v>
      </c>
      <c r="AT867" s="1217">
        <v>10</v>
      </c>
      <c r="AU867" s="1209">
        <v>418389</v>
      </c>
      <c r="AV867" s="1211">
        <v>0</v>
      </c>
      <c r="AW867" s="874">
        <v>2009</v>
      </c>
    </row>
    <row r="868" spans="1:49">
      <c r="A868" s="798">
        <f t="shared" si="27"/>
        <v>1900</v>
      </c>
      <c r="B868" s="798">
        <f t="shared" si="28"/>
        <v>1</v>
      </c>
      <c r="AJ868" s="1156" t="s">
        <v>0</v>
      </c>
      <c r="AK868" s="874">
        <v>2017</v>
      </c>
      <c r="AL868" s="1217" t="s">
        <v>24</v>
      </c>
      <c r="AM868" s="1217">
        <v>8</v>
      </c>
      <c r="AN868" s="1217">
        <v>261292134.10000002</v>
      </c>
      <c r="AO868" s="1367">
        <v>4.3261713203752036E-2</v>
      </c>
      <c r="AQ868" s="1156" t="s">
        <v>350</v>
      </c>
      <c r="AR868" s="874" t="s">
        <v>610</v>
      </c>
      <c r="AS868" s="1217" t="s">
        <v>45</v>
      </c>
      <c r="AT868" s="1217"/>
      <c r="AU868" s="1209">
        <v>52107</v>
      </c>
      <c r="AV868" s="1211">
        <v>0</v>
      </c>
      <c r="AW868" s="874">
        <v>2009</v>
      </c>
    </row>
    <row r="869" spans="1:49">
      <c r="A869" s="798">
        <f t="shared" si="27"/>
        <v>1900</v>
      </c>
      <c r="B869" s="798">
        <f t="shared" si="28"/>
        <v>1</v>
      </c>
      <c r="AJ869" s="1156" t="s">
        <v>0</v>
      </c>
      <c r="AK869" s="874">
        <v>2017</v>
      </c>
      <c r="AL869" s="1217" t="s">
        <v>22</v>
      </c>
      <c r="AM869" s="1217">
        <v>9</v>
      </c>
      <c r="AN869" s="1217">
        <v>207337004.41999999</v>
      </c>
      <c r="AO869" s="1367">
        <v>3.4328450233064661E-2</v>
      </c>
      <c r="AQ869" s="1156" t="s">
        <v>350</v>
      </c>
      <c r="AR869" s="874" t="s">
        <v>610</v>
      </c>
      <c r="AS869" s="1217" t="s">
        <v>452</v>
      </c>
      <c r="AT869" s="1217"/>
      <c r="AU869" s="1209">
        <v>2299230749</v>
      </c>
      <c r="AV869" s="1217"/>
      <c r="AW869" s="874">
        <v>2009</v>
      </c>
    </row>
    <row r="870" spans="1:49">
      <c r="A870" s="798">
        <f t="shared" si="27"/>
        <v>1900</v>
      </c>
      <c r="B870" s="798">
        <f t="shared" si="28"/>
        <v>1</v>
      </c>
      <c r="AJ870" s="1156" t="s">
        <v>0</v>
      </c>
      <c r="AK870" s="874">
        <v>2017</v>
      </c>
      <c r="AL870" s="1217" t="s">
        <v>28</v>
      </c>
      <c r="AM870" s="1217">
        <v>10</v>
      </c>
      <c r="AN870" s="1217">
        <v>164780567.56000003</v>
      </c>
      <c r="AO870" s="1367">
        <v>2.7282450273087677E-2</v>
      </c>
      <c r="AQ870" s="1156" t="s">
        <v>350</v>
      </c>
      <c r="AR870" s="874" t="s">
        <v>609</v>
      </c>
      <c r="AS870" s="1217" t="s">
        <v>24</v>
      </c>
      <c r="AT870" s="1217">
        <v>1</v>
      </c>
      <c r="AU870" s="1209">
        <v>421798865</v>
      </c>
      <c r="AV870" s="1211">
        <v>0.28399999999999997</v>
      </c>
      <c r="AW870" s="874">
        <v>2008</v>
      </c>
    </row>
    <row r="871" spans="1:49">
      <c r="A871" s="798">
        <f t="shared" si="27"/>
        <v>1900</v>
      </c>
      <c r="B871" s="798">
        <f t="shared" si="28"/>
        <v>1</v>
      </c>
      <c r="AJ871" s="1156" t="s">
        <v>0</v>
      </c>
      <c r="AK871" s="874">
        <v>2017</v>
      </c>
      <c r="AL871" s="1217" t="s">
        <v>45</v>
      </c>
      <c r="AM871" s="1217"/>
      <c r="AN871" s="1217">
        <v>682477904.39000034</v>
      </c>
      <c r="AO871" s="1367">
        <v>0.11299675541062487</v>
      </c>
      <c r="AQ871" s="1156" t="s">
        <v>350</v>
      </c>
      <c r="AR871" s="874" t="s">
        <v>609</v>
      </c>
      <c r="AS871" s="1217" t="s">
        <v>27</v>
      </c>
      <c r="AT871" s="1217">
        <v>2</v>
      </c>
      <c r="AU871" s="1209">
        <v>330805323</v>
      </c>
      <c r="AV871" s="1211">
        <v>0.223</v>
      </c>
      <c r="AW871" s="874">
        <v>2008</v>
      </c>
    </row>
    <row r="872" spans="1:49">
      <c r="A872" s="798">
        <f t="shared" si="27"/>
        <v>1900</v>
      </c>
      <c r="B872" s="798">
        <f t="shared" si="28"/>
        <v>1</v>
      </c>
      <c r="AJ872" s="1156" t="s">
        <v>0</v>
      </c>
      <c r="AK872" s="874">
        <v>2017</v>
      </c>
      <c r="AL872" s="1217" t="s">
        <v>452</v>
      </c>
      <c r="AM872" s="1217"/>
      <c r="AN872" s="1217">
        <v>6039800894.3700008</v>
      </c>
      <c r="AQ872" s="1156" t="s">
        <v>350</v>
      </c>
      <c r="AR872" s="874" t="s">
        <v>609</v>
      </c>
      <c r="AS872" s="1217" t="s">
        <v>30</v>
      </c>
      <c r="AT872" s="1217">
        <v>3</v>
      </c>
      <c r="AU872" s="1209">
        <v>308467547</v>
      </c>
      <c r="AV872" s="1211">
        <v>0.20799999999999999</v>
      </c>
      <c r="AW872" s="874">
        <v>2008</v>
      </c>
    </row>
    <row r="873" spans="1:49">
      <c r="A873" s="798">
        <f t="shared" si="27"/>
        <v>1900</v>
      </c>
      <c r="B873" s="798">
        <f t="shared" si="28"/>
        <v>1</v>
      </c>
      <c r="AJ873" s="1217" t="s">
        <v>538</v>
      </c>
      <c r="AK873" s="1217">
        <v>2017</v>
      </c>
      <c r="AL873" s="1217" t="s">
        <v>24</v>
      </c>
      <c r="AM873" s="1217">
        <v>1</v>
      </c>
      <c r="AN873" s="1217">
        <v>248407213.91</v>
      </c>
      <c r="AO873" s="1367">
        <v>0.27070210670960199</v>
      </c>
      <c r="AQ873" s="1156" t="s">
        <v>350</v>
      </c>
      <c r="AR873" s="874" t="s">
        <v>609</v>
      </c>
      <c r="AS873" s="1217" t="s">
        <v>29</v>
      </c>
      <c r="AT873" s="1217">
        <v>4</v>
      </c>
      <c r="AU873" s="1209">
        <v>254840208</v>
      </c>
      <c r="AV873" s="1211">
        <v>0.17199999999999999</v>
      </c>
      <c r="AW873" s="874">
        <v>2008</v>
      </c>
    </row>
    <row r="874" spans="1:49">
      <c r="A874" s="798">
        <f t="shared" si="27"/>
        <v>1900</v>
      </c>
      <c r="B874" s="798">
        <f t="shared" si="28"/>
        <v>1</v>
      </c>
      <c r="AJ874" s="1217" t="s">
        <v>538</v>
      </c>
      <c r="AK874" s="1217">
        <v>2017</v>
      </c>
      <c r="AL874" s="1217" t="s">
        <v>37</v>
      </c>
      <c r="AM874" s="1217">
        <v>2</v>
      </c>
      <c r="AN874" s="1217">
        <v>115191379.36999999</v>
      </c>
      <c r="AO874" s="1367">
        <v>0.12552996581468717</v>
      </c>
      <c r="AQ874" s="1156" t="s">
        <v>350</v>
      </c>
      <c r="AR874" s="874" t="s">
        <v>609</v>
      </c>
      <c r="AS874" s="1217" t="s">
        <v>39</v>
      </c>
      <c r="AT874" s="1217">
        <v>5</v>
      </c>
      <c r="AU874" s="1209">
        <v>62727851</v>
      </c>
      <c r="AV874" s="1211">
        <v>4.2000000000000003E-2</v>
      </c>
      <c r="AW874" s="874">
        <v>2008</v>
      </c>
    </row>
    <row r="875" spans="1:49">
      <c r="A875" s="798">
        <f t="shared" si="27"/>
        <v>1900</v>
      </c>
      <c r="B875" s="798">
        <f t="shared" si="28"/>
        <v>1</v>
      </c>
      <c r="AJ875" s="1217" t="s">
        <v>538</v>
      </c>
      <c r="AK875" s="1217">
        <v>2017</v>
      </c>
      <c r="AL875" s="1217" t="s">
        <v>31</v>
      </c>
      <c r="AM875" s="1217">
        <v>3</v>
      </c>
      <c r="AN875" s="1217">
        <v>90739758.179999992</v>
      </c>
      <c r="AO875" s="1367">
        <v>9.8883777628718056E-2</v>
      </c>
      <c r="AQ875" s="1156" t="s">
        <v>350</v>
      </c>
      <c r="AR875" s="874" t="s">
        <v>609</v>
      </c>
      <c r="AS875" s="1217" t="s">
        <v>63</v>
      </c>
      <c r="AT875" s="1217">
        <v>6</v>
      </c>
      <c r="AU875" s="1209">
        <v>46961150</v>
      </c>
      <c r="AV875" s="1211">
        <v>3.2000000000000001E-2</v>
      </c>
      <c r="AW875" s="874">
        <v>2008</v>
      </c>
    </row>
    <row r="876" spans="1:49">
      <c r="A876" s="798">
        <f t="shared" si="27"/>
        <v>1900</v>
      </c>
      <c r="B876" s="798">
        <f t="shared" si="28"/>
        <v>1</v>
      </c>
      <c r="AJ876" s="1217" t="s">
        <v>538</v>
      </c>
      <c r="AK876" s="1217">
        <v>2017</v>
      </c>
      <c r="AL876" s="1217" t="s">
        <v>33</v>
      </c>
      <c r="AM876" s="1217">
        <v>4</v>
      </c>
      <c r="AN876" s="1217">
        <v>82714576.290000007</v>
      </c>
      <c r="AO876" s="1367">
        <v>9.0138324506982906E-2</v>
      </c>
      <c r="AQ876" s="1156" t="s">
        <v>350</v>
      </c>
      <c r="AR876" s="874" t="s">
        <v>609</v>
      </c>
      <c r="AS876" s="1217" t="s">
        <v>83</v>
      </c>
      <c r="AT876" s="1217">
        <v>7</v>
      </c>
      <c r="AU876" s="1209">
        <v>33030544</v>
      </c>
      <c r="AV876" s="1211">
        <v>2.1999999999999999E-2</v>
      </c>
      <c r="AW876" s="874">
        <v>2008</v>
      </c>
    </row>
    <row r="877" spans="1:49">
      <c r="A877" s="798">
        <f t="shared" si="27"/>
        <v>1900</v>
      </c>
      <c r="B877" s="798">
        <f t="shared" si="28"/>
        <v>1</v>
      </c>
      <c r="AJ877" s="1217" t="s">
        <v>538</v>
      </c>
      <c r="AK877" s="1217">
        <v>2017</v>
      </c>
      <c r="AL877" s="1217" t="s">
        <v>41</v>
      </c>
      <c r="AM877" s="1217">
        <v>5</v>
      </c>
      <c r="AN877" s="1217">
        <v>82456370.829999998</v>
      </c>
      <c r="AO877" s="1367">
        <v>8.9856944747974579E-2</v>
      </c>
      <c r="AQ877" s="1156" t="s">
        <v>350</v>
      </c>
      <c r="AR877" s="874" t="s">
        <v>609</v>
      </c>
      <c r="AS877" s="1217" t="s">
        <v>33</v>
      </c>
      <c r="AT877" s="1217">
        <v>8</v>
      </c>
      <c r="AU877" s="1209">
        <v>13505402</v>
      </c>
      <c r="AV877" s="1211">
        <v>8.9999999999999993E-3</v>
      </c>
      <c r="AW877" s="874">
        <v>2008</v>
      </c>
    </row>
    <row r="878" spans="1:49">
      <c r="A878" s="798">
        <f t="shared" si="27"/>
        <v>1900</v>
      </c>
      <c r="B878" s="798">
        <f t="shared" si="28"/>
        <v>1</v>
      </c>
      <c r="AJ878" s="1217" t="s">
        <v>538</v>
      </c>
      <c r="AK878" s="1217">
        <v>2017</v>
      </c>
      <c r="AL878" s="1217" t="s">
        <v>72</v>
      </c>
      <c r="AM878" s="1217">
        <v>6</v>
      </c>
      <c r="AN878" s="1217">
        <v>65236124.170000002</v>
      </c>
      <c r="AO878" s="1367">
        <v>7.10911570095802E-2</v>
      </c>
      <c r="AQ878" s="1156" t="s">
        <v>350</v>
      </c>
      <c r="AR878" s="874" t="s">
        <v>609</v>
      </c>
      <c r="AS878" s="1217" t="s">
        <v>67</v>
      </c>
      <c r="AT878" s="1217">
        <v>9</v>
      </c>
      <c r="AU878" s="1209">
        <v>11787985</v>
      </c>
      <c r="AV878" s="1211">
        <v>8.0000000000000002E-3</v>
      </c>
      <c r="AW878" s="874">
        <v>2008</v>
      </c>
    </row>
    <row r="879" spans="1:49">
      <c r="A879" s="798">
        <f t="shared" si="27"/>
        <v>1900</v>
      </c>
      <c r="B879" s="798">
        <f t="shared" si="28"/>
        <v>1</v>
      </c>
      <c r="AJ879" s="1217" t="s">
        <v>538</v>
      </c>
      <c r="AK879" s="1217">
        <v>2017</v>
      </c>
      <c r="AL879" s="1217" t="s">
        <v>672</v>
      </c>
      <c r="AM879" s="1217">
        <v>7</v>
      </c>
      <c r="AN879" s="1217">
        <v>58514030.589999996</v>
      </c>
      <c r="AO879" s="1367">
        <v>6.376574618530205E-2</v>
      </c>
      <c r="AQ879" s="1156" t="s">
        <v>350</v>
      </c>
      <c r="AR879" s="874" t="s">
        <v>609</v>
      </c>
      <c r="AS879" s="1217" t="s">
        <v>157</v>
      </c>
      <c r="AT879" s="1217">
        <v>10</v>
      </c>
      <c r="AU879" s="1209">
        <v>2394</v>
      </c>
      <c r="AV879" s="1211">
        <v>0</v>
      </c>
      <c r="AW879" s="874">
        <v>2008</v>
      </c>
    </row>
    <row r="880" spans="1:49">
      <c r="A880" s="798">
        <f t="shared" si="27"/>
        <v>1900</v>
      </c>
      <c r="B880" s="798">
        <f t="shared" si="28"/>
        <v>1</v>
      </c>
      <c r="AJ880" s="1217" t="s">
        <v>538</v>
      </c>
      <c r="AK880" s="1217">
        <v>2017</v>
      </c>
      <c r="AL880" s="1217" t="s">
        <v>84</v>
      </c>
      <c r="AM880" s="1217">
        <v>8</v>
      </c>
      <c r="AN880" s="1217">
        <v>54664160.530000009</v>
      </c>
      <c r="AO880" s="1367">
        <v>5.9570344935087942E-2</v>
      </c>
      <c r="AQ880" s="1156" t="s">
        <v>350</v>
      </c>
      <c r="AR880" s="874" t="s">
        <v>609</v>
      </c>
      <c r="AS880" s="1217" t="s">
        <v>45</v>
      </c>
      <c r="AT880" s="1217"/>
      <c r="AU880" s="1217" t="s">
        <v>634</v>
      </c>
      <c r="AV880" s="1211">
        <v>0</v>
      </c>
      <c r="AW880" s="874">
        <v>2008</v>
      </c>
    </row>
    <row r="881" spans="1:49">
      <c r="A881" s="798">
        <f t="shared" si="27"/>
        <v>1900</v>
      </c>
      <c r="B881" s="798">
        <f t="shared" si="28"/>
        <v>1</v>
      </c>
      <c r="AJ881" s="1217" t="s">
        <v>538</v>
      </c>
      <c r="AK881" s="1217">
        <v>2017</v>
      </c>
      <c r="AL881" s="1217" t="s">
        <v>29</v>
      </c>
      <c r="AM881" s="1217">
        <v>9</v>
      </c>
      <c r="AN881" s="1217">
        <v>32256598.260000002</v>
      </c>
      <c r="AO881" s="1367">
        <v>3.5151672798966832E-2</v>
      </c>
      <c r="AQ881" s="1156" t="s">
        <v>350</v>
      </c>
      <c r="AR881" s="874" t="s">
        <v>609</v>
      </c>
      <c r="AS881" s="1217" t="s">
        <v>452</v>
      </c>
      <c r="AT881" s="1217"/>
      <c r="AU881" s="1209">
        <v>1483927269</v>
      </c>
      <c r="AV881" s="1217"/>
      <c r="AW881" s="874">
        <v>2008</v>
      </c>
    </row>
    <row r="882" spans="1:49">
      <c r="A882" s="798">
        <f t="shared" si="27"/>
        <v>1900</v>
      </c>
      <c r="B882" s="798">
        <f t="shared" si="28"/>
        <v>1</v>
      </c>
      <c r="AJ882" s="1217" t="s">
        <v>538</v>
      </c>
      <c r="AK882" s="1217">
        <v>2017</v>
      </c>
      <c r="AL882" s="1217" t="s">
        <v>40</v>
      </c>
      <c r="AM882" s="1217">
        <v>10</v>
      </c>
      <c r="AN882" s="1217">
        <v>14779667.939999999</v>
      </c>
      <c r="AO882" s="1367">
        <v>1.6106163685229841E-2</v>
      </c>
      <c r="AQ882" s="1156" t="s">
        <v>350</v>
      </c>
      <c r="AR882" s="874" t="s">
        <v>608</v>
      </c>
      <c r="AS882" s="1217" t="s">
        <v>27</v>
      </c>
      <c r="AT882" s="1217">
        <v>1</v>
      </c>
      <c r="AU882" s="1209">
        <v>493447011</v>
      </c>
      <c r="AV882" s="1211">
        <v>0.315</v>
      </c>
      <c r="AW882" s="874">
        <v>2007</v>
      </c>
    </row>
    <row r="883" spans="1:49">
      <c r="A883" s="798">
        <f t="shared" si="27"/>
        <v>1900</v>
      </c>
      <c r="B883" s="798">
        <f t="shared" si="28"/>
        <v>1</v>
      </c>
      <c r="AJ883" s="1217" t="s">
        <v>538</v>
      </c>
      <c r="AK883" s="1217">
        <v>2017</v>
      </c>
      <c r="AL883" s="1217" t="s">
        <v>45</v>
      </c>
      <c r="AM883" s="1217"/>
      <c r="AN883" s="1217">
        <v>72680610.170000076</v>
      </c>
      <c r="AO883" s="1367">
        <v>7.9203795977868363E-2</v>
      </c>
      <c r="AQ883" s="1156" t="s">
        <v>350</v>
      </c>
      <c r="AR883" s="874" t="s">
        <v>608</v>
      </c>
      <c r="AS883" s="1217" t="s">
        <v>24</v>
      </c>
      <c r="AT883" s="1217">
        <v>2</v>
      </c>
      <c r="AU883" s="1209">
        <v>379152167</v>
      </c>
      <c r="AV883" s="1211">
        <v>0.24199999999999999</v>
      </c>
      <c r="AW883" s="874">
        <v>2007</v>
      </c>
    </row>
    <row r="884" spans="1:49">
      <c r="A884" s="798">
        <f t="shared" si="27"/>
        <v>1900</v>
      </c>
      <c r="B884" s="798">
        <f t="shared" si="28"/>
        <v>1</v>
      </c>
      <c r="AH884" s="1347"/>
      <c r="AJ884" s="1217" t="s">
        <v>538</v>
      </c>
      <c r="AK884" s="1217">
        <v>2017</v>
      </c>
      <c r="AL884" s="1217" t="s">
        <v>452</v>
      </c>
      <c r="AM884" s="1217"/>
      <c r="AN884" s="1217">
        <v>917640490.24000013</v>
      </c>
      <c r="AQ884" s="1156" t="s">
        <v>350</v>
      </c>
      <c r="AR884" s="874" t="s">
        <v>608</v>
      </c>
      <c r="AS884" s="1217" t="s">
        <v>30</v>
      </c>
      <c r="AT884" s="1217">
        <v>3</v>
      </c>
      <c r="AU884" s="1209">
        <v>268983201</v>
      </c>
      <c r="AV884" s="1211">
        <v>0.17199999999999999</v>
      </c>
      <c r="AW884" s="874">
        <v>2007</v>
      </c>
    </row>
    <row r="885" spans="1:49">
      <c r="A885" s="798">
        <f t="shared" si="27"/>
        <v>1900</v>
      </c>
      <c r="B885" s="798">
        <f t="shared" si="28"/>
        <v>1</v>
      </c>
      <c r="AH885" s="1347"/>
      <c r="AJ885" s="1217" t="s">
        <v>350</v>
      </c>
      <c r="AK885" s="1217">
        <v>2017</v>
      </c>
      <c r="AL885" s="1347" t="s">
        <v>24</v>
      </c>
      <c r="AM885" s="1217">
        <v>1</v>
      </c>
      <c r="AN885" s="1217">
        <v>911567422.16099977</v>
      </c>
      <c r="AO885" s="1367">
        <v>0.25984922915411907</v>
      </c>
      <c r="AQ885" s="1156" t="s">
        <v>350</v>
      </c>
      <c r="AR885" s="874" t="s">
        <v>608</v>
      </c>
      <c r="AS885" s="1217" t="s">
        <v>29</v>
      </c>
      <c r="AT885" s="1217">
        <v>4</v>
      </c>
      <c r="AU885" s="1209">
        <v>254992821</v>
      </c>
      <c r="AV885" s="1211">
        <v>0.16300000000000001</v>
      </c>
      <c r="AW885" s="874">
        <v>2007</v>
      </c>
    </row>
    <row r="886" spans="1:49">
      <c r="A886" s="798">
        <f t="shared" si="27"/>
        <v>1900</v>
      </c>
      <c r="B886" s="798">
        <f t="shared" si="28"/>
        <v>1</v>
      </c>
      <c r="AJ886" s="1217" t="s">
        <v>350</v>
      </c>
      <c r="AK886" s="1217">
        <v>2017</v>
      </c>
      <c r="AL886" s="1347" t="s">
        <v>83</v>
      </c>
      <c r="AM886" s="1217">
        <v>2</v>
      </c>
      <c r="AN886" s="1217">
        <v>900882864.80999994</v>
      </c>
      <c r="AO886" s="1367">
        <v>0.25680351479003122</v>
      </c>
      <c r="AQ886" s="1156" t="s">
        <v>350</v>
      </c>
      <c r="AR886" s="874" t="s">
        <v>608</v>
      </c>
      <c r="AS886" s="1217" t="s">
        <v>83</v>
      </c>
      <c r="AT886" s="1217">
        <v>5</v>
      </c>
      <c r="AU886" s="1209">
        <v>55307683</v>
      </c>
      <c r="AV886" s="1211">
        <v>3.5000000000000003E-2</v>
      </c>
      <c r="AW886" s="874">
        <v>2007</v>
      </c>
    </row>
    <row r="887" spans="1:49">
      <c r="A887" s="798">
        <f t="shared" si="27"/>
        <v>1900</v>
      </c>
      <c r="B887" s="798">
        <f t="shared" si="28"/>
        <v>1</v>
      </c>
      <c r="AJ887" s="1217" t="s">
        <v>350</v>
      </c>
      <c r="AK887" s="1217">
        <v>2017</v>
      </c>
      <c r="AL887" s="1348" t="s">
        <v>30</v>
      </c>
      <c r="AM887" s="1217">
        <v>3</v>
      </c>
      <c r="AN887" s="1217">
        <v>745675037.17999983</v>
      </c>
      <c r="AO887" s="1367">
        <v>0.21256034265830734</v>
      </c>
      <c r="AQ887" s="1156" t="s">
        <v>350</v>
      </c>
      <c r="AR887" s="874" t="s">
        <v>608</v>
      </c>
      <c r="AS887" s="1217" t="s">
        <v>39</v>
      </c>
      <c r="AT887" s="1217">
        <v>6</v>
      </c>
      <c r="AU887" s="1209">
        <v>48328777</v>
      </c>
      <c r="AV887" s="1211">
        <v>3.1E-2</v>
      </c>
      <c r="AW887" s="874">
        <v>2007</v>
      </c>
    </row>
    <row r="888" spans="1:49">
      <c r="A888" s="798">
        <f t="shared" si="27"/>
        <v>1900</v>
      </c>
      <c r="B888" s="798">
        <f t="shared" si="28"/>
        <v>1</v>
      </c>
      <c r="AH888" s="1347"/>
      <c r="AJ888" s="1217" t="s">
        <v>350</v>
      </c>
      <c r="AK888" s="1217">
        <v>2017</v>
      </c>
      <c r="AL888" s="1348" t="s">
        <v>67</v>
      </c>
      <c r="AM888" s="1217">
        <v>4</v>
      </c>
      <c r="AN888" s="1217">
        <v>337072844.76999998</v>
      </c>
      <c r="AO888" s="1367">
        <v>9.608517894883789E-2</v>
      </c>
      <c r="AQ888" s="1156" t="s">
        <v>350</v>
      </c>
      <c r="AR888" s="874" t="s">
        <v>608</v>
      </c>
      <c r="AS888" s="1217" t="s">
        <v>63</v>
      </c>
      <c r="AT888" s="1217">
        <v>7</v>
      </c>
      <c r="AU888" s="1209">
        <v>35640758</v>
      </c>
      <c r="AV888" s="1211">
        <v>2.3E-2</v>
      </c>
      <c r="AW888" s="874">
        <v>2007</v>
      </c>
    </row>
    <row r="889" spans="1:49">
      <c r="A889" s="798">
        <f t="shared" si="27"/>
        <v>1900</v>
      </c>
      <c r="B889" s="798">
        <f t="shared" si="28"/>
        <v>1</v>
      </c>
      <c r="AH889" s="1347"/>
      <c r="AJ889" s="1217" t="s">
        <v>350</v>
      </c>
      <c r="AK889" s="1217">
        <v>2017</v>
      </c>
      <c r="AL889" s="1347" t="s">
        <v>29</v>
      </c>
      <c r="AM889" s="1217">
        <v>5</v>
      </c>
      <c r="AN889" s="1217">
        <v>331428242.59000003</v>
      </c>
      <c r="AO889" s="1367">
        <v>9.4476142151672063E-2</v>
      </c>
      <c r="AQ889" s="1156" t="s">
        <v>350</v>
      </c>
      <c r="AR889" s="874" t="s">
        <v>608</v>
      </c>
      <c r="AS889" s="1217" t="s">
        <v>38</v>
      </c>
      <c r="AT889" s="1217">
        <v>8</v>
      </c>
      <c r="AU889" s="1209">
        <v>14639640</v>
      </c>
      <c r="AV889" s="1211">
        <v>8.9999999999999993E-3</v>
      </c>
      <c r="AW889" s="874">
        <v>2007</v>
      </c>
    </row>
    <row r="890" spans="1:49">
      <c r="A890" s="798">
        <f t="shared" si="27"/>
        <v>1900</v>
      </c>
      <c r="B890" s="798">
        <f t="shared" si="28"/>
        <v>1</v>
      </c>
      <c r="AH890" s="1347"/>
      <c r="AJ890" s="1217" t="s">
        <v>350</v>
      </c>
      <c r="AK890" s="1217">
        <v>2017</v>
      </c>
      <c r="AL890" s="1347" t="s">
        <v>27</v>
      </c>
      <c r="AM890" s="1217">
        <v>6</v>
      </c>
      <c r="AN890" s="1217">
        <v>245558032.97999999</v>
      </c>
      <c r="AO890" s="1367">
        <v>6.9998185577089492E-2</v>
      </c>
      <c r="AQ890" s="1156" t="s">
        <v>350</v>
      </c>
      <c r="AR890" s="874" t="s">
        <v>608</v>
      </c>
      <c r="AS890" s="1217" t="s">
        <v>65</v>
      </c>
      <c r="AT890" s="1217">
        <v>9</v>
      </c>
      <c r="AU890" s="1209">
        <v>14456853</v>
      </c>
      <c r="AV890" s="1211">
        <v>8.9999999999999993E-3</v>
      </c>
      <c r="AW890" s="874">
        <v>2007</v>
      </c>
    </row>
    <row r="891" spans="1:49">
      <c r="A891" s="798">
        <f t="shared" si="27"/>
        <v>1900</v>
      </c>
      <c r="B891" s="798">
        <f t="shared" si="28"/>
        <v>1</v>
      </c>
      <c r="AJ891" s="1217" t="s">
        <v>350</v>
      </c>
      <c r="AK891" s="1217">
        <v>2017</v>
      </c>
      <c r="AL891" s="1347" t="s">
        <v>63</v>
      </c>
      <c r="AM891" s="1217">
        <v>7</v>
      </c>
      <c r="AN891" s="1217">
        <v>35878385.359999999</v>
      </c>
      <c r="AO891" s="1367">
        <v>1.0227406719942893E-2</v>
      </c>
      <c r="AQ891" s="1156" t="s">
        <v>350</v>
      </c>
      <c r="AR891" s="874" t="s">
        <v>608</v>
      </c>
      <c r="AS891" s="1217" t="s">
        <v>41</v>
      </c>
      <c r="AT891" s="1217">
        <v>10</v>
      </c>
      <c r="AU891" s="1209">
        <v>1700</v>
      </c>
      <c r="AV891" s="1211">
        <v>0</v>
      </c>
      <c r="AW891" s="874">
        <v>2007</v>
      </c>
    </row>
    <row r="892" spans="1:49">
      <c r="A892" s="798">
        <f t="shared" si="27"/>
        <v>1900</v>
      </c>
      <c r="B892" s="798">
        <f t="shared" si="28"/>
        <v>1</v>
      </c>
      <c r="AJ892" s="1217" t="s">
        <v>350</v>
      </c>
      <c r="AK892" s="1217">
        <v>2017</v>
      </c>
      <c r="AL892" s="1217" t="s">
        <v>693</v>
      </c>
      <c r="AM892" s="1217">
        <v>8</v>
      </c>
      <c r="AN892" s="1347"/>
      <c r="AO892" s="1347"/>
      <c r="AQ892" s="1156" t="s">
        <v>350</v>
      </c>
      <c r="AR892" s="874" t="s">
        <v>608</v>
      </c>
      <c r="AS892" s="1217" t="s">
        <v>45</v>
      </c>
      <c r="AT892" s="1217"/>
      <c r="AU892" s="1217" t="s">
        <v>634</v>
      </c>
      <c r="AV892" s="1211">
        <v>0</v>
      </c>
      <c r="AW892" s="874">
        <v>2007</v>
      </c>
    </row>
    <row r="893" spans="1:49">
      <c r="A893" s="798">
        <f t="shared" si="27"/>
        <v>1900</v>
      </c>
      <c r="B893" s="798">
        <f t="shared" si="28"/>
        <v>1</v>
      </c>
      <c r="AJ893" s="1217" t="s">
        <v>350</v>
      </c>
      <c r="AK893" s="1217">
        <v>2017</v>
      </c>
      <c r="AL893" s="1347" t="s">
        <v>693</v>
      </c>
      <c r="AM893" s="1217">
        <v>9</v>
      </c>
      <c r="AN893" s="1347"/>
      <c r="AO893" s="1347"/>
      <c r="AQ893" s="1156" t="s">
        <v>350</v>
      </c>
      <c r="AR893" s="874" t="s">
        <v>608</v>
      </c>
      <c r="AS893" s="1217" t="s">
        <v>452</v>
      </c>
      <c r="AT893" s="1217"/>
      <c r="AU893" s="1209">
        <v>1564950612</v>
      </c>
      <c r="AV893" s="1217"/>
      <c r="AW893" s="874">
        <v>2007</v>
      </c>
    </row>
    <row r="894" spans="1:49">
      <c r="A894" s="798">
        <f t="shared" si="27"/>
        <v>1900</v>
      </c>
      <c r="B894" s="798">
        <f t="shared" si="28"/>
        <v>1</v>
      </c>
      <c r="AJ894" s="1217" t="s">
        <v>350</v>
      </c>
      <c r="AK894" s="1217">
        <v>2017</v>
      </c>
      <c r="AL894" s="1347" t="s">
        <v>693</v>
      </c>
      <c r="AM894" s="1217">
        <v>10</v>
      </c>
      <c r="AN894" s="1347"/>
      <c r="AO894" s="1347"/>
      <c r="AQ894" s="1156" t="s">
        <v>0</v>
      </c>
      <c r="AR894" s="794" t="s">
        <v>669</v>
      </c>
      <c r="AS894" s="860" t="s">
        <v>40</v>
      </c>
      <c r="AT894" s="860">
        <v>1</v>
      </c>
      <c r="AU894" s="1377">
        <v>1206670597.75</v>
      </c>
      <c r="AV894" s="862">
        <v>0.22664407779028015</v>
      </c>
      <c r="AW894" s="794">
        <v>2016</v>
      </c>
    </row>
    <row r="895" spans="1:49">
      <c r="A895" s="798">
        <f t="shared" si="27"/>
        <v>1900</v>
      </c>
      <c r="B895" s="798">
        <f t="shared" si="28"/>
        <v>1</v>
      </c>
      <c r="AJ895" s="1217" t="s">
        <v>350</v>
      </c>
      <c r="AK895" s="1217">
        <v>2017</v>
      </c>
      <c r="AL895" s="1217" t="s">
        <v>45</v>
      </c>
      <c r="AM895" s="1217"/>
      <c r="AN895" s="1347"/>
      <c r="AO895" s="1347"/>
      <c r="AQ895" s="860" t="s">
        <v>0</v>
      </c>
      <c r="AR895" s="794" t="s">
        <v>669</v>
      </c>
      <c r="AS895" s="860" t="s">
        <v>23</v>
      </c>
      <c r="AT895" s="860">
        <v>2</v>
      </c>
      <c r="AU895" s="1377">
        <v>764304801.37</v>
      </c>
      <c r="AV895" s="862">
        <v>0.14355629214815424</v>
      </c>
      <c r="AW895" s="794">
        <v>2016</v>
      </c>
    </row>
    <row r="896" spans="1:49">
      <c r="A896" s="798">
        <f t="shared" si="27"/>
        <v>1900</v>
      </c>
      <c r="B896" s="798">
        <f t="shared" si="28"/>
        <v>1</v>
      </c>
      <c r="Y896" s="1348"/>
      <c r="Z896" s="1348"/>
      <c r="AA896" s="1348"/>
      <c r="AB896" s="1348"/>
      <c r="AC896" s="1348"/>
      <c r="AJ896" s="1217" t="s">
        <v>350</v>
      </c>
      <c r="AK896" s="1217">
        <v>2017</v>
      </c>
      <c r="AL896" s="1217" t="s">
        <v>452</v>
      </c>
      <c r="AM896" s="1217"/>
      <c r="AN896" s="1217">
        <v>3508062829.8509998</v>
      </c>
      <c r="AQ896" s="860" t="s">
        <v>0</v>
      </c>
      <c r="AR896" s="794" t="s">
        <v>669</v>
      </c>
      <c r="AS896" s="860" t="s">
        <v>27</v>
      </c>
      <c r="AT896" s="860">
        <v>3</v>
      </c>
      <c r="AU896" s="1377">
        <v>459909051.93999994</v>
      </c>
      <c r="AV896" s="862">
        <v>8.6382864668041792E-2</v>
      </c>
      <c r="AW896" s="794">
        <v>2016</v>
      </c>
    </row>
    <row r="897" spans="1:59">
      <c r="A897" s="798">
        <f t="shared" si="27"/>
        <v>1900</v>
      </c>
      <c r="B897" s="798">
        <f t="shared" si="28"/>
        <v>1</v>
      </c>
      <c r="AA897" s="1216"/>
      <c r="AJ897" s="1213" t="s">
        <v>2</v>
      </c>
      <c r="AK897" s="1213">
        <v>2017</v>
      </c>
      <c r="AL897" s="1217" t="s">
        <v>686</v>
      </c>
      <c r="AM897" s="1347">
        <v>1</v>
      </c>
      <c r="AN897" s="1217">
        <v>51318527000</v>
      </c>
      <c r="AO897" s="1367">
        <v>0.81901062814891057</v>
      </c>
      <c r="AQ897" s="860" t="s">
        <v>0</v>
      </c>
      <c r="AR897" s="794" t="s">
        <v>669</v>
      </c>
      <c r="AS897" s="860" t="s">
        <v>32</v>
      </c>
      <c r="AT897" s="860">
        <v>4</v>
      </c>
      <c r="AU897" s="1377">
        <v>435985698.21000004</v>
      </c>
      <c r="AV897" s="862">
        <v>8.1889437502503243E-2</v>
      </c>
      <c r="AW897" s="794">
        <v>2016</v>
      </c>
    </row>
    <row r="898" spans="1:59">
      <c r="A898" s="798">
        <f t="shared" si="27"/>
        <v>1900</v>
      </c>
      <c r="B898" s="798">
        <f t="shared" si="28"/>
        <v>1</v>
      </c>
      <c r="AA898" s="1216"/>
      <c r="AJ898" s="1213" t="s">
        <v>2</v>
      </c>
      <c r="AK898" s="1213">
        <v>2017</v>
      </c>
      <c r="AL898" s="1217" t="s">
        <v>687</v>
      </c>
      <c r="AM898" s="1347">
        <v>2</v>
      </c>
      <c r="AN898" s="1217">
        <v>5538714000</v>
      </c>
      <c r="AO898" s="1367">
        <v>8.8394307036076175E-2</v>
      </c>
      <c r="AQ898" s="860" t="s">
        <v>0</v>
      </c>
      <c r="AR898" s="794" t="s">
        <v>669</v>
      </c>
      <c r="AS898" s="860" t="s">
        <v>38</v>
      </c>
      <c r="AT898" s="860">
        <v>5</v>
      </c>
      <c r="AU898" s="1377">
        <v>420447297.48000008</v>
      </c>
      <c r="AV898" s="862">
        <v>7.8970922283558398E-2</v>
      </c>
      <c r="AW898" s="794">
        <v>2016</v>
      </c>
    </row>
    <row r="899" spans="1:59">
      <c r="A899" s="798">
        <f t="shared" si="27"/>
        <v>1900</v>
      </c>
      <c r="B899" s="798">
        <f t="shared" si="28"/>
        <v>1</v>
      </c>
      <c r="AJ899" s="1213" t="s">
        <v>2</v>
      </c>
      <c r="AK899" s="1213">
        <v>2017</v>
      </c>
      <c r="AL899" s="1217" t="s">
        <v>688</v>
      </c>
      <c r="AM899" s="1347">
        <v>3</v>
      </c>
      <c r="AN899" s="1217">
        <v>3846110000</v>
      </c>
      <c r="AO899" s="1367">
        <v>6.1381437682921147E-2</v>
      </c>
      <c r="AQ899" s="860" t="s">
        <v>0</v>
      </c>
      <c r="AR899" s="794" t="s">
        <v>669</v>
      </c>
      <c r="AS899" s="860" t="s">
        <v>31</v>
      </c>
      <c r="AT899" s="860">
        <v>6</v>
      </c>
      <c r="AU899" s="1377">
        <v>418001102.38</v>
      </c>
      <c r="AV899" s="862">
        <v>7.8511463311434271E-2</v>
      </c>
      <c r="AW899" s="794">
        <v>2016</v>
      </c>
    </row>
    <row r="900" spans="1:59">
      <c r="A900" s="798">
        <f t="shared" si="27"/>
        <v>1900</v>
      </c>
      <c r="B900" s="798">
        <f t="shared" si="28"/>
        <v>1</v>
      </c>
      <c r="AJ900" s="1213" t="s">
        <v>2</v>
      </c>
      <c r="AK900" s="1213">
        <v>2017</v>
      </c>
      <c r="AL900" s="1217" t="s">
        <v>689</v>
      </c>
      <c r="AM900" s="1347">
        <v>4</v>
      </c>
      <c r="AN900" s="1217">
        <v>1392116000</v>
      </c>
      <c r="AO900" s="1367">
        <v>2.2217274467292266E-2</v>
      </c>
      <c r="AQ900" s="860" t="s">
        <v>0</v>
      </c>
      <c r="AR900" s="794" t="s">
        <v>669</v>
      </c>
      <c r="AS900" s="860" t="s">
        <v>24</v>
      </c>
      <c r="AT900" s="860">
        <v>7</v>
      </c>
      <c r="AU900" s="1377">
        <v>299086580.08999997</v>
      </c>
      <c r="AV900" s="862">
        <v>5.6176227588824429E-2</v>
      </c>
      <c r="AW900" s="794">
        <v>2016</v>
      </c>
    </row>
    <row r="901" spans="1:59">
      <c r="A901" s="798">
        <f t="shared" si="27"/>
        <v>1900</v>
      </c>
      <c r="B901" s="798">
        <f t="shared" si="28"/>
        <v>1</v>
      </c>
      <c r="O901"/>
      <c r="AJ901" s="1213" t="s">
        <v>2</v>
      </c>
      <c r="AK901" s="1213">
        <v>2017</v>
      </c>
      <c r="AL901" s="1217" t="s">
        <v>690</v>
      </c>
      <c r="AM901" s="1347">
        <v>5</v>
      </c>
      <c r="AN901" s="1217">
        <v>280831000</v>
      </c>
      <c r="AO901" s="1367">
        <v>4.4818818301952954E-3</v>
      </c>
      <c r="AQ901" s="860" t="s">
        <v>0</v>
      </c>
      <c r="AR901" s="794" t="s">
        <v>669</v>
      </c>
      <c r="AS901" s="860" t="s">
        <v>453</v>
      </c>
      <c r="AT901" s="860">
        <v>8</v>
      </c>
      <c r="AU901" s="1377">
        <v>240535269.83999997</v>
      </c>
      <c r="AV901" s="862">
        <v>4.5178770834870111E-2</v>
      </c>
      <c r="AW901" s="794">
        <v>2016</v>
      </c>
    </row>
    <row r="902" spans="1:59">
      <c r="A902" s="798">
        <f t="shared" si="27"/>
        <v>1900</v>
      </c>
      <c r="B902" s="798">
        <f t="shared" si="28"/>
        <v>1</v>
      </c>
      <c r="O902"/>
      <c r="AA902" s="1245"/>
      <c r="AJ902" s="1213" t="s">
        <v>2</v>
      </c>
      <c r="AK902" s="1213">
        <v>2017</v>
      </c>
      <c r="AL902" s="1217" t="s">
        <v>45</v>
      </c>
      <c r="AM902" s="1217"/>
      <c r="AN902" s="1217">
        <v>282873000</v>
      </c>
      <c r="AO902" s="1367">
        <v>4.5144708346045621E-3</v>
      </c>
      <c r="AQ902" s="860" t="s">
        <v>0</v>
      </c>
      <c r="AR902" s="794" t="s">
        <v>669</v>
      </c>
      <c r="AS902" s="860" t="s">
        <v>28</v>
      </c>
      <c r="AT902" s="860">
        <v>9</v>
      </c>
      <c r="AU902" s="1377">
        <v>204660764.86999997</v>
      </c>
      <c r="AV902" s="862">
        <v>3.8440607072307786E-2</v>
      </c>
      <c r="AW902" s="794">
        <v>2016</v>
      </c>
    </row>
    <row r="903" spans="1:59">
      <c r="A903" s="798">
        <f t="shared" si="27"/>
        <v>1900</v>
      </c>
      <c r="B903" s="798">
        <f t="shared" si="28"/>
        <v>1</v>
      </c>
      <c r="L903" s="1348"/>
      <c r="O903" s="1216"/>
      <c r="AJ903" s="1213" t="s">
        <v>2</v>
      </c>
      <c r="AK903" s="1213">
        <v>2017</v>
      </c>
      <c r="AL903" s="1213" t="s">
        <v>137</v>
      </c>
      <c r="AM903" s="1217"/>
      <c r="AN903" s="1217">
        <v>62659171000</v>
      </c>
      <c r="AQ903" s="860" t="s">
        <v>0</v>
      </c>
      <c r="AR903" s="794" t="s">
        <v>669</v>
      </c>
      <c r="AS903" s="860" t="s">
        <v>35</v>
      </c>
      <c r="AT903" s="860">
        <v>10</v>
      </c>
      <c r="AU903" s="1377">
        <v>170293338.83000001</v>
      </c>
      <c r="AV903" s="862">
        <v>3.1985511874508633E-2</v>
      </c>
      <c r="AW903" s="794">
        <v>2016</v>
      </c>
    </row>
    <row r="904" spans="1:59">
      <c r="A904" s="798">
        <f t="shared" si="27"/>
        <v>1900</v>
      </c>
      <c r="B904" s="798">
        <f t="shared" si="28"/>
        <v>1</v>
      </c>
      <c r="L904" s="1348"/>
      <c r="P904" s="1216"/>
      <c r="AJ904" s="1217" t="s">
        <v>1</v>
      </c>
      <c r="AK904" s="1217">
        <v>2017</v>
      </c>
      <c r="AL904" s="1217" t="s">
        <v>646</v>
      </c>
      <c r="AM904" s="1217">
        <v>1</v>
      </c>
      <c r="AN904" s="1217">
        <v>9571487000</v>
      </c>
      <c r="AO904" s="1367">
        <v>0.59511152970388692</v>
      </c>
      <c r="AQ904" s="860" t="s">
        <v>0</v>
      </c>
      <c r="AR904" s="794" t="s">
        <v>669</v>
      </c>
      <c r="AS904" s="860" t="s">
        <v>45</v>
      </c>
      <c r="AT904" s="860"/>
      <c r="AU904" s="1377">
        <v>704182832.56999969</v>
      </c>
      <c r="AV904" s="862">
        <v>0.13226382492551692</v>
      </c>
      <c r="AW904" s="794">
        <v>2016</v>
      </c>
    </row>
    <row r="905" spans="1:59">
      <c r="A905" s="798">
        <f t="shared" si="27"/>
        <v>1900</v>
      </c>
      <c r="B905" s="798">
        <f t="shared" si="28"/>
        <v>1</v>
      </c>
      <c r="L905" s="1348"/>
      <c r="AJ905" s="1217" t="s">
        <v>1</v>
      </c>
      <c r="AK905" s="1217">
        <v>2017</v>
      </c>
      <c r="AL905" s="1217" t="s">
        <v>72</v>
      </c>
      <c r="AM905" s="1217">
        <v>2</v>
      </c>
      <c r="AN905" s="1217">
        <v>2793864000</v>
      </c>
      <c r="AO905" s="1367">
        <v>0.17370975678331071</v>
      </c>
      <c r="AQ905" s="860" t="s">
        <v>0</v>
      </c>
      <c r="AR905" s="794" t="s">
        <v>669</v>
      </c>
      <c r="AS905" s="860" t="s">
        <v>452</v>
      </c>
      <c r="AT905" s="860"/>
      <c r="AU905" s="1377">
        <v>5324077335.3299999</v>
      </c>
      <c r="AV905" s="860"/>
      <c r="AW905" s="794">
        <v>2016</v>
      </c>
      <c r="BG905" s="1376"/>
    </row>
    <row r="906" spans="1:59">
      <c r="A906" s="798">
        <f t="shared" ref="A906:A969" si="29">YEAR(C906)</f>
        <v>1900</v>
      </c>
      <c r="B906" s="798">
        <f t="shared" ref="B906:B969" si="30">IF(OR(MONTH(C906)=1,MONTH(C906)=2,MONTH(C906)=3),1,IF(OR(MONTH(C906)=4,MONTH(C906)=5,MONTH(C906)=6),2,IF(OR(MONTH(C906)=7,MONTH(C906)=8,MONTH(C906)=9),3,4)))</f>
        <v>1</v>
      </c>
      <c r="L906" s="1348"/>
      <c r="AJ906" s="1217" t="s">
        <v>1</v>
      </c>
      <c r="AK906" s="1217">
        <v>2017</v>
      </c>
      <c r="AL906" s="1217" t="s">
        <v>39</v>
      </c>
      <c r="AM906" s="1217">
        <v>3</v>
      </c>
      <c r="AN906" s="1217">
        <v>941625000</v>
      </c>
      <c r="AO906" s="1367">
        <v>5.8545959907527693E-2</v>
      </c>
      <c r="AQ906" s="860" t="s">
        <v>3</v>
      </c>
      <c r="AR906" s="794" t="s">
        <v>669</v>
      </c>
      <c r="AS906" s="860" t="s">
        <v>433</v>
      </c>
      <c r="AT906" s="860">
        <v>1</v>
      </c>
      <c r="AU906" s="167">
        <v>458833709.91362566</v>
      </c>
      <c r="AV906" s="1392">
        <v>0.2652486150278881</v>
      </c>
      <c r="AW906" s="794">
        <v>2016</v>
      </c>
      <c r="BG906" s="1348"/>
    </row>
    <row r="907" spans="1:59">
      <c r="A907" s="798">
        <f t="shared" si="29"/>
        <v>1900</v>
      </c>
      <c r="B907" s="798">
        <f t="shared" si="30"/>
        <v>1</v>
      </c>
      <c r="Z907" s="1216"/>
      <c r="AJ907" s="1217" t="s">
        <v>1</v>
      </c>
      <c r="AK907" s="1217">
        <v>2017</v>
      </c>
      <c r="AL907" s="1217" t="s">
        <v>85</v>
      </c>
      <c r="AM907" s="1217">
        <v>4</v>
      </c>
      <c r="AN907" s="1217">
        <v>896500000</v>
      </c>
      <c r="AO907" s="1367">
        <v>5.5740292639956009E-2</v>
      </c>
      <c r="AQ907" s="860" t="s">
        <v>3</v>
      </c>
      <c r="AR907" s="794" t="s">
        <v>669</v>
      </c>
      <c r="AS907" s="860" t="s">
        <v>24</v>
      </c>
      <c r="AT907" s="860">
        <v>2</v>
      </c>
      <c r="AU907" s="167">
        <v>447484057.32489848</v>
      </c>
      <c r="AV907" s="1392">
        <v>0.25868745885046973</v>
      </c>
      <c r="AW907" s="794">
        <v>2016</v>
      </c>
      <c r="BG907" s="1348"/>
    </row>
    <row r="908" spans="1:59">
      <c r="A908" s="798">
        <f t="shared" si="29"/>
        <v>1900</v>
      </c>
      <c r="B908" s="798">
        <f t="shared" si="30"/>
        <v>1</v>
      </c>
      <c r="O908" s="1216"/>
      <c r="Z908" s="1216"/>
      <c r="AJ908" s="1217" t="s">
        <v>1</v>
      </c>
      <c r="AK908" s="1217">
        <v>2017</v>
      </c>
      <c r="AL908" s="1217" t="s">
        <v>70</v>
      </c>
      <c r="AM908" s="1217">
        <v>5</v>
      </c>
      <c r="AN908" s="1217">
        <v>775645000</v>
      </c>
      <c r="AO908" s="1367">
        <v>4.8226078399016929E-2</v>
      </c>
      <c r="AQ908" s="860" t="s">
        <v>3</v>
      </c>
      <c r="AR908" s="794" t="s">
        <v>669</v>
      </c>
      <c r="AS908" s="860" t="s">
        <v>31</v>
      </c>
      <c r="AT908" s="860">
        <v>3</v>
      </c>
      <c r="AU908" s="167">
        <v>252748675.40000007</v>
      </c>
      <c r="AV908" s="1392">
        <v>0.14611227259785167</v>
      </c>
      <c r="AW908" s="794">
        <v>2016</v>
      </c>
    </row>
    <row r="909" spans="1:59">
      <c r="A909" s="798">
        <f t="shared" si="29"/>
        <v>1900</v>
      </c>
      <c r="B909" s="798">
        <f t="shared" si="30"/>
        <v>1</v>
      </c>
      <c r="AJ909" s="1217" t="s">
        <v>1</v>
      </c>
      <c r="AK909" s="1217">
        <v>2017</v>
      </c>
      <c r="AL909" s="1217" t="s">
        <v>27</v>
      </c>
      <c r="AM909" s="1217">
        <v>6</v>
      </c>
      <c r="AN909" s="1217">
        <v>688382000</v>
      </c>
      <c r="AO909" s="1367">
        <v>4.280046193873753E-2</v>
      </c>
      <c r="AQ909" s="860" t="s">
        <v>3</v>
      </c>
      <c r="AR909" s="794" t="s">
        <v>669</v>
      </c>
      <c r="AS909" s="860" t="s">
        <v>29</v>
      </c>
      <c r="AT909" s="860">
        <v>4</v>
      </c>
      <c r="AU909" s="167">
        <v>204876484.44739115</v>
      </c>
      <c r="AV909" s="1392">
        <v>0.11843768794076427</v>
      </c>
      <c r="AW909" s="794">
        <v>2016</v>
      </c>
      <c r="BD909" s="961"/>
    </row>
    <row r="910" spans="1:59">
      <c r="A910" s="798">
        <f t="shared" si="29"/>
        <v>1900</v>
      </c>
      <c r="B910" s="798">
        <f t="shared" si="30"/>
        <v>1</v>
      </c>
      <c r="AJ910" s="1217" t="s">
        <v>1</v>
      </c>
      <c r="AK910" s="1217">
        <v>2017</v>
      </c>
      <c r="AL910" s="1217" t="s">
        <v>431</v>
      </c>
      <c r="AM910" s="1217">
        <v>7</v>
      </c>
      <c r="AN910" s="1217">
        <v>184030000</v>
      </c>
      <c r="AO910" s="1367">
        <v>1.1442148415539435E-2</v>
      </c>
      <c r="AQ910" s="860" t="s">
        <v>3</v>
      </c>
      <c r="AR910" s="794" t="s">
        <v>669</v>
      </c>
      <c r="AS910" s="860" t="s">
        <v>30</v>
      </c>
      <c r="AT910" s="860">
        <v>5</v>
      </c>
      <c r="AU910" s="167">
        <v>174954118.66999999</v>
      </c>
      <c r="AV910" s="1392">
        <v>0.1011397738831747</v>
      </c>
      <c r="AW910" s="794">
        <v>2016</v>
      </c>
    </row>
    <row r="911" spans="1:59">
      <c r="A911" s="798">
        <f t="shared" si="29"/>
        <v>1900</v>
      </c>
      <c r="B911" s="798">
        <f t="shared" si="30"/>
        <v>1</v>
      </c>
      <c r="AJ911" s="1217" t="s">
        <v>1</v>
      </c>
      <c r="AK911" s="1217">
        <v>2017</v>
      </c>
      <c r="AL911" s="1217" t="s">
        <v>432</v>
      </c>
      <c r="AM911" s="1217">
        <v>8</v>
      </c>
      <c r="AN911" s="1217">
        <v>93296000</v>
      </c>
      <c r="AO911" s="1367">
        <v>5.8007209616702015E-3</v>
      </c>
      <c r="AQ911" s="860" t="s">
        <v>3</v>
      </c>
      <c r="AR911" s="794" t="s">
        <v>669</v>
      </c>
      <c r="AS911" s="860" t="s">
        <v>70</v>
      </c>
      <c r="AT911" s="860">
        <v>6</v>
      </c>
      <c r="AU911" s="167">
        <v>66386132.079999998</v>
      </c>
      <c r="AV911" s="1392">
        <v>3.8377366812462996E-2</v>
      </c>
      <c r="AW911" s="794">
        <v>2016</v>
      </c>
    </row>
    <row r="912" spans="1:59">
      <c r="A912" s="798">
        <f t="shared" si="29"/>
        <v>1900</v>
      </c>
      <c r="B912" s="798">
        <f t="shared" si="30"/>
        <v>1</v>
      </c>
      <c r="Y912" s="1245"/>
      <c r="AA912" s="1245"/>
      <c r="AB912" s="1245"/>
      <c r="AJ912" s="1217" t="s">
        <v>1</v>
      </c>
      <c r="AK912" s="1217">
        <v>2017</v>
      </c>
      <c r="AL912" s="1217" t="s">
        <v>434</v>
      </c>
      <c r="AM912" s="1217">
        <v>9</v>
      </c>
      <c r="AN912" s="1217">
        <v>73897000</v>
      </c>
      <c r="AO912" s="1367">
        <v>4.5945793700109643E-3</v>
      </c>
      <c r="AQ912" s="860" t="s">
        <v>3</v>
      </c>
      <c r="AR912" s="794" t="s">
        <v>669</v>
      </c>
      <c r="AS912" s="860" t="s">
        <v>27</v>
      </c>
      <c r="AT912" s="860">
        <v>7</v>
      </c>
      <c r="AU912" s="167">
        <v>42736860.600000001</v>
      </c>
      <c r="AV912" s="1392">
        <v>2.4705885465398505E-2</v>
      </c>
      <c r="AW912" s="794">
        <v>2016</v>
      </c>
    </row>
    <row r="913" spans="1:49">
      <c r="A913" s="798">
        <f t="shared" si="29"/>
        <v>1900</v>
      </c>
      <c r="B913" s="798">
        <f t="shared" si="30"/>
        <v>1</v>
      </c>
      <c r="AJ913" s="1217" t="s">
        <v>1</v>
      </c>
      <c r="AK913" s="1217">
        <v>2017</v>
      </c>
      <c r="AL913" s="1217" t="s">
        <v>67</v>
      </c>
      <c r="AM913" s="1217">
        <v>10</v>
      </c>
      <c r="AN913" s="1217">
        <v>46846000</v>
      </c>
      <c r="AO913" s="1367">
        <v>2.9126712203138643E-3</v>
      </c>
      <c r="AQ913" s="860" t="s">
        <v>3</v>
      </c>
      <c r="AR913" s="794" t="s">
        <v>669</v>
      </c>
      <c r="AS913" s="860" t="s">
        <v>84</v>
      </c>
      <c r="AT913" s="860">
        <v>8</v>
      </c>
      <c r="AU913" s="167">
        <v>21667394.889999997</v>
      </c>
      <c r="AV913" s="1392">
        <v>1.2525772107975118E-2</v>
      </c>
      <c r="AW913" s="794">
        <v>2016</v>
      </c>
    </row>
    <row r="914" spans="1:49">
      <c r="A914" s="798">
        <f t="shared" si="29"/>
        <v>1900</v>
      </c>
      <c r="B914" s="798">
        <f t="shared" si="30"/>
        <v>1</v>
      </c>
      <c r="Z914" s="1348"/>
      <c r="AA914" s="1348"/>
      <c r="AB914" s="1348"/>
      <c r="AC914" s="1348"/>
      <c r="AD914" s="1348"/>
      <c r="AE914" s="1348"/>
      <c r="AJ914" s="1217" t="s">
        <v>1</v>
      </c>
      <c r="AK914" s="1217">
        <v>2017</v>
      </c>
      <c r="AL914" s="1217" t="s">
        <v>45</v>
      </c>
      <c r="AM914" s="1217"/>
      <c r="AN914" s="1217">
        <v>17946000</v>
      </c>
      <c r="AO914" s="1367">
        <v>1.1158006600297274E-3</v>
      </c>
      <c r="AQ914" s="860" t="s">
        <v>3</v>
      </c>
      <c r="AR914" s="794" t="s">
        <v>669</v>
      </c>
      <c r="AS914" s="860" t="s">
        <v>41</v>
      </c>
      <c r="AT914" s="860">
        <v>9</v>
      </c>
      <c r="AU914" s="167">
        <v>17495681.730000004</v>
      </c>
      <c r="AV914" s="1392">
        <v>1.0114133394263529E-2</v>
      </c>
      <c r="AW914" s="794">
        <v>2016</v>
      </c>
    </row>
    <row r="915" spans="1:49">
      <c r="A915" s="798">
        <f t="shared" si="29"/>
        <v>1900</v>
      </c>
      <c r="B915" s="798">
        <f t="shared" si="30"/>
        <v>1</v>
      </c>
      <c r="AJ915" s="1217" t="s">
        <v>1</v>
      </c>
      <c r="AK915" s="1217">
        <v>2017</v>
      </c>
      <c r="AL915" s="1217" t="s">
        <v>137</v>
      </c>
      <c r="AM915" s="1217"/>
      <c r="AN915" s="1217">
        <v>16083518000</v>
      </c>
      <c r="AQ915" s="860" t="s">
        <v>3</v>
      </c>
      <c r="AR915" s="794" t="s">
        <v>669</v>
      </c>
      <c r="AS915" s="860" t="s">
        <v>33</v>
      </c>
      <c r="AT915" s="860">
        <v>10</v>
      </c>
      <c r="AU915" s="167">
        <v>17101124.370000001</v>
      </c>
      <c r="AV915" s="1392">
        <v>9.8860424954741576E-3</v>
      </c>
      <c r="AW915" s="794">
        <v>2016</v>
      </c>
    </row>
    <row r="916" spans="1:49">
      <c r="A916" s="798">
        <f t="shared" si="29"/>
        <v>1900</v>
      </c>
      <c r="B916" s="798">
        <f t="shared" si="30"/>
        <v>1</v>
      </c>
      <c r="AJ916" s="1156" t="s">
        <v>651</v>
      </c>
      <c r="AK916" s="1213">
        <v>2017</v>
      </c>
      <c r="AL916" s="1347"/>
      <c r="AM916" s="1347"/>
      <c r="AN916" s="1347">
        <v>1835050789.6100001</v>
      </c>
      <c r="AQ916" s="860" t="s">
        <v>3</v>
      </c>
      <c r="AR916" s="794" t="s">
        <v>669</v>
      </c>
      <c r="AS916" s="860" t="s">
        <v>45</v>
      </c>
      <c r="AT916" s="860"/>
      <c r="AU916" s="167">
        <v>27796913.080000162</v>
      </c>
      <c r="AV916" s="1392">
        <v>1.6069204457337272E-2</v>
      </c>
      <c r="AW916" s="794">
        <v>2016</v>
      </c>
    </row>
    <row r="917" spans="1:49">
      <c r="A917" s="798">
        <f t="shared" si="29"/>
        <v>1900</v>
      </c>
      <c r="B917" s="798">
        <f t="shared" si="30"/>
        <v>1</v>
      </c>
      <c r="AJ917" s="1348" t="s">
        <v>4</v>
      </c>
      <c r="AK917" s="1347">
        <v>2017</v>
      </c>
      <c r="AL917" s="1217" t="s">
        <v>29</v>
      </c>
      <c r="AM917" s="1217">
        <v>1</v>
      </c>
      <c r="AN917" s="1217">
        <v>9881228816.7434959</v>
      </c>
      <c r="AO917" s="1367">
        <v>0.50389426630022627</v>
      </c>
      <c r="AQ917" s="860" t="s">
        <v>3</v>
      </c>
      <c r="AR917" s="794" t="s">
        <v>669</v>
      </c>
      <c r="AS917" s="794" t="s">
        <v>452</v>
      </c>
      <c r="AT917" s="860"/>
      <c r="AU917" s="167">
        <v>1729825092.0759158</v>
      </c>
      <c r="AV917" s="860"/>
      <c r="AW917" s="794">
        <v>2016</v>
      </c>
    </row>
    <row r="918" spans="1:49">
      <c r="A918" s="798">
        <f t="shared" si="29"/>
        <v>1900</v>
      </c>
      <c r="B918" s="798">
        <f t="shared" si="30"/>
        <v>1</v>
      </c>
      <c r="AJ918" s="1348" t="s">
        <v>4</v>
      </c>
      <c r="AK918" s="1347">
        <v>2017</v>
      </c>
      <c r="AL918" s="1217" t="s">
        <v>24</v>
      </c>
      <c r="AM918" s="1217">
        <v>2</v>
      </c>
      <c r="AN918" s="1217">
        <v>2256078304.9658995</v>
      </c>
      <c r="AO918" s="1367">
        <v>0.11504894211844671</v>
      </c>
      <c r="AQ918" s="1347" t="s">
        <v>538</v>
      </c>
      <c r="AR918" s="874" t="s">
        <v>669</v>
      </c>
      <c r="AS918" s="1347" t="s">
        <v>24</v>
      </c>
      <c r="AT918" s="1347">
        <v>1</v>
      </c>
      <c r="AU918" s="1209">
        <v>198802462.11000001</v>
      </c>
      <c r="AV918" s="1211">
        <v>0.24650814024847517</v>
      </c>
      <c r="AW918" s="874">
        <v>2016</v>
      </c>
    </row>
    <row r="919" spans="1:49">
      <c r="A919" s="798">
        <f t="shared" si="29"/>
        <v>1900</v>
      </c>
      <c r="B919" s="798">
        <f t="shared" si="30"/>
        <v>1</v>
      </c>
      <c r="M919" s="1348"/>
      <c r="N919" s="1216"/>
      <c r="O919" s="1216"/>
      <c r="P919" s="1216"/>
      <c r="Q919" s="1348"/>
      <c r="R919" s="1348"/>
      <c r="AJ919" s="1348" t="s">
        <v>4</v>
      </c>
      <c r="AK919" s="1347">
        <v>2017</v>
      </c>
      <c r="AL919" s="1217" t="s">
        <v>70</v>
      </c>
      <c r="AM919" s="1217">
        <v>3</v>
      </c>
      <c r="AN919" s="1217">
        <v>2091137923.2131004</v>
      </c>
      <c r="AO919" s="1367">
        <v>0.10663779061209015</v>
      </c>
      <c r="AQ919" s="1347" t="s">
        <v>538</v>
      </c>
      <c r="AR919" s="874" t="s">
        <v>669</v>
      </c>
      <c r="AS919" s="1347" t="s">
        <v>72</v>
      </c>
      <c r="AT919" s="1347">
        <v>2</v>
      </c>
      <c r="AU919" s="1209">
        <v>93030310.670000002</v>
      </c>
      <c r="AV919" s="1211">
        <v>0.11535435037676041</v>
      </c>
      <c r="AW919" s="874">
        <v>2016</v>
      </c>
    </row>
    <row r="920" spans="1:49">
      <c r="A920" s="798">
        <f t="shared" si="29"/>
        <v>1900</v>
      </c>
      <c r="B920" s="798">
        <f t="shared" si="30"/>
        <v>1</v>
      </c>
      <c r="M920" s="1348"/>
      <c r="N920" s="1216"/>
      <c r="O920" s="1216"/>
      <c r="P920" s="1216"/>
      <c r="Q920" s="1348"/>
      <c r="R920" s="1348"/>
      <c r="AJ920" s="1348" t="s">
        <v>4</v>
      </c>
      <c r="AK920" s="1347">
        <v>2017</v>
      </c>
      <c r="AL920" s="1217" t="s">
        <v>30</v>
      </c>
      <c r="AM920" s="1217">
        <v>4</v>
      </c>
      <c r="AN920" s="1217">
        <v>1951170878.1304998</v>
      </c>
      <c r="AO920" s="1367">
        <v>9.9500156943633983E-2</v>
      </c>
      <c r="AQ920" s="1347" t="s">
        <v>538</v>
      </c>
      <c r="AR920" s="874" t="s">
        <v>669</v>
      </c>
      <c r="AS920" s="1347" t="s">
        <v>37</v>
      </c>
      <c r="AT920" s="1347">
        <v>3</v>
      </c>
      <c r="AU920" s="1209">
        <v>89107560.410000011</v>
      </c>
      <c r="AV920" s="1211">
        <v>0.11049027645640437</v>
      </c>
      <c r="AW920" s="874">
        <v>2016</v>
      </c>
    </row>
    <row r="921" spans="1:49">
      <c r="A921" s="798">
        <f t="shared" si="29"/>
        <v>1900</v>
      </c>
      <c r="B921" s="798">
        <f t="shared" si="30"/>
        <v>1</v>
      </c>
      <c r="M921" s="1348"/>
      <c r="N921" s="1216"/>
      <c r="O921" s="1216"/>
      <c r="P921" s="1216"/>
      <c r="Q921" s="1348"/>
      <c r="R921" s="1348"/>
      <c r="AC921" s="1403"/>
      <c r="AJ921" s="1348" t="s">
        <v>4</v>
      </c>
      <c r="AK921" s="1347">
        <v>2017</v>
      </c>
      <c r="AL921" s="1217" t="s">
        <v>28</v>
      </c>
      <c r="AM921" s="1217">
        <v>5</v>
      </c>
      <c r="AN921" s="1217">
        <v>1371868507.1600001</v>
      </c>
      <c r="AO921" s="1367">
        <v>6.9958573745850711E-2</v>
      </c>
      <c r="AQ921" s="1347" t="s">
        <v>538</v>
      </c>
      <c r="AR921" s="874" t="s">
        <v>669</v>
      </c>
      <c r="AS921" s="1347" t="s">
        <v>41</v>
      </c>
      <c r="AT921" s="1347">
        <v>4</v>
      </c>
      <c r="AU921" s="1209">
        <v>88731810.769999996</v>
      </c>
      <c r="AV921" s="1211">
        <v>0.1100243599683873</v>
      </c>
      <c r="AW921" s="874">
        <v>2016</v>
      </c>
    </row>
    <row r="922" spans="1:49">
      <c r="A922" s="798">
        <f t="shared" si="29"/>
        <v>1900</v>
      </c>
      <c r="B922" s="798">
        <f t="shared" si="30"/>
        <v>1</v>
      </c>
      <c r="M922" s="1348"/>
      <c r="N922" s="1216"/>
      <c r="O922" s="1216"/>
      <c r="P922" s="1216"/>
      <c r="Q922" s="1348"/>
      <c r="R922" s="1348"/>
      <c r="AC922" s="1403"/>
      <c r="AJ922" s="1348" t="s">
        <v>4</v>
      </c>
      <c r="AK922" s="1347">
        <v>2017</v>
      </c>
      <c r="AL922" s="1217" t="s">
        <v>31</v>
      </c>
      <c r="AM922" s="1217">
        <v>6</v>
      </c>
      <c r="AN922" s="1217">
        <v>595242529.62559986</v>
      </c>
      <c r="AO922" s="1367">
        <v>3.0354453206077235E-2</v>
      </c>
      <c r="AQ922" s="1347" t="s">
        <v>538</v>
      </c>
      <c r="AR922" s="874" t="s">
        <v>669</v>
      </c>
      <c r="AS922" s="1347" t="s">
        <v>33</v>
      </c>
      <c r="AT922" s="1347">
        <v>5</v>
      </c>
      <c r="AU922" s="1209">
        <v>69106573</v>
      </c>
      <c r="AV922" s="1211">
        <v>8.5689747543215108E-2</v>
      </c>
      <c r="AW922" s="874">
        <v>2016</v>
      </c>
    </row>
    <row r="923" spans="1:49">
      <c r="A923" s="798">
        <f t="shared" si="29"/>
        <v>1900</v>
      </c>
      <c r="B923" s="798">
        <f t="shared" si="30"/>
        <v>1</v>
      </c>
      <c r="M923" s="1348"/>
      <c r="N923" s="1216"/>
      <c r="O923" s="1216"/>
      <c r="P923" s="1216"/>
      <c r="Q923" s="1348"/>
      <c r="R923" s="1348"/>
      <c r="AJ923" s="1348" t="s">
        <v>4</v>
      </c>
      <c r="AK923" s="1347">
        <v>2017</v>
      </c>
      <c r="AL923" s="1217" t="s">
        <v>27</v>
      </c>
      <c r="AM923" s="1217">
        <v>7</v>
      </c>
      <c r="AN923" s="1217">
        <v>448804289.375</v>
      </c>
      <c r="AO923" s="1367">
        <v>2.2886820283303702E-2</v>
      </c>
      <c r="AQ923" s="1347" t="s">
        <v>538</v>
      </c>
      <c r="AR923" s="874" t="s">
        <v>669</v>
      </c>
      <c r="AS923" s="1347" t="s">
        <v>84</v>
      </c>
      <c r="AT923" s="1347">
        <v>6</v>
      </c>
      <c r="AU923" s="1209">
        <v>47210202.740000002</v>
      </c>
      <c r="AV923" s="1211">
        <v>5.8539009802361382E-2</v>
      </c>
      <c r="AW923" s="874">
        <v>2016</v>
      </c>
    </row>
    <row r="924" spans="1:49">
      <c r="A924" s="798">
        <f t="shared" si="29"/>
        <v>1900</v>
      </c>
      <c r="B924" s="798">
        <f t="shared" si="30"/>
        <v>1</v>
      </c>
      <c r="M924" s="1348"/>
      <c r="N924" s="1216"/>
      <c r="O924" s="1216"/>
      <c r="P924" s="1216"/>
      <c r="Q924" s="1348"/>
      <c r="R924" s="1348"/>
      <c r="S924" s="1216"/>
      <c r="T924" s="1216"/>
      <c r="U924" s="1216"/>
      <c r="V924" s="1216"/>
      <c r="W924" s="1216"/>
      <c r="X924" s="1216"/>
      <c r="AJ924" s="1348" t="s">
        <v>4</v>
      </c>
      <c r="AK924" s="1347">
        <v>2017</v>
      </c>
      <c r="AL924" s="1217" t="s">
        <v>39</v>
      </c>
      <c r="AM924" s="1217">
        <v>8</v>
      </c>
      <c r="AN924" s="1217">
        <v>324870231.67449999</v>
      </c>
      <c r="AO924" s="1367">
        <v>1.656679043349555E-2</v>
      </c>
      <c r="AQ924" s="1347" t="s">
        <v>538</v>
      </c>
      <c r="AR924" s="874" t="s">
        <v>669</v>
      </c>
      <c r="AS924" s="1347" t="s">
        <v>31</v>
      </c>
      <c r="AT924" s="1347">
        <v>7</v>
      </c>
      <c r="AU924" s="1209">
        <v>42049046.180000007</v>
      </c>
      <c r="AV924" s="1211">
        <v>5.213935513192347E-2</v>
      </c>
      <c r="AW924" s="874">
        <v>2016</v>
      </c>
    </row>
    <row r="925" spans="1:49">
      <c r="A925" s="798">
        <f t="shared" si="29"/>
        <v>1900</v>
      </c>
      <c r="B925" s="798">
        <f t="shared" si="30"/>
        <v>1</v>
      </c>
      <c r="N925" s="1216"/>
      <c r="S925" s="1216"/>
      <c r="T925" s="1216"/>
      <c r="U925" s="1216"/>
      <c r="V925" s="1216"/>
      <c r="W925" s="1216"/>
      <c r="X925" s="1216"/>
      <c r="Y925" s="1216"/>
      <c r="AJ925" s="1348" t="s">
        <v>4</v>
      </c>
      <c r="AK925" s="1347">
        <v>2017</v>
      </c>
      <c r="AL925" s="1217" t="s">
        <v>672</v>
      </c>
      <c r="AM925" s="1217">
        <v>9</v>
      </c>
      <c r="AN925" s="1217">
        <v>309772309.69260007</v>
      </c>
      <c r="AO925" s="1367">
        <v>1.5796870369825296E-2</v>
      </c>
      <c r="AQ925" s="1347" t="s">
        <v>538</v>
      </c>
      <c r="AR925" s="874" t="s">
        <v>669</v>
      </c>
      <c r="AS925" s="1347" t="s">
        <v>433</v>
      </c>
      <c r="AT925" s="1347">
        <v>8</v>
      </c>
      <c r="AU925" s="1209">
        <v>40801116.100000001</v>
      </c>
      <c r="AV925" s="1211">
        <v>5.05919652258029E-2</v>
      </c>
      <c r="AW925" s="874">
        <v>2016</v>
      </c>
    </row>
    <row r="926" spans="1:49">
      <c r="A926" s="798">
        <f t="shared" si="29"/>
        <v>1900</v>
      </c>
      <c r="B926" s="798">
        <f t="shared" si="30"/>
        <v>1</v>
      </c>
      <c r="N926" s="1216"/>
      <c r="AJ926" s="1348" t="s">
        <v>4</v>
      </c>
      <c r="AK926" s="1347">
        <v>2017</v>
      </c>
      <c r="AL926" s="1217" t="s">
        <v>643</v>
      </c>
      <c r="AM926" s="1217">
        <v>10</v>
      </c>
      <c r="AN926" s="1217">
        <v>123809336.19400001</v>
      </c>
      <c r="AO926" s="1367">
        <v>6.3136696639268979E-3</v>
      </c>
      <c r="AQ926" s="1347" t="s">
        <v>538</v>
      </c>
      <c r="AR926" s="874" t="s">
        <v>669</v>
      </c>
      <c r="AS926" s="1347" t="s">
        <v>63</v>
      </c>
      <c r="AT926" s="1347">
        <v>9</v>
      </c>
      <c r="AU926" s="1209">
        <v>32970150.459999997</v>
      </c>
      <c r="AV926" s="1211">
        <v>4.0881840130883314E-2</v>
      </c>
      <c r="AW926" s="874">
        <v>2016</v>
      </c>
    </row>
    <row r="927" spans="1:49">
      <c r="A927" s="798">
        <f t="shared" si="29"/>
        <v>1900</v>
      </c>
      <c r="B927" s="798">
        <f t="shared" si="30"/>
        <v>1</v>
      </c>
      <c r="N927" s="1216"/>
      <c r="AA927" s="1348"/>
      <c r="AB927" s="1348"/>
      <c r="AC927" s="1348"/>
      <c r="AD927" s="1245"/>
      <c r="AJ927" s="1348" t="s">
        <v>4</v>
      </c>
      <c r="AK927" s="1347">
        <v>2017</v>
      </c>
      <c r="AL927" s="1217" t="s">
        <v>45</v>
      </c>
      <c r="AM927" s="1217"/>
      <c r="AN927" s="1217">
        <v>255743511.50409698</v>
      </c>
      <c r="AO927" s="1367">
        <v>1.3041666323123431E-2</v>
      </c>
      <c r="AQ927" s="1347" t="s">
        <v>538</v>
      </c>
      <c r="AR927" s="874" t="s">
        <v>669</v>
      </c>
      <c r="AS927" s="1347" t="s">
        <v>29</v>
      </c>
      <c r="AT927" s="1347">
        <v>10</v>
      </c>
      <c r="AU927" s="1209">
        <v>19268603.990000002</v>
      </c>
      <c r="AV927" s="1211">
        <v>2.3892398938857633E-2</v>
      </c>
      <c r="AW927" s="874">
        <v>2016</v>
      </c>
    </row>
    <row r="928" spans="1:49">
      <c r="A928" s="798">
        <f t="shared" si="29"/>
        <v>1900</v>
      </c>
      <c r="B928" s="798">
        <f t="shared" si="30"/>
        <v>1</v>
      </c>
      <c r="N928" s="1216"/>
      <c r="S928" s="1245"/>
      <c r="AA928" s="1348"/>
      <c r="AB928" s="1348"/>
      <c r="AC928" s="1348"/>
      <c r="AD928" s="1245"/>
      <c r="AJ928" s="1348" t="s">
        <v>4</v>
      </c>
      <c r="AK928" s="1347">
        <v>2017</v>
      </c>
      <c r="AL928" s="1347" t="s">
        <v>452</v>
      </c>
      <c r="AM928" s="1217"/>
      <c r="AN928" s="1217">
        <v>19609726638.278793</v>
      </c>
      <c r="AQ928" s="1347" t="s">
        <v>538</v>
      </c>
      <c r="AR928" s="874" t="s">
        <v>669</v>
      </c>
      <c r="AS928" s="1347" t="s">
        <v>45</v>
      </c>
      <c r="AT928" s="1347"/>
      <c r="AU928" s="1209">
        <v>85396391.599999905</v>
      </c>
      <c r="AV928" s="1211">
        <v>0.10588855617692874</v>
      </c>
      <c r="AW928" s="874">
        <v>2016</v>
      </c>
    </row>
    <row r="929" spans="1:51">
      <c r="A929" s="798">
        <f t="shared" si="29"/>
        <v>1900</v>
      </c>
      <c r="B929" s="798">
        <f t="shared" si="30"/>
        <v>1</v>
      </c>
      <c r="N929" s="1216"/>
      <c r="AA929" s="1348"/>
      <c r="AB929" s="1348"/>
      <c r="AC929" s="1216"/>
      <c r="AJ929" s="1348" t="s">
        <v>3</v>
      </c>
      <c r="AK929" s="1347">
        <v>2017</v>
      </c>
      <c r="AL929" s="1217" t="s">
        <v>24</v>
      </c>
      <c r="AM929" s="1217">
        <v>1</v>
      </c>
      <c r="AN929" s="1353">
        <v>647128003.12756264</v>
      </c>
      <c r="AO929" s="1367">
        <v>0.32380470261317279</v>
      </c>
      <c r="AQ929" s="1347" t="s">
        <v>538</v>
      </c>
      <c r="AR929" s="874" t="s">
        <v>669</v>
      </c>
      <c r="AS929" s="1347" t="s">
        <v>452</v>
      </c>
      <c r="AT929" s="1347"/>
      <c r="AU929" s="1209">
        <v>806474228.03000009</v>
      </c>
      <c r="AV929" s="1347">
        <v>1</v>
      </c>
      <c r="AW929" s="874">
        <v>2016</v>
      </c>
    </row>
    <row r="930" spans="1:51">
      <c r="A930" s="798">
        <f t="shared" si="29"/>
        <v>1900</v>
      </c>
      <c r="B930" s="798">
        <f t="shared" si="30"/>
        <v>1</v>
      </c>
      <c r="N930" s="1216"/>
      <c r="AA930" s="1348"/>
      <c r="AB930" s="1348"/>
      <c r="AC930" s="1216"/>
      <c r="AD930" s="1216"/>
      <c r="AJ930" s="1348" t="s">
        <v>3</v>
      </c>
      <c r="AK930" s="1347">
        <v>2017</v>
      </c>
      <c r="AL930" s="1217" t="s">
        <v>672</v>
      </c>
      <c r="AM930" s="1217">
        <v>2</v>
      </c>
      <c r="AN930" s="1353">
        <v>461334745.78768671</v>
      </c>
      <c r="AO930" s="1367">
        <v>0.23083896762764436</v>
      </c>
      <c r="AQ930" s="1347" t="s">
        <v>1</v>
      </c>
      <c r="AR930" s="874" t="s">
        <v>669</v>
      </c>
      <c r="AS930" s="453" t="s">
        <v>671</v>
      </c>
      <c r="AT930" s="453">
        <v>1</v>
      </c>
      <c r="AU930" s="1209">
        <v>9377899000</v>
      </c>
      <c r="AV930" s="1367">
        <v>0.52859672573132632</v>
      </c>
      <c r="AW930" s="874">
        <v>2016</v>
      </c>
    </row>
    <row r="931" spans="1:51">
      <c r="A931" s="798">
        <f t="shared" si="29"/>
        <v>1900</v>
      </c>
      <c r="B931" s="798">
        <f t="shared" si="30"/>
        <v>1</v>
      </c>
      <c r="AC931" s="1216"/>
      <c r="AJ931" s="1348" t="s">
        <v>3</v>
      </c>
      <c r="AK931" s="1347">
        <v>2017</v>
      </c>
      <c r="AL931" s="1347" t="s">
        <v>29</v>
      </c>
      <c r="AM931" s="1347">
        <v>4</v>
      </c>
      <c r="AN931" s="1353">
        <v>212010429.77000001</v>
      </c>
      <c r="AO931" s="1367">
        <v>0.10608407275033876</v>
      </c>
      <c r="AQ931" s="453" t="s">
        <v>1</v>
      </c>
      <c r="AR931" s="874" t="s">
        <v>669</v>
      </c>
      <c r="AS931" s="453" t="s">
        <v>72</v>
      </c>
      <c r="AT931" s="453">
        <v>2</v>
      </c>
      <c r="AU931" s="1209">
        <v>3912536000</v>
      </c>
      <c r="AV931" s="1367">
        <v>0.22053486808782444</v>
      </c>
      <c r="AW931" s="874">
        <v>2016</v>
      </c>
    </row>
    <row r="932" spans="1:51">
      <c r="A932" s="798">
        <f t="shared" si="29"/>
        <v>1900</v>
      </c>
      <c r="B932" s="798">
        <f t="shared" si="30"/>
        <v>1</v>
      </c>
      <c r="N932" s="1216"/>
      <c r="AC932" s="1216"/>
      <c r="AJ932" s="1348" t="s">
        <v>3</v>
      </c>
      <c r="AK932" s="1347">
        <v>2017</v>
      </c>
      <c r="AL932" s="1347" t="s">
        <v>31</v>
      </c>
      <c r="AM932" s="1347">
        <v>3</v>
      </c>
      <c r="AN932" s="1353">
        <v>221747674.39709127</v>
      </c>
      <c r="AO932" s="1367">
        <v>0.11095631685893668</v>
      </c>
      <c r="AQ932" s="1347" t="s">
        <v>1</v>
      </c>
      <c r="AR932" s="874" t="s">
        <v>669</v>
      </c>
      <c r="AS932" s="453" t="s">
        <v>24</v>
      </c>
      <c r="AT932" s="453">
        <v>3</v>
      </c>
      <c r="AU932" s="1209">
        <v>2318885000</v>
      </c>
      <c r="AV932" s="1367">
        <v>0.13070678393395863</v>
      </c>
      <c r="AW932" s="874">
        <v>2016</v>
      </c>
    </row>
    <row r="933" spans="1:51">
      <c r="A933" s="798">
        <f t="shared" si="29"/>
        <v>1900</v>
      </c>
      <c r="B933" s="798">
        <f t="shared" si="30"/>
        <v>1</v>
      </c>
      <c r="AJ933" s="1348" t="s">
        <v>3</v>
      </c>
      <c r="AK933" s="1347">
        <v>2017</v>
      </c>
      <c r="AL933" s="1217" t="s">
        <v>30</v>
      </c>
      <c r="AM933" s="1347">
        <v>5</v>
      </c>
      <c r="AN933" s="1353">
        <v>181173187.66999999</v>
      </c>
      <c r="AO933" s="1367">
        <v>9.065398170290713E-2</v>
      </c>
      <c r="AQ933" s="1347" t="s">
        <v>1</v>
      </c>
      <c r="AR933" s="874" t="s">
        <v>669</v>
      </c>
      <c r="AS933" s="453" t="s">
        <v>39</v>
      </c>
      <c r="AT933" s="453">
        <v>4</v>
      </c>
      <c r="AU933" s="1209">
        <v>518399000</v>
      </c>
      <c r="AV933" s="1367">
        <v>2.9220192499662647E-2</v>
      </c>
      <c r="AW933" s="874">
        <v>2016</v>
      </c>
    </row>
    <row r="934" spans="1:51">
      <c r="A934" s="798">
        <f t="shared" si="29"/>
        <v>1900</v>
      </c>
      <c r="B934" s="798">
        <f t="shared" si="30"/>
        <v>1</v>
      </c>
      <c r="AJ934" s="1348" t="s">
        <v>3</v>
      </c>
      <c r="AK934" s="1347">
        <v>2017</v>
      </c>
      <c r="AL934" s="1217" t="s">
        <v>70</v>
      </c>
      <c r="AM934" s="1347">
        <v>6</v>
      </c>
      <c r="AN934" s="1353">
        <v>77786746.549999997</v>
      </c>
      <c r="AO934" s="1367">
        <v>3.89223062703778E-2</v>
      </c>
      <c r="AQ934" s="1347" t="s">
        <v>1</v>
      </c>
      <c r="AR934" s="874" t="s">
        <v>669</v>
      </c>
      <c r="AS934" s="453" t="s">
        <v>27</v>
      </c>
      <c r="AT934" s="453">
        <v>5</v>
      </c>
      <c r="AU934" s="1209">
        <v>409430000</v>
      </c>
      <c r="AV934" s="1367">
        <v>2.3078021784642484E-2</v>
      </c>
      <c r="AW934" s="874">
        <v>2016</v>
      </c>
    </row>
    <row r="935" spans="1:51">
      <c r="A935" s="798">
        <f t="shared" si="29"/>
        <v>1900</v>
      </c>
      <c r="B935" s="798">
        <f t="shared" si="30"/>
        <v>1</v>
      </c>
      <c r="AD935" s="1245"/>
      <c r="AJ935" s="1348" t="s">
        <v>3</v>
      </c>
      <c r="AK935" s="1347">
        <v>2017</v>
      </c>
      <c r="AL935" s="453" t="s">
        <v>27</v>
      </c>
      <c r="AM935" s="1347">
        <v>7</v>
      </c>
      <c r="AN935" s="1353">
        <v>59613196.99000001</v>
      </c>
      <c r="AO935" s="1367">
        <v>2.9828771788388216E-2</v>
      </c>
      <c r="AQ935" s="1347" t="s">
        <v>1</v>
      </c>
      <c r="AR935" s="874" t="s">
        <v>669</v>
      </c>
      <c r="AS935" s="453" t="s">
        <v>85</v>
      </c>
      <c r="AT935" s="453">
        <v>6</v>
      </c>
      <c r="AU935" s="1209">
        <v>402094000</v>
      </c>
      <c r="AV935" s="1367">
        <v>2.2664519188808914E-2</v>
      </c>
      <c r="AW935" s="874">
        <v>2016</v>
      </c>
    </row>
    <row r="936" spans="1:51">
      <c r="A936" s="798">
        <f t="shared" si="29"/>
        <v>1900</v>
      </c>
      <c r="B936" s="798">
        <f t="shared" si="30"/>
        <v>1</v>
      </c>
      <c r="AJ936" s="1348" t="s">
        <v>3</v>
      </c>
      <c r="AK936" s="1347">
        <v>2017</v>
      </c>
      <c r="AL936" s="453" t="s">
        <v>66</v>
      </c>
      <c r="AM936" s="1347">
        <v>8</v>
      </c>
      <c r="AN936" s="1353">
        <v>33378104.359999999</v>
      </c>
      <c r="AO936" s="1367">
        <v>1.6701467258172047E-2</v>
      </c>
      <c r="AQ936" s="1347" t="s">
        <v>1</v>
      </c>
      <c r="AR936" s="874" t="s">
        <v>669</v>
      </c>
      <c r="AS936" s="453" t="s">
        <v>70</v>
      </c>
      <c r="AT936" s="453">
        <v>7</v>
      </c>
      <c r="AU936" s="1209">
        <v>271351000</v>
      </c>
      <c r="AV936" s="1367">
        <v>1.5295030381956677E-2</v>
      </c>
      <c r="AW936" s="874">
        <v>2016</v>
      </c>
    </row>
    <row r="937" spans="1:51">
      <c r="A937" s="798">
        <f t="shared" si="29"/>
        <v>1900</v>
      </c>
      <c r="B937" s="798">
        <f t="shared" si="30"/>
        <v>1</v>
      </c>
      <c r="AJ937" s="1348" t="s">
        <v>3</v>
      </c>
      <c r="AK937" s="1347">
        <v>2017</v>
      </c>
      <c r="AL937" s="453" t="s">
        <v>84</v>
      </c>
      <c r="AM937" s="1347">
        <v>9</v>
      </c>
      <c r="AN937" s="1353">
        <v>31378041.370000005</v>
      </c>
      <c r="AO937" s="1367">
        <v>1.5700691834214849E-2</v>
      </c>
      <c r="AQ937" s="1347" t="s">
        <v>1</v>
      </c>
      <c r="AR937" s="874" t="s">
        <v>669</v>
      </c>
      <c r="AS937" s="453" t="s">
        <v>431</v>
      </c>
      <c r="AT937" s="453">
        <v>8</v>
      </c>
      <c r="AU937" s="1209">
        <v>210629000</v>
      </c>
      <c r="AV937" s="1367">
        <v>1.187236072216853E-2</v>
      </c>
      <c r="AW937" s="874">
        <v>2016</v>
      </c>
    </row>
    <row r="938" spans="1:51">
      <c r="A938" s="798">
        <f t="shared" si="29"/>
        <v>1900</v>
      </c>
      <c r="B938" s="798">
        <f t="shared" si="30"/>
        <v>1</v>
      </c>
      <c r="AJ938" s="1348" t="s">
        <v>3</v>
      </c>
      <c r="AK938" s="1347">
        <v>2017</v>
      </c>
      <c r="AL938" s="453" t="s">
        <v>33</v>
      </c>
      <c r="AM938" s="1347">
        <v>10</v>
      </c>
      <c r="AN938" s="1353">
        <v>30326061.709999997</v>
      </c>
      <c r="AO938" s="1367">
        <v>1.5174310717472692E-2</v>
      </c>
      <c r="AQ938" s="1347" t="s">
        <v>1</v>
      </c>
      <c r="AR938" s="874" t="s">
        <v>669</v>
      </c>
      <c r="AS938" s="453" t="s">
        <v>434</v>
      </c>
      <c r="AT938" s="453">
        <v>9</v>
      </c>
      <c r="AU938" s="1209">
        <v>141435000</v>
      </c>
      <c r="AV938" s="1367">
        <v>7.9721564397110846E-3</v>
      </c>
      <c r="AW938" s="874">
        <v>2016</v>
      </c>
    </row>
    <row r="939" spans="1:51">
      <c r="A939" s="798">
        <f t="shared" si="29"/>
        <v>1900</v>
      </c>
      <c r="B939" s="798">
        <f t="shared" si="30"/>
        <v>1</v>
      </c>
      <c r="AJ939" s="1348" t="s">
        <v>3</v>
      </c>
      <c r="AK939" s="1347">
        <v>2017</v>
      </c>
      <c r="AL939" s="453" t="s">
        <v>45</v>
      </c>
      <c r="AN939" s="1353">
        <v>42637103.180000067</v>
      </c>
      <c r="AO939" s="1367">
        <v>2.1334410578374572E-2</v>
      </c>
      <c r="AQ939" s="1347" t="s">
        <v>1</v>
      </c>
      <c r="AR939" s="874" t="s">
        <v>669</v>
      </c>
      <c r="AS939" s="453" t="s">
        <v>432</v>
      </c>
      <c r="AT939" s="453">
        <v>10</v>
      </c>
      <c r="AU939" s="1209">
        <v>70268000</v>
      </c>
      <c r="AV939" s="1367">
        <v>3.9607416036031998E-3</v>
      </c>
      <c r="AW939" s="874">
        <v>2016</v>
      </c>
    </row>
    <row r="940" spans="1:51">
      <c r="A940" s="798">
        <f t="shared" si="29"/>
        <v>1900</v>
      </c>
      <c r="B940" s="798">
        <f t="shared" si="30"/>
        <v>1</v>
      </c>
      <c r="AJ940" s="1348" t="s">
        <v>3</v>
      </c>
      <c r="AK940" s="1347">
        <v>2017</v>
      </c>
      <c r="AL940" s="453" t="s">
        <v>137</v>
      </c>
      <c r="AN940" s="1402">
        <v>1998513294.9123409</v>
      </c>
      <c r="AQ940" s="1347" t="s">
        <v>1</v>
      </c>
      <c r="AR940" s="874" t="s">
        <v>669</v>
      </c>
      <c r="AS940" s="453" t="s">
        <v>45</v>
      </c>
      <c r="AU940" s="1209">
        <v>108196000</v>
      </c>
      <c r="AV940" s="1367">
        <v>6.0985996263370488E-3</v>
      </c>
      <c r="AW940" s="874">
        <v>2016</v>
      </c>
    </row>
    <row r="941" spans="1:51">
      <c r="A941" s="798">
        <f t="shared" si="29"/>
        <v>1900</v>
      </c>
      <c r="B941" s="798">
        <f t="shared" si="30"/>
        <v>1</v>
      </c>
      <c r="AJ941" s="453" t="s">
        <v>0</v>
      </c>
      <c r="AK941" s="453">
        <v>2018</v>
      </c>
      <c r="AL941" s="453" t="s">
        <v>40</v>
      </c>
      <c r="AM941" s="453">
        <v>1</v>
      </c>
      <c r="AN941" s="453">
        <v>2175721657.9100003</v>
      </c>
      <c r="AO941" s="1367">
        <v>0.24937642131078225</v>
      </c>
      <c r="AQ941" s="1347" t="s">
        <v>1</v>
      </c>
      <c r="AR941" s="874" t="s">
        <v>669</v>
      </c>
      <c r="AS941" s="453" t="s">
        <v>137</v>
      </c>
      <c r="AU941" s="1209">
        <v>17741122000</v>
      </c>
      <c r="AV941" s="1367"/>
      <c r="AW941" s="874">
        <v>2016</v>
      </c>
    </row>
    <row r="942" spans="1:51">
      <c r="A942" s="798">
        <f t="shared" si="29"/>
        <v>1900</v>
      </c>
      <c r="B942" s="798">
        <f t="shared" si="30"/>
        <v>1</v>
      </c>
      <c r="AJ942" s="453" t="s">
        <v>0</v>
      </c>
      <c r="AK942" s="453">
        <v>2018</v>
      </c>
      <c r="AL942" s="453" t="s">
        <v>23</v>
      </c>
      <c r="AM942" s="453">
        <v>2</v>
      </c>
      <c r="AN942" s="1347">
        <v>1290432081.1700003</v>
      </c>
      <c r="AO942" s="1367">
        <v>0.14790648113321814</v>
      </c>
      <c r="AQ942" s="453" t="s">
        <v>2</v>
      </c>
      <c r="AR942" s="874" t="s">
        <v>669</v>
      </c>
      <c r="AS942" s="1347" t="s">
        <v>24</v>
      </c>
      <c r="AT942" s="1347">
        <v>1</v>
      </c>
      <c r="AU942" s="1209">
        <v>50862455000</v>
      </c>
      <c r="AV942" s="1367">
        <v>0.82154759108869024</v>
      </c>
      <c r="AW942" s="874">
        <v>2016</v>
      </c>
    </row>
    <row r="943" spans="1:51">
      <c r="A943" s="798">
        <f t="shared" si="29"/>
        <v>1900</v>
      </c>
      <c r="B943" s="798">
        <f t="shared" si="30"/>
        <v>1</v>
      </c>
      <c r="AJ943" s="453" t="s">
        <v>0</v>
      </c>
      <c r="AK943" s="453">
        <v>2018</v>
      </c>
      <c r="AL943" s="453" t="s">
        <v>38</v>
      </c>
      <c r="AM943" s="453">
        <v>3</v>
      </c>
      <c r="AN943" s="453">
        <v>987248765.07000017</v>
      </c>
      <c r="AO943" s="1367">
        <v>0.11315627763394258</v>
      </c>
      <c r="AQ943" s="1347" t="s">
        <v>2</v>
      </c>
      <c r="AR943" s="874" t="s">
        <v>669</v>
      </c>
      <c r="AS943" s="1347" t="s">
        <v>29</v>
      </c>
      <c r="AT943" s="1347">
        <v>2</v>
      </c>
      <c r="AU943" s="1209">
        <v>5362634000</v>
      </c>
      <c r="AV943" s="1367">
        <v>8.6619079723743331E-2</v>
      </c>
      <c r="AW943" s="874">
        <v>2016</v>
      </c>
      <c r="AX943" s="1348"/>
      <c r="AY943" s="1348"/>
    </row>
    <row r="944" spans="1:51">
      <c r="A944" s="798">
        <f t="shared" si="29"/>
        <v>1900</v>
      </c>
      <c r="B944" s="798">
        <f t="shared" si="30"/>
        <v>1</v>
      </c>
      <c r="AJ944" s="1348" t="s">
        <v>0</v>
      </c>
      <c r="AK944" s="1347">
        <v>2018</v>
      </c>
      <c r="AL944" s="1347" t="s">
        <v>32</v>
      </c>
      <c r="AM944" s="1347">
        <v>4</v>
      </c>
      <c r="AN944" s="1353">
        <v>831018578.97000015</v>
      </c>
      <c r="AO944" s="1367">
        <v>9.5249518022163637E-2</v>
      </c>
      <c r="AQ944" s="1347" t="s">
        <v>2</v>
      </c>
      <c r="AR944" s="874" t="s">
        <v>669</v>
      </c>
      <c r="AS944" s="1347" t="s">
        <v>431</v>
      </c>
      <c r="AT944" s="1347">
        <v>3</v>
      </c>
      <c r="AU944" s="1209">
        <v>3899533000</v>
      </c>
      <c r="AV944" s="1367">
        <v>6.2986577083643594E-2</v>
      </c>
      <c r="AW944" s="874">
        <v>2016</v>
      </c>
      <c r="AX944" s="1348"/>
      <c r="AY944" s="1348"/>
    </row>
    <row r="945" spans="1:51">
      <c r="A945" s="798">
        <f t="shared" si="29"/>
        <v>1900</v>
      </c>
      <c r="B945" s="798">
        <f t="shared" si="30"/>
        <v>1</v>
      </c>
      <c r="AJ945" s="1348" t="s">
        <v>0</v>
      </c>
      <c r="AK945" s="1347">
        <v>2018</v>
      </c>
      <c r="AL945" s="1347" t="s">
        <v>27</v>
      </c>
      <c r="AM945" s="1347">
        <v>5</v>
      </c>
      <c r="AN945" s="1353">
        <v>646412689.55000007</v>
      </c>
      <c r="AO945" s="1367">
        <v>7.4090397833657465E-2</v>
      </c>
      <c r="AQ945" s="1347" t="s">
        <v>2</v>
      </c>
      <c r="AR945" s="874" t="s">
        <v>669</v>
      </c>
      <c r="AS945" s="1347" t="s">
        <v>433</v>
      </c>
      <c r="AT945" s="1347">
        <v>4</v>
      </c>
      <c r="AU945" s="1209">
        <v>1431845000</v>
      </c>
      <c r="AV945" s="1367">
        <v>2.3127645147336787E-2</v>
      </c>
      <c r="AW945" s="874">
        <v>2016</v>
      </c>
      <c r="AX945" s="1348"/>
      <c r="AY945" s="1348"/>
    </row>
    <row r="946" spans="1:51">
      <c r="A946" s="798">
        <f t="shared" si="29"/>
        <v>1900</v>
      </c>
      <c r="B946" s="798">
        <f t="shared" si="30"/>
        <v>1</v>
      </c>
      <c r="AJ946" s="453" t="s">
        <v>0</v>
      </c>
      <c r="AK946" s="453">
        <v>2018</v>
      </c>
      <c r="AL946" s="453" t="s">
        <v>453</v>
      </c>
      <c r="AM946" s="453">
        <v>6</v>
      </c>
      <c r="AN946" s="453">
        <v>425784431.76999998</v>
      </c>
      <c r="AO946" s="1367">
        <v>4.8802473174185658E-2</v>
      </c>
      <c r="AQ946" s="1347" t="s">
        <v>2</v>
      </c>
      <c r="AR946" s="874" t="s">
        <v>669</v>
      </c>
      <c r="AS946" s="1347" t="s">
        <v>28</v>
      </c>
      <c r="AT946" s="1347">
        <v>5</v>
      </c>
      <c r="AU946" s="1209">
        <v>288925000</v>
      </c>
      <c r="AV946" s="1367">
        <v>4.6668144067229913E-3</v>
      </c>
      <c r="AW946" s="874">
        <v>2016</v>
      </c>
      <c r="AX946" s="1348"/>
      <c r="AY946" s="1348"/>
    </row>
    <row r="947" spans="1:51">
      <c r="A947" s="798">
        <f t="shared" si="29"/>
        <v>1900</v>
      </c>
      <c r="B947" s="798">
        <f t="shared" si="30"/>
        <v>1</v>
      </c>
      <c r="AJ947" s="453" t="s">
        <v>0</v>
      </c>
      <c r="AK947" s="453">
        <v>2018</v>
      </c>
      <c r="AL947" s="453" t="s">
        <v>22</v>
      </c>
      <c r="AM947" s="453">
        <v>7</v>
      </c>
      <c r="AN947" s="453">
        <v>353281454.40999997</v>
      </c>
      <c r="AO947" s="1367">
        <v>4.0492341700023818E-2</v>
      </c>
      <c r="AQ947" s="1347" t="s">
        <v>2</v>
      </c>
      <c r="AR947" s="874" t="s">
        <v>669</v>
      </c>
      <c r="AS947" s="1347" t="s">
        <v>45</v>
      </c>
      <c r="AT947" s="1347"/>
      <c r="AU947" s="1209">
        <v>142137000</v>
      </c>
      <c r="AV947" s="1367">
        <v>2.2958449401345878E-3</v>
      </c>
      <c r="AW947" s="874">
        <v>2016</v>
      </c>
      <c r="AX947" s="1348"/>
      <c r="AY947" s="1348"/>
    </row>
    <row r="948" spans="1:51">
      <c r="A948" s="798">
        <f t="shared" si="29"/>
        <v>1900</v>
      </c>
      <c r="B948" s="798">
        <f t="shared" si="30"/>
        <v>1</v>
      </c>
      <c r="AJ948" s="453" t="s">
        <v>0</v>
      </c>
      <c r="AK948" s="453">
        <v>2018</v>
      </c>
      <c r="AL948" s="453" t="s">
        <v>35</v>
      </c>
      <c r="AM948" s="453">
        <v>8</v>
      </c>
      <c r="AN948" s="453">
        <v>279632886.12</v>
      </c>
      <c r="AO948" s="1367">
        <v>3.2050905118257401E-2</v>
      </c>
      <c r="AQ948" s="1347" t="s">
        <v>2</v>
      </c>
      <c r="AR948" s="874" t="s">
        <v>669</v>
      </c>
      <c r="AS948" s="1347" t="s">
        <v>137</v>
      </c>
      <c r="AT948" s="1347"/>
      <c r="AU948" s="1209">
        <v>61910540000</v>
      </c>
      <c r="AV948" s="1367"/>
      <c r="AW948" s="874">
        <v>2016</v>
      </c>
    </row>
    <row r="949" spans="1:51">
      <c r="A949" s="798">
        <f t="shared" si="29"/>
        <v>1900</v>
      </c>
      <c r="B949" s="798">
        <f t="shared" si="30"/>
        <v>1</v>
      </c>
      <c r="AJ949" s="453" t="s">
        <v>0</v>
      </c>
      <c r="AK949" s="453">
        <v>2018</v>
      </c>
      <c r="AL949" s="453" t="s">
        <v>41</v>
      </c>
      <c r="AM949" s="453">
        <v>9</v>
      </c>
      <c r="AN949" s="453">
        <v>274192558.38999999</v>
      </c>
      <c r="AO949" s="1367">
        <v>3.1427346743897855E-2</v>
      </c>
      <c r="AQ949" s="453" t="s">
        <v>4</v>
      </c>
      <c r="AR949" s="874" t="s">
        <v>669</v>
      </c>
      <c r="AS949" s="1347" t="s">
        <v>29</v>
      </c>
      <c r="AT949" s="1347">
        <v>1</v>
      </c>
      <c r="AU949" s="1209">
        <v>8636425613.9699898</v>
      </c>
      <c r="AV949" s="1367">
        <v>0.51251929691735121</v>
      </c>
      <c r="AW949" s="874">
        <v>2016</v>
      </c>
    </row>
    <row r="950" spans="1:51">
      <c r="A950" s="798">
        <f t="shared" si="29"/>
        <v>1900</v>
      </c>
      <c r="B950" s="798">
        <f t="shared" si="30"/>
        <v>1</v>
      </c>
      <c r="AD950" s="1193"/>
      <c r="AJ950" s="453" t="s">
        <v>0</v>
      </c>
      <c r="AK950" s="453">
        <v>2018</v>
      </c>
      <c r="AL950" s="453" t="s">
        <v>25</v>
      </c>
      <c r="AM950" s="453">
        <v>10</v>
      </c>
      <c r="AN950" s="453">
        <v>250540372.52000001</v>
      </c>
      <c r="AO950" s="1367">
        <v>2.8716385327029879E-2</v>
      </c>
      <c r="AQ950" s="1347" t="s">
        <v>4</v>
      </c>
      <c r="AR950" s="874" t="s">
        <v>669</v>
      </c>
      <c r="AS950" s="1347" t="s">
        <v>24</v>
      </c>
      <c r="AT950" s="1347">
        <v>2</v>
      </c>
      <c r="AU950" s="1209">
        <v>1976863947.2599993</v>
      </c>
      <c r="AV950" s="1367">
        <v>0.1173148436214245</v>
      </c>
      <c r="AW950" s="874">
        <v>2016</v>
      </c>
    </row>
    <row r="951" spans="1:51">
      <c r="A951" s="798">
        <f t="shared" si="29"/>
        <v>1900</v>
      </c>
      <c r="B951" s="798">
        <f t="shared" si="30"/>
        <v>1</v>
      </c>
      <c r="AD951" s="1193"/>
      <c r="AJ951" s="453" t="s">
        <v>0</v>
      </c>
      <c r="AK951" s="453">
        <v>2018</v>
      </c>
      <c r="AL951" s="453" t="s">
        <v>45</v>
      </c>
      <c r="AN951" s="453">
        <v>1210383175.6399994</v>
      </c>
      <c r="AO951" s="1367">
        <v>0.13873145200284109</v>
      </c>
      <c r="AQ951" s="1347" t="s">
        <v>4</v>
      </c>
      <c r="AR951" s="874" t="s">
        <v>669</v>
      </c>
      <c r="AS951" s="1347" t="s">
        <v>70</v>
      </c>
      <c r="AT951" s="1347">
        <v>3</v>
      </c>
      <c r="AU951" s="1209">
        <v>1648954757.3499992</v>
      </c>
      <c r="AV951" s="1367">
        <v>9.7855428930980856E-2</v>
      </c>
      <c r="AW951" s="874">
        <v>2016</v>
      </c>
    </row>
    <row r="952" spans="1:51">
      <c r="A952" s="798">
        <f t="shared" si="29"/>
        <v>1900</v>
      </c>
      <c r="B952" s="798">
        <f t="shared" si="30"/>
        <v>1</v>
      </c>
      <c r="AD952" s="1193"/>
      <c r="AJ952" s="453" t="s">
        <v>0</v>
      </c>
      <c r="AK952" s="453">
        <v>2018</v>
      </c>
      <c r="AL952" s="453" t="s">
        <v>452</v>
      </c>
      <c r="AN952" s="453">
        <v>8724648651.5200024</v>
      </c>
      <c r="AO952" s="1367">
        <v>1</v>
      </c>
      <c r="AQ952" s="1347" t="s">
        <v>4</v>
      </c>
      <c r="AR952" s="874" t="s">
        <v>669</v>
      </c>
      <c r="AS952" s="1347" t="s">
        <v>30</v>
      </c>
      <c r="AT952" s="1347">
        <v>4</v>
      </c>
      <c r="AU952" s="1209">
        <v>1276555069.71</v>
      </c>
      <c r="AV952" s="1367">
        <v>7.575577397965913E-2</v>
      </c>
      <c r="AW952" s="874">
        <v>2016</v>
      </c>
    </row>
    <row r="953" spans="1:51">
      <c r="A953" s="798">
        <f t="shared" si="29"/>
        <v>1900</v>
      </c>
      <c r="B953" s="798">
        <f t="shared" si="30"/>
        <v>1</v>
      </c>
      <c r="AD953" s="1193"/>
      <c r="AJ953" s="453" t="s">
        <v>350</v>
      </c>
      <c r="AK953" s="453">
        <v>2018</v>
      </c>
      <c r="AL953" s="453" t="s">
        <v>24</v>
      </c>
      <c r="AM953" s="453">
        <v>1</v>
      </c>
      <c r="AN953" s="453">
        <v>1726941785.7999997</v>
      </c>
      <c r="AO953" s="1367">
        <v>0.37071499580019079</v>
      </c>
      <c r="AQ953" s="1347" t="s">
        <v>4</v>
      </c>
      <c r="AR953" s="874" t="s">
        <v>669</v>
      </c>
      <c r="AS953" s="1347" t="s">
        <v>28</v>
      </c>
      <c r="AT953" s="1347">
        <v>5</v>
      </c>
      <c r="AU953" s="1209">
        <v>994545355.19000006</v>
      </c>
      <c r="AV953" s="1367">
        <v>5.902021379885266E-2</v>
      </c>
      <c r="AW953" s="874">
        <v>2016</v>
      </c>
    </row>
    <row r="954" spans="1:51">
      <c r="A954" s="798">
        <f t="shared" si="29"/>
        <v>1900</v>
      </c>
      <c r="B954" s="798">
        <f t="shared" si="30"/>
        <v>1</v>
      </c>
      <c r="AD954" s="1193"/>
      <c r="AJ954" s="453" t="s">
        <v>350</v>
      </c>
      <c r="AK954" s="453">
        <v>2018</v>
      </c>
      <c r="AL954" s="453" t="s">
        <v>29</v>
      </c>
      <c r="AM954" s="453">
        <v>2</v>
      </c>
      <c r="AN954" s="453">
        <v>739850287.18000019</v>
      </c>
      <c r="AO954" s="1367">
        <v>0.15882040631592423</v>
      </c>
      <c r="AQ954" s="1347" t="s">
        <v>4</v>
      </c>
      <c r="AR954" s="874" t="s">
        <v>669</v>
      </c>
      <c r="AS954" s="1347" t="s">
        <v>39</v>
      </c>
      <c r="AT954" s="1347">
        <v>6</v>
      </c>
      <c r="AU954" s="1209">
        <v>749475485.49999988</v>
      </c>
      <c r="AV954" s="1367">
        <v>4.4476808584318704E-2</v>
      </c>
      <c r="AW954" s="874">
        <v>2016</v>
      </c>
    </row>
    <row r="955" spans="1:51">
      <c r="A955" s="798">
        <f t="shared" si="29"/>
        <v>1900</v>
      </c>
      <c r="B955" s="798">
        <f t="shared" si="30"/>
        <v>1</v>
      </c>
      <c r="AD955" s="1193"/>
      <c r="AJ955" s="453" t="s">
        <v>350</v>
      </c>
      <c r="AK955" s="453">
        <v>2018</v>
      </c>
      <c r="AL955" s="453" t="s">
        <v>30</v>
      </c>
      <c r="AM955" s="453">
        <v>3</v>
      </c>
      <c r="AN955" s="453">
        <v>724667296.74000001</v>
      </c>
      <c r="AO955" s="1367">
        <v>0.15556114055289702</v>
      </c>
      <c r="AQ955" s="1347" t="s">
        <v>4</v>
      </c>
      <c r="AR955" s="874" t="s">
        <v>669</v>
      </c>
      <c r="AS955" s="1347" t="s">
        <v>31</v>
      </c>
      <c r="AT955" s="1347">
        <v>7</v>
      </c>
      <c r="AU955" s="1209">
        <v>652047262.18000007</v>
      </c>
      <c r="AV955" s="1367">
        <v>3.869503650084221E-2</v>
      </c>
      <c r="AW955" s="874">
        <v>2016</v>
      </c>
    </row>
    <row r="956" spans="1:51">
      <c r="A956" s="798">
        <f t="shared" si="29"/>
        <v>1900</v>
      </c>
      <c r="B956" s="798">
        <f t="shared" si="30"/>
        <v>1</v>
      </c>
      <c r="AD956" s="1193"/>
      <c r="AJ956" s="453" t="s">
        <v>350</v>
      </c>
      <c r="AK956" s="453">
        <v>2018</v>
      </c>
      <c r="AL956" s="453" t="s">
        <v>83</v>
      </c>
      <c r="AM956" s="453">
        <v>4</v>
      </c>
      <c r="AN956" s="453">
        <v>511442050.61999995</v>
      </c>
      <c r="AO956" s="1367">
        <v>0.10978901501291953</v>
      </c>
      <c r="AQ956" s="1347" t="s">
        <v>4</v>
      </c>
      <c r="AR956" s="874" t="s">
        <v>669</v>
      </c>
      <c r="AS956" s="1347" t="s">
        <v>27</v>
      </c>
      <c r="AT956" s="1347">
        <v>8</v>
      </c>
      <c r="AU956" s="1209">
        <v>479810892.17999995</v>
      </c>
      <c r="AV956" s="1367">
        <v>2.8473856211486508E-2</v>
      </c>
      <c r="AW956" s="874">
        <v>2016</v>
      </c>
    </row>
    <row r="957" spans="1:51">
      <c r="A957" s="798">
        <f t="shared" si="29"/>
        <v>1900</v>
      </c>
      <c r="B957" s="798">
        <f t="shared" si="30"/>
        <v>1</v>
      </c>
      <c r="AD957" s="1193"/>
      <c r="AJ957" s="453" t="s">
        <v>350</v>
      </c>
      <c r="AK957" s="453">
        <v>2018</v>
      </c>
      <c r="AL957" s="453" t="s">
        <v>67</v>
      </c>
      <c r="AM957" s="453">
        <v>5</v>
      </c>
      <c r="AN957" s="453">
        <v>423507584.44</v>
      </c>
      <c r="AO957" s="1367">
        <v>9.0912510009301534E-2</v>
      </c>
      <c r="AQ957" s="1347" t="s">
        <v>4</v>
      </c>
      <c r="AR957" s="874" t="s">
        <v>669</v>
      </c>
      <c r="AS957" s="1347" t="s">
        <v>672</v>
      </c>
      <c r="AT957" s="1347">
        <v>9</v>
      </c>
      <c r="AU957" s="1209">
        <v>183246831.55000004</v>
      </c>
      <c r="AV957" s="1367">
        <v>1.0874584170147946E-2</v>
      </c>
      <c r="AW957" s="874">
        <v>2016</v>
      </c>
    </row>
    <row r="958" spans="1:51">
      <c r="A958" s="798">
        <f t="shared" si="29"/>
        <v>1900</v>
      </c>
      <c r="B958" s="798">
        <f t="shared" si="30"/>
        <v>1</v>
      </c>
      <c r="AD958" s="1193"/>
      <c r="AJ958" s="453" t="s">
        <v>350</v>
      </c>
      <c r="AK958" s="453">
        <v>2018</v>
      </c>
      <c r="AL958" s="453" t="s">
        <v>27</v>
      </c>
      <c r="AM958" s="453">
        <v>6</v>
      </c>
      <c r="AN958" s="453">
        <v>236685915.11000001</v>
      </c>
      <c r="AO958" s="1367">
        <v>5.0808324141234054E-2</v>
      </c>
      <c r="AQ958" s="1347" t="s">
        <v>4</v>
      </c>
      <c r="AR958" s="874" t="s">
        <v>669</v>
      </c>
      <c r="AS958" s="1347" t="s">
        <v>41</v>
      </c>
      <c r="AT958" s="1347">
        <v>10</v>
      </c>
      <c r="AU958" s="1209">
        <v>86031559.040000007</v>
      </c>
      <c r="AV958" s="1367">
        <v>5.1054494211773575E-3</v>
      </c>
      <c r="AW958" s="874">
        <v>2016</v>
      </c>
    </row>
    <row r="959" spans="1:51">
      <c r="A959" s="798">
        <f t="shared" si="29"/>
        <v>1900</v>
      </c>
      <c r="B959" s="798">
        <f t="shared" si="30"/>
        <v>1</v>
      </c>
      <c r="AD959" s="1193"/>
      <c r="AJ959" s="453" t="s">
        <v>350</v>
      </c>
      <c r="AK959" s="453">
        <v>2018</v>
      </c>
      <c r="AL959" s="453" t="s">
        <v>31</v>
      </c>
      <c r="AM959" s="453">
        <v>7</v>
      </c>
      <c r="AN959" s="453">
        <v>179627951.43000001</v>
      </c>
      <c r="AO959" s="1367">
        <v>3.855994209389136E-2</v>
      </c>
      <c r="AQ959" s="1347" t="s">
        <v>4</v>
      </c>
      <c r="AR959" s="874" t="s">
        <v>669</v>
      </c>
      <c r="AS959" s="1347" t="s">
        <v>45</v>
      </c>
      <c r="AT959" s="1347"/>
      <c r="AU959" s="1209">
        <v>166970919.75</v>
      </c>
      <c r="AV959" s="1367">
        <v>9.9087078637589282E-3</v>
      </c>
      <c r="AW959" s="874">
        <v>2016</v>
      </c>
    </row>
    <row r="960" spans="1:51">
      <c r="A960" s="798">
        <f t="shared" si="29"/>
        <v>1900</v>
      </c>
      <c r="B960" s="798">
        <f t="shared" si="30"/>
        <v>1</v>
      </c>
      <c r="AD960" s="1193"/>
      <c r="AJ960" s="453" t="s">
        <v>350</v>
      </c>
      <c r="AK960" s="453">
        <v>2018</v>
      </c>
      <c r="AL960" s="453" t="s">
        <v>672</v>
      </c>
      <c r="AM960" s="453">
        <v>8</v>
      </c>
      <c r="AN960" s="453">
        <v>46128421.840000004</v>
      </c>
      <c r="AO960" s="1367">
        <v>9.9021853830256849E-3</v>
      </c>
      <c r="AQ960" s="860" t="s">
        <v>4</v>
      </c>
      <c r="AR960" s="794" t="s">
        <v>669</v>
      </c>
      <c r="AS960" s="860" t="s">
        <v>452</v>
      </c>
      <c r="AT960" s="860"/>
      <c r="AU960" s="1377">
        <v>16850927693.679989</v>
      </c>
      <c r="AV960" s="1392"/>
      <c r="AW960" s="794">
        <v>2016</v>
      </c>
    </row>
    <row r="961" spans="1:51">
      <c r="A961" s="798">
        <f t="shared" si="29"/>
        <v>1900</v>
      </c>
      <c r="B961" s="798">
        <f t="shared" si="30"/>
        <v>1</v>
      </c>
      <c r="AJ961" s="453" t="s">
        <v>350</v>
      </c>
      <c r="AK961" s="453">
        <v>2018</v>
      </c>
      <c r="AL961" s="453" t="s">
        <v>445</v>
      </c>
      <c r="AM961" s="453">
        <v>9</v>
      </c>
      <c r="AN961" s="453">
        <v>42235675.07</v>
      </c>
      <c r="AO961" s="1367">
        <v>9.06654655932136E-3</v>
      </c>
      <c r="AQ961" s="860" t="s">
        <v>350</v>
      </c>
      <c r="AR961" s="794" t="s">
        <v>669</v>
      </c>
      <c r="AS961" s="860" t="s">
        <v>83</v>
      </c>
      <c r="AT961" s="860">
        <v>1</v>
      </c>
      <c r="AU961" s="1377">
        <v>784209544.47104001</v>
      </c>
      <c r="AV961" s="862">
        <v>0.25600000000000001</v>
      </c>
      <c r="AW961" s="794">
        <v>2016</v>
      </c>
    </row>
    <row r="962" spans="1:51">
      <c r="A962" s="798">
        <f t="shared" si="29"/>
        <v>1900</v>
      </c>
      <c r="B962" s="798">
        <f t="shared" si="30"/>
        <v>1</v>
      </c>
      <c r="AJ962" s="453" t="s">
        <v>350</v>
      </c>
      <c r="AK962" s="453">
        <v>2018</v>
      </c>
      <c r="AL962" s="453" t="s">
        <v>63</v>
      </c>
      <c r="AM962" s="453">
        <v>10</v>
      </c>
      <c r="AN962" s="453">
        <v>27321257.399999999</v>
      </c>
      <c r="AO962" s="1367">
        <v>5.8649341312944055E-3</v>
      </c>
      <c r="AQ962" s="860" t="s">
        <v>350</v>
      </c>
      <c r="AR962" s="794" t="s">
        <v>669</v>
      </c>
      <c r="AS962" s="860" t="s">
        <v>30</v>
      </c>
      <c r="AT962" s="860">
        <v>2</v>
      </c>
      <c r="AU962" s="1377">
        <v>698436625.54452002</v>
      </c>
      <c r="AV962" s="862">
        <v>0.22800000000000001</v>
      </c>
      <c r="AW962" s="794">
        <v>2016</v>
      </c>
    </row>
    <row r="963" spans="1:51">
      <c r="A963" s="798">
        <f t="shared" si="29"/>
        <v>1900</v>
      </c>
      <c r="B963" s="798">
        <f t="shared" si="30"/>
        <v>1</v>
      </c>
      <c r="AJ963" s="453" t="s">
        <v>350</v>
      </c>
      <c r="AK963" s="453">
        <v>2018</v>
      </c>
      <c r="AL963" s="453" t="s">
        <v>45</v>
      </c>
      <c r="AN963" s="453">
        <v>0</v>
      </c>
      <c r="AO963" s="1367">
        <v>0</v>
      </c>
      <c r="AQ963" s="860" t="s">
        <v>350</v>
      </c>
      <c r="AR963" s="794" t="s">
        <v>669</v>
      </c>
      <c r="AS963" s="860" t="s">
        <v>24</v>
      </c>
      <c r="AT963" s="860">
        <v>3</v>
      </c>
      <c r="AU963" s="1377">
        <v>615727025.15109003</v>
      </c>
      <c r="AV963" s="862">
        <v>0.20100000000000001</v>
      </c>
      <c r="AW963" s="794">
        <v>2016</v>
      </c>
    </row>
    <row r="964" spans="1:51">
      <c r="A964" s="798">
        <f t="shared" si="29"/>
        <v>1900</v>
      </c>
      <c r="B964" s="798">
        <f t="shared" si="30"/>
        <v>1</v>
      </c>
      <c r="AJ964" s="453" t="s">
        <v>350</v>
      </c>
      <c r="AK964" s="453">
        <v>2018</v>
      </c>
      <c r="AL964" s="453" t="s">
        <v>452</v>
      </c>
      <c r="AN964" s="453">
        <v>4658408225.6300001</v>
      </c>
      <c r="AQ964" s="860" t="s">
        <v>350</v>
      </c>
      <c r="AR964" s="794" t="s">
        <v>669</v>
      </c>
      <c r="AS964" s="860" t="s">
        <v>29</v>
      </c>
      <c r="AT964" s="860">
        <v>4</v>
      </c>
      <c r="AU964" s="1377">
        <v>416611320.50024003</v>
      </c>
      <c r="AV964" s="862">
        <v>0.13600000000000001</v>
      </c>
      <c r="AW964" s="794">
        <v>2016</v>
      </c>
    </row>
    <row r="965" spans="1:51">
      <c r="A965" s="798">
        <f t="shared" si="29"/>
        <v>1900</v>
      </c>
      <c r="B965" s="798">
        <f t="shared" si="30"/>
        <v>1</v>
      </c>
      <c r="AJ965" s="1536" t="s">
        <v>651</v>
      </c>
      <c r="AK965" s="453">
        <v>2018</v>
      </c>
      <c r="AL965" s="1347"/>
      <c r="AN965" s="453">
        <v>3279671896.6100001</v>
      </c>
      <c r="AQ965" s="860" t="s">
        <v>350</v>
      </c>
      <c r="AR965" s="794" t="s">
        <v>669</v>
      </c>
      <c r="AS965" s="860" t="s">
        <v>67</v>
      </c>
      <c r="AT965" s="860">
        <v>5</v>
      </c>
      <c r="AU965" s="1377">
        <v>300205216.24282002</v>
      </c>
      <c r="AV965" s="862">
        <v>9.8000000000000004E-2</v>
      </c>
      <c r="AW965" s="794">
        <v>2016</v>
      </c>
    </row>
    <row r="966" spans="1:51">
      <c r="A966" s="798">
        <f t="shared" si="29"/>
        <v>1900</v>
      </c>
      <c r="B966" s="798">
        <f t="shared" si="30"/>
        <v>1</v>
      </c>
      <c r="AJ966" s="453" t="s">
        <v>3</v>
      </c>
      <c r="AK966" s="453">
        <v>2018</v>
      </c>
      <c r="AL966" s="453" t="s">
        <v>24</v>
      </c>
      <c r="AM966" s="453">
        <v>1</v>
      </c>
      <c r="AN966" s="453">
        <v>1311401863.4700005</v>
      </c>
      <c r="AO966" s="1367">
        <v>0.50140855911586424</v>
      </c>
      <c r="AQ966" s="860" t="s">
        <v>350</v>
      </c>
      <c r="AR966" s="794" t="s">
        <v>669</v>
      </c>
      <c r="AS966" s="860" t="s">
        <v>27</v>
      </c>
      <c r="AT966" s="860">
        <v>6</v>
      </c>
      <c r="AU966" s="1377">
        <v>153165926.65450001</v>
      </c>
      <c r="AV966" s="862">
        <v>0.05</v>
      </c>
      <c r="AW966" s="794">
        <v>2016</v>
      </c>
    </row>
    <row r="967" spans="1:51">
      <c r="A967" s="798">
        <f t="shared" si="29"/>
        <v>1900</v>
      </c>
      <c r="B967" s="798">
        <f t="shared" si="30"/>
        <v>1</v>
      </c>
      <c r="AJ967" s="453" t="s">
        <v>3</v>
      </c>
      <c r="AK967" s="453">
        <v>2018</v>
      </c>
      <c r="AL967" s="453" t="s">
        <v>29</v>
      </c>
      <c r="AM967" s="453">
        <v>2</v>
      </c>
      <c r="AN967" s="453">
        <v>473716584.11474049</v>
      </c>
      <c r="AO967" s="1367">
        <v>0.181123389013466</v>
      </c>
      <c r="AQ967" s="860" t="s">
        <v>350</v>
      </c>
      <c r="AR967" s="794" t="s">
        <v>669</v>
      </c>
      <c r="AS967" s="860" t="s">
        <v>433</v>
      </c>
      <c r="AT967" s="860">
        <v>7</v>
      </c>
      <c r="AU967" s="1377">
        <v>45949777.996349998</v>
      </c>
      <c r="AV967" s="862">
        <v>1.4999999999999999E-2</v>
      </c>
      <c r="AW967" s="794">
        <v>2016</v>
      </c>
    </row>
    <row r="968" spans="1:51">
      <c r="A968" s="798">
        <f t="shared" si="29"/>
        <v>1900</v>
      </c>
      <c r="B968" s="798">
        <f t="shared" si="30"/>
        <v>1</v>
      </c>
      <c r="AJ968" s="453" t="s">
        <v>3</v>
      </c>
      <c r="AK968" s="453">
        <v>2018</v>
      </c>
      <c r="AL968" s="453" t="s">
        <v>672</v>
      </c>
      <c r="AM968" s="453">
        <v>3</v>
      </c>
      <c r="AN968" s="453">
        <v>337494394.45923591</v>
      </c>
      <c r="AO968" s="1367">
        <v>0.12903945216893289</v>
      </c>
      <c r="AQ968" s="860" t="s">
        <v>350</v>
      </c>
      <c r="AR968" s="794" t="s">
        <v>669</v>
      </c>
      <c r="AS968" s="860" t="s">
        <v>63</v>
      </c>
      <c r="AT968" s="860">
        <v>8</v>
      </c>
      <c r="AU968" s="1377">
        <v>24506548.26472</v>
      </c>
      <c r="AV968" s="862">
        <v>8.0000000000000002E-3</v>
      </c>
      <c r="AW968" s="794">
        <v>2016</v>
      </c>
    </row>
    <row r="969" spans="1:51">
      <c r="A969" s="798">
        <f t="shared" si="29"/>
        <v>1900</v>
      </c>
      <c r="B969" s="798">
        <f t="shared" si="30"/>
        <v>1</v>
      </c>
      <c r="AJ969" s="453" t="s">
        <v>3</v>
      </c>
      <c r="AK969" s="453">
        <v>2018</v>
      </c>
      <c r="AL969" s="453" t="s">
        <v>33</v>
      </c>
      <c r="AM969" s="453">
        <v>4</v>
      </c>
      <c r="AN969" s="453">
        <v>148509267.09000003</v>
      </c>
      <c r="AO969" s="1367">
        <v>5.6781845215559568E-2</v>
      </c>
      <c r="AQ969" s="860" t="s">
        <v>350</v>
      </c>
      <c r="AR969" s="794" t="s">
        <v>669</v>
      </c>
      <c r="AS969" s="860" t="s">
        <v>66</v>
      </c>
      <c r="AT969" s="860">
        <v>9</v>
      </c>
      <c r="AU969" s="1377">
        <v>21443229.731630001</v>
      </c>
      <c r="AV969" s="862">
        <v>7.0000000000000001E-3</v>
      </c>
      <c r="AW969" s="794">
        <v>2016</v>
      </c>
    </row>
    <row r="970" spans="1:51">
      <c r="A970" s="798">
        <f t="shared" ref="A970:A1033" si="31">YEAR(C970)</f>
        <v>1900</v>
      </c>
      <c r="B970" s="798">
        <f t="shared" ref="B970:B1033" si="32">IF(OR(MONTH(C970)=1,MONTH(C970)=2,MONTH(C970)=3),1,IF(OR(MONTH(C970)=4,MONTH(C970)=5,MONTH(C970)=6),2,IF(OR(MONTH(C970)=7,MONTH(C970)=8,MONTH(C970)=9),3,4)))</f>
        <v>1</v>
      </c>
      <c r="AJ970" s="453" t="s">
        <v>3</v>
      </c>
      <c r="AK970" s="453">
        <v>2018</v>
      </c>
      <c r="AL970" s="453" t="s">
        <v>30</v>
      </c>
      <c r="AM970" s="453">
        <v>5</v>
      </c>
      <c r="AN970" s="453">
        <v>99628564.416659206</v>
      </c>
      <c r="AO970" s="1367">
        <v>3.8092530079801817E-2</v>
      </c>
      <c r="AQ970" s="860" t="s">
        <v>350</v>
      </c>
      <c r="AR970" s="794" t="s">
        <v>669</v>
      </c>
      <c r="AS970" s="860" t="s">
        <v>31</v>
      </c>
      <c r="AT970" s="860">
        <v>10</v>
      </c>
      <c r="AU970" s="1377">
        <v>3063318.53309</v>
      </c>
      <c r="AV970" s="862">
        <v>1E-3</v>
      </c>
      <c r="AW970" s="794">
        <v>2016</v>
      </c>
    </row>
    <row r="971" spans="1:51">
      <c r="A971" s="798">
        <f t="shared" si="31"/>
        <v>1900</v>
      </c>
      <c r="B971" s="798">
        <f t="shared" si="32"/>
        <v>1</v>
      </c>
      <c r="AJ971" s="453" t="s">
        <v>3</v>
      </c>
      <c r="AK971" s="453">
        <v>2018</v>
      </c>
      <c r="AL971" s="453" t="s">
        <v>84</v>
      </c>
      <c r="AM971" s="453">
        <v>6</v>
      </c>
      <c r="AN971" s="453">
        <v>46454610.100000001</v>
      </c>
      <c r="AO971" s="1367">
        <v>1.7761709635593419E-2</v>
      </c>
      <c r="AQ971" s="860" t="s">
        <v>350</v>
      </c>
      <c r="AR971" s="794" t="s">
        <v>669</v>
      </c>
      <c r="AS971" s="860" t="s">
        <v>45</v>
      </c>
      <c r="AT971" s="860"/>
      <c r="AU971" s="860" t="s">
        <v>634</v>
      </c>
      <c r="AV971" s="862">
        <v>0</v>
      </c>
      <c r="AW971" s="794">
        <v>2016</v>
      </c>
      <c r="AY971" s="1094">
        <f>SUM(AU961:AU970)</f>
        <v>3063318533.0899997</v>
      </c>
    </row>
    <row r="972" spans="1:51">
      <c r="A972" s="798">
        <f t="shared" si="31"/>
        <v>1900</v>
      </c>
      <c r="B972" s="798">
        <f t="shared" si="32"/>
        <v>1</v>
      </c>
      <c r="AJ972" s="453" t="s">
        <v>3</v>
      </c>
      <c r="AK972" s="453">
        <v>2018</v>
      </c>
      <c r="AL972" s="1377" t="s">
        <v>41</v>
      </c>
      <c r="AM972" s="453">
        <v>7</v>
      </c>
      <c r="AN972" s="453">
        <v>44350895.299999997</v>
      </c>
      <c r="AO972" s="1367">
        <v>1.6957363816023176E-2</v>
      </c>
      <c r="AQ972" s="860" t="s">
        <v>350</v>
      </c>
      <c r="AR972" s="794" t="s">
        <v>669</v>
      </c>
      <c r="AS972" s="860" t="s">
        <v>452</v>
      </c>
      <c r="AT972" s="860"/>
      <c r="AU972" s="1377">
        <v>3063318533.0900002</v>
      </c>
      <c r="AV972" s="860"/>
      <c r="AW972" s="794">
        <v>2016</v>
      </c>
    </row>
    <row r="973" spans="1:51">
      <c r="A973" s="798">
        <f t="shared" si="31"/>
        <v>1900</v>
      </c>
      <c r="B973" s="798">
        <f t="shared" si="32"/>
        <v>1</v>
      </c>
      <c r="AJ973" s="453" t="s">
        <v>3</v>
      </c>
      <c r="AK973" s="453">
        <v>2018</v>
      </c>
      <c r="AL973" s="453" t="s">
        <v>72</v>
      </c>
      <c r="AM973" s="453">
        <v>8</v>
      </c>
      <c r="AN973" s="453">
        <v>31461746.760000005</v>
      </c>
      <c r="AO973" s="1367">
        <v>1.2029256286443185E-2</v>
      </c>
      <c r="AQ973" s="860" t="s">
        <v>651</v>
      </c>
      <c r="AR973" s="794" t="s">
        <v>669</v>
      </c>
      <c r="AS973" s="860"/>
      <c r="AT973" s="860"/>
      <c r="AU973" s="1377">
        <v>1679735037.0899999</v>
      </c>
      <c r="AV973" s="860"/>
      <c r="AW973" s="794">
        <v>2016</v>
      </c>
    </row>
    <row r="974" spans="1:51">
      <c r="A974" s="798">
        <f t="shared" si="31"/>
        <v>1900</v>
      </c>
      <c r="B974" s="798">
        <f t="shared" si="32"/>
        <v>1</v>
      </c>
      <c r="AJ974" s="453" t="s">
        <v>3</v>
      </c>
      <c r="AK974" s="453">
        <v>2018</v>
      </c>
      <c r="AL974" s="453" t="s">
        <v>71</v>
      </c>
      <c r="AM974" s="453">
        <v>9</v>
      </c>
      <c r="AN974" s="453">
        <v>30426874.020000003</v>
      </c>
      <c r="AO974" s="1367">
        <v>1.1633577384433179E-2</v>
      </c>
      <c r="AQ974" s="794" t="s">
        <v>3</v>
      </c>
      <c r="AR974" s="794" t="s">
        <v>610</v>
      </c>
      <c r="AS974" s="860" t="s">
        <v>24</v>
      </c>
      <c r="AT974" s="860">
        <v>1</v>
      </c>
      <c r="AU974" s="1377">
        <v>1399822013.5600002</v>
      </c>
      <c r="AV974" s="862">
        <v>0.40431147064738998</v>
      </c>
      <c r="AW974" s="794">
        <v>2009</v>
      </c>
    </row>
    <row r="975" spans="1:51">
      <c r="A975" s="798">
        <f t="shared" si="31"/>
        <v>1900</v>
      </c>
      <c r="B975" s="798">
        <f t="shared" si="32"/>
        <v>1</v>
      </c>
      <c r="AJ975" s="453" t="s">
        <v>3</v>
      </c>
      <c r="AK975" s="453">
        <v>2018</v>
      </c>
      <c r="AL975" s="453" t="s">
        <v>31</v>
      </c>
      <c r="AM975" s="453">
        <v>10</v>
      </c>
      <c r="AN975" s="453">
        <v>26654791.665688124</v>
      </c>
      <c r="AO975" s="1367">
        <v>1.0191338791651766E-2</v>
      </c>
      <c r="AQ975" s="794" t="s">
        <v>3</v>
      </c>
      <c r="AR975" s="794" t="s">
        <v>610</v>
      </c>
      <c r="AS975" s="860" t="s">
        <v>41</v>
      </c>
      <c r="AT975" s="860">
        <v>2</v>
      </c>
      <c r="AU975" s="1377">
        <v>320515425.62</v>
      </c>
      <c r="AV975" s="862">
        <v>9.2574671524153634E-2</v>
      </c>
      <c r="AW975" s="794">
        <v>2009</v>
      </c>
    </row>
    <row r="976" spans="1:51">
      <c r="A976" s="798">
        <f t="shared" si="31"/>
        <v>1900</v>
      </c>
      <c r="B976" s="798">
        <f t="shared" si="32"/>
        <v>1</v>
      </c>
      <c r="AJ976" s="453" t="s">
        <v>3</v>
      </c>
      <c r="AK976" s="453">
        <v>2018</v>
      </c>
      <c r="AL976" s="453" t="s">
        <v>45</v>
      </c>
      <c r="AN976" s="453">
        <v>65336143.850000001</v>
      </c>
      <c r="AQ976" s="794" t="s">
        <v>3</v>
      </c>
      <c r="AR976" s="794" t="s">
        <v>610</v>
      </c>
      <c r="AS976" s="860" t="s">
        <v>66</v>
      </c>
      <c r="AT976" s="860">
        <v>3</v>
      </c>
      <c r="AU976" s="1377">
        <v>268601489.02999997</v>
      </c>
      <c r="AV976" s="862">
        <v>7.7580336639807568E-2</v>
      </c>
      <c r="AW976" s="794">
        <v>2009</v>
      </c>
    </row>
    <row r="977" spans="1:49">
      <c r="A977" s="798">
        <f t="shared" si="31"/>
        <v>1900</v>
      </c>
      <c r="B977" s="798">
        <f t="shared" si="32"/>
        <v>1</v>
      </c>
      <c r="AJ977" s="453" t="s">
        <v>3</v>
      </c>
      <c r="AK977" s="453">
        <v>2018</v>
      </c>
      <c r="AL977" s="453" t="s">
        <v>452</v>
      </c>
      <c r="AN977" s="453">
        <v>2615435735.2463245</v>
      </c>
      <c r="AQ977" s="794" t="s">
        <v>3</v>
      </c>
      <c r="AR977" s="794" t="s">
        <v>610</v>
      </c>
      <c r="AS977" s="860" t="s">
        <v>33</v>
      </c>
      <c r="AT977" s="860">
        <v>4</v>
      </c>
      <c r="AU977" s="1377">
        <v>267555154.00999999</v>
      </c>
      <c r="AV977" s="862">
        <v>7.7278123039344046E-2</v>
      </c>
      <c r="AW977" s="794">
        <v>2009</v>
      </c>
    </row>
    <row r="978" spans="1:49">
      <c r="A978" s="798">
        <f t="shared" si="31"/>
        <v>1900</v>
      </c>
      <c r="B978" s="798">
        <f t="shared" si="32"/>
        <v>1</v>
      </c>
      <c r="AJ978" s="453" t="s">
        <v>1</v>
      </c>
      <c r="AK978" s="453">
        <v>2018</v>
      </c>
      <c r="AL978" s="453" t="s">
        <v>706</v>
      </c>
      <c r="AM978" s="453">
        <v>1</v>
      </c>
      <c r="AN978" s="453">
        <v>6701769000</v>
      </c>
      <c r="AO978" s="1367">
        <v>0.38370601678299338</v>
      </c>
      <c r="AQ978" s="794" t="s">
        <v>3</v>
      </c>
      <c r="AR978" s="794" t="s">
        <v>610</v>
      </c>
      <c r="AS978" s="860" t="s">
        <v>65</v>
      </c>
      <c r="AT978" s="860">
        <v>5</v>
      </c>
      <c r="AU978" s="1377">
        <v>252880396.18000001</v>
      </c>
      <c r="AV978" s="862">
        <v>7.3039603526029298E-2</v>
      </c>
      <c r="AW978" s="794">
        <v>2009</v>
      </c>
    </row>
    <row r="979" spans="1:49">
      <c r="A979" s="798">
        <f t="shared" si="31"/>
        <v>1900</v>
      </c>
      <c r="B979" s="798">
        <f t="shared" si="32"/>
        <v>1</v>
      </c>
      <c r="AH979" s="1094"/>
      <c r="AJ979" s="453" t="s">
        <v>1</v>
      </c>
      <c r="AK979" s="453">
        <v>2018</v>
      </c>
      <c r="AL979" s="453" t="s">
        <v>708</v>
      </c>
      <c r="AM979" s="453">
        <v>2</v>
      </c>
      <c r="AN979" s="453">
        <v>5789108000</v>
      </c>
      <c r="AO979" s="1367">
        <v>0.33145212426846721</v>
      </c>
      <c r="AQ979" s="794" t="s">
        <v>3</v>
      </c>
      <c r="AR979" s="794" t="s">
        <v>610</v>
      </c>
      <c r="AS979" s="860" t="s">
        <v>29</v>
      </c>
      <c r="AT979" s="860">
        <v>6</v>
      </c>
      <c r="AU979" s="1377">
        <v>244881844.29000002</v>
      </c>
      <c r="AV979" s="862">
        <v>7.0729376764077659E-2</v>
      </c>
      <c r="AW979" s="794">
        <v>2009</v>
      </c>
    </row>
    <row r="980" spans="1:49">
      <c r="A980" s="798">
        <f t="shared" si="31"/>
        <v>1900</v>
      </c>
      <c r="B980" s="798">
        <f t="shared" si="32"/>
        <v>1</v>
      </c>
      <c r="AJ980" s="453" t="s">
        <v>1</v>
      </c>
      <c r="AK980" s="453">
        <v>2018</v>
      </c>
      <c r="AL980" s="453" t="s">
        <v>707</v>
      </c>
      <c r="AM980" s="453">
        <v>3</v>
      </c>
      <c r="AN980" s="453">
        <v>1572102000</v>
      </c>
      <c r="AO980" s="1367">
        <v>9.0009816273371623E-2</v>
      </c>
      <c r="AQ980" s="794" t="s">
        <v>3</v>
      </c>
      <c r="AR980" s="794" t="s">
        <v>610</v>
      </c>
      <c r="AS980" s="860" t="s">
        <v>70</v>
      </c>
      <c r="AT980" s="860">
        <v>7</v>
      </c>
      <c r="AU980" s="1377">
        <v>162518266.65000001</v>
      </c>
      <c r="AV980" s="862">
        <v>4.6940252946314848E-2</v>
      </c>
      <c r="AW980" s="794">
        <v>2009</v>
      </c>
    </row>
    <row r="981" spans="1:49">
      <c r="A981" s="798">
        <f t="shared" si="31"/>
        <v>1900</v>
      </c>
      <c r="B981" s="798">
        <f t="shared" si="32"/>
        <v>1</v>
      </c>
      <c r="AJ981" s="453" t="s">
        <v>1</v>
      </c>
      <c r="AK981" s="453">
        <v>2018</v>
      </c>
      <c r="AL981" s="453" t="s">
        <v>709</v>
      </c>
      <c r="AM981" s="453">
        <v>4</v>
      </c>
      <c r="AN981" s="453">
        <v>1427440000</v>
      </c>
      <c r="AO981" s="1367">
        <v>8.1727274783227541E-2</v>
      </c>
      <c r="AQ981" s="794" t="s">
        <v>3</v>
      </c>
      <c r="AR981" s="794" t="s">
        <v>610</v>
      </c>
      <c r="AS981" s="860" t="s">
        <v>30</v>
      </c>
      <c r="AT981" s="860">
        <v>8</v>
      </c>
      <c r="AU981" s="1377">
        <v>145823727.25</v>
      </c>
      <c r="AV981" s="862">
        <v>4.2118358654604962E-2</v>
      </c>
      <c r="AW981" s="794">
        <v>2009</v>
      </c>
    </row>
    <row r="982" spans="1:49">
      <c r="A982" s="798">
        <f t="shared" si="31"/>
        <v>1900</v>
      </c>
      <c r="B982" s="798">
        <f t="shared" si="32"/>
        <v>1</v>
      </c>
      <c r="AJ982" s="453" t="s">
        <v>1</v>
      </c>
      <c r="AK982" s="453">
        <v>2018</v>
      </c>
      <c r="AL982" s="453" t="s">
        <v>710</v>
      </c>
      <c r="AM982" s="453">
        <v>5</v>
      </c>
      <c r="AN982" s="453">
        <v>773060000</v>
      </c>
      <c r="AO982" s="1367">
        <v>4.4261115734406969E-2</v>
      </c>
      <c r="AQ982" s="794" t="s">
        <v>3</v>
      </c>
      <c r="AR982" s="794" t="s">
        <v>610</v>
      </c>
      <c r="AS982" s="860" t="s">
        <v>63</v>
      </c>
      <c r="AT982" s="860">
        <v>9</v>
      </c>
      <c r="AU982" s="1377">
        <v>106442005.94</v>
      </c>
      <c r="AV982" s="862">
        <v>3.0743711374285367E-2</v>
      </c>
      <c r="AW982" s="794">
        <v>2009</v>
      </c>
    </row>
    <row r="983" spans="1:49">
      <c r="A983" s="798">
        <f t="shared" si="31"/>
        <v>1900</v>
      </c>
      <c r="B983" s="798">
        <f t="shared" si="32"/>
        <v>1</v>
      </c>
      <c r="AJ983" s="453" t="s">
        <v>1</v>
      </c>
      <c r="AK983" s="453">
        <v>2018</v>
      </c>
      <c r="AL983" s="453" t="s">
        <v>711</v>
      </c>
      <c r="AM983" s="453">
        <v>6</v>
      </c>
      <c r="AN983" s="453">
        <v>709187000</v>
      </c>
      <c r="AO983" s="1367">
        <v>4.0604103024780583E-2</v>
      </c>
      <c r="AQ983" s="794" t="s">
        <v>3</v>
      </c>
      <c r="AR983" s="794" t="s">
        <v>610</v>
      </c>
      <c r="AS983" s="860" t="s">
        <v>27</v>
      </c>
      <c r="AT983" s="860">
        <v>10</v>
      </c>
      <c r="AU983" s="1377">
        <v>76825484.26000002</v>
      </c>
      <c r="AV983" s="862">
        <v>2.2189552831337257E-2</v>
      </c>
      <c r="AW983" s="794">
        <v>2009</v>
      </c>
    </row>
    <row r="984" spans="1:49">
      <c r="A984" s="798">
        <f t="shared" si="31"/>
        <v>1900</v>
      </c>
      <c r="B984" s="798">
        <f t="shared" si="32"/>
        <v>1</v>
      </c>
      <c r="AJ984" s="453" t="s">
        <v>1</v>
      </c>
      <c r="AK984" s="453">
        <v>2018</v>
      </c>
      <c r="AL984" s="453" t="s">
        <v>713</v>
      </c>
      <c r="AM984" s="453">
        <v>7</v>
      </c>
      <c r="AN984" s="453">
        <v>157727000</v>
      </c>
      <c r="AO984" s="1367">
        <v>9.0305707208247852E-3</v>
      </c>
      <c r="AQ984" s="794" t="s">
        <v>3</v>
      </c>
      <c r="AR984" s="794" t="s">
        <v>610</v>
      </c>
      <c r="AS984" s="860" t="s">
        <v>45</v>
      </c>
      <c r="AT984" s="860"/>
      <c r="AU984" s="1377">
        <v>216370897.29999924</v>
      </c>
      <c r="AV984" s="862">
        <v>6.2494542052655318E-2</v>
      </c>
      <c r="AW984" s="794">
        <v>2009</v>
      </c>
    </row>
    <row r="985" spans="1:49">
      <c r="A985" s="798">
        <f t="shared" si="31"/>
        <v>1900</v>
      </c>
      <c r="B985" s="798">
        <f t="shared" si="32"/>
        <v>1</v>
      </c>
      <c r="AJ985" s="453" t="s">
        <v>1</v>
      </c>
      <c r="AK985" s="453">
        <v>2018</v>
      </c>
      <c r="AL985" s="453" t="s">
        <v>714</v>
      </c>
      <c r="AM985" s="453">
        <v>8</v>
      </c>
      <c r="AN985" s="453">
        <v>116958000</v>
      </c>
      <c r="AO985" s="1367">
        <v>6.6963645435862288E-3</v>
      </c>
      <c r="AQ985" s="794" t="s">
        <v>3</v>
      </c>
      <c r="AR985" s="794" t="s">
        <v>610</v>
      </c>
      <c r="AS985" s="794" t="s">
        <v>452</v>
      </c>
      <c r="AT985" s="860"/>
      <c r="AU985" s="1377">
        <v>3462236704.0899997</v>
      </c>
      <c r="AV985" s="862"/>
      <c r="AW985" s="794">
        <v>2009</v>
      </c>
    </row>
    <row r="986" spans="1:49">
      <c r="A986" s="798">
        <f t="shared" si="31"/>
        <v>1900</v>
      </c>
      <c r="B986" s="798">
        <f t="shared" si="32"/>
        <v>1</v>
      </c>
      <c r="AJ986" s="453" t="s">
        <v>1</v>
      </c>
      <c r="AK986" s="453">
        <v>2018</v>
      </c>
      <c r="AL986" s="453" t="s">
        <v>715</v>
      </c>
      <c r="AM986" s="453">
        <v>9</v>
      </c>
      <c r="AN986" s="453">
        <v>98194000</v>
      </c>
      <c r="AO986" s="1367">
        <v>5.6220422715240184E-3</v>
      </c>
      <c r="AQ986" s="817" t="s">
        <v>3</v>
      </c>
      <c r="AR986" s="817" t="s">
        <v>609</v>
      </c>
      <c r="AS986" s="874" t="s">
        <v>685</v>
      </c>
      <c r="AT986" s="874">
        <v>10</v>
      </c>
      <c r="AU986" s="1114">
        <v>0</v>
      </c>
      <c r="AV986" s="1113">
        <v>0</v>
      </c>
      <c r="AW986" s="817">
        <v>2008</v>
      </c>
    </row>
    <row r="987" spans="1:49">
      <c r="A987" s="798">
        <f t="shared" si="31"/>
        <v>1900</v>
      </c>
      <c r="B987" s="798">
        <f t="shared" si="32"/>
        <v>1</v>
      </c>
      <c r="AJ987" s="453" t="s">
        <v>1</v>
      </c>
      <c r="AK987" s="453">
        <v>2018</v>
      </c>
      <c r="AL987" s="453" t="s">
        <v>720</v>
      </c>
      <c r="AM987" s="453">
        <v>10</v>
      </c>
      <c r="AN987" s="453">
        <v>51469000</v>
      </c>
      <c r="AO987" s="1367">
        <v>2.9468286623731562E-3</v>
      </c>
      <c r="AQ987" s="860" t="s">
        <v>538</v>
      </c>
      <c r="AR987" s="860" t="s">
        <v>704</v>
      </c>
      <c r="AS987" s="860" t="s">
        <v>24</v>
      </c>
      <c r="AT987" s="860">
        <v>1</v>
      </c>
      <c r="AU987" s="860">
        <v>337323211.82999998</v>
      </c>
      <c r="AV987" s="1392">
        <v>0.33463862169216807</v>
      </c>
      <c r="AW987" s="817">
        <f>_xlfn.NUMBERVALUE(LEFT(AR987,4))</f>
        <v>2017</v>
      </c>
    </row>
    <row r="988" spans="1:49">
      <c r="A988" s="798">
        <f t="shared" si="31"/>
        <v>1900</v>
      </c>
      <c r="B988" s="798">
        <f t="shared" si="32"/>
        <v>1</v>
      </c>
      <c r="AJ988" s="453" t="s">
        <v>1</v>
      </c>
      <c r="AK988" s="453">
        <v>2018</v>
      </c>
      <c r="AL988" s="453" t="s">
        <v>45</v>
      </c>
      <c r="AN988" s="453">
        <v>68881000</v>
      </c>
      <c r="AO988" s="1367">
        <v>3.943742934444527E-3</v>
      </c>
      <c r="AQ988" s="860" t="s">
        <v>538</v>
      </c>
      <c r="AR988" s="860" t="s">
        <v>704</v>
      </c>
      <c r="AS988" s="860" t="s">
        <v>31</v>
      </c>
      <c r="AT988" s="860">
        <v>2</v>
      </c>
      <c r="AU988" s="860">
        <v>104662015.46000001</v>
      </c>
      <c r="AV988" s="1392">
        <v>0.10382906176853826</v>
      </c>
      <c r="AW988" s="817">
        <f t="shared" ref="AW988:AW1051" si="33">_xlfn.NUMBERVALUE(LEFT(AR988,4))</f>
        <v>2017</v>
      </c>
    </row>
    <row r="989" spans="1:49">
      <c r="A989" s="798">
        <f t="shared" si="31"/>
        <v>1900</v>
      </c>
      <c r="B989" s="798">
        <f t="shared" si="32"/>
        <v>1</v>
      </c>
      <c r="AJ989" s="453" t="s">
        <v>1</v>
      </c>
      <c r="AK989" s="453">
        <v>2018</v>
      </c>
      <c r="AL989" s="453" t="s">
        <v>137</v>
      </c>
      <c r="AN989" s="453">
        <v>17465895000</v>
      </c>
      <c r="AQ989" s="860" t="s">
        <v>538</v>
      </c>
      <c r="AR989" s="860" t="s">
        <v>704</v>
      </c>
      <c r="AS989" s="860" t="s">
        <v>41</v>
      </c>
      <c r="AT989" s="860">
        <v>3</v>
      </c>
      <c r="AU989" s="860">
        <v>100616447.56</v>
      </c>
      <c r="AV989" s="1392">
        <v>9.9815690560925208E-2</v>
      </c>
      <c r="AW989" s="817">
        <f t="shared" si="33"/>
        <v>2017</v>
      </c>
    </row>
    <row r="990" spans="1:49">
      <c r="A990" s="798">
        <f t="shared" si="31"/>
        <v>1900</v>
      </c>
      <c r="B990" s="798">
        <f t="shared" si="32"/>
        <v>1</v>
      </c>
      <c r="AJ990" s="453" t="s">
        <v>4</v>
      </c>
      <c r="AK990" s="453">
        <v>2018</v>
      </c>
      <c r="AL990" s="453" t="s">
        <v>29</v>
      </c>
      <c r="AM990" s="453">
        <v>1</v>
      </c>
      <c r="AN990" s="453">
        <v>17155691057.169285</v>
      </c>
      <c r="AO990" s="1367">
        <v>0.50778680240504515</v>
      </c>
      <c r="AQ990" s="860" t="s">
        <v>538</v>
      </c>
      <c r="AR990" s="860" t="s">
        <v>704</v>
      </c>
      <c r="AS990" s="860" t="s">
        <v>37</v>
      </c>
      <c r="AT990" s="860">
        <v>4</v>
      </c>
      <c r="AU990" s="860">
        <v>96490586.5</v>
      </c>
      <c r="AV990" s="1392">
        <v>9.5722665207224972E-2</v>
      </c>
      <c r="AW990" s="817">
        <f t="shared" si="33"/>
        <v>2017</v>
      </c>
    </row>
    <row r="991" spans="1:49">
      <c r="A991" s="798">
        <f t="shared" si="31"/>
        <v>1900</v>
      </c>
      <c r="B991" s="798">
        <f t="shared" si="32"/>
        <v>1</v>
      </c>
      <c r="AJ991" s="453" t="s">
        <v>4</v>
      </c>
      <c r="AK991" s="453">
        <v>2018</v>
      </c>
      <c r="AL991" s="453" t="s">
        <v>24</v>
      </c>
      <c r="AM991" s="453">
        <v>2</v>
      </c>
      <c r="AN991" s="453">
        <v>4062799440.0511003</v>
      </c>
      <c r="AO991" s="1367">
        <v>0.12025373560305651</v>
      </c>
      <c r="AQ991" s="860" t="s">
        <v>538</v>
      </c>
      <c r="AR991" s="860" t="s">
        <v>704</v>
      </c>
      <c r="AS991" s="860" t="s">
        <v>33</v>
      </c>
      <c r="AT991" s="860">
        <v>5</v>
      </c>
      <c r="AU991" s="860">
        <v>72449178.929999992</v>
      </c>
      <c r="AV991" s="1392">
        <v>7.1872591418591147E-2</v>
      </c>
      <c r="AW991" s="817">
        <f t="shared" si="33"/>
        <v>2017</v>
      </c>
    </row>
    <row r="992" spans="1:49">
      <c r="A992" s="798">
        <f t="shared" si="31"/>
        <v>1900</v>
      </c>
      <c r="B992" s="798">
        <f t="shared" si="32"/>
        <v>1</v>
      </c>
      <c r="AJ992" s="453" t="s">
        <v>4</v>
      </c>
      <c r="AK992" s="453">
        <v>2018</v>
      </c>
      <c r="AL992" s="453" t="s">
        <v>70</v>
      </c>
      <c r="AM992" s="453">
        <v>3</v>
      </c>
      <c r="AN992" s="453">
        <v>4047099474.4535003</v>
      </c>
      <c r="AO992" s="1367">
        <v>0.11978903643692511</v>
      </c>
      <c r="AQ992" s="860" t="s">
        <v>538</v>
      </c>
      <c r="AR992" s="860" t="s">
        <v>704</v>
      </c>
      <c r="AS992" s="860" t="s">
        <v>672</v>
      </c>
      <c r="AT992" s="860">
        <v>6</v>
      </c>
      <c r="AU992" s="860">
        <v>62005005.68</v>
      </c>
      <c r="AV992" s="1392">
        <v>6.1511538225324423E-2</v>
      </c>
      <c r="AW992" s="817">
        <f t="shared" si="33"/>
        <v>2017</v>
      </c>
    </row>
    <row r="993" spans="1:49">
      <c r="A993" s="798">
        <f t="shared" si="31"/>
        <v>1900</v>
      </c>
      <c r="B993" s="798">
        <f t="shared" si="32"/>
        <v>1</v>
      </c>
      <c r="AJ993" s="453" t="s">
        <v>4</v>
      </c>
      <c r="AK993" s="453">
        <v>2018</v>
      </c>
      <c r="AL993" s="453" t="s">
        <v>30</v>
      </c>
      <c r="AM993" s="453">
        <v>4</v>
      </c>
      <c r="AN993" s="453">
        <v>3123236534.3716006</v>
      </c>
      <c r="AO993" s="1367">
        <v>9.244385945504735E-2</v>
      </c>
      <c r="AQ993" s="860" t="s">
        <v>538</v>
      </c>
      <c r="AR993" s="860" t="s">
        <v>704</v>
      </c>
      <c r="AS993" s="860" t="s">
        <v>72</v>
      </c>
      <c r="AT993" s="860">
        <v>7</v>
      </c>
      <c r="AU993" s="860">
        <v>52313733.399999991</v>
      </c>
      <c r="AV993" s="1392">
        <v>5.1897394032196308E-2</v>
      </c>
      <c r="AW993" s="817">
        <f t="shared" si="33"/>
        <v>2017</v>
      </c>
    </row>
    <row r="994" spans="1:49">
      <c r="A994" s="798">
        <f t="shared" si="31"/>
        <v>1900</v>
      </c>
      <c r="B994" s="798">
        <f t="shared" si="32"/>
        <v>1</v>
      </c>
      <c r="AJ994" s="453" t="s">
        <v>4</v>
      </c>
      <c r="AK994" s="453">
        <v>2018</v>
      </c>
      <c r="AL994" s="453" t="s">
        <v>672</v>
      </c>
      <c r="AM994" s="453">
        <v>5</v>
      </c>
      <c r="AN994" s="453">
        <v>1128269839.5990002</v>
      </c>
      <c r="AO994" s="1367">
        <v>3.3395363217420995E-2</v>
      </c>
      <c r="AQ994" s="860" t="s">
        <v>538</v>
      </c>
      <c r="AR994" s="860" t="s">
        <v>704</v>
      </c>
      <c r="AS994" s="860" t="s">
        <v>84</v>
      </c>
      <c r="AT994" s="860">
        <v>8</v>
      </c>
      <c r="AU994" s="860">
        <v>45668295.689999998</v>
      </c>
      <c r="AV994" s="1392">
        <v>4.5304844104335759E-2</v>
      </c>
      <c r="AW994" s="817">
        <f t="shared" si="33"/>
        <v>2017</v>
      </c>
    </row>
    <row r="995" spans="1:49">
      <c r="A995" s="798">
        <f t="shared" si="31"/>
        <v>1900</v>
      </c>
      <c r="B995" s="798">
        <f t="shared" si="32"/>
        <v>1</v>
      </c>
      <c r="AJ995" s="453" t="s">
        <v>4</v>
      </c>
      <c r="AK995" s="453">
        <v>2018</v>
      </c>
      <c r="AL995" s="453" t="s">
        <v>39</v>
      </c>
      <c r="AM995" s="453">
        <v>6</v>
      </c>
      <c r="AN995" s="453">
        <v>972422002.8132</v>
      </c>
      <c r="AO995" s="1367">
        <v>2.8782463950379599E-2</v>
      </c>
      <c r="AQ995" s="860" t="s">
        <v>538</v>
      </c>
      <c r="AR995" s="860" t="s">
        <v>704</v>
      </c>
      <c r="AS995" s="860" t="s">
        <v>29</v>
      </c>
      <c r="AT995" s="860">
        <v>9</v>
      </c>
      <c r="AU995" s="860">
        <v>36690745.719999999</v>
      </c>
      <c r="AV995" s="1392">
        <v>3.639874205510174E-2</v>
      </c>
      <c r="AW995" s="817">
        <f t="shared" si="33"/>
        <v>2017</v>
      </c>
    </row>
    <row r="996" spans="1:49">
      <c r="A996" s="798">
        <f t="shared" si="31"/>
        <v>1900</v>
      </c>
      <c r="B996" s="798">
        <f t="shared" si="32"/>
        <v>1</v>
      </c>
      <c r="AJ996" s="453" t="s">
        <v>4</v>
      </c>
      <c r="AK996" s="453">
        <v>2018</v>
      </c>
      <c r="AL996" s="453" t="s">
        <v>31</v>
      </c>
      <c r="AM996" s="453">
        <v>7</v>
      </c>
      <c r="AN996" s="453">
        <v>874233343.37600029</v>
      </c>
      <c r="AO996" s="1367">
        <v>2.5876203558891739E-2</v>
      </c>
      <c r="AQ996" s="453" t="s">
        <v>538</v>
      </c>
      <c r="AR996" s="453" t="s">
        <v>704</v>
      </c>
      <c r="AS996" s="453" t="s">
        <v>80</v>
      </c>
      <c r="AT996" s="453">
        <v>10</v>
      </c>
      <c r="AU996" s="453">
        <v>22922907.990000002</v>
      </c>
      <c r="AV996" s="1367">
        <v>2.2740475798670706E-2</v>
      </c>
      <c r="AW996" s="817">
        <f t="shared" si="33"/>
        <v>2017</v>
      </c>
    </row>
    <row r="997" spans="1:49">
      <c r="A997" s="798">
        <f t="shared" si="31"/>
        <v>1900</v>
      </c>
      <c r="B997" s="798">
        <f t="shared" si="32"/>
        <v>1</v>
      </c>
      <c r="AJ997" s="453" t="s">
        <v>4</v>
      </c>
      <c r="AK997" s="453">
        <v>2018</v>
      </c>
      <c r="AL997" s="453" t="s">
        <v>27</v>
      </c>
      <c r="AM997" s="453">
        <v>8</v>
      </c>
      <c r="AN997" s="453">
        <v>838450450.84820008</v>
      </c>
      <c r="AO997" s="1367">
        <v>2.4817075103095616E-2</v>
      </c>
      <c r="AQ997" s="453" t="s">
        <v>538</v>
      </c>
      <c r="AR997" s="453" t="s">
        <v>704</v>
      </c>
      <c r="AS997" s="453" t="s">
        <v>45</v>
      </c>
      <c r="AU997" s="453">
        <v>76880227.190000176</v>
      </c>
      <c r="AV997" s="1367">
        <v>7.6268375136923652E-2</v>
      </c>
      <c r="AW997" s="817">
        <f t="shared" si="33"/>
        <v>2017</v>
      </c>
    </row>
    <row r="998" spans="1:49">
      <c r="A998" s="798">
        <f t="shared" si="31"/>
        <v>1900</v>
      </c>
      <c r="B998" s="798">
        <f t="shared" si="32"/>
        <v>1</v>
      </c>
      <c r="AJ998" s="453" t="s">
        <v>4</v>
      </c>
      <c r="AK998" s="453">
        <v>2018</v>
      </c>
      <c r="AL998" s="453" t="s">
        <v>28</v>
      </c>
      <c r="AM998" s="453">
        <v>9</v>
      </c>
      <c r="AN998" s="453">
        <v>676750721.11200023</v>
      </c>
      <c r="AO998" s="1367">
        <v>2.003096719063167E-2</v>
      </c>
      <c r="AQ998" s="453" t="s">
        <v>538</v>
      </c>
      <c r="AR998" s="453" t="s">
        <v>704</v>
      </c>
      <c r="AS998" s="453" t="s">
        <v>452</v>
      </c>
      <c r="AU998" s="453">
        <v>1008022355.9499999</v>
      </c>
      <c r="AW998" s="817">
        <f t="shared" si="33"/>
        <v>2017</v>
      </c>
    </row>
    <row r="999" spans="1:49">
      <c r="A999" s="798">
        <f t="shared" si="31"/>
        <v>1900</v>
      </c>
      <c r="B999" s="798">
        <f t="shared" si="32"/>
        <v>1</v>
      </c>
      <c r="AJ999" s="453" t="s">
        <v>4</v>
      </c>
      <c r="AK999" s="453">
        <v>2018</v>
      </c>
      <c r="AL999" s="453" t="s">
        <v>152</v>
      </c>
      <c r="AM999" s="453">
        <v>10</v>
      </c>
      <c r="AN999" s="453">
        <v>359232314.81600004</v>
      </c>
      <c r="AO999" s="1367">
        <v>1.0632823117011626E-2</v>
      </c>
      <c r="AQ999" s="453" t="s">
        <v>0</v>
      </c>
      <c r="AR999" s="453" t="s">
        <v>704</v>
      </c>
      <c r="AS999" s="453" t="s">
        <v>40</v>
      </c>
      <c r="AT999" s="453">
        <v>1</v>
      </c>
      <c r="AU999" s="453">
        <v>1811920569</v>
      </c>
      <c r="AV999" s="453">
        <v>0.27584234566108368</v>
      </c>
      <c r="AW999" s="817">
        <f t="shared" si="33"/>
        <v>2017</v>
      </c>
    </row>
    <row r="1000" spans="1:49">
      <c r="A1000" s="798">
        <f t="shared" si="31"/>
        <v>1900</v>
      </c>
      <c r="B1000" s="798">
        <f t="shared" si="32"/>
        <v>1</v>
      </c>
      <c r="AJ1000" s="1347" t="s">
        <v>4</v>
      </c>
      <c r="AK1000" s="1347">
        <v>2018</v>
      </c>
      <c r="AL1000" s="453" t="s">
        <v>45</v>
      </c>
      <c r="AN1000" s="453">
        <v>547039202.79249191</v>
      </c>
      <c r="AO1000" s="1367">
        <v>1.6191669962494562E-2</v>
      </c>
      <c r="AQ1000" s="453" t="s">
        <v>0</v>
      </c>
      <c r="AR1000" s="453" t="s">
        <v>704</v>
      </c>
      <c r="AS1000" s="453" t="s">
        <v>23</v>
      </c>
      <c r="AT1000" s="453">
        <v>2</v>
      </c>
      <c r="AU1000" s="453">
        <v>801226013.67999995</v>
      </c>
      <c r="AV1000" s="453">
        <v>0.12197668418773312</v>
      </c>
      <c r="AW1000" s="817">
        <f t="shared" si="33"/>
        <v>2017</v>
      </c>
    </row>
    <row r="1001" spans="1:49">
      <c r="A1001" s="798">
        <f t="shared" si="31"/>
        <v>1900</v>
      </c>
      <c r="B1001" s="798">
        <f t="shared" si="32"/>
        <v>1</v>
      </c>
      <c r="AJ1001" s="1347" t="s">
        <v>4</v>
      </c>
      <c r="AK1001" s="1347">
        <v>2018</v>
      </c>
      <c r="AL1001" s="453" t="s">
        <v>452</v>
      </c>
      <c r="AN1001" s="453">
        <v>33785224381.402382</v>
      </c>
      <c r="AQ1001" s="453" t="s">
        <v>0</v>
      </c>
      <c r="AR1001" s="453" t="s">
        <v>704</v>
      </c>
      <c r="AS1001" s="453" t="s">
        <v>38</v>
      </c>
      <c r="AT1001" s="453">
        <v>3</v>
      </c>
      <c r="AU1001" s="453">
        <v>746048839.8599999</v>
      </c>
      <c r="AV1001" s="453">
        <v>0.11357664650735171</v>
      </c>
      <c r="AW1001" s="817">
        <f t="shared" si="33"/>
        <v>2017</v>
      </c>
    </row>
    <row r="1002" spans="1:49">
      <c r="A1002" s="798">
        <f t="shared" si="31"/>
        <v>1900</v>
      </c>
      <c r="B1002" s="798">
        <f t="shared" si="32"/>
        <v>1</v>
      </c>
      <c r="AJ1002" s="1213" t="s">
        <v>2</v>
      </c>
      <c r="AK1002" s="1347">
        <v>2018</v>
      </c>
      <c r="AL1002" s="453" t="s">
        <v>708</v>
      </c>
      <c r="AM1002" s="1347">
        <v>1</v>
      </c>
      <c r="AN1002" s="453">
        <v>50660973</v>
      </c>
      <c r="AO1002" s="1367">
        <v>0.81270321200577977</v>
      </c>
      <c r="AQ1002" s="453" t="s">
        <v>0</v>
      </c>
      <c r="AR1002" s="453" t="s">
        <v>704</v>
      </c>
      <c r="AS1002" s="453" t="s">
        <v>27</v>
      </c>
      <c r="AT1002" s="453">
        <v>4</v>
      </c>
      <c r="AU1002" s="453">
        <v>656964081.34000003</v>
      </c>
      <c r="AV1002" s="453">
        <v>0.1000146012536958</v>
      </c>
      <c r="AW1002" s="817">
        <f t="shared" si="33"/>
        <v>2017</v>
      </c>
    </row>
    <row r="1003" spans="1:49">
      <c r="A1003" s="798">
        <f t="shared" si="31"/>
        <v>1900</v>
      </c>
      <c r="B1003" s="798">
        <f t="shared" si="32"/>
        <v>1</v>
      </c>
      <c r="AJ1003" s="1213" t="s">
        <v>2</v>
      </c>
      <c r="AK1003" s="1347">
        <v>2018</v>
      </c>
      <c r="AL1003" s="453" t="s">
        <v>716</v>
      </c>
      <c r="AM1003" s="1347">
        <v>2</v>
      </c>
      <c r="AN1003" s="453">
        <v>5102286</v>
      </c>
      <c r="AO1003" s="1367">
        <v>8.18508602425011E-2</v>
      </c>
      <c r="AQ1003" s="453" t="s">
        <v>0</v>
      </c>
      <c r="AR1003" s="453" t="s">
        <v>704</v>
      </c>
      <c r="AS1003" s="453" t="s">
        <v>32</v>
      </c>
      <c r="AT1003" s="453">
        <v>5</v>
      </c>
      <c r="AU1003" s="453">
        <v>552007697.13000011</v>
      </c>
      <c r="AV1003" s="453">
        <v>8.4036298612884877E-2</v>
      </c>
      <c r="AW1003" s="817">
        <f t="shared" si="33"/>
        <v>2017</v>
      </c>
    </row>
    <row r="1004" spans="1:49">
      <c r="A1004" s="798">
        <f t="shared" si="31"/>
        <v>1900</v>
      </c>
      <c r="B1004" s="798">
        <f t="shared" si="32"/>
        <v>1</v>
      </c>
      <c r="AJ1004" s="1213" t="s">
        <v>2</v>
      </c>
      <c r="AK1004" s="1347">
        <v>2018</v>
      </c>
      <c r="AL1004" s="453" t="s">
        <v>713</v>
      </c>
      <c r="AM1004" s="1347">
        <v>3</v>
      </c>
      <c r="AN1004" s="453">
        <v>3736593</v>
      </c>
      <c r="AO1004" s="1367">
        <v>5.9942416286760079E-2</v>
      </c>
      <c r="AQ1004" s="453" t="s">
        <v>0</v>
      </c>
      <c r="AR1004" s="453" t="s">
        <v>704</v>
      </c>
      <c r="AS1004" s="453" t="s">
        <v>453</v>
      </c>
      <c r="AT1004" s="453">
        <v>6</v>
      </c>
      <c r="AU1004" s="453">
        <v>317856916.91999996</v>
      </c>
      <c r="AV1004" s="453">
        <v>4.8389757833701696E-2</v>
      </c>
      <c r="AW1004" s="817">
        <f t="shared" si="33"/>
        <v>2017</v>
      </c>
    </row>
    <row r="1005" spans="1:49">
      <c r="A1005" s="798">
        <f t="shared" si="31"/>
        <v>1900</v>
      </c>
      <c r="B1005" s="798">
        <f t="shared" si="32"/>
        <v>1</v>
      </c>
      <c r="AJ1005" s="1213" t="s">
        <v>2</v>
      </c>
      <c r="AK1005" s="1347">
        <v>2018</v>
      </c>
      <c r="AL1005" s="453" t="s">
        <v>717</v>
      </c>
      <c r="AM1005" s="1347">
        <v>4</v>
      </c>
      <c r="AN1005" s="453">
        <v>1425982</v>
      </c>
      <c r="AO1005" s="1367">
        <v>2.287559995467173E-2</v>
      </c>
      <c r="AQ1005" s="453" t="s">
        <v>0</v>
      </c>
      <c r="AR1005" s="453" t="s">
        <v>704</v>
      </c>
      <c r="AS1005" s="453" t="s">
        <v>31</v>
      </c>
      <c r="AT1005" s="453">
        <v>7</v>
      </c>
      <c r="AU1005" s="453">
        <v>299269768.27000004</v>
      </c>
      <c r="AV1005" s="453">
        <v>4.5560095887981371E-2</v>
      </c>
      <c r="AW1005" s="817">
        <f t="shared" si="33"/>
        <v>2017</v>
      </c>
    </row>
    <row r="1006" spans="1:49">
      <c r="A1006" s="798">
        <f t="shared" si="31"/>
        <v>1900</v>
      </c>
      <c r="B1006" s="798">
        <f t="shared" si="32"/>
        <v>1</v>
      </c>
      <c r="AJ1006" s="1213" t="s">
        <v>2</v>
      </c>
      <c r="AK1006" s="1347">
        <v>2018</v>
      </c>
      <c r="AL1006" s="453" t="s">
        <v>711</v>
      </c>
      <c r="AM1006" s="1347">
        <v>5</v>
      </c>
      <c r="AN1006" s="1536">
        <v>439847</v>
      </c>
      <c r="AO1006" s="1367">
        <v>7.0560245594001167E-3</v>
      </c>
      <c r="AQ1006" s="453" t="s">
        <v>0</v>
      </c>
      <c r="AR1006" s="453" t="s">
        <v>704</v>
      </c>
      <c r="AS1006" s="453" t="s">
        <v>22</v>
      </c>
      <c r="AT1006" s="453">
        <v>8</v>
      </c>
      <c r="AU1006" s="453">
        <v>231378099.76999998</v>
      </c>
      <c r="AV1006" s="453">
        <v>3.5224434705979121E-2</v>
      </c>
      <c r="AW1006" s="817">
        <f t="shared" si="33"/>
        <v>2017</v>
      </c>
    </row>
    <row r="1007" spans="1:49">
      <c r="A1007" s="798">
        <f t="shared" si="31"/>
        <v>1900</v>
      </c>
      <c r="B1007" s="798">
        <f t="shared" si="32"/>
        <v>1</v>
      </c>
      <c r="AJ1007" s="1213" t="s">
        <v>2</v>
      </c>
      <c r="AK1007" s="1536">
        <v>2018</v>
      </c>
      <c r="AL1007" s="1536" t="s">
        <v>45</v>
      </c>
      <c r="AM1007" s="1536"/>
      <c r="AN1007" s="1536">
        <v>1001666</v>
      </c>
      <c r="AO1007" s="1536"/>
      <c r="AQ1007" s="453" t="s">
        <v>0</v>
      </c>
      <c r="AR1007" s="453" t="s">
        <v>704</v>
      </c>
      <c r="AS1007" s="453" t="s">
        <v>41</v>
      </c>
      <c r="AT1007" s="453">
        <v>9</v>
      </c>
      <c r="AU1007" s="453">
        <v>213832835.59999999</v>
      </c>
      <c r="AV1007" s="453">
        <v>3.2553386699406071E-2</v>
      </c>
      <c r="AW1007" s="817">
        <f t="shared" si="33"/>
        <v>2017</v>
      </c>
    </row>
    <row r="1008" spans="1:49">
      <c r="A1008" s="798">
        <f t="shared" si="31"/>
        <v>1900</v>
      </c>
      <c r="B1008" s="798">
        <f t="shared" si="32"/>
        <v>1</v>
      </c>
      <c r="AJ1008" s="1213" t="s">
        <v>2</v>
      </c>
      <c r="AK1008" s="1536">
        <v>2018</v>
      </c>
      <c r="AL1008" s="1536" t="s">
        <v>452</v>
      </c>
      <c r="AM1008" s="1536"/>
      <c r="AN1008" s="1536">
        <v>62336376</v>
      </c>
      <c r="AO1008" s="1536"/>
      <c r="AQ1008" s="453" t="s">
        <v>0</v>
      </c>
      <c r="AR1008" s="453" t="s">
        <v>704</v>
      </c>
      <c r="AS1008" s="453" t="s">
        <v>24</v>
      </c>
      <c r="AT1008" s="453">
        <v>10</v>
      </c>
      <c r="AU1008" s="453">
        <v>196364807.43999997</v>
      </c>
      <c r="AV1008" s="453">
        <v>2.9894096913658144E-2</v>
      </c>
      <c r="AW1008" s="817">
        <f t="shared" si="33"/>
        <v>2017</v>
      </c>
    </row>
    <row r="1009" spans="1:50">
      <c r="A1009" s="798">
        <f t="shared" si="31"/>
        <v>1900</v>
      </c>
      <c r="B1009" s="798">
        <f t="shared" si="32"/>
        <v>1</v>
      </c>
      <c r="AJ1009" s="1535" t="s">
        <v>538</v>
      </c>
      <c r="AK1009" s="1536">
        <v>2018</v>
      </c>
      <c r="AL1009" s="1536" t="s">
        <v>24</v>
      </c>
      <c r="AM1009" s="1536">
        <v>1</v>
      </c>
      <c r="AN1009" s="1536">
        <v>497274488.33000004</v>
      </c>
      <c r="AO1009" s="1367">
        <v>0.34690250808418993</v>
      </c>
      <c r="AQ1009" s="453" t="s">
        <v>0</v>
      </c>
      <c r="AR1009" s="453" t="s">
        <v>704</v>
      </c>
      <c r="AS1009" s="453" t="s">
        <v>45</v>
      </c>
      <c r="AU1009" s="453">
        <v>741812074.50999928</v>
      </c>
      <c r="AV1009" s="453">
        <v>0.11293165173652421</v>
      </c>
      <c r="AW1009" s="817">
        <f t="shared" si="33"/>
        <v>2017</v>
      </c>
    </row>
    <row r="1010" spans="1:50">
      <c r="A1010" s="798">
        <f t="shared" si="31"/>
        <v>1900</v>
      </c>
      <c r="B1010" s="798">
        <f t="shared" si="32"/>
        <v>1</v>
      </c>
      <c r="AJ1010" s="1535" t="s">
        <v>538</v>
      </c>
      <c r="AK1010" s="1536">
        <v>2018</v>
      </c>
      <c r="AL1010" s="1536" t="s">
        <v>41</v>
      </c>
      <c r="AM1010" s="1536">
        <v>2</v>
      </c>
      <c r="AN1010" s="1536">
        <v>152671738.78999999</v>
      </c>
      <c r="AO1010" s="1367">
        <v>0.10650497932779263</v>
      </c>
      <c r="AQ1010" s="453" t="s">
        <v>0</v>
      </c>
      <c r="AR1010" s="453" t="s">
        <v>704</v>
      </c>
      <c r="AS1010" s="453" t="s">
        <v>452</v>
      </c>
      <c r="AU1010" s="453">
        <v>6568681703.5200005</v>
      </c>
      <c r="AW1010" s="817">
        <f t="shared" si="33"/>
        <v>2017</v>
      </c>
    </row>
    <row r="1011" spans="1:50">
      <c r="A1011" s="798">
        <f t="shared" si="31"/>
        <v>1900</v>
      </c>
      <c r="B1011" s="798">
        <f t="shared" si="32"/>
        <v>1</v>
      </c>
      <c r="AJ1011" s="1535" t="s">
        <v>538</v>
      </c>
      <c r="AK1011" s="1536">
        <v>2018</v>
      </c>
      <c r="AL1011" s="1536" t="s">
        <v>31</v>
      </c>
      <c r="AM1011" s="1536">
        <v>3</v>
      </c>
      <c r="AN1011" s="1536">
        <v>133353205.06000002</v>
      </c>
      <c r="AO1011" s="1367">
        <v>9.3028221599978755E-2</v>
      </c>
      <c r="AQ1011" s="453" t="s">
        <v>1</v>
      </c>
      <c r="AR1011" s="453" t="s">
        <v>704</v>
      </c>
      <c r="AS1011" s="453" t="s">
        <v>706</v>
      </c>
      <c r="AT1011" s="453">
        <v>1</v>
      </c>
      <c r="AU1011" s="453">
        <v>7831646000</v>
      </c>
      <c r="AV1011" s="453">
        <v>0.44246215102483033</v>
      </c>
      <c r="AW1011" s="817">
        <f t="shared" si="33"/>
        <v>2017</v>
      </c>
    </row>
    <row r="1012" spans="1:50">
      <c r="A1012" s="798">
        <f t="shared" si="31"/>
        <v>1900</v>
      </c>
      <c r="B1012" s="798">
        <f t="shared" si="32"/>
        <v>1</v>
      </c>
      <c r="AJ1012" s="1535" t="s">
        <v>538</v>
      </c>
      <c r="AK1012" s="1536">
        <v>2018</v>
      </c>
      <c r="AL1012" s="1536" t="s">
        <v>84</v>
      </c>
      <c r="AM1012" s="1536">
        <v>4</v>
      </c>
      <c r="AN1012" s="1536">
        <v>104300570.58</v>
      </c>
      <c r="AO1012" s="1367">
        <v>7.2760880314461221E-2</v>
      </c>
      <c r="AQ1012" s="453" t="s">
        <v>1</v>
      </c>
      <c r="AR1012" s="453" t="s">
        <v>704</v>
      </c>
      <c r="AS1012" s="453" t="s">
        <v>707</v>
      </c>
      <c r="AT1012" s="453">
        <v>2</v>
      </c>
      <c r="AU1012" s="453">
        <v>3262126000</v>
      </c>
      <c r="AV1012" s="453">
        <v>0.1842993525082755</v>
      </c>
      <c r="AW1012" s="817">
        <f t="shared" si="33"/>
        <v>2017</v>
      </c>
    </row>
    <row r="1013" spans="1:50">
      <c r="A1013" s="798">
        <f t="shared" si="31"/>
        <v>1900</v>
      </c>
      <c r="B1013" s="798">
        <f t="shared" si="32"/>
        <v>1</v>
      </c>
      <c r="AJ1013" s="1535" t="s">
        <v>538</v>
      </c>
      <c r="AK1013" s="1536">
        <v>2018</v>
      </c>
      <c r="AL1013" s="1536" t="s">
        <v>37</v>
      </c>
      <c r="AM1013" s="1536">
        <v>5</v>
      </c>
      <c r="AN1013" s="1536">
        <v>104159490.41</v>
      </c>
      <c r="AO1013" s="1367">
        <v>7.2662461702683437E-2</v>
      </c>
      <c r="AQ1013" s="453" t="s">
        <v>1</v>
      </c>
      <c r="AR1013" s="453" t="s">
        <v>704</v>
      </c>
      <c r="AS1013" s="453" t="s">
        <v>708</v>
      </c>
      <c r="AT1013" s="453">
        <v>3</v>
      </c>
      <c r="AU1013" s="453">
        <v>2941209000</v>
      </c>
      <c r="AV1013" s="453">
        <v>0.166168601179572</v>
      </c>
      <c r="AW1013" s="817">
        <f t="shared" si="33"/>
        <v>2017</v>
      </c>
    </row>
    <row r="1014" spans="1:50">
      <c r="A1014" s="798">
        <f t="shared" si="31"/>
        <v>1900</v>
      </c>
      <c r="B1014" s="798">
        <f t="shared" si="32"/>
        <v>1</v>
      </c>
      <c r="AJ1014" s="1535" t="s">
        <v>538</v>
      </c>
      <c r="AK1014" s="1536">
        <v>2018</v>
      </c>
      <c r="AL1014" s="1536" t="s">
        <v>33</v>
      </c>
      <c r="AM1014" s="1536">
        <v>6</v>
      </c>
      <c r="AN1014" s="1536">
        <v>91812142.260000005</v>
      </c>
      <c r="AO1014" s="1367">
        <v>6.4048856657694303E-2</v>
      </c>
      <c r="AQ1014" s="453" t="s">
        <v>1</v>
      </c>
      <c r="AR1014" s="453" t="s">
        <v>704</v>
      </c>
      <c r="AS1014" s="453" t="s">
        <v>709</v>
      </c>
      <c r="AT1014" s="453">
        <v>4</v>
      </c>
      <c r="AU1014" s="453">
        <v>1142513000</v>
      </c>
      <c r="AV1014" s="453">
        <v>6.4548213690178546E-2</v>
      </c>
      <c r="AW1014" s="817">
        <f t="shared" si="33"/>
        <v>2017</v>
      </c>
    </row>
    <row r="1015" spans="1:50">
      <c r="A1015" s="798">
        <f t="shared" si="31"/>
        <v>1900</v>
      </c>
      <c r="B1015" s="798">
        <f t="shared" si="32"/>
        <v>1</v>
      </c>
      <c r="AJ1015" s="1535" t="s">
        <v>538</v>
      </c>
      <c r="AK1015" s="1536">
        <v>2018</v>
      </c>
      <c r="AL1015" s="1536" t="s">
        <v>72</v>
      </c>
      <c r="AM1015" s="1536">
        <v>7</v>
      </c>
      <c r="AN1015" s="1536">
        <v>70704398.099999994</v>
      </c>
      <c r="AO1015" s="1367">
        <v>4.9323931971342418E-2</v>
      </c>
      <c r="AQ1015" s="453" t="s">
        <v>1</v>
      </c>
      <c r="AR1015" s="453" t="s">
        <v>704</v>
      </c>
      <c r="AS1015" s="453" t="s">
        <v>710</v>
      </c>
      <c r="AT1015" s="453">
        <v>5</v>
      </c>
      <c r="AU1015" s="453">
        <v>862700000</v>
      </c>
      <c r="AV1015" s="453">
        <v>4.8739702699677839E-2</v>
      </c>
      <c r="AW1015" s="817">
        <f t="shared" si="33"/>
        <v>2017</v>
      </c>
    </row>
    <row r="1016" spans="1:50">
      <c r="A1016" s="798">
        <f t="shared" si="31"/>
        <v>1900</v>
      </c>
      <c r="B1016" s="798">
        <f t="shared" si="32"/>
        <v>1</v>
      </c>
      <c r="AJ1016" s="1535" t="s">
        <v>538</v>
      </c>
      <c r="AK1016" s="1536">
        <v>2018</v>
      </c>
      <c r="AL1016" s="1536" t="s">
        <v>672</v>
      </c>
      <c r="AM1016" s="1536">
        <v>8</v>
      </c>
      <c r="AN1016" s="1536">
        <v>63001491.090000004</v>
      </c>
      <c r="AO1016" s="1367">
        <v>4.3950324790563433E-2</v>
      </c>
      <c r="AQ1016" s="453" t="s">
        <v>1</v>
      </c>
      <c r="AR1016" s="453" t="s">
        <v>704</v>
      </c>
      <c r="AS1016" s="453" t="s">
        <v>711</v>
      </c>
      <c r="AT1016" s="453">
        <v>6</v>
      </c>
      <c r="AU1016" s="453">
        <v>731920000</v>
      </c>
      <c r="AV1016" s="453">
        <v>4.135106433284827E-2</v>
      </c>
      <c r="AW1016" s="817">
        <f t="shared" si="33"/>
        <v>2017</v>
      </c>
    </row>
    <row r="1017" spans="1:50">
      <c r="A1017" s="798">
        <f t="shared" si="31"/>
        <v>1900</v>
      </c>
      <c r="B1017" s="798">
        <f t="shared" si="32"/>
        <v>1</v>
      </c>
      <c r="AJ1017" s="1535" t="s">
        <v>538</v>
      </c>
      <c r="AK1017" s="1536">
        <v>2018</v>
      </c>
      <c r="AL1017" s="1536" t="s">
        <v>63</v>
      </c>
      <c r="AM1017" s="1536">
        <v>9</v>
      </c>
      <c r="AN1017" s="1536">
        <v>37609916.329999998</v>
      </c>
      <c r="AO1017" s="1367">
        <v>2.62369669265143E-2</v>
      </c>
      <c r="AQ1017" s="453" t="s">
        <v>1</v>
      </c>
      <c r="AR1017" s="453" t="s">
        <v>704</v>
      </c>
      <c r="AS1017" s="453" t="s">
        <v>712</v>
      </c>
      <c r="AT1017" s="453">
        <v>7</v>
      </c>
      <c r="AU1017" s="453">
        <v>579967000</v>
      </c>
      <c r="AV1017" s="453">
        <v>3.2766221346498273E-2</v>
      </c>
      <c r="AW1017" s="817">
        <f t="shared" si="33"/>
        <v>2017</v>
      </c>
    </row>
    <row r="1018" spans="1:50">
      <c r="A1018" s="798">
        <f t="shared" si="31"/>
        <v>1900</v>
      </c>
      <c r="B1018" s="798">
        <f t="shared" si="32"/>
        <v>1</v>
      </c>
      <c r="AJ1018" s="1535" t="s">
        <v>538</v>
      </c>
      <c r="AK1018" s="1536">
        <v>2018</v>
      </c>
      <c r="AL1018" s="1536" t="s">
        <v>29</v>
      </c>
      <c r="AM1018" s="1536">
        <v>10</v>
      </c>
      <c r="AN1018" s="1536">
        <v>35324554.43</v>
      </c>
      <c r="AO1018" s="1367">
        <v>2.464268088611736E-2</v>
      </c>
      <c r="AQ1018" s="453" t="s">
        <v>1</v>
      </c>
      <c r="AR1018" s="453" t="s">
        <v>704</v>
      </c>
      <c r="AS1018" s="453" t="s">
        <v>713</v>
      </c>
      <c r="AT1018" s="453">
        <v>8</v>
      </c>
      <c r="AU1018" s="453">
        <v>142103000</v>
      </c>
      <c r="AV1018" s="453">
        <v>8.0283504958065608E-3</v>
      </c>
      <c r="AW1018" s="817">
        <f t="shared" si="33"/>
        <v>2017</v>
      </c>
    </row>
    <row r="1019" spans="1:50">
      <c r="A1019" s="798">
        <f t="shared" si="31"/>
        <v>1900</v>
      </c>
      <c r="B1019" s="798">
        <f t="shared" si="32"/>
        <v>1</v>
      </c>
      <c r="AJ1019" s="1535" t="s">
        <v>538</v>
      </c>
      <c r="AK1019" s="1536">
        <v>2018</v>
      </c>
      <c r="AL1019" s="1536" t="s">
        <v>45</v>
      </c>
      <c r="AM1019" s="1536"/>
      <c r="AN1019" s="1536">
        <v>143258437.21000099</v>
      </c>
      <c r="AO1019" s="1367">
        <v>9.9938187738662324E-2</v>
      </c>
      <c r="AQ1019" s="453" t="s">
        <v>1</v>
      </c>
      <c r="AR1019" s="453" t="s">
        <v>704</v>
      </c>
      <c r="AS1019" s="453" t="s">
        <v>714</v>
      </c>
      <c r="AT1019" s="453">
        <v>9</v>
      </c>
      <c r="AU1019" s="453">
        <v>99514000</v>
      </c>
      <c r="AV1019" s="453">
        <v>5.6222125587756348E-3</v>
      </c>
      <c r="AW1019" s="817">
        <f t="shared" si="33"/>
        <v>2017</v>
      </c>
    </row>
    <row r="1020" spans="1:50">
      <c r="A1020" s="798">
        <f t="shared" si="31"/>
        <v>1900</v>
      </c>
      <c r="B1020" s="798">
        <f t="shared" si="32"/>
        <v>1</v>
      </c>
      <c r="AJ1020" s="1535" t="s">
        <v>538</v>
      </c>
      <c r="AK1020" s="1536">
        <v>2018</v>
      </c>
      <c r="AL1020" s="1536" t="s">
        <v>452</v>
      </c>
      <c r="AM1020" s="1536"/>
      <c r="AN1020" s="1536">
        <v>1433470432.5900009</v>
      </c>
      <c r="AO1020" s="1367">
        <v>1</v>
      </c>
      <c r="AQ1020" s="453" t="s">
        <v>1</v>
      </c>
      <c r="AR1020" s="453" t="s">
        <v>704</v>
      </c>
      <c r="AS1020" s="453" t="s">
        <v>715</v>
      </c>
      <c r="AT1020" s="453">
        <v>10</v>
      </c>
      <c r="AU1020" s="453">
        <v>61383000</v>
      </c>
      <c r="AV1020" s="453">
        <v>3.4679369083277208E-3</v>
      </c>
      <c r="AW1020" s="817">
        <f t="shared" si="33"/>
        <v>2017</v>
      </c>
    </row>
    <row r="1021" spans="1:50">
      <c r="A1021" s="798">
        <f t="shared" si="31"/>
        <v>1900</v>
      </c>
      <c r="B1021" s="798">
        <f t="shared" si="32"/>
        <v>1</v>
      </c>
      <c r="AJ1021" s="1213" t="s">
        <v>350</v>
      </c>
      <c r="AK1021" s="1213">
        <v>2019</v>
      </c>
      <c r="AL1021" s="1213" t="s">
        <v>24</v>
      </c>
      <c r="AM1021" s="1536">
        <v>1</v>
      </c>
      <c r="AN1021" s="1765">
        <v>1368600228.1699998</v>
      </c>
      <c r="AO1021" s="1536">
        <v>0.31570715793888132</v>
      </c>
      <c r="AQ1021" s="453" t="s">
        <v>1</v>
      </c>
      <c r="AR1021" s="453" t="s">
        <v>704</v>
      </c>
      <c r="AS1021" s="453" t="s">
        <v>45</v>
      </c>
      <c r="AU1021" s="453">
        <v>45068000</v>
      </c>
      <c r="AV1021" s="453">
        <v>2.5461932552093207E-3</v>
      </c>
      <c r="AW1021" s="817">
        <f t="shared" si="33"/>
        <v>2017</v>
      </c>
    </row>
    <row r="1022" spans="1:50">
      <c r="A1022" s="798">
        <f t="shared" si="31"/>
        <v>1900</v>
      </c>
      <c r="B1022" s="798">
        <f t="shared" si="32"/>
        <v>1</v>
      </c>
      <c r="AJ1022" s="453" t="s">
        <v>350</v>
      </c>
      <c r="AK1022" s="453">
        <v>2019</v>
      </c>
      <c r="AL1022" s="453" t="s">
        <v>83</v>
      </c>
      <c r="AM1022" s="453">
        <v>2</v>
      </c>
      <c r="AN1022" s="453">
        <v>924469747.8499999</v>
      </c>
      <c r="AO1022" s="1367">
        <v>0.21325563936552572</v>
      </c>
      <c r="AQ1022" s="453" t="s">
        <v>1</v>
      </c>
      <c r="AR1022" s="453" t="s">
        <v>704</v>
      </c>
      <c r="AS1022" s="453" t="s">
        <v>137</v>
      </c>
      <c r="AU1022" s="453">
        <v>17700149000</v>
      </c>
      <c r="AW1022" s="817">
        <f t="shared" si="33"/>
        <v>2017</v>
      </c>
    </row>
    <row r="1023" spans="1:50">
      <c r="A1023" s="798">
        <f t="shared" si="31"/>
        <v>1900</v>
      </c>
      <c r="B1023" s="798">
        <f t="shared" si="32"/>
        <v>1</v>
      </c>
      <c r="AJ1023" s="453" t="s">
        <v>350</v>
      </c>
      <c r="AK1023" s="453">
        <v>2019</v>
      </c>
      <c r="AL1023" s="453" t="s">
        <v>30</v>
      </c>
      <c r="AM1023" s="453">
        <v>3</v>
      </c>
      <c r="AN1023" s="453">
        <v>792521389.20000005</v>
      </c>
      <c r="AO1023" s="1367">
        <v>0.18281794072522034</v>
      </c>
      <c r="AQ1023" s="453" t="s">
        <v>2</v>
      </c>
      <c r="AR1023" s="1347" t="s">
        <v>704</v>
      </c>
      <c r="AS1023" s="453" t="s">
        <v>708</v>
      </c>
      <c r="AT1023" s="453">
        <v>1</v>
      </c>
      <c r="AU1023" s="453">
        <v>49594679000</v>
      </c>
      <c r="AV1023" s="453">
        <v>0.83017743113299725</v>
      </c>
      <c r="AW1023" s="817">
        <f t="shared" si="33"/>
        <v>2017</v>
      </c>
    </row>
    <row r="1024" spans="1:50">
      <c r="A1024" s="798">
        <f t="shared" si="31"/>
        <v>1900</v>
      </c>
      <c r="B1024" s="798">
        <f t="shared" si="32"/>
        <v>1</v>
      </c>
      <c r="AJ1024" s="453" t="s">
        <v>350</v>
      </c>
      <c r="AK1024" s="453">
        <v>2019</v>
      </c>
      <c r="AL1024" s="453" t="s">
        <v>29</v>
      </c>
      <c r="AM1024" s="453">
        <v>4</v>
      </c>
      <c r="AN1024" s="453">
        <v>454873935.83999997</v>
      </c>
      <c r="AO1024" s="1367">
        <v>0.10492980678261395</v>
      </c>
      <c r="AQ1024" s="453" t="s">
        <v>2</v>
      </c>
      <c r="AR1024" s="1347" t="s">
        <v>704</v>
      </c>
      <c r="AS1024" s="453" t="s">
        <v>716</v>
      </c>
      <c r="AT1024" s="453">
        <v>2</v>
      </c>
      <c r="AU1024" s="453">
        <v>5283052000</v>
      </c>
      <c r="AV1024" s="453">
        <v>7.8169816061696457E-2</v>
      </c>
      <c r="AW1024" s="817">
        <f t="shared" si="33"/>
        <v>2017</v>
      </c>
      <c r="AX1024" s="1348"/>
    </row>
    <row r="1025" spans="1:50">
      <c r="A1025" s="798">
        <f t="shared" si="31"/>
        <v>1900</v>
      </c>
      <c r="B1025" s="798">
        <f t="shared" si="32"/>
        <v>1</v>
      </c>
      <c r="AJ1025" s="453" t="s">
        <v>350</v>
      </c>
      <c r="AK1025" s="453">
        <v>2019</v>
      </c>
      <c r="AL1025" s="453" t="s">
        <v>67</v>
      </c>
      <c r="AM1025" s="453">
        <v>5</v>
      </c>
      <c r="AN1025" s="453">
        <v>377132891.69000006</v>
      </c>
      <c r="AO1025" s="1367">
        <v>8.6996590348319358E-2</v>
      </c>
      <c r="AQ1025" s="453" t="s">
        <v>2</v>
      </c>
      <c r="AR1025" s="1347" t="s">
        <v>704</v>
      </c>
      <c r="AS1025" s="453" t="s">
        <v>713</v>
      </c>
      <c r="AT1025" s="453">
        <v>3</v>
      </c>
      <c r="AU1025" s="453">
        <v>3543117000</v>
      </c>
      <c r="AV1025" s="453">
        <v>5.6560991748880102E-2</v>
      </c>
      <c r="AW1025" s="817">
        <f t="shared" si="33"/>
        <v>2017</v>
      </c>
      <c r="AX1025" s="1348"/>
    </row>
    <row r="1026" spans="1:50">
      <c r="A1026" s="798">
        <f t="shared" si="31"/>
        <v>1900</v>
      </c>
      <c r="B1026" s="798">
        <f t="shared" si="32"/>
        <v>1</v>
      </c>
      <c r="AJ1026" s="453" t="s">
        <v>350</v>
      </c>
      <c r="AK1026" s="453">
        <v>2019</v>
      </c>
      <c r="AL1026" s="453" t="s">
        <v>27</v>
      </c>
      <c r="AM1026" s="453">
        <v>6</v>
      </c>
      <c r="AN1026" s="453">
        <v>154806579.99000001</v>
      </c>
      <c r="AO1026" s="1367">
        <v>3.571060737307593E-2</v>
      </c>
      <c r="AQ1026" s="453" t="s">
        <v>2</v>
      </c>
      <c r="AR1026" s="1347" t="s">
        <v>704</v>
      </c>
      <c r="AS1026" s="453" t="s">
        <v>717</v>
      </c>
      <c r="AT1026" s="453">
        <v>4</v>
      </c>
      <c r="AU1026" s="453">
        <v>1234003000</v>
      </c>
      <c r="AV1026" s="453">
        <v>1.9968479378269399E-2</v>
      </c>
      <c r="AW1026" s="817">
        <f t="shared" si="33"/>
        <v>2017</v>
      </c>
      <c r="AX1026" s="1348"/>
    </row>
    <row r="1027" spans="1:50">
      <c r="A1027" s="798">
        <f t="shared" si="31"/>
        <v>1900</v>
      </c>
      <c r="B1027" s="798">
        <f t="shared" si="32"/>
        <v>1</v>
      </c>
      <c r="AJ1027" s="453" t="s">
        <v>350</v>
      </c>
      <c r="AK1027" s="453">
        <v>2019</v>
      </c>
      <c r="AL1027" s="453" t="s">
        <v>672</v>
      </c>
      <c r="AM1027" s="453">
        <v>7</v>
      </c>
      <c r="AN1027" s="453">
        <v>150962776.15000001</v>
      </c>
      <c r="AO1027" s="1367">
        <v>3.4823923036026251E-2</v>
      </c>
      <c r="AQ1027" s="453" t="s">
        <v>2</v>
      </c>
      <c r="AR1027" s="1347" t="s">
        <v>704</v>
      </c>
      <c r="AS1027" s="453" t="s">
        <v>718</v>
      </c>
      <c r="AT1027" s="453">
        <v>5</v>
      </c>
      <c r="AU1027" s="453">
        <v>318585000</v>
      </c>
      <c r="AV1027" s="453">
        <v>4.7889014350693425E-3</v>
      </c>
      <c r="AW1027" s="817">
        <f t="shared" si="33"/>
        <v>2017</v>
      </c>
      <c r="AX1027" s="1348"/>
    </row>
    <row r="1028" spans="1:50">
      <c r="A1028" s="798">
        <f t="shared" si="31"/>
        <v>1900</v>
      </c>
      <c r="B1028" s="798">
        <f t="shared" si="32"/>
        <v>1</v>
      </c>
      <c r="AJ1028" s="453" t="s">
        <v>350</v>
      </c>
      <c r="AK1028" s="453">
        <v>2019</v>
      </c>
      <c r="AL1028" s="453" t="s">
        <v>31</v>
      </c>
      <c r="AM1028" s="453">
        <v>8</v>
      </c>
      <c r="AN1028" s="453">
        <v>61935693.209999993</v>
      </c>
      <c r="AO1028" s="1367">
        <v>1.4287255895353202E-2</v>
      </c>
      <c r="AQ1028" s="453" t="s">
        <v>2</v>
      </c>
      <c r="AR1028" s="1347" t="s">
        <v>704</v>
      </c>
      <c r="AS1028" s="453" t="s">
        <v>45</v>
      </c>
      <c r="AU1028" s="453">
        <v>729319000</v>
      </c>
      <c r="AV1028" s="453">
        <v>1.0334380243087261E-2</v>
      </c>
      <c r="AW1028" s="817">
        <f t="shared" si="33"/>
        <v>2017</v>
      </c>
      <c r="AX1028" s="1348"/>
    </row>
    <row r="1029" spans="1:50">
      <c r="A1029" s="798">
        <f t="shared" si="31"/>
        <v>1900</v>
      </c>
      <c r="B1029" s="798">
        <f t="shared" si="32"/>
        <v>1</v>
      </c>
      <c r="AJ1029" s="453" t="s">
        <v>350</v>
      </c>
      <c r="AK1029" s="453">
        <v>2019</v>
      </c>
      <c r="AL1029" s="453" t="s">
        <v>71</v>
      </c>
      <c r="AM1029" s="453">
        <v>9</v>
      </c>
      <c r="AN1029" s="453">
        <v>33412653.98</v>
      </c>
      <c r="AO1029" s="1367">
        <v>7.7075933571382994E-3</v>
      </c>
      <c r="AQ1029" s="453" t="s">
        <v>2</v>
      </c>
      <c r="AR1029" s="1347" t="s">
        <v>704</v>
      </c>
      <c r="AS1029" s="453" t="s">
        <v>452</v>
      </c>
      <c r="AU1029" s="1348">
        <v>60702755000</v>
      </c>
      <c r="AW1029" s="817">
        <f t="shared" si="33"/>
        <v>2017</v>
      </c>
    </row>
    <row r="1030" spans="1:50">
      <c r="A1030" s="798">
        <f t="shared" si="31"/>
        <v>1900</v>
      </c>
      <c r="B1030" s="798">
        <f t="shared" si="32"/>
        <v>1</v>
      </c>
      <c r="AJ1030" s="453" t="s">
        <v>350</v>
      </c>
      <c r="AK1030" s="453">
        <v>2019</v>
      </c>
      <c r="AL1030" s="453" t="s">
        <v>63</v>
      </c>
      <c r="AM1030" s="453">
        <v>10</v>
      </c>
      <c r="AN1030" s="453">
        <v>16314823.859999999</v>
      </c>
      <c r="AO1030" s="1367">
        <v>3.7634851778457087E-3</v>
      </c>
      <c r="AQ1030" s="453" t="s">
        <v>4</v>
      </c>
      <c r="AR1030" s="1347" t="s">
        <v>704</v>
      </c>
      <c r="AS1030" s="453" t="s">
        <v>29</v>
      </c>
      <c r="AT1030" s="453">
        <v>1</v>
      </c>
      <c r="AU1030" s="453">
        <v>12822999713.367197</v>
      </c>
      <c r="AV1030" s="453">
        <v>0.51848528729157473</v>
      </c>
      <c r="AW1030" s="817">
        <f t="shared" si="33"/>
        <v>2017</v>
      </c>
    </row>
    <row r="1031" spans="1:50">
      <c r="A1031" s="798">
        <f t="shared" si="31"/>
        <v>1900</v>
      </c>
      <c r="B1031" s="798">
        <f t="shared" si="32"/>
        <v>1</v>
      </c>
      <c r="AJ1031" s="453" t="s">
        <v>350</v>
      </c>
      <c r="AK1031" s="453">
        <v>2019</v>
      </c>
      <c r="AL1031" s="453" t="s">
        <v>45</v>
      </c>
      <c r="AN1031" s="453">
        <v>0</v>
      </c>
      <c r="AO1031" s="1367">
        <v>0</v>
      </c>
      <c r="AQ1031" s="453" t="s">
        <v>4</v>
      </c>
      <c r="AR1031" s="1347" t="s">
        <v>704</v>
      </c>
      <c r="AS1031" s="453" t="s">
        <v>70</v>
      </c>
      <c r="AT1031" s="453">
        <v>2</v>
      </c>
      <c r="AU1031" s="453">
        <v>2870569202.0437999</v>
      </c>
      <c r="AV1031" s="453">
        <v>0.11606862128059739</v>
      </c>
      <c r="AW1031" s="817">
        <f t="shared" si="33"/>
        <v>2017</v>
      </c>
    </row>
    <row r="1032" spans="1:50">
      <c r="A1032" s="798">
        <f t="shared" si="31"/>
        <v>1900</v>
      </c>
      <c r="B1032" s="798">
        <f t="shared" si="32"/>
        <v>1</v>
      </c>
      <c r="AJ1032" s="453" t="s">
        <v>350</v>
      </c>
      <c r="AK1032" s="453">
        <v>2019</v>
      </c>
      <c r="AL1032" s="1213" t="s">
        <v>452</v>
      </c>
      <c r="AN1032" s="453">
        <v>4335030719.9399996</v>
      </c>
      <c r="AQ1032" s="453" t="s">
        <v>4</v>
      </c>
      <c r="AR1032" s="1347" t="s">
        <v>704</v>
      </c>
      <c r="AS1032" s="453" t="s">
        <v>30</v>
      </c>
      <c r="AT1032" s="453">
        <v>3</v>
      </c>
      <c r="AU1032" s="453">
        <v>2451617608.7446003</v>
      </c>
      <c r="AV1032" s="453">
        <v>9.9128728738405433E-2</v>
      </c>
      <c r="AW1032" s="817">
        <f t="shared" si="33"/>
        <v>2017</v>
      </c>
    </row>
    <row r="1033" spans="1:50">
      <c r="A1033" s="798">
        <f t="shared" si="31"/>
        <v>1900</v>
      </c>
      <c r="B1033" s="798">
        <f t="shared" si="32"/>
        <v>1</v>
      </c>
      <c r="AJ1033" s="1536" t="s">
        <v>651</v>
      </c>
      <c r="AK1033" s="1536">
        <v>2019</v>
      </c>
      <c r="AL1033" s="1213"/>
      <c r="AM1033" s="1536"/>
      <c r="AN1033" s="1536">
        <v>2052623200.4800005</v>
      </c>
      <c r="AQ1033" s="453" t="s">
        <v>4</v>
      </c>
      <c r="AR1033" s="1347" t="s">
        <v>704</v>
      </c>
      <c r="AS1033" s="453" t="s">
        <v>24</v>
      </c>
      <c r="AT1033" s="453">
        <v>4</v>
      </c>
      <c r="AU1033" s="453">
        <v>2271314449.5001998</v>
      </c>
      <c r="AV1033" s="453">
        <v>9.1838349154059071E-2</v>
      </c>
      <c r="AW1033" s="817">
        <f t="shared" si="33"/>
        <v>2017</v>
      </c>
    </row>
    <row r="1034" spans="1:50">
      <c r="A1034" s="798">
        <f t="shared" ref="A1034:A1097" si="34">YEAR(C1034)</f>
        <v>1900</v>
      </c>
      <c r="B1034" s="798">
        <f t="shared" ref="B1034:B1097" si="35">IF(OR(MONTH(C1034)=1,MONTH(C1034)=2,MONTH(C1034)=3),1,IF(OR(MONTH(C1034)=4,MONTH(C1034)=5,MONTH(C1034)=6),2,IF(OR(MONTH(C1034)=7,MONTH(C1034)=8,MONTH(C1034)=9),3,4)))</f>
        <v>1</v>
      </c>
      <c r="AJ1034" s="453" t="s">
        <v>0</v>
      </c>
      <c r="AK1034" s="453">
        <v>2019</v>
      </c>
      <c r="AL1034" s="453" t="s">
        <v>40</v>
      </c>
      <c r="AM1034" s="453">
        <v>1</v>
      </c>
      <c r="AN1034" s="453">
        <v>1837757847.8699996</v>
      </c>
      <c r="AO1034" s="1367">
        <v>0.26571371929413967</v>
      </c>
      <c r="AQ1034" s="453" t="s">
        <v>4</v>
      </c>
      <c r="AR1034" s="1347" t="s">
        <v>704</v>
      </c>
      <c r="AS1034" s="453" t="s">
        <v>28</v>
      </c>
      <c r="AT1034" s="453">
        <v>5</v>
      </c>
      <c r="AU1034" s="453">
        <v>1206201197.2130003</v>
      </c>
      <c r="AV1034" s="453">
        <v>4.8771550202600794E-2</v>
      </c>
      <c r="AW1034" s="817">
        <f t="shared" si="33"/>
        <v>2017</v>
      </c>
    </row>
    <row r="1035" spans="1:50">
      <c r="A1035" s="798">
        <f t="shared" si="34"/>
        <v>1900</v>
      </c>
      <c r="B1035" s="798">
        <f t="shared" si="35"/>
        <v>1</v>
      </c>
      <c r="AJ1035" s="453" t="s">
        <v>0</v>
      </c>
      <c r="AK1035" s="453">
        <v>2019</v>
      </c>
      <c r="AL1035" s="453" t="s">
        <v>23</v>
      </c>
      <c r="AM1035" s="453">
        <v>2</v>
      </c>
      <c r="AN1035" s="453">
        <v>922879918.53999984</v>
      </c>
      <c r="AO1035" s="1367">
        <v>0.13343534671956556</v>
      </c>
      <c r="AQ1035" s="453" t="s">
        <v>4</v>
      </c>
      <c r="AR1035" s="1347" t="s">
        <v>704</v>
      </c>
      <c r="AS1035" s="453" t="s">
        <v>27</v>
      </c>
      <c r="AT1035" s="453">
        <v>6</v>
      </c>
      <c r="AU1035" s="453">
        <v>713960169.44699991</v>
      </c>
      <c r="AV1035" s="453">
        <v>2.8868271999147068E-2</v>
      </c>
      <c r="AW1035" s="817">
        <f t="shared" si="33"/>
        <v>2017</v>
      </c>
    </row>
    <row r="1036" spans="1:50">
      <c r="A1036" s="798">
        <f t="shared" si="34"/>
        <v>1900</v>
      </c>
      <c r="B1036" s="798">
        <f t="shared" si="35"/>
        <v>1</v>
      </c>
      <c r="AJ1036" s="453" t="s">
        <v>0</v>
      </c>
      <c r="AK1036" s="453">
        <v>2019</v>
      </c>
      <c r="AL1036" s="453" t="s">
        <v>38</v>
      </c>
      <c r="AM1036" s="453">
        <v>3</v>
      </c>
      <c r="AN1036" s="453">
        <v>644281242.38</v>
      </c>
      <c r="AO1036" s="1367">
        <v>9.3153929601039007E-2</v>
      </c>
      <c r="AQ1036" s="453" t="s">
        <v>4</v>
      </c>
      <c r="AR1036" s="1347" t="s">
        <v>704</v>
      </c>
      <c r="AS1036" s="453" t="s">
        <v>31</v>
      </c>
      <c r="AT1036" s="453">
        <v>7</v>
      </c>
      <c r="AU1036" s="453">
        <v>703176870.44700015</v>
      </c>
      <c r="AV1036" s="453">
        <v>2.8432259989091605E-2</v>
      </c>
      <c r="AW1036" s="817">
        <f t="shared" si="33"/>
        <v>2017</v>
      </c>
    </row>
    <row r="1037" spans="1:50">
      <c r="A1037" s="798">
        <f t="shared" si="34"/>
        <v>1900</v>
      </c>
      <c r="B1037" s="798">
        <f t="shared" si="35"/>
        <v>1</v>
      </c>
      <c r="AJ1037" s="453" t="s">
        <v>0</v>
      </c>
      <c r="AK1037" s="453">
        <v>2019</v>
      </c>
      <c r="AL1037" s="453" t="s">
        <v>32</v>
      </c>
      <c r="AM1037" s="453">
        <v>4</v>
      </c>
      <c r="AN1037" s="453">
        <v>536926699.32999992</v>
      </c>
      <c r="AO1037" s="1367">
        <v>7.763198531985957E-2</v>
      </c>
      <c r="AQ1037" s="453" t="s">
        <v>4</v>
      </c>
      <c r="AR1037" s="1347" t="s">
        <v>704</v>
      </c>
      <c r="AS1037" s="453" t="s">
        <v>39</v>
      </c>
      <c r="AT1037" s="453">
        <v>8</v>
      </c>
      <c r="AU1037" s="453">
        <v>692696308.48200011</v>
      </c>
      <c r="AV1037" s="453">
        <v>2.8008488851068766E-2</v>
      </c>
      <c r="AW1037" s="817">
        <f t="shared" si="33"/>
        <v>2017</v>
      </c>
    </row>
    <row r="1038" spans="1:50">
      <c r="A1038" s="798">
        <f t="shared" si="34"/>
        <v>1900</v>
      </c>
      <c r="B1038" s="798">
        <f t="shared" si="35"/>
        <v>1</v>
      </c>
      <c r="AJ1038" s="453" t="s">
        <v>0</v>
      </c>
      <c r="AK1038" s="453">
        <v>2019</v>
      </c>
      <c r="AL1038" s="453" t="s">
        <v>24</v>
      </c>
      <c r="AM1038" s="453">
        <v>5</v>
      </c>
      <c r="AN1038" s="453">
        <v>370893636.01999998</v>
      </c>
      <c r="AO1038" s="1367">
        <v>5.3625959265321273E-2</v>
      </c>
      <c r="AQ1038" s="453" t="s">
        <v>4</v>
      </c>
      <c r="AR1038" s="1347" t="s">
        <v>704</v>
      </c>
      <c r="AS1038" s="453" t="s">
        <v>672</v>
      </c>
      <c r="AT1038" s="453">
        <v>9</v>
      </c>
      <c r="AU1038" s="453">
        <v>691410066.87120008</v>
      </c>
      <c r="AV1038" s="453">
        <v>2.795648094605362E-2</v>
      </c>
      <c r="AW1038" s="817">
        <f t="shared" si="33"/>
        <v>2017</v>
      </c>
    </row>
    <row r="1039" spans="1:50">
      <c r="A1039" s="798">
        <f t="shared" si="34"/>
        <v>1900</v>
      </c>
      <c r="B1039" s="798">
        <f t="shared" si="35"/>
        <v>1</v>
      </c>
      <c r="AJ1039" s="453" t="s">
        <v>0</v>
      </c>
      <c r="AK1039" s="453">
        <v>2019</v>
      </c>
      <c r="AL1039" s="453" t="s">
        <v>27</v>
      </c>
      <c r="AM1039" s="453">
        <v>6</v>
      </c>
      <c r="AN1039" s="453">
        <v>312617871.83999997</v>
      </c>
      <c r="AO1039" s="1367">
        <v>4.5200110308711967E-2</v>
      </c>
      <c r="AQ1039" s="453" t="s">
        <v>4</v>
      </c>
      <c r="AR1039" s="1347" t="s">
        <v>704</v>
      </c>
      <c r="AS1039" s="453" t="s">
        <v>34</v>
      </c>
      <c r="AT1039" s="453">
        <v>10</v>
      </c>
      <c r="AU1039" s="453">
        <v>76903548.173999995</v>
      </c>
      <c r="AV1039" s="453">
        <v>3.1095187678412167E-3</v>
      </c>
      <c r="AW1039" s="817">
        <f t="shared" si="33"/>
        <v>2017</v>
      </c>
    </row>
    <row r="1040" spans="1:50">
      <c r="A1040" s="798">
        <f t="shared" si="34"/>
        <v>1900</v>
      </c>
      <c r="B1040" s="798">
        <f t="shared" si="35"/>
        <v>1</v>
      </c>
      <c r="AJ1040" s="453" t="s">
        <v>0</v>
      </c>
      <c r="AK1040" s="453">
        <v>2019</v>
      </c>
      <c r="AL1040" s="453" t="s">
        <v>453</v>
      </c>
      <c r="AM1040" s="453">
        <v>7</v>
      </c>
      <c r="AN1040" s="453">
        <v>302864629.45999998</v>
      </c>
      <c r="AO1040" s="1367">
        <v>4.378992979392287E-2</v>
      </c>
      <c r="AQ1040" s="453" t="s">
        <v>4</v>
      </c>
      <c r="AR1040" s="1347" t="s">
        <v>704</v>
      </c>
      <c r="AS1040" s="453" t="s">
        <v>45</v>
      </c>
      <c r="AU1040" s="453">
        <v>230806763.50999832</v>
      </c>
      <c r="AV1040" s="453">
        <v>9.3324427795604976E-3</v>
      </c>
      <c r="AW1040" s="817">
        <f t="shared" si="33"/>
        <v>2017</v>
      </c>
    </row>
    <row r="1041" spans="1:49">
      <c r="A1041" s="798">
        <f t="shared" si="34"/>
        <v>1900</v>
      </c>
      <c r="B1041" s="798">
        <f t="shared" si="35"/>
        <v>1</v>
      </c>
      <c r="AJ1041" s="453" t="s">
        <v>0</v>
      </c>
      <c r="AK1041" s="453">
        <v>2019</v>
      </c>
      <c r="AL1041" s="453" t="s">
        <v>41</v>
      </c>
      <c r="AM1041" s="453">
        <v>8</v>
      </c>
      <c r="AN1041" s="453">
        <v>282442992.11000001</v>
      </c>
      <c r="AO1041" s="1367">
        <v>4.083725067973281E-2</v>
      </c>
      <c r="AQ1041" s="453" t="s">
        <v>4</v>
      </c>
      <c r="AR1041" s="1347" t="s">
        <v>704</v>
      </c>
      <c r="AS1041" s="453" t="s">
        <v>452</v>
      </c>
      <c r="AU1041" s="453">
        <v>24731655897.799992</v>
      </c>
      <c r="AW1041" s="817">
        <f t="shared" si="33"/>
        <v>2017</v>
      </c>
    </row>
    <row r="1042" spans="1:49">
      <c r="A1042" s="798">
        <f t="shared" si="34"/>
        <v>1900</v>
      </c>
      <c r="B1042" s="798">
        <f t="shared" si="35"/>
        <v>1</v>
      </c>
      <c r="AJ1042" s="453" t="s">
        <v>0</v>
      </c>
      <c r="AK1042" s="453">
        <v>2019</v>
      </c>
      <c r="AL1042" s="453" t="s">
        <v>35</v>
      </c>
      <c r="AM1042" s="453">
        <v>9</v>
      </c>
      <c r="AN1042" s="453">
        <v>250637686.71000004</v>
      </c>
      <c r="AO1042" s="1367">
        <v>3.6238654623720869E-2</v>
      </c>
      <c r="AQ1042" s="453" t="s">
        <v>350</v>
      </c>
      <c r="AR1042" s="453" t="s">
        <v>704</v>
      </c>
      <c r="AS1042" s="453" t="s">
        <v>24</v>
      </c>
      <c r="AT1042" s="453">
        <v>1</v>
      </c>
      <c r="AU1042" s="453">
        <v>1513370673.61077</v>
      </c>
      <c r="AV1042" s="453">
        <v>0.35031833466489881</v>
      </c>
      <c r="AW1042" s="817">
        <f t="shared" si="33"/>
        <v>2017</v>
      </c>
    </row>
    <row r="1043" spans="1:49">
      <c r="A1043" s="798">
        <f t="shared" si="34"/>
        <v>1900</v>
      </c>
      <c r="B1043" s="798">
        <f t="shared" si="35"/>
        <v>1</v>
      </c>
      <c r="AJ1043" s="453" t="s">
        <v>0</v>
      </c>
      <c r="AK1043" s="453">
        <v>2019</v>
      </c>
      <c r="AL1043" s="453" t="s">
        <v>22</v>
      </c>
      <c r="AM1043" s="453">
        <v>10</v>
      </c>
      <c r="AN1043" s="453">
        <v>248750030.32000005</v>
      </c>
      <c r="AO1043" s="1367">
        <v>3.5965726282961727E-2</v>
      </c>
      <c r="AQ1043" s="453" t="s">
        <v>350</v>
      </c>
      <c r="AR1043" s="453" t="s">
        <v>704</v>
      </c>
      <c r="AS1043" s="453" t="s">
        <v>30</v>
      </c>
      <c r="AT1043" s="453">
        <v>2</v>
      </c>
      <c r="AU1043" s="453">
        <v>828044736.21000004</v>
      </c>
      <c r="AV1043" s="453">
        <v>0.19167759629240003</v>
      </c>
      <c r="AW1043" s="817">
        <f t="shared" si="33"/>
        <v>2017</v>
      </c>
    </row>
    <row r="1044" spans="1:49">
      <c r="A1044" s="798">
        <f t="shared" si="34"/>
        <v>1900</v>
      </c>
      <c r="B1044" s="798">
        <f t="shared" si="35"/>
        <v>1</v>
      </c>
      <c r="AJ1044" s="453" t="s">
        <v>0</v>
      </c>
      <c r="AK1044" s="453">
        <v>2019</v>
      </c>
      <c r="AL1044" s="453" t="s">
        <v>45</v>
      </c>
      <c r="AN1044" s="453">
        <v>1206255164.6899986</v>
      </c>
      <c r="AO1044" s="1367">
        <v>0.17440738811102471</v>
      </c>
      <c r="AQ1044" s="453" t="s">
        <v>350</v>
      </c>
      <c r="AR1044" s="453" t="s">
        <v>704</v>
      </c>
      <c r="AS1044" s="453" t="s">
        <v>83</v>
      </c>
      <c r="AT1044" s="453">
        <v>3</v>
      </c>
      <c r="AU1044" s="453">
        <v>597463198.82000005</v>
      </c>
      <c r="AV1044" s="453">
        <v>0.13830208057012811</v>
      </c>
      <c r="AW1044" s="817">
        <f t="shared" si="33"/>
        <v>2017</v>
      </c>
    </row>
    <row r="1045" spans="1:49">
      <c r="A1045" s="798">
        <f t="shared" si="34"/>
        <v>1900</v>
      </c>
      <c r="B1045" s="798">
        <f t="shared" si="35"/>
        <v>1</v>
      </c>
      <c r="AJ1045" s="453" t="s">
        <v>0</v>
      </c>
      <c r="AK1045" s="453">
        <v>2019</v>
      </c>
      <c r="AL1045" s="453" t="s">
        <v>452</v>
      </c>
      <c r="AN1045" s="453">
        <v>6916307719.2699976</v>
      </c>
      <c r="AQ1045" s="453" t="s">
        <v>350</v>
      </c>
      <c r="AR1045" s="453" t="s">
        <v>704</v>
      </c>
      <c r="AS1045" s="453" t="s">
        <v>29</v>
      </c>
      <c r="AT1045" s="453">
        <v>4</v>
      </c>
      <c r="AU1045" s="453">
        <v>568100515.20999992</v>
      </c>
      <c r="AV1045" s="453">
        <v>0.13150514271285788</v>
      </c>
      <c r="AW1045" s="817">
        <f t="shared" si="33"/>
        <v>2017</v>
      </c>
    </row>
    <row r="1046" spans="1:49">
      <c r="A1046" s="798">
        <f t="shared" si="34"/>
        <v>1900</v>
      </c>
      <c r="B1046" s="798">
        <f t="shared" si="35"/>
        <v>1</v>
      </c>
      <c r="AJ1046" s="453" t="s">
        <v>3</v>
      </c>
      <c r="AK1046" s="453">
        <v>2019</v>
      </c>
      <c r="AL1046" s="453" t="s">
        <v>24</v>
      </c>
      <c r="AM1046" s="453">
        <v>1</v>
      </c>
      <c r="AN1046" s="453">
        <v>1783706083.5057464</v>
      </c>
      <c r="AO1046" s="1367">
        <v>0.44265579388403997</v>
      </c>
      <c r="AQ1046" s="453" t="s">
        <v>350</v>
      </c>
      <c r="AR1046" s="453" t="s">
        <v>704</v>
      </c>
      <c r="AS1046" s="453" t="s">
        <v>67</v>
      </c>
      <c r="AT1046" s="453">
        <v>5</v>
      </c>
      <c r="AU1046" s="453">
        <v>346622814.47000003</v>
      </c>
      <c r="AV1046" s="453">
        <v>8.0237002896503359E-2</v>
      </c>
      <c r="AW1046" s="817">
        <f t="shared" si="33"/>
        <v>2017</v>
      </c>
    </row>
    <row r="1047" spans="1:49">
      <c r="A1047" s="798">
        <f t="shared" si="34"/>
        <v>1900</v>
      </c>
      <c r="B1047" s="798">
        <f t="shared" si="35"/>
        <v>1</v>
      </c>
      <c r="AJ1047" s="453" t="s">
        <v>3</v>
      </c>
      <c r="AK1047" s="453">
        <v>2019</v>
      </c>
      <c r="AL1047" s="453" t="s">
        <v>29</v>
      </c>
      <c r="AM1047" s="453">
        <v>2</v>
      </c>
      <c r="AN1047" s="453">
        <v>423780056.69589889</v>
      </c>
      <c r="AO1047" s="1367">
        <v>0.10516794171619041</v>
      </c>
      <c r="AQ1047" s="453" t="s">
        <v>350</v>
      </c>
      <c r="AR1047" s="453" t="s">
        <v>704</v>
      </c>
      <c r="AS1047" s="453" t="s">
        <v>27</v>
      </c>
      <c r="AT1047" s="453">
        <v>6</v>
      </c>
      <c r="AU1047" s="453">
        <v>291408345.84000003</v>
      </c>
      <c r="AV1047" s="453">
        <v>6.7455837622751202E-2</v>
      </c>
      <c r="AW1047" s="817">
        <f t="shared" si="33"/>
        <v>2017</v>
      </c>
    </row>
    <row r="1048" spans="1:49">
      <c r="A1048" s="798">
        <f t="shared" si="34"/>
        <v>1900</v>
      </c>
      <c r="B1048" s="798">
        <f t="shared" si="35"/>
        <v>1</v>
      </c>
      <c r="AJ1048" s="453" t="s">
        <v>3</v>
      </c>
      <c r="AK1048" s="453">
        <v>2019</v>
      </c>
      <c r="AL1048" s="453" t="s">
        <v>31</v>
      </c>
      <c r="AM1048" s="453">
        <v>3</v>
      </c>
      <c r="AN1048" s="453">
        <v>366680510.71748519</v>
      </c>
      <c r="AO1048" s="1367">
        <v>9.0997756903109614E-2</v>
      </c>
      <c r="AQ1048" s="453" t="s">
        <v>350</v>
      </c>
      <c r="AR1048" s="453" t="s">
        <v>704</v>
      </c>
      <c r="AS1048" s="453" t="s">
        <v>31</v>
      </c>
      <c r="AT1048" s="453">
        <v>7</v>
      </c>
      <c r="AU1048" s="453">
        <v>124134055.75</v>
      </c>
      <c r="AV1048" s="453">
        <v>2.8734821180183751E-2</v>
      </c>
      <c r="AW1048" s="817">
        <f t="shared" si="33"/>
        <v>2017</v>
      </c>
    </row>
    <row r="1049" spans="1:49">
      <c r="A1049" s="798">
        <f t="shared" si="34"/>
        <v>1900</v>
      </c>
      <c r="B1049" s="798">
        <f t="shared" si="35"/>
        <v>1</v>
      </c>
      <c r="AJ1049" s="453" t="s">
        <v>3</v>
      </c>
      <c r="AK1049" s="453">
        <v>2019</v>
      </c>
      <c r="AL1049" s="453" t="s">
        <v>30</v>
      </c>
      <c r="AM1049" s="453">
        <v>4</v>
      </c>
      <c r="AN1049" s="453">
        <v>360224044.49219596</v>
      </c>
      <c r="AO1049" s="1367">
        <v>8.9395479370353928E-2</v>
      </c>
      <c r="AQ1049" s="453" t="s">
        <v>350</v>
      </c>
      <c r="AR1049" s="453" t="s">
        <v>704</v>
      </c>
      <c r="AS1049" s="453" t="s">
        <v>63</v>
      </c>
      <c r="AT1049" s="453">
        <v>8</v>
      </c>
      <c r="AU1049" s="453">
        <v>50842722.879999995</v>
      </c>
      <c r="AV1049" s="453">
        <v>1.1769184060277004E-2</v>
      </c>
      <c r="AW1049" s="817">
        <f t="shared" si="33"/>
        <v>2017</v>
      </c>
    </row>
    <row r="1050" spans="1:49">
      <c r="A1050" s="798">
        <f t="shared" si="34"/>
        <v>1900</v>
      </c>
      <c r="B1050" s="798">
        <f t="shared" si="35"/>
        <v>1</v>
      </c>
      <c r="AJ1050" s="453" t="s">
        <v>3</v>
      </c>
      <c r="AK1050" s="453">
        <v>2019</v>
      </c>
      <c r="AL1050" s="453" t="s">
        <v>672</v>
      </c>
      <c r="AM1050" s="453">
        <v>5</v>
      </c>
      <c r="AN1050" s="453">
        <v>318056053.23906589</v>
      </c>
      <c r="AO1050" s="1367">
        <v>7.8930803705872785E-2</v>
      </c>
      <c r="AQ1050" s="453" t="s">
        <v>350</v>
      </c>
      <c r="AR1050" s="453" t="s">
        <v>704</v>
      </c>
      <c r="AS1050" s="453" t="s">
        <v>719</v>
      </c>
      <c r="AT1050" s="453">
        <v>9</v>
      </c>
      <c r="AU1050" s="453">
        <v>0</v>
      </c>
      <c r="AV1050" s="453">
        <v>0</v>
      </c>
      <c r="AW1050" s="817">
        <f t="shared" si="33"/>
        <v>2017</v>
      </c>
    </row>
    <row r="1051" spans="1:49">
      <c r="A1051" s="798">
        <f t="shared" si="34"/>
        <v>1900</v>
      </c>
      <c r="B1051" s="798">
        <f t="shared" si="35"/>
        <v>1</v>
      </c>
      <c r="AJ1051" s="453" t="s">
        <v>3</v>
      </c>
      <c r="AK1051" s="453">
        <v>2019</v>
      </c>
      <c r="AL1051" s="453" t="s">
        <v>33</v>
      </c>
      <c r="AM1051" s="453">
        <v>6</v>
      </c>
      <c r="AN1051" s="453">
        <v>210819257.83086553</v>
      </c>
      <c r="AO1051" s="1367">
        <v>5.2318241667792829E-2</v>
      </c>
      <c r="AQ1051" s="453" t="s">
        <v>350</v>
      </c>
      <c r="AR1051" s="453" t="s">
        <v>704</v>
      </c>
      <c r="AS1051" s="453" t="s">
        <v>719</v>
      </c>
      <c r="AT1051" s="453">
        <v>10</v>
      </c>
      <c r="AU1051" s="453">
        <v>0</v>
      </c>
      <c r="AV1051" s="453">
        <v>0</v>
      </c>
      <c r="AW1051" s="817">
        <f t="shared" si="33"/>
        <v>2017</v>
      </c>
    </row>
    <row r="1052" spans="1:49">
      <c r="A1052" s="798">
        <f t="shared" si="34"/>
        <v>1900</v>
      </c>
      <c r="B1052" s="798">
        <f t="shared" si="35"/>
        <v>1</v>
      </c>
      <c r="AJ1052" s="453" t="s">
        <v>3</v>
      </c>
      <c r="AK1052" s="453">
        <v>2019</v>
      </c>
      <c r="AL1052" s="453" t="s">
        <v>41</v>
      </c>
      <c r="AM1052" s="453">
        <v>7</v>
      </c>
      <c r="AN1052" s="453">
        <v>210707851.8669765</v>
      </c>
      <c r="AO1052" s="1367">
        <v>5.2290594458510573E-2</v>
      </c>
      <c r="AQ1052" s="453" t="s">
        <v>350</v>
      </c>
      <c r="AR1052" s="453" t="s">
        <v>704</v>
      </c>
      <c r="AS1052" s="453" t="s">
        <v>45</v>
      </c>
      <c r="AU1052" s="453">
        <v>0</v>
      </c>
      <c r="AV1052" s="453">
        <v>0</v>
      </c>
      <c r="AW1052" s="817">
        <f t="shared" ref="AW1052:AW1116" si="36">_xlfn.NUMBERVALUE(LEFT(AR1052,4))</f>
        <v>2017</v>
      </c>
    </row>
    <row r="1053" spans="1:49">
      <c r="A1053" s="798">
        <f t="shared" si="34"/>
        <v>1900</v>
      </c>
      <c r="B1053" s="798">
        <f t="shared" si="35"/>
        <v>1</v>
      </c>
      <c r="AJ1053" s="453" t="s">
        <v>3</v>
      </c>
      <c r="AK1053" s="453">
        <v>2019</v>
      </c>
      <c r="AL1053" s="453" t="s">
        <v>69</v>
      </c>
      <c r="AM1053" s="453">
        <v>8</v>
      </c>
      <c r="AN1053" s="453">
        <v>116274344.44341117</v>
      </c>
      <c r="AO1053" s="1367">
        <v>2.8855377421141522E-2</v>
      </c>
      <c r="AQ1053" s="453" t="s">
        <v>350</v>
      </c>
      <c r="AR1053" s="453" t="s">
        <v>704</v>
      </c>
      <c r="AS1053" s="453" t="s">
        <v>452</v>
      </c>
      <c r="AU1053" s="453">
        <v>4319987062.7907696</v>
      </c>
      <c r="AW1053" s="817">
        <f t="shared" si="36"/>
        <v>2017</v>
      </c>
    </row>
    <row r="1054" spans="1:49">
      <c r="A1054" s="798">
        <f t="shared" si="34"/>
        <v>1900</v>
      </c>
      <c r="B1054" s="798">
        <f t="shared" si="35"/>
        <v>1</v>
      </c>
      <c r="AJ1054" s="453" t="s">
        <v>3</v>
      </c>
      <c r="AK1054" s="453">
        <v>2019</v>
      </c>
      <c r="AL1054" s="453" t="s">
        <v>84</v>
      </c>
      <c r="AM1054" s="453">
        <v>9</v>
      </c>
      <c r="AN1054" s="453">
        <v>58976921.539999992</v>
      </c>
      <c r="AO1054" s="1367">
        <v>1.4636086217643564E-2</v>
      </c>
      <c r="AQ1054" s="860" t="s">
        <v>651</v>
      </c>
      <c r="AR1054" s="1347" t="s">
        <v>704</v>
      </c>
      <c r="AS1054" s="860"/>
      <c r="AU1054" s="1347">
        <v>2581868368.1500001</v>
      </c>
      <c r="AW1054" s="817">
        <f t="shared" si="36"/>
        <v>2017</v>
      </c>
    </row>
    <row r="1055" spans="1:49">
      <c r="A1055" s="798">
        <f t="shared" si="34"/>
        <v>1900</v>
      </c>
      <c r="B1055" s="798">
        <f t="shared" si="35"/>
        <v>1</v>
      </c>
      <c r="AJ1055" s="453" t="s">
        <v>3</v>
      </c>
      <c r="AK1055" s="453">
        <v>2019</v>
      </c>
      <c r="AL1055" s="453" t="s">
        <v>70</v>
      </c>
      <c r="AM1055" s="453">
        <v>10</v>
      </c>
      <c r="AN1055" s="453">
        <v>58036221.710000001</v>
      </c>
      <c r="AO1055" s="1367">
        <v>1.4402636192493226E-2</v>
      </c>
      <c r="AQ1055" s="453" t="s">
        <v>3</v>
      </c>
      <c r="AR1055" s="453" t="s">
        <v>704</v>
      </c>
      <c r="AS1055" s="453" t="s">
        <v>24</v>
      </c>
      <c r="AT1055" s="453">
        <v>1</v>
      </c>
      <c r="AU1055" s="453">
        <v>549993682.473948</v>
      </c>
      <c r="AV1055" s="453">
        <v>0.32380470261317296</v>
      </c>
      <c r="AW1055" s="817">
        <f t="shared" si="36"/>
        <v>2017</v>
      </c>
    </row>
    <row r="1056" spans="1:49">
      <c r="A1056" s="798">
        <f t="shared" si="34"/>
        <v>1900</v>
      </c>
      <c r="B1056" s="798">
        <f t="shared" si="35"/>
        <v>1</v>
      </c>
      <c r="AJ1056" s="453" t="s">
        <v>3</v>
      </c>
      <c r="AK1056" s="453">
        <v>2019</v>
      </c>
      <c r="AL1056" s="453" t="s">
        <v>45</v>
      </c>
      <c r="AN1056" s="453">
        <v>122294141.88000059</v>
      </c>
      <c r="AO1056" s="1367">
        <v>3.0349288462851558E-2</v>
      </c>
      <c r="AQ1056" s="453" t="s">
        <v>3</v>
      </c>
      <c r="AR1056" s="453" t="s">
        <v>704</v>
      </c>
      <c r="AS1056" s="453" t="s">
        <v>29</v>
      </c>
      <c r="AT1056" s="453">
        <v>2</v>
      </c>
      <c r="AU1056" s="453">
        <v>345958125.41885078</v>
      </c>
      <c r="AV1056" s="453">
        <v>0.20368028122426307</v>
      </c>
      <c r="AW1056" s="817">
        <f t="shared" si="36"/>
        <v>2017</v>
      </c>
    </row>
    <row r="1057" spans="1:49">
      <c r="A1057" s="798">
        <f t="shared" si="34"/>
        <v>1900</v>
      </c>
      <c r="B1057" s="798">
        <f t="shared" si="35"/>
        <v>1</v>
      </c>
      <c r="AJ1057" s="453" t="s">
        <v>3</v>
      </c>
      <c r="AK1057" s="453">
        <v>2019</v>
      </c>
      <c r="AL1057" s="453" t="s">
        <v>452</v>
      </c>
      <c r="AN1057" s="453">
        <v>4029555487.9216461</v>
      </c>
      <c r="AQ1057" s="453" t="s">
        <v>3</v>
      </c>
      <c r="AR1057" s="453" t="s">
        <v>704</v>
      </c>
      <c r="AS1057" s="453" t="s">
        <v>672</v>
      </c>
      <c r="AT1057" s="453">
        <v>3</v>
      </c>
      <c r="AU1057" s="453">
        <v>324600456.40450531</v>
      </c>
      <c r="AV1057" s="453">
        <v>0.19110611194909455</v>
      </c>
      <c r="AW1057" s="817">
        <f t="shared" si="36"/>
        <v>2017</v>
      </c>
    </row>
    <row r="1058" spans="1:49">
      <c r="A1058" s="798">
        <f t="shared" si="34"/>
        <v>1900</v>
      </c>
      <c r="B1058" s="798">
        <f t="shared" si="35"/>
        <v>1</v>
      </c>
      <c r="AJ1058" s="453" t="s">
        <v>538</v>
      </c>
      <c r="AK1058" s="453">
        <v>2019</v>
      </c>
      <c r="AL1058" s="453" t="s">
        <v>24</v>
      </c>
      <c r="AM1058" s="453">
        <v>1</v>
      </c>
      <c r="AN1058" s="453">
        <v>557290457.57999969</v>
      </c>
      <c r="AO1058" s="1367">
        <v>0.47280289025586464</v>
      </c>
      <c r="AQ1058" s="453" t="s">
        <v>3</v>
      </c>
      <c r="AR1058" s="453" t="s">
        <v>704</v>
      </c>
      <c r="AS1058" s="453" t="s">
        <v>31</v>
      </c>
      <c r="AT1058" s="453">
        <v>4</v>
      </c>
      <c r="AU1058" s="453">
        <v>170869359.41179702</v>
      </c>
      <c r="AV1058" s="453">
        <v>0.10059806843810626</v>
      </c>
      <c r="AW1058" s="817">
        <f t="shared" si="36"/>
        <v>2017</v>
      </c>
    </row>
    <row r="1059" spans="1:49">
      <c r="A1059" s="798">
        <f t="shared" si="34"/>
        <v>1900</v>
      </c>
      <c r="B1059" s="798">
        <f t="shared" si="35"/>
        <v>1</v>
      </c>
      <c r="AJ1059" s="453" t="s">
        <v>538</v>
      </c>
      <c r="AK1059" s="453">
        <v>2019</v>
      </c>
      <c r="AL1059" s="453" t="s">
        <v>41</v>
      </c>
      <c r="AM1059" s="453">
        <v>2</v>
      </c>
      <c r="AN1059" s="453">
        <v>76551033.550000012</v>
      </c>
      <c r="AO1059" s="1367">
        <v>6.4945576264991117E-2</v>
      </c>
      <c r="AQ1059" s="453" t="s">
        <v>3</v>
      </c>
      <c r="AR1059" s="453" t="s">
        <v>704</v>
      </c>
      <c r="AS1059" s="453" t="s">
        <v>30</v>
      </c>
      <c r="AT1059" s="453">
        <v>5</v>
      </c>
      <c r="AU1059" s="453">
        <v>132690563.09999999</v>
      </c>
      <c r="AV1059" s="453">
        <v>7.8120585187276506E-2</v>
      </c>
      <c r="AW1059" s="817">
        <f t="shared" si="36"/>
        <v>2017</v>
      </c>
    </row>
    <row r="1060" spans="1:49">
      <c r="A1060" s="798">
        <f t="shared" si="34"/>
        <v>1900</v>
      </c>
      <c r="B1060" s="798">
        <f t="shared" si="35"/>
        <v>1</v>
      </c>
      <c r="AJ1060" s="453" t="s">
        <v>538</v>
      </c>
      <c r="AK1060" s="453">
        <v>2019</v>
      </c>
      <c r="AL1060" s="453" t="s">
        <v>72</v>
      </c>
      <c r="AM1060" s="453">
        <v>3</v>
      </c>
      <c r="AN1060" s="453">
        <v>73777353.059999987</v>
      </c>
      <c r="AO1060" s="1367">
        <v>6.2592397353561327E-2</v>
      </c>
      <c r="AQ1060" s="453" t="s">
        <v>3</v>
      </c>
      <c r="AR1060" s="453" t="s">
        <v>704</v>
      </c>
      <c r="AS1060" s="453" t="s">
        <v>66</v>
      </c>
      <c r="AT1060" s="453">
        <v>6</v>
      </c>
      <c r="AU1060" s="453">
        <v>33378104.359999999</v>
      </c>
      <c r="AV1060" s="453">
        <v>1.9651111459072446E-2</v>
      </c>
      <c r="AW1060" s="817">
        <f t="shared" si="36"/>
        <v>2017</v>
      </c>
    </row>
    <row r="1061" spans="1:49">
      <c r="A1061" s="798">
        <f t="shared" si="34"/>
        <v>1900</v>
      </c>
      <c r="B1061" s="798">
        <f t="shared" si="35"/>
        <v>1</v>
      </c>
      <c r="AJ1061" s="453" t="s">
        <v>538</v>
      </c>
      <c r="AK1061" s="453">
        <v>2019</v>
      </c>
      <c r="AL1061" s="453" t="s">
        <v>33</v>
      </c>
      <c r="AM1061" s="453">
        <v>4</v>
      </c>
      <c r="AN1061" s="453">
        <v>71157428.269999996</v>
      </c>
      <c r="AO1061" s="1367">
        <v>6.0369664134076469E-2</v>
      </c>
      <c r="AQ1061" s="453" t="s">
        <v>3</v>
      </c>
      <c r="AR1061" s="453" t="s">
        <v>704</v>
      </c>
      <c r="AS1061" s="453" t="s">
        <v>65</v>
      </c>
      <c r="AT1061" s="453">
        <v>7</v>
      </c>
      <c r="AU1061" s="453">
        <v>29260479.68</v>
      </c>
      <c r="AV1061" s="453">
        <v>1.7226890458964472E-2</v>
      </c>
      <c r="AW1061" s="817">
        <f t="shared" si="36"/>
        <v>2017</v>
      </c>
    </row>
    <row r="1062" spans="1:49">
      <c r="A1062" s="798">
        <f t="shared" si="34"/>
        <v>1900</v>
      </c>
      <c r="B1062" s="798">
        <f t="shared" si="35"/>
        <v>1</v>
      </c>
      <c r="AJ1062" s="453" t="s">
        <v>538</v>
      </c>
      <c r="AK1062" s="453">
        <v>2019</v>
      </c>
      <c r="AL1062" s="453" t="s">
        <v>84</v>
      </c>
      <c r="AM1062" s="453">
        <v>5</v>
      </c>
      <c r="AN1062" s="453">
        <v>47928980.200000003</v>
      </c>
      <c r="AO1062" s="1367">
        <v>4.0662746073169762E-2</v>
      </c>
      <c r="AQ1062" s="453" t="s">
        <v>3</v>
      </c>
      <c r="AR1062" s="453" t="s">
        <v>704</v>
      </c>
      <c r="AS1062" s="453" t="s">
        <v>33</v>
      </c>
      <c r="AT1062" s="453">
        <v>8</v>
      </c>
      <c r="AU1062" s="453">
        <v>27616178.609999999</v>
      </c>
      <c r="AV1062" s="453">
        <v>1.6258820395717716E-2</v>
      </c>
      <c r="AW1062" s="817">
        <f t="shared" si="36"/>
        <v>2017</v>
      </c>
    </row>
    <row r="1063" spans="1:49">
      <c r="A1063" s="798">
        <f t="shared" si="34"/>
        <v>1900</v>
      </c>
      <c r="B1063" s="798">
        <f t="shared" si="35"/>
        <v>1</v>
      </c>
      <c r="AJ1063" s="453" t="s">
        <v>538</v>
      </c>
      <c r="AK1063" s="453">
        <v>2019</v>
      </c>
      <c r="AL1063" s="453" t="s">
        <v>672</v>
      </c>
      <c r="AM1063" s="453">
        <v>6</v>
      </c>
      <c r="AN1063" s="453">
        <v>46179712.670000002</v>
      </c>
      <c r="AO1063" s="1367">
        <v>3.9178674826721022E-2</v>
      </c>
      <c r="AQ1063" s="453" t="s">
        <v>3</v>
      </c>
      <c r="AR1063" s="453" t="s">
        <v>704</v>
      </c>
      <c r="AS1063" s="453" t="s">
        <v>70</v>
      </c>
      <c r="AT1063" s="453">
        <v>9</v>
      </c>
      <c r="AU1063" s="453">
        <v>25534170.959999997</v>
      </c>
      <c r="AV1063" s="453">
        <v>1.5033053828883494E-2</v>
      </c>
      <c r="AW1063" s="817">
        <f t="shared" si="36"/>
        <v>2017</v>
      </c>
    </row>
    <row r="1064" spans="1:49">
      <c r="A1064" s="798">
        <f t="shared" si="34"/>
        <v>1900</v>
      </c>
      <c r="B1064" s="798">
        <f t="shared" si="35"/>
        <v>1</v>
      </c>
      <c r="AJ1064" s="453" t="s">
        <v>538</v>
      </c>
      <c r="AK1064" s="453">
        <v>2019</v>
      </c>
      <c r="AL1064" s="453" t="s">
        <v>80</v>
      </c>
      <c r="AM1064" s="453">
        <v>7</v>
      </c>
      <c r="AN1064" s="453">
        <v>39895639.969999999</v>
      </c>
      <c r="AO1064" s="1367">
        <v>3.3847293865992001E-2</v>
      </c>
      <c r="AQ1064" s="453" t="s">
        <v>3</v>
      </c>
      <c r="AR1064" s="453" t="s">
        <v>704</v>
      </c>
      <c r="AS1064" s="453" t="s">
        <v>84</v>
      </c>
      <c r="AT1064" s="453">
        <v>10</v>
      </c>
      <c r="AU1064" s="453">
        <v>20951501.390000004</v>
      </c>
      <c r="AV1064" s="453">
        <v>1.2335041097876217E-2</v>
      </c>
      <c r="AW1064" s="817">
        <f t="shared" si="36"/>
        <v>2017</v>
      </c>
    </row>
    <row r="1065" spans="1:49">
      <c r="A1065" s="798">
        <f t="shared" si="34"/>
        <v>1900</v>
      </c>
      <c r="B1065" s="798">
        <f t="shared" si="35"/>
        <v>1</v>
      </c>
      <c r="AJ1065" s="453" t="s">
        <v>538</v>
      </c>
      <c r="AK1065" s="453">
        <v>2019</v>
      </c>
      <c r="AL1065" s="453" t="s">
        <v>27</v>
      </c>
      <c r="AM1065" s="453">
        <v>8</v>
      </c>
      <c r="AN1065" s="453">
        <v>39869108.760000005</v>
      </c>
      <c r="AO1065" s="1367">
        <v>3.3824784898541786E-2</v>
      </c>
      <c r="AQ1065" s="453" t="s">
        <v>3</v>
      </c>
      <c r="AR1065" s="453" t="s">
        <v>704</v>
      </c>
      <c r="AS1065" s="453" t="s">
        <v>45</v>
      </c>
      <c r="AU1065" s="453">
        <v>37682569.420000076</v>
      </c>
      <c r="AV1065" s="453">
        <v>2.2185333347572302E-2</v>
      </c>
      <c r="AW1065" s="817">
        <f t="shared" si="36"/>
        <v>2017</v>
      </c>
    </row>
    <row r="1066" spans="1:49">
      <c r="A1066" s="798">
        <f t="shared" si="34"/>
        <v>1900</v>
      </c>
      <c r="B1066" s="798">
        <f t="shared" si="35"/>
        <v>1</v>
      </c>
      <c r="AJ1066" s="453" t="s">
        <v>538</v>
      </c>
      <c r="AK1066" s="453">
        <v>2019</v>
      </c>
      <c r="AL1066" s="453" t="s">
        <v>63</v>
      </c>
      <c r="AM1066" s="453">
        <v>9</v>
      </c>
      <c r="AN1066" s="453">
        <v>39497483.310000002</v>
      </c>
      <c r="AO1066" s="1367">
        <v>3.3509499423144219E-2</v>
      </c>
      <c r="AQ1066" s="1347" t="s">
        <v>3</v>
      </c>
      <c r="AR1066" s="1347" t="s">
        <v>704</v>
      </c>
      <c r="AS1066" s="453" t="s">
        <v>452</v>
      </c>
      <c r="AU1066" s="453">
        <v>1698535191.2291012</v>
      </c>
      <c r="AW1066" s="817">
        <f t="shared" si="36"/>
        <v>2017</v>
      </c>
    </row>
    <row r="1067" spans="1:49">
      <c r="A1067" s="798">
        <f t="shared" si="34"/>
        <v>1900</v>
      </c>
      <c r="B1067" s="798">
        <f t="shared" si="35"/>
        <v>1</v>
      </c>
      <c r="AJ1067" s="453" t="s">
        <v>538</v>
      </c>
      <c r="AK1067" s="453">
        <v>2019</v>
      </c>
      <c r="AL1067" s="453" t="s">
        <v>31</v>
      </c>
      <c r="AM1067" s="453">
        <v>10</v>
      </c>
      <c r="AN1067" s="453">
        <v>35621466.850000001</v>
      </c>
      <c r="AO1067" s="1367">
        <v>3.0221103291394134E-2</v>
      </c>
      <c r="AQ1067" s="453" t="s">
        <v>0</v>
      </c>
      <c r="AR1067" s="453" t="s">
        <v>730</v>
      </c>
      <c r="AS1067" s="453" t="s">
        <v>40</v>
      </c>
      <c r="AT1067" s="453">
        <v>1</v>
      </c>
      <c r="AU1067" s="453">
        <v>2447938951.9499998</v>
      </c>
      <c r="AV1067" s="453">
        <v>0.25796468667161848</v>
      </c>
      <c r="AW1067" s="817">
        <f t="shared" si="36"/>
        <v>2018</v>
      </c>
    </row>
    <row r="1068" spans="1:49">
      <c r="A1068" s="798">
        <f t="shared" si="34"/>
        <v>1900</v>
      </c>
      <c r="B1068" s="798">
        <f t="shared" si="35"/>
        <v>1</v>
      </c>
      <c r="AJ1068" s="453" t="s">
        <v>538</v>
      </c>
      <c r="AK1068" s="453">
        <v>2019</v>
      </c>
      <c r="AL1068" s="453" t="s">
        <v>45</v>
      </c>
      <c r="AN1068" s="453">
        <v>150926451.79000032</v>
      </c>
      <c r="AO1068" s="1367">
        <v>0.12804536961254354</v>
      </c>
      <c r="AQ1068" s="453" t="s">
        <v>0</v>
      </c>
      <c r="AR1068" s="453" t="s">
        <v>730</v>
      </c>
      <c r="AS1068" s="453" t="s">
        <v>23</v>
      </c>
      <c r="AT1068" s="453">
        <v>2</v>
      </c>
      <c r="AU1068" s="453">
        <v>1470157286.2</v>
      </c>
      <c r="AV1068" s="453">
        <v>0.15492570326987726</v>
      </c>
      <c r="AW1068" s="817">
        <f t="shared" si="36"/>
        <v>2018</v>
      </c>
    </row>
    <row r="1069" spans="1:49">
      <c r="A1069" s="798">
        <f t="shared" si="34"/>
        <v>1900</v>
      </c>
      <c r="B1069" s="798">
        <f t="shared" si="35"/>
        <v>1</v>
      </c>
      <c r="AJ1069" s="453" t="s">
        <v>538</v>
      </c>
      <c r="AK1069" s="453">
        <v>2019</v>
      </c>
      <c r="AL1069" s="453" t="s">
        <v>452</v>
      </c>
      <c r="AN1069" s="453">
        <v>1178695116.01</v>
      </c>
      <c r="AQ1069" s="453" t="s">
        <v>0</v>
      </c>
      <c r="AR1069" s="453" t="s">
        <v>730</v>
      </c>
      <c r="AS1069" s="453" t="s">
        <v>38</v>
      </c>
      <c r="AT1069" s="453">
        <v>3</v>
      </c>
      <c r="AU1069" s="453">
        <v>1019876321.77</v>
      </c>
      <c r="AV1069" s="453">
        <v>0.10747493338411267</v>
      </c>
      <c r="AW1069" s="817">
        <f t="shared" si="36"/>
        <v>2018</v>
      </c>
    </row>
    <row r="1070" spans="1:49">
      <c r="A1070" s="798">
        <f t="shared" si="34"/>
        <v>1900</v>
      </c>
      <c r="B1070" s="798">
        <f t="shared" si="35"/>
        <v>1</v>
      </c>
      <c r="AJ1070" s="453" t="s">
        <v>2</v>
      </c>
      <c r="AK1070" s="453">
        <v>2019</v>
      </c>
      <c r="AL1070" s="453" t="s">
        <v>708</v>
      </c>
      <c r="AM1070" s="453">
        <v>1</v>
      </c>
      <c r="AN1070" s="453">
        <v>78719315000</v>
      </c>
      <c r="AO1070" s="1367">
        <v>0.82164233725168911</v>
      </c>
      <c r="AQ1070" s="453" t="s">
        <v>0</v>
      </c>
      <c r="AR1070" s="453" t="s">
        <v>730</v>
      </c>
      <c r="AS1070" s="453" t="s">
        <v>32</v>
      </c>
      <c r="AT1070" s="453">
        <v>4</v>
      </c>
      <c r="AU1070" s="453">
        <v>804624484.98000002</v>
      </c>
      <c r="AV1070" s="453">
        <v>8.4791617450604512E-2</v>
      </c>
      <c r="AW1070" s="817">
        <f t="shared" si="36"/>
        <v>2018</v>
      </c>
    </row>
    <row r="1071" spans="1:49">
      <c r="A1071" s="798">
        <f t="shared" si="34"/>
        <v>1900</v>
      </c>
      <c r="B1071" s="798">
        <f t="shared" si="35"/>
        <v>1</v>
      </c>
      <c r="AJ1071" s="453" t="s">
        <v>2</v>
      </c>
      <c r="AK1071" s="453">
        <v>2019</v>
      </c>
      <c r="AL1071" s="453" t="s">
        <v>716</v>
      </c>
      <c r="AM1071" s="453">
        <v>2</v>
      </c>
      <c r="AN1071" s="453">
        <v>7159053000</v>
      </c>
      <c r="AO1071" s="1367">
        <v>7.4723478468133486E-2</v>
      </c>
      <c r="AQ1071" s="453" t="s">
        <v>0</v>
      </c>
      <c r="AR1071" s="453" t="s">
        <v>730</v>
      </c>
      <c r="AS1071" s="453" t="s">
        <v>27</v>
      </c>
      <c r="AT1071" s="453">
        <v>5</v>
      </c>
      <c r="AU1071" s="453">
        <v>542321792.05999994</v>
      </c>
      <c r="AV1071" s="453">
        <v>5.7150065385619973E-2</v>
      </c>
      <c r="AW1071" s="817">
        <f t="shared" si="36"/>
        <v>2018</v>
      </c>
    </row>
    <row r="1072" spans="1:49">
      <c r="A1072" s="798">
        <f t="shared" si="34"/>
        <v>1900</v>
      </c>
      <c r="B1072" s="798">
        <f t="shared" si="35"/>
        <v>1</v>
      </c>
      <c r="AJ1072" s="453" t="s">
        <v>2</v>
      </c>
      <c r="AK1072" s="453">
        <v>2019</v>
      </c>
      <c r="AL1072" s="453" t="s">
        <v>713</v>
      </c>
      <c r="AM1072" s="453">
        <v>3</v>
      </c>
      <c r="AN1072" s="453">
        <v>5992212000</v>
      </c>
      <c r="AO1072" s="1367">
        <v>6.2544434907590582E-2</v>
      </c>
      <c r="AQ1072" s="453" t="s">
        <v>0</v>
      </c>
      <c r="AR1072" s="453" t="s">
        <v>730</v>
      </c>
      <c r="AS1072" s="453" t="s">
        <v>453</v>
      </c>
      <c r="AT1072" s="453">
        <v>6</v>
      </c>
      <c r="AU1072" s="453">
        <v>499737874.36000001</v>
      </c>
      <c r="AV1072" s="453">
        <v>5.2662556831544381E-2</v>
      </c>
      <c r="AW1072" s="817">
        <f t="shared" si="36"/>
        <v>2018</v>
      </c>
    </row>
    <row r="1073" spans="1:49">
      <c r="A1073" s="798">
        <f t="shared" si="34"/>
        <v>1900</v>
      </c>
      <c r="B1073" s="798">
        <f t="shared" si="35"/>
        <v>1</v>
      </c>
      <c r="AJ1073" s="453" t="s">
        <v>2</v>
      </c>
      <c r="AK1073" s="453">
        <v>2019</v>
      </c>
      <c r="AL1073" s="453" t="s">
        <v>717</v>
      </c>
      <c r="AM1073" s="453">
        <v>4</v>
      </c>
      <c r="AN1073" s="453">
        <v>1892914000</v>
      </c>
      <c r="AO1073" s="1367">
        <v>1.975751800147707E-2</v>
      </c>
      <c r="AQ1073" s="453" t="s">
        <v>0</v>
      </c>
      <c r="AR1073" s="453" t="s">
        <v>730</v>
      </c>
      <c r="AS1073" s="453" t="s">
        <v>22</v>
      </c>
      <c r="AT1073" s="453">
        <v>7</v>
      </c>
      <c r="AU1073" s="453">
        <v>382990417.67999995</v>
      </c>
      <c r="AV1073" s="453">
        <v>4.035966788156712E-2</v>
      </c>
      <c r="AW1073" s="817">
        <f t="shared" si="36"/>
        <v>2018</v>
      </c>
    </row>
    <row r="1074" spans="1:49">
      <c r="A1074" s="798">
        <f t="shared" si="34"/>
        <v>1900</v>
      </c>
      <c r="B1074" s="798">
        <f t="shared" si="35"/>
        <v>1</v>
      </c>
      <c r="AJ1074" s="453" t="s">
        <v>2</v>
      </c>
      <c r="AK1074" s="453">
        <v>2019</v>
      </c>
      <c r="AL1074" s="453" t="s">
        <v>731</v>
      </c>
      <c r="AM1074" s="453">
        <v>5</v>
      </c>
      <c r="AN1074" s="453">
        <v>708598000</v>
      </c>
      <c r="AO1074" s="1367">
        <v>7.3960770224165747E-3</v>
      </c>
      <c r="AQ1074" s="453" t="s">
        <v>0</v>
      </c>
      <c r="AR1074" s="453" t="s">
        <v>730</v>
      </c>
      <c r="AS1074" s="453" t="s">
        <v>35</v>
      </c>
      <c r="AT1074" s="453">
        <v>8</v>
      </c>
      <c r="AU1074" s="453">
        <v>379478309.70000005</v>
      </c>
      <c r="AV1074" s="453">
        <v>3.9989560680202534E-2</v>
      </c>
      <c r="AW1074" s="817">
        <f t="shared" si="36"/>
        <v>2018</v>
      </c>
    </row>
    <row r="1075" spans="1:49">
      <c r="A1075" s="798">
        <f t="shared" si="34"/>
        <v>1900</v>
      </c>
      <c r="B1075" s="798">
        <f t="shared" si="35"/>
        <v>1</v>
      </c>
      <c r="AJ1075" s="453" t="s">
        <v>2</v>
      </c>
      <c r="AK1075" s="453">
        <v>2019</v>
      </c>
      <c r="AL1075" s="453" t="s">
        <v>45</v>
      </c>
      <c r="AN1075" s="453">
        <v>1335185000</v>
      </c>
      <c r="AO1075" s="1367">
        <v>1.3936154348693159E-2</v>
      </c>
      <c r="AQ1075" s="453" t="s">
        <v>0</v>
      </c>
      <c r="AR1075" s="453" t="s">
        <v>730</v>
      </c>
      <c r="AS1075" s="453" t="s">
        <v>41</v>
      </c>
      <c r="AT1075" s="453">
        <v>9</v>
      </c>
      <c r="AU1075" s="453">
        <v>322625317.02999997</v>
      </c>
      <c r="AV1075" s="453">
        <v>3.3998371876749096E-2</v>
      </c>
      <c r="AW1075" s="817">
        <f t="shared" si="36"/>
        <v>2018</v>
      </c>
    </row>
    <row r="1076" spans="1:49">
      <c r="A1076" s="798">
        <f t="shared" si="34"/>
        <v>1900</v>
      </c>
      <c r="B1076" s="798">
        <f t="shared" si="35"/>
        <v>1</v>
      </c>
      <c r="AJ1076" s="453" t="s">
        <v>2</v>
      </c>
      <c r="AK1076" s="453">
        <v>2019</v>
      </c>
      <c r="AL1076" s="453" t="s">
        <v>452</v>
      </c>
      <c r="AN1076" s="453">
        <v>95807277000</v>
      </c>
      <c r="AQ1076" s="453" t="s">
        <v>0</v>
      </c>
      <c r="AR1076" s="453" t="s">
        <v>730</v>
      </c>
      <c r="AS1076" s="453" t="s">
        <v>25</v>
      </c>
      <c r="AT1076" s="453">
        <v>10</v>
      </c>
      <c r="AU1076" s="453">
        <v>257160750.98000002</v>
      </c>
      <c r="AV1076" s="453">
        <v>2.7099692375069002E-2</v>
      </c>
      <c r="AW1076" s="817">
        <f t="shared" si="36"/>
        <v>2018</v>
      </c>
    </row>
    <row r="1077" spans="1:49">
      <c r="A1077" s="798">
        <f t="shared" si="34"/>
        <v>1900</v>
      </c>
      <c r="B1077" s="798">
        <f t="shared" si="35"/>
        <v>1</v>
      </c>
      <c r="AJ1077" s="453" t="s">
        <v>1</v>
      </c>
      <c r="AK1077" s="453">
        <v>2019</v>
      </c>
      <c r="AL1077" s="453" t="s">
        <v>707</v>
      </c>
      <c r="AM1077" s="453">
        <v>1</v>
      </c>
      <c r="AN1077" s="453">
        <v>11983964000</v>
      </c>
      <c r="AO1077" s="1367">
        <v>0.58163745997226346</v>
      </c>
      <c r="AQ1077" s="453" t="s">
        <v>0</v>
      </c>
      <c r="AR1077" s="453" t="s">
        <v>730</v>
      </c>
      <c r="AS1077" s="453" t="s">
        <v>45</v>
      </c>
      <c r="AU1077" s="453">
        <v>1362522816.7800007</v>
      </c>
      <c r="AV1077" s="453">
        <v>0.14358314419303506</v>
      </c>
      <c r="AW1077" s="817">
        <f t="shared" si="36"/>
        <v>2018</v>
      </c>
    </row>
    <row r="1078" spans="1:49">
      <c r="A1078" s="798">
        <f t="shared" si="34"/>
        <v>1900</v>
      </c>
      <c r="B1078" s="798">
        <f t="shared" si="35"/>
        <v>1</v>
      </c>
      <c r="AJ1078" s="453" t="s">
        <v>1</v>
      </c>
      <c r="AK1078" s="453">
        <v>2019</v>
      </c>
      <c r="AL1078" s="453" t="s">
        <v>706</v>
      </c>
      <c r="AM1078" s="453">
        <v>2</v>
      </c>
      <c r="AN1078" s="453">
        <v>3396127000</v>
      </c>
      <c r="AO1078" s="1367">
        <v>0.16482982442397381</v>
      </c>
      <c r="AQ1078" s="453" t="s">
        <v>0</v>
      </c>
      <c r="AR1078" s="453" t="s">
        <v>730</v>
      </c>
      <c r="AS1078" s="453" t="s">
        <v>452</v>
      </c>
      <c r="AU1078" s="453">
        <v>9489434323.4899998</v>
      </c>
      <c r="AW1078" s="817">
        <f t="shared" si="36"/>
        <v>2018</v>
      </c>
    </row>
    <row r="1079" spans="1:49">
      <c r="A1079" s="798">
        <f t="shared" si="34"/>
        <v>1900</v>
      </c>
      <c r="B1079" s="798">
        <f t="shared" si="35"/>
        <v>1</v>
      </c>
      <c r="AJ1079" s="453" t="s">
        <v>1</v>
      </c>
      <c r="AK1079" s="453">
        <v>2019</v>
      </c>
      <c r="AL1079" s="453" t="s">
        <v>708</v>
      </c>
      <c r="AM1079" s="453">
        <v>3</v>
      </c>
      <c r="AN1079" s="453">
        <v>2990924000</v>
      </c>
      <c r="AO1079" s="1367">
        <v>0.14516343993774364</v>
      </c>
      <c r="AQ1079" s="453" t="s">
        <v>350</v>
      </c>
      <c r="AR1079" s="453" t="s">
        <v>730</v>
      </c>
      <c r="AS1079" s="453" t="s">
        <v>24</v>
      </c>
      <c r="AT1079" s="453">
        <v>1</v>
      </c>
      <c r="AU1079" s="453">
        <v>1849671381.7699997</v>
      </c>
      <c r="AV1079" s="453">
        <v>0.37493240526394805</v>
      </c>
      <c r="AW1079" s="817">
        <f t="shared" si="36"/>
        <v>2018</v>
      </c>
    </row>
    <row r="1080" spans="1:49">
      <c r="A1080" s="798">
        <f t="shared" si="34"/>
        <v>1900</v>
      </c>
      <c r="B1080" s="798">
        <f t="shared" si="35"/>
        <v>1</v>
      </c>
      <c r="AJ1080" s="453" t="s">
        <v>1</v>
      </c>
      <c r="AK1080" s="453">
        <v>2019</v>
      </c>
      <c r="AL1080" s="453" t="s">
        <v>710</v>
      </c>
      <c r="AM1080" s="453">
        <v>4</v>
      </c>
      <c r="AN1080" s="453">
        <v>1363404000</v>
      </c>
      <c r="AO1080" s="1367">
        <v>6.6172331582106211E-2</v>
      </c>
      <c r="AQ1080" s="453" t="s">
        <v>350</v>
      </c>
      <c r="AR1080" s="453" t="s">
        <v>730</v>
      </c>
      <c r="AS1080" s="453" t="s">
        <v>83</v>
      </c>
      <c r="AT1080" s="453">
        <v>2</v>
      </c>
      <c r="AU1080" s="453">
        <v>879650801.70000005</v>
      </c>
      <c r="AV1080" s="453">
        <v>0.17830712748452521</v>
      </c>
      <c r="AW1080" s="817">
        <f t="shared" si="36"/>
        <v>2018</v>
      </c>
    </row>
    <row r="1081" spans="1:49">
      <c r="A1081" s="798">
        <f t="shared" si="34"/>
        <v>1900</v>
      </c>
      <c r="B1081" s="798">
        <f t="shared" si="35"/>
        <v>1</v>
      </c>
      <c r="AJ1081" s="453" t="s">
        <v>1</v>
      </c>
      <c r="AK1081" s="453">
        <v>2019</v>
      </c>
      <c r="AL1081" s="453" t="s">
        <v>711</v>
      </c>
      <c r="AM1081" s="453">
        <v>5</v>
      </c>
      <c r="AN1081" s="453">
        <v>265817000</v>
      </c>
      <c r="AO1081" s="1367">
        <v>1.290133420773353E-2</v>
      </c>
      <c r="AQ1081" s="453" t="s">
        <v>350</v>
      </c>
      <c r="AR1081" s="453" t="s">
        <v>730</v>
      </c>
      <c r="AS1081" s="453" t="s">
        <v>30</v>
      </c>
      <c r="AT1081" s="453">
        <v>3</v>
      </c>
      <c r="AU1081" s="453">
        <v>656981517.92999995</v>
      </c>
      <c r="AV1081" s="453">
        <v>0.13317158018401129</v>
      </c>
      <c r="AW1081" s="817">
        <f t="shared" si="36"/>
        <v>2018</v>
      </c>
    </row>
    <row r="1082" spans="1:49">
      <c r="A1082" s="798">
        <f t="shared" si="34"/>
        <v>1900</v>
      </c>
      <c r="B1082" s="798">
        <f t="shared" si="35"/>
        <v>1</v>
      </c>
      <c r="AJ1082" s="453" t="s">
        <v>1</v>
      </c>
      <c r="AK1082" s="453">
        <v>2019</v>
      </c>
      <c r="AL1082" s="453" t="s">
        <v>714</v>
      </c>
      <c r="AM1082" s="453">
        <v>6</v>
      </c>
      <c r="AN1082" s="453">
        <v>151869000</v>
      </c>
      <c r="AO1082" s="1367">
        <v>7.3709082744680869E-3</v>
      </c>
      <c r="AQ1082" s="453" t="s">
        <v>350</v>
      </c>
      <c r="AR1082" s="453" t="s">
        <v>730</v>
      </c>
      <c r="AS1082" s="453" t="s">
        <v>29</v>
      </c>
      <c r="AT1082" s="453">
        <v>4</v>
      </c>
      <c r="AU1082" s="453">
        <v>425596461.69999999</v>
      </c>
      <c r="AV1082" s="453">
        <v>8.6269326881356648E-2</v>
      </c>
      <c r="AW1082" s="817">
        <f t="shared" si="36"/>
        <v>2018</v>
      </c>
    </row>
    <row r="1083" spans="1:49">
      <c r="A1083" s="798">
        <f t="shared" si="34"/>
        <v>1900</v>
      </c>
      <c r="B1083" s="798">
        <f t="shared" si="35"/>
        <v>1</v>
      </c>
      <c r="AJ1083" s="453" t="s">
        <v>1</v>
      </c>
      <c r="AK1083" s="453">
        <v>2019</v>
      </c>
      <c r="AL1083" s="453" t="s">
        <v>715</v>
      </c>
      <c r="AM1083" s="453">
        <v>7</v>
      </c>
      <c r="AN1083" s="453">
        <v>116526000</v>
      </c>
      <c r="AO1083" s="1367">
        <v>5.6555482527090341E-3</v>
      </c>
      <c r="AQ1083" s="453" t="s">
        <v>350</v>
      </c>
      <c r="AR1083" s="453" t="s">
        <v>730</v>
      </c>
      <c r="AS1083" s="453" t="s">
        <v>67</v>
      </c>
      <c r="AT1083" s="453">
        <v>5</v>
      </c>
      <c r="AU1083" s="453">
        <v>360180909.46000004</v>
      </c>
      <c r="AV1083" s="453">
        <v>7.3009452405955161E-2</v>
      </c>
      <c r="AW1083" s="817">
        <f t="shared" si="36"/>
        <v>2018</v>
      </c>
    </row>
    <row r="1084" spans="1:49">
      <c r="A1084" s="798">
        <f t="shared" si="34"/>
        <v>1900</v>
      </c>
      <c r="B1084" s="798">
        <f t="shared" si="35"/>
        <v>1</v>
      </c>
      <c r="AJ1084" s="453" t="s">
        <v>1</v>
      </c>
      <c r="AK1084" s="453">
        <v>2019</v>
      </c>
      <c r="AL1084" s="453" t="s">
        <v>713</v>
      </c>
      <c r="AM1084" s="453">
        <v>8</v>
      </c>
      <c r="AN1084" s="453">
        <v>112952000</v>
      </c>
      <c r="AO1084" s="1367">
        <v>5.4820854250552734E-3</v>
      </c>
      <c r="AQ1084" s="453" t="s">
        <v>350</v>
      </c>
      <c r="AR1084" s="453" t="s">
        <v>730</v>
      </c>
      <c r="AS1084" s="453" t="s">
        <v>27</v>
      </c>
      <c r="AT1084" s="453">
        <v>6</v>
      </c>
      <c r="AU1084" s="453">
        <v>316761255.86000001</v>
      </c>
      <c r="AV1084" s="453">
        <v>6.4208194344430078E-2</v>
      </c>
      <c r="AW1084" s="817">
        <f t="shared" si="36"/>
        <v>2018</v>
      </c>
    </row>
    <row r="1085" spans="1:49">
      <c r="A1085" s="798">
        <f t="shared" si="34"/>
        <v>1900</v>
      </c>
      <c r="B1085" s="798">
        <f t="shared" si="35"/>
        <v>1</v>
      </c>
      <c r="AJ1085" s="453" t="s">
        <v>1</v>
      </c>
      <c r="AK1085" s="453">
        <v>2019</v>
      </c>
      <c r="AL1085" s="453" t="s">
        <v>709</v>
      </c>
      <c r="AM1085" s="453">
        <v>9</v>
      </c>
      <c r="AN1085" s="453">
        <v>92815000</v>
      </c>
      <c r="AO1085" s="1367">
        <v>4.5047432424968588E-3</v>
      </c>
      <c r="AQ1085" s="453" t="s">
        <v>350</v>
      </c>
      <c r="AR1085" s="453" t="s">
        <v>730</v>
      </c>
      <c r="AS1085" s="453" t="s">
        <v>672</v>
      </c>
      <c r="AT1085" s="453">
        <v>7</v>
      </c>
      <c r="AU1085" s="453">
        <v>187269616.85999998</v>
      </c>
      <c r="AV1085" s="453">
        <v>3.7959957954795558E-2</v>
      </c>
      <c r="AW1085" s="817">
        <f t="shared" si="36"/>
        <v>2018</v>
      </c>
    </row>
    <row r="1086" spans="1:49">
      <c r="A1086" s="798">
        <f t="shared" si="34"/>
        <v>1900</v>
      </c>
      <c r="B1086" s="798">
        <f t="shared" si="35"/>
        <v>1</v>
      </c>
      <c r="AJ1086" s="453" t="s">
        <v>1</v>
      </c>
      <c r="AK1086" s="453">
        <v>2019</v>
      </c>
      <c r="AL1086" s="453" t="s">
        <v>712</v>
      </c>
      <c r="AM1086" s="453">
        <v>10</v>
      </c>
      <c r="AN1086" s="453">
        <v>54470000</v>
      </c>
      <c r="AO1086" s="1367">
        <v>2.643682211052135E-3</v>
      </c>
      <c r="AQ1086" s="453" t="s">
        <v>350</v>
      </c>
      <c r="AR1086" s="453" t="s">
        <v>730</v>
      </c>
      <c r="AS1086" s="453" t="s">
        <v>31</v>
      </c>
      <c r="AT1086" s="453">
        <v>8</v>
      </c>
      <c r="AU1086" s="453">
        <v>95315065.400000006</v>
      </c>
      <c r="AV1086" s="453">
        <v>1.9320570713547567E-2</v>
      </c>
      <c r="AW1086" s="817">
        <f t="shared" si="36"/>
        <v>2018</v>
      </c>
    </row>
    <row r="1087" spans="1:49">
      <c r="A1087" s="798">
        <f t="shared" si="34"/>
        <v>1900</v>
      </c>
      <c r="B1087" s="798">
        <f t="shared" si="35"/>
        <v>1</v>
      </c>
      <c r="AJ1087" s="453" t="s">
        <v>1</v>
      </c>
      <c r="AK1087" s="453">
        <v>2019</v>
      </c>
      <c r="AL1087" s="453" t="s">
        <v>45</v>
      </c>
      <c r="AN1087" s="453">
        <v>74970000</v>
      </c>
      <c r="AO1087" s="1367">
        <v>3.6386424703979911E-3</v>
      </c>
      <c r="AQ1087" s="453" t="s">
        <v>350</v>
      </c>
      <c r="AR1087" s="453" t="s">
        <v>730</v>
      </c>
      <c r="AS1087" s="453" t="s">
        <v>445</v>
      </c>
      <c r="AT1087" s="453">
        <v>9</v>
      </c>
      <c r="AU1087" s="453">
        <v>92038894.219999999</v>
      </c>
      <c r="AV1087" s="453">
        <v>1.8656483701832871E-2</v>
      </c>
      <c r="AW1087" s="817">
        <f t="shared" si="36"/>
        <v>2018</v>
      </c>
    </row>
    <row r="1088" spans="1:49">
      <c r="A1088" s="798">
        <f t="shared" si="34"/>
        <v>1900</v>
      </c>
      <c r="B1088" s="798">
        <f t="shared" si="35"/>
        <v>1</v>
      </c>
      <c r="AJ1088" s="453" t="s">
        <v>1</v>
      </c>
      <c r="AK1088" s="453">
        <v>2019</v>
      </c>
      <c r="AL1088" s="453" t="s">
        <v>452</v>
      </c>
      <c r="AN1088" s="453">
        <v>20603838000</v>
      </c>
      <c r="AQ1088" s="453" t="s">
        <v>350</v>
      </c>
      <c r="AR1088" s="453" t="s">
        <v>730</v>
      </c>
      <c r="AS1088" s="453" t="s">
        <v>71</v>
      </c>
      <c r="AT1088" s="453">
        <v>10</v>
      </c>
      <c r="AU1088" s="453">
        <v>33412653.98</v>
      </c>
      <c r="AV1088" s="453">
        <v>6.77281751041936E-3</v>
      </c>
      <c r="AW1088" s="817">
        <f t="shared" si="36"/>
        <v>2018</v>
      </c>
    </row>
    <row r="1089" spans="1:49">
      <c r="A1089" s="798">
        <f t="shared" si="34"/>
        <v>1900</v>
      </c>
      <c r="B1089" s="798">
        <f t="shared" si="35"/>
        <v>1</v>
      </c>
      <c r="AJ1089" s="453" t="s">
        <v>4</v>
      </c>
      <c r="AK1089" s="1536">
        <v>2019</v>
      </c>
      <c r="AL1089" s="453" t="s">
        <v>29</v>
      </c>
      <c r="AM1089" s="453">
        <v>1</v>
      </c>
      <c r="AN1089" s="453">
        <v>15230864464.184933</v>
      </c>
      <c r="AO1089" s="1367">
        <v>0.41063164652227868</v>
      </c>
      <c r="AQ1089" s="453" t="s">
        <v>350</v>
      </c>
      <c r="AR1089" s="453" t="s">
        <v>730</v>
      </c>
      <c r="AS1089" s="453" t="s">
        <v>45</v>
      </c>
      <c r="AU1089" s="453">
        <v>36467707.81000042</v>
      </c>
      <c r="AV1089" s="453">
        <v>7.3920835551785071E-3</v>
      </c>
      <c r="AW1089" s="817">
        <f t="shared" si="36"/>
        <v>2018</v>
      </c>
    </row>
    <row r="1090" spans="1:49">
      <c r="A1090" s="798">
        <f t="shared" si="34"/>
        <v>1900</v>
      </c>
      <c r="B1090" s="798">
        <f t="shared" si="35"/>
        <v>1</v>
      </c>
      <c r="AJ1090" s="453" t="s">
        <v>4</v>
      </c>
      <c r="AK1090" s="1536">
        <v>2019</v>
      </c>
      <c r="AL1090" s="453" t="s">
        <v>24</v>
      </c>
      <c r="AM1090" s="453">
        <v>2</v>
      </c>
      <c r="AN1090" s="453">
        <v>6161561303.8123999</v>
      </c>
      <c r="AO1090" s="1367">
        <v>0.16611874324546699</v>
      </c>
      <c r="AQ1090" s="453" t="s">
        <v>350</v>
      </c>
      <c r="AR1090" s="453" t="s">
        <v>730</v>
      </c>
      <c r="AS1090" s="453" t="s">
        <v>452</v>
      </c>
      <c r="AU1090" s="453">
        <v>4933346266.6899986</v>
      </c>
      <c r="AW1090" s="817">
        <f t="shared" si="36"/>
        <v>2018</v>
      </c>
    </row>
    <row r="1091" spans="1:49">
      <c r="A1091" s="798">
        <f t="shared" si="34"/>
        <v>1900</v>
      </c>
      <c r="B1091" s="798">
        <f t="shared" si="35"/>
        <v>1</v>
      </c>
      <c r="AJ1091" s="453" t="s">
        <v>4</v>
      </c>
      <c r="AK1091" s="1536">
        <v>2019</v>
      </c>
      <c r="AL1091" s="453" t="s">
        <v>70</v>
      </c>
      <c r="AM1091" s="453">
        <v>3</v>
      </c>
      <c r="AN1091" s="453">
        <v>5969176325.3473015</v>
      </c>
      <c r="AO1091" s="1367">
        <v>0.16093194897919</v>
      </c>
      <c r="AQ1091" s="453" t="s">
        <v>651</v>
      </c>
      <c r="AR1091" s="453" t="s">
        <v>730</v>
      </c>
      <c r="AU1091" s="453">
        <v>1698686583.2099996</v>
      </c>
      <c r="AW1091" s="817">
        <f t="shared" si="36"/>
        <v>2018</v>
      </c>
    </row>
    <row r="1092" spans="1:49">
      <c r="A1092" s="798">
        <f t="shared" si="34"/>
        <v>1900</v>
      </c>
      <c r="B1092" s="798">
        <f t="shared" si="35"/>
        <v>1</v>
      </c>
      <c r="AJ1092" s="453" t="s">
        <v>4</v>
      </c>
      <c r="AK1092" s="1536">
        <v>2019</v>
      </c>
      <c r="AL1092" s="453" t="s">
        <v>30</v>
      </c>
      <c r="AM1092" s="453">
        <v>4</v>
      </c>
      <c r="AN1092" s="453">
        <v>2970195082.8455005</v>
      </c>
      <c r="AO1092" s="1367">
        <v>8.0077929931634553E-2</v>
      </c>
      <c r="AQ1092" s="453" t="s">
        <v>3</v>
      </c>
      <c r="AR1092" s="453" t="s">
        <v>730</v>
      </c>
      <c r="AS1092" s="453" t="s">
        <v>24</v>
      </c>
      <c r="AT1092" s="453">
        <v>1</v>
      </c>
      <c r="AU1092" s="453">
        <v>1168828700.1600051</v>
      </c>
      <c r="AV1092" s="817">
        <v>0.4316061328750041</v>
      </c>
      <c r="AW1092" s="817">
        <f t="shared" si="36"/>
        <v>2018</v>
      </c>
    </row>
    <row r="1093" spans="1:49">
      <c r="A1093" s="798">
        <f t="shared" si="34"/>
        <v>1900</v>
      </c>
      <c r="B1093" s="798">
        <f t="shared" si="35"/>
        <v>1</v>
      </c>
      <c r="AJ1093" s="453" t="s">
        <v>4</v>
      </c>
      <c r="AK1093" s="1536">
        <v>2019</v>
      </c>
      <c r="AL1093" s="453" t="s">
        <v>31</v>
      </c>
      <c r="AM1093" s="453">
        <v>5</v>
      </c>
      <c r="AN1093" s="453">
        <v>1913219561.3520002</v>
      </c>
      <c r="AO1093" s="1367">
        <v>5.1581346579768539E-2</v>
      </c>
      <c r="AQ1093" s="453" t="s">
        <v>3</v>
      </c>
      <c r="AR1093" s="453" t="s">
        <v>730</v>
      </c>
      <c r="AS1093" s="453" t="s">
        <v>29</v>
      </c>
      <c r="AT1093" s="453">
        <v>2</v>
      </c>
      <c r="AU1093" s="453">
        <v>470486886.43001038</v>
      </c>
      <c r="AV1093" s="874">
        <v>0.17373377774917723</v>
      </c>
      <c r="AW1093" s="817">
        <f t="shared" si="36"/>
        <v>2018</v>
      </c>
    </row>
    <row r="1094" spans="1:49">
      <c r="A1094" s="798">
        <f t="shared" si="34"/>
        <v>1900</v>
      </c>
      <c r="B1094" s="798">
        <f t="shared" si="35"/>
        <v>1</v>
      </c>
      <c r="AJ1094" s="453" t="s">
        <v>4</v>
      </c>
      <c r="AK1094" s="1536">
        <v>2019</v>
      </c>
      <c r="AL1094" s="453" t="s">
        <v>672</v>
      </c>
      <c r="AM1094" s="453">
        <v>6</v>
      </c>
      <c r="AN1094" s="453">
        <v>1395790158.1521003</v>
      </c>
      <c r="AO1094" s="1367">
        <v>3.7631193698122158E-2</v>
      </c>
      <c r="AQ1094" s="453" t="s">
        <v>3</v>
      </c>
      <c r="AR1094" s="453" t="s">
        <v>730</v>
      </c>
      <c r="AS1094" s="453" t="s">
        <v>30</v>
      </c>
      <c r="AT1094" s="453">
        <v>3</v>
      </c>
      <c r="AU1094" s="453">
        <v>285405319</v>
      </c>
      <c r="AV1094" s="874">
        <v>0.10538985397833234</v>
      </c>
      <c r="AW1094" s="817">
        <f t="shared" si="36"/>
        <v>2018</v>
      </c>
    </row>
    <row r="1095" spans="1:49">
      <c r="A1095" s="798">
        <f t="shared" si="34"/>
        <v>1900</v>
      </c>
      <c r="B1095" s="798">
        <f t="shared" si="35"/>
        <v>1</v>
      </c>
      <c r="AJ1095" s="453" t="s">
        <v>4</v>
      </c>
      <c r="AK1095" s="1536">
        <v>2019</v>
      </c>
      <c r="AL1095" s="453" t="s">
        <v>39</v>
      </c>
      <c r="AM1095" s="453">
        <v>7</v>
      </c>
      <c r="AN1095" s="453">
        <v>1123456464.8697007</v>
      </c>
      <c r="AO1095" s="1367">
        <v>3.0288942498985807E-2</v>
      </c>
      <c r="AQ1095" s="453" t="s">
        <v>3</v>
      </c>
      <c r="AR1095" s="453" t="s">
        <v>730</v>
      </c>
      <c r="AS1095" s="453" t="s">
        <v>672</v>
      </c>
      <c r="AT1095" s="453">
        <v>4</v>
      </c>
      <c r="AU1095" s="453">
        <v>270601031.06953681</v>
      </c>
      <c r="AV1095" s="874">
        <v>9.9923166291111268E-2</v>
      </c>
      <c r="AW1095" s="817">
        <f t="shared" si="36"/>
        <v>2018</v>
      </c>
    </row>
    <row r="1096" spans="1:49">
      <c r="A1096" s="798">
        <f t="shared" si="34"/>
        <v>1900</v>
      </c>
      <c r="B1096" s="798">
        <f t="shared" si="35"/>
        <v>1</v>
      </c>
      <c r="AJ1096" s="453" t="s">
        <v>4</v>
      </c>
      <c r="AK1096" s="1536">
        <v>2019</v>
      </c>
      <c r="AL1096" s="453" t="s">
        <v>28</v>
      </c>
      <c r="AM1096" s="453">
        <v>8</v>
      </c>
      <c r="AN1096" s="453">
        <v>874079850.3312</v>
      </c>
      <c r="AO1096" s="1367">
        <v>2.3565625508483255E-2</v>
      </c>
      <c r="AQ1096" s="453" t="s">
        <v>3</v>
      </c>
      <c r="AR1096" s="453" t="s">
        <v>730</v>
      </c>
      <c r="AS1096" s="453" t="s">
        <v>33</v>
      </c>
      <c r="AT1096" s="453">
        <v>5</v>
      </c>
      <c r="AU1096" s="453">
        <v>180682147.58000001</v>
      </c>
      <c r="AV1096" s="874">
        <v>6.6719377258514567E-2</v>
      </c>
      <c r="AW1096" s="817">
        <f t="shared" si="36"/>
        <v>2018</v>
      </c>
    </row>
    <row r="1097" spans="1:49">
      <c r="A1097" s="798">
        <f t="shared" si="34"/>
        <v>1900</v>
      </c>
      <c r="B1097" s="798">
        <f t="shared" si="35"/>
        <v>1</v>
      </c>
      <c r="AJ1097" s="453" t="s">
        <v>4</v>
      </c>
      <c r="AK1097" s="1536">
        <v>2019</v>
      </c>
      <c r="AL1097" s="453" t="s">
        <v>27</v>
      </c>
      <c r="AM1097" s="453">
        <v>9</v>
      </c>
      <c r="AN1097" s="453">
        <v>466023281.55539995</v>
      </c>
      <c r="AO1097" s="1367">
        <v>1.2564218391726726E-2</v>
      </c>
      <c r="AQ1097" s="453" t="s">
        <v>3</v>
      </c>
      <c r="AR1097" s="453" t="s">
        <v>730</v>
      </c>
      <c r="AS1097" s="453" t="s">
        <v>84</v>
      </c>
      <c r="AT1097" s="453">
        <v>6</v>
      </c>
      <c r="AU1097" s="453">
        <v>83704696.170000002</v>
      </c>
      <c r="AV1097" s="874">
        <v>3.0909114579805622E-2</v>
      </c>
      <c r="AW1097" s="817">
        <f t="shared" si="36"/>
        <v>2018</v>
      </c>
    </row>
    <row r="1098" spans="1:49">
      <c r="A1098" s="798">
        <f t="shared" ref="A1098:A1161" si="37">YEAR(C1098)</f>
        <v>1900</v>
      </c>
      <c r="B1098" s="798">
        <f t="shared" ref="B1098:B1161" si="38">IF(OR(MONTH(C1098)=1,MONTH(C1098)=2,MONTH(C1098)=3),1,IF(OR(MONTH(C1098)=4,MONTH(C1098)=5,MONTH(C1098)=6),2,IF(OR(MONTH(C1098)=7,MONTH(C1098)=8,MONTH(C1098)=9),3,4)))</f>
        <v>1</v>
      </c>
      <c r="AJ1098" s="453" t="s">
        <v>4</v>
      </c>
      <c r="AK1098" s="1536">
        <v>2019</v>
      </c>
      <c r="AL1098" s="453" t="s">
        <v>40</v>
      </c>
      <c r="AM1098" s="453">
        <v>10</v>
      </c>
      <c r="AN1098" s="453">
        <v>419439454.86780006</v>
      </c>
      <c r="AO1098" s="1367">
        <v>1.1308295361289512E-2</v>
      </c>
      <c r="AQ1098" s="453" t="s">
        <v>3</v>
      </c>
      <c r="AR1098" s="453" t="s">
        <v>730</v>
      </c>
      <c r="AS1098" s="453" t="s">
        <v>69</v>
      </c>
      <c r="AT1098" s="453">
        <v>7</v>
      </c>
      <c r="AU1098" s="453">
        <v>61835664.579999998</v>
      </c>
      <c r="AV1098" s="874">
        <v>2.2833672769565088E-2</v>
      </c>
      <c r="AW1098" s="817">
        <f t="shared" si="36"/>
        <v>2018</v>
      </c>
    </row>
    <row r="1099" spans="1:49">
      <c r="A1099" s="798">
        <f t="shared" si="37"/>
        <v>1900</v>
      </c>
      <c r="B1099" s="798">
        <f t="shared" si="38"/>
        <v>1</v>
      </c>
      <c r="AJ1099" s="453" t="s">
        <v>4</v>
      </c>
      <c r="AK1099" s="1536">
        <v>2019</v>
      </c>
      <c r="AL1099" s="453" t="s">
        <v>45</v>
      </c>
      <c r="AN1099" s="453">
        <v>567501050.51820374</v>
      </c>
      <c r="AO1099" s="1367">
        <v>1.5300109283053979E-2</v>
      </c>
      <c r="AQ1099" s="453" t="s">
        <v>3</v>
      </c>
      <c r="AR1099" s="453" t="s">
        <v>730</v>
      </c>
      <c r="AS1099" s="453" t="s">
        <v>72</v>
      </c>
      <c r="AT1099" s="453">
        <v>8</v>
      </c>
      <c r="AU1099" s="453">
        <v>47633436</v>
      </c>
      <c r="AV1099" s="874">
        <v>1.7589303808757114E-2</v>
      </c>
      <c r="AW1099" s="817">
        <f t="shared" si="36"/>
        <v>2018</v>
      </c>
    </row>
    <row r="1100" spans="1:49">
      <c r="A1100" s="798">
        <f t="shared" si="37"/>
        <v>1900</v>
      </c>
      <c r="B1100" s="798">
        <f t="shared" si="38"/>
        <v>1</v>
      </c>
      <c r="AJ1100" s="453" t="s">
        <v>4</v>
      </c>
      <c r="AK1100" s="1536">
        <v>2019</v>
      </c>
      <c r="AL1100" s="453" t="s">
        <v>452</v>
      </c>
      <c r="AN1100" s="453">
        <v>37091306997.836533</v>
      </c>
      <c r="AQ1100" s="453" t="s">
        <v>3</v>
      </c>
      <c r="AR1100" s="453" t="s">
        <v>730</v>
      </c>
      <c r="AS1100" s="453" t="s">
        <v>71</v>
      </c>
      <c r="AT1100" s="453">
        <v>9</v>
      </c>
      <c r="AU1100" s="453">
        <v>35239658.309999995</v>
      </c>
      <c r="AV1100" s="874">
        <v>1.3012730304221223E-2</v>
      </c>
      <c r="AW1100" s="817">
        <f t="shared" si="36"/>
        <v>2018</v>
      </c>
    </row>
    <row r="1101" spans="1:49">
      <c r="A1101" s="798">
        <f t="shared" si="37"/>
        <v>1900</v>
      </c>
      <c r="B1101" s="798">
        <f t="shared" si="38"/>
        <v>1</v>
      </c>
      <c r="AJ1101" s="1536"/>
      <c r="AK1101" s="1536"/>
      <c r="AQ1101" s="453" t="s">
        <v>3</v>
      </c>
      <c r="AR1101" s="453" t="s">
        <v>730</v>
      </c>
      <c r="AS1101" s="453" t="s">
        <v>41</v>
      </c>
      <c r="AT1101" s="453">
        <v>10</v>
      </c>
      <c r="AU1101" s="453">
        <v>29638823.149999999</v>
      </c>
      <c r="AV1101" s="874">
        <v>1.0944544603487632E-2</v>
      </c>
      <c r="AW1101" s="817">
        <f t="shared" si="36"/>
        <v>2018</v>
      </c>
    </row>
    <row r="1102" spans="1:49">
      <c r="A1102" s="798">
        <f t="shared" si="37"/>
        <v>1900</v>
      </c>
      <c r="B1102" s="798">
        <f t="shared" si="38"/>
        <v>1</v>
      </c>
      <c r="AJ1102" s="1536"/>
      <c r="AK1102" s="1536"/>
      <c r="AQ1102" s="453" t="s">
        <v>3</v>
      </c>
      <c r="AR1102" s="453" t="s">
        <v>730</v>
      </c>
      <c r="AS1102" s="453" t="s">
        <v>45</v>
      </c>
      <c r="AU1102" s="453">
        <v>74034675.029994965</v>
      </c>
      <c r="AV1102" s="874">
        <v>2.7338325782023904E-2</v>
      </c>
      <c r="AW1102" s="817">
        <f t="shared" si="36"/>
        <v>2018</v>
      </c>
    </row>
    <row r="1103" spans="1:49">
      <c r="A1103" s="798">
        <f t="shared" si="37"/>
        <v>1900</v>
      </c>
      <c r="B1103" s="798">
        <f t="shared" si="38"/>
        <v>1</v>
      </c>
      <c r="AJ1103" s="1536"/>
      <c r="AK1103" s="1536"/>
      <c r="AQ1103" s="453" t="s">
        <v>3</v>
      </c>
      <c r="AR1103" s="453" t="s">
        <v>730</v>
      </c>
      <c r="AS1103" s="453" t="s">
        <v>452</v>
      </c>
      <c r="AU1103" s="453">
        <v>2708091037.479547</v>
      </c>
      <c r="AV1103" s="874"/>
      <c r="AW1103" s="817">
        <f t="shared" si="36"/>
        <v>2018</v>
      </c>
    </row>
    <row r="1104" spans="1:49">
      <c r="A1104" s="798">
        <f t="shared" si="37"/>
        <v>1900</v>
      </c>
      <c r="B1104" s="798">
        <f t="shared" si="38"/>
        <v>1</v>
      </c>
      <c r="AJ1104" s="1536"/>
      <c r="AK1104" s="1536"/>
      <c r="AQ1104" s="453" t="s">
        <v>1</v>
      </c>
      <c r="AR1104" s="453" t="s">
        <v>730</v>
      </c>
      <c r="AS1104" s="453" t="s">
        <v>708</v>
      </c>
      <c r="AT1104" s="453">
        <v>1</v>
      </c>
      <c r="AU1104" s="453">
        <v>5071740000</v>
      </c>
      <c r="AV1104" s="453">
        <v>0.30504772810192965</v>
      </c>
      <c r="AW1104" s="817">
        <f t="shared" si="36"/>
        <v>2018</v>
      </c>
    </row>
    <row r="1105" spans="1:49">
      <c r="A1105" s="798">
        <f t="shared" si="37"/>
        <v>1900</v>
      </c>
      <c r="B1105" s="798">
        <f t="shared" si="38"/>
        <v>1</v>
      </c>
      <c r="AJ1105" s="1536"/>
      <c r="AK1105" s="1536"/>
      <c r="AQ1105" s="453" t="s">
        <v>1</v>
      </c>
      <c r="AR1105" s="453" t="s">
        <v>730</v>
      </c>
      <c r="AS1105" s="453" t="s">
        <v>707</v>
      </c>
      <c r="AT1105" s="453">
        <v>2</v>
      </c>
      <c r="AU1105" s="453">
        <v>4316792000</v>
      </c>
      <c r="AV1105" s="453">
        <v>0.25964020085583744</v>
      </c>
      <c r="AW1105" s="817">
        <f t="shared" si="36"/>
        <v>2018</v>
      </c>
    </row>
    <row r="1106" spans="1:49">
      <c r="A1106" s="798">
        <f t="shared" si="37"/>
        <v>1900</v>
      </c>
      <c r="B1106" s="798">
        <f t="shared" si="38"/>
        <v>1</v>
      </c>
      <c r="AJ1106" s="1536"/>
      <c r="AK1106" s="1536"/>
      <c r="AQ1106" s="453" t="s">
        <v>1</v>
      </c>
      <c r="AR1106" s="453" t="s">
        <v>730</v>
      </c>
      <c r="AS1106" s="453" t="s">
        <v>706</v>
      </c>
      <c r="AT1106" s="453">
        <v>3</v>
      </c>
      <c r="AU1106" s="453">
        <v>3784997000</v>
      </c>
      <c r="AV1106" s="453">
        <v>0.22765455952446684</v>
      </c>
      <c r="AW1106" s="817">
        <f t="shared" si="36"/>
        <v>2018</v>
      </c>
    </row>
    <row r="1107" spans="1:49">
      <c r="A1107" s="798">
        <f t="shared" si="37"/>
        <v>1900</v>
      </c>
      <c r="B1107" s="798">
        <f t="shared" si="38"/>
        <v>1</v>
      </c>
      <c r="AQ1107" s="453" t="s">
        <v>1</v>
      </c>
      <c r="AR1107" s="453" t="s">
        <v>730</v>
      </c>
      <c r="AS1107" s="453" t="s">
        <v>710</v>
      </c>
      <c r="AT1107" s="453">
        <v>4</v>
      </c>
      <c r="AU1107" s="453">
        <v>1276083000</v>
      </c>
      <c r="AV1107" s="453">
        <v>7.675200621867341E-2</v>
      </c>
      <c r="AW1107" s="817">
        <f t="shared" si="36"/>
        <v>2018</v>
      </c>
    </row>
    <row r="1108" spans="1:49">
      <c r="A1108" s="798">
        <f t="shared" si="37"/>
        <v>1900</v>
      </c>
      <c r="B1108" s="798">
        <f t="shared" si="38"/>
        <v>1</v>
      </c>
      <c r="AQ1108" s="453" t="s">
        <v>1</v>
      </c>
      <c r="AR1108" s="453" t="s">
        <v>730</v>
      </c>
      <c r="AS1108" s="453" t="s">
        <v>709</v>
      </c>
      <c r="AT1108" s="453">
        <v>5</v>
      </c>
      <c r="AU1108" s="453">
        <v>1129607000</v>
      </c>
      <c r="AV1108" s="453">
        <v>6.7941978295030195E-2</v>
      </c>
      <c r="AW1108" s="817">
        <f t="shared" si="36"/>
        <v>2018</v>
      </c>
    </row>
    <row r="1109" spans="1:49">
      <c r="A1109" s="798">
        <f t="shared" si="37"/>
        <v>1900</v>
      </c>
      <c r="B1109" s="798">
        <f t="shared" si="38"/>
        <v>1</v>
      </c>
      <c r="AJ1109" s="1536"/>
      <c r="AK1109" s="1536"/>
      <c r="AQ1109" s="453" t="s">
        <v>1</v>
      </c>
      <c r="AR1109" s="453" t="s">
        <v>730</v>
      </c>
      <c r="AS1109" s="453" t="s">
        <v>711</v>
      </c>
      <c r="AT1109" s="453">
        <v>6</v>
      </c>
      <c r="AU1109" s="453">
        <v>578984000</v>
      </c>
      <c r="AV1109" s="453">
        <v>3.4823897480424401E-2</v>
      </c>
      <c r="AW1109" s="817">
        <f t="shared" si="36"/>
        <v>2018</v>
      </c>
    </row>
    <row r="1110" spans="1:49">
      <c r="A1110" s="798">
        <f t="shared" si="37"/>
        <v>1900</v>
      </c>
      <c r="B1110" s="798">
        <f t="shared" si="38"/>
        <v>1</v>
      </c>
      <c r="AJ1110" s="1536"/>
      <c r="AK1110" s="1536"/>
      <c r="AQ1110" s="453" t="s">
        <v>1</v>
      </c>
      <c r="AR1110" s="453" t="s">
        <v>730</v>
      </c>
      <c r="AS1110" s="453" t="s">
        <v>715</v>
      </c>
      <c r="AT1110" s="453">
        <v>7</v>
      </c>
      <c r="AU1110" s="453">
        <v>124207000</v>
      </c>
      <c r="AV1110" s="453">
        <v>7.4706241180258403E-3</v>
      </c>
      <c r="AW1110" s="817">
        <f t="shared" si="36"/>
        <v>2018</v>
      </c>
    </row>
    <row r="1111" spans="1:49">
      <c r="A1111" s="798">
        <f t="shared" si="37"/>
        <v>1900</v>
      </c>
      <c r="B1111" s="798">
        <f t="shared" si="38"/>
        <v>1</v>
      </c>
      <c r="AJ1111" s="1536"/>
      <c r="AK1111" s="1536"/>
      <c r="AQ1111" s="453" t="s">
        <v>1</v>
      </c>
      <c r="AR1111" s="453" t="s">
        <v>730</v>
      </c>
      <c r="AS1111" s="453" t="s">
        <v>713</v>
      </c>
      <c r="AT1111" s="453">
        <v>8</v>
      </c>
      <c r="AU1111" s="453">
        <v>118040000</v>
      </c>
      <c r="AV1111" s="453">
        <v>7.0997002656192501E-3</v>
      </c>
      <c r="AW1111" s="817">
        <f t="shared" si="36"/>
        <v>2018</v>
      </c>
    </row>
    <row r="1112" spans="1:49">
      <c r="A1112" s="798">
        <f t="shared" si="37"/>
        <v>1900</v>
      </c>
      <c r="B1112" s="798">
        <f t="shared" si="38"/>
        <v>1</v>
      </c>
      <c r="AJ1112" s="1536"/>
      <c r="AK1112" s="1536"/>
      <c r="AQ1112" s="453" t="s">
        <v>1</v>
      </c>
      <c r="AR1112" s="453" t="s">
        <v>730</v>
      </c>
      <c r="AS1112" s="453" t="s">
        <v>714</v>
      </c>
      <c r="AT1112" s="453">
        <v>9</v>
      </c>
      <c r="AU1112" s="453">
        <v>107295000</v>
      </c>
      <c r="AV1112" s="453">
        <v>6.4534254489970978E-3</v>
      </c>
      <c r="AW1112" s="817">
        <f t="shared" si="36"/>
        <v>2018</v>
      </c>
    </row>
    <row r="1113" spans="1:49">
      <c r="A1113" s="798">
        <f t="shared" si="37"/>
        <v>1900</v>
      </c>
      <c r="B1113" s="798">
        <f t="shared" si="38"/>
        <v>1</v>
      </c>
      <c r="AQ1113" s="453" t="s">
        <v>1</v>
      </c>
      <c r="AR1113" s="453" t="s">
        <v>730</v>
      </c>
      <c r="AS1113" s="453" t="s">
        <v>720</v>
      </c>
      <c r="AT1113" s="453">
        <v>10</v>
      </c>
      <c r="AU1113" s="453">
        <v>44386000</v>
      </c>
      <c r="AV1113" s="453">
        <v>2.6696653336985431E-3</v>
      </c>
      <c r="AW1113" s="817">
        <f t="shared" si="36"/>
        <v>2018</v>
      </c>
    </row>
    <row r="1114" spans="1:49">
      <c r="A1114" s="798">
        <f t="shared" si="37"/>
        <v>1900</v>
      </c>
      <c r="B1114" s="798">
        <f t="shared" si="38"/>
        <v>1</v>
      </c>
      <c r="AQ1114" s="453" t="s">
        <v>1</v>
      </c>
      <c r="AR1114" s="453" t="s">
        <v>730</v>
      </c>
      <c r="AS1114" s="453" t="s">
        <v>45</v>
      </c>
      <c r="AU1114" s="453">
        <v>73923000</v>
      </c>
      <c r="AV1114" s="453">
        <v>4.4462143572972877E-3</v>
      </c>
      <c r="AW1114" s="817">
        <f t="shared" si="36"/>
        <v>2018</v>
      </c>
    </row>
    <row r="1115" spans="1:49">
      <c r="A1115" s="798">
        <f t="shared" si="37"/>
        <v>1900</v>
      </c>
      <c r="B1115" s="798">
        <f t="shared" si="38"/>
        <v>1</v>
      </c>
      <c r="AQ1115" s="453" t="s">
        <v>1</v>
      </c>
      <c r="AR1115" s="453" t="s">
        <v>730</v>
      </c>
      <c r="AS1115" s="453" t="s">
        <v>137</v>
      </c>
      <c r="AU1115" s="453">
        <v>16626054000</v>
      </c>
      <c r="AW1115" s="817">
        <f t="shared" si="36"/>
        <v>2018</v>
      </c>
    </row>
    <row r="1116" spans="1:49">
      <c r="A1116" s="798">
        <f t="shared" si="37"/>
        <v>1900</v>
      </c>
      <c r="B1116" s="798">
        <f t="shared" si="38"/>
        <v>1</v>
      </c>
      <c r="AQ1116" s="453" t="s">
        <v>538</v>
      </c>
      <c r="AR1116" s="453" t="s">
        <v>730</v>
      </c>
      <c r="AS1116" s="453" t="s">
        <v>24</v>
      </c>
      <c r="AT1116" s="453">
        <v>1</v>
      </c>
      <c r="AU1116" s="453">
        <v>609932515.82999992</v>
      </c>
      <c r="AV1116" s="453">
        <v>0.40717734452514259</v>
      </c>
      <c r="AW1116" s="817">
        <f t="shared" si="36"/>
        <v>2018</v>
      </c>
    </row>
    <row r="1117" spans="1:49">
      <c r="A1117" s="798">
        <f t="shared" si="37"/>
        <v>1900</v>
      </c>
      <c r="B1117" s="798">
        <f t="shared" si="38"/>
        <v>1</v>
      </c>
      <c r="AQ1117" s="453" t="s">
        <v>538</v>
      </c>
      <c r="AR1117" s="453" t="s">
        <v>730</v>
      </c>
      <c r="AS1117" s="453" t="s">
        <v>41</v>
      </c>
      <c r="AT1117" s="453">
        <v>2</v>
      </c>
      <c r="AU1117" s="453">
        <v>127675624</v>
      </c>
      <c r="AV1117" s="453">
        <v>8.5233399091974707E-2</v>
      </c>
      <c r="AW1117" s="817">
        <f t="shared" ref="AW1117:AW1146" si="39">_xlfn.NUMBERVALUE(LEFT(AR1117,4))</f>
        <v>2018</v>
      </c>
    </row>
    <row r="1118" spans="1:49">
      <c r="A1118" s="798">
        <f t="shared" si="37"/>
        <v>1900</v>
      </c>
      <c r="B1118" s="798">
        <f t="shared" si="38"/>
        <v>1</v>
      </c>
      <c r="AQ1118" s="453" t="s">
        <v>538</v>
      </c>
      <c r="AR1118" s="453" t="s">
        <v>730</v>
      </c>
      <c r="AS1118" s="453" t="s">
        <v>31</v>
      </c>
      <c r="AT1118" s="453">
        <v>3</v>
      </c>
      <c r="AU1118" s="453">
        <v>120950226.28</v>
      </c>
      <c r="AV1118" s="453">
        <v>8.0743673567539309E-2</v>
      </c>
      <c r="AW1118" s="817">
        <f t="shared" si="39"/>
        <v>2018</v>
      </c>
    </row>
    <row r="1119" spans="1:49">
      <c r="A1119" s="798">
        <f t="shared" si="37"/>
        <v>1900</v>
      </c>
      <c r="B1119" s="798">
        <f t="shared" si="38"/>
        <v>1</v>
      </c>
      <c r="AQ1119" s="453" t="s">
        <v>538</v>
      </c>
      <c r="AR1119" s="453" t="s">
        <v>730</v>
      </c>
      <c r="AS1119" s="453" t="s">
        <v>33</v>
      </c>
      <c r="AT1119" s="453">
        <v>4</v>
      </c>
      <c r="AU1119" s="453">
        <v>90819022.150000006</v>
      </c>
      <c r="AV1119" s="453">
        <v>6.0628753692669173E-2</v>
      </c>
      <c r="AW1119" s="817">
        <f t="shared" si="39"/>
        <v>2018</v>
      </c>
    </row>
    <row r="1120" spans="1:49">
      <c r="A1120" s="798">
        <f t="shared" si="37"/>
        <v>1900</v>
      </c>
      <c r="B1120" s="798">
        <f t="shared" si="38"/>
        <v>1</v>
      </c>
      <c r="AQ1120" s="453" t="s">
        <v>538</v>
      </c>
      <c r="AR1120" s="453" t="s">
        <v>730</v>
      </c>
      <c r="AS1120" s="453" t="s">
        <v>84</v>
      </c>
      <c r="AT1120" s="453">
        <v>5</v>
      </c>
      <c r="AU1120" s="453">
        <v>85506882.879999995</v>
      </c>
      <c r="AV1120" s="453">
        <v>5.7082487990203823E-2</v>
      </c>
      <c r="AW1120" s="817">
        <f t="shared" si="39"/>
        <v>2018</v>
      </c>
    </row>
    <row r="1121" spans="1:49">
      <c r="A1121" s="798">
        <f t="shared" si="37"/>
        <v>1900</v>
      </c>
      <c r="B1121" s="798">
        <f t="shared" si="38"/>
        <v>1</v>
      </c>
      <c r="AQ1121" s="453" t="s">
        <v>538</v>
      </c>
      <c r="AR1121" s="453" t="s">
        <v>730</v>
      </c>
      <c r="AS1121" s="453" t="s">
        <v>37</v>
      </c>
      <c r="AT1121" s="453">
        <v>6</v>
      </c>
      <c r="AU1121" s="453">
        <v>76339125.120000005</v>
      </c>
      <c r="AV1121" s="453">
        <v>5.0962297373891442E-2</v>
      </c>
      <c r="AW1121" s="817">
        <f t="shared" si="39"/>
        <v>2018</v>
      </c>
    </row>
    <row r="1122" spans="1:49">
      <c r="A1122" s="798">
        <f t="shared" si="37"/>
        <v>1900</v>
      </c>
      <c r="B1122" s="798">
        <f t="shared" si="38"/>
        <v>1</v>
      </c>
      <c r="AQ1122" s="453" t="s">
        <v>538</v>
      </c>
      <c r="AR1122" s="453" t="s">
        <v>730</v>
      </c>
      <c r="AS1122" s="453" t="s">
        <v>72</v>
      </c>
      <c r="AT1122" s="453">
        <v>7</v>
      </c>
      <c r="AU1122" s="453">
        <v>68398199.99000001</v>
      </c>
      <c r="AV1122" s="453">
        <v>4.5661112859886013E-2</v>
      </c>
      <c r="AW1122" s="817">
        <f t="shared" si="39"/>
        <v>2018</v>
      </c>
    </row>
    <row r="1123" spans="1:49">
      <c r="A1123" s="798">
        <f t="shared" si="37"/>
        <v>1900</v>
      </c>
      <c r="B1123" s="798">
        <f t="shared" si="38"/>
        <v>1</v>
      </c>
      <c r="AQ1123" s="453" t="s">
        <v>538</v>
      </c>
      <c r="AR1123" s="453" t="s">
        <v>730</v>
      </c>
      <c r="AS1123" s="453" t="s">
        <v>27</v>
      </c>
      <c r="AT1123" s="453">
        <v>8</v>
      </c>
      <c r="AU1123" s="453">
        <v>57909525.269999996</v>
      </c>
      <c r="AV1123" s="453">
        <v>3.8659107540877993E-2</v>
      </c>
      <c r="AW1123" s="817">
        <f t="shared" si="39"/>
        <v>2018</v>
      </c>
    </row>
    <row r="1124" spans="1:49">
      <c r="A1124" s="798">
        <f t="shared" si="37"/>
        <v>1900</v>
      </c>
      <c r="B1124" s="798">
        <f t="shared" si="38"/>
        <v>1</v>
      </c>
      <c r="AQ1124" s="453" t="s">
        <v>538</v>
      </c>
      <c r="AR1124" s="453" t="s">
        <v>730</v>
      </c>
      <c r="AS1124" s="453" t="s">
        <v>29</v>
      </c>
      <c r="AT1124" s="453">
        <v>9</v>
      </c>
      <c r="AU1124" s="453">
        <v>48093142.900000006</v>
      </c>
      <c r="AV1124" s="453">
        <v>3.2105909600904474E-2</v>
      </c>
      <c r="AW1124" s="817">
        <f t="shared" si="39"/>
        <v>2018</v>
      </c>
    </row>
    <row r="1125" spans="1:49">
      <c r="A1125" s="798">
        <f t="shared" si="37"/>
        <v>1900</v>
      </c>
      <c r="B1125" s="798">
        <f t="shared" si="38"/>
        <v>1</v>
      </c>
      <c r="AQ1125" s="453" t="s">
        <v>538</v>
      </c>
      <c r="AR1125" s="453" t="s">
        <v>730</v>
      </c>
      <c r="AS1125" s="453" t="s">
        <v>672</v>
      </c>
      <c r="AT1125" s="453">
        <v>10</v>
      </c>
      <c r="AU1125" s="453">
        <v>46120988.479999997</v>
      </c>
      <c r="AV1125" s="453">
        <v>3.078934329416089E-2</v>
      </c>
      <c r="AW1125" s="817">
        <f t="shared" si="39"/>
        <v>2018</v>
      </c>
    </row>
    <row r="1126" spans="1:49">
      <c r="A1126" s="798">
        <f t="shared" si="37"/>
        <v>1900</v>
      </c>
      <c r="B1126" s="798">
        <f t="shared" si="38"/>
        <v>1</v>
      </c>
      <c r="AQ1126" s="453" t="s">
        <v>538</v>
      </c>
      <c r="AR1126" s="453" t="s">
        <v>730</v>
      </c>
      <c r="AS1126" s="453" t="s">
        <v>45</v>
      </c>
      <c r="AU1126" s="453">
        <v>166207725.16000009</v>
      </c>
      <c r="AV1126" s="453">
        <v>0.11095657046274966</v>
      </c>
      <c r="AW1126" s="817">
        <f t="shared" si="39"/>
        <v>2018</v>
      </c>
    </row>
    <row r="1127" spans="1:49">
      <c r="A1127" s="798">
        <f t="shared" si="37"/>
        <v>1900</v>
      </c>
      <c r="B1127" s="798">
        <f t="shared" si="38"/>
        <v>1</v>
      </c>
      <c r="AQ1127" s="453" t="s">
        <v>538</v>
      </c>
      <c r="AR1127" s="453" t="s">
        <v>730</v>
      </c>
      <c r="AS1127" s="453" t="s">
        <v>452</v>
      </c>
      <c r="AU1127" s="453">
        <v>1497952978.0599999</v>
      </c>
      <c r="AV1127" s="453">
        <v>1</v>
      </c>
      <c r="AW1127" s="817">
        <f t="shared" si="39"/>
        <v>2018</v>
      </c>
    </row>
    <row r="1128" spans="1:49">
      <c r="A1128" s="798">
        <f t="shared" si="37"/>
        <v>1900</v>
      </c>
      <c r="B1128" s="798">
        <f t="shared" si="38"/>
        <v>1</v>
      </c>
      <c r="AQ1128" s="453" t="s">
        <v>2</v>
      </c>
      <c r="AR1128" s="453" t="s">
        <v>730</v>
      </c>
      <c r="AS1128" s="453" t="s">
        <v>708</v>
      </c>
      <c r="AT1128" s="453">
        <v>1</v>
      </c>
      <c r="AU1128" s="453">
        <v>62396417000</v>
      </c>
      <c r="AV1128" s="453">
        <v>0.81883534691564352</v>
      </c>
      <c r="AW1128" s="817">
        <f t="shared" si="39"/>
        <v>2018</v>
      </c>
    </row>
    <row r="1129" spans="1:49">
      <c r="A1129" s="798">
        <f t="shared" si="37"/>
        <v>1900</v>
      </c>
      <c r="B1129" s="798">
        <f t="shared" si="38"/>
        <v>1</v>
      </c>
      <c r="AQ1129" s="453" t="s">
        <v>2</v>
      </c>
      <c r="AR1129" s="453" t="s">
        <v>730</v>
      </c>
      <c r="AS1129" s="453" t="s">
        <v>716</v>
      </c>
      <c r="AT1129" s="453">
        <v>2</v>
      </c>
      <c r="AU1129" s="453">
        <v>5730626000</v>
      </c>
      <c r="AV1129" s="453">
        <v>7.5203663196779499E-2</v>
      </c>
      <c r="AW1129" s="817">
        <f t="shared" si="39"/>
        <v>2018</v>
      </c>
    </row>
    <row r="1130" spans="1:49">
      <c r="A1130" s="798">
        <f t="shared" si="37"/>
        <v>1900</v>
      </c>
      <c r="B1130" s="798">
        <f t="shared" si="38"/>
        <v>1</v>
      </c>
      <c r="AQ1130" s="453" t="s">
        <v>2</v>
      </c>
      <c r="AR1130" s="453" t="s">
        <v>730</v>
      </c>
      <c r="AS1130" s="453" t="s">
        <v>713</v>
      </c>
      <c r="AT1130" s="453">
        <v>3</v>
      </c>
      <c r="AU1130" s="453">
        <v>4520131000</v>
      </c>
      <c r="AV1130" s="453">
        <v>5.9318198278743385E-2</v>
      </c>
      <c r="AW1130" s="817">
        <f t="shared" si="39"/>
        <v>2018</v>
      </c>
    </row>
    <row r="1131" spans="1:49">
      <c r="A1131" s="798">
        <f t="shared" si="37"/>
        <v>1900</v>
      </c>
      <c r="B1131" s="798">
        <f t="shared" si="38"/>
        <v>1</v>
      </c>
      <c r="AQ1131" s="453" t="s">
        <v>2</v>
      </c>
      <c r="AR1131" s="453" t="s">
        <v>730</v>
      </c>
      <c r="AS1131" s="453" t="s">
        <v>717</v>
      </c>
      <c r="AT1131" s="453">
        <v>4</v>
      </c>
      <c r="AU1131" s="453">
        <v>1739740000</v>
      </c>
      <c r="AV1131" s="453">
        <v>2.2830807840184503E-2</v>
      </c>
      <c r="AW1131" s="817">
        <f t="shared" si="39"/>
        <v>2018</v>
      </c>
    </row>
    <row r="1132" spans="1:49">
      <c r="A1132" s="798">
        <f t="shared" si="37"/>
        <v>1900</v>
      </c>
      <c r="B1132" s="798">
        <f t="shared" si="38"/>
        <v>1</v>
      </c>
      <c r="AQ1132" s="453" t="s">
        <v>2</v>
      </c>
      <c r="AR1132" s="453" t="s">
        <v>730</v>
      </c>
      <c r="AS1132" s="453" t="s">
        <v>731</v>
      </c>
      <c r="AT1132" s="453">
        <v>5</v>
      </c>
      <c r="AU1132" s="453">
        <v>615882000</v>
      </c>
      <c r="AV1132" s="453">
        <v>8.0822902239578963E-3</v>
      </c>
      <c r="AW1132" s="817">
        <f t="shared" si="39"/>
        <v>2018</v>
      </c>
    </row>
    <row r="1133" spans="1:49">
      <c r="A1133" s="798">
        <f t="shared" si="37"/>
        <v>1900</v>
      </c>
      <c r="B1133" s="798">
        <f t="shared" si="38"/>
        <v>1</v>
      </c>
      <c r="AQ1133" s="453" t="s">
        <v>2</v>
      </c>
      <c r="AR1133" s="453" t="s">
        <v>730</v>
      </c>
      <c r="AS1133" s="453" t="s">
        <v>45</v>
      </c>
      <c r="AU1133" s="453">
        <v>1198625000</v>
      </c>
      <c r="AV1133" s="453">
        <v>1.5729693544691246E-2</v>
      </c>
      <c r="AW1133" s="817">
        <f t="shared" si="39"/>
        <v>2018</v>
      </c>
    </row>
    <row r="1134" spans="1:49">
      <c r="A1134" s="798">
        <f t="shared" si="37"/>
        <v>1900</v>
      </c>
      <c r="B1134" s="798">
        <f t="shared" si="38"/>
        <v>1</v>
      </c>
      <c r="AQ1134" s="453" t="s">
        <v>2</v>
      </c>
      <c r="AR1134" s="453" t="s">
        <v>730</v>
      </c>
      <c r="AS1134" s="453" t="s">
        <v>452</v>
      </c>
      <c r="AU1134" s="453">
        <v>76201421000</v>
      </c>
      <c r="AV1134" s="453">
        <v>1</v>
      </c>
      <c r="AW1134" s="817">
        <f t="shared" si="39"/>
        <v>2018</v>
      </c>
    </row>
    <row r="1135" spans="1:49">
      <c r="A1135" s="798">
        <f t="shared" si="37"/>
        <v>1900</v>
      </c>
      <c r="B1135" s="798">
        <f t="shared" si="38"/>
        <v>1</v>
      </c>
      <c r="AQ1135" s="453" t="s">
        <v>4</v>
      </c>
      <c r="AR1135" s="1536" t="s">
        <v>730</v>
      </c>
      <c r="AS1135" s="453" t="s">
        <v>29</v>
      </c>
      <c r="AT1135" s="453">
        <v>1</v>
      </c>
      <c r="AU1135" s="453">
        <v>16175383026.389301</v>
      </c>
      <c r="AV1135" s="453">
        <v>0.44768986670124261</v>
      </c>
      <c r="AW1135" s="817">
        <f t="shared" si="39"/>
        <v>2018</v>
      </c>
    </row>
    <row r="1136" spans="1:49">
      <c r="A1136" s="798">
        <f t="shared" si="37"/>
        <v>1900</v>
      </c>
      <c r="B1136" s="798">
        <f t="shared" si="38"/>
        <v>1</v>
      </c>
      <c r="AQ1136" s="453" t="s">
        <v>4</v>
      </c>
      <c r="AR1136" s="1536" t="s">
        <v>730</v>
      </c>
      <c r="AS1136" s="453" t="s">
        <v>24</v>
      </c>
      <c r="AT1136" s="453">
        <v>2</v>
      </c>
      <c r="AU1136" s="453">
        <v>5802782087.5985003</v>
      </c>
      <c r="AV1136" s="453">
        <v>0.16060495971285985</v>
      </c>
      <c r="AW1136" s="817">
        <f t="shared" si="39"/>
        <v>2018</v>
      </c>
    </row>
    <row r="1137" spans="1:49">
      <c r="A1137" s="798">
        <f t="shared" si="37"/>
        <v>1900</v>
      </c>
      <c r="B1137" s="798">
        <f t="shared" si="38"/>
        <v>1</v>
      </c>
      <c r="AQ1137" s="453" t="s">
        <v>4</v>
      </c>
      <c r="AR1137" s="1536" t="s">
        <v>730</v>
      </c>
      <c r="AS1137" s="453" t="s">
        <v>70</v>
      </c>
      <c r="AT1137" s="453">
        <v>3</v>
      </c>
      <c r="AU1137" s="453">
        <v>4624326430.3823996</v>
      </c>
      <c r="AV1137" s="453">
        <v>0.12798856631854719</v>
      </c>
      <c r="AW1137" s="817">
        <f t="shared" si="39"/>
        <v>2018</v>
      </c>
    </row>
    <row r="1138" spans="1:49">
      <c r="A1138" s="798">
        <f t="shared" si="37"/>
        <v>1900</v>
      </c>
      <c r="B1138" s="798">
        <f t="shared" si="38"/>
        <v>1</v>
      </c>
      <c r="AQ1138" s="453" t="s">
        <v>4</v>
      </c>
      <c r="AR1138" s="1536" t="s">
        <v>730</v>
      </c>
      <c r="AS1138" s="453" t="s">
        <v>30</v>
      </c>
      <c r="AT1138" s="453">
        <v>4</v>
      </c>
      <c r="AU1138" s="453">
        <v>3285332509.8874002</v>
      </c>
      <c r="AV1138" s="453">
        <v>9.0928917789532299E-2</v>
      </c>
      <c r="AW1138" s="817">
        <f t="shared" si="39"/>
        <v>2018</v>
      </c>
    </row>
    <row r="1139" spans="1:49">
      <c r="A1139" s="798">
        <f t="shared" si="37"/>
        <v>1900</v>
      </c>
      <c r="B1139" s="798">
        <f t="shared" si="38"/>
        <v>1</v>
      </c>
      <c r="AQ1139" s="453" t="s">
        <v>4</v>
      </c>
      <c r="AR1139" s="1536" t="s">
        <v>730</v>
      </c>
      <c r="AS1139" s="453" t="s">
        <v>672</v>
      </c>
      <c r="AT1139" s="453">
        <v>5</v>
      </c>
      <c r="AU1139" s="453">
        <v>1647799221.6454999</v>
      </c>
      <c r="AV1139" s="453">
        <v>4.5606525217075901E-2</v>
      </c>
      <c r="AW1139" s="817">
        <f t="shared" si="39"/>
        <v>2018</v>
      </c>
    </row>
    <row r="1140" spans="1:49">
      <c r="A1140" s="798">
        <f t="shared" si="37"/>
        <v>1900</v>
      </c>
      <c r="B1140" s="798">
        <f t="shared" si="38"/>
        <v>1</v>
      </c>
      <c r="AQ1140" s="453" t="s">
        <v>4</v>
      </c>
      <c r="AR1140" s="1536" t="s">
        <v>730</v>
      </c>
      <c r="AS1140" s="453" t="s">
        <v>31</v>
      </c>
      <c r="AT1140" s="453">
        <v>6</v>
      </c>
      <c r="AU1140" s="453">
        <v>1160954209.7229998</v>
      </c>
      <c r="AV1140" s="453">
        <v>3.2132001730604778E-2</v>
      </c>
      <c r="AW1140" s="817">
        <f t="shared" si="39"/>
        <v>2018</v>
      </c>
    </row>
    <row r="1141" spans="1:49">
      <c r="A1141" s="798">
        <f t="shared" si="37"/>
        <v>1900</v>
      </c>
      <c r="B1141" s="798">
        <f t="shared" si="38"/>
        <v>1</v>
      </c>
      <c r="AQ1141" s="453" t="s">
        <v>4</v>
      </c>
      <c r="AR1141" s="1536" t="s">
        <v>730</v>
      </c>
      <c r="AS1141" s="453" t="s">
        <v>39</v>
      </c>
      <c r="AT1141" s="453">
        <v>7</v>
      </c>
      <c r="AU1141" s="453">
        <v>974933471.45950007</v>
      </c>
      <c r="AV1141" s="453">
        <v>2.6983462163969074E-2</v>
      </c>
      <c r="AW1141" s="817">
        <f t="shared" si="39"/>
        <v>2018</v>
      </c>
    </row>
    <row r="1142" spans="1:49">
      <c r="A1142" s="798">
        <f t="shared" si="37"/>
        <v>1900</v>
      </c>
      <c r="B1142" s="798">
        <f t="shared" si="38"/>
        <v>1</v>
      </c>
      <c r="AQ1142" s="453" t="s">
        <v>4</v>
      </c>
      <c r="AR1142" s="1536" t="s">
        <v>730</v>
      </c>
      <c r="AS1142" s="453" t="s">
        <v>28</v>
      </c>
      <c r="AT1142" s="453">
        <v>8</v>
      </c>
      <c r="AU1142" s="453">
        <v>612724609.97920001</v>
      </c>
      <c r="AV1142" s="453">
        <v>1.6958522621605642E-2</v>
      </c>
      <c r="AW1142" s="817">
        <f t="shared" si="39"/>
        <v>2018</v>
      </c>
    </row>
    <row r="1143" spans="1:49">
      <c r="A1143" s="798">
        <f t="shared" si="37"/>
        <v>1900</v>
      </c>
      <c r="B1143" s="798">
        <f t="shared" si="38"/>
        <v>1</v>
      </c>
      <c r="AQ1143" s="453" t="s">
        <v>4</v>
      </c>
      <c r="AR1143" s="1536" t="s">
        <v>730</v>
      </c>
      <c r="AS1143" s="453" t="s">
        <v>27</v>
      </c>
      <c r="AT1143" s="453">
        <v>9</v>
      </c>
      <c r="AU1143" s="453">
        <v>601935037.09600008</v>
      </c>
      <c r="AV1143" s="453">
        <v>1.6659897084395019E-2</v>
      </c>
      <c r="AW1143" s="817">
        <f t="shared" si="39"/>
        <v>2018</v>
      </c>
    </row>
    <row r="1144" spans="1:49">
      <c r="A1144" s="798">
        <f t="shared" si="37"/>
        <v>1900</v>
      </c>
      <c r="B1144" s="798">
        <f t="shared" si="38"/>
        <v>1</v>
      </c>
      <c r="AQ1144" s="453" t="s">
        <v>4</v>
      </c>
      <c r="AR1144" s="1536" t="s">
        <v>730</v>
      </c>
      <c r="AS1144" s="453" t="s">
        <v>152</v>
      </c>
      <c r="AT1144" s="453">
        <v>10</v>
      </c>
      <c r="AU1144" s="453">
        <v>493218982.31299996</v>
      </c>
      <c r="AV1144" s="453">
        <v>1.3650937358700613E-2</v>
      </c>
      <c r="AW1144" s="817">
        <f t="shared" si="39"/>
        <v>2018</v>
      </c>
    </row>
    <row r="1145" spans="1:49">
      <c r="A1145" s="798">
        <f t="shared" si="37"/>
        <v>1900</v>
      </c>
      <c r="B1145" s="798">
        <f t="shared" si="38"/>
        <v>1</v>
      </c>
      <c r="AQ1145" s="453" t="s">
        <v>4</v>
      </c>
      <c r="AR1145" s="1536" t="s">
        <v>730</v>
      </c>
      <c r="AS1145" s="453" t="s">
        <v>45</v>
      </c>
      <c r="AU1145" s="453">
        <v>751388055.59339905</v>
      </c>
      <c r="AV1145" s="453">
        <v>2.0796343301467034E-2</v>
      </c>
      <c r="AW1145" s="817">
        <f t="shared" si="39"/>
        <v>2018</v>
      </c>
    </row>
    <row r="1146" spans="1:49">
      <c r="A1146" s="798">
        <f t="shared" si="37"/>
        <v>1900</v>
      </c>
      <c r="B1146" s="798">
        <f t="shared" si="38"/>
        <v>1</v>
      </c>
      <c r="AQ1146" s="453" t="s">
        <v>4</v>
      </c>
      <c r="AR1146" s="1536" t="s">
        <v>730</v>
      </c>
      <c r="AS1146" s="453" t="s">
        <v>452</v>
      </c>
      <c r="AU1146" s="453">
        <v>36130777642.0672</v>
      </c>
      <c r="AV1146" s="453">
        <v>1</v>
      </c>
      <c r="AW1146" s="817">
        <f t="shared" si="39"/>
        <v>2018</v>
      </c>
    </row>
    <row r="1147" spans="1:49">
      <c r="A1147" s="798">
        <f t="shared" si="37"/>
        <v>1900</v>
      </c>
      <c r="B1147" s="798">
        <f t="shared" si="38"/>
        <v>1</v>
      </c>
    </row>
    <row r="1148" spans="1:49">
      <c r="A1148" s="798">
        <f t="shared" si="37"/>
        <v>1900</v>
      </c>
      <c r="B1148" s="798">
        <f t="shared" si="38"/>
        <v>1</v>
      </c>
    </row>
    <row r="1149" spans="1:49">
      <c r="A1149" s="798">
        <f t="shared" si="37"/>
        <v>1900</v>
      </c>
      <c r="B1149" s="798">
        <f t="shared" si="38"/>
        <v>1</v>
      </c>
    </row>
    <row r="1150" spans="1:49">
      <c r="A1150" s="798">
        <f t="shared" si="37"/>
        <v>1900</v>
      </c>
      <c r="B1150" s="798">
        <f t="shared" si="38"/>
        <v>1</v>
      </c>
    </row>
    <row r="1151" spans="1:49">
      <c r="A1151" s="798">
        <f t="shared" si="37"/>
        <v>1900</v>
      </c>
      <c r="B1151" s="798">
        <f t="shared" si="38"/>
        <v>1</v>
      </c>
    </row>
    <row r="1152" spans="1:49">
      <c r="A1152" s="798">
        <f t="shared" si="37"/>
        <v>1900</v>
      </c>
      <c r="B1152" s="798">
        <f t="shared" si="38"/>
        <v>1</v>
      </c>
    </row>
    <row r="1153" spans="1:2">
      <c r="A1153" s="798">
        <f t="shared" si="37"/>
        <v>1900</v>
      </c>
      <c r="B1153" s="798">
        <f t="shared" si="38"/>
        <v>1</v>
      </c>
    </row>
    <row r="1154" spans="1:2">
      <c r="A1154" s="798">
        <f t="shared" si="37"/>
        <v>1900</v>
      </c>
      <c r="B1154" s="798">
        <f t="shared" si="38"/>
        <v>1</v>
      </c>
    </row>
    <row r="1155" spans="1:2">
      <c r="A1155" s="798">
        <f t="shared" si="37"/>
        <v>1900</v>
      </c>
      <c r="B1155" s="798">
        <f t="shared" si="38"/>
        <v>1</v>
      </c>
    </row>
    <row r="1156" spans="1:2">
      <c r="A1156" s="798">
        <f t="shared" si="37"/>
        <v>1900</v>
      </c>
      <c r="B1156" s="798">
        <f t="shared" si="38"/>
        <v>1</v>
      </c>
    </row>
    <row r="1157" spans="1:2">
      <c r="A1157" s="798">
        <f t="shared" si="37"/>
        <v>1900</v>
      </c>
      <c r="B1157" s="798">
        <f t="shared" si="38"/>
        <v>1</v>
      </c>
    </row>
    <row r="1158" spans="1:2">
      <c r="A1158" s="798">
        <f t="shared" si="37"/>
        <v>1900</v>
      </c>
      <c r="B1158" s="798">
        <f t="shared" si="38"/>
        <v>1</v>
      </c>
    </row>
    <row r="1159" spans="1:2">
      <c r="A1159" s="798">
        <f t="shared" si="37"/>
        <v>1900</v>
      </c>
      <c r="B1159" s="798">
        <f t="shared" si="38"/>
        <v>1</v>
      </c>
    </row>
    <row r="1160" spans="1:2">
      <c r="A1160" s="798">
        <f t="shared" si="37"/>
        <v>1900</v>
      </c>
      <c r="B1160" s="798">
        <f t="shared" si="38"/>
        <v>1</v>
      </c>
    </row>
    <row r="1161" spans="1:2">
      <c r="A1161" s="798">
        <f t="shared" si="37"/>
        <v>1900</v>
      </c>
      <c r="B1161" s="798">
        <f t="shared" si="38"/>
        <v>1</v>
      </c>
    </row>
    <row r="1162" spans="1:2">
      <c r="A1162" s="798">
        <f t="shared" ref="A1162:A1225" si="40">YEAR(C1162)</f>
        <v>1900</v>
      </c>
      <c r="B1162" s="798">
        <f t="shared" ref="B1162:B1225" si="41">IF(OR(MONTH(C1162)=1,MONTH(C1162)=2,MONTH(C1162)=3),1,IF(OR(MONTH(C1162)=4,MONTH(C1162)=5,MONTH(C1162)=6),2,IF(OR(MONTH(C1162)=7,MONTH(C1162)=8,MONTH(C1162)=9),3,4)))</f>
        <v>1</v>
      </c>
    </row>
    <row r="1163" spans="1:2">
      <c r="A1163" s="798">
        <f t="shared" si="40"/>
        <v>1900</v>
      </c>
      <c r="B1163" s="798">
        <f t="shared" si="41"/>
        <v>1</v>
      </c>
    </row>
    <row r="1164" spans="1:2">
      <c r="A1164" s="798">
        <f t="shared" si="40"/>
        <v>1900</v>
      </c>
      <c r="B1164" s="798">
        <f t="shared" si="41"/>
        <v>1</v>
      </c>
    </row>
    <row r="1165" spans="1:2">
      <c r="A1165" s="798">
        <f t="shared" si="40"/>
        <v>1900</v>
      </c>
      <c r="B1165" s="798">
        <f t="shared" si="41"/>
        <v>1</v>
      </c>
    </row>
    <row r="1166" spans="1:2">
      <c r="A1166" s="798">
        <f t="shared" si="40"/>
        <v>1900</v>
      </c>
      <c r="B1166" s="798">
        <f t="shared" si="41"/>
        <v>1</v>
      </c>
    </row>
    <row r="1167" spans="1:2">
      <c r="A1167" s="798">
        <f t="shared" si="40"/>
        <v>1900</v>
      </c>
      <c r="B1167" s="798">
        <f t="shared" si="41"/>
        <v>1</v>
      </c>
    </row>
    <row r="1168" spans="1:2">
      <c r="A1168" s="798">
        <f t="shared" si="40"/>
        <v>1900</v>
      </c>
      <c r="B1168" s="798">
        <f t="shared" si="41"/>
        <v>1</v>
      </c>
    </row>
    <row r="1169" spans="1:2">
      <c r="A1169" s="798">
        <f t="shared" si="40"/>
        <v>1900</v>
      </c>
      <c r="B1169" s="798">
        <f t="shared" si="41"/>
        <v>1</v>
      </c>
    </row>
    <row r="1170" spans="1:2">
      <c r="A1170" s="798">
        <f t="shared" si="40"/>
        <v>1900</v>
      </c>
      <c r="B1170" s="798">
        <f t="shared" si="41"/>
        <v>1</v>
      </c>
    </row>
    <row r="1171" spans="1:2">
      <c r="A1171" s="798">
        <f t="shared" si="40"/>
        <v>1900</v>
      </c>
      <c r="B1171" s="798">
        <f t="shared" si="41"/>
        <v>1</v>
      </c>
    </row>
    <row r="1172" spans="1:2">
      <c r="A1172" s="798">
        <f t="shared" si="40"/>
        <v>1900</v>
      </c>
      <c r="B1172" s="798">
        <f t="shared" si="41"/>
        <v>1</v>
      </c>
    </row>
    <row r="1173" spans="1:2">
      <c r="A1173" s="798">
        <f t="shared" si="40"/>
        <v>1900</v>
      </c>
      <c r="B1173" s="798">
        <f t="shared" si="41"/>
        <v>1</v>
      </c>
    </row>
    <row r="1174" spans="1:2">
      <c r="A1174" s="798">
        <f t="shared" si="40"/>
        <v>1900</v>
      </c>
      <c r="B1174" s="798">
        <f t="shared" si="41"/>
        <v>1</v>
      </c>
    </row>
    <row r="1175" spans="1:2">
      <c r="A1175" s="798">
        <f t="shared" si="40"/>
        <v>1900</v>
      </c>
      <c r="B1175" s="798">
        <f t="shared" si="41"/>
        <v>1</v>
      </c>
    </row>
    <row r="1176" spans="1:2">
      <c r="A1176" s="798">
        <f t="shared" si="40"/>
        <v>1900</v>
      </c>
      <c r="B1176" s="798">
        <f t="shared" si="41"/>
        <v>1</v>
      </c>
    </row>
    <row r="1177" spans="1:2">
      <c r="A1177" s="798">
        <f t="shared" si="40"/>
        <v>1900</v>
      </c>
      <c r="B1177" s="798">
        <f t="shared" si="41"/>
        <v>1</v>
      </c>
    </row>
    <row r="1178" spans="1:2">
      <c r="A1178" s="798">
        <f t="shared" si="40"/>
        <v>1900</v>
      </c>
      <c r="B1178" s="798">
        <f t="shared" si="41"/>
        <v>1</v>
      </c>
    </row>
    <row r="1179" spans="1:2">
      <c r="A1179" s="798">
        <f t="shared" si="40"/>
        <v>1900</v>
      </c>
      <c r="B1179" s="798">
        <f t="shared" si="41"/>
        <v>1</v>
      </c>
    </row>
    <row r="1180" spans="1:2">
      <c r="A1180" s="798">
        <f t="shared" si="40"/>
        <v>1900</v>
      </c>
      <c r="B1180" s="798">
        <f t="shared" si="41"/>
        <v>1</v>
      </c>
    </row>
    <row r="1181" spans="1:2">
      <c r="A1181" s="798">
        <f t="shared" si="40"/>
        <v>1900</v>
      </c>
      <c r="B1181" s="798">
        <f t="shared" si="41"/>
        <v>1</v>
      </c>
    </row>
    <row r="1182" spans="1:2">
      <c r="A1182" s="798">
        <f t="shared" si="40"/>
        <v>1900</v>
      </c>
      <c r="B1182" s="798">
        <f t="shared" si="41"/>
        <v>1</v>
      </c>
    </row>
    <row r="1183" spans="1:2">
      <c r="A1183" s="798">
        <f t="shared" si="40"/>
        <v>1900</v>
      </c>
      <c r="B1183" s="798">
        <f t="shared" si="41"/>
        <v>1</v>
      </c>
    </row>
    <row r="1184" spans="1:2">
      <c r="A1184" s="798">
        <f t="shared" si="40"/>
        <v>1900</v>
      </c>
      <c r="B1184" s="798">
        <f t="shared" si="41"/>
        <v>1</v>
      </c>
    </row>
    <row r="1185" spans="1:2">
      <c r="A1185" s="798">
        <f t="shared" si="40"/>
        <v>1900</v>
      </c>
      <c r="B1185" s="798">
        <f t="shared" si="41"/>
        <v>1</v>
      </c>
    </row>
    <row r="1186" spans="1:2">
      <c r="A1186" s="798">
        <f t="shared" si="40"/>
        <v>1900</v>
      </c>
      <c r="B1186" s="798">
        <f t="shared" si="41"/>
        <v>1</v>
      </c>
    </row>
    <row r="1187" spans="1:2">
      <c r="A1187" s="798">
        <f t="shared" si="40"/>
        <v>1900</v>
      </c>
      <c r="B1187" s="798">
        <f t="shared" si="41"/>
        <v>1</v>
      </c>
    </row>
    <row r="1188" spans="1:2">
      <c r="A1188" s="798">
        <f t="shared" si="40"/>
        <v>1900</v>
      </c>
      <c r="B1188" s="798">
        <f t="shared" si="41"/>
        <v>1</v>
      </c>
    </row>
    <row r="1189" spans="1:2">
      <c r="A1189" s="798">
        <f t="shared" si="40"/>
        <v>1900</v>
      </c>
      <c r="B1189" s="798">
        <f t="shared" si="41"/>
        <v>1</v>
      </c>
    </row>
    <row r="1190" spans="1:2">
      <c r="A1190" s="798">
        <f t="shared" si="40"/>
        <v>1900</v>
      </c>
      <c r="B1190" s="798">
        <f t="shared" si="41"/>
        <v>1</v>
      </c>
    </row>
    <row r="1191" spans="1:2">
      <c r="A1191" s="798">
        <f t="shared" si="40"/>
        <v>1900</v>
      </c>
      <c r="B1191" s="798">
        <f t="shared" si="41"/>
        <v>1</v>
      </c>
    </row>
    <row r="1192" spans="1:2">
      <c r="A1192" s="798">
        <f t="shared" si="40"/>
        <v>1900</v>
      </c>
      <c r="B1192" s="798">
        <f t="shared" si="41"/>
        <v>1</v>
      </c>
    </row>
    <row r="1193" spans="1:2">
      <c r="A1193" s="798">
        <f t="shared" si="40"/>
        <v>1900</v>
      </c>
      <c r="B1193" s="798">
        <f t="shared" si="41"/>
        <v>1</v>
      </c>
    </row>
    <row r="1194" spans="1:2">
      <c r="A1194" s="798">
        <f t="shared" si="40"/>
        <v>1900</v>
      </c>
      <c r="B1194" s="798">
        <f t="shared" si="41"/>
        <v>1</v>
      </c>
    </row>
    <row r="1195" spans="1:2">
      <c r="A1195" s="798">
        <f t="shared" si="40"/>
        <v>1900</v>
      </c>
      <c r="B1195" s="798">
        <f t="shared" si="41"/>
        <v>1</v>
      </c>
    </row>
    <row r="1196" spans="1:2">
      <c r="A1196" s="798">
        <f t="shared" si="40"/>
        <v>1900</v>
      </c>
      <c r="B1196" s="798">
        <f t="shared" si="41"/>
        <v>1</v>
      </c>
    </row>
    <row r="1197" spans="1:2">
      <c r="A1197" s="798">
        <f t="shared" si="40"/>
        <v>1900</v>
      </c>
      <c r="B1197" s="798">
        <f t="shared" si="41"/>
        <v>1</v>
      </c>
    </row>
    <row r="1198" spans="1:2">
      <c r="A1198" s="798">
        <f t="shared" si="40"/>
        <v>1900</v>
      </c>
      <c r="B1198" s="798">
        <f t="shared" si="41"/>
        <v>1</v>
      </c>
    </row>
    <row r="1199" spans="1:2">
      <c r="A1199" s="798">
        <f t="shared" si="40"/>
        <v>1900</v>
      </c>
      <c r="B1199" s="798">
        <f t="shared" si="41"/>
        <v>1</v>
      </c>
    </row>
    <row r="1200" spans="1:2">
      <c r="A1200" s="798">
        <f t="shared" si="40"/>
        <v>1900</v>
      </c>
      <c r="B1200" s="798">
        <f t="shared" si="41"/>
        <v>1</v>
      </c>
    </row>
    <row r="1201" spans="1:2">
      <c r="A1201" s="798">
        <f t="shared" si="40"/>
        <v>1900</v>
      </c>
      <c r="B1201" s="798">
        <f t="shared" si="41"/>
        <v>1</v>
      </c>
    </row>
    <row r="1202" spans="1:2">
      <c r="A1202" s="798">
        <f t="shared" si="40"/>
        <v>1900</v>
      </c>
      <c r="B1202" s="798">
        <f t="shared" si="41"/>
        <v>1</v>
      </c>
    </row>
    <row r="1203" spans="1:2">
      <c r="A1203" s="798">
        <f t="shared" si="40"/>
        <v>1900</v>
      </c>
      <c r="B1203" s="798">
        <f t="shared" si="41"/>
        <v>1</v>
      </c>
    </row>
    <row r="1204" spans="1:2">
      <c r="A1204" s="798">
        <f t="shared" si="40"/>
        <v>1900</v>
      </c>
      <c r="B1204" s="798">
        <f t="shared" si="41"/>
        <v>1</v>
      </c>
    </row>
    <row r="1205" spans="1:2">
      <c r="A1205" s="798">
        <f t="shared" si="40"/>
        <v>1900</v>
      </c>
      <c r="B1205" s="798">
        <f t="shared" si="41"/>
        <v>1</v>
      </c>
    </row>
    <row r="1206" spans="1:2">
      <c r="A1206" s="798">
        <f t="shared" si="40"/>
        <v>1900</v>
      </c>
      <c r="B1206" s="798">
        <f t="shared" si="41"/>
        <v>1</v>
      </c>
    </row>
    <row r="1207" spans="1:2">
      <c r="A1207" s="798">
        <f t="shared" si="40"/>
        <v>1900</v>
      </c>
      <c r="B1207" s="798">
        <f t="shared" si="41"/>
        <v>1</v>
      </c>
    </row>
    <row r="1208" spans="1:2">
      <c r="A1208" s="798">
        <f t="shared" si="40"/>
        <v>1900</v>
      </c>
      <c r="B1208" s="798">
        <f t="shared" si="41"/>
        <v>1</v>
      </c>
    </row>
    <row r="1209" spans="1:2">
      <c r="A1209" s="798">
        <f t="shared" si="40"/>
        <v>1900</v>
      </c>
      <c r="B1209" s="798">
        <f t="shared" si="41"/>
        <v>1</v>
      </c>
    </row>
    <row r="1210" spans="1:2">
      <c r="A1210" s="798">
        <f t="shared" si="40"/>
        <v>1900</v>
      </c>
      <c r="B1210" s="798">
        <f t="shared" si="41"/>
        <v>1</v>
      </c>
    </row>
    <row r="1211" spans="1:2">
      <c r="A1211" s="798">
        <f t="shared" si="40"/>
        <v>1900</v>
      </c>
      <c r="B1211" s="798">
        <f t="shared" si="41"/>
        <v>1</v>
      </c>
    </row>
    <row r="1212" spans="1:2">
      <c r="A1212" s="798">
        <f t="shared" si="40"/>
        <v>1900</v>
      </c>
      <c r="B1212" s="798">
        <f t="shared" si="41"/>
        <v>1</v>
      </c>
    </row>
    <row r="1213" spans="1:2">
      <c r="A1213" s="798">
        <f t="shared" si="40"/>
        <v>1900</v>
      </c>
      <c r="B1213" s="798">
        <f t="shared" si="41"/>
        <v>1</v>
      </c>
    </row>
    <row r="1214" spans="1:2">
      <c r="A1214" s="798">
        <f t="shared" si="40"/>
        <v>1900</v>
      </c>
      <c r="B1214" s="798">
        <f t="shared" si="41"/>
        <v>1</v>
      </c>
    </row>
    <row r="1215" spans="1:2">
      <c r="A1215" s="798">
        <f t="shared" si="40"/>
        <v>1900</v>
      </c>
      <c r="B1215" s="798">
        <f t="shared" si="41"/>
        <v>1</v>
      </c>
    </row>
    <row r="1216" spans="1:2">
      <c r="A1216" s="798">
        <f t="shared" si="40"/>
        <v>1900</v>
      </c>
      <c r="B1216" s="798">
        <f t="shared" si="41"/>
        <v>1</v>
      </c>
    </row>
    <row r="1217" spans="1:2">
      <c r="A1217" s="798">
        <f t="shared" si="40"/>
        <v>1900</v>
      </c>
      <c r="B1217" s="798">
        <f t="shared" si="41"/>
        <v>1</v>
      </c>
    </row>
    <row r="1218" spans="1:2">
      <c r="A1218" s="798">
        <f t="shared" si="40"/>
        <v>1900</v>
      </c>
      <c r="B1218" s="798">
        <f t="shared" si="41"/>
        <v>1</v>
      </c>
    </row>
    <row r="1219" spans="1:2">
      <c r="A1219" s="798">
        <f t="shared" si="40"/>
        <v>1900</v>
      </c>
      <c r="B1219" s="798">
        <f t="shared" si="41"/>
        <v>1</v>
      </c>
    </row>
    <row r="1220" spans="1:2">
      <c r="A1220" s="798">
        <f t="shared" si="40"/>
        <v>1900</v>
      </c>
      <c r="B1220" s="798">
        <f t="shared" si="41"/>
        <v>1</v>
      </c>
    </row>
    <row r="1221" spans="1:2">
      <c r="A1221" s="798">
        <f t="shared" si="40"/>
        <v>1900</v>
      </c>
      <c r="B1221" s="798">
        <f t="shared" si="41"/>
        <v>1</v>
      </c>
    </row>
    <row r="1222" spans="1:2">
      <c r="A1222" s="798">
        <f t="shared" si="40"/>
        <v>1900</v>
      </c>
      <c r="B1222" s="798">
        <f t="shared" si="41"/>
        <v>1</v>
      </c>
    </row>
    <row r="1223" spans="1:2">
      <c r="A1223" s="798">
        <f t="shared" si="40"/>
        <v>1900</v>
      </c>
      <c r="B1223" s="798">
        <f t="shared" si="41"/>
        <v>1</v>
      </c>
    </row>
    <row r="1224" spans="1:2">
      <c r="A1224" s="798">
        <f t="shared" si="40"/>
        <v>1900</v>
      </c>
      <c r="B1224" s="798">
        <f t="shared" si="41"/>
        <v>1</v>
      </c>
    </row>
    <row r="1225" spans="1:2">
      <c r="A1225" s="798">
        <f t="shared" si="40"/>
        <v>1900</v>
      </c>
      <c r="B1225" s="798">
        <f t="shared" si="41"/>
        <v>1</v>
      </c>
    </row>
    <row r="1226" spans="1:2">
      <c r="A1226" s="798">
        <f t="shared" ref="A1226:A1289" si="42">YEAR(C1226)</f>
        <v>1900</v>
      </c>
      <c r="B1226" s="798">
        <f t="shared" ref="B1226:B1289" si="43">IF(OR(MONTH(C1226)=1,MONTH(C1226)=2,MONTH(C1226)=3),1,IF(OR(MONTH(C1226)=4,MONTH(C1226)=5,MONTH(C1226)=6),2,IF(OR(MONTH(C1226)=7,MONTH(C1226)=8,MONTH(C1226)=9),3,4)))</f>
        <v>1</v>
      </c>
    </row>
    <row r="1227" spans="1:2">
      <c r="A1227" s="798">
        <f t="shared" si="42"/>
        <v>1900</v>
      </c>
      <c r="B1227" s="798">
        <f t="shared" si="43"/>
        <v>1</v>
      </c>
    </row>
    <row r="1228" spans="1:2">
      <c r="A1228" s="798">
        <f t="shared" si="42"/>
        <v>1900</v>
      </c>
      <c r="B1228" s="798">
        <f t="shared" si="43"/>
        <v>1</v>
      </c>
    </row>
    <row r="1229" spans="1:2">
      <c r="A1229" s="798">
        <f t="shared" si="42"/>
        <v>1900</v>
      </c>
      <c r="B1229" s="798">
        <f t="shared" si="43"/>
        <v>1</v>
      </c>
    </row>
    <row r="1230" spans="1:2">
      <c r="A1230" s="798">
        <f t="shared" si="42"/>
        <v>1900</v>
      </c>
      <c r="B1230" s="798">
        <f t="shared" si="43"/>
        <v>1</v>
      </c>
    </row>
    <row r="1231" spans="1:2">
      <c r="A1231" s="798">
        <f t="shared" si="42"/>
        <v>1900</v>
      </c>
      <c r="B1231" s="798">
        <f t="shared" si="43"/>
        <v>1</v>
      </c>
    </row>
    <row r="1232" spans="1:2">
      <c r="A1232" s="798">
        <f t="shared" si="42"/>
        <v>1900</v>
      </c>
      <c r="B1232" s="798">
        <f t="shared" si="43"/>
        <v>1</v>
      </c>
    </row>
    <row r="1233" spans="1:2">
      <c r="A1233" s="798">
        <f t="shared" si="42"/>
        <v>1900</v>
      </c>
      <c r="B1233" s="798">
        <f t="shared" si="43"/>
        <v>1</v>
      </c>
    </row>
    <row r="1234" spans="1:2">
      <c r="A1234" s="798">
        <f t="shared" si="42"/>
        <v>1900</v>
      </c>
      <c r="B1234" s="798">
        <f t="shared" si="43"/>
        <v>1</v>
      </c>
    </row>
    <row r="1235" spans="1:2">
      <c r="A1235" s="798">
        <f t="shared" si="42"/>
        <v>1900</v>
      </c>
      <c r="B1235" s="798">
        <f t="shared" si="43"/>
        <v>1</v>
      </c>
    </row>
    <row r="1236" spans="1:2">
      <c r="A1236" s="798">
        <f t="shared" si="42"/>
        <v>1900</v>
      </c>
      <c r="B1236" s="798">
        <f t="shared" si="43"/>
        <v>1</v>
      </c>
    </row>
    <row r="1237" spans="1:2">
      <c r="A1237" s="798">
        <f t="shared" si="42"/>
        <v>1900</v>
      </c>
      <c r="B1237" s="798">
        <f t="shared" si="43"/>
        <v>1</v>
      </c>
    </row>
    <row r="1238" spans="1:2">
      <c r="A1238" s="798">
        <f t="shared" si="42"/>
        <v>1900</v>
      </c>
      <c r="B1238" s="798">
        <f t="shared" si="43"/>
        <v>1</v>
      </c>
    </row>
    <row r="1239" spans="1:2">
      <c r="A1239" s="798">
        <f t="shared" si="42"/>
        <v>1900</v>
      </c>
      <c r="B1239" s="798">
        <f t="shared" si="43"/>
        <v>1</v>
      </c>
    </row>
    <row r="1240" spans="1:2">
      <c r="A1240" s="798">
        <f t="shared" si="42"/>
        <v>1900</v>
      </c>
      <c r="B1240" s="798">
        <f t="shared" si="43"/>
        <v>1</v>
      </c>
    </row>
    <row r="1241" spans="1:2">
      <c r="A1241" s="798">
        <f t="shared" si="42"/>
        <v>1900</v>
      </c>
      <c r="B1241" s="798">
        <f t="shared" si="43"/>
        <v>1</v>
      </c>
    </row>
    <row r="1242" spans="1:2">
      <c r="A1242" s="798">
        <f t="shared" si="42"/>
        <v>1900</v>
      </c>
      <c r="B1242" s="798">
        <f t="shared" si="43"/>
        <v>1</v>
      </c>
    </row>
    <row r="1243" spans="1:2">
      <c r="A1243" s="798">
        <f t="shared" si="42"/>
        <v>1900</v>
      </c>
      <c r="B1243" s="798">
        <f t="shared" si="43"/>
        <v>1</v>
      </c>
    </row>
    <row r="1244" spans="1:2">
      <c r="A1244" s="798">
        <f t="shared" si="42"/>
        <v>1900</v>
      </c>
      <c r="B1244" s="798">
        <f t="shared" si="43"/>
        <v>1</v>
      </c>
    </row>
    <row r="1245" spans="1:2">
      <c r="A1245" s="798">
        <f t="shared" si="42"/>
        <v>1900</v>
      </c>
      <c r="B1245" s="798">
        <f t="shared" si="43"/>
        <v>1</v>
      </c>
    </row>
    <row r="1246" spans="1:2">
      <c r="A1246" s="798">
        <f t="shared" si="42"/>
        <v>1900</v>
      </c>
      <c r="B1246" s="798">
        <f t="shared" si="43"/>
        <v>1</v>
      </c>
    </row>
    <row r="1247" spans="1:2">
      <c r="A1247" s="798">
        <f t="shared" si="42"/>
        <v>1900</v>
      </c>
      <c r="B1247" s="798">
        <f t="shared" si="43"/>
        <v>1</v>
      </c>
    </row>
    <row r="1248" spans="1:2">
      <c r="A1248" s="798">
        <f t="shared" si="42"/>
        <v>1900</v>
      </c>
      <c r="B1248" s="798">
        <f t="shared" si="43"/>
        <v>1</v>
      </c>
    </row>
    <row r="1249" spans="1:2">
      <c r="A1249" s="798">
        <f t="shared" si="42"/>
        <v>1900</v>
      </c>
      <c r="B1249" s="798">
        <f t="shared" si="43"/>
        <v>1</v>
      </c>
    </row>
    <row r="1250" spans="1:2">
      <c r="A1250" s="798">
        <f t="shared" si="42"/>
        <v>1900</v>
      </c>
      <c r="B1250" s="798">
        <f t="shared" si="43"/>
        <v>1</v>
      </c>
    </row>
    <row r="1251" spans="1:2">
      <c r="A1251" s="798">
        <f t="shared" si="42"/>
        <v>1900</v>
      </c>
      <c r="B1251" s="798">
        <f t="shared" si="43"/>
        <v>1</v>
      </c>
    </row>
    <row r="1252" spans="1:2">
      <c r="A1252" s="798">
        <f t="shared" si="42"/>
        <v>1900</v>
      </c>
      <c r="B1252" s="798">
        <f t="shared" si="43"/>
        <v>1</v>
      </c>
    </row>
    <row r="1253" spans="1:2">
      <c r="A1253" s="798">
        <f t="shared" si="42"/>
        <v>1900</v>
      </c>
      <c r="B1253" s="798">
        <f t="shared" si="43"/>
        <v>1</v>
      </c>
    </row>
    <row r="1254" spans="1:2">
      <c r="A1254" s="798">
        <f t="shared" si="42"/>
        <v>1900</v>
      </c>
      <c r="B1254" s="798">
        <f t="shared" si="43"/>
        <v>1</v>
      </c>
    </row>
    <row r="1255" spans="1:2">
      <c r="A1255" s="798">
        <f t="shared" si="42"/>
        <v>1900</v>
      </c>
      <c r="B1255" s="798">
        <f t="shared" si="43"/>
        <v>1</v>
      </c>
    </row>
    <row r="1256" spans="1:2">
      <c r="A1256" s="798">
        <f t="shared" si="42"/>
        <v>1900</v>
      </c>
      <c r="B1256" s="798">
        <f t="shared" si="43"/>
        <v>1</v>
      </c>
    </row>
    <row r="1257" spans="1:2">
      <c r="A1257" s="798">
        <f t="shared" si="42"/>
        <v>1900</v>
      </c>
      <c r="B1257" s="798">
        <f t="shared" si="43"/>
        <v>1</v>
      </c>
    </row>
    <row r="1258" spans="1:2">
      <c r="A1258" s="798">
        <f t="shared" si="42"/>
        <v>1900</v>
      </c>
      <c r="B1258" s="798">
        <f t="shared" si="43"/>
        <v>1</v>
      </c>
    </row>
    <row r="1259" spans="1:2">
      <c r="A1259" s="798">
        <f t="shared" si="42"/>
        <v>1900</v>
      </c>
      <c r="B1259" s="798">
        <f t="shared" si="43"/>
        <v>1</v>
      </c>
    </row>
    <row r="1260" spans="1:2">
      <c r="A1260" s="798">
        <f t="shared" si="42"/>
        <v>1900</v>
      </c>
      <c r="B1260" s="798">
        <f t="shared" si="43"/>
        <v>1</v>
      </c>
    </row>
    <row r="1261" spans="1:2">
      <c r="A1261" s="798">
        <f t="shared" si="42"/>
        <v>1900</v>
      </c>
      <c r="B1261" s="798">
        <f t="shared" si="43"/>
        <v>1</v>
      </c>
    </row>
    <row r="1262" spans="1:2">
      <c r="A1262" s="798">
        <f t="shared" si="42"/>
        <v>1900</v>
      </c>
      <c r="B1262" s="798">
        <f t="shared" si="43"/>
        <v>1</v>
      </c>
    </row>
    <row r="1263" spans="1:2">
      <c r="A1263" s="798">
        <f t="shared" si="42"/>
        <v>1900</v>
      </c>
      <c r="B1263" s="798">
        <f t="shared" si="43"/>
        <v>1</v>
      </c>
    </row>
    <row r="1264" spans="1:2">
      <c r="A1264" s="798">
        <f t="shared" si="42"/>
        <v>1900</v>
      </c>
      <c r="B1264" s="798">
        <f t="shared" si="43"/>
        <v>1</v>
      </c>
    </row>
    <row r="1265" spans="1:2">
      <c r="A1265" s="798">
        <f t="shared" si="42"/>
        <v>1900</v>
      </c>
      <c r="B1265" s="798">
        <f t="shared" si="43"/>
        <v>1</v>
      </c>
    </row>
    <row r="1266" spans="1:2">
      <c r="A1266" s="798">
        <f t="shared" si="42"/>
        <v>1900</v>
      </c>
      <c r="B1266" s="798">
        <f t="shared" si="43"/>
        <v>1</v>
      </c>
    </row>
    <row r="1267" spans="1:2">
      <c r="A1267" s="798">
        <f t="shared" si="42"/>
        <v>1900</v>
      </c>
      <c r="B1267" s="798">
        <f t="shared" si="43"/>
        <v>1</v>
      </c>
    </row>
    <row r="1268" spans="1:2">
      <c r="A1268" s="798">
        <f t="shared" si="42"/>
        <v>1900</v>
      </c>
      <c r="B1268" s="798">
        <f t="shared" si="43"/>
        <v>1</v>
      </c>
    </row>
    <row r="1269" spans="1:2">
      <c r="A1269" s="798">
        <f t="shared" si="42"/>
        <v>1900</v>
      </c>
      <c r="B1269" s="798">
        <f t="shared" si="43"/>
        <v>1</v>
      </c>
    </row>
    <row r="1270" spans="1:2">
      <c r="A1270" s="798">
        <f t="shared" si="42"/>
        <v>1900</v>
      </c>
      <c r="B1270" s="798">
        <f t="shared" si="43"/>
        <v>1</v>
      </c>
    </row>
    <row r="1271" spans="1:2">
      <c r="A1271" s="798">
        <f t="shared" si="42"/>
        <v>1900</v>
      </c>
      <c r="B1271" s="798">
        <f t="shared" si="43"/>
        <v>1</v>
      </c>
    </row>
    <row r="1272" spans="1:2">
      <c r="A1272" s="798">
        <f t="shared" si="42"/>
        <v>1900</v>
      </c>
      <c r="B1272" s="798">
        <f t="shared" si="43"/>
        <v>1</v>
      </c>
    </row>
    <row r="1273" spans="1:2">
      <c r="A1273" s="798">
        <f t="shared" si="42"/>
        <v>1900</v>
      </c>
      <c r="B1273" s="798">
        <f t="shared" si="43"/>
        <v>1</v>
      </c>
    </row>
    <row r="1274" spans="1:2">
      <c r="A1274" s="798">
        <f t="shared" si="42"/>
        <v>1900</v>
      </c>
      <c r="B1274" s="798">
        <f t="shared" si="43"/>
        <v>1</v>
      </c>
    </row>
    <row r="1275" spans="1:2">
      <c r="A1275" s="798">
        <f t="shared" si="42"/>
        <v>1900</v>
      </c>
      <c r="B1275" s="798">
        <f t="shared" si="43"/>
        <v>1</v>
      </c>
    </row>
    <row r="1276" spans="1:2">
      <c r="A1276" s="798">
        <f t="shared" si="42"/>
        <v>1900</v>
      </c>
      <c r="B1276" s="798">
        <f t="shared" si="43"/>
        <v>1</v>
      </c>
    </row>
    <row r="1277" spans="1:2">
      <c r="A1277" s="798">
        <f t="shared" si="42"/>
        <v>1900</v>
      </c>
      <c r="B1277" s="798">
        <f t="shared" si="43"/>
        <v>1</v>
      </c>
    </row>
    <row r="1278" spans="1:2">
      <c r="A1278" s="798">
        <f t="shared" si="42"/>
        <v>1900</v>
      </c>
      <c r="B1278" s="798">
        <f t="shared" si="43"/>
        <v>1</v>
      </c>
    </row>
    <row r="1279" spans="1:2">
      <c r="A1279" s="798">
        <f t="shared" si="42"/>
        <v>1900</v>
      </c>
      <c r="B1279" s="798">
        <f t="shared" si="43"/>
        <v>1</v>
      </c>
    </row>
    <row r="1280" spans="1:2">
      <c r="A1280" s="798">
        <f t="shared" si="42"/>
        <v>1900</v>
      </c>
      <c r="B1280" s="798">
        <f t="shared" si="43"/>
        <v>1</v>
      </c>
    </row>
    <row r="1281" spans="1:2">
      <c r="A1281" s="798">
        <f t="shared" si="42"/>
        <v>1900</v>
      </c>
      <c r="B1281" s="798">
        <f t="shared" si="43"/>
        <v>1</v>
      </c>
    </row>
    <row r="1282" spans="1:2">
      <c r="A1282" s="798">
        <f t="shared" si="42"/>
        <v>1900</v>
      </c>
      <c r="B1282" s="798">
        <f t="shared" si="43"/>
        <v>1</v>
      </c>
    </row>
    <row r="1283" spans="1:2">
      <c r="A1283" s="798">
        <f t="shared" si="42"/>
        <v>1900</v>
      </c>
      <c r="B1283" s="798">
        <f t="shared" si="43"/>
        <v>1</v>
      </c>
    </row>
    <row r="1284" spans="1:2">
      <c r="A1284" s="798">
        <f t="shared" si="42"/>
        <v>1900</v>
      </c>
      <c r="B1284" s="798">
        <f t="shared" si="43"/>
        <v>1</v>
      </c>
    </row>
    <row r="1285" spans="1:2">
      <c r="A1285" s="798">
        <f t="shared" si="42"/>
        <v>1900</v>
      </c>
      <c r="B1285" s="798">
        <f t="shared" si="43"/>
        <v>1</v>
      </c>
    </row>
    <row r="1286" spans="1:2">
      <c r="A1286" s="798">
        <f t="shared" si="42"/>
        <v>1900</v>
      </c>
      <c r="B1286" s="798">
        <f t="shared" si="43"/>
        <v>1</v>
      </c>
    </row>
    <row r="1287" spans="1:2">
      <c r="A1287" s="798">
        <f t="shared" si="42"/>
        <v>1900</v>
      </c>
      <c r="B1287" s="798">
        <f t="shared" si="43"/>
        <v>1</v>
      </c>
    </row>
    <row r="1288" spans="1:2">
      <c r="A1288" s="798">
        <f t="shared" si="42"/>
        <v>1900</v>
      </c>
      <c r="B1288" s="798">
        <f t="shared" si="43"/>
        <v>1</v>
      </c>
    </row>
    <row r="1289" spans="1:2">
      <c r="A1289" s="798">
        <f t="shared" si="42"/>
        <v>1900</v>
      </c>
      <c r="B1289" s="798">
        <f t="shared" si="43"/>
        <v>1</v>
      </c>
    </row>
    <row r="1290" spans="1:2">
      <c r="A1290" s="798">
        <f t="shared" ref="A1290:A1300" si="44">YEAR(C1290)</f>
        <v>1900</v>
      </c>
      <c r="B1290" s="798">
        <f t="shared" ref="B1290:B1300" si="45">IF(OR(MONTH(C1290)=1,MONTH(C1290)=2,MONTH(C1290)=3),1,IF(OR(MONTH(C1290)=4,MONTH(C1290)=5,MONTH(C1290)=6),2,IF(OR(MONTH(C1290)=7,MONTH(C1290)=8,MONTH(C1290)=9),3,4)))</f>
        <v>1</v>
      </c>
    </row>
    <row r="1291" spans="1:2">
      <c r="A1291" s="798">
        <f t="shared" si="44"/>
        <v>1900</v>
      </c>
      <c r="B1291" s="798">
        <f t="shared" si="45"/>
        <v>1</v>
      </c>
    </row>
    <row r="1292" spans="1:2">
      <c r="A1292" s="798">
        <f t="shared" si="44"/>
        <v>1900</v>
      </c>
      <c r="B1292" s="798">
        <f t="shared" si="45"/>
        <v>1</v>
      </c>
    </row>
    <row r="1293" spans="1:2">
      <c r="A1293" s="798">
        <f t="shared" si="44"/>
        <v>1900</v>
      </c>
      <c r="B1293" s="798">
        <f t="shared" si="45"/>
        <v>1</v>
      </c>
    </row>
    <row r="1294" spans="1:2">
      <c r="A1294" s="798">
        <f t="shared" si="44"/>
        <v>1900</v>
      </c>
      <c r="B1294" s="798">
        <f t="shared" si="45"/>
        <v>1</v>
      </c>
    </row>
    <row r="1295" spans="1:2">
      <c r="A1295" s="798">
        <f t="shared" si="44"/>
        <v>1900</v>
      </c>
      <c r="B1295" s="798">
        <f t="shared" si="45"/>
        <v>1</v>
      </c>
    </row>
    <row r="1296" spans="1:2">
      <c r="A1296" s="798">
        <f t="shared" si="44"/>
        <v>1900</v>
      </c>
      <c r="B1296" s="798">
        <f t="shared" si="45"/>
        <v>1</v>
      </c>
    </row>
    <row r="1297" spans="1:2">
      <c r="A1297" s="798">
        <f t="shared" si="44"/>
        <v>1900</v>
      </c>
      <c r="B1297" s="798">
        <f t="shared" si="45"/>
        <v>1</v>
      </c>
    </row>
    <row r="1298" spans="1:2">
      <c r="A1298" s="798">
        <f t="shared" si="44"/>
        <v>1900</v>
      </c>
      <c r="B1298" s="798">
        <f t="shared" si="45"/>
        <v>1</v>
      </c>
    </row>
    <row r="1299" spans="1:2">
      <c r="A1299" s="798">
        <f t="shared" si="44"/>
        <v>1900</v>
      </c>
      <c r="B1299" s="798">
        <f t="shared" si="45"/>
        <v>1</v>
      </c>
    </row>
    <row r="1300" spans="1:2">
      <c r="A1300" s="798">
        <f t="shared" si="44"/>
        <v>1900</v>
      </c>
      <c r="B1300" s="798">
        <f t="shared" si="45"/>
        <v>1</v>
      </c>
    </row>
  </sheetData>
  <sortState ref="AL929:AN938">
    <sortCondition descending="1" ref="AN929:AN938"/>
  </sortState>
  <mergeCells count="2">
    <mergeCell ref="AJ5:AO5"/>
    <mergeCell ref="AQ5:AW5"/>
  </mergeCells>
  <hyperlinks>
    <hyperlink ref="AF546" location="'Calendar Commodity Summary'!AP10:BX50" display="Click for Summary Table"/>
    <hyperlink ref="AE547" location="'Calendar Commodity Summary'!AP10:BX50" display="Click for Summary Table"/>
    <hyperlink ref="AR118" location="'Calendar Commodity Summary'!AP10:BX50" display="Click for Summary Table"/>
    <hyperlink ref="AJ533" location="'Calendar Commodity Summary'!AP10:BX50" display="Click for Summary Table"/>
    <hyperlink ref="AA550" location="'Calendar Commodity Summary'!AP10:BX50" display="Click for Summary Table"/>
    <hyperlink ref="AB549" location="'Calendar Commodity Summary'!AP10:BX50" display="Click for Summary Tabl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sheetPr>
  <dimension ref="A2:U61"/>
  <sheetViews>
    <sheetView workbookViewId="0"/>
  </sheetViews>
  <sheetFormatPr defaultRowHeight="15"/>
  <cols>
    <col min="1" max="1" width="15.7109375" style="51" customWidth="1"/>
    <col min="2" max="2" width="21" style="51" bestFit="1" customWidth="1"/>
    <col min="3" max="3" width="19.42578125" style="51" bestFit="1" customWidth="1"/>
    <col min="4" max="5" width="1.7109375" style="51" customWidth="1"/>
    <col min="6" max="14" width="9.140625" style="51"/>
    <col min="15" max="18" width="0" style="51" hidden="1" customWidth="1"/>
    <col min="19" max="19" width="10.85546875" style="51" customWidth="1"/>
    <col min="20" max="21" width="23.5703125" style="51" customWidth="1"/>
    <col min="22" max="16384" width="9.140625" style="51"/>
  </cols>
  <sheetData>
    <row r="2" spans="1:7">
      <c r="G2" s="1538"/>
    </row>
    <row r="4" spans="1:7" ht="20.25" customHeight="1"/>
    <row r="5" spans="1:7" ht="15.75" thickBot="1">
      <c r="A5" s="1947" t="s">
        <v>676</v>
      </c>
      <c r="B5" s="1947"/>
      <c r="C5" s="1947"/>
    </row>
    <row r="6" spans="1:7" ht="15.75" thickBot="1">
      <c r="A6" s="50"/>
      <c r="B6" s="49" t="s">
        <v>59</v>
      </c>
      <c r="C6" s="48" t="s">
        <v>60</v>
      </c>
    </row>
    <row r="7" spans="1:7">
      <c r="A7" s="39">
        <v>1965</v>
      </c>
      <c r="B7" s="38">
        <v>0</v>
      </c>
      <c r="C7" s="37">
        <v>0</v>
      </c>
    </row>
    <row r="8" spans="1:7">
      <c r="A8" s="39">
        <v>1966</v>
      </c>
      <c r="B8" s="36">
        <v>0</v>
      </c>
      <c r="C8" s="40">
        <v>0</v>
      </c>
    </row>
    <row r="9" spans="1:7">
      <c r="A9" s="39">
        <v>1967</v>
      </c>
      <c r="B9" s="35">
        <v>0.29668549999999999</v>
      </c>
      <c r="C9" s="34">
        <v>0</v>
      </c>
    </row>
    <row r="10" spans="1:7">
      <c r="A10" s="39">
        <v>1968</v>
      </c>
      <c r="B10" s="36">
        <v>0.54866499999999996</v>
      </c>
      <c r="C10" s="40">
        <v>0</v>
      </c>
    </row>
    <row r="11" spans="1:7">
      <c r="A11" s="39">
        <v>1969</v>
      </c>
      <c r="B11" s="35">
        <v>7.877408</v>
      </c>
      <c r="C11" s="34">
        <v>0</v>
      </c>
    </row>
    <row r="12" spans="1:7">
      <c r="A12" s="39">
        <v>1970</v>
      </c>
      <c r="B12" s="36">
        <v>31.609000000000002</v>
      </c>
      <c r="C12" s="40">
        <v>0</v>
      </c>
    </row>
    <row r="13" spans="1:7">
      <c r="A13" s="39">
        <v>1971</v>
      </c>
      <c r="B13" s="35">
        <v>35.768999999999998</v>
      </c>
      <c r="C13" s="34">
        <v>0</v>
      </c>
    </row>
    <row r="14" spans="1:7">
      <c r="A14" s="39">
        <v>1972</v>
      </c>
      <c r="B14" s="36">
        <v>31.37</v>
      </c>
      <c r="C14" s="40">
        <v>0</v>
      </c>
    </row>
    <row r="15" spans="1:7">
      <c r="A15" s="39">
        <v>1973</v>
      </c>
      <c r="B15" s="35">
        <v>40.228000000000002</v>
      </c>
      <c r="C15" s="34">
        <v>0</v>
      </c>
    </row>
    <row r="16" spans="1:7">
      <c r="A16" s="39">
        <v>1974</v>
      </c>
      <c r="B16" s="36">
        <v>45.93</v>
      </c>
      <c r="C16" s="40">
        <v>1.897</v>
      </c>
    </row>
    <row r="17" spans="1:21">
      <c r="A17" s="39">
        <v>1975</v>
      </c>
      <c r="B17" s="35">
        <v>53.432000000000002</v>
      </c>
      <c r="C17" s="34">
        <v>22.393000000000001</v>
      </c>
    </row>
    <row r="18" spans="1:21">
      <c r="A18" s="39">
        <v>1976</v>
      </c>
      <c r="B18" s="36">
        <v>58.000999999999998</v>
      </c>
      <c r="C18" s="40">
        <v>24.530999999999999</v>
      </c>
    </row>
    <row r="19" spans="1:21">
      <c r="A19" s="39">
        <v>1977</v>
      </c>
      <c r="B19" s="35">
        <v>56.569000000000003</v>
      </c>
      <c r="C19" s="34">
        <v>29.298999999999999</v>
      </c>
    </row>
    <row r="20" spans="1:21">
      <c r="A20" s="39">
        <v>1978</v>
      </c>
      <c r="B20" s="36">
        <v>50.723999999999997</v>
      </c>
      <c r="C20" s="40">
        <v>31.635000000000002</v>
      </c>
    </row>
    <row r="21" spans="1:21">
      <c r="A21" s="39">
        <v>1979</v>
      </c>
      <c r="B21" s="35">
        <v>43.688000000000002</v>
      </c>
      <c r="C21" s="34">
        <v>26.021000000000001</v>
      </c>
    </row>
    <row r="22" spans="1:21">
      <c r="A22" s="39">
        <v>1980</v>
      </c>
      <c r="B22" s="36">
        <v>43.597000000000001</v>
      </c>
      <c r="C22" s="40">
        <v>30.725999999999999</v>
      </c>
    </row>
    <row r="23" spans="1:21">
      <c r="A23" s="39">
        <v>1981</v>
      </c>
      <c r="B23" s="35">
        <v>47.768999999999998</v>
      </c>
      <c r="C23" s="34">
        <v>26.585999999999999</v>
      </c>
    </row>
    <row r="24" spans="1:21">
      <c r="A24" s="39">
        <v>1982</v>
      </c>
      <c r="B24" s="36">
        <v>57.545999999999999</v>
      </c>
      <c r="C24" s="40">
        <v>30.006</v>
      </c>
    </row>
    <row r="25" spans="1:21">
      <c r="A25" s="39">
        <v>1983</v>
      </c>
      <c r="B25" s="35">
        <v>57.973999999999997</v>
      </c>
      <c r="C25" s="34">
        <v>18.651</v>
      </c>
    </row>
    <row r="26" spans="1:21">
      <c r="A26" s="39">
        <v>1984</v>
      </c>
      <c r="B26" s="36">
        <v>58.837000000000003</v>
      </c>
      <c r="C26" s="40">
        <v>18.085999999999999</v>
      </c>
    </row>
    <row r="27" spans="1:21">
      <c r="A27" s="39">
        <v>1985</v>
      </c>
      <c r="B27" s="35">
        <v>55.936999999999998</v>
      </c>
      <c r="C27" s="34">
        <v>29.82</v>
      </c>
    </row>
    <row r="28" spans="1:21">
      <c r="A28" s="39">
        <v>1986</v>
      </c>
      <c r="B28" s="36">
        <v>49.228999999999999</v>
      </c>
      <c r="C28" s="40">
        <v>27.51</v>
      </c>
    </row>
    <row r="29" spans="1:21">
      <c r="A29" s="39">
        <v>1987</v>
      </c>
      <c r="B29" s="35">
        <v>47.588999999999999</v>
      </c>
      <c r="C29" s="34">
        <v>26.965</v>
      </c>
      <c r="S29" s="1972" t="s">
        <v>676</v>
      </c>
      <c r="T29" s="1972"/>
      <c r="U29" s="1972"/>
    </row>
    <row r="30" spans="1:21">
      <c r="A30" s="39">
        <v>1988</v>
      </c>
      <c r="B30" s="36">
        <v>36.302</v>
      </c>
      <c r="C30" s="40">
        <v>26.337</v>
      </c>
      <c r="S30" s="2025" t="s">
        <v>50</v>
      </c>
      <c r="T30" s="2025"/>
      <c r="U30" s="2025"/>
    </row>
    <row r="31" spans="1:21" ht="15.75" thickBot="1">
      <c r="A31" s="39">
        <v>1989</v>
      </c>
      <c r="B31" s="35">
        <v>39</v>
      </c>
      <c r="C31" s="34">
        <v>26</v>
      </c>
      <c r="S31" s="45" t="s">
        <v>49</v>
      </c>
      <c r="T31" s="44" t="str">
        <f>B6</f>
        <v>Western Australia (Kt)</v>
      </c>
      <c r="U31" s="43" t="str">
        <f>C6</f>
        <v>Rest of Australia (Kt)</v>
      </c>
    </row>
    <row r="32" spans="1:21">
      <c r="A32" s="39">
        <v>1990</v>
      </c>
      <c r="B32" s="36">
        <v>51</v>
      </c>
      <c r="C32" s="40">
        <v>16</v>
      </c>
      <c r="S32" s="1801">
        <f>LARGE(A$7:A$86,10)</f>
        <v>2010</v>
      </c>
      <c r="T32" s="1448">
        <f t="shared" ref="T32:T41" si="0">SUMIF($A$7:$A$91,$S32,B$7:B$91)</f>
        <v>193.25899999999999</v>
      </c>
      <c r="U32" s="1802">
        <f t="shared" ref="U32:U41" si="1">SUMIF($A$7:$A$91,$S32,C$7:C$91)</f>
        <v>0</v>
      </c>
    </row>
    <row r="33" spans="1:21">
      <c r="A33" s="39">
        <v>1991</v>
      </c>
      <c r="B33" s="35">
        <v>56</v>
      </c>
      <c r="C33" s="34">
        <v>13</v>
      </c>
      <c r="S33" s="39">
        <f>LARGE(A$7:A$86,9)</f>
        <v>2011</v>
      </c>
      <c r="T33" s="521">
        <f t="shared" si="0"/>
        <v>185.13</v>
      </c>
      <c r="U33" s="352">
        <f t="shared" si="1"/>
        <v>0</v>
      </c>
    </row>
    <row r="34" spans="1:21">
      <c r="A34" s="39">
        <v>1992</v>
      </c>
      <c r="B34" s="36">
        <v>48</v>
      </c>
      <c r="C34" s="40">
        <v>10</v>
      </c>
      <c r="S34" s="39">
        <f>LARGE(A$7:A$86,8)</f>
        <v>2012</v>
      </c>
      <c r="T34" s="1449">
        <f t="shared" si="0"/>
        <v>230.76710035740911</v>
      </c>
      <c r="U34" s="1803">
        <f t="shared" si="1"/>
        <v>0</v>
      </c>
    </row>
    <row r="35" spans="1:21">
      <c r="A35" s="39">
        <v>1993</v>
      </c>
      <c r="B35" s="35">
        <v>55.463000000000001</v>
      </c>
      <c r="C35" s="34">
        <v>14.537000000000001</v>
      </c>
      <c r="S35" s="39">
        <f>LARGE(A$7:A$86,7)</f>
        <v>2013</v>
      </c>
      <c r="T35" s="521">
        <f t="shared" si="0"/>
        <v>229.73</v>
      </c>
      <c r="U35" s="352">
        <f t="shared" si="1"/>
        <v>0</v>
      </c>
    </row>
    <row r="36" spans="1:21">
      <c r="A36" s="39">
        <v>1994</v>
      </c>
      <c r="B36" s="36">
        <v>77</v>
      </c>
      <c r="C36" s="40">
        <v>2</v>
      </c>
      <c r="S36" s="39">
        <f>LARGE(A$7:A$86,6)</f>
        <v>2014</v>
      </c>
      <c r="T36" s="1449">
        <f t="shared" si="0"/>
        <v>218.56311600000001</v>
      </c>
      <c r="U36" s="1803">
        <f t="shared" si="1"/>
        <v>0</v>
      </c>
    </row>
    <row r="37" spans="1:21">
      <c r="A37" s="39">
        <v>1995</v>
      </c>
      <c r="B37" s="35">
        <v>101.358</v>
      </c>
      <c r="C37" s="34">
        <v>0.64200000000000002</v>
      </c>
      <c r="S37" s="39">
        <f>LARGE(A$7:A$86,5)</f>
        <v>2015</v>
      </c>
      <c r="T37" s="521">
        <f t="shared" si="0"/>
        <v>173.97419099999999</v>
      </c>
      <c r="U37" s="352">
        <f t="shared" si="1"/>
        <v>0</v>
      </c>
    </row>
    <row r="38" spans="1:21">
      <c r="A38" s="39">
        <v>1996</v>
      </c>
      <c r="B38" s="36">
        <v>112.108</v>
      </c>
      <c r="C38" s="40">
        <v>4</v>
      </c>
      <c r="S38" s="39">
        <f>LARGE(A$7:A$86,4)</f>
        <v>2016</v>
      </c>
      <c r="T38" s="1449">
        <f t="shared" si="0"/>
        <v>165.47567599999999</v>
      </c>
      <c r="U38" s="1803">
        <f t="shared" si="1"/>
        <v>0</v>
      </c>
    </row>
    <row r="39" spans="1:21">
      <c r="A39" s="39">
        <v>1997</v>
      </c>
      <c r="B39" s="35">
        <v>122.991</v>
      </c>
      <c r="C39" s="34">
        <v>0</v>
      </c>
      <c r="S39" s="39">
        <f>LARGE(A$7:A$86,3)</f>
        <v>2017</v>
      </c>
      <c r="T39" s="521">
        <f t="shared" si="0"/>
        <v>165.18295699999999</v>
      </c>
      <c r="U39" s="352">
        <f t="shared" si="1"/>
        <v>0</v>
      </c>
    </row>
    <row r="40" spans="1:21">
      <c r="A40" s="39">
        <v>1998</v>
      </c>
      <c r="B40" s="36">
        <v>143.08199999999999</v>
      </c>
      <c r="C40" s="40">
        <v>0</v>
      </c>
      <c r="S40" s="39">
        <f>LARGE(A$7:A$86,2)</f>
        <v>2018</v>
      </c>
      <c r="T40" s="1449">
        <f t="shared" si="0"/>
        <v>149.706005</v>
      </c>
      <c r="U40" s="1803">
        <f t="shared" si="1"/>
        <v>0</v>
      </c>
    </row>
    <row r="41" spans="1:21" ht="15.75" thickBot="1">
      <c r="A41" s="39">
        <v>1999</v>
      </c>
      <c r="B41" s="35">
        <f>SUMIF('Nickel - Q&amp;V'!$D$8:$D$200,'Nickel - WA vs Australia'!A41,'Nickel - Q&amp;V'!$B$8:$B$200)</f>
        <v>122.79599999999999</v>
      </c>
      <c r="C41" s="34">
        <v>0</v>
      </c>
      <c r="S41" s="1800">
        <f>LARGE(A$7:A$86,1)</f>
        <v>2019</v>
      </c>
      <c r="T41" s="1690">
        <f t="shared" si="0"/>
        <v>153.92408</v>
      </c>
      <c r="U41" s="354">
        <f t="shared" si="1"/>
        <v>0</v>
      </c>
    </row>
    <row r="42" spans="1:21">
      <c r="A42" s="39">
        <v>2000</v>
      </c>
      <c r="B42" s="36">
        <f>SUMIF('Nickel - Q&amp;V'!$D$8:$D$200,'Nickel - WA vs Australia'!A42,'Nickel - Q&amp;V'!$B$8:$B$200)</f>
        <v>154.07399999999998</v>
      </c>
      <c r="C42" s="40">
        <v>0</v>
      </c>
    </row>
    <row r="43" spans="1:21">
      <c r="A43" s="39">
        <v>2001</v>
      </c>
      <c r="B43" s="35">
        <f>SUMIF('Nickel - Q&amp;V'!$D$8:$D$200,'Nickel - WA vs Australia'!A43,'Nickel - Q&amp;V'!$B$8:$B$200)</f>
        <v>181.16899999999998</v>
      </c>
      <c r="C43" s="34">
        <v>0</v>
      </c>
    </row>
    <row r="44" spans="1:21">
      <c r="A44" s="39">
        <v>2002</v>
      </c>
      <c r="B44" s="36">
        <f>SUMIF('Nickel - Q&amp;V'!$D$8:$D$200,'Nickel - WA vs Australia'!A44,'Nickel - Q&amp;V'!$B$8:$B$200)</f>
        <v>183.00200000000001</v>
      </c>
      <c r="C44" s="40">
        <v>0</v>
      </c>
    </row>
    <row r="45" spans="1:21">
      <c r="A45" s="39">
        <v>2003</v>
      </c>
      <c r="B45" s="35">
        <f>SUMIF('Nickel - Q&amp;V'!$D$8:$D$200,'Nickel - WA vs Australia'!A45,'Nickel - Q&amp;V'!$B$8:$B$200)</f>
        <v>190.20999999999998</v>
      </c>
      <c r="C45" s="34">
        <v>0</v>
      </c>
    </row>
    <row r="46" spans="1:21">
      <c r="A46" s="39">
        <v>2004</v>
      </c>
      <c r="B46" s="36">
        <f>SUMIF('Nickel - Q&amp;V'!$D$8:$D$200,'Nickel - WA vs Australia'!A46,'Nickel - Q&amp;V'!$B$8:$B$200)</f>
        <v>174.70099999999999</v>
      </c>
      <c r="C46" s="40">
        <v>0</v>
      </c>
    </row>
    <row r="47" spans="1:21">
      <c r="A47" s="39">
        <v>2005</v>
      </c>
      <c r="B47" s="35">
        <f>SUMIF('Nickel - Q&amp;V'!$D$8:$D$200,'Nickel - WA vs Australia'!A47,'Nickel - Q&amp;V'!$B$8:$B$200)</f>
        <v>188.36199999999999</v>
      </c>
      <c r="C47" s="34">
        <v>0</v>
      </c>
    </row>
    <row r="48" spans="1:21">
      <c r="A48" s="39">
        <v>2006</v>
      </c>
      <c r="B48" s="36">
        <f>SUMIF('Nickel - Q&amp;V'!$D$8:$D$200,'Nickel - WA vs Australia'!A48,'Nickel - Q&amp;V'!$B$8:$B$200)</f>
        <v>175.08699999999999</v>
      </c>
      <c r="C48" s="40">
        <v>0</v>
      </c>
    </row>
    <row r="49" spans="1:3">
      <c r="A49" s="39">
        <v>2007</v>
      </c>
      <c r="B49" s="35">
        <f>SUMIF('Nickel - Q&amp;V'!$D$8:$D$200,'Nickel - WA vs Australia'!A49,'Nickel - Q&amp;V'!$B$8:$B$200)</f>
        <v>162.49200000000002</v>
      </c>
      <c r="C49" s="34">
        <v>0</v>
      </c>
    </row>
    <row r="50" spans="1:3">
      <c r="A50" s="39">
        <v>2008</v>
      </c>
      <c r="B50" s="36">
        <f>SUMIF('Nickel - Q&amp;V'!$D$8:$D$200,'Nickel - WA vs Australia'!A50,'Nickel - Q&amp;V'!$B$8:$B$200)</f>
        <v>187.791</v>
      </c>
      <c r="C50" s="40">
        <v>0</v>
      </c>
    </row>
    <row r="51" spans="1:3">
      <c r="A51" s="39">
        <v>2009</v>
      </c>
      <c r="B51" s="35">
        <f>SUMIF('Nickel - Q&amp;V'!$D$8:$D$200,'Nickel - WA vs Australia'!A51,'Nickel - Q&amp;V'!$B$8:$B$200)</f>
        <v>171.178</v>
      </c>
      <c r="C51" s="34">
        <v>0</v>
      </c>
    </row>
    <row r="52" spans="1:3">
      <c r="A52" s="39">
        <v>2010</v>
      </c>
      <c r="B52" s="36">
        <f>SUMIF('Nickel - Q&amp;V'!$D$8:$D$200,'Nickel - WA vs Australia'!A52,'Nickel - Q&amp;V'!$B$8:$B$200)</f>
        <v>193.25899999999999</v>
      </c>
      <c r="C52" s="40">
        <v>0</v>
      </c>
    </row>
    <row r="53" spans="1:3">
      <c r="A53" s="39">
        <v>2011</v>
      </c>
      <c r="B53" s="35">
        <f>SUMIF('Nickel - Q&amp;V'!$D$8:$D$200,'Nickel - WA vs Australia'!A53,'Nickel - Q&amp;V'!$B$8:$B$200)</f>
        <v>185.13</v>
      </c>
      <c r="C53" s="34">
        <v>0</v>
      </c>
    </row>
    <row r="54" spans="1:3">
      <c r="A54" s="39">
        <v>2012</v>
      </c>
      <c r="B54" s="36">
        <f>SUMIF('Nickel - Q&amp;V'!$D$8:$D$200,'Nickel - WA vs Australia'!A54,'Nickel - Q&amp;V'!$B$8:$B$200)</f>
        <v>230.76710035740911</v>
      </c>
      <c r="C54" s="40">
        <v>0</v>
      </c>
    </row>
    <row r="55" spans="1:3">
      <c r="A55" s="39">
        <v>2013</v>
      </c>
      <c r="B55" s="501">
        <f>SUMIF('Nickel - Q&amp;V'!$D$8:$D$200,'Nickel - WA vs Australia'!A55,'Nickel - Q&amp;V'!$B$8:$B$200)</f>
        <v>229.73</v>
      </c>
      <c r="C55" s="502">
        <v>0</v>
      </c>
    </row>
    <row r="56" spans="1:3">
      <c r="A56" s="39">
        <v>2014</v>
      </c>
      <c r="B56" s="36">
        <f>SUMIF('Nickel - Q&amp;V'!$D$8:$D$200,'Nickel - WA vs Australia'!A56,'Nickel - Q&amp;V'!$B$8:$B$200)</f>
        <v>218.56311600000001</v>
      </c>
      <c r="C56" s="40">
        <v>0</v>
      </c>
    </row>
    <row r="57" spans="1:3">
      <c r="A57" s="39">
        <v>2015</v>
      </c>
      <c r="B57" s="501">
        <f>SUMIF('Nickel - Q&amp;V'!$D$8:$D$200,'Nickel - WA vs Australia'!A57,'Nickel - Q&amp;V'!$B$8:$B$200)</f>
        <v>173.97419099999999</v>
      </c>
      <c r="C57" s="502">
        <v>0</v>
      </c>
    </row>
    <row r="58" spans="1:3">
      <c r="A58" s="39">
        <v>2016</v>
      </c>
      <c r="B58" s="36">
        <f>SUMIF('Nickel - Q&amp;V'!$D$8:$D$200,'Nickel - WA vs Australia'!A58,'Nickel - Q&amp;V'!$B$8:$B$200)</f>
        <v>165.47567599999999</v>
      </c>
      <c r="C58" s="40">
        <v>0</v>
      </c>
    </row>
    <row r="59" spans="1:3">
      <c r="A59" s="39">
        <v>2017</v>
      </c>
      <c r="B59" s="501">
        <f>SUMIF('Nickel - Q&amp;V'!$D$8:$D$200,'Nickel - WA vs Australia'!A59,'Nickel - Q&amp;V'!$B$8:$B$200)</f>
        <v>165.18295699999999</v>
      </c>
      <c r="C59" s="37">
        <v>0</v>
      </c>
    </row>
    <row r="60" spans="1:3">
      <c r="A60" s="39">
        <v>2018</v>
      </c>
      <c r="B60" s="36">
        <f>SUMIF('Nickel - Q&amp;V'!$D$8:$D$200,'Nickel - WA vs Australia'!A60,'Nickel - Q&amp;V'!$B$8:$B$200)</f>
        <v>149.706005</v>
      </c>
      <c r="C60" s="40">
        <v>0</v>
      </c>
    </row>
    <row r="61" spans="1:3" ht="15.75" thickBot="1">
      <c r="A61" s="33">
        <v>2019</v>
      </c>
      <c r="B61" s="1669">
        <f>SUMIF('Nickel - Q&amp;V'!$D$8:$D$200,'Nickel - WA vs Australia'!A61,'Nickel - Q&amp;V'!$B$8:$B$200)</f>
        <v>153.92408</v>
      </c>
      <c r="C61" s="1184">
        <v>0</v>
      </c>
    </row>
  </sheetData>
  <mergeCells count="3">
    <mergeCell ref="A5:C5"/>
    <mergeCell ref="S29:U29"/>
    <mergeCell ref="S30:U3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8" tint="0.39997558519241921"/>
  </sheetPr>
  <dimension ref="A1:Z363"/>
  <sheetViews>
    <sheetView zoomScale="85" zoomScaleNormal="85" workbookViewId="0"/>
  </sheetViews>
  <sheetFormatPr defaultRowHeight="15"/>
  <cols>
    <col min="1" max="1" width="7.85546875" style="86" bestFit="1" customWidth="1"/>
    <col min="2" max="7" width="14" style="86" customWidth="1"/>
    <col min="8" max="8" width="14" style="98" hidden="1" customWidth="1"/>
    <col min="9" max="9" width="4" style="86" hidden="1" customWidth="1"/>
    <col min="10" max="19" width="9.140625" style="86"/>
    <col min="20" max="26" width="19.85546875" style="86" customWidth="1"/>
    <col min="27" max="16384" width="9.140625" style="86"/>
  </cols>
  <sheetData>
    <row r="1" spans="1:22">
      <c r="A1" s="350" t="s">
        <v>429</v>
      </c>
    </row>
    <row r="2" spans="1:22">
      <c r="A2" s="350" t="s">
        <v>446</v>
      </c>
    </row>
    <row r="5" spans="1:22">
      <c r="A5" s="1947" t="s">
        <v>666</v>
      </c>
      <c r="B5" s="1947"/>
      <c r="C5" s="1947"/>
      <c r="D5" s="1947"/>
      <c r="E5" s="1947"/>
      <c r="F5" s="1947"/>
      <c r="G5" s="1947"/>
      <c r="H5" s="305"/>
    </row>
    <row r="6" spans="1:22" ht="15.75" thickBot="1">
      <c r="A6" s="1992" t="s">
        <v>657</v>
      </c>
      <c r="B6" s="1992"/>
      <c r="C6" s="1992"/>
      <c r="D6" s="1992"/>
      <c r="E6" s="1992"/>
      <c r="F6" s="1992"/>
      <c r="G6" s="1992"/>
      <c r="H6" s="306"/>
    </row>
    <row r="7" spans="1:22" s="138" customFormat="1" ht="15.75" thickBot="1">
      <c r="A7" s="121"/>
      <c r="B7" s="2048" t="s">
        <v>96</v>
      </c>
      <c r="C7" s="2048"/>
      <c r="D7" s="2048" t="s">
        <v>97</v>
      </c>
      <c r="E7" s="2048"/>
      <c r="F7" s="2048" t="s">
        <v>98</v>
      </c>
      <c r="G7" s="2048"/>
      <c r="H7" s="298"/>
    </row>
    <row r="8" spans="1:22" ht="15.75" thickBot="1">
      <c r="A8" s="130" t="s">
        <v>6</v>
      </c>
      <c r="B8" s="131" t="s">
        <v>99</v>
      </c>
      <c r="C8" s="132" t="s">
        <v>804</v>
      </c>
      <c r="D8" s="133" t="s">
        <v>99</v>
      </c>
      <c r="E8" s="132" t="s">
        <v>804</v>
      </c>
      <c r="F8" s="133" t="s">
        <v>99</v>
      </c>
      <c r="G8" s="132" t="s">
        <v>804</v>
      </c>
      <c r="H8" s="297"/>
      <c r="T8" s="1972" t="s">
        <v>100</v>
      </c>
      <c r="U8" s="1972"/>
      <c r="V8" s="1972"/>
    </row>
    <row r="9" spans="1:22">
      <c r="A9" s="119">
        <v>36220</v>
      </c>
      <c r="B9" s="35">
        <v>1.7620640000000001</v>
      </c>
      <c r="C9" s="73">
        <v>200.01295300000001</v>
      </c>
      <c r="D9" s="531">
        <v>1.245798</v>
      </c>
      <c r="E9" s="123">
        <v>148.50315900000001</v>
      </c>
      <c r="F9" s="35">
        <f>D9+B9</f>
        <v>3.0078620000000003</v>
      </c>
      <c r="G9" s="73">
        <f>E9+C9</f>
        <v>348.51611200000002</v>
      </c>
      <c r="H9" s="301">
        <f>YEAR(A9)</f>
        <v>1999</v>
      </c>
      <c r="I9" s="302" t="str">
        <f>IF(MONTH(A9)=3,"1",IF(MONTH(A9)=6,"2",IF(MONTH(A9)=9,"3","4")))</f>
        <v>1</v>
      </c>
      <c r="T9" s="2025" t="s">
        <v>51</v>
      </c>
      <c r="U9" s="2025"/>
      <c r="V9" s="2025"/>
    </row>
    <row r="10" spans="1:22" ht="15.75" thickBot="1">
      <c r="A10" s="119">
        <v>36312</v>
      </c>
      <c r="B10" s="528">
        <v>1.4574940000000001</v>
      </c>
      <c r="C10" s="134">
        <v>207.42253199999999</v>
      </c>
      <c r="D10" s="532">
        <v>1.2554799999999999</v>
      </c>
      <c r="E10" s="134">
        <v>193.994733</v>
      </c>
      <c r="F10" s="528">
        <f t="shared" ref="F10:F68" si="0">D10+B10</f>
        <v>2.712974</v>
      </c>
      <c r="G10" s="134">
        <f t="shared" ref="G10:G68" si="1">E10+C10</f>
        <v>401.41726499999999</v>
      </c>
      <c r="H10" s="301">
        <f t="shared" ref="H10:H73" si="2">YEAR(A10)</f>
        <v>1999</v>
      </c>
      <c r="I10" s="302" t="str">
        <f>IF(MONTH(A10)=3,"1",IF(MONTH(A10)=6,"2",IF(MONTH(A10)=9,"3","4")))</f>
        <v>2</v>
      </c>
      <c r="T10" s="135" t="s">
        <v>6</v>
      </c>
      <c r="U10" s="136" t="s">
        <v>99</v>
      </c>
      <c r="V10" s="137" t="s">
        <v>804</v>
      </c>
    </row>
    <row r="11" spans="1:22">
      <c r="A11" s="119">
        <v>36404</v>
      </c>
      <c r="B11" s="35">
        <v>2.2850799999999998</v>
      </c>
      <c r="C11" s="73">
        <v>475.87644</v>
      </c>
      <c r="D11" s="533">
        <v>1.5781829999999999</v>
      </c>
      <c r="E11" s="73">
        <v>318.31437699999998</v>
      </c>
      <c r="F11" s="35">
        <f t="shared" si="0"/>
        <v>3.8632629999999999</v>
      </c>
      <c r="G11" s="73">
        <f t="shared" si="1"/>
        <v>794.19081699999992</v>
      </c>
      <c r="H11" s="301">
        <f t="shared" si="2"/>
        <v>1999</v>
      </c>
      <c r="I11" s="302" t="str">
        <f t="shared" ref="I11:I74" si="3">IF(MONTH(A11)=3,"1",IF(MONTH(A11)=6,"2",IF(MONTH(A11)=9,"3","4")))</f>
        <v>3</v>
      </c>
      <c r="T11" s="1882">
        <f>LARGE(A$9:A$739,10)</f>
        <v>42979</v>
      </c>
      <c r="U11" s="534">
        <f t="shared" ref="U11:U20" si="4">SUMIF($A$9:$A$739,$T11,F$9:F$739)</f>
        <v>3.0569949545946957</v>
      </c>
      <c r="V11" s="1883">
        <f t="shared" ref="V11:V20" si="5">SUMIF($A$9:$A$739,$T11,G$9:G$739)</f>
        <v>1231.9745860531343</v>
      </c>
    </row>
    <row r="12" spans="1:22">
      <c r="A12" s="119">
        <v>36495</v>
      </c>
      <c r="B12" s="528">
        <v>2.9858009999999999</v>
      </c>
      <c r="C12" s="134">
        <v>675.97909800000002</v>
      </c>
      <c r="D12" s="532">
        <v>1.485668</v>
      </c>
      <c r="E12" s="134">
        <v>352.48540500000001</v>
      </c>
      <c r="F12" s="528">
        <f t="shared" si="0"/>
        <v>4.4714689999999999</v>
      </c>
      <c r="G12" s="134">
        <f t="shared" si="1"/>
        <v>1028.4645030000001</v>
      </c>
      <c r="H12" s="301">
        <f t="shared" si="2"/>
        <v>1999</v>
      </c>
      <c r="I12" s="302" t="str">
        <f t="shared" si="3"/>
        <v>4</v>
      </c>
      <c r="T12" s="283">
        <f>LARGE(A$9:A$739,9)</f>
        <v>43070</v>
      </c>
      <c r="U12" s="521">
        <f t="shared" si="4"/>
        <v>2.9879805900000003</v>
      </c>
      <c r="V12" s="511">
        <f t="shared" si="5"/>
        <v>1513.5141898363584</v>
      </c>
    </row>
    <row r="13" spans="1:22">
      <c r="A13" s="119">
        <v>36586</v>
      </c>
      <c r="B13" s="35">
        <v>3.5222440000000002</v>
      </c>
      <c r="C13" s="73">
        <v>988.31516999999997</v>
      </c>
      <c r="D13" s="533">
        <v>1.7186859999999999</v>
      </c>
      <c r="E13" s="73">
        <v>477.41885100000002</v>
      </c>
      <c r="F13" s="35">
        <f t="shared" si="0"/>
        <v>5.2409300000000005</v>
      </c>
      <c r="G13" s="73">
        <f t="shared" si="1"/>
        <v>1465.734021</v>
      </c>
      <c r="H13" s="301">
        <f t="shared" si="2"/>
        <v>2000</v>
      </c>
      <c r="I13" s="302" t="str">
        <f t="shared" si="3"/>
        <v>1</v>
      </c>
      <c r="T13" s="283">
        <f>LARGE(A$9:A$739,8)</f>
        <v>43160</v>
      </c>
      <c r="U13" s="1407">
        <f t="shared" si="4"/>
        <v>3.1320553626895293</v>
      </c>
      <c r="V13" s="1884">
        <f t="shared" si="5"/>
        <v>1680.4427665957535</v>
      </c>
    </row>
    <row r="14" spans="1:22">
      <c r="A14" s="119">
        <v>36678</v>
      </c>
      <c r="B14" s="528">
        <v>3.260481</v>
      </c>
      <c r="C14" s="134">
        <v>1004.59593</v>
      </c>
      <c r="D14" s="532">
        <v>1.5651109999999999</v>
      </c>
      <c r="E14" s="134">
        <v>435.71981599999998</v>
      </c>
      <c r="F14" s="528">
        <f t="shared" si="0"/>
        <v>4.8255920000000003</v>
      </c>
      <c r="G14" s="134">
        <f t="shared" si="1"/>
        <v>1440.315746</v>
      </c>
      <c r="H14" s="301">
        <f t="shared" si="2"/>
        <v>2000</v>
      </c>
      <c r="I14" s="302" t="str">
        <f t="shared" si="3"/>
        <v>2</v>
      </c>
      <c r="T14" s="283">
        <f>LARGE(A$9:A$739,7)</f>
        <v>43252</v>
      </c>
      <c r="U14" s="521">
        <f t="shared" si="4"/>
        <v>2.8144015855257725</v>
      </c>
      <c r="V14" s="511">
        <f t="shared" si="5"/>
        <v>1769.4786716707656</v>
      </c>
    </row>
    <row r="15" spans="1:22">
      <c r="A15" s="119">
        <v>36770</v>
      </c>
      <c r="B15" s="35">
        <v>3.5014810000000001</v>
      </c>
      <c r="C15" s="73">
        <v>1287.8987099999999</v>
      </c>
      <c r="D15" s="533">
        <v>1.521156</v>
      </c>
      <c r="E15" s="73">
        <v>524.73260700000003</v>
      </c>
      <c r="F15" s="35">
        <f t="shared" si="0"/>
        <v>5.0226369999999996</v>
      </c>
      <c r="G15" s="73">
        <f t="shared" si="1"/>
        <v>1812.6313169999999</v>
      </c>
      <c r="H15" s="301">
        <f t="shared" si="2"/>
        <v>2000</v>
      </c>
      <c r="I15" s="302" t="str">
        <f t="shared" si="3"/>
        <v>3</v>
      </c>
      <c r="T15" s="283">
        <f>LARGE(A$9:A$739,6)</f>
        <v>43344</v>
      </c>
      <c r="U15" s="1407">
        <f t="shared" si="4"/>
        <v>2.9802251078680562</v>
      </c>
      <c r="V15" s="1884">
        <f t="shared" si="5"/>
        <v>1926.7422634528075</v>
      </c>
    </row>
    <row r="16" spans="1:22">
      <c r="A16" s="119">
        <v>36861</v>
      </c>
      <c r="B16" s="528">
        <v>3.459209</v>
      </c>
      <c r="C16" s="134">
        <v>1191.6063360000001</v>
      </c>
      <c r="D16" s="532">
        <v>1.391394</v>
      </c>
      <c r="E16" s="134">
        <v>508.49971399999998</v>
      </c>
      <c r="F16" s="528">
        <f t="shared" si="0"/>
        <v>4.8506029999999996</v>
      </c>
      <c r="G16" s="134">
        <f t="shared" si="1"/>
        <v>1700.1060500000001</v>
      </c>
      <c r="H16" s="301">
        <f t="shared" si="2"/>
        <v>2000</v>
      </c>
      <c r="I16" s="302" t="str">
        <f t="shared" si="3"/>
        <v>4</v>
      </c>
      <c r="T16" s="283">
        <f>LARGE(A$9:A$739,5)</f>
        <v>43435</v>
      </c>
      <c r="U16" s="521">
        <f t="shared" si="4"/>
        <v>3.4960052680638567</v>
      </c>
      <c r="V16" s="511">
        <f t="shared" si="5"/>
        <v>2071.3246603680377</v>
      </c>
    </row>
    <row r="17" spans="1:24">
      <c r="A17" s="119">
        <v>36951</v>
      </c>
      <c r="B17" s="35">
        <v>3.7562519999999999</v>
      </c>
      <c r="C17" s="73">
        <v>1238.314519</v>
      </c>
      <c r="D17" s="533">
        <v>1.461999</v>
      </c>
      <c r="E17" s="73">
        <v>472.85967299999999</v>
      </c>
      <c r="F17" s="35">
        <f t="shared" si="0"/>
        <v>5.2182510000000004</v>
      </c>
      <c r="G17" s="73">
        <f t="shared" si="1"/>
        <v>1711.1741919999999</v>
      </c>
      <c r="H17" s="301">
        <f t="shared" si="2"/>
        <v>2001</v>
      </c>
      <c r="I17" s="302" t="str">
        <f t="shared" si="3"/>
        <v>1</v>
      </c>
      <c r="T17" s="283">
        <f>LARGE(A$9:A$739,4)</f>
        <v>43525</v>
      </c>
      <c r="U17" s="1407">
        <f t="shared" si="4"/>
        <v>4.1085410636528845</v>
      </c>
      <c r="V17" s="1884">
        <f t="shared" si="5"/>
        <v>2113.1159586816966</v>
      </c>
    </row>
    <row r="18" spans="1:24">
      <c r="A18" s="119">
        <v>37043</v>
      </c>
      <c r="B18" s="528">
        <v>3.240332</v>
      </c>
      <c r="C18" s="134">
        <v>1074.2325169999999</v>
      </c>
      <c r="D18" s="532">
        <v>1.434911</v>
      </c>
      <c r="E18" s="134">
        <v>478.43494600000002</v>
      </c>
      <c r="F18" s="528">
        <f t="shared" si="0"/>
        <v>4.675243</v>
      </c>
      <c r="G18" s="134">
        <f t="shared" si="1"/>
        <v>1552.667463</v>
      </c>
      <c r="H18" s="301">
        <f t="shared" si="2"/>
        <v>2001</v>
      </c>
      <c r="I18" s="302" t="str">
        <f t="shared" si="3"/>
        <v>2</v>
      </c>
      <c r="T18" s="283">
        <f>LARGE(A$9:A$739,3)</f>
        <v>43617</v>
      </c>
      <c r="U18" s="521">
        <f t="shared" si="4"/>
        <v>4.3898522628188203</v>
      </c>
      <c r="V18" s="511">
        <f t="shared" si="5"/>
        <v>2542.9996871383187</v>
      </c>
    </row>
    <row r="19" spans="1:24">
      <c r="A19" s="119">
        <v>37135</v>
      </c>
      <c r="B19" s="35">
        <v>3.5867040000000001</v>
      </c>
      <c r="C19" s="73">
        <v>1115.118109</v>
      </c>
      <c r="D19" s="533">
        <v>1.6060540000000001</v>
      </c>
      <c r="E19" s="73">
        <v>481.962243</v>
      </c>
      <c r="F19" s="35">
        <f t="shared" si="0"/>
        <v>5.1927580000000004</v>
      </c>
      <c r="G19" s="73">
        <f t="shared" si="1"/>
        <v>1597.0803519999999</v>
      </c>
      <c r="H19" s="301">
        <f t="shared" si="2"/>
        <v>2001</v>
      </c>
      <c r="I19" s="302" t="str">
        <f t="shared" si="3"/>
        <v>3</v>
      </c>
      <c r="T19" s="283">
        <f>LARGE(A$9:A$739,2)</f>
        <v>43709</v>
      </c>
      <c r="U19" s="1407">
        <f t="shared" si="4"/>
        <v>4.9313562090611676</v>
      </c>
      <c r="V19" s="1884">
        <f t="shared" si="5"/>
        <v>2693.5623522658902</v>
      </c>
    </row>
    <row r="20" spans="1:24" ht="15.75" thickBot="1">
      <c r="A20" s="119">
        <v>37226</v>
      </c>
      <c r="B20" s="528">
        <v>3.477967</v>
      </c>
      <c r="C20" s="134">
        <v>818.91795400000001</v>
      </c>
      <c r="D20" s="532">
        <v>1.5121039999999999</v>
      </c>
      <c r="E20" s="134">
        <v>354.651475</v>
      </c>
      <c r="F20" s="528">
        <f t="shared" si="0"/>
        <v>4.9900710000000004</v>
      </c>
      <c r="G20" s="134">
        <f t="shared" si="1"/>
        <v>1173.5694290000001</v>
      </c>
      <c r="H20" s="301">
        <f t="shared" si="2"/>
        <v>2001</v>
      </c>
      <c r="I20" s="302" t="str">
        <f t="shared" si="3"/>
        <v>4</v>
      </c>
      <c r="T20" s="1885">
        <f>LARGE(A$9:A$739,1)</f>
        <v>43800</v>
      </c>
      <c r="U20" s="1690">
        <f t="shared" si="4"/>
        <v>4.9370199831315098</v>
      </c>
      <c r="V20" s="1703">
        <f t="shared" si="5"/>
        <v>2771.9363088587047</v>
      </c>
    </row>
    <row r="21" spans="1:24">
      <c r="A21" s="119">
        <v>37316</v>
      </c>
      <c r="B21" s="35">
        <v>4.0860620000000001</v>
      </c>
      <c r="C21" s="73">
        <v>1117.3454730000001</v>
      </c>
      <c r="D21" s="533">
        <v>1.5268969999999999</v>
      </c>
      <c r="E21" s="73">
        <v>371.24079799999998</v>
      </c>
      <c r="F21" s="35">
        <f t="shared" si="0"/>
        <v>5.612959</v>
      </c>
      <c r="G21" s="73">
        <f t="shared" si="1"/>
        <v>1488.5862710000001</v>
      </c>
      <c r="H21" s="301">
        <f t="shared" si="2"/>
        <v>2002</v>
      </c>
      <c r="I21" s="302" t="str">
        <f t="shared" si="3"/>
        <v>1</v>
      </c>
      <c r="T21" s="3"/>
    </row>
    <row r="22" spans="1:24">
      <c r="A22" s="119">
        <v>37408</v>
      </c>
      <c r="B22" s="528">
        <v>3.937119</v>
      </c>
      <c r="C22" s="134">
        <v>1147.3291750000001</v>
      </c>
      <c r="D22" s="532">
        <v>1.6809480000000001</v>
      </c>
      <c r="E22" s="134">
        <v>472.17899</v>
      </c>
      <c r="F22" s="528">
        <f t="shared" si="0"/>
        <v>5.6180669999999999</v>
      </c>
      <c r="G22" s="134">
        <f t="shared" si="1"/>
        <v>1619.5081650000002</v>
      </c>
      <c r="H22" s="301">
        <f t="shared" si="2"/>
        <v>2002</v>
      </c>
      <c r="I22" s="302" t="str">
        <f t="shared" si="3"/>
        <v>2</v>
      </c>
      <c r="T22" s="3"/>
    </row>
    <row r="23" spans="1:24">
      <c r="A23" s="119">
        <v>37500</v>
      </c>
      <c r="B23" s="35">
        <v>3.7312120000000002</v>
      </c>
      <c r="C23" s="73">
        <v>1198.2107100000001</v>
      </c>
      <c r="D23" s="533">
        <v>1.897149</v>
      </c>
      <c r="E23" s="73">
        <v>573.09577100000001</v>
      </c>
      <c r="F23" s="35">
        <f t="shared" si="0"/>
        <v>5.6283609999999999</v>
      </c>
      <c r="G23" s="73">
        <f t="shared" si="1"/>
        <v>1771.3064810000001</v>
      </c>
      <c r="H23" s="301">
        <f t="shared" si="2"/>
        <v>2002</v>
      </c>
      <c r="I23" s="302" t="str">
        <f t="shared" si="3"/>
        <v>3</v>
      </c>
      <c r="T23" s="3"/>
    </row>
    <row r="24" spans="1:24">
      <c r="A24" s="119">
        <v>37591</v>
      </c>
      <c r="B24" s="528">
        <v>3.5340229999999999</v>
      </c>
      <c r="C24" s="134">
        <v>1039.8336999999999</v>
      </c>
      <c r="D24" s="532">
        <v>1.7735669999999999</v>
      </c>
      <c r="E24" s="134">
        <v>512.06028600000002</v>
      </c>
      <c r="F24" s="528">
        <f t="shared" si="0"/>
        <v>5.3075899999999994</v>
      </c>
      <c r="G24" s="134">
        <f t="shared" si="1"/>
        <v>1551.893986</v>
      </c>
      <c r="H24" s="301">
        <f t="shared" si="2"/>
        <v>2002</v>
      </c>
      <c r="I24" s="302" t="str">
        <f t="shared" si="3"/>
        <v>4</v>
      </c>
      <c r="T24" s="3"/>
    </row>
    <row r="25" spans="1:24">
      <c r="A25" s="119">
        <v>37681</v>
      </c>
      <c r="B25" s="35">
        <v>3.1149810000000002</v>
      </c>
      <c r="C25" s="73">
        <v>1059.5078820000001</v>
      </c>
      <c r="D25" s="533">
        <v>1.767471</v>
      </c>
      <c r="E25" s="73">
        <v>585.91432899999995</v>
      </c>
      <c r="F25" s="35">
        <f t="shared" si="0"/>
        <v>4.8824520000000007</v>
      </c>
      <c r="G25" s="73">
        <f t="shared" si="1"/>
        <v>1645.4222110000001</v>
      </c>
      <c r="H25" s="301">
        <f t="shared" si="2"/>
        <v>2003</v>
      </c>
      <c r="I25" s="302" t="str">
        <f t="shared" si="3"/>
        <v>1</v>
      </c>
      <c r="T25" s="3"/>
    </row>
    <row r="26" spans="1:24">
      <c r="A26" s="119">
        <v>37773</v>
      </c>
      <c r="B26" s="528">
        <v>3.6240830000000002</v>
      </c>
      <c r="C26" s="134">
        <v>960.57250499999998</v>
      </c>
      <c r="D26" s="532">
        <v>1.4959690000000001</v>
      </c>
      <c r="E26" s="134">
        <v>375.29238700000002</v>
      </c>
      <c r="F26" s="528">
        <f t="shared" si="0"/>
        <v>5.1200520000000003</v>
      </c>
      <c r="G26" s="134">
        <f t="shared" si="1"/>
        <v>1335.8648920000001</v>
      </c>
      <c r="H26" s="301">
        <f t="shared" si="2"/>
        <v>2003</v>
      </c>
      <c r="I26" s="302" t="str">
        <f t="shared" si="3"/>
        <v>2</v>
      </c>
      <c r="T26" s="3"/>
    </row>
    <row r="27" spans="1:24">
      <c r="A27" s="119">
        <v>37865</v>
      </c>
      <c r="B27" s="35">
        <v>3.9139629999999999</v>
      </c>
      <c r="C27" s="73">
        <v>1060.1358299999999</v>
      </c>
      <c r="D27" s="533">
        <v>1.8340510000000001</v>
      </c>
      <c r="E27" s="73">
        <v>480.41519099999999</v>
      </c>
      <c r="F27" s="35">
        <f t="shared" si="0"/>
        <v>5.7480139999999995</v>
      </c>
      <c r="G27" s="73">
        <f t="shared" si="1"/>
        <v>1540.551021</v>
      </c>
      <c r="H27" s="301">
        <f t="shared" si="2"/>
        <v>2003</v>
      </c>
      <c r="I27" s="302" t="str">
        <f t="shared" si="3"/>
        <v>3</v>
      </c>
      <c r="T27" s="3"/>
    </row>
    <row r="28" spans="1:24">
      <c r="A28" s="119">
        <v>37956</v>
      </c>
      <c r="B28" s="528">
        <v>3.466307</v>
      </c>
      <c r="C28" s="134">
        <v>946.84622999999999</v>
      </c>
      <c r="D28" s="532">
        <v>1.2962530000000001</v>
      </c>
      <c r="E28" s="134">
        <v>333.37376</v>
      </c>
      <c r="F28" s="528">
        <f t="shared" si="0"/>
        <v>4.7625600000000006</v>
      </c>
      <c r="G28" s="134">
        <f t="shared" si="1"/>
        <v>1280.2199900000001</v>
      </c>
      <c r="H28" s="301">
        <f t="shared" si="2"/>
        <v>2003</v>
      </c>
      <c r="I28" s="302" t="str">
        <f t="shared" si="3"/>
        <v>4</v>
      </c>
      <c r="X28" s="1503"/>
    </row>
    <row r="29" spans="1:24">
      <c r="A29" s="119">
        <v>38047</v>
      </c>
      <c r="B29" s="35">
        <v>3.2103959999999998</v>
      </c>
      <c r="C29" s="73">
        <v>909.28289800000005</v>
      </c>
      <c r="D29" s="533">
        <v>1.595933</v>
      </c>
      <c r="E29" s="73">
        <v>450.41567700000002</v>
      </c>
      <c r="F29" s="35">
        <f t="shared" si="0"/>
        <v>4.8063289999999999</v>
      </c>
      <c r="G29" s="73">
        <f t="shared" si="1"/>
        <v>1359.6985750000001</v>
      </c>
      <c r="H29" s="301">
        <f t="shared" si="2"/>
        <v>2004</v>
      </c>
      <c r="I29" s="302" t="str">
        <f t="shared" si="3"/>
        <v>1</v>
      </c>
    </row>
    <row r="30" spans="1:24">
      <c r="A30" s="119">
        <v>38139</v>
      </c>
      <c r="B30" s="528">
        <v>2.63245</v>
      </c>
      <c r="C30" s="134">
        <v>857.37622999999996</v>
      </c>
      <c r="D30" s="532">
        <v>1.455247</v>
      </c>
      <c r="E30" s="134">
        <v>483.30196100000001</v>
      </c>
      <c r="F30" s="528">
        <f t="shared" si="0"/>
        <v>4.0876970000000004</v>
      </c>
      <c r="G30" s="134">
        <f t="shared" si="1"/>
        <v>1340.678191</v>
      </c>
      <c r="H30" s="301">
        <f t="shared" si="2"/>
        <v>2004</v>
      </c>
      <c r="I30" s="302" t="str">
        <f t="shared" si="3"/>
        <v>2</v>
      </c>
    </row>
    <row r="31" spans="1:24">
      <c r="A31" s="119">
        <v>38231</v>
      </c>
      <c r="B31" s="35">
        <v>3.3540009999999998</v>
      </c>
      <c r="C31" s="73">
        <v>1316.4309470000001</v>
      </c>
      <c r="D31" s="533">
        <v>1.0507740000000001</v>
      </c>
      <c r="E31" s="73">
        <v>585.40628300000003</v>
      </c>
      <c r="F31" s="35">
        <f t="shared" si="0"/>
        <v>4.4047749999999999</v>
      </c>
      <c r="G31" s="73">
        <f t="shared" si="1"/>
        <v>1901.8372300000001</v>
      </c>
      <c r="H31" s="301">
        <f t="shared" si="2"/>
        <v>2004</v>
      </c>
      <c r="I31" s="302" t="str">
        <f t="shared" si="3"/>
        <v>3</v>
      </c>
    </row>
    <row r="32" spans="1:24" ht="15.75" thickBot="1">
      <c r="A32" s="119">
        <v>38322</v>
      </c>
      <c r="B32" s="528">
        <v>3.0219999999999998</v>
      </c>
      <c r="C32" s="134">
        <v>1126.22</v>
      </c>
      <c r="D32" s="532">
        <v>1.381448</v>
      </c>
      <c r="E32" s="134">
        <v>503.84818999999999</v>
      </c>
      <c r="F32" s="528">
        <f t="shared" si="0"/>
        <v>4.403448</v>
      </c>
      <c r="G32" s="134">
        <f t="shared" si="1"/>
        <v>1630.06819</v>
      </c>
      <c r="H32" s="301">
        <f t="shared" si="2"/>
        <v>2004</v>
      </c>
      <c r="I32" s="302" t="str">
        <f t="shared" si="3"/>
        <v>4</v>
      </c>
    </row>
    <row r="33" spans="1:26" ht="15.75" thickBot="1">
      <c r="A33" s="119">
        <v>38412</v>
      </c>
      <c r="B33" s="35">
        <v>2.9159229999999998</v>
      </c>
      <c r="C33" s="73">
        <v>1152.8327589999999</v>
      </c>
      <c r="D33" s="533">
        <v>1.4509399999999999</v>
      </c>
      <c r="E33" s="73">
        <v>557.82519400000001</v>
      </c>
      <c r="F33" s="35">
        <f t="shared" si="0"/>
        <v>4.3668629999999995</v>
      </c>
      <c r="G33" s="73">
        <f t="shared" si="1"/>
        <v>1710.6579529999999</v>
      </c>
      <c r="H33" s="301">
        <f t="shared" si="2"/>
        <v>2005</v>
      </c>
      <c r="I33" s="302" t="str">
        <f t="shared" si="3"/>
        <v>1</v>
      </c>
      <c r="L33" s="323"/>
      <c r="M33" s="323"/>
      <c r="N33" s="323"/>
      <c r="T33" s="1003" t="s">
        <v>447</v>
      </c>
      <c r="U33" s="1939" t="s">
        <v>429</v>
      </c>
      <c r="V33" s="1939"/>
      <c r="W33" s="1939"/>
      <c r="X33" s="1939"/>
      <c r="Y33" s="1939"/>
      <c r="Z33" s="1940"/>
    </row>
    <row r="34" spans="1:26" ht="15.75" thickBot="1">
      <c r="A34" s="119">
        <v>38504</v>
      </c>
      <c r="B34" s="528">
        <v>3.4811040000000002</v>
      </c>
      <c r="C34" s="134">
        <v>1581.3614889999999</v>
      </c>
      <c r="D34" s="532">
        <v>1.290584</v>
      </c>
      <c r="E34" s="134">
        <v>556.04359999999997</v>
      </c>
      <c r="F34" s="528">
        <f t="shared" si="0"/>
        <v>4.7716880000000002</v>
      </c>
      <c r="G34" s="134">
        <f t="shared" si="1"/>
        <v>2137.4050889999999</v>
      </c>
      <c r="H34" s="301">
        <f t="shared" si="2"/>
        <v>2005</v>
      </c>
      <c r="I34" s="302" t="str">
        <f t="shared" si="3"/>
        <v>2</v>
      </c>
      <c r="L34" s="323"/>
      <c r="M34" s="323"/>
      <c r="N34" s="323"/>
      <c r="T34" s="1958" t="str">
        <f>CONCATENATE(A5," Quantity and Value by ",U33)</f>
        <v>Crude oil and condensate Quantity and Value by Calendar Year</v>
      </c>
      <c r="U34" s="1959"/>
      <c r="V34" s="1959"/>
      <c r="W34" s="1959"/>
      <c r="X34" s="1959"/>
      <c r="Y34" s="1959"/>
      <c r="Z34" s="1960"/>
    </row>
    <row r="35" spans="1:26">
      <c r="A35" s="119">
        <v>38596</v>
      </c>
      <c r="B35" s="35">
        <v>3.6096870000000001</v>
      </c>
      <c r="C35" s="73">
        <v>1873.904747</v>
      </c>
      <c r="D35" s="533">
        <v>1.567458</v>
      </c>
      <c r="E35" s="73">
        <v>759.64761499999997</v>
      </c>
      <c r="F35" s="35">
        <f t="shared" si="0"/>
        <v>5.1771450000000003</v>
      </c>
      <c r="G35" s="73">
        <f t="shared" si="1"/>
        <v>2633.5523619999999</v>
      </c>
      <c r="H35" s="301">
        <f t="shared" si="2"/>
        <v>2005</v>
      </c>
      <c r="I35" s="302" t="str">
        <f t="shared" si="3"/>
        <v>3</v>
      </c>
      <c r="L35" s="323"/>
      <c r="M35" s="323"/>
      <c r="N35" s="323"/>
      <c r="T35" s="387"/>
      <c r="U35" s="2046" t="str">
        <f>B7</f>
        <v>Crude Oil</v>
      </c>
      <c r="V35" s="2047"/>
      <c r="W35" s="2046" t="str">
        <f>D7</f>
        <v>Condensate</v>
      </c>
      <c r="X35" s="2047"/>
      <c r="Y35" s="2046" t="str">
        <f>F7</f>
        <v>Combined Total</v>
      </c>
      <c r="Z35" s="2047"/>
    </row>
    <row r="36" spans="1:26" ht="15.75" thickBot="1">
      <c r="A36" s="119">
        <v>38687</v>
      </c>
      <c r="B36" s="528">
        <v>3.1671830000000001</v>
      </c>
      <c r="C36" s="134">
        <v>1554.1713749999999</v>
      </c>
      <c r="D36" s="532">
        <v>1.575518</v>
      </c>
      <c r="E36" s="134">
        <v>703.38319000000001</v>
      </c>
      <c r="F36" s="528">
        <f t="shared" si="0"/>
        <v>4.7427010000000003</v>
      </c>
      <c r="G36" s="134">
        <f t="shared" si="1"/>
        <v>2257.5545649999999</v>
      </c>
      <c r="H36" s="301">
        <f t="shared" si="2"/>
        <v>2005</v>
      </c>
      <c r="I36" s="302" t="str">
        <f t="shared" si="3"/>
        <v>4</v>
      </c>
      <c r="L36" s="323"/>
      <c r="M36" s="323"/>
      <c r="N36" s="323"/>
      <c r="T36" s="388" t="str">
        <f>U33</f>
        <v>Calendar Year</v>
      </c>
      <c r="U36" s="392" t="str">
        <f>B8</f>
        <v>Quantity (GL)</v>
      </c>
      <c r="V36" s="393" t="str">
        <f>C8</f>
        <v>Value ($ Million)</v>
      </c>
      <c r="W36" s="392" t="str">
        <f>D8</f>
        <v>Quantity (GL)</v>
      </c>
      <c r="X36" s="393" t="str">
        <f>E8</f>
        <v>Value ($ Million)</v>
      </c>
      <c r="Y36" s="392" t="str">
        <f>F8</f>
        <v>Quantity (GL)</v>
      </c>
      <c r="Z36" s="393" t="str">
        <f>G8</f>
        <v>Value ($ Million)</v>
      </c>
    </row>
    <row r="37" spans="1:26">
      <c r="A37" s="119">
        <v>38777</v>
      </c>
      <c r="B37" s="35">
        <v>2.1416059999999999</v>
      </c>
      <c r="C37" s="73">
        <v>1170.1441870000001</v>
      </c>
      <c r="D37" s="533">
        <v>1.3033360000000001</v>
      </c>
      <c r="E37" s="73">
        <v>673.69742699999995</v>
      </c>
      <c r="F37" s="35">
        <f t="shared" si="0"/>
        <v>3.4449420000000002</v>
      </c>
      <c r="G37" s="73">
        <f t="shared" si="1"/>
        <v>1843.8416139999999</v>
      </c>
      <c r="H37" s="301">
        <f t="shared" si="2"/>
        <v>2006</v>
      </c>
      <c r="I37" s="302" t="str">
        <f t="shared" si="3"/>
        <v>1</v>
      </c>
      <c r="L37" s="323"/>
      <c r="M37" s="323"/>
      <c r="N37" s="323"/>
      <c r="T37" s="389">
        <f>IF($U$33="Calendar Year",YEAR(MIN($A$8:$A$200)),CONCATENATE(YEAR(MIN($A$8:$A$200)),"-",((YEAR(MIN($A$8:$A$200))+1))))</f>
        <v>1999</v>
      </c>
      <c r="U37" s="495">
        <f>IF($U$33="Calendar Year",SUMIF($H$9:$H$201,$T37,$B$9:$B$201),SUMIFS($B$9:$B$201,$H$9:$H$201,LEFT($T37,4),$I$9:$I$201,3)+SUMIFS($B$9:$B$201,$H$9:$H$201,LEFT($T37,4),$I$9:$I$201,4)+SUMIFS($B$9:$B$201,$H$9:$H$201,LEFT($T37,4)+1,$I$9:$I$201,1)+SUMIFS($B$9:$B$201,$H$9:$H$201,LEFT($T37,4)+1,$I$9:$I$201,2))</f>
        <v>8.4904390000000003</v>
      </c>
      <c r="V37" s="1194">
        <f>IF($U$33="Calendar Year",SUMIF($H$9:$H$201,$T37,$C$9:$C$201),SUMIFS($C$9:$C$201,$H$9:$H$201,LEFT($T37,4),$I$9:$I$201,3)+SUMIFS($C$9:$C$201,$H$9:$H$201,LEFT($T37,4),$I$9:$I$201,4)+SUMIFS($C$9:$C$201,$H$9:$H$201,LEFT($T37,4)+1,$I$9:$I$201,1)+SUMIFS($C$9:$C$201,$H$9:$H$201,LEFT($T37,4)+1,$I$9:$I$201,2))</f>
        <v>1559.291023</v>
      </c>
      <c r="W37" s="495">
        <f>IF($U$33="Calendar Year",SUMIF($H$9:$H$201,$T37,$D$9:$D$201),SUMIFS($D$9:$D$201,$H$9:$H$201,LEFT($T37,4),$I$9:$I$201,3)+SUMIFS($D$9:$D$201,$H$9:$H$201,LEFT($T37,4),$I$9:$I$201,4)+SUMIFS($D$9:$D$201,$H$9:$H$201,LEFT($T37,4)+1,$I$9:$I$201,1)+SUMIFS($D$9:$D$201,$H$9:$H$201,LEFT($T37,4)+1,$I$9:$I$201,2))</f>
        <v>5.5651290000000007</v>
      </c>
      <c r="X37" s="1194">
        <f>IF($U$33="Calendar Year",SUMIF($H$9:$H$201,$T37,$E$9:$E$201),SUMIFS($E$9:$E$201,$H$9:$H$201,LEFT($T37,4),$I$9:$I$201,3)+SUMIFS($E$9:$E$201,$H$9:$H$201,LEFT($T37,4),$I$9:$I$201,4)+SUMIFS($E$9:$E$201,$H$9:$H$201,LEFT($T37,4)+1,$I$9:$I$201,1)+SUMIFS($E$9:$E$201,$H$9:$H$201,LEFT($T37,4)+1,$I$9:$I$201,2))</f>
        <v>1013.297674</v>
      </c>
      <c r="Y37" s="495">
        <f>IF($U$33="Calendar Year",SUMIF($H$9:$H$201,$T37,$F$9:$F$201),SUMIFS($F$9:$F$201,$H$9:$H$201,LEFT($T37,4),$I$9:$I$201,3)+SUMIFS($F$9:$F$201,$H$9:$H$201,LEFT($T37,4),$I$9:$I$201,4)+SUMIFS($F$9:$F$201,$H$9:$H$201,LEFT($T37,4)+1,$I$9:$I$201,1)+SUMIFS($F$9:$F$201,$H$9:$H$201,LEFT($T37,4)+1,$I$9:$I$201,2))</f>
        <v>14.055568000000001</v>
      </c>
      <c r="Z37" s="1194">
        <f>IF($U$33="Calendar Year",SUMIF($H$9:$H$201,$T37,$G$9:$G$201),SUMIFS($G$9:$G$201,$H$9:$H$201,LEFT($T37,4),$I$9:$I$201,3)+SUMIFS($G$9:$G$201,$H$9:$H$201,LEFT($T37,4),$I$9:$I$201,4)+SUMIFS($G$9:$G$201,$H$9:$H$201,LEFT($T37,4)+1,$I$9:$I$201,1)+SUMIFS($G$9:$G$201,$H$9:$H$201,LEFT($T37,4)+1,$I$9:$I$201,2))</f>
        <v>2572.5886970000001</v>
      </c>
    </row>
    <row r="38" spans="1:26">
      <c r="A38" s="119">
        <v>38869</v>
      </c>
      <c r="B38" s="528">
        <v>2.2245020000000002</v>
      </c>
      <c r="C38" s="134">
        <v>1303.0710779999999</v>
      </c>
      <c r="D38" s="532">
        <v>1.179875</v>
      </c>
      <c r="E38" s="134">
        <v>654.89832699999999</v>
      </c>
      <c r="F38" s="528">
        <f t="shared" si="0"/>
        <v>3.4043770000000002</v>
      </c>
      <c r="G38" s="134">
        <f t="shared" si="1"/>
        <v>1957.9694049999998</v>
      </c>
      <c r="H38" s="301">
        <f t="shared" si="2"/>
        <v>2006</v>
      </c>
      <c r="I38" s="302" t="str">
        <f t="shared" si="3"/>
        <v>2</v>
      </c>
      <c r="L38" s="323"/>
      <c r="M38" s="323"/>
      <c r="N38" s="323"/>
      <c r="T38" s="390">
        <f>IFERROR(IF(YEAR(MAX('Data - Monthly Commodity Prices'!$C$9:$C4984))=VALUE(RIGHT(T37,4)),"",IF($U$33="Calendar Year",T37+1,CONCATENATE(LEFT(T37,4)+1,"-",RIGHT(T37,4)+1))),"")</f>
        <v>2000</v>
      </c>
      <c r="U38" s="536">
        <f t="shared" ref="U38:U61" si="6">IF(T38="","",IF($U$33="Calendar Year",SUMIF($H$9:$H$201,$T38,$B$9:$B$201),SUMIFS($B$9:$B$201,$H$9:$H$201,LEFT($T38,4),$I$9:$I$201,3)+SUMIFS($B$9:$B$201,$H$9:$H$201,LEFT($T38,4),$I$9:$I$201,4)+SUMIFS($B$9:$B$201,$H$9:$H$201,LEFT($T38,4)+1,$I$9:$I$201,1)+SUMIFS($B$9:$B$201,$H$9:$H$201,LEFT($T38,4)+1,$I$9:$I$201,2)))</f>
        <v>13.743415000000001</v>
      </c>
      <c r="V38" s="1390">
        <f t="shared" ref="V38:V61" si="7">IF(T38="","",IF($U$33="Calendar Year",SUMIF($H$9:$H$201,$T38,$C$9:$C$201),SUMIFS($C$9:$C$201,$H$9:$H$201,LEFT($T38,4),$I$9:$I$201,3)+SUMIFS($C$9:$C$201,$H$9:$H$201,LEFT($T38,4),$I$9:$I$201,4)+SUMIFS($C$9:$C$201,$H$9:$H$201,LEFT($T38,4)+1,$I$9:$I$201,1)+SUMIFS($C$9:$C$201,$H$9:$H$201,LEFT($T38,4)+1,$I$9:$I$201,2)))</f>
        <v>4472.4161459999996</v>
      </c>
      <c r="W38" s="536">
        <f t="shared" ref="W38:W61" si="8">IF(T38="","",IF($U$33="Calendar Year",SUMIF($H$9:$H$201,$T38,$D$9:$D$201),SUMIFS($D$9:$D$201,$H$9:$H$201,LEFT($T38,4),$I$9:$I$201,3)+SUMIFS($D$9:$D$201,$H$9:$H$201,LEFT($T38,4),$I$9:$I$201,4)+SUMIFS($D$9:$D$201,$H$9:$H$201,LEFT($T38,4)+1,$I$9:$I$201,1)+SUMIFS($D$9:$D$201,$H$9:$H$201,LEFT($T38,4)+1,$I$9:$I$201,2)))</f>
        <v>6.1963469999999994</v>
      </c>
      <c r="X38" s="1390">
        <f t="shared" ref="X38:X61" si="9">IF(T38="","",IF($U$33="Calendar Year",SUMIF($H$9:$H$201,$T38,$E$9:$E$201),SUMIFS($E$9:$E$201,$H$9:$H$201,LEFT($T38,4),$I$9:$I$201,3)+SUMIFS($E$9:$E$201,$H$9:$H$201,LEFT($T38,4),$I$9:$I$201,4)+SUMIFS($E$9:$E$201,$H$9:$H$201,LEFT($T38,4)+1,$I$9:$I$201,1)+SUMIFS($E$9:$E$201,$H$9:$H$201,LEFT($T38,4)+1,$I$9:$I$201,2)))</f>
        <v>1946.3709880000001</v>
      </c>
      <c r="Y38" s="536">
        <f t="shared" ref="Y38:Y61" si="10">IF(T38="","",IF($U$33="Calendar Year",SUMIF($H$9:$H$201,$T38,$F$9:$F$201),SUMIFS($F$9:$F$201,$H$9:$H$201,LEFT($T38,4),$I$9:$I$201,3)+SUMIFS($F$9:$F$201,$H$9:$H$201,LEFT($T38,4),$I$9:$I$201,4)+SUMIFS($F$9:$F$201,$H$9:$H$201,LEFT($T38,4)+1,$I$9:$I$201,1)+SUMIFS($F$9:$F$201,$H$9:$H$201,LEFT($T38,4)+1,$I$9:$I$201,2)))</f>
        <v>19.939762000000002</v>
      </c>
      <c r="Z38" s="1390">
        <f t="shared" ref="Z38:Z61" si="11">IF(T38="","",IF($U$33="Calendar Year",SUMIF($H$9:$H$201,$T38,$G$9:$G$201),SUMIFS($G$9:$G$201,$H$9:$H$201,LEFT($T38,4),$I$9:$I$201,3)+SUMIFS($G$9:$G$201,$H$9:$H$201,LEFT($T38,4),$I$9:$I$201,4)+SUMIFS($G$9:$G$201,$H$9:$H$201,LEFT($T38,4)+1,$I$9:$I$201,1)+SUMIFS($G$9:$G$201,$H$9:$H$201,LEFT($T38,4)+1,$I$9:$I$201,2)))</f>
        <v>6418.7871340000002</v>
      </c>
    </row>
    <row r="39" spans="1:26">
      <c r="A39" s="119">
        <v>38961</v>
      </c>
      <c r="B39" s="35">
        <v>3.8089599999999999</v>
      </c>
      <c r="C39" s="73">
        <v>2275.9902149999998</v>
      </c>
      <c r="D39" s="533">
        <v>1.4312910000000001</v>
      </c>
      <c r="E39" s="73">
        <v>805.00033199999996</v>
      </c>
      <c r="F39" s="35">
        <f t="shared" si="0"/>
        <v>5.2402509999999998</v>
      </c>
      <c r="G39" s="73">
        <f t="shared" si="1"/>
        <v>3080.9905469999999</v>
      </c>
      <c r="H39" s="301">
        <f t="shared" si="2"/>
        <v>2006</v>
      </c>
      <c r="I39" s="302" t="str">
        <f t="shared" si="3"/>
        <v>3</v>
      </c>
      <c r="L39" s="323"/>
      <c r="M39" s="323"/>
      <c r="N39" s="323"/>
      <c r="T39" s="390">
        <f>IFERROR(IF(YEAR(MAX('Data - Monthly Commodity Prices'!$C$9:$C4985))=VALUE(RIGHT(T38,4)),"",IF($U$33="Calendar Year",T38+1,CONCATENATE(LEFT(T38,4)+1,"-",RIGHT(T38,4)+1))),"")</f>
        <v>2001</v>
      </c>
      <c r="U39" s="497">
        <f t="shared" si="6"/>
        <v>14.061254999999999</v>
      </c>
      <c r="V39" s="1196">
        <f t="shared" si="7"/>
        <v>4246.5830989999995</v>
      </c>
      <c r="W39" s="497">
        <f t="shared" si="8"/>
        <v>6.0150680000000003</v>
      </c>
      <c r="X39" s="1196">
        <f t="shared" si="9"/>
        <v>1787.9083369999998</v>
      </c>
      <c r="Y39" s="497">
        <f t="shared" si="10"/>
        <v>20.076323000000002</v>
      </c>
      <c r="Z39" s="1196">
        <f t="shared" si="11"/>
        <v>6034.4914360000002</v>
      </c>
    </row>
    <row r="40" spans="1:26">
      <c r="A40" s="119">
        <v>39052</v>
      </c>
      <c r="B40" s="528">
        <v>3.778724</v>
      </c>
      <c r="C40" s="134">
        <v>1853.595174</v>
      </c>
      <c r="D40" s="532">
        <v>1.6946490000000001</v>
      </c>
      <c r="E40" s="134">
        <v>806.58999300000005</v>
      </c>
      <c r="F40" s="528">
        <f t="shared" si="0"/>
        <v>5.4733730000000005</v>
      </c>
      <c r="G40" s="134">
        <f t="shared" si="1"/>
        <v>2660.1851670000001</v>
      </c>
      <c r="H40" s="301">
        <f t="shared" si="2"/>
        <v>2006</v>
      </c>
      <c r="I40" s="302" t="str">
        <f t="shared" si="3"/>
        <v>4</v>
      </c>
      <c r="L40" s="323"/>
      <c r="M40" s="323"/>
      <c r="N40" s="323"/>
      <c r="T40" s="390">
        <f>IFERROR(IF(YEAR(MAX('Data - Monthly Commodity Prices'!$C$9:$C4986))=VALUE(RIGHT(T39,4)),"",IF($U$33="Calendar Year",T39+1,CONCATENATE(LEFT(T39,4)+1,"-",RIGHT(T39,4)+1))),"")</f>
        <v>2002</v>
      </c>
      <c r="U40" s="536">
        <f t="shared" si="6"/>
        <v>15.288416</v>
      </c>
      <c r="V40" s="1390">
        <f t="shared" si="7"/>
        <v>4502.7190580000006</v>
      </c>
      <c r="W40" s="536">
        <f t="shared" si="8"/>
        <v>6.8785609999999995</v>
      </c>
      <c r="X40" s="1390">
        <f t="shared" si="9"/>
        <v>1928.5758449999998</v>
      </c>
      <c r="Y40" s="536">
        <f t="shared" si="10"/>
        <v>22.166976999999996</v>
      </c>
      <c r="Z40" s="1390">
        <f t="shared" si="11"/>
        <v>6431.2949030000009</v>
      </c>
    </row>
    <row r="41" spans="1:26">
      <c r="A41" s="119">
        <v>39142</v>
      </c>
      <c r="B41" s="35">
        <v>3.3568169999999999</v>
      </c>
      <c r="C41" s="73">
        <v>1615.211877</v>
      </c>
      <c r="D41" s="533">
        <v>1.523692</v>
      </c>
      <c r="E41" s="73">
        <v>709.92148099999997</v>
      </c>
      <c r="F41" s="35">
        <f t="shared" si="0"/>
        <v>4.880509</v>
      </c>
      <c r="G41" s="73">
        <f t="shared" si="1"/>
        <v>2325.133358</v>
      </c>
      <c r="H41" s="301">
        <f t="shared" si="2"/>
        <v>2007</v>
      </c>
      <c r="I41" s="302" t="str">
        <f t="shared" si="3"/>
        <v>1</v>
      </c>
      <c r="L41" s="323"/>
      <c r="M41" s="323"/>
      <c r="N41" s="323"/>
      <c r="T41" s="390">
        <f>IFERROR(IF(YEAR(MAX('Data - Monthly Commodity Prices'!$C$9:$C4987))=VALUE(RIGHT(T40,4)),"",IF($U$33="Calendar Year",T40+1,CONCATENATE(LEFT(T40,4)+1,"-",RIGHT(T40,4)+1))),"")</f>
        <v>2003</v>
      </c>
      <c r="U41" s="497">
        <f t="shared" si="6"/>
        <v>14.119334000000002</v>
      </c>
      <c r="V41" s="1196">
        <f t="shared" si="7"/>
        <v>4027.0624470000002</v>
      </c>
      <c r="W41" s="497">
        <f t="shared" si="8"/>
        <v>6.3937439999999999</v>
      </c>
      <c r="X41" s="1196">
        <f t="shared" si="9"/>
        <v>1774.9956669999999</v>
      </c>
      <c r="Y41" s="497">
        <f t="shared" si="10"/>
        <v>20.513078</v>
      </c>
      <c r="Z41" s="1196">
        <f t="shared" si="11"/>
        <v>5802.0581139999995</v>
      </c>
    </row>
    <row r="42" spans="1:26">
      <c r="A42" s="119">
        <v>39234</v>
      </c>
      <c r="B42" s="528">
        <v>3.3110430000000002</v>
      </c>
      <c r="C42" s="134">
        <v>1784.7970760000001</v>
      </c>
      <c r="D42" s="532">
        <v>1.21044</v>
      </c>
      <c r="E42" s="134">
        <v>650.89629300000001</v>
      </c>
      <c r="F42" s="528">
        <f t="shared" si="0"/>
        <v>4.5214829999999999</v>
      </c>
      <c r="G42" s="134">
        <f t="shared" si="1"/>
        <v>2435.6933690000001</v>
      </c>
      <c r="H42" s="301">
        <f t="shared" si="2"/>
        <v>2007</v>
      </c>
      <c r="I42" s="302" t="str">
        <f t="shared" si="3"/>
        <v>2</v>
      </c>
      <c r="L42" s="323"/>
      <c r="M42" s="323"/>
      <c r="N42" s="323"/>
      <c r="T42" s="390">
        <f>IFERROR(IF(YEAR(MAX('Data - Monthly Commodity Prices'!$C$9:$C4988))=VALUE(RIGHT(T41,4)),"",IF($U$33="Calendar Year",T41+1,CONCATENATE(LEFT(T41,4)+1,"-",RIGHT(T41,4)+1))),"")</f>
        <v>2004</v>
      </c>
      <c r="U42" s="536">
        <f t="shared" si="6"/>
        <v>12.218847</v>
      </c>
      <c r="V42" s="1390">
        <f t="shared" si="7"/>
        <v>4209.3100750000003</v>
      </c>
      <c r="W42" s="536">
        <f t="shared" si="8"/>
        <v>5.4834019999999999</v>
      </c>
      <c r="X42" s="1390">
        <f t="shared" si="9"/>
        <v>2022.972111</v>
      </c>
      <c r="Y42" s="536">
        <f t="shared" si="10"/>
        <v>17.702249000000002</v>
      </c>
      <c r="Z42" s="1390">
        <f t="shared" si="11"/>
        <v>6232.2821860000004</v>
      </c>
    </row>
    <row r="43" spans="1:26">
      <c r="A43" s="119">
        <v>39326</v>
      </c>
      <c r="B43" s="35">
        <v>2.9606650000000001</v>
      </c>
      <c r="C43" s="73">
        <v>1682.4630400000001</v>
      </c>
      <c r="D43" s="533">
        <v>1.6522810000000001</v>
      </c>
      <c r="E43" s="73">
        <v>931.52293999999995</v>
      </c>
      <c r="F43" s="35">
        <f t="shared" si="0"/>
        <v>4.612946</v>
      </c>
      <c r="G43" s="73">
        <f t="shared" si="1"/>
        <v>2613.9859799999999</v>
      </c>
      <c r="H43" s="301">
        <f t="shared" si="2"/>
        <v>2007</v>
      </c>
      <c r="I43" s="302" t="str">
        <f t="shared" si="3"/>
        <v>3</v>
      </c>
      <c r="L43" s="323"/>
      <c r="M43" s="323"/>
      <c r="N43" s="323"/>
      <c r="T43" s="390">
        <f>IFERROR(IF(YEAR(MAX('Data - Monthly Commodity Prices'!$C$9:$C4989))=VALUE(RIGHT(T42,4)),"",IF($U$33="Calendar Year",T42+1,CONCATENATE(LEFT(T42,4)+1,"-",RIGHT(T42,4)+1))),"")</f>
        <v>2005</v>
      </c>
      <c r="U43" s="497">
        <f t="shared" si="6"/>
        <v>13.173896999999998</v>
      </c>
      <c r="V43" s="1196">
        <f t="shared" si="7"/>
        <v>6162.2703700000002</v>
      </c>
      <c r="W43" s="497">
        <f t="shared" si="8"/>
        <v>5.8845000000000001</v>
      </c>
      <c r="X43" s="1196">
        <f t="shared" si="9"/>
        <v>2576.8995989999999</v>
      </c>
      <c r="Y43" s="497">
        <f t="shared" si="10"/>
        <v>19.058396999999999</v>
      </c>
      <c r="Z43" s="1196">
        <f t="shared" si="11"/>
        <v>8739.1699690000005</v>
      </c>
    </row>
    <row r="44" spans="1:26">
      <c r="A44" s="119">
        <v>39417</v>
      </c>
      <c r="B44" s="528">
        <v>3.5672670000000002</v>
      </c>
      <c r="C44" s="134">
        <v>2301.8202569999999</v>
      </c>
      <c r="D44" s="532">
        <v>1.469241</v>
      </c>
      <c r="E44" s="134">
        <v>944.41430400000002</v>
      </c>
      <c r="F44" s="528">
        <f t="shared" si="0"/>
        <v>5.0365080000000004</v>
      </c>
      <c r="G44" s="134">
        <f t="shared" si="1"/>
        <v>3246.2345609999998</v>
      </c>
      <c r="H44" s="301">
        <f t="shared" si="2"/>
        <v>2007</v>
      </c>
      <c r="I44" s="302" t="str">
        <f t="shared" si="3"/>
        <v>4</v>
      </c>
      <c r="L44" s="323"/>
      <c r="M44" s="323"/>
      <c r="N44" s="323"/>
      <c r="T44" s="390">
        <f>IFERROR(IF(YEAR(MAX('Data - Monthly Commodity Prices'!$C$9:$C4990))=VALUE(RIGHT(T43,4)),"",IF($U$33="Calendar Year",T43+1,CONCATENATE(LEFT(T43,4)+1,"-",RIGHT(T43,4)+1))),"")</f>
        <v>2006</v>
      </c>
      <c r="U44" s="536">
        <f t="shared" si="6"/>
        <v>11.953792</v>
      </c>
      <c r="V44" s="1390">
        <f t="shared" si="7"/>
        <v>6602.8006539999997</v>
      </c>
      <c r="W44" s="536">
        <f t="shared" si="8"/>
        <v>5.6091509999999998</v>
      </c>
      <c r="X44" s="1390">
        <f t="shared" si="9"/>
        <v>2940.1860790000001</v>
      </c>
      <c r="Y44" s="536">
        <f t="shared" si="10"/>
        <v>17.562943000000001</v>
      </c>
      <c r="Z44" s="1390">
        <f t="shared" si="11"/>
        <v>9542.9867329999997</v>
      </c>
    </row>
    <row r="45" spans="1:26">
      <c r="A45" s="119">
        <v>39508</v>
      </c>
      <c r="B45" s="35">
        <v>2.8385500000000001</v>
      </c>
      <c r="C45" s="73">
        <v>1925.871791</v>
      </c>
      <c r="D45" s="533">
        <v>1.378117</v>
      </c>
      <c r="E45" s="73">
        <v>859.90919799999995</v>
      </c>
      <c r="F45" s="35">
        <f t="shared" si="0"/>
        <v>4.2166670000000002</v>
      </c>
      <c r="G45" s="73">
        <f t="shared" si="1"/>
        <v>2785.7809889999999</v>
      </c>
      <c r="H45" s="301">
        <f t="shared" si="2"/>
        <v>2008</v>
      </c>
      <c r="I45" s="302" t="str">
        <f t="shared" si="3"/>
        <v>1</v>
      </c>
      <c r="L45" s="323"/>
      <c r="M45" s="323"/>
      <c r="N45" s="323"/>
      <c r="T45" s="390">
        <f>IFERROR(IF(YEAR(MAX('Data - Monthly Commodity Prices'!$C$9:$C4991))=VALUE(RIGHT(T44,4)),"",IF($U$33="Calendar Year",T44+1,CONCATENATE(LEFT(T44,4)+1,"-",RIGHT(T44,4)+1))),"")</f>
        <v>2007</v>
      </c>
      <c r="U45" s="497">
        <f t="shared" si="6"/>
        <v>13.195792000000001</v>
      </c>
      <c r="V45" s="1196">
        <f t="shared" si="7"/>
        <v>7384.2922500000004</v>
      </c>
      <c r="W45" s="497">
        <f t="shared" si="8"/>
        <v>5.8556540000000004</v>
      </c>
      <c r="X45" s="1196">
        <f t="shared" si="9"/>
        <v>3236.7550179999998</v>
      </c>
      <c r="Y45" s="497">
        <f t="shared" si="10"/>
        <v>19.051446000000002</v>
      </c>
      <c r="Z45" s="1196">
        <f t="shared" si="11"/>
        <v>10621.047267999998</v>
      </c>
    </row>
    <row r="46" spans="1:26">
      <c r="A46" s="119">
        <v>39600</v>
      </c>
      <c r="B46" s="528">
        <v>3.2810440000000001</v>
      </c>
      <c r="C46" s="134">
        <v>2756.0621999999998</v>
      </c>
      <c r="D46" s="532">
        <v>1.2641169999999999</v>
      </c>
      <c r="E46" s="134">
        <v>958.82342800000004</v>
      </c>
      <c r="F46" s="528">
        <f t="shared" si="0"/>
        <v>4.5451610000000002</v>
      </c>
      <c r="G46" s="134">
        <f t="shared" si="1"/>
        <v>3714.885628</v>
      </c>
      <c r="H46" s="301">
        <f t="shared" si="2"/>
        <v>2008</v>
      </c>
      <c r="I46" s="302" t="str">
        <f t="shared" si="3"/>
        <v>2</v>
      </c>
      <c r="L46" s="323"/>
      <c r="M46" s="323"/>
      <c r="N46" s="323"/>
      <c r="T46" s="390">
        <f>IFERROR(IF(YEAR(MAX('Data - Monthly Commodity Prices'!$C$9:$C4992))=VALUE(RIGHT(T45,4)),"",IF($U$33="Calendar Year",T45+1,CONCATENATE(LEFT(T45,4)+1,"-",RIGHT(T45,4)+1))),"")</f>
        <v>2008</v>
      </c>
      <c r="U46" s="536">
        <f t="shared" si="6"/>
        <v>13.324422</v>
      </c>
      <c r="V46" s="1390">
        <f t="shared" si="7"/>
        <v>9737.62032</v>
      </c>
      <c r="W46" s="536">
        <f t="shared" si="8"/>
        <v>5.7250130000000006</v>
      </c>
      <c r="X46" s="1390">
        <f t="shared" si="9"/>
        <v>3512.4169039999997</v>
      </c>
      <c r="Y46" s="536">
        <f t="shared" si="10"/>
        <v>19.049435000000003</v>
      </c>
      <c r="Z46" s="1390">
        <f t="shared" si="11"/>
        <v>13250.037224</v>
      </c>
    </row>
    <row r="47" spans="1:26">
      <c r="A47" s="119">
        <v>39692</v>
      </c>
      <c r="B47" s="35">
        <v>3.5198800000000001</v>
      </c>
      <c r="C47" s="73">
        <v>3103.9276570000002</v>
      </c>
      <c r="D47" s="533">
        <v>1.433894</v>
      </c>
      <c r="E47" s="73">
        <v>1136.3378419999999</v>
      </c>
      <c r="F47" s="35">
        <f t="shared" si="0"/>
        <v>4.9537740000000001</v>
      </c>
      <c r="G47" s="73">
        <f t="shared" si="1"/>
        <v>4240.2654990000001</v>
      </c>
      <c r="H47" s="301">
        <f t="shared" si="2"/>
        <v>2008</v>
      </c>
      <c r="I47" s="302" t="str">
        <f t="shared" si="3"/>
        <v>3</v>
      </c>
      <c r="L47" s="323"/>
      <c r="M47" s="323"/>
      <c r="N47" s="323"/>
      <c r="T47" s="390">
        <f>IFERROR(IF(YEAR(MAX('Data - Monthly Commodity Prices'!$C$9:$C4993))=VALUE(RIGHT(T46,4)),"",IF($U$33="Calendar Year",T46+1,CONCATENATE(LEFT(T46,4)+1,"-",RIGHT(T46,4)+1))),"")</f>
        <v>2009</v>
      </c>
      <c r="U47" s="497">
        <f t="shared" si="6"/>
        <v>11.246917</v>
      </c>
      <c r="V47" s="1196">
        <f t="shared" si="7"/>
        <v>5505.448018000001</v>
      </c>
      <c r="W47" s="497">
        <f t="shared" si="8"/>
        <v>7.4925439999999996</v>
      </c>
      <c r="X47" s="1196">
        <f t="shared" si="9"/>
        <v>3121.9567379999999</v>
      </c>
      <c r="Y47" s="497">
        <f t="shared" si="10"/>
        <v>18.739460999999999</v>
      </c>
      <c r="Z47" s="1196">
        <f t="shared" si="11"/>
        <v>8627.4047559999999</v>
      </c>
    </row>
    <row r="48" spans="1:26">
      <c r="A48" s="119">
        <v>39783</v>
      </c>
      <c r="B48" s="528">
        <v>3.6849479999999999</v>
      </c>
      <c r="C48" s="134">
        <v>1951.7586719999999</v>
      </c>
      <c r="D48" s="532">
        <v>1.6488849999999999</v>
      </c>
      <c r="E48" s="134">
        <v>557.34643600000004</v>
      </c>
      <c r="F48" s="528">
        <f t="shared" si="0"/>
        <v>5.3338330000000003</v>
      </c>
      <c r="G48" s="134">
        <f t="shared" si="1"/>
        <v>2509.1051079999997</v>
      </c>
      <c r="H48" s="301">
        <f t="shared" si="2"/>
        <v>2008</v>
      </c>
      <c r="I48" s="302" t="str">
        <f t="shared" si="3"/>
        <v>4</v>
      </c>
      <c r="L48" s="323"/>
      <c r="M48" s="323"/>
      <c r="N48" s="323"/>
      <c r="T48" s="390">
        <f>IFERROR(IF(YEAR(MAX('Data - Monthly Commodity Prices'!$C$9:$C4994))=VALUE(RIGHT(T47,4)),"",IF($U$33="Calendar Year",T47+1,CONCATENATE(LEFT(T47,4)+1,"-",RIGHT(T47,4)+1))),"")</f>
        <v>2010</v>
      </c>
      <c r="U48" s="536">
        <f t="shared" si="6"/>
        <v>14.705</v>
      </c>
      <c r="V48" s="1390">
        <f t="shared" si="7"/>
        <v>8247.3096310000001</v>
      </c>
      <c r="W48" s="536">
        <f t="shared" si="8"/>
        <v>7.2155889999999996</v>
      </c>
      <c r="X48" s="1390">
        <f t="shared" si="9"/>
        <v>3705.4334779999999</v>
      </c>
      <c r="Y48" s="536">
        <f t="shared" si="10"/>
        <v>21.920589</v>
      </c>
      <c r="Z48" s="1390">
        <f t="shared" si="11"/>
        <v>11952.743108999999</v>
      </c>
    </row>
    <row r="49" spans="1:26">
      <c r="A49" s="119">
        <v>39873</v>
      </c>
      <c r="B49" s="35">
        <v>3.1028630000000001</v>
      </c>
      <c r="C49" s="73">
        <v>1323.92037</v>
      </c>
      <c r="D49" s="533">
        <v>1.8248139999999999</v>
      </c>
      <c r="E49" s="73">
        <v>724.52265999999997</v>
      </c>
      <c r="F49" s="35">
        <f t="shared" si="0"/>
        <v>4.9276770000000001</v>
      </c>
      <c r="G49" s="73">
        <f t="shared" si="1"/>
        <v>2048.4430299999999</v>
      </c>
      <c r="H49" s="301">
        <f t="shared" si="2"/>
        <v>2009</v>
      </c>
      <c r="I49" s="302" t="str">
        <f t="shared" si="3"/>
        <v>1</v>
      </c>
      <c r="L49" s="323"/>
      <c r="M49" s="323"/>
      <c r="N49" s="323"/>
      <c r="T49" s="390">
        <f>IFERROR(IF(YEAR(MAX('Data - Monthly Commodity Prices'!$C$9:$C4995))=VALUE(RIGHT(T48,4)),"",IF($U$33="Calendar Year",T48+1,CONCATENATE(LEFT(T48,4)+1,"-",RIGHT(T48,4)+1))),"")</f>
        <v>2011</v>
      </c>
      <c r="U49" s="497">
        <f t="shared" si="6"/>
        <v>12.053493</v>
      </c>
      <c r="V49" s="1196">
        <f t="shared" si="7"/>
        <v>8030.943573999999</v>
      </c>
      <c r="W49" s="497">
        <f t="shared" si="8"/>
        <v>6.2822269999999998</v>
      </c>
      <c r="X49" s="1196">
        <f t="shared" si="9"/>
        <v>4088.3975260000002</v>
      </c>
      <c r="Y49" s="497">
        <f t="shared" si="10"/>
        <v>18.335720000000002</v>
      </c>
      <c r="Z49" s="1196">
        <f t="shared" si="11"/>
        <v>12119.3411</v>
      </c>
    </row>
    <row r="50" spans="1:26">
      <c r="A50" s="119">
        <v>39965</v>
      </c>
      <c r="B50" s="528">
        <v>2.7292420000000002</v>
      </c>
      <c r="C50" s="134">
        <v>1330.8899980000001</v>
      </c>
      <c r="D50" s="532">
        <v>1.7495080000000001</v>
      </c>
      <c r="E50" s="134">
        <v>690.58035400000006</v>
      </c>
      <c r="F50" s="528">
        <f t="shared" si="0"/>
        <v>4.4787499999999998</v>
      </c>
      <c r="G50" s="134">
        <f t="shared" si="1"/>
        <v>2021.4703520000003</v>
      </c>
      <c r="H50" s="301">
        <f t="shared" si="2"/>
        <v>2009</v>
      </c>
      <c r="I50" s="302" t="str">
        <f t="shared" si="3"/>
        <v>2</v>
      </c>
      <c r="L50" s="323"/>
      <c r="M50" s="323"/>
      <c r="N50" s="323"/>
      <c r="T50" s="390">
        <f>IFERROR(IF(YEAR(MAX('Data - Monthly Commodity Prices'!$C$9:$C4996))=VALUE(RIGHT(T49,4)),"",IF($U$33="Calendar Year",T49+1,CONCATENATE(LEFT(T49,4)+1,"-",RIGHT(T49,4)+1))),"")</f>
        <v>2012</v>
      </c>
      <c r="U50" s="536">
        <f t="shared" si="6"/>
        <v>9.9916809999999998</v>
      </c>
      <c r="V50" s="1390">
        <f t="shared" si="7"/>
        <v>7099.5935350000009</v>
      </c>
      <c r="W50" s="536">
        <f t="shared" si="8"/>
        <v>5.9995099999999999</v>
      </c>
      <c r="X50" s="1390">
        <f t="shared" si="9"/>
        <v>3862.3011149999998</v>
      </c>
      <c r="Y50" s="536">
        <f t="shared" si="10"/>
        <v>15.991191000000001</v>
      </c>
      <c r="Z50" s="1390">
        <f t="shared" si="11"/>
        <v>10961.89465</v>
      </c>
    </row>
    <row r="51" spans="1:26">
      <c r="A51" s="119">
        <v>40057</v>
      </c>
      <c r="B51" s="35">
        <v>2.6091690000000001</v>
      </c>
      <c r="C51" s="73">
        <v>1363.1734309999999</v>
      </c>
      <c r="D51" s="533">
        <v>1.9320889999999999</v>
      </c>
      <c r="E51" s="73">
        <v>875.69228799999996</v>
      </c>
      <c r="F51" s="35">
        <f t="shared" si="0"/>
        <v>4.541258</v>
      </c>
      <c r="G51" s="73">
        <f t="shared" si="1"/>
        <v>2238.8657189999999</v>
      </c>
      <c r="H51" s="301">
        <f t="shared" si="2"/>
        <v>2009</v>
      </c>
      <c r="I51" s="302" t="str">
        <f t="shared" si="3"/>
        <v>3</v>
      </c>
      <c r="L51" s="323"/>
      <c r="M51" s="323"/>
      <c r="N51" s="323"/>
      <c r="T51" s="390">
        <f>IFERROR(IF(YEAR(MAX('Data - Monthly Commodity Prices'!$C$9:$C4997))=VALUE(RIGHT(T50,4)),"",IF($U$33="Calendar Year",T50+1,CONCATENATE(LEFT(T50,4)+1,"-",RIGHT(T50,4)+1))),"")</f>
        <v>2013</v>
      </c>
      <c r="U51" s="497">
        <f t="shared" si="6"/>
        <v>6.8709769999999999</v>
      </c>
      <c r="V51" s="1196">
        <f t="shared" si="7"/>
        <v>5111.0926730000001</v>
      </c>
      <c r="W51" s="497">
        <f t="shared" si="8"/>
        <v>5.9572710000000004</v>
      </c>
      <c r="X51" s="1196">
        <f t="shared" si="9"/>
        <v>4116.9220370000003</v>
      </c>
      <c r="Y51" s="497">
        <f t="shared" si="10"/>
        <v>12.828248</v>
      </c>
      <c r="Z51" s="1196">
        <f t="shared" si="11"/>
        <v>9228.0147099999995</v>
      </c>
    </row>
    <row r="52" spans="1:26">
      <c r="A52" s="119">
        <v>40148</v>
      </c>
      <c r="B52" s="528">
        <v>2.8056429999999999</v>
      </c>
      <c r="C52" s="134">
        <v>1487.464219</v>
      </c>
      <c r="D52" s="532">
        <v>1.9861329999999999</v>
      </c>
      <c r="E52" s="134">
        <v>831.16143599999998</v>
      </c>
      <c r="F52" s="528">
        <f t="shared" si="0"/>
        <v>4.7917759999999996</v>
      </c>
      <c r="G52" s="134">
        <f t="shared" si="1"/>
        <v>2318.6256549999998</v>
      </c>
      <c r="H52" s="301">
        <f t="shared" si="2"/>
        <v>2009</v>
      </c>
      <c r="I52" s="302" t="str">
        <f t="shared" si="3"/>
        <v>4</v>
      </c>
      <c r="L52" s="323"/>
      <c r="M52" s="323"/>
      <c r="N52" s="323"/>
      <c r="T52" s="390">
        <f>IFERROR(IF(YEAR(MAX('Data - Monthly Commodity Prices'!$C$9:$C4998))=VALUE(RIGHT(T51,4)),"",IF($U$33="Calendar Year",T51+1,CONCATENATE(LEFT(T51,4)+1,"-",RIGHT(T51,4)+1))),"")</f>
        <v>2014</v>
      </c>
      <c r="U52" s="536">
        <f t="shared" si="6"/>
        <v>7.6083033370000006</v>
      </c>
      <c r="V52" s="1390">
        <f t="shared" si="7"/>
        <v>5376.6826141111678</v>
      </c>
      <c r="W52" s="536">
        <f t="shared" si="8"/>
        <v>4.9160209720000001</v>
      </c>
      <c r="X52" s="1390">
        <f t="shared" si="9"/>
        <v>3197.1917031127391</v>
      </c>
      <c r="Y52" s="536">
        <f t="shared" si="10"/>
        <v>12.524324309000001</v>
      </c>
      <c r="Z52" s="1390">
        <f t="shared" si="11"/>
        <v>8573.8743172239065</v>
      </c>
    </row>
    <row r="53" spans="1:26">
      <c r="A53" s="119">
        <v>40238</v>
      </c>
      <c r="B53" s="35">
        <v>2.347594</v>
      </c>
      <c r="C53" s="73">
        <v>1241.589283</v>
      </c>
      <c r="D53" s="533">
        <v>1.688388</v>
      </c>
      <c r="E53" s="73">
        <v>878.40317000000005</v>
      </c>
      <c r="F53" s="35">
        <f t="shared" si="0"/>
        <v>4.0359819999999997</v>
      </c>
      <c r="G53" s="73">
        <f t="shared" si="1"/>
        <v>2119.9924529999998</v>
      </c>
      <c r="H53" s="301">
        <f t="shared" si="2"/>
        <v>2010</v>
      </c>
      <c r="I53" s="302" t="str">
        <f t="shared" si="3"/>
        <v>1</v>
      </c>
      <c r="L53" s="323"/>
      <c r="M53" s="323"/>
      <c r="N53" s="323"/>
      <c r="T53" s="390">
        <f>IFERROR(IF(YEAR(MAX('Data - Monthly Commodity Prices'!$C$9:$C4999))=VALUE(RIGHT(T52,4)),"",IF($U$33="Calendar Year",T52+1,CONCATENATE(LEFT(T52,4)+1,"-",RIGHT(T52,4)+1))),"")</f>
        <v>2015</v>
      </c>
      <c r="U53" s="497">
        <f t="shared" si="6"/>
        <v>8.3434177189999996</v>
      </c>
      <c r="V53" s="1196">
        <f t="shared" si="7"/>
        <v>3775.532080309898</v>
      </c>
      <c r="W53" s="497">
        <f t="shared" si="8"/>
        <v>6.6301182650000001</v>
      </c>
      <c r="X53" s="1196">
        <f t="shared" si="9"/>
        <v>2461.7492792567773</v>
      </c>
      <c r="Y53" s="497">
        <f t="shared" si="10"/>
        <v>14.973535984</v>
      </c>
      <c r="Z53" s="1196">
        <f t="shared" si="11"/>
        <v>6237.2813595666739</v>
      </c>
    </row>
    <row r="54" spans="1:26">
      <c r="A54" s="119">
        <v>40330</v>
      </c>
      <c r="B54" s="528">
        <v>4.079669</v>
      </c>
      <c r="C54" s="134">
        <v>2292.8449110000001</v>
      </c>
      <c r="D54" s="532">
        <v>1.811402</v>
      </c>
      <c r="E54" s="134">
        <v>915.92936099999997</v>
      </c>
      <c r="F54" s="528">
        <f t="shared" si="0"/>
        <v>5.8910710000000002</v>
      </c>
      <c r="G54" s="134">
        <f t="shared" si="1"/>
        <v>3208.7742720000001</v>
      </c>
      <c r="H54" s="301">
        <f t="shared" si="2"/>
        <v>2010</v>
      </c>
      <c r="I54" s="302" t="str">
        <f t="shared" si="3"/>
        <v>2</v>
      </c>
      <c r="L54" s="323"/>
      <c r="M54" s="323"/>
      <c r="N54" s="323"/>
      <c r="T54" s="390">
        <f>IFERROR(IF(YEAR(MAX('Data - Monthly Commodity Prices'!$C$9:$C5000))=VALUE(RIGHT(T53,4)),"",IF($U$33="Calendar Year",T53+1,CONCATENATE(LEFT(T53,4)+1,"-",RIGHT(T53,4)+1))),"")</f>
        <v>2016</v>
      </c>
      <c r="U54" s="536">
        <f t="shared" si="6"/>
        <v>5.8139477664729293</v>
      </c>
      <c r="V54" s="1390">
        <f t="shared" si="7"/>
        <v>2179.6092749664735</v>
      </c>
      <c r="W54" s="536">
        <f t="shared" si="8"/>
        <v>6.4569410225498691</v>
      </c>
      <c r="X54" s="1390">
        <f t="shared" si="9"/>
        <v>2154.1807209778754</v>
      </c>
      <c r="Y54" s="536">
        <f t="shared" si="10"/>
        <v>12.270888789022798</v>
      </c>
      <c r="Z54" s="1390">
        <f t="shared" si="11"/>
        <v>4333.7899959443494</v>
      </c>
    </row>
    <row r="55" spans="1:26">
      <c r="A55" s="119">
        <v>40422</v>
      </c>
      <c r="B55" s="35">
        <v>4.3708419999999997</v>
      </c>
      <c r="C55" s="73">
        <v>2437.6289529999999</v>
      </c>
      <c r="D55" s="533">
        <v>1.901114</v>
      </c>
      <c r="E55" s="73">
        <v>942.45362899999998</v>
      </c>
      <c r="F55" s="35">
        <f t="shared" si="0"/>
        <v>6.2719559999999994</v>
      </c>
      <c r="G55" s="73">
        <f t="shared" si="1"/>
        <v>3380.082582</v>
      </c>
      <c r="H55" s="301">
        <f t="shared" si="2"/>
        <v>2010</v>
      </c>
      <c r="I55" s="302" t="str">
        <f t="shared" si="3"/>
        <v>3</v>
      </c>
      <c r="L55" s="323"/>
      <c r="M55" s="323"/>
      <c r="N55" s="323"/>
      <c r="T55" s="390">
        <f>IFERROR(IF(YEAR(MAX('Data - Monthly Commodity Prices'!$C$9:$C5001))=VALUE(RIGHT(T54,4)),"",IF($U$33="Calendar Year",T54+1,CONCATENATE(LEFT(T54,4)+1,"-",RIGHT(T54,4)+1))),"")</f>
        <v>2017</v>
      </c>
      <c r="U55" s="497">
        <f t="shared" si="6"/>
        <v>5.2808384997993141</v>
      </c>
      <c r="V55" s="1196">
        <f t="shared" si="7"/>
        <v>2234.0461179976282</v>
      </c>
      <c r="W55" s="497">
        <f t="shared" si="8"/>
        <v>6.2651657466368764</v>
      </c>
      <c r="X55" s="1196">
        <f t="shared" si="9"/>
        <v>2688.6021152507874</v>
      </c>
      <c r="Y55" s="497">
        <f t="shared" si="10"/>
        <v>11.54600424643619</v>
      </c>
      <c r="Z55" s="1196">
        <f t="shared" si="11"/>
        <v>4922.6482332484156</v>
      </c>
    </row>
    <row r="56" spans="1:26">
      <c r="A56" s="119">
        <v>40513</v>
      </c>
      <c r="B56" s="528">
        <v>3.906895</v>
      </c>
      <c r="C56" s="134">
        <v>2275.2464839999998</v>
      </c>
      <c r="D56" s="532">
        <v>1.8146850000000001</v>
      </c>
      <c r="E56" s="134">
        <v>968.64731800000004</v>
      </c>
      <c r="F56" s="528">
        <f t="shared" si="0"/>
        <v>5.7215800000000003</v>
      </c>
      <c r="G56" s="134">
        <f t="shared" si="1"/>
        <v>3243.8938019999996</v>
      </c>
      <c r="H56" s="301">
        <f t="shared" si="2"/>
        <v>2010</v>
      </c>
      <c r="I56" s="302" t="str">
        <f t="shared" si="3"/>
        <v>4</v>
      </c>
      <c r="L56" s="323"/>
      <c r="M56" s="323"/>
      <c r="N56" s="323"/>
      <c r="T56" s="390">
        <f>IFERROR(IF(YEAR(MAX('Data - Monthly Commodity Prices'!$C$9:$C5002))=VALUE(RIGHT(T55,4)),"",IF($U$33="Calendar Year",T55+1,CONCATENATE(LEFT(T55,4)+1,"-",RIGHT(T55,4)+1))),"")</f>
        <v>2018</v>
      </c>
      <c r="U56" s="536">
        <f t="shared" si="6"/>
        <v>3.6381359035488847</v>
      </c>
      <c r="V56" s="1390">
        <f t="shared" si="7"/>
        <v>2200.8429082207103</v>
      </c>
      <c r="W56" s="536">
        <f t="shared" si="8"/>
        <v>8.7845514205983299</v>
      </c>
      <c r="X56" s="1390">
        <f t="shared" si="9"/>
        <v>5247.1454538666549</v>
      </c>
      <c r="Y56" s="536">
        <f t="shared" si="10"/>
        <v>12.422687324147216</v>
      </c>
      <c r="Z56" s="1390">
        <f t="shared" si="11"/>
        <v>7447.9883620873643</v>
      </c>
    </row>
    <row r="57" spans="1:26">
      <c r="A57" s="119">
        <v>40603</v>
      </c>
      <c r="B57" s="35">
        <v>2.6924429999999999</v>
      </c>
      <c r="C57" s="73">
        <v>1813.2272929999999</v>
      </c>
      <c r="D57" s="533">
        <v>1.6744270000000001</v>
      </c>
      <c r="E57" s="73">
        <v>1075.0738120000001</v>
      </c>
      <c r="F57" s="35">
        <f t="shared" si="0"/>
        <v>4.3668700000000005</v>
      </c>
      <c r="G57" s="73">
        <f t="shared" si="1"/>
        <v>2888.301105</v>
      </c>
      <c r="H57" s="301">
        <f t="shared" si="2"/>
        <v>2011</v>
      </c>
      <c r="I57" s="302" t="str">
        <f t="shared" si="3"/>
        <v>1</v>
      </c>
      <c r="L57" s="323"/>
      <c r="M57" s="323"/>
      <c r="N57" s="323"/>
      <c r="T57" s="390">
        <f>IFERROR(IF(YEAR(MAX('Data - Monthly Commodity Prices'!$C$9:$C5003))=VALUE(RIGHT(T56,4)),"",IF($U$33="Calendar Year",T56+1,CONCATENATE(LEFT(T56,4)+1,"-",RIGHT(T56,4)+1))),"")</f>
        <v>2019</v>
      </c>
      <c r="U57" s="512">
        <f t="shared" si="6"/>
        <v>4.5977379997921446</v>
      </c>
      <c r="V57" s="61">
        <f t="shared" si="7"/>
        <v>2715.2326127344886</v>
      </c>
      <c r="W57" s="512">
        <f t="shared" si="8"/>
        <v>13.769031518872236</v>
      </c>
      <c r="X57" s="61">
        <f t="shared" si="9"/>
        <v>7406.3816942101212</v>
      </c>
      <c r="Y57" s="512">
        <f t="shared" si="10"/>
        <v>18.366769518664384</v>
      </c>
      <c r="Z57" s="61">
        <f t="shared" si="11"/>
        <v>10121.61430694461</v>
      </c>
    </row>
    <row r="58" spans="1:26">
      <c r="A58" s="119">
        <v>40695</v>
      </c>
      <c r="B58" s="528">
        <v>2.9546670000000002</v>
      </c>
      <c r="C58" s="134">
        <v>2002.759791</v>
      </c>
      <c r="D58" s="532">
        <v>1.491565</v>
      </c>
      <c r="E58" s="134">
        <v>1002.349577</v>
      </c>
      <c r="F58" s="528">
        <f t="shared" si="0"/>
        <v>4.4462320000000002</v>
      </c>
      <c r="G58" s="134">
        <f t="shared" si="1"/>
        <v>3005.1093679999999</v>
      </c>
      <c r="H58" s="301">
        <f t="shared" si="2"/>
        <v>2011</v>
      </c>
      <c r="I58" s="302" t="str">
        <f t="shared" si="3"/>
        <v>2</v>
      </c>
      <c r="L58" s="323"/>
      <c r="M58" s="323"/>
      <c r="N58" s="323"/>
      <c r="T58" s="390" t="str">
        <f>IFERROR(IF(YEAR(MAX('Data - Monthly Commodity Prices'!$C$9:$C5004))=VALUE(RIGHT(T57,4)),"",IF($U$33="Calendar Year",T57+1,CONCATENATE(LEFT(T57,4)+1,"-",RIGHT(T57,4)+1))),"")</f>
        <v/>
      </c>
      <c r="U58" s="536" t="str">
        <f t="shared" si="6"/>
        <v/>
      </c>
      <c r="V58" s="373" t="str">
        <f t="shared" si="7"/>
        <v/>
      </c>
      <c r="W58" s="536" t="str">
        <f t="shared" si="8"/>
        <v/>
      </c>
      <c r="X58" s="373" t="str">
        <f t="shared" si="9"/>
        <v/>
      </c>
      <c r="Y58" s="536" t="str">
        <f t="shared" si="10"/>
        <v/>
      </c>
      <c r="Z58" s="373" t="str">
        <f t="shared" si="11"/>
        <v/>
      </c>
    </row>
    <row r="59" spans="1:26">
      <c r="A59" s="119">
        <v>40787</v>
      </c>
      <c r="B59" s="35">
        <v>3.020804</v>
      </c>
      <c r="C59" s="73">
        <v>1952.9530339999999</v>
      </c>
      <c r="D59" s="533">
        <v>1.4885489999999999</v>
      </c>
      <c r="E59" s="73">
        <v>986.18390999999997</v>
      </c>
      <c r="F59" s="35">
        <f t="shared" si="0"/>
        <v>4.5093529999999999</v>
      </c>
      <c r="G59" s="73">
        <f t="shared" si="1"/>
        <v>2939.1369439999999</v>
      </c>
      <c r="H59" s="301">
        <f t="shared" si="2"/>
        <v>2011</v>
      </c>
      <c r="I59" s="302" t="str">
        <f t="shared" si="3"/>
        <v>3</v>
      </c>
      <c r="L59" s="323"/>
      <c r="M59" s="323"/>
      <c r="N59" s="323"/>
      <c r="T59" s="390" t="str">
        <f>IFERROR(IF(YEAR(MAX('Data - Monthly Commodity Prices'!$C$9:$C5005))=VALUE(RIGHT(T58,4)),"",IF($U$33="Calendar Year",T58+1,CONCATENATE(LEFT(T58,4)+1,"-",RIGHT(T58,4)+1))),"")</f>
        <v/>
      </c>
      <c r="U59" s="497" t="str">
        <f t="shared" si="6"/>
        <v/>
      </c>
      <c r="V59" s="352" t="str">
        <f t="shared" si="7"/>
        <v/>
      </c>
      <c r="W59" s="497" t="str">
        <f t="shared" si="8"/>
        <v/>
      </c>
      <c r="X59" s="352" t="str">
        <f t="shared" si="9"/>
        <v/>
      </c>
      <c r="Y59" s="497" t="str">
        <f t="shared" si="10"/>
        <v/>
      </c>
      <c r="Z59" s="352" t="str">
        <f t="shared" si="11"/>
        <v/>
      </c>
    </row>
    <row r="60" spans="1:26">
      <c r="A60" s="119">
        <v>40878</v>
      </c>
      <c r="B60" s="528">
        <v>3.3855789999999999</v>
      </c>
      <c r="C60" s="134">
        <v>2262.0034559999999</v>
      </c>
      <c r="D60" s="532">
        <v>1.627686</v>
      </c>
      <c r="E60" s="134">
        <v>1024.790227</v>
      </c>
      <c r="F60" s="528">
        <f t="shared" si="0"/>
        <v>5.0132649999999996</v>
      </c>
      <c r="G60" s="134">
        <f t="shared" si="1"/>
        <v>3286.7936829999999</v>
      </c>
      <c r="H60" s="301">
        <f t="shared" si="2"/>
        <v>2011</v>
      </c>
      <c r="I60" s="302" t="str">
        <f t="shared" si="3"/>
        <v>4</v>
      </c>
      <c r="L60" s="323"/>
      <c r="M60" s="323"/>
      <c r="N60" s="323"/>
      <c r="T60" s="390" t="str">
        <f>IFERROR(IF(YEAR(MAX('Data - Monthly Commodity Prices'!$C$9:$C5006))=VALUE(RIGHT(T59,4)),"",IF($U$33="Calendar Year",T59+1,CONCATENATE(LEFT(T59,4)+1,"-",RIGHT(T59,4)+1))),"")</f>
        <v/>
      </c>
      <c r="U60" s="536" t="str">
        <f t="shared" si="6"/>
        <v/>
      </c>
      <c r="V60" s="373" t="str">
        <f t="shared" si="7"/>
        <v/>
      </c>
      <c r="W60" s="536" t="str">
        <f t="shared" si="8"/>
        <v/>
      </c>
      <c r="X60" s="373" t="str">
        <f t="shared" si="9"/>
        <v/>
      </c>
      <c r="Y60" s="536" t="str">
        <f t="shared" si="10"/>
        <v/>
      </c>
      <c r="Z60" s="373" t="str">
        <f t="shared" si="11"/>
        <v/>
      </c>
    </row>
    <row r="61" spans="1:26" ht="15.75" thickBot="1">
      <c r="A61" s="119">
        <v>40969</v>
      </c>
      <c r="B61" s="35">
        <v>2.409443</v>
      </c>
      <c r="C61" s="73">
        <v>1822.344396</v>
      </c>
      <c r="D61" s="533">
        <v>1.5950839999999999</v>
      </c>
      <c r="E61" s="73">
        <v>1063.177745</v>
      </c>
      <c r="F61" s="35">
        <f t="shared" si="0"/>
        <v>4.0045269999999995</v>
      </c>
      <c r="G61" s="73">
        <f t="shared" si="1"/>
        <v>2885.5221409999999</v>
      </c>
      <c r="H61" s="301">
        <f t="shared" si="2"/>
        <v>2012</v>
      </c>
      <c r="I61" s="302" t="str">
        <f t="shared" si="3"/>
        <v>1</v>
      </c>
      <c r="L61" s="323"/>
      <c r="M61" s="323"/>
      <c r="N61" s="323"/>
      <c r="T61" s="391" t="str">
        <f>IFERROR(IF(YEAR(MAX('Data - Monthly Commodity Prices'!$C$9:$C5007))=VALUE(RIGHT(T60,4)),"",IF($U$33="Calendar Year",T60+1,CONCATENATE(LEFT(T60,4)+1,"-",RIGHT(T60,4)+1))),"")</f>
        <v/>
      </c>
      <c r="U61" s="1391" t="str">
        <f t="shared" si="6"/>
        <v/>
      </c>
      <c r="V61" s="354" t="str">
        <f t="shared" si="7"/>
        <v/>
      </c>
      <c r="W61" s="1391" t="str">
        <f t="shared" si="8"/>
        <v/>
      </c>
      <c r="X61" s="354" t="str">
        <f t="shared" si="9"/>
        <v/>
      </c>
      <c r="Y61" s="1391" t="str">
        <f t="shared" si="10"/>
        <v/>
      </c>
      <c r="Z61" s="354" t="str">
        <f t="shared" si="11"/>
        <v/>
      </c>
    </row>
    <row r="62" spans="1:26">
      <c r="A62" s="119">
        <v>41061</v>
      </c>
      <c r="B62" s="528">
        <v>2.30579</v>
      </c>
      <c r="C62" s="134">
        <v>1639.3325729999999</v>
      </c>
      <c r="D62" s="532">
        <v>1.177289</v>
      </c>
      <c r="E62" s="134">
        <v>767.95968900000003</v>
      </c>
      <c r="F62" s="528">
        <f t="shared" si="0"/>
        <v>3.483079</v>
      </c>
      <c r="G62" s="134">
        <f t="shared" si="1"/>
        <v>2407.2922619999999</v>
      </c>
      <c r="H62" s="301">
        <f t="shared" si="2"/>
        <v>2012</v>
      </c>
      <c r="I62" s="302" t="str">
        <f t="shared" si="3"/>
        <v>2</v>
      </c>
    </row>
    <row r="63" spans="1:26">
      <c r="A63" s="119">
        <v>41153</v>
      </c>
      <c r="B63" s="35">
        <v>2.6893250000000002</v>
      </c>
      <c r="C63" s="73">
        <v>1878.8416990000001</v>
      </c>
      <c r="D63" s="533">
        <v>1.6682189999999999</v>
      </c>
      <c r="E63" s="73">
        <v>1042.7887109999999</v>
      </c>
      <c r="F63" s="35">
        <f t="shared" si="0"/>
        <v>4.3575439999999999</v>
      </c>
      <c r="G63" s="73">
        <f t="shared" si="1"/>
        <v>2921.6304099999998</v>
      </c>
      <c r="H63" s="301">
        <f t="shared" si="2"/>
        <v>2012</v>
      </c>
      <c r="I63" s="302" t="str">
        <f t="shared" si="3"/>
        <v>3</v>
      </c>
    </row>
    <row r="64" spans="1:26">
      <c r="A64" s="119">
        <v>41244</v>
      </c>
      <c r="B64" s="528">
        <v>2.5871230000000001</v>
      </c>
      <c r="C64" s="134">
        <v>1759.074867</v>
      </c>
      <c r="D64" s="532">
        <v>1.558918</v>
      </c>
      <c r="E64" s="134">
        <v>988.37496999999996</v>
      </c>
      <c r="F64" s="528">
        <f t="shared" si="0"/>
        <v>4.1460410000000003</v>
      </c>
      <c r="G64" s="134">
        <f t="shared" si="1"/>
        <v>2747.4498370000001</v>
      </c>
      <c r="H64" s="301">
        <f t="shared" si="2"/>
        <v>2012</v>
      </c>
      <c r="I64" s="302" t="str">
        <f t="shared" si="3"/>
        <v>4</v>
      </c>
    </row>
    <row r="65" spans="1:13">
      <c r="A65" s="119">
        <v>41334</v>
      </c>
      <c r="B65" s="35">
        <v>1.5366310000000001</v>
      </c>
      <c r="C65" s="73">
        <v>1095.996523</v>
      </c>
      <c r="D65" s="533">
        <v>1.429154</v>
      </c>
      <c r="E65" s="73">
        <v>948.41882899999996</v>
      </c>
      <c r="F65" s="35">
        <f t="shared" si="0"/>
        <v>2.9657850000000003</v>
      </c>
      <c r="G65" s="73">
        <f t="shared" si="1"/>
        <v>2044.415352</v>
      </c>
      <c r="H65" s="301">
        <f t="shared" si="2"/>
        <v>2013</v>
      </c>
      <c r="I65" s="302" t="str">
        <f t="shared" si="3"/>
        <v>1</v>
      </c>
    </row>
    <row r="66" spans="1:13">
      <c r="A66" s="119">
        <v>41426</v>
      </c>
      <c r="B66" s="528">
        <v>1.796346</v>
      </c>
      <c r="C66" s="134">
        <v>1238.145111</v>
      </c>
      <c r="D66" s="532">
        <v>1.460677</v>
      </c>
      <c r="E66" s="134">
        <v>942.45001400000001</v>
      </c>
      <c r="F66" s="528">
        <f t="shared" si="0"/>
        <v>3.2570230000000002</v>
      </c>
      <c r="G66" s="134">
        <f t="shared" si="1"/>
        <v>2180.5951249999998</v>
      </c>
      <c r="H66" s="301">
        <f t="shared" si="2"/>
        <v>2013</v>
      </c>
      <c r="I66" s="302" t="str">
        <f t="shared" si="3"/>
        <v>2</v>
      </c>
    </row>
    <row r="67" spans="1:13">
      <c r="A67" s="119">
        <v>41518</v>
      </c>
      <c r="B67" s="35">
        <v>1.85368</v>
      </c>
      <c r="C67" s="73">
        <v>1453.3608859999999</v>
      </c>
      <c r="D67" s="533">
        <v>1.6749639999999999</v>
      </c>
      <c r="E67" s="73">
        <v>1203.7449919999999</v>
      </c>
      <c r="F67" s="35">
        <f t="shared" si="0"/>
        <v>3.5286439999999999</v>
      </c>
      <c r="G67" s="73">
        <f t="shared" si="1"/>
        <v>2657.1058779999998</v>
      </c>
      <c r="H67" s="301">
        <f t="shared" si="2"/>
        <v>2013</v>
      </c>
      <c r="I67" s="302" t="str">
        <f t="shared" si="3"/>
        <v>3</v>
      </c>
    </row>
    <row r="68" spans="1:13">
      <c r="A68" s="119">
        <v>41609</v>
      </c>
      <c r="B68" s="528">
        <v>1.68432</v>
      </c>
      <c r="C68" s="134">
        <v>1323.5901530000001</v>
      </c>
      <c r="D68" s="532">
        <v>1.392476</v>
      </c>
      <c r="E68" s="134">
        <v>1022.3082020000001</v>
      </c>
      <c r="F68" s="528">
        <f t="shared" si="0"/>
        <v>3.0767959999999999</v>
      </c>
      <c r="G68" s="134">
        <f t="shared" si="1"/>
        <v>2345.8983550000003</v>
      </c>
      <c r="H68" s="301">
        <f t="shared" si="2"/>
        <v>2013</v>
      </c>
      <c r="I68" s="302" t="str">
        <f t="shared" si="3"/>
        <v>4</v>
      </c>
    </row>
    <row r="69" spans="1:13">
      <c r="A69" s="119">
        <v>41699</v>
      </c>
      <c r="B69" s="35">
        <v>1.7543310000000001</v>
      </c>
      <c r="C69" s="73">
        <v>1407.2485658013093</v>
      </c>
      <c r="D69" s="533">
        <v>0.106236</v>
      </c>
      <c r="E69" s="73">
        <v>79.995091938622977</v>
      </c>
      <c r="F69" s="35">
        <v>1.8605670000000001</v>
      </c>
      <c r="G69" s="73">
        <v>1487.2436577399321</v>
      </c>
      <c r="H69" s="301">
        <f t="shared" si="2"/>
        <v>2014</v>
      </c>
      <c r="I69" s="302" t="str">
        <f t="shared" si="3"/>
        <v>1</v>
      </c>
    </row>
    <row r="70" spans="1:13">
      <c r="A70" s="119">
        <v>41791</v>
      </c>
      <c r="B70" s="528">
        <v>1.5749711770000001</v>
      </c>
      <c r="C70" s="134">
        <v>1201.3203590651353</v>
      </c>
      <c r="D70" s="532">
        <v>1.225587207</v>
      </c>
      <c r="E70" s="134">
        <v>893.83111607218905</v>
      </c>
      <c r="F70" s="528">
        <v>2.8005583840000003</v>
      </c>
      <c r="G70" s="134">
        <v>2095.1514751373243</v>
      </c>
      <c r="H70" s="301">
        <f t="shared" si="2"/>
        <v>2014</v>
      </c>
      <c r="I70" s="302" t="str">
        <f t="shared" si="3"/>
        <v>2</v>
      </c>
    </row>
    <row r="71" spans="1:13">
      <c r="A71" s="119">
        <v>41883</v>
      </c>
      <c r="B71" s="35">
        <v>1.9036463259999998</v>
      </c>
      <c r="C71" s="73">
        <v>1358.4648318863947</v>
      </c>
      <c r="D71" s="533">
        <v>1.8797281810000002</v>
      </c>
      <c r="E71" s="73">
        <v>1242.6869138642155</v>
      </c>
      <c r="F71" s="35">
        <v>3.783374507</v>
      </c>
      <c r="G71" s="73">
        <v>2601.1517457506102</v>
      </c>
      <c r="H71" s="301">
        <f t="shared" si="2"/>
        <v>2014</v>
      </c>
      <c r="I71" s="302" t="str">
        <f t="shared" si="3"/>
        <v>3</v>
      </c>
    </row>
    <row r="72" spans="1:13">
      <c r="A72" s="119">
        <v>41974</v>
      </c>
      <c r="B72" s="529">
        <v>2.3753548340000004</v>
      </c>
      <c r="C72" s="284">
        <v>1409.6488573583283</v>
      </c>
      <c r="D72" s="532">
        <v>1.7044695839999999</v>
      </c>
      <c r="E72" s="284">
        <v>980.67858123771146</v>
      </c>
      <c r="F72" s="529">
        <v>4.0798244180000003</v>
      </c>
      <c r="G72" s="284">
        <v>2390.3274385960399</v>
      </c>
      <c r="H72" s="301">
        <f t="shared" si="2"/>
        <v>2014</v>
      </c>
      <c r="I72" s="302" t="str">
        <f t="shared" si="3"/>
        <v>4</v>
      </c>
    </row>
    <row r="73" spans="1:13">
      <c r="A73" s="283">
        <v>42064</v>
      </c>
      <c r="B73" s="501">
        <v>1.9190555039999999</v>
      </c>
      <c r="C73" s="292">
        <v>885.96239547430002</v>
      </c>
      <c r="D73" s="501">
        <v>1.6808532540000001</v>
      </c>
      <c r="E73" s="292">
        <v>628.76823893000005</v>
      </c>
      <c r="F73" s="501">
        <v>3.5999087580000002</v>
      </c>
      <c r="G73" s="292">
        <v>1514.7306344043</v>
      </c>
      <c r="H73" s="301">
        <f t="shared" si="2"/>
        <v>2015</v>
      </c>
      <c r="I73" s="302" t="str">
        <f t="shared" si="3"/>
        <v>1</v>
      </c>
    </row>
    <row r="74" spans="1:13">
      <c r="A74" s="283">
        <v>42156</v>
      </c>
      <c r="B74" s="529">
        <v>1.754421252</v>
      </c>
      <c r="C74" s="284">
        <v>913.56207599089998</v>
      </c>
      <c r="D74" s="529">
        <v>1.48816243</v>
      </c>
      <c r="E74" s="284">
        <v>676.69249649000005</v>
      </c>
      <c r="F74" s="529">
        <v>3.2425836819999998</v>
      </c>
      <c r="G74" s="284">
        <v>1590.2545724808999</v>
      </c>
      <c r="H74" s="301">
        <f>YEAR(A74)</f>
        <v>2015</v>
      </c>
      <c r="I74" s="302" t="str">
        <f t="shared" si="3"/>
        <v>2</v>
      </c>
    </row>
    <row r="75" spans="1:13">
      <c r="A75" s="283">
        <v>42248</v>
      </c>
      <c r="B75" s="501">
        <v>2.632189881</v>
      </c>
      <c r="C75" s="292">
        <v>1183.07002341</v>
      </c>
      <c r="D75" s="501">
        <v>1.6907829999999999</v>
      </c>
      <c r="E75" s="292">
        <v>617.12525978999997</v>
      </c>
      <c r="F75" s="501">
        <v>4.3229728810000001</v>
      </c>
      <c r="G75" s="292">
        <v>1800.1952831999999</v>
      </c>
      <c r="H75" s="301">
        <f>YEAR(A75)</f>
        <v>2015</v>
      </c>
      <c r="I75" s="302" t="str">
        <f>IF(MONTH(A75)=3,"1",IF(MONTH(A75)=6,"2",IF(MONTH(A75)=9,"3","4")))</f>
        <v>3</v>
      </c>
      <c r="M75" s="407"/>
    </row>
    <row r="76" spans="1:13">
      <c r="A76" s="283">
        <v>42339</v>
      </c>
      <c r="B76" s="529">
        <v>2.0377510819999998</v>
      </c>
      <c r="C76" s="284">
        <v>792.93758543469812</v>
      </c>
      <c r="D76" s="529">
        <v>1.7703195810000003</v>
      </c>
      <c r="E76" s="284">
        <v>539.16328404677688</v>
      </c>
      <c r="F76" s="529">
        <v>3.8080706630000001</v>
      </c>
      <c r="G76" s="284">
        <v>1332.100869481475</v>
      </c>
      <c r="H76" s="301">
        <f>YEAR(A76)</f>
        <v>2015</v>
      </c>
      <c r="I76" s="302" t="str">
        <f>IF(MONTH(A76)=3,"1",IF(MONTH(A76)=6,"2",IF(MONTH(A76)=9,"3","4")))</f>
        <v>4</v>
      </c>
      <c r="M76" s="407"/>
    </row>
    <row r="77" spans="1:13">
      <c r="A77" s="283">
        <v>42430</v>
      </c>
      <c r="B77" s="970">
        <v>1.6235729555160001</v>
      </c>
      <c r="C77" s="971">
        <v>529.80912888635362</v>
      </c>
      <c r="D77" s="970">
        <v>1.6963439478560001</v>
      </c>
      <c r="E77" s="971">
        <v>508.12688093841786</v>
      </c>
      <c r="F77" s="970">
        <v>3.3199169033720004</v>
      </c>
      <c r="G77" s="971">
        <v>1037.9360098247714</v>
      </c>
      <c r="H77" s="302">
        <f t="shared" ref="H77:H126" si="12">YEAR(A77)</f>
        <v>2016</v>
      </c>
      <c r="I77" s="302" t="str">
        <f t="shared" ref="I77:I126" si="13">IF(MONTH(A77)=3,"1",IF(MONTH(A77)=6,"2",IF(MONTH(A77)=9,"3","4")))</f>
        <v>1</v>
      </c>
      <c r="M77" s="407"/>
    </row>
    <row r="78" spans="1:13">
      <c r="A78" s="283">
        <v>42522</v>
      </c>
      <c r="B78" s="1227">
        <v>1.3924080700000001</v>
      </c>
      <c r="C78" s="1228">
        <v>583.56730797688544</v>
      </c>
      <c r="D78" s="1227">
        <v>1.6176950826500001</v>
      </c>
      <c r="E78" s="1228">
        <v>549.29440950200308</v>
      </c>
      <c r="F78" s="1227">
        <v>3.0101031526500002</v>
      </c>
      <c r="G78" s="1228">
        <v>1132.8617174788885</v>
      </c>
      <c r="H78" s="302">
        <f t="shared" si="12"/>
        <v>2016</v>
      </c>
      <c r="I78" s="302" t="str">
        <f t="shared" si="13"/>
        <v>2</v>
      </c>
      <c r="M78" s="407"/>
    </row>
    <row r="79" spans="1:13">
      <c r="A79" s="283">
        <v>42614</v>
      </c>
      <c r="B79" s="970">
        <v>1.4007175309569293</v>
      </c>
      <c r="C79" s="971">
        <v>494.18760746634848</v>
      </c>
      <c r="D79" s="970">
        <v>1.5939928130438696</v>
      </c>
      <c r="E79" s="971">
        <v>497.49411822359889</v>
      </c>
      <c r="F79" s="970">
        <v>2.9947103440007989</v>
      </c>
      <c r="G79" s="971">
        <v>991.68172568994737</v>
      </c>
      <c r="H79" s="302">
        <f t="shared" si="12"/>
        <v>2016</v>
      </c>
      <c r="I79" s="302" t="str">
        <f t="shared" si="13"/>
        <v>3</v>
      </c>
    </row>
    <row r="80" spans="1:13">
      <c r="A80" s="283">
        <v>42705</v>
      </c>
      <c r="B80" s="1227">
        <v>1.39724921</v>
      </c>
      <c r="C80" s="1228">
        <v>572.045230636886</v>
      </c>
      <c r="D80" s="1227">
        <v>1.548909179</v>
      </c>
      <c r="E80" s="1228">
        <v>599.2653123138557</v>
      </c>
      <c r="F80" s="1227">
        <v>2.9461583889999998</v>
      </c>
      <c r="G80" s="1228">
        <v>1171.3105429507418</v>
      </c>
      <c r="H80" s="302">
        <f t="shared" si="12"/>
        <v>2016</v>
      </c>
      <c r="I80" s="302" t="str">
        <f t="shared" si="13"/>
        <v>4</v>
      </c>
    </row>
    <row r="81" spans="1:9">
      <c r="A81" s="283">
        <v>42795</v>
      </c>
      <c r="B81" s="970">
        <v>1.2477125822608752</v>
      </c>
      <c r="C81" s="971">
        <v>521.44126164557792</v>
      </c>
      <c r="D81" s="970">
        <v>1.4171939958479354</v>
      </c>
      <c r="E81" s="971">
        <v>585.22550891003164</v>
      </c>
      <c r="F81" s="970">
        <v>2.6649065781088108</v>
      </c>
      <c r="G81" s="971">
        <v>1106.6667705556097</v>
      </c>
      <c r="H81" s="302">
        <f t="shared" si="12"/>
        <v>2017</v>
      </c>
      <c r="I81" s="302" t="str">
        <f t="shared" si="13"/>
        <v>1</v>
      </c>
    </row>
    <row r="82" spans="1:9">
      <c r="A82" s="283">
        <v>42887</v>
      </c>
      <c r="B82" s="1227">
        <v>1.3586148576943344</v>
      </c>
      <c r="C82" s="1228">
        <v>523.90479821968222</v>
      </c>
      <c r="D82" s="1227">
        <v>1.4775072660383499</v>
      </c>
      <c r="E82" s="1228">
        <v>546.5878885836313</v>
      </c>
      <c r="F82" s="1227">
        <v>2.8361221237326841</v>
      </c>
      <c r="G82" s="1228">
        <v>1070.4926868033135</v>
      </c>
      <c r="H82" s="302">
        <f t="shared" si="12"/>
        <v>2017</v>
      </c>
      <c r="I82" s="302" t="str">
        <f t="shared" si="13"/>
        <v>2</v>
      </c>
    </row>
    <row r="83" spans="1:9">
      <c r="A83" s="283">
        <v>42979</v>
      </c>
      <c r="B83" s="970">
        <v>1.3921877598441044</v>
      </c>
      <c r="C83" s="971">
        <v>539.83144932076721</v>
      </c>
      <c r="D83" s="970">
        <v>1.6648071947505914</v>
      </c>
      <c r="E83" s="971">
        <v>692.14313673236711</v>
      </c>
      <c r="F83" s="970">
        <v>3.0569949545946957</v>
      </c>
      <c r="G83" s="971">
        <v>1231.9745860531343</v>
      </c>
      <c r="H83" s="302">
        <f t="shared" si="12"/>
        <v>2017</v>
      </c>
      <c r="I83" s="302" t="str">
        <f t="shared" si="13"/>
        <v>3</v>
      </c>
    </row>
    <row r="84" spans="1:9">
      <c r="A84" s="283">
        <v>43070</v>
      </c>
      <c r="B84" s="1227">
        <v>1.2823233000000001</v>
      </c>
      <c r="C84" s="1228">
        <v>648.86860881160101</v>
      </c>
      <c r="D84" s="1227">
        <v>1.70565729</v>
      </c>
      <c r="E84" s="1228">
        <v>864.64558102475735</v>
      </c>
      <c r="F84" s="1227">
        <v>2.9879805900000003</v>
      </c>
      <c r="G84" s="1228">
        <v>1513.5141898363584</v>
      </c>
      <c r="H84" s="302">
        <f t="shared" si="12"/>
        <v>2017</v>
      </c>
      <c r="I84" s="302" t="str">
        <f t="shared" si="13"/>
        <v>4</v>
      </c>
    </row>
    <row r="85" spans="1:9">
      <c r="A85" s="283">
        <v>43160</v>
      </c>
      <c r="B85" s="970">
        <v>1.2871270533178567</v>
      </c>
      <c r="C85" s="971">
        <v>697.38261576077412</v>
      </c>
      <c r="D85" s="970">
        <v>1.8449283093716726</v>
      </c>
      <c r="E85" s="971">
        <v>983.06015083497937</v>
      </c>
      <c r="F85" s="970">
        <v>3.1320553626895293</v>
      </c>
      <c r="G85" s="971">
        <v>1680.4427665957535</v>
      </c>
      <c r="H85" s="302">
        <f t="shared" si="12"/>
        <v>2018</v>
      </c>
      <c r="I85" s="302" t="str">
        <f t="shared" si="13"/>
        <v>1</v>
      </c>
    </row>
    <row r="86" spans="1:9">
      <c r="A86" s="283">
        <v>43252</v>
      </c>
      <c r="B86" s="1227">
        <v>0.91577308126753398</v>
      </c>
      <c r="C86" s="1228">
        <v>581.32179044813915</v>
      </c>
      <c r="D86" s="1227">
        <v>1.8986285042582385</v>
      </c>
      <c r="E86" s="1228">
        <v>1188.1568812226265</v>
      </c>
      <c r="F86" s="1227">
        <v>2.8144015855257725</v>
      </c>
      <c r="G86" s="1228">
        <v>1769.4786716707656</v>
      </c>
      <c r="H86" s="302">
        <f t="shared" si="12"/>
        <v>2018</v>
      </c>
      <c r="I86" s="302" t="str">
        <f t="shared" si="13"/>
        <v>2</v>
      </c>
    </row>
    <row r="87" spans="1:9">
      <c r="A87" s="283">
        <v>43344</v>
      </c>
      <c r="B87" s="970">
        <v>0.63538361652746322</v>
      </c>
      <c r="C87" s="971">
        <v>414.53917295854046</v>
      </c>
      <c r="D87" s="970">
        <v>2.3448414913405928</v>
      </c>
      <c r="E87" s="971">
        <v>1512.2030904942671</v>
      </c>
      <c r="F87" s="970">
        <v>2.9802251078680562</v>
      </c>
      <c r="G87" s="971">
        <v>1926.7422634528075</v>
      </c>
      <c r="H87" s="302">
        <f t="shared" si="12"/>
        <v>2018</v>
      </c>
      <c r="I87" s="302" t="str">
        <f t="shared" si="13"/>
        <v>3</v>
      </c>
    </row>
    <row r="88" spans="1:9">
      <c r="A88" s="283">
        <v>43435</v>
      </c>
      <c r="B88" s="1227">
        <v>0.79985215243603103</v>
      </c>
      <c r="C88" s="1228">
        <v>507.59932905325644</v>
      </c>
      <c r="D88" s="1227">
        <v>2.6961531156278258</v>
      </c>
      <c r="E88" s="1228">
        <v>1563.7253313147812</v>
      </c>
      <c r="F88" s="1227">
        <v>3.4960052680638567</v>
      </c>
      <c r="G88" s="1228">
        <v>2071.3246603680377</v>
      </c>
      <c r="H88" s="302">
        <f t="shared" si="12"/>
        <v>2018</v>
      </c>
      <c r="I88" s="302" t="str">
        <f t="shared" si="13"/>
        <v>4</v>
      </c>
    </row>
    <row r="89" spans="1:9">
      <c r="A89" s="283">
        <v>43525</v>
      </c>
      <c r="B89" s="970">
        <v>0.89101777650931613</v>
      </c>
      <c r="C89" s="971">
        <v>464.32253942444066</v>
      </c>
      <c r="D89" s="970">
        <v>3.2175232871435684</v>
      </c>
      <c r="E89" s="971">
        <v>1648.7934192572561</v>
      </c>
      <c r="F89" s="970">
        <v>4.1085410636528845</v>
      </c>
      <c r="G89" s="971">
        <v>2113.1159586816966</v>
      </c>
      <c r="H89" s="302">
        <f t="shared" si="12"/>
        <v>2019</v>
      </c>
      <c r="I89" s="302" t="str">
        <f t="shared" si="13"/>
        <v>1</v>
      </c>
    </row>
    <row r="90" spans="1:9">
      <c r="A90" s="1658">
        <v>43617</v>
      </c>
      <c r="B90" s="1227">
        <v>0.91881895582285389</v>
      </c>
      <c r="C90" s="1228">
        <v>589.94449193221715</v>
      </c>
      <c r="D90" s="1227">
        <v>3.4710333069959667</v>
      </c>
      <c r="E90" s="1228">
        <v>1953.0551952061016</v>
      </c>
      <c r="F90" s="1227">
        <v>4.3898522628188203</v>
      </c>
      <c r="G90" s="1228">
        <v>2542.9996871383187</v>
      </c>
      <c r="H90" s="302">
        <f t="shared" si="12"/>
        <v>2019</v>
      </c>
      <c r="I90" s="302" t="str">
        <f t="shared" si="13"/>
        <v>2</v>
      </c>
    </row>
    <row r="91" spans="1:9">
      <c r="A91" s="283">
        <v>43709</v>
      </c>
      <c r="B91" s="970">
        <v>1.3054871725512831</v>
      </c>
      <c r="C91" s="971">
        <v>791.66959756794961</v>
      </c>
      <c r="D91" s="970">
        <v>3.6258690365098842</v>
      </c>
      <c r="E91" s="971">
        <v>1901.8927546979407</v>
      </c>
      <c r="F91" s="970">
        <v>4.9313562090611676</v>
      </c>
      <c r="G91" s="971">
        <v>2693.5623522658902</v>
      </c>
      <c r="H91" s="302">
        <f t="shared" si="12"/>
        <v>2019</v>
      </c>
      <c r="I91" s="302" t="str">
        <f t="shared" si="13"/>
        <v>3</v>
      </c>
    </row>
    <row r="92" spans="1:9" ht="15.75" thickBot="1">
      <c r="A92" s="283">
        <v>43800</v>
      </c>
      <c r="B92" s="1227">
        <v>1.4824140949086919</v>
      </c>
      <c r="C92" s="1228">
        <v>869.29598380988148</v>
      </c>
      <c r="D92" s="1227">
        <v>3.4546058882228179</v>
      </c>
      <c r="E92" s="1228">
        <v>1902.6403250488231</v>
      </c>
      <c r="F92" s="1227">
        <v>4.9370199831315098</v>
      </c>
      <c r="G92" s="1228">
        <v>2771.9363088587047</v>
      </c>
      <c r="H92" s="302">
        <f t="shared" si="12"/>
        <v>2019</v>
      </c>
      <c r="I92" s="302" t="str">
        <f t="shared" si="13"/>
        <v>4</v>
      </c>
    </row>
    <row r="93" spans="1:9">
      <c r="A93" s="1639"/>
      <c r="B93" s="1639"/>
      <c r="C93" s="1639"/>
      <c r="D93" s="1639"/>
      <c r="E93" s="1639"/>
      <c r="F93" s="1659"/>
      <c r="G93" s="1640"/>
      <c r="H93" s="302">
        <f t="shared" si="12"/>
        <v>1900</v>
      </c>
      <c r="I93" s="302" t="str">
        <f t="shared" si="13"/>
        <v>4</v>
      </c>
    </row>
    <row r="94" spans="1:9">
      <c r="G94" s="71"/>
      <c r="H94" s="302">
        <f t="shared" si="12"/>
        <v>1900</v>
      </c>
      <c r="I94" s="302" t="str">
        <f t="shared" si="13"/>
        <v>4</v>
      </c>
    </row>
    <row r="95" spans="1:9">
      <c r="G95" s="71"/>
      <c r="H95" s="302">
        <f t="shared" si="12"/>
        <v>1900</v>
      </c>
      <c r="I95" s="302" t="str">
        <f t="shared" si="13"/>
        <v>4</v>
      </c>
    </row>
    <row r="96" spans="1:9">
      <c r="G96" s="71"/>
      <c r="H96" s="302">
        <f t="shared" si="12"/>
        <v>1900</v>
      </c>
      <c r="I96" s="302" t="str">
        <f t="shared" si="13"/>
        <v>4</v>
      </c>
    </row>
    <row r="97" spans="7:9">
      <c r="G97" s="71"/>
      <c r="H97" s="302">
        <f t="shared" si="12"/>
        <v>1900</v>
      </c>
      <c r="I97" s="302" t="str">
        <f t="shared" si="13"/>
        <v>4</v>
      </c>
    </row>
    <row r="98" spans="7:9">
      <c r="G98" s="71"/>
      <c r="H98" s="302">
        <f t="shared" si="12"/>
        <v>1900</v>
      </c>
      <c r="I98" s="302" t="str">
        <f t="shared" si="13"/>
        <v>4</v>
      </c>
    </row>
    <row r="99" spans="7:9">
      <c r="G99" s="71"/>
      <c r="H99" s="302">
        <f t="shared" si="12"/>
        <v>1900</v>
      </c>
      <c r="I99" s="302" t="str">
        <f t="shared" si="13"/>
        <v>4</v>
      </c>
    </row>
    <row r="100" spans="7:9">
      <c r="G100" s="71"/>
      <c r="H100" s="302">
        <f t="shared" si="12"/>
        <v>1900</v>
      </c>
      <c r="I100" s="302" t="str">
        <f t="shared" si="13"/>
        <v>4</v>
      </c>
    </row>
    <row r="101" spans="7:9">
      <c r="G101" s="71"/>
      <c r="H101" s="302">
        <f t="shared" si="12"/>
        <v>1900</v>
      </c>
      <c r="I101" s="302" t="str">
        <f t="shared" si="13"/>
        <v>4</v>
      </c>
    </row>
    <row r="102" spans="7:9">
      <c r="G102" s="71"/>
      <c r="H102" s="302">
        <f t="shared" si="12"/>
        <v>1900</v>
      </c>
      <c r="I102" s="302" t="str">
        <f t="shared" si="13"/>
        <v>4</v>
      </c>
    </row>
    <row r="103" spans="7:9">
      <c r="G103" s="71"/>
      <c r="H103" s="302">
        <f t="shared" si="12"/>
        <v>1900</v>
      </c>
      <c r="I103" s="302" t="str">
        <f t="shared" si="13"/>
        <v>4</v>
      </c>
    </row>
    <row r="104" spans="7:9">
      <c r="G104" s="71"/>
      <c r="H104" s="302">
        <f t="shared" si="12"/>
        <v>1900</v>
      </c>
      <c r="I104" s="302" t="str">
        <f t="shared" si="13"/>
        <v>4</v>
      </c>
    </row>
    <row r="105" spans="7:9">
      <c r="G105" s="71"/>
      <c r="H105" s="302">
        <f t="shared" si="12"/>
        <v>1900</v>
      </c>
      <c r="I105" s="302" t="str">
        <f t="shared" si="13"/>
        <v>4</v>
      </c>
    </row>
    <row r="106" spans="7:9">
      <c r="G106" s="71"/>
      <c r="H106" s="302">
        <f t="shared" si="12"/>
        <v>1900</v>
      </c>
      <c r="I106" s="302" t="str">
        <f t="shared" si="13"/>
        <v>4</v>
      </c>
    </row>
    <row r="107" spans="7:9">
      <c r="G107" s="71"/>
      <c r="H107" s="302">
        <f t="shared" si="12"/>
        <v>1900</v>
      </c>
      <c r="I107" s="302" t="str">
        <f t="shared" si="13"/>
        <v>4</v>
      </c>
    </row>
    <row r="108" spans="7:9">
      <c r="G108" s="71"/>
      <c r="H108" s="302">
        <f t="shared" si="12"/>
        <v>1900</v>
      </c>
      <c r="I108" s="302" t="str">
        <f t="shared" si="13"/>
        <v>4</v>
      </c>
    </row>
    <row r="109" spans="7:9">
      <c r="G109" s="71"/>
      <c r="H109" s="302">
        <f t="shared" si="12"/>
        <v>1900</v>
      </c>
      <c r="I109" s="302" t="str">
        <f t="shared" si="13"/>
        <v>4</v>
      </c>
    </row>
    <row r="110" spans="7:9">
      <c r="G110" s="71"/>
      <c r="H110" s="302">
        <f t="shared" si="12"/>
        <v>1900</v>
      </c>
      <c r="I110" s="302" t="str">
        <f t="shared" si="13"/>
        <v>4</v>
      </c>
    </row>
    <row r="111" spans="7:9">
      <c r="G111" s="71"/>
      <c r="H111" s="302">
        <f t="shared" si="12"/>
        <v>1900</v>
      </c>
      <c r="I111" s="302" t="str">
        <f t="shared" si="13"/>
        <v>4</v>
      </c>
    </row>
    <row r="112" spans="7:9">
      <c r="G112" s="71"/>
      <c r="H112" s="302">
        <f t="shared" si="12"/>
        <v>1900</v>
      </c>
      <c r="I112" s="302" t="str">
        <f t="shared" si="13"/>
        <v>4</v>
      </c>
    </row>
    <row r="113" spans="7:9">
      <c r="G113" s="71"/>
      <c r="H113" s="302">
        <f t="shared" si="12"/>
        <v>1900</v>
      </c>
      <c r="I113" s="302" t="str">
        <f t="shared" si="13"/>
        <v>4</v>
      </c>
    </row>
    <row r="114" spans="7:9">
      <c r="G114" s="71"/>
      <c r="H114" s="302">
        <f t="shared" si="12"/>
        <v>1900</v>
      </c>
      <c r="I114" s="302" t="str">
        <f t="shared" si="13"/>
        <v>4</v>
      </c>
    </row>
    <row r="115" spans="7:9">
      <c r="G115" s="71"/>
      <c r="H115" s="302">
        <f t="shared" si="12"/>
        <v>1900</v>
      </c>
      <c r="I115" s="302" t="str">
        <f t="shared" si="13"/>
        <v>4</v>
      </c>
    </row>
    <row r="116" spans="7:9">
      <c r="G116" s="71"/>
      <c r="H116" s="302">
        <f t="shared" si="12"/>
        <v>1900</v>
      </c>
      <c r="I116" s="302" t="str">
        <f t="shared" si="13"/>
        <v>4</v>
      </c>
    </row>
    <row r="117" spans="7:9">
      <c r="G117" s="71"/>
      <c r="H117" s="302">
        <f t="shared" si="12"/>
        <v>1900</v>
      </c>
      <c r="I117" s="302" t="str">
        <f t="shared" si="13"/>
        <v>4</v>
      </c>
    </row>
    <row r="118" spans="7:9">
      <c r="G118" s="71"/>
      <c r="H118" s="302">
        <f t="shared" si="12"/>
        <v>1900</v>
      </c>
      <c r="I118" s="302" t="str">
        <f t="shared" si="13"/>
        <v>4</v>
      </c>
    </row>
    <row r="119" spans="7:9">
      <c r="G119" s="71"/>
      <c r="H119" s="302">
        <f t="shared" si="12"/>
        <v>1900</v>
      </c>
      <c r="I119" s="302" t="str">
        <f t="shared" si="13"/>
        <v>4</v>
      </c>
    </row>
    <row r="120" spans="7:9">
      <c r="G120" s="71"/>
      <c r="H120" s="302">
        <f t="shared" si="12"/>
        <v>1900</v>
      </c>
      <c r="I120" s="302" t="str">
        <f t="shared" si="13"/>
        <v>4</v>
      </c>
    </row>
    <row r="121" spans="7:9">
      <c r="G121" s="71"/>
      <c r="H121" s="302">
        <f t="shared" si="12"/>
        <v>1900</v>
      </c>
      <c r="I121" s="302" t="str">
        <f t="shared" si="13"/>
        <v>4</v>
      </c>
    </row>
    <row r="122" spans="7:9">
      <c r="G122" s="71"/>
      <c r="H122" s="302">
        <f t="shared" si="12"/>
        <v>1900</v>
      </c>
      <c r="I122" s="302" t="str">
        <f t="shared" si="13"/>
        <v>4</v>
      </c>
    </row>
    <row r="123" spans="7:9">
      <c r="G123" s="71"/>
      <c r="H123" s="302">
        <f t="shared" si="12"/>
        <v>1900</v>
      </c>
      <c r="I123" s="302" t="str">
        <f t="shared" si="13"/>
        <v>4</v>
      </c>
    </row>
    <row r="124" spans="7:9">
      <c r="G124" s="71"/>
      <c r="H124" s="302">
        <f t="shared" si="12"/>
        <v>1900</v>
      </c>
      <c r="I124" s="302" t="str">
        <f t="shared" si="13"/>
        <v>4</v>
      </c>
    </row>
    <row r="125" spans="7:9">
      <c r="G125" s="71"/>
      <c r="H125" s="302">
        <f t="shared" si="12"/>
        <v>1900</v>
      </c>
      <c r="I125" s="302" t="str">
        <f t="shared" si="13"/>
        <v>4</v>
      </c>
    </row>
    <row r="126" spans="7:9">
      <c r="G126" s="71"/>
      <c r="H126" s="302">
        <f t="shared" si="12"/>
        <v>1900</v>
      </c>
      <c r="I126" s="302" t="str">
        <f t="shared" si="13"/>
        <v>4</v>
      </c>
    </row>
    <row r="127" spans="7:9">
      <c r="G127" s="71"/>
      <c r="H127" s="303"/>
    </row>
    <row r="128" spans="7:9">
      <c r="G128" s="71"/>
      <c r="H128" s="303"/>
    </row>
    <row r="129" spans="7:8">
      <c r="G129" s="71"/>
      <c r="H129" s="303"/>
    </row>
    <row r="130" spans="7:8">
      <c r="G130" s="71"/>
      <c r="H130" s="303"/>
    </row>
    <row r="131" spans="7:8">
      <c r="G131" s="71"/>
      <c r="H131" s="303"/>
    </row>
    <row r="132" spans="7:8">
      <c r="G132" s="71"/>
      <c r="H132" s="303"/>
    </row>
    <row r="133" spans="7:8">
      <c r="G133" s="71"/>
      <c r="H133" s="303"/>
    </row>
    <row r="134" spans="7:8">
      <c r="G134" s="71"/>
      <c r="H134" s="303"/>
    </row>
    <row r="135" spans="7:8">
      <c r="G135" s="71"/>
      <c r="H135" s="303"/>
    </row>
    <row r="136" spans="7:8">
      <c r="G136" s="71"/>
      <c r="H136" s="303"/>
    </row>
    <row r="137" spans="7:8">
      <c r="G137" s="71"/>
      <c r="H137" s="303"/>
    </row>
    <row r="138" spans="7:8">
      <c r="G138" s="71"/>
      <c r="H138" s="303"/>
    </row>
    <row r="139" spans="7:8">
      <c r="G139" s="71"/>
      <c r="H139" s="303"/>
    </row>
    <row r="140" spans="7:8">
      <c r="G140" s="71"/>
      <c r="H140" s="303"/>
    </row>
    <row r="141" spans="7:8">
      <c r="G141" s="71"/>
      <c r="H141" s="303"/>
    </row>
    <row r="142" spans="7:8">
      <c r="G142" s="71"/>
      <c r="H142" s="303"/>
    </row>
    <row r="143" spans="7:8">
      <c r="G143" s="71"/>
      <c r="H143" s="303"/>
    </row>
    <row r="144" spans="7:8">
      <c r="G144" s="71"/>
      <c r="H144" s="303"/>
    </row>
    <row r="145" spans="7:8">
      <c r="G145" s="71"/>
      <c r="H145" s="303"/>
    </row>
    <row r="146" spans="7:8">
      <c r="G146" s="71"/>
      <c r="H146" s="303"/>
    </row>
    <row r="147" spans="7:8">
      <c r="G147" s="71"/>
      <c r="H147" s="303"/>
    </row>
    <row r="148" spans="7:8">
      <c r="G148" s="71"/>
      <c r="H148" s="303"/>
    </row>
    <row r="149" spans="7:8">
      <c r="G149" s="71"/>
      <c r="H149" s="303"/>
    </row>
    <row r="150" spans="7:8">
      <c r="G150" s="71"/>
      <c r="H150" s="303"/>
    </row>
    <row r="151" spans="7:8">
      <c r="G151" s="71"/>
      <c r="H151" s="303"/>
    </row>
    <row r="152" spans="7:8">
      <c r="G152" s="71"/>
      <c r="H152" s="303"/>
    </row>
    <row r="153" spans="7:8">
      <c r="G153" s="71"/>
      <c r="H153" s="303"/>
    </row>
    <row r="154" spans="7:8">
      <c r="G154" s="71"/>
      <c r="H154" s="303"/>
    </row>
    <row r="155" spans="7:8">
      <c r="G155" s="71"/>
      <c r="H155" s="303"/>
    </row>
    <row r="156" spans="7:8">
      <c r="G156" s="71"/>
      <c r="H156" s="303"/>
    </row>
    <row r="157" spans="7:8">
      <c r="G157" s="71"/>
      <c r="H157" s="303"/>
    </row>
    <row r="158" spans="7:8">
      <c r="G158" s="71"/>
      <c r="H158" s="303"/>
    </row>
    <row r="159" spans="7:8">
      <c r="G159" s="71"/>
      <c r="H159" s="303"/>
    </row>
    <row r="160" spans="7:8">
      <c r="G160" s="71"/>
      <c r="H160" s="303"/>
    </row>
    <row r="161" spans="7:8">
      <c r="G161" s="71"/>
      <c r="H161" s="303"/>
    </row>
    <row r="162" spans="7:8">
      <c r="G162" s="71"/>
      <c r="H162" s="303"/>
    </row>
    <row r="163" spans="7:8">
      <c r="G163" s="71"/>
      <c r="H163" s="303"/>
    </row>
    <row r="164" spans="7:8">
      <c r="G164" s="71"/>
      <c r="H164" s="303"/>
    </row>
    <row r="165" spans="7:8">
      <c r="G165" s="71"/>
      <c r="H165" s="303"/>
    </row>
    <row r="166" spans="7:8">
      <c r="G166" s="71"/>
      <c r="H166" s="303"/>
    </row>
    <row r="167" spans="7:8">
      <c r="G167" s="71"/>
      <c r="H167" s="303"/>
    </row>
    <row r="168" spans="7:8">
      <c r="G168" s="71"/>
      <c r="H168" s="303"/>
    </row>
    <row r="169" spans="7:8">
      <c r="G169" s="71"/>
      <c r="H169" s="303"/>
    </row>
    <row r="170" spans="7:8">
      <c r="G170" s="71"/>
      <c r="H170" s="303"/>
    </row>
    <row r="171" spans="7:8">
      <c r="G171" s="71"/>
      <c r="H171" s="303"/>
    </row>
    <row r="172" spans="7:8">
      <c r="G172" s="71"/>
      <c r="H172" s="303"/>
    </row>
    <row r="173" spans="7:8">
      <c r="G173" s="71"/>
      <c r="H173" s="303"/>
    </row>
    <row r="174" spans="7:8">
      <c r="G174" s="71"/>
      <c r="H174" s="303"/>
    </row>
    <row r="175" spans="7:8">
      <c r="G175" s="71"/>
      <c r="H175" s="303"/>
    </row>
    <row r="176" spans="7:8">
      <c r="G176" s="71"/>
      <c r="H176" s="303"/>
    </row>
    <row r="177" spans="7:8">
      <c r="G177" s="71"/>
      <c r="H177" s="303"/>
    </row>
    <row r="178" spans="7:8">
      <c r="G178" s="71"/>
      <c r="H178" s="303"/>
    </row>
    <row r="179" spans="7:8">
      <c r="G179" s="71"/>
      <c r="H179" s="303"/>
    </row>
    <row r="180" spans="7:8">
      <c r="G180" s="71"/>
      <c r="H180" s="303"/>
    </row>
    <row r="181" spans="7:8">
      <c r="G181" s="71"/>
      <c r="H181" s="303"/>
    </row>
    <row r="182" spans="7:8">
      <c r="G182" s="71"/>
      <c r="H182" s="303"/>
    </row>
    <row r="183" spans="7:8">
      <c r="G183" s="71"/>
      <c r="H183" s="303"/>
    </row>
    <row r="184" spans="7:8">
      <c r="G184" s="71"/>
      <c r="H184" s="303"/>
    </row>
    <row r="185" spans="7:8">
      <c r="G185" s="71"/>
      <c r="H185" s="303"/>
    </row>
    <row r="186" spans="7:8">
      <c r="G186" s="71"/>
      <c r="H186" s="303"/>
    </row>
    <row r="187" spans="7:8">
      <c r="G187" s="71"/>
      <c r="H187" s="303"/>
    </row>
    <row r="188" spans="7:8">
      <c r="G188" s="71"/>
      <c r="H188" s="303"/>
    </row>
    <row r="189" spans="7:8">
      <c r="G189" s="71"/>
      <c r="H189" s="303"/>
    </row>
    <row r="190" spans="7:8">
      <c r="G190" s="71"/>
      <c r="H190" s="303"/>
    </row>
    <row r="191" spans="7:8">
      <c r="G191" s="71"/>
      <c r="H191" s="303"/>
    </row>
    <row r="192" spans="7:8">
      <c r="G192" s="71"/>
      <c r="H192" s="303"/>
    </row>
    <row r="193" spans="7:8">
      <c r="G193" s="71"/>
      <c r="H193" s="303"/>
    </row>
    <row r="194" spans="7:8">
      <c r="G194" s="71"/>
      <c r="H194" s="303"/>
    </row>
    <row r="195" spans="7:8">
      <c r="G195" s="71"/>
      <c r="H195" s="303"/>
    </row>
    <row r="196" spans="7:8">
      <c r="G196" s="71"/>
      <c r="H196" s="303"/>
    </row>
    <row r="197" spans="7:8">
      <c r="G197" s="71"/>
      <c r="H197" s="303"/>
    </row>
    <row r="198" spans="7:8">
      <c r="G198" s="71"/>
      <c r="H198" s="303"/>
    </row>
    <row r="199" spans="7:8">
      <c r="G199" s="71"/>
      <c r="H199" s="303"/>
    </row>
    <row r="200" spans="7:8">
      <c r="G200" s="71"/>
      <c r="H200" s="303"/>
    </row>
    <row r="201" spans="7:8">
      <c r="G201" s="71"/>
      <c r="H201" s="303"/>
    </row>
    <row r="202" spans="7:8">
      <c r="G202" s="71"/>
      <c r="H202" s="303"/>
    </row>
    <row r="203" spans="7:8">
      <c r="G203" s="71"/>
      <c r="H203" s="303"/>
    </row>
    <row r="204" spans="7:8">
      <c r="G204" s="71"/>
      <c r="H204" s="303"/>
    </row>
    <row r="205" spans="7:8">
      <c r="G205" s="71"/>
      <c r="H205" s="303"/>
    </row>
    <row r="206" spans="7:8">
      <c r="G206" s="71"/>
      <c r="H206" s="303"/>
    </row>
    <row r="207" spans="7:8">
      <c r="G207" s="71"/>
      <c r="H207" s="303"/>
    </row>
    <row r="208" spans="7:8">
      <c r="G208" s="71"/>
      <c r="H208" s="303"/>
    </row>
    <row r="209" spans="7:8">
      <c r="G209" s="71"/>
      <c r="H209" s="303"/>
    </row>
    <row r="210" spans="7:8">
      <c r="G210" s="71"/>
      <c r="H210" s="303"/>
    </row>
    <row r="211" spans="7:8">
      <c r="G211" s="71"/>
      <c r="H211" s="303"/>
    </row>
    <row r="212" spans="7:8">
      <c r="G212" s="71"/>
      <c r="H212" s="303"/>
    </row>
    <row r="213" spans="7:8">
      <c r="G213" s="71"/>
      <c r="H213" s="303"/>
    </row>
    <row r="214" spans="7:8">
      <c r="G214" s="71"/>
      <c r="H214" s="303"/>
    </row>
    <row r="215" spans="7:8">
      <c r="G215" s="71"/>
      <c r="H215" s="303"/>
    </row>
    <row r="216" spans="7:8">
      <c r="G216" s="71"/>
      <c r="H216" s="303"/>
    </row>
    <row r="217" spans="7:8">
      <c r="G217" s="71"/>
      <c r="H217" s="303"/>
    </row>
    <row r="218" spans="7:8">
      <c r="G218" s="71"/>
      <c r="H218" s="303"/>
    </row>
    <row r="219" spans="7:8">
      <c r="G219" s="71"/>
      <c r="H219" s="303"/>
    </row>
    <row r="220" spans="7:8">
      <c r="G220" s="71"/>
      <c r="H220" s="303"/>
    </row>
    <row r="221" spans="7:8">
      <c r="G221" s="71"/>
      <c r="H221" s="303"/>
    </row>
    <row r="222" spans="7:8">
      <c r="G222" s="71"/>
      <c r="H222" s="303"/>
    </row>
    <row r="223" spans="7:8">
      <c r="G223" s="71"/>
      <c r="H223" s="303"/>
    </row>
    <row r="224" spans="7:8">
      <c r="G224" s="71"/>
      <c r="H224" s="303"/>
    </row>
    <row r="225" spans="7:8">
      <c r="G225" s="71"/>
      <c r="H225" s="303"/>
    </row>
    <row r="226" spans="7:8">
      <c r="G226" s="71"/>
      <c r="H226" s="303"/>
    </row>
    <row r="227" spans="7:8">
      <c r="G227" s="71"/>
      <c r="H227" s="303"/>
    </row>
    <row r="228" spans="7:8">
      <c r="G228" s="71"/>
      <c r="H228" s="303"/>
    </row>
    <row r="229" spans="7:8">
      <c r="G229" s="71"/>
      <c r="H229" s="303"/>
    </row>
    <row r="230" spans="7:8">
      <c r="G230" s="71"/>
      <c r="H230" s="303"/>
    </row>
    <row r="231" spans="7:8">
      <c r="G231" s="71"/>
      <c r="H231" s="303"/>
    </row>
    <row r="232" spans="7:8">
      <c r="G232" s="71"/>
      <c r="H232" s="303"/>
    </row>
    <row r="233" spans="7:8">
      <c r="G233" s="71"/>
      <c r="H233" s="303"/>
    </row>
    <row r="234" spans="7:8">
      <c r="G234" s="71"/>
      <c r="H234" s="303"/>
    </row>
    <row r="235" spans="7:8">
      <c r="G235" s="71"/>
      <c r="H235" s="303"/>
    </row>
    <row r="236" spans="7:8">
      <c r="G236" s="71"/>
      <c r="H236" s="303"/>
    </row>
    <row r="237" spans="7:8">
      <c r="G237" s="71"/>
      <c r="H237" s="303"/>
    </row>
    <row r="238" spans="7:8">
      <c r="G238" s="71"/>
      <c r="H238" s="303"/>
    </row>
    <row r="239" spans="7:8">
      <c r="G239" s="71"/>
      <c r="H239" s="303"/>
    </row>
    <row r="240" spans="7:8">
      <c r="G240" s="71"/>
      <c r="H240" s="303"/>
    </row>
    <row r="241" spans="7:8">
      <c r="G241" s="71"/>
      <c r="H241" s="303"/>
    </row>
    <row r="242" spans="7:8">
      <c r="G242" s="71"/>
      <c r="H242" s="303"/>
    </row>
    <row r="243" spans="7:8">
      <c r="G243" s="71"/>
      <c r="H243" s="303"/>
    </row>
    <row r="244" spans="7:8">
      <c r="G244" s="71"/>
      <c r="H244" s="303"/>
    </row>
    <row r="245" spans="7:8">
      <c r="G245" s="71"/>
      <c r="H245" s="303"/>
    </row>
    <row r="246" spans="7:8">
      <c r="G246" s="71"/>
      <c r="H246" s="303"/>
    </row>
    <row r="247" spans="7:8">
      <c r="G247" s="71"/>
      <c r="H247" s="303"/>
    </row>
    <row r="248" spans="7:8">
      <c r="G248" s="71"/>
      <c r="H248" s="303"/>
    </row>
    <row r="249" spans="7:8">
      <c r="G249" s="71"/>
      <c r="H249" s="303"/>
    </row>
    <row r="250" spans="7:8">
      <c r="G250" s="71"/>
      <c r="H250" s="303"/>
    </row>
    <row r="251" spans="7:8">
      <c r="G251" s="71"/>
      <c r="H251" s="303"/>
    </row>
    <row r="252" spans="7:8">
      <c r="G252" s="71"/>
      <c r="H252" s="303"/>
    </row>
    <row r="253" spans="7:8">
      <c r="G253" s="71"/>
      <c r="H253" s="303"/>
    </row>
    <row r="254" spans="7:8">
      <c r="G254" s="71"/>
      <c r="H254" s="303"/>
    </row>
    <row r="255" spans="7:8">
      <c r="G255" s="71"/>
      <c r="H255" s="303"/>
    </row>
    <row r="256" spans="7:8">
      <c r="G256" s="71"/>
      <c r="H256" s="303"/>
    </row>
    <row r="257" spans="7:8">
      <c r="G257" s="71"/>
      <c r="H257" s="303"/>
    </row>
    <row r="258" spans="7:8">
      <c r="G258" s="71"/>
      <c r="H258" s="303"/>
    </row>
    <row r="259" spans="7:8">
      <c r="G259" s="71"/>
      <c r="H259" s="303"/>
    </row>
    <row r="260" spans="7:8">
      <c r="G260" s="71"/>
      <c r="H260" s="303"/>
    </row>
    <row r="261" spans="7:8">
      <c r="G261" s="71"/>
      <c r="H261" s="303"/>
    </row>
    <row r="262" spans="7:8">
      <c r="G262" s="71"/>
      <c r="H262" s="303"/>
    </row>
    <row r="263" spans="7:8">
      <c r="G263" s="71"/>
      <c r="H263" s="303"/>
    </row>
    <row r="264" spans="7:8">
      <c r="G264" s="71"/>
      <c r="H264" s="303"/>
    </row>
    <row r="265" spans="7:8">
      <c r="G265" s="71"/>
      <c r="H265" s="303"/>
    </row>
    <row r="266" spans="7:8">
      <c r="G266" s="71"/>
      <c r="H266" s="303"/>
    </row>
    <row r="267" spans="7:8">
      <c r="G267" s="71"/>
      <c r="H267" s="303"/>
    </row>
    <row r="268" spans="7:8">
      <c r="G268" s="71"/>
      <c r="H268" s="303"/>
    </row>
    <row r="269" spans="7:8">
      <c r="G269" s="71"/>
      <c r="H269" s="303"/>
    </row>
    <row r="270" spans="7:8">
      <c r="G270" s="71"/>
      <c r="H270" s="303"/>
    </row>
    <row r="271" spans="7:8">
      <c r="G271" s="71"/>
      <c r="H271" s="303"/>
    </row>
    <row r="272" spans="7:8">
      <c r="G272" s="71"/>
      <c r="H272" s="303"/>
    </row>
    <row r="273" spans="7:8">
      <c r="G273" s="71"/>
      <c r="H273" s="303"/>
    </row>
    <row r="274" spans="7:8">
      <c r="G274" s="71"/>
      <c r="H274" s="303"/>
    </row>
    <row r="275" spans="7:8">
      <c r="G275" s="71"/>
      <c r="H275" s="303"/>
    </row>
    <row r="276" spans="7:8">
      <c r="G276" s="71"/>
      <c r="H276" s="303"/>
    </row>
    <row r="277" spans="7:8">
      <c r="G277" s="71"/>
      <c r="H277" s="303"/>
    </row>
    <row r="278" spans="7:8">
      <c r="G278" s="71"/>
      <c r="H278" s="303"/>
    </row>
    <row r="279" spans="7:8">
      <c r="G279" s="71"/>
      <c r="H279" s="303"/>
    </row>
    <row r="280" spans="7:8">
      <c r="G280" s="71"/>
      <c r="H280" s="303"/>
    </row>
    <row r="281" spans="7:8">
      <c r="G281" s="71"/>
      <c r="H281" s="303"/>
    </row>
    <row r="282" spans="7:8">
      <c r="G282" s="71"/>
      <c r="H282" s="303"/>
    </row>
    <row r="283" spans="7:8">
      <c r="G283" s="71"/>
      <c r="H283" s="303"/>
    </row>
    <row r="284" spans="7:8">
      <c r="G284" s="71"/>
      <c r="H284" s="303"/>
    </row>
    <row r="285" spans="7:8">
      <c r="G285" s="71"/>
      <c r="H285" s="303"/>
    </row>
    <row r="286" spans="7:8">
      <c r="G286" s="71"/>
      <c r="H286" s="303"/>
    </row>
    <row r="287" spans="7:8">
      <c r="G287" s="71"/>
      <c r="H287" s="303"/>
    </row>
    <row r="288" spans="7:8">
      <c r="G288" s="71"/>
      <c r="H288" s="303"/>
    </row>
    <row r="289" spans="7:8">
      <c r="G289" s="71"/>
      <c r="H289" s="303"/>
    </row>
    <row r="290" spans="7:8">
      <c r="G290" s="71"/>
      <c r="H290" s="303"/>
    </row>
    <row r="291" spans="7:8">
      <c r="G291" s="71"/>
      <c r="H291" s="303"/>
    </row>
    <row r="292" spans="7:8">
      <c r="G292" s="71"/>
      <c r="H292" s="303"/>
    </row>
    <row r="293" spans="7:8">
      <c r="G293" s="71"/>
      <c r="H293" s="303"/>
    </row>
    <row r="294" spans="7:8">
      <c r="G294" s="71"/>
      <c r="H294" s="303"/>
    </row>
    <row r="295" spans="7:8">
      <c r="G295" s="71"/>
      <c r="H295" s="303"/>
    </row>
    <row r="296" spans="7:8">
      <c r="G296" s="71"/>
      <c r="H296" s="303"/>
    </row>
    <row r="297" spans="7:8">
      <c r="G297" s="71"/>
      <c r="H297" s="303"/>
    </row>
    <row r="298" spans="7:8">
      <c r="G298" s="71"/>
      <c r="H298" s="303"/>
    </row>
    <row r="299" spans="7:8">
      <c r="G299" s="71"/>
      <c r="H299" s="303"/>
    </row>
    <row r="300" spans="7:8">
      <c r="G300" s="71"/>
      <c r="H300" s="303"/>
    </row>
    <row r="301" spans="7:8">
      <c r="G301" s="71"/>
      <c r="H301" s="303"/>
    </row>
    <row r="302" spans="7:8">
      <c r="G302" s="71"/>
      <c r="H302" s="303"/>
    </row>
    <row r="303" spans="7:8">
      <c r="G303" s="71"/>
      <c r="H303" s="303"/>
    </row>
    <row r="304" spans="7:8">
      <c r="G304" s="71"/>
      <c r="H304" s="303"/>
    </row>
    <row r="305" spans="7:8">
      <c r="G305" s="71"/>
      <c r="H305" s="303"/>
    </row>
    <row r="306" spans="7:8">
      <c r="G306" s="71"/>
      <c r="H306" s="303"/>
    </row>
    <row r="307" spans="7:8">
      <c r="G307" s="71"/>
      <c r="H307" s="303"/>
    </row>
    <row r="308" spans="7:8">
      <c r="G308" s="71"/>
      <c r="H308" s="303"/>
    </row>
    <row r="309" spans="7:8">
      <c r="G309" s="71"/>
      <c r="H309" s="303"/>
    </row>
    <row r="310" spans="7:8">
      <c r="G310" s="71"/>
      <c r="H310" s="303"/>
    </row>
    <row r="311" spans="7:8">
      <c r="G311" s="71"/>
      <c r="H311" s="303"/>
    </row>
    <row r="312" spans="7:8">
      <c r="G312" s="71"/>
      <c r="H312" s="303"/>
    </row>
    <row r="313" spans="7:8">
      <c r="G313" s="71"/>
      <c r="H313" s="303"/>
    </row>
    <row r="314" spans="7:8">
      <c r="G314" s="71"/>
      <c r="H314" s="303"/>
    </row>
    <row r="315" spans="7:8">
      <c r="G315" s="71"/>
      <c r="H315" s="303"/>
    </row>
    <row r="316" spans="7:8">
      <c r="G316" s="71"/>
      <c r="H316" s="303"/>
    </row>
    <row r="317" spans="7:8">
      <c r="G317" s="71"/>
      <c r="H317" s="303"/>
    </row>
    <row r="318" spans="7:8">
      <c r="G318" s="71"/>
      <c r="H318" s="303"/>
    </row>
    <row r="319" spans="7:8">
      <c r="G319" s="71"/>
      <c r="H319" s="303"/>
    </row>
    <row r="320" spans="7:8">
      <c r="G320" s="71"/>
      <c r="H320" s="303"/>
    </row>
    <row r="321" spans="7:8">
      <c r="G321" s="71"/>
      <c r="H321" s="303"/>
    </row>
    <row r="322" spans="7:8">
      <c r="G322" s="71"/>
      <c r="H322" s="303"/>
    </row>
    <row r="323" spans="7:8">
      <c r="G323" s="71"/>
      <c r="H323" s="303"/>
    </row>
    <row r="324" spans="7:8">
      <c r="G324" s="71"/>
      <c r="H324" s="303"/>
    </row>
    <row r="325" spans="7:8">
      <c r="G325" s="71"/>
      <c r="H325" s="303"/>
    </row>
    <row r="326" spans="7:8">
      <c r="G326" s="71"/>
      <c r="H326" s="303"/>
    </row>
    <row r="327" spans="7:8">
      <c r="G327" s="71"/>
      <c r="H327" s="303"/>
    </row>
    <row r="328" spans="7:8">
      <c r="G328" s="71"/>
      <c r="H328" s="303"/>
    </row>
    <row r="329" spans="7:8">
      <c r="G329" s="71"/>
      <c r="H329" s="303"/>
    </row>
    <row r="330" spans="7:8">
      <c r="G330" s="71"/>
      <c r="H330" s="303"/>
    </row>
    <row r="331" spans="7:8">
      <c r="G331" s="71"/>
      <c r="H331" s="303"/>
    </row>
    <row r="332" spans="7:8">
      <c r="G332" s="71"/>
      <c r="H332" s="303"/>
    </row>
    <row r="333" spans="7:8">
      <c r="G333" s="71"/>
      <c r="H333" s="303"/>
    </row>
    <row r="334" spans="7:8">
      <c r="G334" s="71"/>
      <c r="H334" s="303"/>
    </row>
    <row r="335" spans="7:8">
      <c r="G335" s="71"/>
      <c r="H335" s="303"/>
    </row>
    <row r="336" spans="7:8">
      <c r="G336" s="71"/>
      <c r="H336" s="303"/>
    </row>
    <row r="337" spans="7:8">
      <c r="G337" s="71"/>
      <c r="H337" s="303"/>
    </row>
    <row r="338" spans="7:8">
      <c r="G338" s="71"/>
      <c r="H338" s="303"/>
    </row>
    <row r="339" spans="7:8">
      <c r="G339" s="71"/>
      <c r="H339" s="303"/>
    </row>
    <row r="340" spans="7:8">
      <c r="G340" s="71"/>
      <c r="H340" s="303"/>
    </row>
    <row r="341" spans="7:8">
      <c r="G341" s="71"/>
      <c r="H341" s="303"/>
    </row>
    <row r="342" spans="7:8">
      <c r="G342" s="71"/>
      <c r="H342" s="303"/>
    </row>
    <row r="343" spans="7:8">
      <c r="G343" s="71"/>
      <c r="H343" s="303"/>
    </row>
    <row r="344" spans="7:8">
      <c r="G344" s="71"/>
      <c r="H344" s="303"/>
    </row>
    <row r="345" spans="7:8">
      <c r="G345" s="71"/>
      <c r="H345" s="303"/>
    </row>
    <row r="346" spans="7:8">
      <c r="G346" s="71"/>
      <c r="H346" s="303"/>
    </row>
    <row r="347" spans="7:8">
      <c r="G347" s="71"/>
      <c r="H347" s="303"/>
    </row>
    <row r="348" spans="7:8">
      <c r="G348" s="71"/>
      <c r="H348" s="303"/>
    </row>
    <row r="349" spans="7:8">
      <c r="G349" s="71"/>
      <c r="H349" s="303"/>
    </row>
    <row r="350" spans="7:8">
      <c r="G350" s="71"/>
      <c r="H350" s="303"/>
    </row>
    <row r="351" spans="7:8">
      <c r="G351" s="71"/>
      <c r="H351" s="303"/>
    </row>
    <row r="352" spans="7:8">
      <c r="G352" s="71"/>
      <c r="H352" s="303"/>
    </row>
    <row r="353" spans="7:8">
      <c r="G353" s="71"/>
      <c r="H353" s="303"/>
    </row>
    <row r="354" spans="7:8">
      <c r="G354" s="71"/>
      <c r="H354" s="303"/>
    </row>
    <row r="355" spans="7:8">
      <c r="G355" s="71"/>
      <c r="H355" s="303"/>
    </row>
    <row r="356" spans="7:8">
      <c r="G356" s="71"/>
      <c r="H356" s="303"/>
    </row>
    <row r="357" spans="7:8">
      <c r="G357" s="71"/>
      <c r="H357" s="303"/>
    </row>
    <row r="358" spans="7:8">
      <c r="G358" s="71"/>
      <c r="H358" s="303"/>
    </row>
    <row r="359" spans="7:8">
      <c r="G359" s="71"/>
      <c r="H359" s="303"/>
    </row>
    <row r="360" spans="7:8">
      <c r="G360" s="71"/>
      <c r="H360" s="303"/>
    </row>
    <row r="361" spans="7:8">
      <c r="G361" s="71"/>
      <c r="H361" s="303"/>
    </row>
    <row r="362" spans="7:8">
      <c r="G362" s="71"/>
      <c r="H362" s="303"/>
    </row>
    <row r="363" spans="7:8">
      <c r="G363" s="71"/>
      <c r="H363" s="303"/>
    </row>
  </sheetData>
  <mergeCells count="12">
    <mergeCell ref="T34:Z34"/>
    <mergeCell ref="U35:V35"/>
    <mergeCell ref="W35:X35"/>
    <mergeCell ref="Y35:Z35"/>
    <mergeCell ref="A5:G5"/>
    <mergeCell ref="A6:G6"/>
    <mergeCell ref="T8:V8"/>
    <mergeCell ref="T9:V9"/>
    <mergeCell ref="B7:C7"/>
    <mergeCell ref="D7:E7"/>
    <mergeCell ref="F7:G7"/>
    <mergeCell ref="U33:Z33"/>
  </mergeCells>
  <dataValidations disablePrompts="1" count="1">
    <dataValidation type="list" allowBlank="1" showInputMessage="1" showErrorMessage="1" promptTitle="Selecta Period:" prompt="Select Financial or Calendar years." sqref="U33:Z33">
      <formula1>$A$1:$A$2</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8" tint="0.39997558519241921"/>
  </sheetPr>
  <dimension ref="A1:AY363"/>
  <sheetViews>
    <sheetView zoomScaleNormal="100" workbookViewId="0"/>
  </sheetViews>
  <sheetFormatPr defaultRowHeight="15"/>
  <cols>
    <col min="1" max="1" width="0.140625" style="948" customWidth="1"/>
    <col min="2" max="2" width="10.7109375" style="141" customWidth="1"/>
    <col min="3" max="3" width="14" style="141" customWidth="1"/>
    <col min="4" max="4" width="12.42578125" style="141" bestFit="1" customWidth="1"/>
    <col min="5" max="5" width="16" style="141" bestFit="1" customWidth="1"/>
    <col min="6" max="6" width="13.28515625" style="141" customWidth="1"/>
    <col min="7" max="7" width="13.7109375" style="141" customWidth="1"/>
    <col min="8" max="8" width="16" style="141" bestFit="1" customWidth="1"/>
    <col min="9" max="9" width="24.5703125" style="141" customWidth="1"/>
    <col min="10" max="10" width="14" style="141" customWidth="1"/>
    <col min="11" max="11" width="14.28515625" style="141" customWidth="1"/>
    <col min="12" max="12" width="5" style="98" hidden="1" customWidth="1"/>
    <col min="13" max="13" width="2" style="98" hidden="1" customWidth="1"/>
    <col min="14" max="14" width="11.28515625" style="949" hidden="1" customWidth="1"/>
    <col min="15" max="15" width="5.5703125" style="141" customWidth="1"/>
    <col min="16" max="16" width="9.140625" style="141"/>
    <col min="17" max="17" width="9.140625" style="431"/>
    <col min="18" max="21" width="9.140625" style="141"/>
    <col min="22" max="22" width="10" style="141" bestFit="1" customWidth="1"/>
    <col min="23" max="25" width="9.140625" style="141"/>
    <col min="26" max="28" width="20.28515625" style="141" customWidth="1"/>
    <col min="29" max="29" width="9.140625" style="141"/>
    <col min="30" max="30" width="13.42578125" style="141" bestFit="1" customWidth="1"/>
    <col min="31" max="31" width="14.42578125" style="141" bestFit="1" customWidth="1"/>
    <col min="32" max="32" width="12.42578125" style="323" bestFit="1" customWidth="1"/>
    <col min="33" max="33" width="15.28515625" style="141" bestFit="1" customWidth="1"/>
    <col min="34" max="34" width="12.7109375" style="141" bestFit="1" customWidth="1"/>
    <col min="35" max="35" width="12.7109375" style="323" bestFit="1" customWidth="1"/>
    <col min="36" max="36" width="15.28515625" style="141" bestFit="1" customWidth="1"/>
    <col min="37" max="37" width="21" style="141" bestFit="1" customWidth="1"/>
    <col min="38" max="38" width="12.7109375" style="323" bestFit="1" customWidth="1"/>
    <col min="39" max="39" width="15.28515625" style="141" bestFit="1" customWidth="1"/>
    <col min="40" max="16384" width="9.140625" style="141"/>
  </cols>
  <sheetData>
    <row r="1" spans="1:51">
      <c r="B1" s="350" t="s">
        <v>429</v>
      </c>
    </row>
    <row r="2" spans="1:51">
      <c r="B2" s="350" t="s">
        <v>446</v>
      </c>
    </row>
    <row r="5" spans="1:51">
      <c r="B5" s="1947" t="s">
        <v>405</v>
      </c>
      <c r="C5" s="1947"/>
      <c r="D5" s="1947"/>
      <c r="E5" s="1947"/>
      <c r="F5" s="1947"/>
      <c r="G5" s="1947"/>
      <c r="H5" s="1947"/>
      <c r="I5" s="1947"/>
      <c r="J5" s="1947"/>
      <c r="K5" s="1947"/>
      <c r="L5" s="305"/>
      <c r="M5" s="305"/>
      <c r="N5" s="996"/>
    </row>
    <row r="6" spans="1:51" ht="15.75" thickBot="1">
      <c r="B6" s="1992" t="s">
        <v>48</v>
      </c>
      <c r="C6" s="1992"/>
      <c r="D6" s="1992"/>
      <c r="E6" s="1992"/>
      <c r="F6" s="1992"/>
      <c r="G6" s="1992"/>
      <c r="H6" s="1992"/>
      <c r="I6" s="1992"/>
      <c r="J6" s="1992"/>
      <c r="K6" s="1992"/>
      <c r="L6" s="306"/>
      <c r="M6" s="306"/>
      <c r="N6" s="995"/>
    </row>
    <row r="7" spans="1:51" ht="15.75" thickBot="1">
      <c r="B7" s="121"/>
      <c r="C7" s="2048" t="s">
        <v>402</v>
      </c>
      <c r="D7" s="2048"/>
      <c r="E7" s="2048"/>
      <c r="F7" s="2048" t="s">
        <v>346</v>
      </c>
      <c r="G7" s="2048"/>
      <c r="H7" s="2048"/>
      <c r="I7" s="2049" t="s">
        <v>151</v>
      </c>
      <c r="J7" s="2048"/>
      <c r="K7" s="2050"/>
      <c r="L7" s="1018"/>
      <c r="M7" s="1013"/>
      <c r="N7" s="1017" t="s">
        <v>151</v>
      </c>
      <c r="O7" s="948"/>
      <c r="P7" s="948"/>
    </row>
    <row r="8" spans="1:51" ht="15.75" thickBot="1">
      <c r="B8" s="130" t="s">
        <v>6</v>
      </c>
      <c r="C8" s="131" t="s">
        <v>403</v>
      </c>
      <c r="D8" s="256" t="s">
        <v>404</v>
      </c>
      <c r="E8" s="132" t="s">
        <v>804</v>
      </c>
      <c r="F8" s="133" t="s">
        <v>403</v>
      </c>
      <c r="G8" s="256" t="s">
        <v>404</v>
      </c>
      <c r="H8" s="132" t="s">
        <v>804</v>
      </c>
      <c r="I8" s="133" t="s">
        <v>820</v>
      </c>
      <c r="J8" s="256" t="s">
        <v>404</v>
      </c>
      <c r="K8" s="132" t="s">
        <v>804</v>
      </c>
      <c r="L8" s="128"/>
      <c r="M8" s="256"/>
      <c r="N8" s="132" t="s">
        <v>620</v>
      </c>
      <c r="Z8" s="1972" t="s">
        <v>406</v>
      </c>
      <c r="AA8" s="1972"/>
      <c r="AB8" s="1972"/>
      <c r="AY8" s="1026" t="s">
        <v>673</v>
      </c>
    </row>
    <row r="9" spans="1:51">
      <c r="A9" s="1015">
        <f>L9*10+M9</f>
        <v>19991</v>
      </c>
      <c r="B9" s="257">
        <v>36220</v>
      </c>
      <c r="C9" s="258">
        <v>1958763.1998843055</v>
      </c>
      <c r="D9" s="259">
        <f>C9*0.00005160678</f>
        <v>101.08546152852539</v>
      </c>
      <c r="E9" s="260">
        <v>356.46952299999998</v>
      </c>
      <c r="F9" s="258">
        <v>153243</v>
      </c>
      <c r="G9" s="259">
        <f>F9*49.32194/1000000</f>
        <v>7.5582420514199997</v>
      </c>
      <c r="H9" s="260">
        <v>33.472211000000001</v>
      </c>
      <c r="I9" s="258">
        <v>1507746</v>
      </c>
      <c r="J9" s="259">
        <f>I9/26300</f>
        <v>57.328745247148291</v>
      </c>
      <c r="K9" s="260">
        <v>119.96062225999999</v>
      </c>
      <c r="L9" s="302">
        <f>YEAR(B9)</f>
        <v>1999</v>
      </c>
      <c r="M9" s="302" t="str">
        <f>IF(MONTH(B9)=3,"1",IF(MONTH(B9)=6,"2",IF(MONTH(B9)=9,"3","4")))</f>
        <v>1</v>
      </c>
      <c r="N9" s="292">
        <f>K9/J9</f>
        <v>2.0925038868867833</v>
      </c>
      <c r="O9" s="71"/>
      <c r="Z9" s="2025" t="s">
        <v>51</v>
      </c>
      <c r="AA9" s="2025"/>
      <c r="AB9" s="2025"/>
    </row>
    <row r="10" spans="1:51" ht="15.75" thickBot="1">
      <c r="A10" s="1015">
        <f t="shared" ref="A10:A73" si="0">L10*10+M10</f>
        <v>19992</v>
      </c>
      <c r="B10" s="257">
        <v>36312</v>
      </c>
      <c r="C10" s="261">
        <v>1849570.946425338</v>
      </c>
      <c r="D10" s="262">
        <f t="shared" ref="D10:D68" si="1">C10*0.00005160678</f>
        <v>95.450400926564214</v>
      </c>
      <c r="E10" s="263">
        <v>306.81904800000001</v>
      </c>
      <c r="F10" s="261">
        <v>150734</v>
      </c>
      <c r="G10" s="262">
        <f t="shared" ref="G10:G68" si="2">F10*49.32194/1000000</f>
        <v>7.4344933039599992</v>
      </c>
      <c r="H10" s="263">
        <v>29.206621759999997</v>
      </c>
      <c r="I10" s="261">
        <v>1579152.59</v>
      </c>
      <c r="J10" s="262">
        <f t="shared" ref="J10:J68" si="3">I10/26300</f>
        <v>60.043824714828901</v>
      </c>
      <c r="K10" s="263">
        <v>154.37989433999999</v>
      </c>
      <c r="L10" s="302">
        <f t="shared" ref="L10:L73" si="4">YEAR(B10)</f>
        <v>1999</v>
      </c>
      <c r="M10" s="302" t="str">
        <f t="shared" ref="M10:M73" si="5">IF(MONTH(B10)=3,"1",IF(MONTH(B10)=6,"2",IF(MONTH(B10)=9,"3","4")))</f>
        <v>2</v>
      </c>
      <c r="N10" s="284">
        <f t="shared" ref="N10:N73" si="6">K10/J10</f>
        <v>2.5711202621286899</v>
      </c>
      <c r="O10" s="71"/>
      <c r="Z10" s="1886" t="s">
        <v>6</v>
      </c>
      <c r="AA10" s="136" t="str">
        <f>C8</f>
        <v>Quantity (t)</v>
      </c>
      <c r="AB10" s="137" t="str">
        <f>E8</f>
        <v>Value ($ Million)</v>
      </c>
    </row>
    <row r="11" spans="1:51">
      <c r="A11" s="1015">
        <f t="shared" si="0"/>
        <v>19993</v>
      </c>
      <c r="B11" s="257">
        <v>36404</v>
      </c>
      <c r="C11" s="258">
        <v>2084706.9189070782</v>
      </c>
      <c r="D11" s="259">
        <f t="shared" si="1"/>
        <v>107.58501132851542</v>
      </c>
      <c r="E11" s="260">
        <v>386.41965900000002</v>
      </c>
      <c r="F11" s="258">
        <v>190605</v>
      </c>
      <c r="G11" s="259">
        <f t="shared" si="2"/>
        <v>9.4010083736999999</v>
      </c>
      <c r="H11" s="260">
        <v>75.648521000000002</v>
      </c>
      <c r="I11" s="258">
        <v>1724018.8900000001</v>
      </c>
      <c r="J11" s="259">
        <f t="shared" si="3"/>
        <v>65.552049049429669</v>
      </c>
      <c r="K11" s="260">
        <v>145.599974</v>
      </c>
      <c r="L11" s="302">
        <f t="shared" si="4"/>
        <v>1999</v>
      </c>
      <c r="M11" s="302" t="str">
        <f t="shared" si="5"/>
        <v>3</v>
      </c>
      <c r="N11" s="292">
        <f t="shared" si="6"/>
        <v>2.2211353590215008</v>
      </c>
      <c r="O11" s="71"/>
      <c r="Z11" s="1887">
        <f>LARGE(B$9:B$739,10)</f>
        <v>42979</v>
      </c>
      <c r="AA11" s="441">
        <f t="shared" ref="AA11:AA20" si="7">SUMIF($B$9:$B$739,$Z11,C$9:C$739)</f>
        <v>8806567.7899999991</v>
      </c>
      <c r="AB11" s="1406">
        <f t="shared" ref="AB11:AB20" si="8">SUMIF($B$9:$B$739,$Z11,E$9:E$739)</f>
        <v>3831.2571748245896</v>
      </c>
    </row>
    <row r="12" spans="1:51">
      <c r="A12" s="1015">
        <f t="shared" si="0"/>
        <v>19994</v>
      </c>
      <c r="B12" s="257">
        <v>36495</v>
      </c>
      <c r="C12" s="261">
        <v>1971267.1436505031</v>
      </c>
      <c r="D12" s="262">
        <f t="shared" si="1"/>
        <v>101.73074980359991</v>
      </c>
      <c r="E12" s="263">
        <v>436.61461000000003</v>
      </c>
      <c r="F12" s="261">
        <v>155936</v>
      </c>
      <c r="G12" s="262">
        <f t="shared" si="2"/>
        <v>7.6910660358399996</v>
      </c>
      <c r="H12" s="263">
        <v>59.992863999999997</v>
      </c>
      <c r="I12" s="261">
        <v>1650392</v>
      </c>
      <c r="J12" s="262">
        <f t="shared" si="3"/>
        <v>62.752547528517113</v>
      </c>
      <c r="K12" s="263">
        <v>136.11511400000001</v>
      </c>
      <c r="L12" s="302">
        <f t="shared" si="4"/>
        <v>1999</v>
      </c>
      <c r="M12" s="302" t="str">
        <f t="shared" si="5"/>
        <v>4</v>
      </c>
      <c r="N12" s="284">
        <f t="shared" si="6"/>
        <v>2.169077103015526</v>
      </c>
      <c r="O12" s="71"/>
      <c r="Z12" s="1888">
        <f>LARGE(B$9:B$739,9)</f>
        <v>43070</v>
      </c>
      <c r="AA12" s="1409">
        <f t="shared" si="7"/>
        <v>8909415.2861097343</v>
      </c>
      <c r="AB12" s="522">
        <f t="shared" si="8"/>
        <v>4251.4638407863149</v>
      </c>
    </row>
    <row r="13" spans="1:51">
      <c r="A13" s="1015">
        <f t="shared" si="0"/>
        <v>20001</v>
      </c>
      <c r="B13" s="257">
        <v>36586</v>
      </c>
      <c r="C13" s="258">
        <v>2097435.7809139923</v>
      </c>
      <c r="D13" s="259">
        <f t="shared" si="1"/>
        <v>108.24190690975661</v>
      </c>
      <c r="E13" s="260">
        <v>577.53799300000003</v>
      </c>
      <c r="F13" s="258">
        <v>227598</v>
      </c>
      <c r="G13" s="259">
        <f t="shared" si="2"/>
        <v>11.22557490012</v>
      </c>
      <c r="H13" s="260">
        <v>107.01597599999999</v>
      </c>
      <c r="I13" s="258">
        <v>1450035</v>
      </c>
      <c r="J13" s="259">
        <f t="shared" si="3"/>
        <v>55.134410646387835</v>
      </c>
      <c r="K13" s="260">
        <v>133.13102900000001</v>
      </c>
      <c r="L13" s="302">
        <f t="shared" si="4"/>
        <v>2000</v>
      </c>
      <c r="M13" s="302" t="str">
        <f t="shared" si="5"/>
        <v>1</v>
      </c>
      <c r="N13" s="292">
        <f t="shared" si="6"/>
        <v>2.4146631375794381</v>
      </c>
      <c r="O13" s="71"/>
      <c r="Z13" s="1889">
        <f>LARGE(B$9:B$739,8)</f>
        <v>43160</v>
      </c>
      <c r="AA13" s="1410">
        <f t="shared" si="7"/>
        <v>9767031.0295400769</v>
      </c>
      <c r="AB13" s="535">
        <f t="shared" si="8"/>
        <v>5172.8065945862963</v>
      </c>
    </row>
    <row r="14" spans="1:51">
      <c r="A14" s="1015">
        <f t="shared" si="0"/>
        <v>20002</v>
      </c>
      <c r="B14" s="257">
        <v>36678</v>
      </c>
      <c r="C14" s="261">
        <v>1837452.6869932078</v>
      </c>
      <c r="D14" s="262">
        <f t="shared" si="1"/>
        <v>94.825016578067334</v>
      </c>
      <c r="E14" s="263">
        <v>570.48816299999999</v>
      </c>
      <c r="F14" s="261">
        <v>204010</v>
      </c>
      <c r="G14" s="262">
        <f t="shared" si="2"/>
        <v>10.062168979399999</v>
      </c>
      <c r="H14" s="263">
        <v>94.180988999999997</v>
      </c>
      <c r="I14" s="261">
        <v>1622694</v>
      </c>
      <c r="J14" s="262">
        <f t="shared" si="3"/>
        <v>61.699391634980991</v>
      </c>
      <c r="K14" s="263">
        <v>154.53788299999999</v>
      </c>
      <c r="L14" s="302">
        <f t="shared" si="4"/>
        <v>2000</v>
      </c>
      <c r="M14" s="302" t="str">
        <f t="shared" si="5"/>
        <v>2</v>
      </c>
      <c r="N14" s="284">
        <f t="shared" si="6"/>
        <v>2.5046905472627614</v>
      </c>
      <c r="O14" s="71"/>
      <c r="Z14" s="1888">
        <f>LARGE(B$9:B$739,7)</f>
        <v>43252</v>
      </c>
      <c r="AA14" s="1409">
        <f t="shared" si="7"/>
        <v>10410502.554944657</v>
      </c>
      <c r="AB14" s="522">
        <f t="shared" si="8"/>
        <v>5665.314082587186</v>
      </c>
    </row>
    <row r="15" spans="1:51">
      <c r="A15" s="1015">
        <f t="shared" si="0"/>
        <v>20003</v>
      </c>
      <c r="B15" s="257">
        <v>36770</v>
      </c>
      <c r="C15" s="258">
        <v>2005254.4437920377</v>
      </c>
      <c r="D15" s="259">
        <f t="shared" si="1"/>
        <v>103.48472492479806</v>
      </c>
      <c r="E15" s="260">
        <v>650.62348799999995</v>
      </c>
      <c r="F15" s="258">
        <v>187206</v>
      </c>
      <c r="G15" s="259">
        <f t="shared" si="2"/>
        <v>9.2333630996399982</v>
      </c>
      <c r="H15" s="260">
        <v>102.37838499999999</v>
      </c>
      <c r="I15" s="258">
        <v>1860774</v>
      </c>
      <c r="J15" s="259">
        <f t="shared" si="3"/>
        <v>70.751863117870727</v>
      </c>
      <c r="K15" s="260">
        <v>154.509299</v>
      </c>
      <c r="L15" s="302">
        <f t="shared" si="4"/>
        <v>2000</v>
      </c>
      <c r="M15" s="302" t="str">
        <f t="shared" si="5"/>
        <v>3</v>
      </c>
      <c r="N15" s="292">
        <f t="shared" si="6"/>
        <v>2.1838195093547093</v>
      </c>
      <c r="O15" s="71"/>
      <c r="Z15" s="1889">
        <f>LARGE(B$9:B$739,6)</f>
        <v>43344</v>
      </c>
      <c r="AA15" s="1410">
        <f t="shared" si="7"/>
        <v>11262985.996961832</v>
      </c>
      <c r="AB15" s="535">
        <f t="shared" si="8"/>
        <v>7376.9836139732379</v>
      </c>
    </row>
    <row r="16" spans="1:51">
      <c r="A16" s="1015">
        <f t="shared" si="0"/>
        <v>20004</v>
      </c>
      <c r="B16" s="257">
        <v>36861</v>
      </c>
      <c r="C16" s="261">
        <v>1868494.2057932222</v>
      </c>
      <c r="D16" s="262">
        <f t="shared" si="1"/>
        <v>96.426969409645537</v>
      </c>
      <c r="E16" s="263">
        <v>726.18060110999988</v>
      </c>
      <c r="F16" s="261">
        <v>196290</v>
      </c>
      <c r="G16" s="262">
        <f t="shared" si="2"/>
        <v>9.6814036025999997</v>
      </c>
      <c r="H16" s="263">
        <v>105.14746</v>
      </c>
      <c r="I16" s="261">
        <v>1940481</v>
      </c>
      <c r="J16" s="262">
        <f t="shared" si="3"/>
        <v>73.782547528517114</v>
      </c>
      <c r="K16" s="263">
        <v>160.779822</v>
      </c>
      <c r="L16" s="302">
        <f t="shared" si="4"/>
        <v>2000</v>
      </c>
      <c r="M16" s="302" t="str">
        <f t="shared" si="5"/>
        <v>4</v>
      </c>
      <c r="N16" s="284">
        <f t="shared" si="6"/>
        <v>2.1791036957331711</v>
      </c>
      <c r="O16" s="71"/>
      <c r="Z16" s="1888">
        <f>LARGE(B$9:B$739,5)</f>
        <v>43435</v>
      </c>
      <c r="AA16" s="1409">
        <f t="shared" si="7"/>
        <v>12281816.796818644</v>
      </c>
      <c r="AB16" s="522">
        <f t="shared" si="8"/>
        <v>8763.0226678458093</v>
      </c>
    </row>
    <row r="17" spans="1:28">
      <c r="A17" s="1015">
        <f t="shared" si="0"/>
        <v>20011</v>
      </c>
      <c r="B17" s="257">
        <v>36951</v>
      </c>
      <c r="C17" s="258">
        <v>1910664.5478073962</v>
      </c>
      <c r="D17" s="259">
        <f t="shared" si="1"/>
        <v>98.603244972495773</v>
      </c>
      <c r="E17" s="260">
        <v>841.42728009753</v>
      </c>
      <c r="F17" s="258">
        <v>208659</v>
      </c>
      <c r="G17" s="259">
        <f t="shared" si="2"/>
        <v>10.291466678460001</v>
      </c>
      <c r="H17" s="260">
        <v>107.916927</v>
      </c>
      <c r="I17" s="258">
        <v>1854412</v>
      </c>
      <c r="J17" s="259">
        <f t="shared" si="3"/>
        <v>70.509961977186308</v>
      </c>
      <c r="K17" s="260">
        <v>148.41992200000001</v>
      </c>
      <c r="L17" s="302">
        <f t="shared" si="4"/>
        <v>2001</v>
      </c>
      <c r="M17" s="302" t="str">
        <f t="shared" si="5"/>
        <v>1</v>
      </c>
      <c r="N17" s="292">
        <f t="shared" si="6"/>
        <v>2.104949681408447</v>
      </c>
      <c r="O17" s="71"/>
      <c r="Z17" s="1889">
        <f>LARGE(B$9:B$739,4)</f>
        <v>43525</v>
      </c>
      <c r="AA17" s="1410">
        <f t="shared" si="7"/>
        <v>9310719.5627872143</v>
      </c>
      <c r="AB17" s="535">
        <f t="shared" si="8"/>
        <v>6700.4171929468284</v>
      </c>
    </row>
    <row r="18" spans="1:28">
      <c r="A18" s="1015">
        <f t="shared" si="0"/>
        <v>20012</v>
      </c>
      <c r="B18" s="257">
        <v>37043</v>
      </c>
      <c r="C18" s="261">
        <v>1803422.4795584281</v>
      </c>
      <c r="D18" s="262">
        <f t="shared" si="1"/>
        <v>93.068827149626301</v>
      </c>
      <c r="E18" s="263">
        <v>794.19952266501014</v>
      </c>
      <c r="F18" s="261">
        <v>204417</v>
      </c>
      <c r="G18" s="262">
        <f t="shared" si="2"/>
        <v>10.082243008980001</v>
      </c>
      <c r="H18" s="263">
        <v>94.066592</v>
      </c>
      <c r="I18" s="261">
        <v>1904422</v>
      </c>
      <c r="J18" s="262">
        <f t="shared" si="3"/>
        <v>72.411482889733847</v>
      </c>
      <c r="K18" s="263">
        <v>162.46897921454945</v>
      </c>
      <c r="L18" s="302">
        <f t="shared" si="4"/>
        <v>2001</v>
      </c>
      <c r="M18" s="302" t="str">
        <f t="shared" si="5"/>
        <v>2</v>
      </c>
      <c r="N18" s="284">
        <f t="shared" si="6"/>
        <v>2.2436908171312084</v>
      </c>
      <c r="O18" s="71"/>
      <c r="Z18" s="1888">
        <f>LARGE(B$9:B$739,3)</f>
        <v>43617</v>
      </c>
      <c r="AA18" s="1409">
        <f t="shared" si="7"/>
        <v>10779768.743424237</v>
      </c>
      <c r="AB18" s="522">
        <f t="shared" si="8"/>
        <v>6165.5688124462395</v>
      </c>
    </row>
    <row r="19" spans="1:28">
      <c r="A19" s="1015">
        <f t="shared" si="0"/>
        <v>20013</v>
      </c>
      <c r="B19" s="257">
        <v>37135</v>
      </c>
      <c r="C19" s="258">
        <v>2096353.0817614915</v>
      </c>
      <c r="D19" s="259">
        <f t="shared" si="1"/>
        <v>108.1860322927873</v>
      </c>
      <c r="E19" s="260">
        <v>923.20165448972296</v>
      </c>
      <c r="F19" s="258">
        <v>261719</v>
      </c>
      <c r="G19" s="259">
        <f t="shared" si="2"/>
        <v>12.90848881486</v>
      </c>
      <c r="H19" s="260">
        <v>117.05665999999999</v>
      </c>
      <c r="I19" s="258">
        <v>1960449</v>
      </c>
      <c r="J19" s="259">
        <f t="shared" si="3"/>
        <v>74.541787072243352</v>
      </c>
      <c r="K19" s="260">
        <v>164.66447600000001</v>
      </c>
      <c r="L19" s="302">
        <f t="shared" si="4"/>
        <v>2001</v>
      </c>
      <c r="M19" s="302" t="str">
        <f t="shared" si="5"/>
        <v>3</v>
      </c>
      <c r="N19" s="292">
        <f t="shared" si="6"/>
        <v>2.209022381505461</v>
      </c>
      <c r="O19" s="71"/>
      <c r="Z19" s="1889">
        <f>LARGE(B$9:B$739,2)</f>
        <v>43709</v>
      </c>
      <c r="AA19" s="1410">
        <f t="shared" si="7"/>
        <v>11637848.442937989</v>
      </c>
      <c r="AB19" s="535">
        <f t="shared" si="8"/>
        <v>6973.9885280791204</v>
      </c>
    </row>
    <row r="20" spans="1:28">
      <c r="A20" s="1015">
        <f t="shared" si="0"/>
        <v>20014</v>
      </c>
      <c r="B20" s="257">
        <v>37226</v>
      </c>
      <c r="C20" s="261">
        <v>2098266.9888792098</v>
      </c>
      <c r="D20" s="262">
        <f t="shared" si="1"/>
        <v>108.28480287635183</v>
      </c>
      <c r="E20" s="263">
        <v>924.04450974773681</v>
      </c>
      <c r="F20" s="261">
        <v>186285</v>
      </c>
      <c r="G20" s="262">
        <f t="shared" si="2"/>
        <v>9.1879375929000009</v>
      </c>
      <c r="H20" s="263">
        <v>83.581271999999998</v>
      </c>
      <c r="I20" s="261">
        <v>1946250</v>
      </c>
      <c r="J20" s="262">
        <f t="shared" si="3"/>
        <v>74.00190114068441</v>
      </c>
      <c r="K20" s="263">
        <v>166.52129199999999</v>
      </c>
      <c r="L20" s="302">
        <f t="shared" si="4"/>
        <v>2001</v>
      </c>
      <c r="M20" s="302" t="str">
        <f t="shared" si="5"/>
        <v>4</v>
      </c>
      <c r="N20" s="284">
        <f t="shared" si="6"/>
        <v>2.2502299188696209</v>
      </c>
      <c r="O20" s="71"/>
      <c r="Z20" s="1890">
        <f>LARGE(B$9:B$739,1)</f>
        <v>43800</v>
      </c>
      <c r="AA20" s="1411">
        <f t="shared" si="7"/>
        <v>12419277.697201625</v>
      </c>
      <c r="AB20" s="524">
        <f t="shared" si="8"/>
        <v>7554.8185326036582</v>
      </c>
    </row>
    <row r="21" spans="1:28">
      <c r="A21" s="1015">
        <f t="shared" si="0"/>
        <v>20021</v>
      </c>
      <c r="B21" s="257">
        <v>37316</v>
      </c>
      <c r="C21" s="258">
        <v>1914514.0532256914</v>
      </c>
      <c r="D21" s="259">
        <f t="shared" si="1"/>
        <v>98.801905551726549</v>
      </c>
      <c r="E21" s="260">
        <v>551.07352300000002</v>
      </c>
      <c r="F21" s="258">
        <v>217388</v>
      </c>
      <c r="G21" s="259">
        <f t="shared" si="2"/>
        <v>10.721997892719999</v>
      </c>
      <c r="H21" s="260">
        <v>85.772964999999999</v>
      </c>
      <c r="I21" s="258">
        <v>1852945</v>
      </c>
      <c r="J21" s="259">
        <f t="shared" si="3"/>
        <v>70.454182509505699</v>
      </c>
      <c r="K21" s="260">
        <v>150.462389</v>
      </c>
      <c r="L21" s="302">
        <f t="shared" si="4"/>
        <v>2002</v>
      </c>
      <c r="M21" s="302" t="str">
        <f t="shared" si="5"/>
        <v>1</v>
      </c>
      <c r="N21" s="292">
        <f t="shared" si="6"/>
        <v>2.1356062002379996</v>
      </c>
      <c r="O21" s="71"/>
      <c r="Z21" s="3"/>
    </row>
    <row r="22" spans="1:28">
      <c r="A22" s="1015">
        <f t="shared" si="0"/>
        <v>20022</v>
      </c>
      <c r="B22" s="257">
        <v>37408</v>
      </c>
      <c r="C22" s="261">
        <v>1953455.4217422921</v>
      </c>
      <c r="D22" s="262">
        <f t="shared" si="1"/>
        <v>100.81154418966169</v>
      </c>
      <c r="E22" s="263">
        <v>608.07784800000013</v>
      </c>
      <c r="F22" s="261">
        <v>191130</v>
      </c>
      <c r="G22" s="262">
        <f t="shared" si="2"/>
        <v>9.4269023921999988</v>
      </c>
      <c r="H22" s="263">
        <v>75.167028000000002</v>
      </c>
      <c r="I22" s="261">
        <v>1697095</v>
      </c>
      <c r="J22" s="262">
        <f t="shared" si="3"/>
        <v>64.52832699619772</v>
      </c>
      <c r="K22" s="263">
        <v>157.231076</v>
      </c>
      <c r="L22" s="302">
        <f t="shared" si="4"/>
        <v>2002</v>
      </c>
      <c r="M22" s="302" t="str">
        <f t="shared" si="5"/>
        <v>2</v>
      </c>
      <c r="N22" s="284">
        <f t="shared" si="6"/>
        <v>2.4366209898679805</v>
      </c>
      <c r="O22" s="71"/>
      <c r="Z22" s="3"/>
    </row>
    <row r="23" spans="1:28">
      <c r="A23" s="1015">
        <f t="shared" si="0"/>
        <v>20023</v>
      </c>
      <c r="B23" s="257">
        <v>37500</v>
      </c>
      <c r="C23" s="258">
        <v>2152154.5174200633</v>
      </c>
      <c r="D23" s="259">
        <f t="shared" si="1"/>
        <v>111.06576470650337</v>
      </c>
      <c r="E23" s="260">
        <v>850.14068999999995</v>
      </c>
      <c r="F23" s="258">
        <v>222884</v>
      </c>
      <c r="G23" s="259">
        <f t="shared" si="2"/>
        <v>10.99307127496</v>
      </c>
      <c r="H23" s="260">
        <v>96.977897999999996</v>
      </c>
      <c r="I23" s="258">
        <v>2172461</v>
      </c>
      <c r="J23" s="259">
        <f t="shared" si="3"/>
        <v>82.603079847908745</v>
      </c>
      <c r="K23" s="260">
        <v>171.79498599999999</v>
      </c>
      <c r="L23" s="302">
        <f t="shared" si="4"/>
        <v>2002</v>
      </c>
      <c r="M23" s="302" t="str">
        <f t="shared" si="5"/>
        <v>3</v>
      </c>
      <c r="N23" s="292">
        <f t="shared" si="6"/>
        <v>2.0797648987945005</v>
      </c>
      <c r="O23" s="71"/>
      <c r="Z23" s="3"/>
    </row>
    <row r="24" spans="1:28">
      <c r="A24" s="1015">
        <f t="shared" si="0"/>
        <v>20024</v>
      </c>
      <c r="B24" s="257">
        <v>37591</v>
      </c>
      <c r="C24" s="261">
        <v>1980869.1366087762</v>
      </c>
      <c r="D24" s="262">
        <f t="shared" si="1"/>
        <v>102.22627774175906</v>
      </c>
      <c r="E24" s="263">
        <v>781.92438900000002</v>
      </c>
      <c r="F24" s="261">
        <v>184164</v>
      </c>
      <c r="G24" s="262">
        <f t="shared" si="2"/>
        <v>9.0833257581599991</v>
      </c>
      <c r="H24" s="263">
        <v>105.525927</v>
      </c>
      <c r="I24" s="261">
        <v>2027096</v>
      </c>
      <c r="J24" s="262">
        <f t="shared" si="3"/>
        <v>77.075893536121669</v>
      </c>
      <c r="K24" s="263">
        <v>170.71493799999999</v>
      </c>
      <c r="L24" s="302">
        <f t="shared" si="4"/>
        <v>2002</v>
      </c>
      <c r="M24" s="302" t="str">
        <f t="shared" si="5"/>
        <v>4</v>
      </c>
      <c r="N24" s="284">
        <f t="shared" si="6"/>
        <v>2.2148940501091214</v>
      </c>
      <c r="O24" s="71"/>
      <c r="Z24" s="3"/>
    </row>
    <row r="25" spans="1:28">
      <c r="A25" s="1015">
        <f t="shared" si="0"/>
        <v>20031</v>
      </c>
      <c r="B25" s="257">
        <v>37681</v>
      </c>
      <c r="C25" s="258">
        <v>2047023.6024221559</v>
      </c>
      <c r="D25" s="259">
        <f t="shared" si="1"/>
        <v>105.64029670500767</v>
      </c>
      <c r="E25" s="260">
        <v>772.56395799999996</v>
      </c>
      <c r="F25" s="258">
        <v>167903</v>
      </c>
      <c r="G25" s="259">
        <f t="shared" si="2"/>
        <v>8.2813016918199995</v>
      </c>
      <c r="H25" s="260">
        <v>99.681422999999995</v>
      </c>
      <c r="I25" s="258">
        <v>1958098</v>
      </c>
      <c r="J25" s="259">
        <f t="shared" si="3"/>
        <v>74.452395437262354</v>
      </c>
      <c r="K25" s="260">
        <v>159.82396399999999</v>
      </c>
      <c r="L25" s="302">
        <f t="shared" si="4"/>
        <v>2003</v>
      </c>
      <c r="M25" s="302" t="str">
        <f t="shared" si="5"/>
        <v>1</v>
      </c>
      <c r="N25" s="292">
        <f t="shared" si="6"/>
        <v>2.1466597959856961</v>
      </c>
      <c r="O25" s="71"/>
      <c r="Z25" s="3"/>
    </row>
    <row r="26" spans="1:28">
      <c r="A26" s="1015">
        <f t="shared" si="0"/>
        <v>20032</v>
      </c>
      <c r="B26" s="257">
        <v>37773</v>
      </c>
      <c r="C26" s="261">
        <v>2018138.4484287524</v>
      </c>
      <c r="D26" s="262">
        <f t="shared" si="1"/>
        <v>104.14962691760397</v>
      </c>
      <c r="E26" s="263">
        <v>726.19900600000017</v>
      </c>
      <c r="F26" s="261">
        <v>232112</v>
      </c>
      <c r="G26" s="262">
        <f t="shared" si="2"/>
        <v>11.448214137280001</v>
      </c>
      <c r="H26" s="263">
        <v>91.677954999999997</v>
      </c>
      <c r="I26" s="261">
        <v>1962450</v>
      </c>
      <c r="J26" s="262">
        <f t="shared" si="3"/>
        <v>74.617870722433466</v>
      </c>
      <c r="K26" s="263">
        <v>159.586656</v>
      </c>
      <c r="L26" s="302">
        <f t="shared" si="4"/>
        <v>2003</v>
      </c>
      <c r="M26" s="302" t="str">
        <f t="shared" si="5"/>
        <v>2</v>
      </c>
      <c r="N26" s="284">
        <f t="shared" si="6"/>
        <v>2.1387189751586027</v>
      </c>
      <c r="O26" s="71"/>
      <c r="Z26" s="3"/>
    </row>
    <row r="27" spans="1:28">
      <c r="A27" s="1015">
        <f t="shared" si="0"/>
        <v>20033</v>
      </c>
      <c r="B27" s="257">
        <v>37865</v>
      </c>
      <c r="C27" s="258">
        <v>2219445.4507048135</v>
      </c>
      <c r="D27" s="259">
        <f t="shared" si="1"/>
        <v>114.53843309652416</v>
      </c>
      <c r="E27" s="260">
        <v>752.43159899999989</v>
      </c>
      <c r="F27" s="258">
        <v>170079</v>
      </c>
      <c r="G27" s="259">
        <f t="shared" si="2"/>
        <v>8.3886262332600001</v>
      </c>
      <c r="H27" s="260">
        <v>67.386379000000005</v>
      </c>
      <c r="I27" s="258">
        <v>2110943</v>
      </c>
      <c r="J27" s="259">
        <f t="shared" si="3"/>
        <v>80.263992395437256</v>
      </c>
      <c r="K27" s="260">
        <v>188.401556</v>
      </c>
      <c r="L27" s="302">
        <f t="shared" si="4"/>
        <v>2003</v>
      </c>
      <c r="M27" s="302" t="str">
        <f t="shared" si="5"/>
        <v>3</v>
      </c>
      <c r="N27" s="292">
        <f t="shared" si="6"/>
        <v>2.3472736700138279</v>
      </c>
      <c r="O27" s="71"/>
      <c r="Z27" s="3"/>
    </row>
    <row r="28" spans="1:28">
      <c r="A28" s="1015">
        <f t="shared" si="0"/>
        <v>20034</v>
      </c>
      <c r="B28" s="257">
        <v>37956</v>
      </c>
      <c r="C28" s="261">
        <v>2003850.0192975404</v>
      </c>
      <c r="D28" s="262">
        <f t="shared" si="1"/>
        <v>103.41224709888392</v>
      </c>
      <c r="E28" s="263">
        <v>623.41959999999995</v>
      </c>
      <c r="F28" s="261">
        <v>175075</v>
      </c>
      <c r="G28" s="262">
        <f t="shared" si="2"/>
        <v>8.6350386454999981</v>
      </c>
      <c r="H28" s="263">
        <v>66.801114999999996</v>
      </c>
      <c r="I28" s="261">
        <v>2081126</v>
      </c>
      <c r="J28" s="262">
        <f t="shared" si="3"/>
        <v>79.130266159695822</v>
      </c>
      <c r="K28" s="263">
        <v>182.642709</v>
      </c>
      <c r="L28" s="302">
        <f t="shared" si="4"/>
        <v>2003</v>
      </c>
      <c r="M28" s="302" t="str">
        <f t="shared" si="5"/>
        <v>4</v>
      </c>
      <c r="N28" s="284">
        <f t="shared" si="6"/>
        <v>2.308127065204125</v>
      </c>
      <c r="O28" s="71"/>
    </row>
    <row r="29" spans="1:28">
      <c r="A29" s="1015">
        <f t="shared" si="0"/>
        <v>20041</v>
      </c>
      <c r="B29" s="257">
        <v>38047</v>
      </c>
      <c r="C29" s="258">
        <v>1980160.9456250088</v>
      </c>
      <c r="D29" s="259">
        <f t="shared" si="1"/>
        <v>102.18973028546179</v>
      </c>
      <c r="E29" s="260">
        <v>696.88724400000001</v>
      </c>
      <c r="F29" s="258">
        <v>189587</v>
      </c>
      <c r="G29" s="259">
        <f t="shared" si="2"/>
        <v>9.3507986387799988</v>
      </c>
      <c r="H29" s="260">
        <v>76.295843000000005</v>
      </c>
      <c r="I29" s="258">
        <v>1958982</v>
      </c>
      <c r="J29" s="259">
        <f t="shared" si="3"/>
        <v>74.486007604562744</v>
      </c>
      <c r="K29" s="260">
        <v>151.96587700000001</v>
      </c>
      <c r="L29" s="302">
        <f t="shared" si="4"/>
        <v>2004</v>
      </c>
      <c r="M29" s="302" t="str">
        <f t="shared" si="5"/>
        <v>1</v>
      </c>
      <c r="N29" s="292">
        <f t="shared" si="6"/>
        <v>2.0401936133665344</v>
      </c>
      <c r="O29" s="71"/>
    </row>
    <row r="30" spans="1:28">
      <c r="A30" s="1015">
        <f t="shared" si="0"/>
        <v>20042</v>
      </c>
      <c r="B30" s="257">
        <v>38139</v>
      </c>
      <c r="C30" s="261">
        <v>2017308.1044479285</v>
      </c>
      <c r="D30" s="262">
        <f t="shared" si="1"/>
        <v>104.10677553846126</v>
      </c>
      <c r="E30" s="263">
        <v>703.14304900000002</v>
      </c>
      <c r="F30" s="261">
        <v>160521</v>
      </c>
      <c r="G30" s="262">
        <f t="shared" si="2"/>
        <v>7.9172071307399996</v>
      </c>
      <c r="H30" s="263">
        <v>71.667344999999997</v>
      </c>
      <c r="I30" s="261">
        <v>1909759</v>
      </c>
      <c r="J30" s="262">
        <f t="shared" si="3"/>
        <v>72.614410646387839</v>
      </c>
      <c r="K30" s="263">
        <v>158.03351499999999</v>
      </c>
      <c r="L30" s="302">
        <f t="shared" si="4"/>
        <v>2004</v>
      </c>
      <c r="M30" s="302" t="str">
        <f t="shared" si="5"/>
        <v>2</v>
      </c>
      <c r="N30" s="284">
        <f t="shared" si="6"/>
        <v>2.1763381895307208</v>
      </c>
      <c r="O30" s="71"/>
    </row>
    <row r="31" spans="1:28">
      <c r="A31" s="1015">
        <f t="shared" si="0"/>
        <v>20043</v>
      </c>
      <c r="B31" s="257">
        <v>38231</v>
      </c>
      <c r="C31" s="258">
        <v>2434155.8057928775</v>
      </c>
      <c r="D31" s="259">
        <f t="shared" si="1"/>
        <v>125.61894315527576</v>
      </c>
      <c r="E31" s="260">
        <v>814.84290999999996</v>
      </c>
      <c r="F31" s="258">
        <v>229492</v>
      </c>
      <c r="G31" s="259">
        <f t="shared" si="2"/>
        <v>11.318990654479999</v>
      </c>
      <c r="H31" s="260">
        <v>111.539199</v>
      </c>
      <c r="I31" s="258">
        <v>1843652</v>
      </c>
      <c r="J31" s="259">
        <f t="shared" si="3"/>
        <v>70.100836501901142</v>
      </c>
      <c r="K31" s="260">
        <v>169.58207899999999</v>
      </c>
      <c r="L31" s="302">
        <f t="shared" si="4"/>
        <v>2004</v>
      </c>
      <c r="M31" s="302" t="str">
        <f t="shared" si="5"/>
        <v>3</v>
      </c>
      <c r="N31" s="292">
        <f t="shared" si="6"/>
        <v>2.4191163395803543</v>
      </c>
      <c r="O31" s="71"/>
    </row>
    <row r="32" spans="1:28" ht="15.75" thickBot="1">
      <c r="A32" s="1015">
        <f t="shared" si="0"/>
        <v>20044</v>
      </c>
      <c r="B32" s="257">
        <v>38322</v>
      </c>
      <c r="C32" s="261">
        <v>2787683.4293645131</v>
      </c>
      <c r="D32" s="262">
        <f t="shared" si="1"/>
        <v>143.86336544885998</v>
      </c>
      <c r="E32" s="263">
        <v>935.93642699999998</v>
      </c>
      <c r="F32" s="261">
        <v>142088</v>
      </c>
      <c r="G32" s="262">
        <f t="shared" si="2"/>
        <v>7.0080558107199993</v>
      </c>
      <c r="H32" s="263">
        <v>80.915570000000002</v>
      </c>
      <c r="I32" s="261">
        <v>2001298</v>
      </c>
      <c r="J32" s="262">
        <f t="shared" si="3"/>
        <v>76.09498098859315</v>
      </c>
      <c r="K32" s="263">
        <v>175.87676099999999</v>
      </c>
      <c r="L32" s="302">
        <f t="shared" si="4"/>
        <v>2004</v>
      </c>
      <c r="M32" s="302" t="str">
        <f t="shared" si="5"/>
        <v>4</v>
      </c>
      <c r="N32" s="284">
        <f t="shared" si="6"/>
        <v>2.3112793868279486</v>
      </c>
      <c r="O32" s="71"/>
    </row>
    <row r="33" spans="1:39" ht="15.75" thickBot="1">
      <c r="A33" s="1015">
        <f t="shared" si="0"/>
        <v>20051</v>
      </c>
      <c r="B33" s="257">
        <v>38412</v>
      </c>
      <c r="C33" s="258">
        <v>2765700</v>
      </c>
      <c r="D33" s="259">
        <f t="shared" si="1"/>
        <v>142.728871446</v>
      </c>
      <c r="E33" s="260">
        <v>990.53453766112727</v>
      </c>
      <c r="F33" s="258">
        <v>193680</v>
      </c>
      <c r="G33" s="259">
        <f t="shared" si="2"/>
        <v>9.5526733392000001</v>
      </c>
      <c r="H33" s="260">
        <v>114.8085584005612</v>
      </c>
      <c r="I33" s="258">
        <v>1864648</v>
      </c>
      <c r="J33" s="259">
        <f t="shared" si="3"/>
        <v>70.899163498098858</v>
      </c>
      <c r="K33" s="260">
        <v>166.87281999999999</v>
      </c>
      <c r="L33" s="302">
        <f t="shared" si="4"/>
        <v>2005</v>
      </c>
      <c r="M33" s="302" t="str">
        <f t="shared" si="5"/>
        <v>1</v>
      </c>
      <c r="N33" s="292">
        <f t="shared" si="6"/>
        <v>2.3536641585972258</v>
      </c>
      <c r="O33" s="264"/>
      <c r="Q33" s="1248">
        <v>1.690140392577276</v>
      </c>
      <c r="R33" s="948"/>
      <c r="Z33" s="1972" t="s">
        <v>407</v>
      </c>
      <c r="AA33" s="1972"/>
      <c r="AB33" s="1972"/>
      <c r="AD33" s="1003" t="s">
        <v>447</v>
      </c>
      <c r="AE33" s="1939" t="s">
        <v>446</v>
      </c>
      <c r="AF33" s="1939"/>
      <c r="AG33" s="1939"/>
      <c r="AH33" s="1939"/>
      <c r="AI33" s="1939"/>
      <c r="AJ33" s="1939"/>
      <c r="AK33" s="1939"/>
      <c r="AL33" s="1939"/>
      <c r="AM33" s="1940"/>
    </row>
    <row r="34" spans="1:39" ht="15.75" thickBot="1">
      <c r="A34" s="1015">
        <f t="shared" si="0"/>
        <v>20052</v>
      </c>
      <c r="B34" s="257">
        <v>38504</v>
      </c>
      <c r="C34" s="261">
        <v>2941484</v>
      </c>
      <c r="D34" s="262">
        <f t="shared" si="1"/>
        <v>151.80051766151999</v>
      </c>
      <c r="E34" s="263">
        <v>1053.4915189563594</v>
      </c>
      <c r="F34" s="261">
        <v>198926</v>
      </c>
      <c r="G34" s="262">
        <f t="shared" si="2"/>
        <v>9.8114162364399995</v>
      </c>
      <c r="H34" s="263">
        <v>96.238425912268809</v>
      </c>
      <c r="I34" s="261">
        <v>1933203</v>
      </c>
      <c r="J34" s="262">
        <f t="shared" si="3"/>
        <v>73.505817490494294</v>
      </c>
      <c r="K34" s="263">
        <v>166.391311</v>
      </c>
      <c r="L34" s="302">
        <f t="shared" si="4"/>
        <v>2005</v>
      </c>
      <c r="M34" s="302" t="str">
        <f t="shared" si="5"/>
        <v>2</v>
      </c>
      <c r="N34" s="284">
        <f t="shared" si="6"/>
        <v>2.2636481938523789</v>
      </c>
      <c r="O34" s="71"/>
      <c r="Q34" s="1248">
        <v>2.4382513748019465</v>
      </c>
      <c r="R34" s="948"/>
      <c r="Z34" s="2025" t="s">
        <v>51</v>
      </c>
      <c r="AA34" s="2025"/>
      <c r="AB34" s="2025"/>
      <c r="AD34" s="1958" t="str">
        <f>CONCATENATE(J5," Quantity and Value by ",AE33)</f>
        <v xml:space="preserve"> Quantity and Value by Financial Year</v>
      </c>
      <c r="AE34" s="1959"/>
      <c r="AF34" s="1959"/>
      <c r="AG34" s="1959"/>
      <c r="AH34" s="1959"/>
      <c r="AI34" s="1959"/>
      <c r="AJ34" s="1959"/>
      <c r="AK34" s="1959"/>
      <c r="AL34" s="1959"/>
      <c r="AM34" s="1960"/>
    </row>
    <row r="35" spans="1:39" ht="15.75" thickBot="1">
      <c r="A35" s="1015">
        <f t="shared" si="0"/>
        <v>20053</v>
      </c>
      <c r="B35" s="257">
        <v>38596</v>
      </c>
      <c r="C35" s="258">
        <v>2816304</v>
      </c>
      <c r="D35" s="259">
        <f t="shared" si="1"/>
        <v>145.34038094112</v>
      </c>
      <c r="E35" s="260">
        <v>1109.5212301645097</v>
      </c>
      <c r="F35" s="258">
        <v>237820</v>
      </c>
      <c r="G35" s="259">
        <f t="shared" si="2"/>
        <v>11.729743770800001</v>
      </c>
      <c r="H35" s="260">
        <v>132.4409622798909</v>
      </c>
      <c r="I35" s="258">
        <v>1969628</v>
      </c>
      <c r="J35" s="259">
        <f t="shared" si="3"/>
        <v>74.890798479087451</v>
      </c>
      <c r="K35" s="260">
        <v>175.05570499999999</v>
      </c>
      <c r="L35" s="302">
        <f t="shared" si="4"/>
        <v>2005</v>
      </c>
      <c r="M35" s="302" t="str">
        <f t="shared" si="5"/>
        <v>3</v>
      </c>
      <c r="N35" s="292">
        <f t="shared" si="6"/>
        <v>2.3374794841970159</v>
      </c>
      <c r="O35" s="71"/>
      <c r="Q35" s="1248">
        <v>2.5177775333609973</v>
      </c>
      <c r="R35" s="948"/>
      <c r="Z35" s="135" t="s">
        <v>6</v>
      </c>
      <c r="AA35" s="136" t="str">
        <f>F8</f>
        <v>Quantity (t)</v>
      </c>
      <c r="AB35" s="137" t="str">
        <f>H8</f>
        <v>Value ($ Million)</v>
      </c>
      <c r="AD35" s="387"/>
      <c r="AE35" s="2046" t="str">
        <f>C7</f>
        <v>Liquefied Natural Gas (LNG)</v>
      </c>
      <c r="AF35" s="2051"/>
      <c r="AG35" s="2047"/>
      <c r="AH35" s="2046" t="str">
        <f>F7</f>
        <v>LPG - Butane and Propane</v>
      </c>
      <c r="AI35" s="2051"/>
      <c r="AJ35" s="2047"/>
      <c r="AK35" s="2046" t="str">
        <f>I7</f>
        <v>Natural Gas</v>
      </c>
      <c r="AL35" s="2051"/>
      <c r="AM35" s="2047"/>
    </row>
    <row r="36" spans="1:39" ht="15.75" thickBot="1">
      <c r="A36" s="1015">
        <f t="shared" si="0"/>
        <v>20054</v>
      </c>
      <c r="B36" s="257">
        <v>38687</v>
      </c>
      <c r="C36" s="261">
        <v>3077124</v>
      </c>
      <c r="D36" s="262">
        <f t="shared" si="1"/>
        <v>158.80046130072</v>
      </c>
      <c r="E36" s="263">
        <v>1292.7891994264205</v>
      </c>
      <c r="F36" s="261">
        <v>240304</v>
      </c>
      <c r="G36" s="262">
        <f t="shared" si="2"/>
        <v>11.852259469759998</v>
      </c>
      <c r="H36" s="263">
        <v>200.73407476360785</v>
      </c>
      <c r="I36" s="261">
        <v>1638770</v>
      </c>
      <c r="J36" s="262">
        <f t="shared" si="3"/>
        <v>62.310646387832698</v>
      </c>
      <c r="K36" s="263">
        <v>153.29080999999999</v>
      </c>
      <c r="L36" s="302">
        <f t="shared" si="4"/>
        <v>2005</v>
      </c>
      <c r="M36" s="302" t="str">
        <f t="shared" si="5"/>
        <v>4</v>
      </c>
      <c r="N36" s="284">
        <f t="shared" si="6"/>
        <v>2.4601062400458882</v>
      </c>
      <c r="O36" s="71"/>
      <c r="Q36" s="1248">
        <v>2.649862924036114</v>
      </c>
      <c r="R36" s="948"/>
      <c r="Z36" s="1887">
        <f>LARGE(B$9:B$739,10)</f>
        <v>42979</v>
      </c>
      <c r="AA36" s="1189">
        <f t="shared" ref="AA36:AA45" si="9">SUMIF($B$9:$B$739,$Z36,F$9:F$739)</f>
        <v>117208</v>
      </c>
      <c r="AB36" s="1406">
        <f t="shared" ref="AB36:AB45" si="10">SUMIF($B$9:$B$739,$Z36,H$9:H$739)</f>
        <v>67.451136598380842</v>
      </c>
      <c r="AD36" s="388" t="str">
        <f>AE33</f>
        <v>Financial Year</v>
      </c>
      <c r="AE36" s="392" t="str">
        <f>C8</f>
        <v>Quantity (t)</v>
      </c>
      <c r="AF36" s="395" t="str">
        <f>D8</f>
        <v>Quantity (PJ)</v>
      </c>
      <c r="AG36" s="393" t="str">
        <f>E8</f>
        <v>Value ($ Million)</v>
      </c>
      <c r="AH36" s="392" t="str">
        <f>F8</f>
        <v>Quantity (t)</v>
      </c>
      <c r="AI36" s="394" t="str">
        <f>G8</f>
        <v>Quantity (PJ)</v>
      </c>
      <c r="AJ36" s="393" t="str">
        <f>H8</f>
        <v>Value ($ Million)</v>
      </c>
      <c r="AK36" s="392" t="str">
        <f>I8</f>
        <v>Quantity (000 cubic metres)</v>
      </c>
      <c r="AL36" s="395" t="str">
        <f>J8</f>
        <v>Quantity (PJ)</v>
      </c>
      <c r="AM36" s="393" t="str">
        <f>K8</f>
        <v>Value ($ Million)</v>
      </c>
    </row>
    <row r="37" spans="1:39">
      <c r="A37" s="1015">
        <f t="shared" si="0"/>
        <v>20061</v>
      </c>
      <c r="B37" s="257">
        <v>38777</v>
      </c>
      <c r="C37" s="258">
        <v>2809980</v>
      </c>
      <c r="D37" s="259">
        <f t="shared" si="1"/>
        <v>145.0140196644</v>
      </c>
      <c r="E37" s="260">
        <v>1136.0294052345751</v>
      </c>
      <c r="F37" s="258">
        <v>211950</v>
      </c>
      <c r="G37" s="259">
        <f t="shared" si="2"/>
        <v>10.453785183000001</v>
      </c>
      <c r="H37" s="260">
        <v>200.41766147273182</v>
      </c>
      <c r="I37" s="258">
        <v>1971203</v>
      </c>
      <c r="J37" s="259">
        <f t="shared" si="3"/>
        <v>74.950684410646389</v>
      </c>
      <c r="K37" s="260">
        <v>179.124033</v>
      </c>
      <c r="L37" s="302">
        <f t="shared" si="4"/>
        <v>2006</v>
      </c>
      <c r="M37" s="302" t="str">
        <f t="shared" si="5"/>
        <v>1</v>
      </c>
      <c r="N37" s="292">
        <f t="shared" si="6"/>
        <v>2.3898918923621766</v>
      </c>
      <c r="O37" s="71"/>
      <c r="Q37" s="1248">
        <v>2.574232695701351</v>
      </c>
      <c r="R37" s="948"/>
      <c r="Z37" s="1888">
        <f>LARGE(B$9:B$739,9)</f>
        <v>43070</v>
      </c>
      <c r="AA37" s="1412">
        <f t="shared" si="9"/>
        <v>112884</v>
      </c>
      <c r="AB37" s="522">
        <f t="shared" si="10"/>
        <v>96.97610210958355</v>
      </c>
      <c r="AD37" s="389" t="str">
        <f>IF($AE$33="Calendar Year",YEAR(MIN($B$9:$B$201)),CONCATENATE(YEAR(MIN($B$9:$B$201)),"-",((YEAR(MIN($B$9:$B$201))+1))))</f>
        <v>1999-2000</v>
      </c>
      <c r="AE37" s="396">
        <f>IF($AE$33="Calendar Year",SUMIF($L$9:$L$201,$AD37,$C$9:$C$201),SUMIFS($C$9:$C$201,$L$9:$L$201,LEFT($AD37,4),$M$9:$M$201,3)+SUMIFS($C$9:$C$201,$L$9:$L$201,LEFT($AD37,4),$M$9:$M$201,4)+SUMIFS($C$9:$C$201,$L$9:$L$201,LEFT($AD37,4)+1,$M$9:$M$201,1)+SUMIFS($C$9:$C$201,$L$9:$L$201,LEFT($AD37,4)+1,$M$9:$M$201,2))</f>
        <v>7990862.5304647814</v>
      </c>
      <c r="AF37" s="1185">
        <f>IF($AE$33="Calendar Year",SUMIF($L$9:$L$201,$AD37,$D$9:$D$201),SUMIFS($D$9:$D$201,$L$9:$L$201,LEFT($AD37,4),$M$9:$M$201,3)+SUMIFS($D$9:$D$201,$L$9:$L$201,LEFT($AD37,4),$M$9:$M$201,4)+SUMIFS($D$9:$D$201,$L$9:$L$201,LEFT($AD37,4)+1,$M$9:$M$201,1)+SUMIFS($D$9:$D$201,$L$9:$L$201,LEFT($AD37,4)+1,$M$9:$M$201,2))</f>
        <v>412.38268461993925</v>
      </c>
      <c r="AG37" s="508">
        <f>IF($AE$33="Calendar Year",SUMIF($L$9:$L$201,$AD37,$E$9:$E$201),SUMIFS($E$9:$E$201,$L$9:$L$201,LEFT($AD37,4),$M$9:$M$201,3)+SUMIFS($E$9:$E$201,$L$9:$L$201,LEFT($AD37,4),$M$9:$M$201,4)+SUMIFS($E$9:$E$201,$L$9:$L$201,LEFT($AD37,4)+1,$M$9:$M$201,1)+SUMIFS($E$9:$E$201,$L$9:$L$201,LEFT($AD37,4)+1,$M$9:$M$201,2))</f>
        <v>1971.0604250000001</v>
      </c>
      <c r="AH37" s="396">
        <f>IF($AE$33="Calendar Year",SUMIF($L$9:$L$201,$AD37,$F$9:$F$201),SUMIFS($F$9:$F$201,$L$9:$L$201,LEFT($AD37,4),$M$9:$M$201,3)+SUMIFS($F$9:$F$201,$L$9:$L$201,LEFT($AD37,4),$M$9:$M$201,4)+SUMIFS($F$9:$F$201,$L$9:$L$201,LEFT($AD37,4)+1,$M$9:$M$201,1)+SUMIFS($F$9:$F$201,$L$9:$L$201,LEFT($AD37,4)+1,$M$9:$M$201,2))</f>
        <v>778149</v>
      </c>
      <c r="AI37" s="1185">
        <f>IF($AE$33="Calendar Year",SUMIF($L$9:$L$201,$AD37,$G$9:$G$201),SUMIFS($G$9:$G$201,$L$9:$L$201,LEFT($AD37,4),$M$9:$M$201,3)+SUMIFS($G$9:$G$201,$L$9:$L$201,LEFT($AD37,4),$M$9:$M$201,4)+SUMIFS($G$9:$G$201,$L$9:$L$201,LEFT($AD37,4)+1,$M$9:$M$201,1)+SUMIFS($G$9:$G$201,$L$9:$L$201,LEFT($AD37,4)+1,$M$9:$M$201,2))</f>
        <v>38.379818289059997</v>
      </c>
      <c r="AJ37" s="508">
        <f>IF($AE$33="Calendar Year",SUMIF($L$9:$L$201,$AD37,$H$9:$H$201),SUMIFS($H$9:$H$201,$L$9:$L$201,LEFT($AD37,4),$M$9:$M$201,3)+SUMIFS($H$9:$H$201,$L$9:$L$201,LEFT($AD37,4),$M$9:$M$201,4)+SUMIFS($H$9:$H$201,$L$9:$L$201,LEFT($AD37,4)+1,$M$9:$M$201,1)+SUMIFS($H$9:$H$201,$L$9:$L$201,LEFT($AD37,4)+1,$M$9:$M$201,2))</f>
        <v>336.83834999999999</v>
      </c>
      <c r="AK37" s="396">
        <f>IF($AE$33="Calendar Year",SUMIF($L$9:$L$201,$AD37,$I$9:$I$201),SUMIFS($I$9:$I$201,$L$9:$L$201,LEFT($AD37,4),$M$9:$M$201,3)+SUMIFS($I$9:$I$201,$L$9:$L$201,LEFT($AD37,4),$M$9:$M$201,4)+SUMIFS($I$9:$I$201,$L$9:$L$201,LEFT($AD37,4)+1,$M$9:$M$201,1)+SUMIFS($I$9:$I$201,$L$9:$L$201,LEFT($AD37,4)+1,$M$9:$M$201,2))</f>
        <v>6447139.8900000006</v>
      </c>
      <c r="AL37" s="1185">
        <f>IF($AE$33="Calendar Year",SUMIF($L$9:$L$201,$AD37,$J$9:$J$201),SUMIFS($J$9:$J$201,$L$9:$L$201,LEFT($AD37,4),$M$9:$M$201,3)+SUMIFS($J$9:$J$201,$L$9:$L$201,LEFT($AD37,4),$M$9:$M$201,4)+SUMIFS($J$9:$J$201,$L$9:$L$201,LEFT($AD37,4)+1,$M$9:$M$201,1)+SUMIFS($J$9:$J$201,$L$9:$L$201,LEFT($AD37,4)+1,$M$9:$M$201,2))</f>
        <v>245.1383988593156</v>
      </c>
      <c r="AM37" s="508">
        <f>IF($AE$33="Calendar Year",SUMIF($L$9:$L$201,$AD37,$K$9:$K$201),SUMIFS($K$9:$K$201,$L$9:$L$201,LEFT($AD37,4),$M$9:$M$201,3)+SUMIFS($K$9:$K$201,$L$9:$L$201,LEFT($AD37,4),$M$9:$M$201,4)+SUMIFS($K$9:$K$201,$L$9:$L$201,LEFT($AD37,4)+1,$M$9:$M$201,1)+SUMIFS($K$9:$K$201,$L$9:$L$201,LEFT($AD37,4)+1,$M$9:$M$201,2))</f>
        <v>569.38400000000001</v>
      </c>
    </row>
    <row r="38" spans="1:39">
      <c r="A38" s="1015">
        <f t="shared" si="0"/>
        <v>20062</v>
      </c>
      <c r="B38" s="257">
        <v>38869</v>
      </c>
      <c r="C38" s="261">
        <v>2976428</v>
      </c>
      <c r="D38" s="262">
        <f t="shared" si="1"/>
        <v>153.60386498183999</v>
      </c>
      <c r="E38" s="263">
        <v>1110.6196977902448</v>
      </c>
      <c r="F38" s="261">
        <v>181909</v>
      </c>
      <c r="G38" s="262">
        <f t="shared" si="2"/>
        <v>8.9721047834600007</v>
      </c>
      <c r="H38" s="263">
        <v>120.83113587726857</v>
      </c>
      <c r="I38" s="261">
        <v>2133813</v>
      </c>
      <c r="J38" s="262">
        <f t="shared" si="3"/>
        <v>81.133574144486687</v>
      </c>
      <c r="K38" s="263">
        <v>193.51226299999999</v>
      </c>
      <c r="L38" s="302">
        <f t="shared" si="4"/>
        <v>2006</v>
      </c>
      <c r="M38" s="302" t="str">
        <f t="shared" si="5"/>
        <v>2</v>
      </c>
      <c r="N38" s="284">
        <f t="shared" si="6"/>
        <v>2.3851070908744112</v>
      </c>
      <c r="O38" s="71"/>
      <c r="Q38" s="1248">
        <v>2.5690788255737473</v>
      </c>
      <c r="R38" s="948"/>
      <c r="Z38" s="1889">
        <f>LARGE(B$9:B$739,8)</f>
        <v>43160</v>
      </c>
      <c r="AA38" s="1413">
        <f t="shared" si="9"/>
        <v>112860</v>
      </c>
      <c r="AB38" s="535">
        <f t="shared" si="10"/>
        <v>85.801210917674538</v>
      </c>
      <c r="AD38" s="390" t="str">
        <f>IFERROR(IF(YEAR(MAX('Data - Monthly Commodity Prices'!$C$9:$C4984))=VALUE(RIGHT(AD37,4)),"",IF($AE$33="Calendar Year",AD37+1,CONCATENATE(LEFT(AD37,4)+1,"-",RIGHT(AD37,4)+1))),"")</f>
        <v>2000-2001</v>
      </c>
      <c r="AE38" s="397">
        <f t="shared" ref="AE38:AE61" si="11">IF($AD38="","",IF($AE$33="Calendar Year",SUMIF($L$9:$L$201,$AD38,$C$9:$C$201),SUMIFS($C$9:$C$201,$L$9:$L$201,LEFT($AD38,4),$M$9:$M$201,3)+SUMIFS($C$9:$C$201,$L$9:$L$201,LEFT($AD38,4),$M$9:$M$201,4)+SUMIFS($C$9:$C$201,$L$9:$L$201,LEFT($AD38,4)+1,$M$9:$M$201,1)+SUMIFS($C$9:$C$201,$L$9:$L$201,LEFT($AD38,4)+1,$M$9:$M$201,2)))</f>
        <v>7587835.6769510843</v>
      </c>
      <c r="AF38" s="1186">
        <f t="shared" ref="AF38:AF61" si="12">IF($AD38="","",IF($AE$33="Calendar Year",SUMIF($L$9:$L$201,$AD38,$D$9:$D$201),SUMIFS($D$9:$D$201,$L$9:$L$201,LEFT($AD38,4),$M$9:$M$201,3)+SUMIFS($D$9:$D$201,$L$9:$L$201,LEFT($AD38,4),$M$9:$M$201,4)+SUMIFS($D$9:$D$201,$L$9:$L$201,LEFT($AD38,4)+1,$M$9:$M$201,1)+SUMIFS($D$9:$D$201,$L$9:$L$201,LEFT($AD38,4)+1,$M$9:$M$201,2)))</f>
        <v>391.58376645656568</v>
      </c>
      <c r="AG38" s="1188">
        <f t="shared" ref="AG38:AG61" si="13">IF($AD38="","",IF($AE$33="Calendar Year",SUMIF($L$9:$L$201,$AD38,$E$9:$E$201),SUMIFS($E$9:$E$201,$L$9:$L$201,LEFT($AD38,4),$M$9:$M$201,3)+SUMIFS($E$9:$E$201,$L$9:$L$201,LEFT($AD38,4),$M$9:$M$201,4)+SUMIFS($E$9:$E$201,$L$9:$L$201,LEFT($AD38,4)+1,$M$9:$M$201,1)+SUMIFS($E$9:$E$201,$L$9:$L$201,LEFT($AD38,4)+1,$M$9:$M$201,2)))</f>
        <v>3012.4308918725401</v>
      </c>
      <c r="AH38" s="397">
        <f t="shared" ref="AH38:AH61" si="14">IF($AD38="","",IF($AE$33="Calendar Year",SUMIF($L$9:$L$201,$AD38,$F$9:$F$201),SUMIFS($F$9:$F$201,$L$9:$L$201,LEFT($AD38,4),$M$9:$M$201,3)+SUMIFS($F$9:$F$201,$L$9:$L$201,LEFT($AD38,4),$M$9:$M$201,4)+SUMIFS($F$9:$F$201,$L$9:$L$201,LEFT($AD38,4)+1,$M$9:$M$201,1)+SUMIFS($F$9:$F$201,$L$9:$L$201,LEFT($AD38,4)+1,$M$9:$M$201,2)))</f>
        <v>796572</v>
      </c>
      <c r="AI38" s="1186">
        <f t="shared" ref="AI38:AI61" si="15">IF($AD38="","",IF($AE$33="Calendar Year",SUMIF($L$9:$L$201,$AD38,$G$9:$G$201),SUMIFS($G$9:$G$201,$L$9:$L$201,LEFT($AD38,4),$M$9:$M$201,3)+SUMIFS($G$9:$G$201,$L$9:$L$201,LEFT($AD38,4),$M$9:$M$201,4)+SUMIFS($G$9:$G$201,$L$9:$L$201,LEFT($AD38,4)+1,$M$9:$M$201,1)+SUMIFS($G$9:$G$201,$L$9:$L$201,LEFT($AD38,4)+1,$M$9:$M$201,2)))</f>
        <v>39.28847638968</v>
      </c>
      <c r="AJ38" s="1188">
        <f t="shared" ref="AJ38:AJ61" si="16">IF($AD38="","",IF($AE$33="Calendar Year",SUMIF($L$9:$L$201,$AD38,$H$9:$H$201),SUMIFS($H$9:$H$201,$L$9:$L$201,LEFT($AD38,4),$M$9:$M$201,3)+SUMIFS($H$9:$H$201,$L$9:$L$201,LEFT($AD38,4),$M$9:$M$201,4)+SUMIFS($H$9:$H$201,$L$9:$L$201,LEFT($AD38,4)+1,$M$9:$M$201,1)+SUMIFS($H$9:$H$201,$L$9:$L$201,LEFT($AD38,4)+1,$M$9:$M$201,2)))</f>
        <v>409.50936400000001</v>
      </c>
      <c r="AK38" s="397">
        <f t="shared" ref="AK38:AK61" si="17">IF($AD38="","",IF($AE$33="Calendar Year",SUMIF($L$9:$L$201,$AD38,$I$9:$I$201),SUMIFS($I$9:$I$201,$L$9:$L$201,LEFT($AD38,4),$M$9:$M$201,3)+SUMIFS($I$9:$I$201,$L$9:$L$201,LEFT($AD38,4),$M$9:$M$201,4)+SUMIFS($I$9:$I$201,$L$9:$L$201,LEFT($AD38,4)+1,$M$9:$M$201,1)+SUMIFS($I$9:$I$201,$L$9:$L$201,LEFT($AD38,4)+1,$M$9:$M$201,2)))</f>
        <v>7560089</v>
      </c>
      <c r="AL38" s="1186">
        <f t="shared" ref="AL38:AL61" si="18">IF($AD38="","",IF($AE$33="Calendar Year",SUMIF($L$9:$L$201,$AD38,$J$9:$J$201),SUMIFS($J$9:$J$201,$L$9:$L$201,LEFT($AD38,4),$M$9:$M$201,3)+SUMIFS($J$9:$J$201,$L$9:$L$201,LEFT($AD38,4),$M$9:$M$201,4)+SUMIFS($J$9:$J$201,$L$9:$L$201,LEFT($AD38,4)+1,$M$9:$M$201,1)+SUMIFS($J$9:$J$201,$L$9:$L$201,LEFT($AD38,4)+1,$M$9:$M$201,2)))</f>
        <v>287.45585551330799</v>
      </c>
      <c r="AM38" s="1188">
        <f t="shared" ref="AM38:AM61" si="19">IF($AD38="","",IF($AE$33="Calendar Year",SUMIF($L$9:$L$201,$AD38,$K$9:$K$201),SUMIFS($K$9:$K$201,$L$9:$L$201,LEFT($AD38,4),$M$9:$M$201,3)+SUMIFS($K$9:$K$201,$L$9:$L$201,LEFT($AD38,4),$M$9:$M$201,4)+SUMIFS($K$9:$K$201,$L$9:$L$201,LEFT($AD38,4)+1,$M$9:$M$201,1)+SUMIFS($K$9:$K$201,$L$9:$L$201,LEFT($AD38,4)+1,$M$9:$M$201,2)))</f>
        <v>626.17802221454951</v>
      </c>
    </row>
    <row r="39" spans="1:39">
      <c r="A39" s="1015">
        <f t="shared" si="0"/>
        <v>20063</v>
      </c>
      <c r="B39" s="257">
        <v>38961</v>
      </c>
      <c r="C39" s="258">
        <v>2907016</v>
      </c>
      <c r="D39" s="259">
        <f t="shared" si="1"/>
        <v>150.02173516848001</v>
      </c>
      <c r="E39" s="260">
        <v>1154.3685845124028</v>
      </c>
      <c r="F39" s="258">
        <v>231472</v>
      </c>
      <c r="G39" s="259">
        <f t="shared" si="2"/>
        <v>11.416648095679999</v>
      </c>
      <c r="H39" s="260">
        <v>138.79321319144731</v>
      </c>
      <c r="I39" s="258">
        <v>2111195</v>
      </c>
      <c r="J39" s="259">
        <f t="shared" si="3"/>
        <v>80.273574144486687</v>
      </c>
      <c r="K39" s="260">
        <v>219.081705</v>
      </c>
      <c r="L39" s="302">
        <f t="shared" si="4"/>
        <v>2006</v>
      </c>
      <c r="M39" s="302" t="str">
        <f t="shared" si="5"/>
        <v>3</v>
      </c>
      <c r="N39" s="292">
        <f t="shared" si="6"/>
        <v>2.7291883703305477</v>
      </c>
      <c r="O39" s="71"/>
      <c r="Q39" s="1248">
        <v>2.9664428750322251</v>
      </c>
      <c r="R39" s="948"/>
      <c r="Z39" s="1888">
        <f>LARGE(B$9:B$739,7)</f>
        <v>43252</v>
      </c>
      <c r="AA39" s="1412">
        <f t="shared" si="9"/>
        <v>108290</v>
      </c>
      <c r="AB39" s="522">
        <f t="shared" si="10"/>
        <v>81.042960637905693</v>
      </c>
      <c r="AD39" s="390" t="str">
        <f>IFERROR(IF(YEAR(MAX('Data - Monthly Commodity Prices'!$C$9:$C4985))=VALUE(RIGHT(AD38,4)),"",IF($AE$33="Calendar Year",AD38+1,CONCATENATE(LEFT(AD38,4)+1,"-",RIGHT(AD38,4)+1))),"")</f>
        <v>2001-2002</v>
      </c>
      <c r="AE39" s="398">
        <f t="shared" si="11"/>
        <v>8062589.5456086854</v>
      </c>
      <c r="AF39" s="1187">
        <f t="shared" si="12"/>
        <v>416.0842849105274</v>
      </c>
      <c r="AG39" s="511">
        <f t="shared" si="13"/>
        <v>3006.39753523746</v>
      </c>
      <c r="AH39" s="398">
        <f t="shared" si="14"/>
        <v>856522</v>
      </c>
      <c r="AI39" s="1187">
        <f t="shared" si="15"/>
        <v>42.245326692679996</v>
      </c>
      <c r="AJ39" s="511">
        <f t="shared" si="16"/>
        <v>361.57792499999999</v>
      </c>
      <c r="AK39" s="398">
        <f t="shared" si="17"/>
        <v>7456739</v>
      </c>
      <c r="AL39" s="1187">
        <f t="shared" si="18"/>
        <v>283.52619771863118</v>
      </c>
      <c r="AM39" s="511">
        <f t="shared" si="19"/>
        <v>638.879233</v>
      </c>
    </row>
    <row r="40" spans="1:39">
      <c r="A40" s="1015">
        <f t="shared" si="0"/>
        <v>20064</v>
      </c>
      <c r="B40" s="257">
        <v>39052</v>
      </c>
      <c r="C40" s="261">
        <v>3265356</v>
      </c>
      <c r="D40" s="262">
        <f t="shared" si="1"/>
        <v>168.51450871368002</v>
      </c>
      <c r="E40" s="263">
        <v>1149.744690189762</v>
      </c>
      <c r="F40" s="261">
        <v>236900</v>
      </c>
      <c r="G40" s="262">
        <f t="shared" si="2"/>
        <v>11.684367585999999</v>
      </c>
      <c r="H40" s="263">
        <v>153.78806276854101</v>
      </c>
      <c r="I40" s="261">
        <v>2148257</v>
      </c>
      <c r="J40" s="262">
        <f t="shared" si="3"/>
        <v>81.682775665399234</v>
      </c>
      <c r="K40" s="263">
        <v>224.95566299999999</v>
      </c>
      <c r="L40" s="302">
        <f t="shared" si="4"/>
        <v>2006</v>
      </c>
      <c r="M40" s="302" t="str">
        <f t="shared" si="5"/>
        <v>4</v>
      </c>
      <c r="N40" s="284">
        <f t="shared" si="6"/>
        <v>2.7540159007511673</v>
      </c>
      <c r="O40" s="71"/>
      <c r="Q40" s="1248">
        <v>2.9664428750322251</v>
      </c>
      <c r="R40" s="948"/>
      <c r="Z40" s="1889">
        <f>LARGE(B$9:B$739,6)</f>
        <v>43344</v>
      </c>
      <c r="AA40" s="1413">
        <f t="shared" si="9"/>
        <v>128248</v>
      </c>
      <c r="AB40" s="535">
        <f t="shared" si="10"/>
        <v>98.743038662887543</v>
      </c>
      <c r="AD40" s="390" t="str">
        <f>IFERROR(IF(YEAR(MAX('Data - Monthly Commodity Prices'!$C$9:$C4986))=VALUE(RIGHT(AD39,4)),"",IF($AE$33="Calendar Year",AD39+1,CONCATENATE(LEFT(AD39,4)+1,"-",RIGHT(AD39,4)+1))),"")</f>
        <v>2002-2003</v>
      </c>
      <c r="AE40" s="397">
        <f t="shared" si="11"/>
        <v>8198185.7048797477</v>
      </c>
      <c r="AF40" s="1186">
        <f t="shared" si="12"/>
        <v>423.08196607087405</v>
      </c>
      <c r="AG40" s="1188">
        <f t="shared" si="13"/>
        <v>3130.828043</v>
      </c>
      <c r="AH40" s="397">
        <f t="shared" si="14"/>
        <v>807063</v>
      </c>
      <c r="AI40" s="1186">
        <f t="shared" si="15"/>
        <v>39.805912862219998</v>
      </c>
      <c r="AJ40" s="1188">
        <f t="shared" si="16"/>
        <v>393.863203</v>
      </c>
      <c r="AK40" s="397">
        <f t="shared" si="17"/>
        <v>8120105</v>
      </c>
      <c r="AL40" s="1186">
        <f t="shared" si="18"/>
        <v>308.74923954372622</v>
      </c>
      <c r="AM40" s="1188">
        <f t="shared" si="19"/>
        <v>661.92054399999995</v>
      </c>
    </row>
    <row r="41" spans="1:39">
      <c r="A41" s="1015">
        <f t="shared" si="0"/>
        <v>20071</v>
      </c>
      <c r="B41" s="257">
        <v>39142</v>
      </c>
      <c r="C41" s="258">
        <v>3029400</v>
      </c>
      <c r="D41" s="259">
        <f t="shared" si="1"/>
        <v>156.33757933199999</v>
      </c>
      <c r="E41" s="260">
        <v>1124.2681843924527</v>
      </c>
      <c r="F41" s="258">
        <v>230580</v>
      </c>
      <c r="G41" s="259">
        <f t="shared" si="2"/>
        <v>11.372652925200001</v>
      </c>
      <c r="H41" s="260">
        <v>168.17121464226287</v>
      </c>
      <c r="I41" s="258">
        <v>2217246</v>
      </c>
      <c r="J41" s="259">
        <f t="shared" si="3"/>
        <v>84.305931558935356</v>
      </c>
      <c r="K41" s="260">
        <v>236.06044</v>
      </c>
      <c r="L41" s="302">
        <f t="shared" si="4"/>
        <v>2007</v>
      </c>
      <c r="M41" s="302" t="str">
        <f t="shared" si="5"/>
        <v>1</v>
      </c>
      <c r="N41" s="292">
        <f t="shared" si="6"/>
        <v>2.8000454491743363</v>
      </c>
      <c r="O41" s="71"/>
      <c r="Q41" s="1248">
        <v>2.9547749022260903</v>
      </c>
      <c r="R41" s="948"/>
      <c r="Z41" s="1888">
        <f>LARGE(B$9:B$739,5)</f>
        <v>43435</v>
      </c>
      <c r="AA41" s="1412">
        <f t="shared" si="9"/>
        <v>113712</v>
      </c>
      <c r="AB41" s="522">
        <f t="shared" si="10"/>
        <v>83.237183999999999</v>
      </c>
      <c r="AD41" s="390" t="str">
        <f>IFERROR(IF(YEAR(MAX('Data - Monthly Commodity Prices'!$C$9:$C4987))=VALUE(RIGHT(AD40,4)),"",IF($AE$33="Calendar Year",AD40+1,CONCATENATE(LEFT(AD40,4)+1,"-",RIGHT(AD40,4)+1))),"")</f>
        <v>2003-2004</v>
      </c>
      <c r="AE41" s="398">
        <f t="shared" si="11"/>
        <v>8220764.5200752914</v>
      </c>
      <c r="AF41" s="1187">
        <f t="shared" si="12"/>
        <v>424.24718601933114</v>
      </c>
      <c r="AG41" s="511">
        <f t="shared" si="13"/>
        <v>2775.8814919999995</v>
      </c>
      <c r="AH41" s="398">
        <f t="shared" si="14"/>
        <v>695262</v>
      </c>
      <c r="AI41" s="1187">
        <f t="shared" si="15"/>
        <v>34.291670648279997</v>
      </c>
      <c r="AJ41" s="511">
        <f t="shared" si="16"/>
        <v>282.15068200000002</v>
      </c>
      <c r="AK41" s="398">
        <f t="shared" si="17"/>
        <v>8060810</v>
      </c>
      <c r="AL41" s="1187">
        <f t="shared" si="18"/>
        <v>306.4946768060837</v>
      </c>
      <c r="AM41" s="511">
        <f t="shared" si="19"/>
        <v>681.04365699999994</v>
      </c>
    </row>
    <row r="42" spans="1:39">
      <c r="A42" s="1015">
        <f t="shared" si="0"/>
        <v>20072</v>
      </c>
      <c r="B42" s="257">
        <v>39234</v>
      </c>
      <c r="C42" s="261">
        <v>3009279</v>
      </c>
      <c r="D42" s="262">
        <f t="shared" si="1"/>
        <v>155.29919931162001</v>
      </c>
      <c r="E42" s="263">
        <v>1005.9778949852993</v>
      </c>
      <c r="F42" s="261">
        <v>199654</v>
      </c>
      <c r="G42" s="262">
        <f t="shared" si="2"/>
        <v>9.847322608759999</v>
      </c>
      <c r="H42" s="263">
        <v>144.33223682367117</v>
      </c>
      <c r="I42" s="261">
        <v>2238213</v>
      </c>
      <c r="J42" s="262">
        <f t="shared" si="3"/>
        <v>85.103155893536126</v>
      </c>
      <c r="K42" s="263">
        <v>237.924226</v>
      </c>
      <c r="L42" s="302">
        <f t="shared" si="4"/>
        <v>2007</v>
      </c>
      <c r="M42" s="302" t="str">
        <f t="shared" si="5"/>
        <v>2</v>
      </c>
      <c r="N42" s="284">
        <f t="shared" si="6"/>
        <v>2.7957156641481395</v>
      </c>
      <c r="O42" s="71"/>
      <c r="Q42" s="1248">
        <v>2.9704682112793726</v>
      </c>
      <c r="R42" s="948"/>
      <c r="Z42" s="1889">
        <f>LARGE(B$9:B$739,4)</f>
        <v>43525</v>
      </c>
      <c r="AA42" s="1413">
        <f t="shared" si="9"/>
        <v>92520</v>
      </c>
      <c r="AB42" s="535">
        <f t="shared" si="10"/>
        <v>65.49929301295073</v>
      </c>
      <c r="AD42" s="390" t="str">
        <f>IFERROR(IF(YEAR(MAX('Data - Monthly Commodity Prices'!$C$9:$C4988))=VALUE(RIGHT(AD41,4)),"",IF($AE$33="Calendar Year",AD41+1,CONCATENATE(LEFT(AD41,4)+1,"-",RIGHT(AD41,4)+1))),"")</f>
        <v>2004-2005</v>
      </c>
      <c r="AE42" s="397">
        <f t="shared" si="11"/>
        <v>10929023.235157391</v>
      </c>
      <c r="AF42" s="1186">
        <f t="shared" si="12"/>
        <v>564.01169771165564</v>
      </c>
      <c r="AG42" s="1188">
        <f t="shared" si="13"/>
        <v>3794.8053936174865</v>
      </c>
      <c r="AH42" s="397">
        <f t="shared" si="14"/>
        <v>764186</v>
      </c>
      <c r="AI42" s="1186">
        <f t="shared" si="15"/>
        <v>37.691136040839993</v>
      </c>
      <c r="AJ42" s="1188">
        <f t="shared" si="16"/>
        <v>403.50175331283003</v>
      </c>
      <c r="AK42" s="397">
        <f t="shared" si="17"/>
        <v>7642801</v>
      </c>
      <c r="AL42" s="1186">
        <f t="shared" si="18"/>
        <v>290.60079847908742</v>
      </c>
      <c r="AM42" s="1188">
        <f t="shared" si="19"/>
        <v>678.72297100000003</v>
      </c>
    </row>
    <row r="43" spans="1:39">
      <c r="A43" s="1015">
        <f t="shared" si="0"/>
        <v>20073</v>
      </c>
      <c r="B43" s="257">
        <v>39326</v>
      </c>
      <c r="C43" s="258">
        <v>3100492</v>
      </c>
      <c r="D43" s="259">
        <f t="shared" si="1"/>
        <v>160.00640853575999</v>
      </c>
      <c r="E43" s="260">
        <v>1044.8234946183363</v>
      </c>
      <c r="F43" s="258">
        <v>234784</v>
      </c>
      <c r="G43" s="259">
        <f t="shared" si="2"/>
        <v>11.58000236096</v>
      </c>
      <c r="H43" s="260">
        <v>162.74337660861909</v>
      </c>
      <c r="I43" s="258">
        <v>2346730</v>
      </c>
      <c r="J43" s="259">
        <f t="shared" si="3"/>
        <v>89.22927756653992</v>
      </c>
      <c r="K43" s="260">
        <v>261.01907199999999</v>
      </c>
      <c r="L43" s="302">
        <f t="shared" si="4"/>
        <v>2007</v>
      </c>
      <c r="M43" s="302" t="str">
        <f t="shared" si="5"/>
        <v>3</v>
      </c>
      <c r="N43" s="292">
        <f t="shared" si="6"/>
        <v>2.925262639332177</v>
      </c>
      <c r="O43" s="71"/>
      <c r="Q43" s="1248">
        <v>3.0953852982986909</v>
      </c>
      <c r="R43" s="948"/>
      <c r="Z43" s="1888">
        <f>LARGE(B$9:B$739,3)</f>
        <v>43617</v>
      </c>
      <c r="AA43" s="1412">
        <f t="shared" si="9"/>
        <v>112749</v>
      </c>
      <c r="AB43" s="522">
        <f t="shared" si="10"/>
        <v>80.156224617098388</v>
      </c>
      <c r="AD43" s="390" t="str">
        <f>IFERROR(IF(YEAR(MAX('Data - Monthly Commodity Prices'!$C$9:$C4989))=VALUE(RIGHT(AD42,4)),"",IF($AE$33="Calendar Year",AD42+1,CONCATENATE(LEFT(AD42,4)+1,"-",RIGHT(AD42,4)+1))),"")</f>
        <v>2005-2006</v>
      </c>
      <c r="AE43" s="398">
        <f t="shared" si="11"/>
        <v>11679836</v>
      </c>
      <c r="AF43" s="1187">
        <f t="shared" si="12"/>
        <v>602.75872688807999</v>
      </c>
      <c r="AG43" s="511">
        <f t="shared" si="13"/>
        <v>4648.9595326157496</v>
      </c>
      <c r="AH43" s="398">
        <f t="shared" si="14"/>
        <v>871983</v>
      </c>
      <c r="AI43" s="1187">
        <f t="shared" si="15"/>
        <v>43.007893207020004</v>
      </c>
      <c r="AJ43" s="511">
        <f t="shared" si="16"/>
        <v>654.42383439349908</v>
      </c>
      <c r="AK43" s="398">
        <f t="shared" si="17"/>
        <v>7713414</v>
      </c>
      <c r="AL43" s="1187">
        <f t="shared" si="18"/>
        <v>293.28570342205319</v>
      </c>
      <c r="AM43" s="511">
        <f t="shared" si="19"/>
        <v>700.98281099999997</v>
      </c>
    </row>
    <row r="44" spans="1:39">
      <c r="A44" s="1015">
        <f t="shared" si="0"/>
        <v>20074</v>
      </c>
      <c r="B44" s="257">
        <v>39417</v>
      </c>
      <c r="C44" s="261">
        <v>3236560</v>
      </c>
      <c r="D44" s="262">
        <f t="shared" si="1"/>
        <v>167.02843987680001</v>
      </c>
      <c r="E44" s="263">
        <v>1273.5055454297612</v>
      </c>
      <c r="F44" s="261">
        <v>228896</v>
      </c>
      <c r="G44" s="262">
        <f t="shared" si="2"/>
        <v>11.28959477824</v>
      </c>
      <c r="H44" s="263">
        <v>211.39005874378671</v>
      </c>
      <c r="I44" s="261">
        <v>2371887</v>
      </c>
      <c r="J44" s="262">
        <f t="shared" si="3"/>
        <v>90.185817490494301</v>
      </c>
      <c r="K44" s="263">
        <v>267.46210100000002</v>
      </c>
      <c r="L44" s="302">
        <f t="shared" si="4"/>
        <v>2007</v>
      </c>
      <c r="M44" s="302" t="str">
        <f t="shared" si="5"/>
        <v>4</v>
      </c>
      <c r="N44" s="284">
        <f t="shared" si="6"/>
        <v>2.9656780682637915</v>
      </c>
      <c r="O44" s="71"/>
      <c r="Q44" s="1248">
        <v>3.1412714938907413</v>
      </c>
      <c r="R44" s="948"/>
      <c r="Z44" s="1889">
        <f>LARGE(B$9:B$739,2)</f>
        <v>43709</v>
      </c>
      <c r="AA44" s="1413">
        <f t="shared" si="9"/>
        <v>103868</v>
      </c>
      <c r="AB44" s="535">
        <f t="shared" si="10"/>
        <v>54.842303999999999</v>
      </c>
      <c r="AD44" s="390" t="str">
        <f>IFERROR(IF(YEAR(MAX('Data - Monthly Commodity Prices'!$C$9:$C4990))=VALUE(RIGHT(AD43,4)),"",IF($AE$33="Calendar Year",AD43+1,CONCATENATE(LEFT(AD43,4)+1,"-",RIGHT(AD43,4)+1))),"")</f>
        <v>2006-2007</v>
      </c>
      <c r="AE44" s="397">
        <f t="shared" si="11"/>
        <v>12211051</v>
      </c>
      <c r="AF44" s="1186">
        <f t="shared" si="12"/>
        <v>630.17302252577997</v>
      </c>
      <c r="AG44" s="1188">
        <f t="shared" si="13"/>
        <v>4434.3593540799166</v>
      </c>
      <c r="AH44" s="397">
        <f t="shared" si="14"/>
        <v>898606</v>
      </c>
      <c r="AI44" s="1186">
        <f t="shared" si="15"/>
        <v>44.320991215639992</v>
      </c>
      <c r="AJ44" s="1188">
        <f t="shared" si="16"/>
        <v>605.08472742592244</v>
      </c>
      <c r="AK44" s="397">
        <f t="shared" si="17"/>
        <v>8714911</v>
      </c>
      <c r="AL44" s="1186">
        <f t="shared" si="18"/>
        <v>331.36543726235743</v>
      </c>
      <c r="AM44" s="1188">
        <f t="shared" si="19"/>
        <v>918.02203399999996</v>
      </c>
    </row>
    <row r="45" spans="1:39">
      <c r="A45" s="1015">
        <f t="shared" si="0"/>
        <v>20081</v>
      </c>
      <c r="B45" s="257">
        <v>39508</v>
      </c>
      <c r="C45" s="258">
        <v>2840040</v>
      </c>
      <c r="D45" s="259">
        <f t="shared" si="1"/>
        <v>146.56531947120001</v>
      </c>
      <c r="E45" s="260">
        <v>1358.0934923032426</v>
      </c>
      <c r="F45" s="258">
        <v>164520</v>
      </c>
      <c r="G45" s="259">
        <f t="shared" si="2"/>
        <v>8.114445568799999</v>
      </c>
      <c r="H45" s="260">
        <v>141.442818386764</v>
      </c>
      <c r="I45" s="258">
        <v>2273911</v>
      </c>
      <c r="J45" s="259">
        <f t="shared" si="3"/>
        <v>86.460494296577949</v>
      </c>
      <c r="K45" s="260">
        <v>249.61325500000001</v>
      </c>
      <c r="L45" s="302">
        <f t="shared" si="4"/>
        <v>2008</v>
      </c>
      <c r="M45" s="302" t="str">
        <f t="shared" si="5"/>
        <v>1</v>
      </c>
      <c r="N45" s="292">
        <f t="shared" si="6"/>
        <v>2.8870209108887726</v>
      </c>
      <c r="O45" s="71"/>
      <c r="Q45" s="1248">
        <v>3.1097070314078921</v>
      </c>
      <c r="R45" s="948"/>
      <c r="Z45" s="1890">
        <f>LARGE(B$9:B$739,1)</f>
        <v>43800</v>
      </c>
      <c r="AA45" s="1414">
        <f t="shared" si="9"/>
        <v>109112</v>
      </c>
      <c r="AB45" s="524">
        <f t="shared" si="10"/>
        <v>73.742336071813952</v>
      </c>
      <c r="AD45" s="390" t="str">
        <f>IFERROR(IF(YEAR(MAX('Data - Monthly Commodity Prices'!$C$9:$C4991))=VALUE(RIGHT(AD44,4)),"",IF($AE$33="Calendar Year",AD44+1,CONCATENATE(LEFT(AD44,4)+1,"-",RIGHT(AD44,4)+1))),"")</f>
        <v>2007-2008</v>
      </c>
      <c r="AE45" s="398">
        <f t="shared" si="11"/>
        <v>12148060</v>
      </c>
      <c r="AF45" s="1187">
        <f t="shared" si="12"/>
        <v>626.92225984679999</v>
      </c>
      <c r="AG45" s="511">
        <f t="shared" si="13"/>
        <v>5219.6847647091254</v>
      </c>
      <c r="AH45" s="398">
        <f t="shared" si="14"/>
        <v>818390</v>
      </c>
      <c r="AI45" s="1187">
        <f t="shared" si="15"/>
        <v>40.364582476599999</v>
      </c>
      <c r="AJ45" s="511">
        <f t="shared" si="16"/>
        <v>683.35221699510248</v>
      </c>
      <c r="AK45" s="398">
        <f t="shared" si="17"/>
        <v>9159073</v>
      </c>
      <c r="AL45" s="1187">
        <f t="shared" si="18"/>
        <v>348.25372623574145</v>
      </c>
      <c r="AM45" s="511">
        <f t="shared" si="19"/>
        <v>1054.0182279999999</v>
      </c>
    </row>
    <row r="46" spans="1:39">
      <c r="A46" s="1015">
        <f t="shared" si="0"/>
        <v>20082</v>
      </c>
      <c r="B46" s="257">
        <v>39600</v>
      </c>
      <c r="C46" s="261">
        <v>2970968</v>
      </c>
      <c r="D46" s="262">
        <f t="shared" si="1"/>
        <v>153.32209196304001</v>
      </c>
      <c r="E46" s="263">
        <v>1543.2622323577853</v>
      </c>
      <c r="F46" s="261">
        <v>190190</v>
      </c>
      <c r="G46" s="262">
        <f t="shared" si="2"/>
        <v>9.3805397686000003</v>
      </c>
      <c r="H46" s="263">
        <v>167.77596325593262</v>
      </c>
      <c r="I46" s="261">
        <v>2166545</v>
      </c>
      <c r="J46" s="262">
        <f t="shared" si="3"/>
        <v>82.378136882129283</v>
      </c>
      <c r="K46" s="263">
        <v>275.92380000000003</v>
      </c>
      <c r="L46" s="302">
        <f t="shared" si="4"/>
        <v>2008</v>
      </c>
      <c r="M46" s="302" t="str">
        <f t="shared" si="5"/>
        <v>2</v>
      </c>
      <c r="N46" s="284">
        <f t="shared" si="6"/>
        <v>3.3494785199476587</v>
      </c>
      <c r="O46" s="71"/>
      <c r="Q46" s="1248">
        <v>3.6078356293666007</v>
      </c>
      <c r="R46" s="948"/>
      <c r="AD46" s="390" t="str">
        <f>IFERROR(IF(YEAR(MAX('Data - Monthly Commodity Prices'!$C$9:$C4992))=VALUE(RIGHT(AD45,4)),"",IF($AE$33="Calendar Year",AD45+1,CONCATENATE(LEFT(AD45,4)+1,"-",RIGHT(AD45,4)+1))),"")</f>
        <v>2008-2009</v>
      </c>
      <c r="AE46" s="397">
        <f t="shared" si="11"/>
        <v>13943724</v>
      </c>
      <c r="AF46" s="1186">
        <f t="shared" si="12"/>
        <v>719.59069684871997</v>
      </c>
      <c r="AG46" s="1188">
        <f t="shared" si="13"/>
        <v>8517.5038741467542</v>
      </c>
      <c r="AH46" s="397">
        <f t="shared" si="14"/>
        <v>866534</v>
      </c>
      <c r="AI46" s="1186">
        <f t="shared" si="15"/>
        <v>42.739137955959997</v>
      </c>
      <c r="AJ46" s="1188">
        <f t="shared" si="16"/>
        <v>750.82534581660798</v>
      </c>
      <c r="AK46" s="397">
        <f t="shared" si="17"/>
        <v>8598035</v>
      </c>
      <c r="AL46" s="1186">
        <f t="shared" si="18"/>
        <v>326.92148288973385</v>
      </c>
      <c r="AM46" s="1188">
        <f t="shared" si="19"/>
        <v>1232.2089879999999</v>
      </c>
    </row>
    <row r="47" spans="1:39">
      <c r="A47" s="1015">
        <f t="shared" si="0"/>
        <v>20083</v>
      </c>
      <c r="B47" s="257">
        <v>39692</v>
      </c>
      <c r="C47" s="258">
        <v>2939308</v>
      </c>
      <c r="D47" s="259">
        <f t="shared" si="1"/>
        <v>151.68822130824</v>
      </c>
      <c r="E47" s="260">
        <v>1770.7536942865688</v>
      </c>
      <c r="F47" s="258">
        <v>189704</v>
      </c>
      <c r="G47" s="259">
        <f t="shared" si="2"/>
        <v>9.3565693057600008</v>
      </c>
      <c r="H47" s="260">
        <v>190.61439712057589</v>
      </c>
      <c r="I47" s="258">
        <v>1959122</v>
      </c>
      <c r="J47" s="259">
        <f t="shared" si="3"/>
        <v>74.491330798479083</v>
      </c>
      <c r="K47" s="260">
        <v>370.36701599999998</v>
      </c>
      <c r="L47" s="302">
        <f t="shared" si="4"/>
        <v>2008</v>
      </c>
      <c r="M47" s="302" t="str">
        <f t="shared" si="5"/>
        <v>3</v>
      </c>
      <c r="N47" s="292">
        <f t="shared" si="6"/>
        <v>4.9719479036017153</v>
      </c>
      <c r="O47" s="71"/>
      <c r="Q47" s="1248">
        <v>5.3554518075396276</v>
      </c>
      <c r="R47" s="948"/>
      <c r="AD47" s="390" t="str">
        <f>IFERROR(IF(YEAR(MAX('Data - Monthly Commodity Prices'!$C$9:$C4993))=VALUE(RIGHT(AD46,4)),"",IF($AE$33="Calendar Year",AD46+1,CONCATENATE(LEFT(AD46,4)+1,"-",RIGHT(AD46,4)+1))),"")</f>
        <v>2009-2010</v>
      </c>
      <c r="AE47" s="398">
        <f t="shared" si="11"/>
        <v>15717041</v>
      </c>
      <c r="AF47" s="1187">
        <f t="shared" si="12"/>
        <v>811.10587713798009</v>
      </c>
      <c r="AG47" s="511">
        <f t="shared" si="13"/>
        <v>7494.2483203693309</v>
      </c>
      <c r="AH47" s="398">
        <f t="shared" si="14"/>
        <v>987896</v>
      </c>
      <c r="AI47" s="1187">
        <f t="shared" si="15"/>
        <v>48.724947238240006</v>
      </c>
      <c r="AJ47" s="511">
        <f t="shared" si="16"/>
        <v>696.90199219554529</v>
      </c>
      <c r="AK47" s="398">
        <f t="shared" si="17"/>
        <v>9357026</v>
      </c>
      <c r="AL47" s="1187">
        <f t="shared" si="18"/>
        <v>355.78045627376423</v>
      </c>
      <c r="AM47" s="511">
        <f t="shared" si="19"/>
        <v>1320.8017770000001</v>
      </c>
    </row>
    <row r="48" spans="1:39">
      <c r="A48" s="1015">
        <f t="shared" si="0"/>
        <v>20084</v>
      </c>
      <c r="B48" s="257">
        <v>39783</v>
      </c>
      <c r="C48" s="261">
        <v>3630688</v>
      </c>
      <c r="D48" s="262">
        <f t="shared" si="1"/>
        <v>187.36811686464</v>
      </c>
      <c r="E48" s="263">
        <v>3485.3680967492428</v>
      </c>
      <c r="F48" s="261">
        <v>220254</v>
      </c>
      <c r="G48" s="262">
        <f t="shared" si="2"/>
        <v>10.863354572759999</v>
      </c>
      <c r="H48" s="263">
        <v>254.50757043302164</v>
      </c>
      <c r="I48" s="261">
        <v>2102989</v>
      </c>
      <c r="J48" s="262">
        <f t="shared" si="3"/>
        <v>79.961558935361211</v>
      </c>
      <c r="K48" s="263">
        <v>295.53835600000002</v>
      </c>
      <c r="L48" s="302">
        <f t="shared" si="4"/>
        <v>2008</v>
      </c>
      <c r="M48" s="302" t="str">
        <f t="shared" si="5"/>
        <v>4</v>
      </c>
      <c r="N48" s="284">
        <f t="shared" si="6"/>
        <v>3.6960054297954015</v>
      </c>
      <c r="O48" s="71"/>
      <c r="Q48" s="1248">
        <v>3.981091383788494</v>
      </c>
      <c r="R48" s="948"/>
      <c r="AD48" s="390" t="str">
        <f>IFERROR(IF(YEAR(MAX('Data - Monthly Commodity Prices'!$C$9:$C4994))=VALUE(RIGHT(AD47,4)),"",IF($AE$33="Calendar Year",AD47+1,CONCATENATE(LEFT(AD47,4)+1,"-",RIGHT(AD47,4)+1))),"")</f>
        <v>2010-2011</v>
      </c>
      <c r="AE48" s="397">
        <f t="shared" si="11"/>
        <v>17290205.198225208</v>
      </c>
      <c r="AF48" s="1186">
        <f t="shared" si="12"/>
        <v>892.29181581966463</v>
      </c>
      <c r="AG48" s="1188">
        <f t="shared" si="13"/>
        <v>8328.719117976907</v>
      </c>
      <c r="AH48" s="397">
        <f t="shared" si="14"/>
        <v>923763</v>
      </c>
      <c r="AI48" s="1186">
        <f t="shared" si="15"/>
        <v>45.561783260219997</v>
      </c>
      <c r="AJ48" s="1188">
        <f t="shared" si="16"/>
        <v>774.19745900998544</v>
      </c>
      <c r="AK48" s="397">
        <f t="shared" si="17"/>
        <v>8981495</v>
      </c>
      <c r="AL48" s="1186">
        <f t="shared" si="18"/>
        <v>341.50171102661591</v>
      </c>
      <c r="AM48" s="1188">
        <f t="shared" si="19"/>
        <v>1364.5890670000001</v>
      </c>
    </row>
    <row r="49" spans="1:39">
      <c r="A49" s="1015">
        <f t="shared" si="0"/>
        <v>20091</v>
      </c>
      <c r="B49" s="257">
        <v>39873</v>
      </c>
      <c r="C49" s="258">
        <v>3538260</v>
      </c>
      <c r="D49" s="259">
        <f t="shared" si="1"/>
        <v>182.59820540280001</v>
      </c>
      <c r="E49" s="260">
        <v>1930.1242373667289</v>
      </c>
      <c r="F49" s="258">
        <v>218520</v>
      </c>
      <c r="G49" s="259">
        <f t="shared" si="2"/>
        <v>10.7778303288</v>
      </c>
      <c r="H49" s="260">
        <v>149.23570283270979</v>
      </c>
      <c r="I49" s="258">
        <v>2234020</v>
      </c>
      <c r="J49" s="259">
        <f t="shared" si="3"/>
        <v>84.943726235741451</v>
      </c>
      <c r="K49" s="260">
        <v>289.40481799999998</v>
      </c>
      <c r="L49" s="302">
        <f t="shared" si="4"/>
        <v>2009</v>
      </c>
      <c r="M49" s="302" t="str">
        <f t="shared" si="5"/>
        <v>1</v>
      </c>
      <c r="N49" s="292">
        <f t="shared" si="6"/>
        <v>3.4070181616100119</v>
      </c>
      <c r="O49" s="71"/>
      <c r="Q49" s="1248">
        <v>3.6694330902056844</v>
      </c>
      <c r="R49" s="948"/>
      <c r="AD49" s="390" t="str">
        <f>IFERROR(IF(YEAR(MAX('Data - Monthly Commodity Prices'!$C$9:$C4995))=VALUE(RIGHT(AD48,4)),"",IF($AE$33="Calendar Year",AD48+1,CONCATENATE(LEFT(AD48,4)+1,"-",RIGHT(AD48,4)+1))),"")</f>
        <v>2011-2012</v>
      </c>
      <c r="AE49" s="398">
        <f t="shared" si="11"/>
        <v>15610569.721008768</v>
      </c>
      <c r="AF49" s="1187">
        <f t="shared" si="12"/>
        <v>805.61123726676078</v>
      </c>
      <c r="AG49" s="511">
        <f t="shared" si="13"/>
        <v>9495.543132431565</v>
      </c>
      <c r="AH49" s="398">
        <f t="shared" si="14"/>
        <v>835271</v>
      </c>
      <c r="AI49" s="1187">
        <f t="shared" si="15"/>
        <v>41.197186145739998</v>
      </c>
      <c r="AJ49" s="511">
        <f t="shared" si="16"/>
        <v>734.48465328098303</v>
      </c>
      <c r="AK49" s="398">
        <f t="shared" si="17"/>
        <v>9080655</v>
      </c>
      <c r="AL49" s="1187">
        <f t="shared" si="18"/>
        <v>345.27205323193914</v>
      </c>
      <c r="AM49" s="511">
        <f t="shared" si="19"/>
        <v>1449.8102289999999</v>
      </c>
    </row>
    <row r="50" spans="1:39">
      <c r="A50" s="1015">
        <f t="shared" si="0"/>
        <v>20092</v>
      </c>
      <c r="B50" s="257">
        <v>39965</v>
      </c>
      <c r="C50" s="261">
        <v>3835468</v>
      </c>
      <c r="D50" s="262">
        <f t="shared" si="1"/>
        <v>197.93615327303999</v>
      </c>
      <c r="E50" s="263">
        <v>1331.2578457442125</v>
      </c>
      <c r="F50" s="261">
        <v>238056</v>
      </c>
      <c r="G50" s="262">
        <f t="shared" si="2"/>
        <v>11.741383748639999</v>
      </c>
      <c r="H50" s="263">
        <v>156.46767543030072</v>
      </c>
      <c r="I50" s="261">
        <v>2301904</v>
      </c>
      <c r="J50" s="262">
        <f t="shared" si="3"/>
        <v>87.524866920152093</v>
      </c>
      <c r="K50" s="263">
        <v>276.898798</v>
      </c>
      <c r="L50" s="302">
        <f t="shared" si="4"/>
        <v>2009</v>
      </c>
      <c r="M50" s="302" t="str">
        <f t="shared" si="5"/>
        <v>2</v>
      </c>
      <c r="N50" s="284">
        <f t="shared" si="6"/>
        <v>3.1636586006193133</v>
      </c>
      <c r="O50" s="71"/>
      <c r="Q50" s="1248">
        <v>3.4076827632991673</v>
      </c>
      <c r="R50" s="948"/>
      <c r="AD50" s="390" t="str">
        <f>IFERROR(IF(YEAR(MAX('Data - Monthly Commodity Prices'!$C$9:$C4996))=VALUE(RIGHT(AD49,4)),"",IF($AE$33="Calendar Year",AD49+1,CONCATENATE(LEFT(AD49,4)+1,"-",RIGHT(AD49,4)+1))),"")</f>
        <v>2012-2013</v>
      </c>
      <c r="AE50" s="397">
        <f t="shared" si="11"/>
        <v>19804919</v>
      </c>
      <c r="AF50" s="1186">
        <f t="shared" si="12"/>
        <v>1022.0680977508201</v>
      </c>
      <c r="AG50" s="1188">
        <f t="shared" si="13"/>
        <v>12147.214397231801</v>
      </c>
      <c r="AH50" s="397">
        <f t="shared" si="14"/>
        <v>752910</v>
      </c>
      <c r="AI50" s="1186">
        <f t="shared" si="15"/>
        <v>37.134981845399999</v>
      </c>
      <c r="AJ50" s="1188">
        <f t="shared" si="16"/>
        <v>634.05263491956657</v>
      </c>
      <c r="AK50" s="397">
        <f t="shared" si="17"/>
        <v>8713949</v>
      </c>
      <c r="AL50" s="1186">
        <f t="shared" si="18"/>
        <v>331.32885931558934</v>
      </c>
      <c r="AM50" s="1188">
        <f t="shared" si="19"/>
        <v>1434.5507720000001</v>
      </c>
    </row>
    <row r="51" spans="1:39">
      <c r="A51" s="1015">
        <f t="shared" si="0"/>
        <v>20093</v>
      </c>
      <c r="B51" s="257">
        <v>40057</v>
      </c>
      <c r="C51" s="258">
        <v>3816160</v>
      </c>
      <c r="D51" s="259">
        <f t="shared" si="1"/>
        <v>196.93972956479999</v>
      </c>
      <c r="E51" s="260">
        <v>1403.95057207019</v>
      </c>
      <c r="F51" s="258">
        <v>240488</v>
      </c>
      <c r="G51" s="259">
        <f t="shared" si="2"/>
        <v>11.861334706720001</v>
      </c>
      <c r="H51" s="260">
        <v>148.21523542469916</v>
      </c>
      <c r="I51" s="258">
        <v>2462220</v>
      </c>
      <c r="J51" s="259">
        <f t="shared" si="3"/>
        <v>93.620532319391629</v>
      </c>
      <c r="K51" s="260">
        <v>297.41039699999999</v>
      </c>
      <c r="L51" s="302">
        <f t="shared" si="4"/>
        <v>2009</v>
      </c>
      <c r="M51" s="302" t="str">
        <f t="shared" si="5"/>
        <v>3</v>
      </c>
      <c r="N51" s="292">
        <f t="shared" si="6"/>
        <v>3.1767646437361408</v>
      </c>
      <c r="O51" s="71"/>
      <c r="Q51" s="1248">
        <v>3.4217997218153369</v>
      </c>
      <c r="R51" s="948"/>
      <c r="AD51" s="390" t="str">
        <f>IFERROR(IF(YEAR(MAX('Data - Monthly Commodity Prices'!$C$9:$C4997))=VALUE(RIGHT(AD50,4)),"",IF($AE$33="Calendar Year",AD50+1,CONCATENATE(LEFT(AD50,4)+1,"-",RIGHT(AD50,4)+1))),"")</f>
        <v>2013-2014</v>
      </c>
      <c r="AE51" s="398">
        <f t="shared" si="11"/>
        <v>19826065</v>
      </c>
      <c r="AF51" s="1187">
        <f t="shared" si="12"/>
        <v>1023.1593747207</v>
      </c>
      <c r="AG51" s="511">
        <f t="shared" si="13"/>
        <v>14651.522773511284</v>
      </c>
      <c r="AH51" s="398">
        <f t="shared" si="14"/>
        <v>389533</v>
      </c>
      <c r="AI51" s="1187">
        <f t="shared" si="15"/>
        <v>19.212523254020002</v>
      </c>
      <c r="AJ51" s="511">
        <f t="shared" si="16"/>
        <v>353.54133375915876</v>
      </c>
      <c r="AK51" s="398">
        <f t="shared" si="17"/>
        <v>8217579.29</v>
      </c>
      <c r="AL51" s="1187">
        <f t="shared" si="18"/>
        <v>312.45548631178707</v>
      </c>
      <c r="AM51" s="511">
        <f t="shared" si="19"/>
        <v>1446.9357105200002</v>
      </c>
    </row>
    <row r="52" spans="1:39">
      <c r="A52" s="1015">
        <f t="shared" si="0"/>
        <v>20094</v>
      </c>
      <c r="B52" s="257">
        <v>40148</v>
      </c>
      <c r="C52" s="261">
        <v>4062628</v>
      </c>
      <c r="D52" s="262">
        <f t="shared" si="1"/>
        <v>209.65914941784001</v>
      </c>
      <c r="E52" s="263">
        <v>1655.4123355938166</v>
      </c>
      <c r="F52" s="261">
        <v>253460</v>
      </c>
      <c r="G52" s="262">
        <f t="shared" si="2"/>
        <v>12.5011389124</v>
      </c>
      <c r="H52" s="263">
        <v>158.85835245145574</v>
      </c>
      <c r="I52" s="261">
        <v>2314271</v>
      </c>
      <c r="J52" s="262">
        <f t="shared" si="3"/>
        <v>87.99509505703422</v>
      </c>
      <c r="K52" s="263">
        <v>292.52132899999998</v>
      </c>
      <c r="L52" s="302">
        <f t="shared" si="4"/>
        <v>2009</v>
      </c>
      <c r="M52" s="302" t="str">
        <f t="shared" si="5"/>
        <v>4</v>
      </c>
      <c r="N52" s="284">
        <f t="shared" si="6"/>
        <v>3.3242913006730843</v>
      </c>
      <c r="O52" s="71"/>
      <c r="Q52" s="1248">
        <v>3.5807056309019756</v>
      </c>
      <c r="R52" s="948"/>
      <c r="AD52" s="390" t="str">
        <f>IFERROR(IF(YEAR(MAX('Data - Monthly Commodity Prices'!$C$9:$C4998))=VALUE(RIGHT(AD51,4)),"",IF($AE$33="Calendar Year",AD51+1,CONCATENATE(LEFT(AD51,4)+1,"-",RIGHT(AD51,4)+1))),"")</f>
        <v>2014-2015</v>
      </c>
      <c r="AE52" s="397">
        <f t="shared" si="11"/>
        <v>20447845</v>
      </c>
      <c r="AF52" s="1186">
        <f t="shared" si="12"/>
        <v>1055.24748585928</v>
      </c>
      <c r="AG52" s="1188">
        <f t="shared" si="13"/>
        <v>13817.042486841992</v>
      </c>
      <c r="AH52" s="397">
        <f t="shared" si="14"/>
        <v>553055</v>
      </c>
      <c r="AI52" s="1186">
        <f t="shared" si="15"/>
        <v>27.277745526699995</v>
      </c>
      <c r="AJ52" s="1188">
        <f t="shared" si="16"/>
        <v>405.56551587200266</v>
      </c>
      <c r="AK52" s="397">
        <f t="shared" si="17"/>
        <v>9875338.7119999994</v>
      </c>
      <c r="AL52" s="1186">
        <f t="shared" si="18"/>
        <v>375.48816395437268</v>
      </c>
      <c r="AM52" s="1188">
        <f t="shared" si="19"/>
        <v>1820.1970551041886</v>
      </c>
    </row>
    <row r="53" spans="1:39">
      <c r="A53" s="1015">
        <f t="shared" si="0"/>
        <v>20101</v>
      </c>
      <c r="B53" s="257">
        <v>40238</v>
      </c>
      <c r="C53" s="258">
        <v>4122450</v>
      </c>
      <c r="D53" s="259">
        <f t="shared" si="1"/>
        <v>212.746370211</v>
      </c>
      <c r="E53" s="260">
        <v>1980.7299442502526</v>
      </c>
      <c r="F53" s="258">
        <v>240488</v>
      </c>
      <c r="G53" s="259">
        <f t="shared" si="2"/>
        <v>11.861334706720001</v>
      </c>
      <c r="H53" s="260">
        <v>193.55883149789358</v>
      </c>
      <c r="I53" s="258">
        <v>2306420</v>
      </c>
      <c r="J53" s="259">
        <f t="shared" si="3"/>
        <v>87.696577946768059</v>
      </c>
      <c r="K53" s="260">
        <v>408.50648100000001</v>
      </c>
      <c r="L53" s="302">
        <f t="shared" si="4"/>
        <v>2010</v>
      </c>
      <c r="M53" s="302" t="str">
        <f t="shared" si="5"/>
        <v>1</v>
      </c>
      <c r="N53" s="292">
        <f t="shared" si="6"/>
        <v>4.6581804052600999</v>
      </c>
      <c r="O53" s="71"/>
      <c r="P53" s="948"/>
      <c r="Q53" s="1248">
        <v>5.0174823137475633</v>
      </c>
      <c r="R53" s="948"/>
      <c r="AD53" s="390" t="str">
        <f>IFERROR(IF(YEAR(MAX('Data - Monthly Commodity Prices'!$C$9:$C4999))=VALUE(RIGHT(AD52,4)),"",IF($AE$33="Calendar Year",AD52+1,CONCATENATE(LEFT(AD52,4)+1,"-",RIGHT(AD52,4)+1))),"")</f>
        <v>2015-2016</v>
      </c>
      <c r="AE53" s="398">
        <f t="shared" si="11"/>
        <v>20955641</v>
      </c>
      <c r="AF53" s="1187">
        <f t="shared" si="12"/>
        <v>1081.4531978484599</v>
      </c>
      <c r="AG53" s="511">
        <f t="shared" si="13"/>
        <v>10764.545352932773</v>
      </c>
      <c r="AH53" s="398">
        <f t="shared" si="14"/>
        <v>531595</v>
      </c>
      <c r="AI53" s="1187">
        <f t="shared" si="15"/>
        <v>26.219296694299999</v>
      </c>
      <c r="AJ53" s="511">
        <f t="shared" si="16"/>
        <v>249.05907252354484</v>
      </c>
      <c r="AK53" s="398">
        <f t="shared" si="17"/>
        <v>10223641.3040339</v>
      </c>
      <c r="AL53" s="1187">
        <f t="shared" si="18"/>
        <v>388.73160851839924</v>
      </c>
      <c r="AM53" s="511">
        <f t="shared" si="19"/>
        <v>1913.134893772321</v>
      </c>
    </row>
    <row r="54" spans="1:39">
      <c r="A54" s="1015">
        <f t="shared" si="0"/>
        <v>20102</v>
      </c>
      <c r="B54" s="257">
        <v>40330</v>
      </c>
      <c r="C54" s="261">
        <v>3715803</v>
      </c>
      <c r="D54" s="262">
        <f t="shared" si="1"/>
        <v>191.76062794434</v>
      </c>
      <c r="E54" s="263">
        <v>2454.155468455072</v>
      </c>
      <c r="F54" s="261">
        <v>253460</v>
      </c>
      <c r="G54" s="262">
        <f t="shared" si="2"/>
        <v>12.5011389124</v>
      </c>
      <c r="H54" s="263">
        <v>196.26957282149678</v>
      </c>
      <c r="I54" s="261">
        <v>2274115</v>
      </c>
      <c r="J54" s="262">
        <f t="shared" si="3"/>
        <v>86.468250950570336</v>
      </c>
      <c r="K54" s="263">
        <v>322.36356999999998</v>
      </c>
      <c r="L54" s="302">
        <f t="shared" si="4"/>
        <v>2010</v>
      </c>
      <c r="M54" s="302" t="str">
        <f t="shared" si="5"/>
        <v>2</v>
      </c>
      <c r="N54" s="284">
        <f t="shared" si="6"/>
        <v>3.7281148451155723</v>
      </c>
      <c r="O54" s="71"/>
      <c r="P54" s="71"/>
      <c r="Q54" s="1248"/>
      <c r="R54" s="1006"/>
      <c r="AD54" s="390" t="str">
        <f>IFERROR(IF(YEAR(MAX('Data - Monthly Commodity Prices'!$C$9:$C5000))=VALUE(RIGHT(AD53,4)),"",IF($AE$33="Calendar Year",AD53+1,CONCATENATE(LEFT(AD53,4)+1,"-",RIGHT(AD53,4)+1))),"")</f>
        <v>2016-2017</v>
      </c>
      <c r="AE54" s="397">
        <f t="shared" si="11"/>
        <v>28685476.682250001</v>
      </c>
      <c r="AF54" s="1186">
        <f t="shared" si="12"/>
        <v>1480.3650843360053</v>
      </c>
      <c r="AG54" s="1188">
        <f t="shared" si="13"/>
        <v>12728.310038069867</v>
      </c>
      <c r="AH54" s="397">
        <f t="shared" si="14"/>
        <v>527391</v>
      </c>
      <c r="AI54" s="1186">
        <f t="shared" si="15"/>
        <v>26.011947258540001</v>
      </c>
      <c r="AJ54" s="1188">
        <f t="shared" si="16"/>
        <v>273.09730820693613</v>
      </c>
      <c r="AK54" s="397">
        <f t="shared" si="17"/>
        <v>9708933.994332375</v>
      </c>
      <c r="AL54" s="1186">
        <f t="shared" si="18"/>
        <v>369.16098837765685</v>
      </c>
      <c r="AM54" s="1188">
        <f t="shared" si="19"/>
        <v>1830.0129040416118</v>
      </c>
    </row>
    <row r="55" spans="1:39">
      <c r="A55" s="1015">
        <f t="shared" si="0"/>
        <v>20103</v>
      </c>
      <c r="B55" s="257">
        <v>40422</v>
      </c>
      <c r="C55" s="258">
        <v>4293548</v>
      </c>
      <c r="D55" s="259">
        <f t="shared" si="1"/>
        <v>221.57618705544002</v>
      </c>
      <c r="E55" s="260">
        <v>2230.0945024886864</v>
      </c>
      <c r="F55" s="258">
        <v>255760</v>
      </c>
      <c r="G55" s="259">
        <f t="shared" si="2"/>
        <v>12.6145793744</v>
      </c>
      <c r="H55" s="260">
        <v>179.52403018763414</v>
      </c>
      <c r="I55" s="258">
        <v>2356434</v>
      </c>
      <c r="J55" s="259">
        <f t="shared" si="3"/>
        <v>89.598250950570346</v>
      </c>
      <c r="K55" s="260">
        <v>337.33160199999998</v>
      </c>
      <c r="L55" s="302">
        <f t="shared" si="4"/>
        <v>2010</v>
      </c>
      <c r="M55" s="302" t="str">
        <f t="shared" si="5"/>
        <v>3</v>
      </c>
      <c r="N55" s="292">
        <f t="shared" si="6"/>
        <v>3.764935123411052</v>
      </c>
      <c r="O55" s="71"/>
      <c r="P55" s="71"/>
      <c r="Q55" s="1248"/>
      <c r="R55" s="1006"/>
      <c r="AD55" s="390" t="str">
        <f>IFERROR(IF(YEAR(MAX('Data - Monthly Commodity Prices'!$C$9:$C5001))=VALUE(RIGHT(AD54,4)),"",IF($AE$33="Calendar Year",AD54+1,CONCATENATE(LEFT(AD54,4)+1,"-",RIGHT(AD54,4)+1))),"")</f>
        <v>2017-2018</v>
      </c>
      <c r="AE55" s="398">
        <f t="shared" si="11"/>
        <v>37893516.660594463</v>
      </c>
      <c r="AF55" s="1187">
        <f t="shared" si="12"/>
        <v>1955.5623777296332</v>
      </c>
      <c r="AG55" s="511">
        <f t="shared" si="13"/>
        <v>18920.841692784386</v>
      </c>
      <c r="AH55" s="398">
        <f t="shared" si="14"/>
        <v>451242</v>
      </c>
      <c r="AI55" s="1187">
        <f t="shared" si="15"/>
        <v>22.256130849479998</v>
      </c>
      <c r="AJ55" s="511">
        <f t="shared" si="16"/>
        <v>331.27141026354462</v>
      </c>
      <c r="AK55" s="398">
        <f t="shared" si="17"/>
        <v>10174919.539409887</v>
      </c>
      <c r="AL55" s="1187">
        <f t="shared" si="18"/>
        <v>386.87906993953948</v>
      </c>
      <c r="AM55" s="511">
        <f t="shared" si="19"/>
        <v>1657.3186638748634</v>
      </c>
    </row>
    <row r="56" spans="1:39">
      <c r="A56" s="1015">
        <f t="shared" si="0"/>
        <v>20104</v>
      </c>
      <c r="B56" s="257">
        <v>40513</v>
      </c>
      <c r="C56" s="261">
        <v>4395392</v>
      </c>
      <c r="D56" s="262">
        <f t="shared" si="1"/>
        <v>226.83202795776</v>
      </c>
      <c r="E56" s="263">
        <v>2089.7025584882199</v>
      </c>
      <c r="F56" s="261">
        <v>239016</v>
      </c>
      <c r="G56" s="262">
        <f t="shared" si="2"/>
        <v>11.788732811039999</v>
      </c>
      <c r="H56" s="263">
        <v>193.97600050869315</v>
      </c>
      <c r="I56" s="261">
        <v>2289189</v>
      </c>
      <c r="J56" s="262">
        <f>I56/26300</f>
        <v>87.041406844106461</v>
      </c>
      <c r="K56" s="263">
        <v>322.96802600000001</v>
      </c>
      <c r="L56" s="302">
        <f t="shared" si="4"/>
        <v>2010</v>
      </c>
      <c r="M56" s="302" t="str">
        <f t="shared" si="5"/>
        <v>4</v>
      </c>
      <c r="N56" s="284">
        <f t="shared" si="6"/>
        <v>3.7105101779713254</v>
      </c>
      <c r="O56" s="71"/>
      <c r="P56" s="71"/>
      <c r="Q56" s="1248"/>
      <c r="R56" s="1006"/>
      <c r="AD56" s="390" t="str">
        <f>IFERROR(IF(YEAR(MAX('Data - Monthly Commodity Prices'!$C$9:$C5002))=VALUE(RIGHT(AD55,4)),"",IF($AE$33="Calendar Year",AD55+1,CONCATENATE(LEFT(AD55,4)+1,"-",RIGHT(AD55,4)+1))),"")</f>
        <v>2018-2019</v>
      </c>
      <c r="AE56" s="397">
        <f t="shared" si="11"/>
        <v>43635291.099991925</v>
      </c>
      <c r="AF56" s="1186">
        <f t="shared" si="12"/>
        <v>2251.8768680332414</v>
      </c>
      <c r="AG56" s="1188">
        <f t="shared" si="13"/>
        <v>29005.992287212117</v>
      </c>
      <c r="AH56" s="397">
        <f t="shared" si="14"/>
        <v>447229</v>
      </c>
      <c r="AI56" s="1186">
        <f t="shared" si="15"/>
        <v>22.058201904259999</v>
      </c>
      <c r="AJ56" s="1188">
        <f t="shared" si="16"/>
        <v>327.6357402929367</v>
      </c>
      <c r="AK56" s="397">
        <f t="shared" si="17"/>
        <v>10410026.327968743</v>
      </c>
      <c r="AL56" s="1186">
        <f t="shared" si="18"/>
        <v>395.81849155774682</v>
      </c>
      <c r="AM56" s="1188">
        <f t="shared" si="19"/>
        <v>1613.4075732442593</v>
      </c>
    </row>
    <row r="57" spans="1:39">
      <c r="A57" s="1015">
        <f t="shared" si="0"/>
        <v>20111</v>
      </c>
      <c r="B57" s="257">
        <v>40603</v>
      </c>
      <c r="C57" s="258">
        <v>4212461.8979238467</v>
      </c>
      <c r="D57" s="259">
        <f t="shared" si="1"/>
        <v>217.39159442453843</v>
      </c>
      <c r="E57" s="260">
        <v>1909.710272</v>
      </c>
      <c r="F57" s="258">
        <v>228150</v>
      </c>
      <c r="G57" s="259">
        <f t="shared" si="2"/>
        <v>11.252800611</v>
      </c>
      <c r="H57" s="260">
        <v>208.8153857492498</v>
      </c>
      <c r="I57" s="258">
        <v>2179351</v>
      </c>
      <c r="J57" s="259">
        <f t="shared" si="3"/>
        <v>82.865057034220527</v>
      </c>
      <c r="K57" s="260">
        <v>356.78536600000001</v>
      </c>
      <c r="L57" s="302">
        <f t="shared" si="4"/>
        <v>2011</v>
      </c>
      <c r="M57" s="302" t="str">
        <f t="shared" si="5"/>
        <v>1</v>
      </c>
      <c r="N57" s="292">
        <f t="shared" si="6"/>
        <v>4.3056190241039651</v>
      </c>
      <c r="O57" s="71"/>
      <c r="P57" s="71"/>
      <c r="Q57" s="1248"/>
      <c r="R57" s="1006"/>
      <c r="AD57" s="390" t="str">
        <f>IFERROR(IF(YEAR(MAX('Data - Monthly Commodity Prices'!$C$9:$C5003))=VALUE(RIGHT(AD56,4)),"",IF($AE$33="Calendar Year",AD56+1,CONCATENATE(LEFT(AD56,4)+1,"-",RIGHT(AD56,4)+1))),"")</f>
        <v/>
      </c>
      <c r="AE57" s="398" t="str">
        <f t="shared" si="11"/>
        <v/>
      </c>
      <c r="AF57" s="398" t="str">
        <f t="shared" si="12"/>
        <v/>
      </c>
      <c r="AG57" s="352" t="str">
        <f t="shared" si="13"/>
        <v/>
      </c>
      <c r="AH57" s="398" t="str">
        <f t="shared" si="14"/>
        <v/>
      </c>
      <c r="AI57" s="398" t="str">
        <f t="shared" si="15"/>
        <v/>
      </c>
      <c r="AJ57" s="352" t="str">
        <f t="shared" si="16"/>
        <v/>
      </c>
      <c r="AK57" s="398" t="str">
        <f t="shared" si="17"/>
        <v/>
      </c>
      <c r="AL57" s="398" t="str">
        <f t="shared" si="18"/>
        <v/>
      </c>
      <c r="AM57" s="352" t="str">
        <f t="shared" si="19"/>
        <v/>
      </c>
    </row>
    <row r="58" spans="1:39">
      <c r="A58" s="1015">
        <f t="shared" si="0"/>
        <v>20112</v>
      </c>
      <c r="B58" s="257">
        <v>40695</v>
      </c>
      <c r="C58" s="261">
        <v>4388803.3003013609</v>
      </c>
      <c r="D58" s="262">
        <f t="shared" si="1"/>
        <v>226.49200638192627</v>
      </c>
      <c r="E58" s="263">
        <v>2099.211785</v>
      </c>
      <c r="F58" s="261">
        <v>200837</v>
      </c>
      <c r="G58" s="262">
        <f t="shared" si="2"/>
        <v>9.9056704637799982</v>
      </c>
      <c r="H58" s="263">
        <v>191.88204256440841</v>
      </c>
      <c r="I58" s="261">
        <v>2156521</v>
      </c>
      <c r="J58" s="262">
        <f t="shared" si="3"/>
        <v>81.99699619771863</v>
      </c>
      <c r="K58" s="263">
        <v>347.50407300000001</v>
      </c>
      <c r="L58" s="302">
        <f t="shared" si="4"/>
        <v>2011</v>
      </c>
      <c r="M58" s="302" t="str">
        <f t="shared" si="5"/>
        <v>2</v>
      </c>
      <c r="N58" s="284">
        <f t="shared" si="6"/>
        <v>4.2380097944327924</v>
      </c>
      <c r="O58" s="71"/>
      <c r="P58" s="71"/>
      <c r="Q58" s="1248"/>
      <c r="R58" s="1006"/>
      <c r="Z58" s="1972" t="s">
        <v>408</v>
      </c>
      <c r="AA58" s="1972"/>
      <c r="AB58" s="1972"/>
      <c r="AD58" s="390" t="str">
        <f>IFERROR(IF(YEAR(MAX('Data - Monthly Commodity Prices'!$C$9:$C5004))=VALUE(RIGHT(AD57,4)),"",IF($AE$33="Calendar Year",AD57+1,CONCATENATE(LEFT(AD57,4)+1,"-",RIGHT(AD57,4)+1))),"")</f>
        <v/>
      </c>
      <c r="AE58" s="397" t="str">
        <f t="shared" si="11"/>
        <v/>
      </c>
      <c r="AF58" s="397" t="str">
        <f t="shared" si="12"/>
        <v/>
      </c>
      <c r="AG58" s="373" t="str">
        <f t="shared" si="13"/>
        <v/>
      </c>
      <c r="AH58" s="397" t="str">
        <f t="shared" si="14"/>
        <v/>
      </c>
      <c r="AI58" s="397" t="str">
        <f t="shared" si="15"/>
        <v/>
      </c>
      <c r="AJ58" s="373" t="str">
        <f t="shared" si="16"/>
        <v/>
      </c>
      <c r="AK58" s="397" t="str">
        <f t="shared" si="17"/>
        <v/>
      </c>
      <c r="AL58" s="397" t="str">
        <f t="shared" si="18"/>
        <v/>
      </c>
      <c r="AM58" s="373" t="str">
        <f t="shared" si="19"/>
        <v/>
      </c>
    </row>
    <row r="59" spans="1:39">
      <c r="A59" s="1015">
        <f t="shared" si="0"/>
        <v>20113</v>
      </c>
      <c r="B59" s="257">
        <v>40787</v>
      </c>
      <c r="C59" s="258">
        <v>4004613.5082542924</v>
      </c>
      <c r="D59" s="259">
        <f t="shared" si="1"/>
        <v>206.66520830550746</v>
      </c>
      <c r="E59" s="260">
        <v>2259.712493</v>
      </c>
      <c r="F59" s="258">
        <v>231656</v>
      </c>
      <c r="G59" s="259">
        <f t="shared" si="2"/>
        <v>11.425723332640001</v>
      </c>
      <c r="H59" s="260">
        <v>184.7865875884506</v>
      </c>
      <c r="I59" s="258">
        <v>2315170</v>
      </c>
      <c r="J59" s="259">
        <f t="shared" si="3"/>
        <v>88.029277566539918</v>
      </c>
      <c r="K59" s="260">
        <v>366.92107600000003</v>
      </c>
      <c r="L59" s="302">
        <f t="shared" si="4"/>
        <v>2011</v>
      </c>
      <c r="M59" s="302" t="str">
        <f t="shared" si="5"/>
        <v>3</v>
      </c>
      <c r="N59" s="292">
        <f t="shared" si="6"/>
        <v>4.1681709329336512</v>
      </c>
      <c r="O59" s="71"/>
      <c r="P59" s="71"/>
      <c r="Q59" s="1248"/>
      <c r="R59" s="1006"/>
      <c r="Z59" s="2025" t="s">
        <v>51</v>
      </c>
      <c r="AA59" s="2025"/>
      <c r="AB59" s="2025"/>
      <c r="AD59" s="390" t="str">
        <f>IFERROR(IF(YEAR(MAX('Data - Monthly Commodity Prices'!$C$9:$C5005))=VALUE(RIGHT(AD58,4)),"",IF($AE$33="Calendar Year",AD58+1,CONCATENATE(LEFT(AD58,4)+1,"-",RIGHT(AD58,4)+1))),"")</f>
        <v/>
      </c>
      <c r="AE59" s="398" t="str">
        <f t="shared" si="11"/>
        <v/>
      </c>
      <c r="AF59" s="398" t="str">
        <f t="shared" si="12"/>
        <v/>
      </c>
      <c r="AG59" s="352" t="str">
        <f t="shared" si="13"/>
        <v/>
      </c>
      <c r="AH59" s="398" t="str">
        <f t="shared" si="14"/>
        <v/>
      </c>
      <c r="AI59" s="398" t="str">
        <f t="shared" si="15"/>
        <v/>
      </c>
      <c r="AJ59" s="352" t="str">
        <f t="shared" si="16"/>
        <v/>
      </c>
      <c r="AK59" s="398" t="str">
        <f t="shared" si="17"/>
        <v/>
      </c>
      <c r="AL59" s="398" t="str">
        <f t="shared" si="18"/>
        <v/>
      </c>
      <c r="AM59" s="352" t="str">
        <f t="shared" si="19"/>
        <v/>
      </c>
    </row>
    <row r="60" spans="1:39" ht="15.75" thickBot="1">
      <c r="A60" s="1015">
        <f t="shared" si="0"/>
        <v>20114</v>
      </c>
      <c r="B60" s="257">
        <v>40878</v>
      </c>
      <c r="C60" s="261">
        <v>3948221.2127544754</v>
      </c>
      <c r="D60" s="262">
        <f t="shared" si="1"/>
        <v>203.75498351795341</v>
      </c>
      <c r="E60" s="263">
        <v>2283.4367339999999</v>
      </c>
      <c r="F60" s="261">
        <v>200837</v>
      </c>
      <c r="G60" s="262">
        <f t="shared" si="2"/>
        <v>9.9056704637799982</v>
      </c>
      <c r="H60" s="263">
        <v>160.39594404338405</v>
      </c>
      <c r="I60" s="261">
        <v>2218371</v>
      </c>
      <c r="J60" s="262">
        <f t="shared" si="3"/>
        <v>84.348707224334603</v>
      </c>
      <c r="K60" s="263">
        <v>349.91559100000001</v>
      </c>
      <c r="L60" s="302">
        <f t="shared" si="4"/>
        <v>2011</v>
      </c>
      <c r="M60" s="302" t="str">
        <f t="shared" si="5"/>
        <v>4</v>
      </c>
      <c r="N60" s="284">
        <f t="shared" si="6"/>
        <v>4.1484404742488969</v>
      </c>
      <c r="O60" s="71"/>
      <c r="P60" s="71"/>
      <c r="Q60" s="1248"/>
      <c r="R60" s="1006"/>
      <c r="Z60" s="135" t="s">
        <v>6</v>
      </c>
      <c r="AA60" s="136" t="str">
        <f>I8</f>
        <v>Quantity (000 cubic metres)</v>
      </c>
      <c r="AB60" s="137" t="str">
        <f>K8</f>
        <v>Value ($ Million)</v>
      </c>
      <c r="AD60" s="390" t="str">
        <f>IFERROR(IF(YEAR(MAX('Data - Monthly Commodity Prices'!$C$9:$C5006))=VALUE(RIGHT(AD59,4)),"",IF($AE$33="Calendar Year",AD59+1,CONCATENATE(LEFT(AD59,4)+1,"-",RIGHT(AD59,4)+1))),"")</f>
        <v/>
      </c>
      <c r="AE60" s="397" t="str">
        <f t="shared" si="11"/>
        <v/>
      </c>
      <c r="AF60" s="397" t="str">
        <f t="shared" si="12"/>
        <v/>
      </c>
      <c r="AG60" s="373" t="str">
        <f t="shared" si="13"/>
        <v/>
      </c>
      <c r="AH60" s="397" t="str">
        <f t="shared" si="14"/>
        <v/>
      </c>
      <c r="AI60" s="397" t="str">
        <f t="shared" si="15"/>
        <v/>
      </c>
      <c r="AJ60" s="373" t="str">
        <f t="shared" si="16"/>
        <v/>
      </c>
      <c r="AK60" s="397" t="str">
        <f t="shared" si="17"/>
        <v/>
      </c>
      <c r="AL60" s="397" t="str">
        <f t="shared" si="18"/>
        <v/>
      </c>
      <c r="AM60" s="373" t="str">
        <f t="shared" si="19"/>
        <v/>
      </c>
    </row>
    <row r="61" spans="1:39" ht="15.75" thickBot="1">
      <c r="A61" s="1015">
        <f t="shared" si="0"/>
        <v>20121</v>
      </c>
      <c r="B61" s="257">
        <v>40969</v>
      </c>
      <c r="C61" s="258">
        <v>3482190</v>
      </c>
      <c r="D61" s="259">
        <f t="shared" si="1"/>
        <v>179.70461324819999</v>
      </c>
      <c r="E61" s="260">
        <v>2203.7846126964223</v>
      </c>
      <c r="F61" s="258">
        <v>220050</v>
      </c>
      <c r="G61" s="259">
        <f t="shared" si="2"/>
        <v>10.853292896999999</v>
      </c>
      <c r="H61" s="260">
        <v>228.20920569408236</v>
      </c>
      <c r="I61" s="258">
        <v>2312801</v>
      </c>
      <c r="J61" s="259">
        <f t="shared" si="3"/>
        <v>87.939201520912547</v>
      </c>
      <c r="K61" s="260">
        <v>373.44706400000001</v>
      </c>
      <c r="L61" s="302">
        <f t="shared" si="4"/>
        <v>2012</v>
      </c>
      <c r="M61" s="302" t="str">
        <f t="shared" si="5"/>
        <v>1</v>
      </c>
      <c r="N61" s="292">
        <f t="shared" si="6"/>
        <v>4.2466506124824406</v>
      </c>
      <c r="O61" s="71"/>
      <c r="P61" s="71"/>
      <c r="Q61" s="1248"/>
      <c r="R61" s="1006"/>
      <c r="Z61" s="1887">
        <f>LARGE(B$9:B$739,10)</f>
        <v>42979</v>
      </c>
      <c r="AA61" s="1189">
        <f t="shared" ref="AA61:AA70" si="20">SUMIF($B$9:$B$739,$Z61,I$9:I$739)</f>
        <v>2661295.5523457509</v>
      </c>
      <c r="AB61" s="1406">
        <f t="shared" ref="AB61:AB70" si="21">SUMIF($B$9:$B$739,$Z61,K$9:K$739)</f>
        <v>480.22645936136479</v>
      </c>
      <c r="AD61" s="391" t="str">
        <f>IFERROR(IF(YEAR(MAX('Data - Monthly Commodity Prices'!$C$9:$C5007))=VALUE(RIGHT(AD60,4)),"",IF($AE$33="Calendar Year",AD60+1,CONCATENATE(LEFT(AD60,4)+1,"-",RIGHT(AD60,4)+1))),"")</f>
        <v/>
      </c>
      <c r="AE61" s="399" t="str">
        <f t="shared" si="11"/>
        <v/>
      </c>
      <c r="AF61" s="399" t="str">
        <f t="shared" si="12"/>
        <v/>
      </c>
      <c r="AG61" s="354" t="str">
        <f t="shared" si="13"/>
        <v/>
      </c>
      <c r="AH61" s="399" t="str">
        <f t="shared" si="14"/>
        <v/>
      </c>
      <c r="AI61" s="399" t="str">
        <f t="shared" si="15"/>
        <v/>
      </c>
      <c r="AJ61" s="354" t="str">
        <f t="shared" si="16"/>
        <v/>
      </c>
      <c r="AK61" s="399" t="str">
        <f t="shared" si="17"/>
        <v/>
      </c>
      <c r="AL61" s="399" t="str">
        <f t="shared" si="18"/>
        <v/>
      </c>
      <c r="AM61" s="354" t="str">
        <f t="shared" si="19"/>
        <v/>
      </c>
    </row>
    <row r="62" spans="1:39">
      <c r="A62" s="1015">
        <f t="shared" si="0"/>
        <v>20122</v>
      </c>
      <c r="B62" s="257">
        <v>41061</v>
      </c>
      <c r="C62" s="261">
        <v>4175545</v>
      </c>
      <c r="D62" s="262">
        <f t="shared" si="1"/>
        <v>215.48643219510001</v>
      </c>
      <c r="E62" s="263">
        <v>2748.6092927351433</v>
      </c>
      <c r="F62" s="261">
        <v>182728</v>
      </c>
      <c r="G62" s="262">
        <f t="shared" si="2"/>
        <v>9.0124994523200002</v>
      </c>
      <c r="H62" s="263">
        <v>161.09291595506599</v>
      </c>
      <c r="I62" s="261">
        <v>2234313</v>
      </c>
      <c r="J62" s="262">
        <f t="shared" si="3"/>
        <v>84.954866920152085</v>
      </c>
      <c r="K62" s="263">
        <v>359.526498</v>
      </c>
      <c r="L62" s="302">
        <f t="shared" si="4"/>
        <v>2012</v>
      </c>
      <c r="M62" s="302" t="str">
        <f t="shared" si="5"/>
        <v>2</v>
      </c>
      <c r="N62" s="284">
        <f t="shared" si="6"/>
        <v>4.231970586663552</v>
      </c>
      <c r="O62" s="71"/>
      <c r="P62" s="71"/>
      <c r="Q62" s="1248"/>
      <c r="R62" s="1006"/>
      <c r="Z62" s="1888">
        <f>LARGE(B$9:B$739,9)</f>
        <v>43070</v>
      </c>
      <c r="AA62" s="1412">
        <f t="shared" si="20"/>
        <v>2465140.1621133876</v>
      </c>
      <c r="AB62" s="522">
        <f t="shared" si="21"/>
        <v>386.65924809303209</v>
      </c>
    </row>
    <row r="63" spans="1:39">
      <c r="A63" s="1015">
        <f t="shared" si="0"/>
        <v>20123</v>
      </c>
      <c r="B63" s="257">
        <v>41153</v>
      </c>
      <c r="C63" s="258">
        <v>5371788</v>
      </c>
      <c r="D63" s="259">
        <f t="shared" si="1"/>
        <v>277.22068152264001</v>
      </c>
      <c r="E63" s="260">
        <v>3200.1858504462862</v>
      </c>
      <c r="F63" s="258">
        <v>215188</v>
      </c>
      <c r="G63" s="259">
        <f t="shared" si="2"/>
        <v>10.61348962472</v>
      </c>
      <c r="H63" s="260">
        <v>152.63031786087535</v>
      </c>
      <c r="I63" s="258">
        <v>2250413</v>
      </c>
      <c r="J63" s="259">
        <f t="shared" si="3"/>
        <v>85.567034220532321</v>
      </c>
      <c r="K63" s="260">
        <v>373.45979399999999</v>
      </c>
      <c r="L63" s="302">
        <f t="shared" si="4"/>
        <v>2012</v>
      </c>
      <c r="M63" s="302" t="str">
        <f t="shared" si="5"/>
        <v>3</v>
      </c>
      <c r="N63" s="292">
        <f t="shared" si="6"/>
        <v>4.3645289030058034</v>
      </c>
      <c r="O63" s="71"/>
      <c r="P63" s="71"/>
      <c r="Q63" s="1248"/>
      <c r="R63" s="1006"/>
      <c r="Z63" s="1889">
        <f>LARGE(B$9:B$739,8)</f>
        <v>43160</v>
      </c>
      <c r="AA63" s="1413">
        <f t="shared" si="20"/>
        <v>2482222.5130890049</v>
      </c>
      <c r="AB63" s="535">
        <f t="shared" si="21"/>
        <v>387.77340948274747</v>
      </c>
    </row>
    <row r="64" spans="1:39">
      <c r="A64" s="1015">
        <f t="shared" si="0"/>
        <v>20124</v>
      </c>
      <c r="B64" s="257">
        <v>41244</v>
      </c>
      <c r="C64" s="261">
        <v>5231028</v>
      </c>
      <c r="D64" s="262">
        <f t="shared" si="1"/>
        <v>269.95651116983998</v>
      </c>
      <c r="E64" s="263">
        <v>3119.0409195228258</v>
      </c>
      <c r="F64" s="261">
        <v>191912</v>
      </c>
      <c r="G64" s="262">
        <f t="shared" si="2"/>
        <v>9.46547214928</v>
      </c>
      <c r="H64" s="263">
        <v>187.22332368073322</v>
      </c>
      <c r="I64" s="261">
        <v>2211682</v>
      </c>
      <c r="J64" s="262">
        <f t="shared" si="3"/>
        <v>84.094372623574145</v>
      </c>
      <c r="K64" s="263">
        <v>364.108541</v>
      </c>
      <c r="L64" s="302">
        <f t="shared" si="4"/>
        <v>2012</v>
      </c>
      <c r="M64" s="302" t="str">
        <f t="shared" si="5"/>
        <v>4</v>
      </c>
      <c r="N64" s="284">
        <f t="shared" si="6"/>
        <v>4.3297610724778695</v>
      </c>
      <c r="O64" s="71"/>
      <c r="P64" s="71"/>
      <c r="Q64" s="1248"/>
      <c r="R64" s="1006"/>
      <c r="Z64" s="1888">
        <f>LARGE(B$9:B$739,7)</f>
        <v>43252</v>
      </c>
      <c r="AA64" s="1412">
        <f t="shared" si="20"/>
        <v>2566261.3118617437</v>
      </c>
      <c r="AB64" s="522">
        <f t="shared" si="21"/>
        <v>402.65954693771909</v>
      </c>
    </row>
    <row r="65" spans="1:33">
      <c r="A65" s="1015">
        <f t="shared" si="0"/>
        <v>20131</v>
      </c>
      <c r="B65" s="257">
        <v>41334</v>
      </c>
      <c r="C65" s="258">
        <v>4865670</v>
      </c>
      <c r="D65" s="259">
        <f t="shared" si="1"/>
        <v>251.10156124260001</v>
      </c>
      <c r="E65" s="260">
        <v>2966.8551408577659</v>
      </c>
      <c r="F65" s="258">
        <v>171090</v>
      </c>
      <c r="G65" s="259">
        <f t="shared" si="2"/>
        <v>8.4384907146000003</v>
      </c>
      <c r="H65" s="260">
        <v>161.17027358210854</v>
      </c>
      <c r="I65" s="258">
        <v>2219755</v>
      </c>
      <c r="J65" s="259">
        <f t="shared" si="3"/>
        <v>84.401330798479094</v>
      </c>
      <c r="K65" s="260">
        <v>356.27825999999999</v>
      </c>
      <c r="L65" s="302">
        <f t="shared" si="4"/>
        <v>2013</v>
      </c>
      <c r="M65" s="302" t="str">
        <f t="shared" si="5"/>
        <v>1</v>
      </c>
      <c r="N65" s="292">
        <f t="shared" si="6"/>
        <v>4.2212398386308392</v>
      </c>
      <c r="O65" s="71"/>
      <c r="P65" s="71"/>
      <c r="Q65" s="1248"/>
      <c r="R65" s="1006"/>
      <c r="Z65" s="1889">
        <f>LARGE(B$9:B$739,6)</f>
        <v>43344</v>
      </c>
      <c r="AA65" s="1413">
        <f t="shared" si="20"/>
        <v>2424206.4357756716</v>
      </c>
      <c r="AB65" s="535">
        <f t="shared" si="21"/>
        <v>392.90616509108258</v>
      </c>
    </row>
    <row r="66" spans="1:33">
      <c r="A66" s="1015">
        <f t="shared" si="0"/>
        <v>20132</v>
      </c>
      <c r="B66" s="257">
        <v>41426</v>
      </c>
      <c r="C66" s="261">
        <v>4336433</v>
      </c>
      <c r="D66" s="262">
        <f t="shared" si="1"/>
        <v>223.78934381574001</v>
      </c>
      <c r="E66" s="263">
        <v>2861.1324864049229</v>
      </c>
      <c r="F66" s="261">
        <v>174720</v>
      </c>
      <c r="G66" s="262">
        <f t="shared" si="2"/>
        <v>8.6175293567999987</v>
      </c>
      <c r="H66" s="263">
        <v>133.02871979584953</v>
      </c>
      <c r="I66" s="261">
        <v>2032099</v>
      </c>
      <c r="J66" s="262">
        <f t="shared" si="3"/>
        <v>77.266121673003809</v>
      </c>
      <c r="K66" s="263">
        <v>340.70417700000002</v>
      </c>
      <c r="L66" s="302">
        <f t="shared" si="4"/>
        <v>2013</v>
      </c>
      <c r="M66" s="302" t="str">
        <f t="shared" si="5"/>
        <v>2</v>
      </c>
      <c r="N66" s="284">
        <f t="shared" si="6"/>
        <v>4.409489820673107</v>
      </c>
      <c r="O66" s="71"/>
      <c r="P66" s="71"/>
      <c r="Q66" s="1248"/>
      <c r="R66" s="1006"/>
      <c r="S66" s="71"/>
      <c r="Z66" s="1888">
        <f>LARGE(B$9:B$739,5)</f>
        <v>43435</v>
      </c>
      <c r="AA66" s="1412">
        <f t="shared" si="20"/>
        <v>2655912.8829536522</v>
      </c>
      <c r="AB66" s="522">
        <f t="shared" si="21"/>
        <v>401.72891240660562</v>
      </c>
      <c r="AE66" s="961"/>
      <c r="AF66" s="961"/>
      <c r="AG66" s="961"/>
    </row>
    <row r="67" spans="1:33">
      <c r="A67" s="1015">
        <f t="shared" si="0"/>
        <v>20133</v>
      </c>
      <c r="B67" s="257">
        <v>41518</v>
      </c>
      <c r="C67" s="258">
        <v>4969932</v>
      </c>
      <c r="D67" s="259">
        <f t="shared" si="1"/>
        <v>256.48218733895999</v>
      </c>
      <c r="E67" s="260">
        <v>3454.8150984037952</v>
      </c>
      <c r="F67" s="258">
        <v>203872</v>
      </c>
      <c r="G67" s="259">
        <f t="shared" si="2"/>
        <v>10.05536255168</v>
      </c>
      <c r="H67" s="260">
        <v>189.00954320584475</v>
      </c>
      <c r="I67" s="258">
        <v>2524173</v>
      </c>
      <c r="J67" s="259">
        <f t="shared" si="3"/>
        <v>95.976159695817486</v>
      </c>
      <c r="K67" s="260">
        <v>413.88590299999998</v>
      </c>
      <c r="L67" s="302">
        <f t="shared" si="4"/>
        <v>2013</v>
      </c>
      <c r="M67" s="302" t="str">
        <f t="shared" si="5"/>
        <v>3</v>
      </c>
      <c r="N67" s="292">
        <f t="shared" si="6"/>
        <v>4.3123824115462766</v>
      </c>
      <c r="O67" s="71"/>
      <c r="P67" s="71"/>
      <c r="Q67" s="1248"/>
      <c r="R67" s="1006"/>
      <c r="Z67" s="1889">
        <f>LARGE(B$9:B$739,4)</f>
        <v>43525</v>
      </c>
      <c r="AA67" s="1413">
        <f t="shared" si="20"/>
        <v>2536649.2146596862</v>
      </c>
      <c r="AB67" s="535">
        <f t="shared" si="21"/>
        <v>388.22835425165852</v>
      </c>
    </row>
    <row r="68" spans="1:33">
      <c r="A68" s="1015">
        <f t="shared" si="0"/>
        <v>20134</v>
      </c>
      <c r="B68" s="257">
        <v>41609</v>
      </c>
      <c r="C68" s="261">
        <v>5048408</v>
      </c>
      <c r="D68" s="262">
        <f t="shared" si="1"/>
        <v>260.53208100623999</v>
      </c>
      <c r="E68" s="263">
        <v>4005.1580927126415</v>
      </c>
      <c r="F68" s="261">
        <v>136252</v>
      </c>
      <c r="G68" s="262">
        <f t="shared" si="2"/>
        <v>6.7202129688799994</v>
      </c>
      <c r="H68" s="263">
        <v>116.92676470853257</v>
      </c>
      <c r="I68" s="261">
        <v>2521640</v>
      </c>
      <c r="J68" s="262">
        <f t="shared" si="3"/>
        <v>95.879847908745248</v>
      </c>
      <c r="K68" s="263">
        <v>448.58798999999999</v>
      </c>
      <c r="L68" s="302">
        <f t="shared" si="4"/>
        <v>2013</v>
      </c>
      <c r="M68" s="302" t="str">
        <f t="shared" si="5"/>
        <v>4</v>
      </c>
      <c r="N68" s="284">
        <f t="shared" si="6"/>
        <v>4.6786472839104709</v>
      </c>
      <c r="O68" s="71"/>
      <c r="P68" s="71"/>
      <c r="Q68" s="1248"/>
      <c r="R68" s="1006"/>
      <c r="Z68" s="1888">
        <f>LARGE(B$9:B$739,3)</f>
        <v>43617</v>
      </c>
      <c r="AA68" s="1412">
        <f t="shared" si="20"/>
        <v>2793257.7945797327</v>
      </c>
      <c r="AB68" s="522">
        <f t="shared" si="21"/>
        <v>430.54414149491276</v>
      </c>
    </row>
    <row r="69" spans="1:33">
      <c r="A69" s="1015">
        <f t="shared" si="0"/>
        <v>20141</v>
      </c>
      <c r="B69" s="257">
        <v>41699</v>
      </c>
      <c r="C69" s="280">
        <v>4863240</v>
      </c>
      <c r="D69" s="285">
        <v>250.9761567672</v>
      </c>
      <c r="E69" s="292">
        <v>3609.712857637357</v>
      </c>
      <c r="F69" s="280">
        <v>24930</v>
      </c>
      <c r="G69" s="285">
        <v>1.2295959642000001</v>
      </c>
      <c r="H69" s="292">
        <v>24.843911468531239</v>
      </c>
      <c r="I69" s="280">
        <v>1189964</v>
      </c>
      <c r="J69" s="285">
        <v>45.245779467680606</v>
      </c>
      <c r="K69" s="292">
        <v>213.003556</v>
      </c>
      <c r="L69" s="302">
        <f t="shared" si="4"/>
        <v>2014</v>
      </c>
      <c r="M69" s="302" t="str">
        <f t="shared" si="5"/>
        <v>1</v>
      </c>
      <c r="N69" s="292">
        <f t="shared" si="6"/>
        <v>4.7077</v>
      </c>
      <c r="O69" s="71"/>
      <c r="P69" s="71"/>
      <c r="Q69" s="1248"/>
      <c r="R69" s="1006"/>
      <c r="Z69" s="1889">
        <f>LARGE(B$9:B$739,2)</f>
        <v>43709</v>
      </c>
      <c r="AA69" s="1413">
        <f t="shared" si="20"/>
        <v>2856042.2623723485</v>
      </c>
      <c r="AB69" s="535">
        <f t="shared" si="21"/>
        <v>452.3157126335841</v>
      </c>
    </row>
    <row r="70" spans="1:33">
      <c r="A70" s="1015">
        <f t="shared" si="0"/>
        <v>20142</v>
      </c>
      <c r="B70" s="257">
        <v>41791</v>
      </c>
      <c r="C70" s="281">
        <v>4944485</v>
      </c>
      <c r="D70" s="282">
        <v>255.16894960830001</v>
      </c>
      <c r="E70" s="284">
        <v>3581.8367247574915</v>
      </c>
      <c r="F70" s="281">
        <v>24479</v>
      </c>
      <c r="G70" s="282">
        <v>1.20735176926</v>
      </c>
      <c r="H70" s="284">
        <v>22.761114376250173</v>
      </c>
      <c r="I70" s="281">
        <v>1981802.2900000003</v>
      </c>
      <c r="J70" s="282">
        <v>75.35369923954373</v>
      </c>
      <c r="K70" s="284">
        <v>371.45826152000006</v>
      </c>
      <c r="L70" s="302">
        <f t="shared" si="4"/>
        <v>2014</v>
      </c>
      <c r="M70" s="302" t="str">
        <f t="shared" si="5"/>
        <v>2</v>
      </c>
      <c r="N70" s="284">
        <f t="shared" si="6"/>
        <v>4.9295292104925368</v>
      </c>
      <c r="O70" s="71"/>
      <c r="P70" s="71"/>
      <c r="Q70" s="1248"/>
      <c r="R70" s="1006"/>
      <c r="S70" s="71"/>
      <c r="T70" s="948"/>
      <c r="Z70" s="1890">
        <f>LARGE(B$9:B$739,1)</f>
        <v>43800</v>
      </c>
      <c r="AA70" s="1414">
        <f t="shared" si="20"/>
        <v>2740776.3804347822</v>
      </c>
      <c r="AB70" s="524">
        <f t="shared" si="21"/>
        <v>426.91597923988132</v>
      </c>
    </row>
    <row r="71" spans="1:33">
      <c r="A71" s="1015">
        <f t="shared" si="0"/>
        <v>20143</v>
      </c>
      <c r="B71" s="257">
        <v>41883</v>
      </c>
      <c r="C71" s="280">
        <v>5835100</v>
      </c>
      <c r="D71" s="285">
        <v>301.130721978</v>
      </c>
      <c r="E71" s="292">
        <v>4338.3672567656658</v>
      </c>
      <c r="F71" s="280">
        <v>159620</v>
      </c>
      <c r="G71" s="285">
        <v>7.8727680627999996</v>
      </c>
      <c r="H71" s="292">
        <v>138.86373114397765</v>
      </c>
      <c r="I71" s="280">
        <v>2395064.7549999999</v>
      </c>
      <c r="J71" s="285">
        <v>91.067100950570335</v>
      </c>
      <c r="K71" s="292">
        <v>445.20685447794887</v>
      </c>
      <c r="L71" s="302">
        <f t="shared" si="4"/>
        <v>2014</v>
      </c>
      <c r="M71" s="302" t="str">
        <f t="shared" si="5"/>
        <v>3</v>
      </c>
      <c r="N71" s="292">
        <f t="shared" si="6"/>
        <v>4.8887781628142477</v>
      </c>
      <c r="O71" s="71"/>
      <c r="P71" s="71"/>
      <c r="Q71" s="1248"/>
      <c r="R71" s="1006"/>
    </row>
    <row r="72" spans="1:33">
      <c r="A72" s="1015">
        <f t="shared" si="0"/>
        <v>20144</v>
      </c>
      <c r="B72" s="257">
        <v>41974</v>
      </c>
      <c r="C72" s="281">
        <v>5209776</v>
      </c>
      <c r="D72" s="282">
        <v>268.85976388128</v>
      </c>
      <c r="E72" s="284">
        <v>3957.4004114908698</v>
      </c>
      <c r="F72" s="281">
        <v>148580</v>
      </c>
      <c r="G72" s="282">
        <v>7.328253845199999</v>
      </c>
      <c r="H72" s="284">
        <v>122.53826596790357</v>
      </c>
      <c r="I72" s="281">
        <v>2504093.6320000002</v>
      </c>
      <c r="J72" s="282">
        <v>95.21268562737643</v>
      </c>
      <c r="K72" s="284">
        <v>461.59148175823981</v>
      </c>
      <c r="L72" s="302">
        <f t="shared" si="4"/>
        <v>2014</v>
      </c>
      <c r="M72" s="302" t="str">
        <f t="shared" si="5"/>
        <v>4</v>
      </c>
      <c r="N72" s="284">
        <f t="shared" si="6"/>
        <v>4.8480040103555151</v>
      </c>
      <c r="O72" s="71"/>
      <c r="P72" s="71"/>
      <c r="Q72" s="1248"/>
      <c r="R72" s="1006"/>
    </row>
    <row r="73" spans="1:33">
      <c r="A73" s="1015">
        <f t="shared" si="0"/>
        <v>20151</v>
      </c>
      <c r="B73" s="257">
        <v>42064</v>
      </c>
      <c r="C73" s="280">
        <v>5058720</v>
      </c>
      <c r="D73" s="285">
        <v>261.0643</v>
      </c>
      <c r="E73" s="292">
        <v>3466.8432032243586</v>
      </c>
      <c r="F73" s="280">
        <v>141570</v>
      </c>
      <c r="G73" s="285">
        <v>6.9825070457999994</v>
      </c>
      <c r="H73" s="292">
        <v>82.497857403522531</v>
      </c>
      <c r="I73" s="280">
        <v>2483406.8170000003</v>
      </c>
      <c r="J73" s="285">
        <v>94.426114714828913</v>
      </c>
      <c r="K73" s="292">
        <v>457.599551292</v>
      </c>
      <c r="L73" s="302">
        <f t="shared" si="4"/>
        <v>2015</v>
      </c>
      <c r="M73" s="302" t="str">
        <f t="shared" si="5"/>
        <v>1</v>
      </c>
      <c r="N73" s="292">
        <f t="shared" si="6"/>
        <v>4.8461122505566507</v>
      </c>
      <c r="O73" s="71"/>
      <c r="P73" s="71"/>
      <c r="Q73" s="1248"/>
      <c r="R73" s="1006"/>
    </row>
    <row r="74" spans="1:33">
      <c r="A74" s="1015">
        <f t="shared" ref="A74:A137" si="22">L74*10+M74</f>
        <v>20152</v>
      </c>
      <c r="B74" s="257">
        <v>42156</v>
      </c>
      <c r="C74" s="281">
        <v>4344249</v>
      </c>
      <c r="D74" s="282">
        <v>224.1927</v>
      </c>
      <c r="E74" s="284">
        <v>2054.4316153610985</v>
      </c>
      <c r="F74" s="281">
        <v>103285</v>
      </c>
      <c r="G74" s="282">
        <v>5.0942165728999997</v>
      </c>
      <c r="H74" s="284">
        <v>61.665661356598967</v>
      </c>
      <c r="I74" s="281">
        <v>2492773.5079999999</v>
      </c>
      <c r="J74" s="282">
        <v>94.78226266159696</v>
      </c>
      <c r="K74" s="284">
        <v>455.799167576</v>
      </c>
      <c r="L74" s="302">
        <f t="shared" ref="L74:L137" si="23">YEAR(B74)</f>
        <v>2015</v>
      </c>
      <c r="M74" s="302" t="str">
        <f t="shared" ref="M74:M137" si="24">IF(MONTH(B74)=3,"1",IF(MONTH(B74)=6,"2",IF(MONTH(B74)=9,"3","4")))</f>
        <v>2</v>
      </c>
      <c r="N74" s="284">
        <f t="shared" ref="N74:N137" si="25">K74/J74</f>
        <v>4.8089078565611905</v>
      </c>
      <c r="O74" s="71"/>
      <c r="P74" s="71"/>
      <c r="Q74" s="1248"/>
      <c r="R74" s="1006"/>
      <c r="S74" s="71"/>
      <c r="T74" s="948"/>
    </row>
    <row r="75" spans="1:33">
      <c r="A75" s="1015">
        <f t="shared" si="22"/>
        <v>20153</v>
      </c>
      <c r="B75" s="257">
        <v>42248</v>
      </c>
      <c r="C75" s="280">
        <v>5451644</v>
      </c>
      <c r="D75" s="285">
        <v>281.34179999999998</v>
      </c>
      <c r="E75" s="292">
        <v>2973.1531033352376</v>
      </c>
      <c r="F75" s="280">
        <v>123464</v>
      </c>
      <c r="G75" s="285">
        <v>6.0894840001599997</v>
      </c>
      <c r="H75" s="292">
        <v>53.953957081642599</v>
      </c>
      <c r="I75" s="280">
        <v>2636710.9539999994</v>
      </c>
      <c r="J75" s="285">
        <v>100.25516935361215</v>
      </c>
      <c r="K75" s="292">
        <v>491.83885099999998</v>
      </c>
      <c r="L75" s="302">
        <f t="shared" si="23"/>
        <v>2015</v>
      </c>
      <c r="M75" s="302" t="str">
        <f t="shared" si="24"/>
        <v>3</v>
      </c>
      <c r="N75" s="292">
        <f t="shared" si="25"/>
        <v>4.9058702326383257</v>
      </c>
      <c r="O75" s="71"/>
      <c r="P75" s="71"/>
      <c r="Q75" s="1248"/>
      <c r="R75" s="1006"/>
      <c r="S75" s="1009"/>
    </row>
    <row r="76" spans="1:33">
      <c r="A76" s="1015">
        <f t="shared" si="22"/>
        <v>20154</v>
      </c>
      <c r="B76" s="283">
        <v>42339</v>
      </c>
      <c r="C76" s="281">
        <v>5531040</v>
      </c>
      <c r="D76" s="282">
        <v>285.43920000000003</v>
      </c>
      <c r="E76" s="284">
        <v>3059.9218309842045</v>
      </c>
      <c r="F76" s="281">
        <v>133584</v>
      </c>
      <c r="G76" s="282">
        <v>6.5886220329599992</v>
      </c>
      <c r="H76" s="284">
        <v>55.990820561464247</v>
      </c>
      <c r="I76" s="281">
        <v>2403790.8930000002</v>
      </c>
      <c r="J76" s="282">
        <v>91.398893269961988</v>
      </c>
      <c r="K76" s="284">
        <v>456.28586032999999</v>
      </c>
      <c r="L76" s="302">
        <f t="shared" si="23"/>
        <v>2015</v>
      </c>
      <c r="M76" s="302" t="str">
        <f t="shared" si="24"/>
        <v>4</v>
      </c>
      <c r="N76" s="284">
        <f t="shared" si="25"/>
        <v>4.9922471050309447</v>
      </c>
      <c r="O76" s="71"/>
      <c r="P76" s="71"/>
      <c r="Q76" s="1248"/>
      <c r="R76" s="1006"/>
      <c r="S76" s="1009"/>
    </row>
    <row r="77" spans="1:33">
      <c r="A77" s="1015">
        <f t="shared" si="22"/>
        <v>20161</v>
      </c>
      <c r="B77" s="283">
        <v>42430</v>
      </c>
      <c r="C77" s="973">
        <v>5323767</v>
      </c>
      <c r="D77" s="974">
        <v>274.74247234026001</v>
      </c>
      <c r="E77" s="971">
        <v>2713.6890704221601</v>
      </c>
      <c r="F77" s="973">
        <v>139321</v>
      </c>
      <c r="G77" s="974">
        <v>6.8715820027400003</v>
      </c>
      <c r="H77" s="971">
        <v>64.980488740447996</v>
      </c>
      <c r="I77" s="973">
        <v>2612235.4374338998</v>
      </c>
      <c r="J77" s="974">
        <v>99.324541347296574</v>
      </c>
      <c r="K77" s="971">
        <v>477.11507926988185</v>
      </c>
      <c r="L77" s="302">
        <f t="shared" si="23"/>
        <v>2016</v>
      </c>
      <c r="M77" s="302" t="str">
        <f t="shared" si="24"/>
        <v>1</v>
      </c>
      <c r="N77" s="971">
        <f t="shared" si="25"/>
        <v>4.803597104985454</v>
      </c>
      <c r="O77" s="71"/>
      <c r="P77" s="71"/>
      <c r="Q77" s="1248"/>
      <c r="R77" s="961"/>
    </row>
    <row r="78" spans="1:33">
      <c r="A78" s="1015">
        <f t="shared" si="22"/>
        <v>20162</v>
      </c>
      <c r="B78" s="283">
        <v>42522</v>
      </c>
      <c r="C78" s="1229">
        <v>4649190</v>
      </c>
      <c r="D78" s="1230">
        <v>239.92972550819999</v>
      </c>
      <c r="E78" s="1228">
        <v>2017.7813481911701</v>
      </c>
      <c r="F78" s="1229">
        <v>135226</v>
      </c>
      <c r="G78" s="1230">
        <v>6.6696086584399996</v>
      </c>
      <c r="H78" s="1228">
        <v>74.13380613999</v>
      </c>
      <c r="I78" s="1229">
        <v>2570904.0196000002</v>
      </c>
      <c r="J78" s="1230">
        <v>97.753004547528519</v>
      </c>
      <c r="K78" s="1228">
        <v>487.89510317243906</v>
      </c>
      <c r="L78" s="302">
        <f t="shared" si="23"/>
        <v>2016</v>
      </c>
      <c r="M78" s="302" t="str">
        <f t="shared" si="24"/>
        <v>2</v>
      </c>
      <c r="N78" s="1228">
        <f t="shared" si="25"/>
        <v>4.9911008406418791</v>
      </c>
      <c r="O78" s="71"/>
      <c r="P78" s="71"/>
      <c r="Q78" s="1248"/>
      <c r="R78" s="961"/>
      <c r="S78" s="71"/>
      <c r="T78" s="948"/>
    </row>
    <row r="79" spans="1:33">
      <c r="A79" s="1015">
        <f t="shared" si="22"/>
        <v>20163</v>
      </c>
      <c r="B79" s="283">
        <v>42614</v>
      </c>
      <c r="C79" s="973">
        <v>6803067.7071249997</v>
      </c>
      <c r="D79" s="974">
        <v>351.08441848670401</v>
      </c>
      <c r="E79" s="971">
        <v>2712.9153543355401</v>
      </c>
      <c r="F79" s="973">
        <v>157964</v>
      </c>
      <c r="G79" s="974">
        <v>7.7910909301600002</v>
      </c>
      <c r="H79" s="971">
        <v>67.829171529251994</v>
      </c>
      <c r="I79" s="973">
        <v>2450225.0310224863</v>
      </c>
      <c r="J79" s="974">
        <v>93.164449848763738</v>
      </c>
      <c r="K79" s="971">
        <v>476.64628895820181</v>
      </c>
      <c r="L79" s="302">
        <f t="shared" ref="L79:L100" si="26">YEAR(B79)</f>
        <v>2016</v>
      </c>
      <c r="M79" s="302" t="str">
        <f t="shared" ref="M79:M100" si="27">IF(MONTH(B79)=3,"1",IF(MONTH(B79)=6,"2",IF(MONTH(B79)=9,"3","4")))</f>
        <v>3</v>
      </c>
      <c r="N79" s="971">
        <f t="shared" si="25"/>
        <v>5.116182081598228</v>
      </c>
      <c r="O79" s="71"/>
    </row>
    <row r="80" spans="1:33">
      <c r="A80" s="1015">
        <f t="shared" si="22"/>
        <v>20164</v>
      </c>
      <c r="B80" s="283">
        <v>42705</v>
      </c>
      <c r="C80" s="1229">
        <v>6998631.9396250006</v>
      </c>
      <c r="D80" s="1230">
        <v>361.17685880920067</v>
      </c>
      <c r="E80" s="1228">
        <v>3176.2283489943566</v>
      </c>
      <c r="F80" s="1229">
        <v>143244</v>
      </c>
      <c r="G80" s="1230">
        <v>7.0650719733599994</v>
      </c>
      <c r="H80" s="1228">
        <v>81.197249614542599</v>
      </c>
      <c r="I80" s="1229">
        <v>2497743.2599999998</v>
      </c>
      <c r="J80" s="1230">
        <v>94.97122661596957</v>
      </c>
      <c r="K80" s="1228">
        <v>474.44818927644729</v>
      </c>
      <c r="L80" s="302">
        <f t="shared" si="26"/>
        <v>2016</v>
      </c>
      <c r="M80" s="302" t="str">
        <f t="shared" si="27"/>
        <v>4</v>
      </c>
      <c r="N80" s="1228">
        <f t="shared" si="25"/>
        <v>4.9957045537060383</v>
      </c>
      <c r="O80" s="1004"/>
      <c r="P80" s="1034"/>
    </row>
    <row r="81" spans="1:16">
      <c r="A81" s="1015">
        <f t="shared" si="22"/>
        <v>20171</v>
      </c>
      <c r="B81" s="283">
        <v>42795</v>
      </c>
      <c r="C81" s="973">
        <v>6972485.1932500005</v>
      </c>
      <c r="D81" s="974">
        <v>359.82750942131025</v>
      </c>
      <c r="E81" s="971">
        <v>3126.8409743271582</v>
      </c>
      <c r="F81" s="973">
        <v>110340</v>
      </c>
      <c r="G81" s="974">
        <v>5.4421828595999999</v>
      </c>
      <c r="H81" s="971">
        <v>77.866747796917679</v>
      </c>
      <c r="I81" s="973">
        <v>2250997.1169224549</v>
      </c>
      <c r="J81" s="974">
        <v>85.589243989446956</v>
      </c>
      <c r="K81" s="971">
        <v>416.41780925198896</v>
      </c>
      <c r="L81" s="302">
        <f t="shared" si="26"/>
        <v>2017</v>
      </c>
      <c r="M81" s="302" t="str">
        <f t="shared" si="27"/>
        <v>1</v>
      </c>
      <c r="N81" s="971">
        <f t="shared" si="25"/>
        <v>4.8653053800000006</v>
      </c>
      <c r="O81" s="1004"/>
      <c r="P81" s="1034"/>
    </row>
    <row r="82" spans="1:16">
      <c r="A82" s="1015">
        <f t="shared" si="22"/>
        <v>20172</v>
      </c>
      <c r="B82" s="283">
        <v>42887</v>
      </c>
      <c r="C82" s="1229">
        <v>7911291.8422500007</v>
      </c>
      <c r="D82" s="1230">
        <v>408.27629761879052</v>
      </c>
      <c r="E82" s="1228">
        <v>3712.3253604128122</v>
      </c>
      <c r="F82" s="1229">
        <v>115843</v>
      </c>
      <c r="G82" s="1230">
        <v>5.7136014954199998</v>
      </c>
      <c r="H82" s="1228">
        <v>46.204139266223834</v>
      </c>
      <c r="I82" s="1229">
        <v>2509968.586387434</v>
      </c>
      <c r="J82" s="1230">
        <v>95.436067923476585</v>
      </c>
      <c r="K82" s="1228">
        <v>462.5006165549737</v>
      </c>
      <c r="L82" s="302">
        <f t="shared" si="26"/>
        <v>2017</v>
      </c>
      <c r="M82" s="302" t="str">
        <f t="shared" si="27"/>
        <v>2</v>
      </c>
      <c r="N82" s="1228">
        <f t="shared" si="25"/>
        <v>4.8461826499999994</v>
      </c>
      <c r="O82" s="1004"/>
      <c r="P82" s="1034"/>
    </row>
    <row r="83" spans="1:16">
      <c r="A83" s="1015">
        <f t="shared" si="22"/>
        <v>20173</v>
      </c>
      <c r="B83" s="283">
        <v>42979</v>
      </c>
      <c r="C83" s="973">
        <v>8806567.7899999991</v>
      </c>
      <c r="D83" s="974">
        <v>454.47860649361616</v>
      </c>
      <c r="E83" s="971">
        <v>3831.2571748245896</v>
      </c>
      <c r="F83" s="973">
        <v>117208</v>
      </c>
      <c r="G83" s="974">
        <v>5.7809259435199998</v>
      </c>
      <c r="H83" s="971">
        <v>67.451136598380842</v>
      </c>
      <c r="I83" s="973">
        <v>2661295.5523457509</v>
      </c>
      <c r="J83" s="974">
        <v>101.1899449561122</v>
      </c>
      <c r="K83" s="971">
        <v>480.22645936136479</v>
      </c>
      <c r="L83" s="302">
        <f t="shared" si="26"/>
        <v>2017</v>
      </c>
      <c r="M83" s="302" t="str">
        <f t="shared" si="27"/>
        <v>3</v>
      </c>
      <c r="N83" s="971">
        <f t="shared" si="25"/>
        <v>4.7457922777766823</v>
      </c>
      <c r="O83" s="1004"/>
      <c r="P83" s="1034"/>
    </row>
    <row r="84" spans="1:16" ht="15.75" thickBot="1">
      <c r="A84" s="1015">
        <f t="shared" si="22"/>
        <v>20174</v>
      </c>
      <c r="B84" s="283">
        <v>43070</v>
      </c>
      <c r="C84" s="1229">
        <v>8909415.2861097343</v>
      </c>
      <c r="D84" s="1230">
        <v>459.78623459890213</v>
      </c>
      <c r="E84" s="1228">
        <v>4251.4638407863149</v>
      </c>
      <c r="F84" s="1229">
        <v>112884</v>
      </c>
      <c r="G84" s="1230">
        <v>5.5676578749600001</v>
      </c>
      <c r="H84" s="1228">
        <v>96.97610210958355</v>
      </c>
      <c r="I84" s="1229">
        <v>2465140.1621133876</v>
      </c>
      <c r="J84" s="1230">
        <v>93.731565099368353</v>
      </c>
      <c r="K84" s="1228">
        <v>386.65924809303209</v>
      </c>
      <c r="L84" s="302">
        <f t="shared" si="26"/>
        <v>2017</v>
      </c>
      <c r="M84" s="302" t="str">
        <f t="shared" si="27"/>
        <v>4</v>
      </c>
      <c r="N84" s="972">
        <f t="shared" si="25"/>
        <v>4.1251764833236289</v>
      </c>
      <c r="O84" s="1004"/>
      <c r="P84" s="1034"/>
    </row>
    <row r="85" spans="1:16">
      <c r="A85" s="1015">
        <f t="shared" si="22"/>
        <v>20181</v>
      </c>
      <c r="B85" s="283">
        <v>43160</v>
      </c>
      <c r="C85" s="973">
        <v>9767031.0295400769</v>
      </c>
      <c r="D85" s="974">
        <v>504.04502159464823</v>
      </c>
      <c r="E85" s="971">
        <v>5172.8065945862963</v>
      </c>
      <c r="F85" s="973">
        <v>112860</v>
      </c>
      <c r="G85" s="974">
        <v>5.5664741483999993</v>
      </c>
      <c r="H85" s="971">
        <v>85.801210917674538</v>
      </c>
      <c r="I85" s="973">
        <v>2482222.5130890049</v>
      </c>
      <c r="J85" s="974">
        <v>94.381084147870908</v>
      </c>
      <c r="K85" s="971">
        <v>387.77340948274747</v>
      </c>
      <c r="L85" s="302">
        <f t="shared" si="26"/>
        <v>2018</v>
      </c>
      <c r="M85" s="302" t="str">
        <f t="shared" si="27"/>
        <v>1</v>
      </c>
      <c r="N85" s="1019">
        <f t="shared" si="25"/>
        <v>4.1085924471391548</v>
      </c>
    </row>
    <row r="86" spans="1:16">
      <c r="A86" s="1015">
        <f t="shared" si="22"/>
        <v>20182</v>
      </c>
      <c r="B86" s="283">
        <v>43252</v>
      </c>
      <c r="C86" s="1229">
        <v>10410502.554944657</v>
      </c>
      <c r="D86" s="1230">
        <v>537.25251504246683</v>
      </c>
      <c r="E86" s="1228">
        <v>5665.314082587186</v>
      </c>
      <c r="F86" s="1229">
        <v>108290</v>
      </c>
      <c r="G86" s="1230">
        <v>5.3410728825999998</v>
      </c>
      <c r="H86" s="1228">
        <v>81.042960637905693</v>
      </c>
      <c r="I86" s="1229">
        <v>2566261.3118617437</v>
      </c>
      <c r="J86" s="1230">
        <v>97.576475736187973</v>
      </c>
      <c r="K86" s="1228">
        <v>402.65954693771909</v>
      </c>
      <c r="L86" s="302">
        <f t="shared" si="26"/>
        <v>2018</v>
      </c>
      <c r="M86" s="302" t="str">
        <f t="shared" si="27"/>
        <v>2</v>
      </c>
      <c r="N86" s="1019">
        <f t="shared" si="25"/>
        <v>4.1266047364363416</v>
      </c>
    </row>
    <row r="87" spans="1:16">
      <c r="A87" s="1015">
        <f t="shared" si="22"/>
        <v>20183</v>
      </c>
      <c r="B87" s="283">
        <v>43344</v>
      </c>
      <c r="C87" s="973">
        <v>11262985.996961832</v>
      </c>
      <c r="D87" s="974">
        <v>581.24644048828998</v>
      </c>
      <c r="E87" s="971">
        <v>7376.9836139732379</v>
      </c>
      <c r="F87" s="973">
        <v>128248</v>
      </c>
      <c r="G87" s="974">
        <v>6.3254401611199995</v>
      </c>
      <c r="H87" s="971">
        <v>98.743038662887543</v>
      </c>
      <c r="I87" s="973">
        <v>2424206.4357756716</v>
      </c>
      <c r="J87" s="974">
        <v>92.17514964926508</v>
      </c>
      <c r="K87" s="971">
        <v>392.90616509108258</v>
      </c>
      <c r="L87" s="302">
        <f t="shared" si="26"/>
        <v>2018</v>
      </c>
      <c r="M87" s="302" t="str">
        <f t="shared" si="27"/>
        <v>3</v>
      </c>
      <c r="N87" s="1019">
        <f t="shared" si="25"/>
        <v>4.2626040379226575</v>
      </c>
    </row>
    <row r="88" spans="1:16">
      <c r="A88" s="1015">
        <f t="shared" si="22"/>
        <v>20184</v>
      </c>
      <c r="B88" s="283">
        <v>43435</v>
      </c>
      <c r="C88" s="1229">
        <v>12281816.796818644</v>
      </c>
      <c r="D88" s="1230">
        <v>633.8250174337245</v>
      </c>
      <c r="E88" s="1228">
        <v>8763.0226678458093</v>
      </c>
      <c r="F88" s="1229">
        <v>113712</v>
      </c>
      <c r="G88" s="1230">
        <v>5.6084964412799998</v>
      </c>
      <c r="H88" s="1228">
        <v>83.237183999999999</v>
      </c>
      <c r="I88" s="1229">
        <v>2655912.8829536522</v>
      </c>
      <c r="J88" s="1230">
        <v>100.98528072067118</v>
      </c>
      <c r="K88" s="1228">
        <v>401.72891240660562</v>
      </c>
      <c r="L88" s="302">
        <f t="shared" si="26"/>
        <v>2018</v>
      </c>
      <c r="M88" s="302" t="str">
        <f t="shared" si="27"/>
        <v>4</v>
      </c>
      <c r="N88" s="1019">
        <f t="shared" si="25"/>
        <v>3.9780937334600459</v>
      </c>
    </row>
    <row r="89" spans="1:16">
      <c r="A89" s="1015">
        <f t="shared" si="22"/>
        <v>20191</v>
      </c>
      <c r="B89" s="283">
        <v>43525</v>
      </c>
      <c r="C89" s="973">
        <v>9310719.5627872143</v>
      </c>
      <c r="D89" s="974">
        <v>480.49625611845596</v>
      </c>
      <c r="E89" s="971">
        <v>6700.4171929468284</v>
      </c>
      <c r="F89" s="973">
        <v>92520</v>
      </c>
      <c r="G89" s="974">
        <v>4.5632658888000002</v>
      </c>
      <c r="H89" s="971">
        <v>65.49929301295073</v>
      </c>
      <c r="I89" s="973">
        <v>2536649.2146596862</v>
      </c>
      <c r="J89" s="974">
        <v>96.450540481356896</v>
      </c>
      <c r="K89" s="971">
        <v>388.22835425165852</v>
      </c>
      <c r="L89" s="302">
        <f t="shared" si="26"/>
        <v>2019</v>
      </c>
      <c r="M89" s="302" t="str">
        <f t="shared" si="27"/>
        <v>1</v>
      </c>
      <c r="N89" s="1019">
        <f t="shared" si="25"/>
        <v>4.0251547820688458</v>
      </c>
    </row>
    <row r="90" spans="1:16">
      <c r="A90" s="1015">
        <f t="shared" si="22"/>
        <v>20192</v>
      </c>
      <c r="B90" s="283">
        <v>43617</v>
      </c>
      <c r="C90" s="1229">
        <v>10779768.743424237</v>
      </c>
      <c r="D90" s="1230">
        <v>556.30915399277103</v>
      </c>
      <c r="E90" s="1228">
        <v>6165.5688124462395</v>
      </c>
      <c r="F90" s="1229">
        <v>112749</v>
      </c>
      <c r="G90" s="1230">
        <v>5.5609994130600002</v>
      </c>
      <c r="H90" s="1228">
        <v>80.156224617098388</v>
      </c>
      <c r="I90" s="1229">
        <v>2793257.7945797327</v>
      </c>
      <c r="J90" s="1230">
        <v>106.20752070645372</v>
      </c>
      <c r="K90" s="1228">
        <v>430.54414149491276</v>
      </c>
      <c r="L90" s="302">
        <f t="shared" si="26"/>
        <v>2019</v>
      </c>
      <c r="M90" s="302" t="str">
        <f t="shared" si="27"/>
        <v>2</v>
      </c>
      <c r="N90" s="1019">
        <f t="shared" si="25"/>
        <v>4.0538008855784415</v>
      </c>
    </row>
    <row r="91" spans="1:16">
      <c r="A91" s="1015">
        <f t="shared" si="22"/>
        <v>20193</v>
      </c>
      <c r="B91" s="283">
        <v>43709</v>
      </c>
      <c r="C91" s="973">
        <v>11637848.442937989</v>
      </c>
      <c r="D91" s="974">
        <v>600.59188426804337</v>
      </c>
      <c r="E91" s="971">
        <v>6973.9885280791204</v>
      </c>
      <c r="F91" s="973">
        <v>103868</v>
      </c>
      <c r="G91" s="974">
        <v>5.1229712639200002</v>
      </c>
      <c r="H91" s="971">
        <v>54.842303999999999</v>
      </c>
      <c r="I91" s="973">
        <v>2856042.2623723485</v>
      </c>
      <c r="J91" s="974">
        <v>108.59476282784595</v>
      </c>
      <c r="K91" s="971">
        <v>452.3157126335841</v>
      </c>
      <c r="L91" s="302">
        <f t="shared" si="26"/>
        <v>2019</v>
      </c>
      <c r="M91" s="302" t="str">
        <f t="shared" si="27"/>
        <v>3</v>
      </c>
      <c r="N91" s="1019">
        <f t="shared" si="25"/>
        <v>4.1651705925324878</v>
      </c>
    </row>
    <row r="92" spans="1:16" ht="15.75" thickBot="1">
      <c r="A92" s="1015">
        <f t="shared" si="22"/>
        <v>20194</v>
      </c>
      <c r="B92" s="283">
        <v>43800</v>
      </c>
      <c r="C92" s="1229">
        <v>12419277.697201625</v>
      </c>
      <c r="D92" s="1230">
        <v>640.91893187839082</v>
      </c>
      <c r="E92" s="1228">
        <v>7554.8185326036582</v>
      </c>
      <c r="F92" s="1229">
        <v>109112</v>
      </c>
      <c r="G92" s="1230">
        <v>5.3816155172799993</v>
      </c>
      <c r="H92" s="1228">
        <v>73.742336071813952</v>
      </c>
      <c r="I92" s="1229">
        <v>2740776.3804347822</v>
      </c>
      <c r="J92" s="1230">
        <v>104.21202967432632</v>
      </c>
      <c r="K92" s="1228">
        <v>426.91597923988132</v>
      </c>
      <c r="L92" s="302">
        <f t="shared" si="26"/>
        <v>2019</v>
      </c>
      <c r="M92" s="302" t="str">
        <f t="shared" si="27"/>
        <v>4</v>
      </c>
      <c r="N92" s="1019">
        <f t="shared" si="25"/>
        <v>4.0966093892810571</v>
      </c>
    </row>
    <row r="93" spans="1:16">
      <c r="A93" s="1015">
        <f t="shared" si="22"/>
        <v>19004</v>
      </c>
      <c r="B93" s="1666"/>
      <c r="C93" s="1667"/>
      <c r="D93" s="1640"/>
      <c r="E93" s="1668"/>
      <c r="F93" s="1640"/>
      <c r="G93" s="1639"/>
      <c r="H93" s="1639"/>
      <c r="I93" s="1640"/>
      <c r="J93" s="1639"/>
      <c r="K93" s="1640"/>
      <c r="L93" s="302">
        <f t="shared" si="26"/>
        <v>1900</v>
      </c>
      <c r="M93" s="302" t="str">
        <f t="shared" si="27"/>
        <v>4</v>
      </c>
      <c r="N93" s="1019" t="e">
        <f t="shared" si="25"/>
        <v>#DIV/0!</v>
      </c>
    </row>
    <row r="94" spans="1:16">
      <c r="A94" s="1015">
        <f t="shared" si="22"/>
        <v>19004</v>
      </c>
      <c r="B94" s="15"/>
      <c r="C94" s="796"/>
      <c r="D94" s="71"/>
      <c r="E94" s="303"/>
      <c r="F94" s="71"/>
      <c r="I94" s="71"/>
      <c r="K94" s="71"/>
      <c r="L94" s="302">
        <f t="shared" si="26"/>
        <v>1900</v>
      </c>
      <c r="M94" s="302" t="str">
        <f t="shared" si="27"/>
        <v>4</v>
      </c>
      <c r="N94" s="1019" t="e">
        <f t="shared" si="25"/>
        <v>#DIV/0!</v>
      </c>
    </row>
    <row r="95" spans="1:16">
      <c r="A95" s="1015">
        <f t="shared" si="22"/>
        <v>19004</v>
      </c>
      <c r="B95" s="15"/>
      <c r="C95" s="796"/>
      <c r="D95" s="71"/>
      <c r="E95" s="303"/>
      <c r="F95" s="71"/>
      <c r="I95" s="71"/>
      <c r="J95" s="1008"/>
      <c r="K95" s="71"/>
      <c r="L95" s="302">
        <f t="shared" si="26"/>
        <v>1900</v>
      </c>
      <c r="M95" s="302" t="str">
        <f t="shared" si="27"/>
        <v>4</v>
      </c>
      <c r="N95" s="1019" t="e">
        <f t="shared" si="25"/>
        <v>#DIV/0!</v>
      </c>
    </row>
    <row r="96" spans="1:16">
      <c r="A96" s="1015">
        <f t="shared" si="22"/>
        <v>19004</v>
      </c>
      <c r="B96" s="15"/>
      <c r="C96" s="796"/>
      <c r="D96" s="71"/>
      <c r="E96" s="303"/>
      <c r="F96" s="71"/>
      <c r="I96" s="71"/>
      <c r="J96" s="1007"/>
      <c r="K96" s="71"/>
      <c r="L96" s="302">
        <f t="shared" si="26"/>
        <v>1900</v>
      </c>
      <c r="M96" s="302" t="str">
        <f t="shared" si="27"/>
        <v>4</v>
      </c>
      <c r="N96" s="1019" t="e">
        <f t="shared" si="25"/>
        <v>#DIV/0!</v>
      </c>
    </row>
    <row r="97" spans="1:14">
      <c r="A97" s="1015">
        <f t="shared" si="22"/>
        <v>19004</v>
      </c>
      <c r="B97" s="15"/>
      <c r="C97" s="796"/>
      <c r="D97" s="71"/>
      <c r="E97" s="303"/>
      <c r="F97" s="71"/>
      <c r="I97" s="71"/>
      <c r="K97" s="71"/>
      <c r="L97" s="302">
        <f t="shared" si="26"/>
        <v>1900</v>
      </c>
      <c r="M97" s="302" t="str">
        <f t="shared" si="27"/>
        <v>4</v>
      </c>
      <c r="N97" s="1019" t="e">
        <f t="shared" si="25"/>
        <v>#DIV/0!</v>
      </c>
    </row>
    <row r="98" spans="1:14">
      <c r="A98" s="1015">
        <f t="shared" si="22"/>
        <v>19004</v>
      </c>
      <c r="B98" s="15"/>
      <c r="C98" s="796"/>
      <c r="D98" s="798"/>
      <c r="E98" s="530"/>
      <c r="H98" s="71"/>
      <c r="I98" s="71"/>
      <c r="K98" s="71"/>
      <c r="L98" s="302">
        <f t="shared" si="26"/>
        <v>1900</v>
      </c>
      <c r="M98" s="302" t="str">
        <f t="shared" si="27"/>
        <v>4</v>
      </c>
      <c r="N98" s="1019" t="e">
        <f t="shared" si="25"/>
        <v>#DIV/0!</v>
      </c>
    </row>
    <row r="99" spans="1:14">
      <c r="A99" s="1015">
        <f t="shared" si="22"/>
        <v>19004</v>
      </c>
      <c r="B99" s="15"/>
      <c r="C99" s="796"/>
      <c r="D99" s="798"/>
      <c r="E99" s="530"/>
      <c r="H99" s="71"/>
      <c r="I99" s="71"/>
      <c r="K99" s="71"/>
      <c r="L99" s="302">
        <f t="shared" si="26"/>
        <v>1900</v>
      </c>
      <c r="M99" s="302" t="str">
        <f t="shared" si="27"/>
        <v>4</v>
      </c>
      <c r="N99" s="1019" t="e">
        <f t="shared" si="25"/>
        <v>#DIV/0!</v>
      </c>
    </row>
    <row r="100" spans="1:14">
      <c r="A100" s="1015">
        <f t="shared" si="22"/>
        <v>19004</v>
      </c>
      <c r="B100" s="15"/>
      <c r="C100" s="796"/>
      <c r="D100" s="798"/>
      <c r="E100" s="530"/>
      <c r="H100" s="71"/>
      <c r="I100" s="71"/>
      <c r="K100" s="71"/>
      <c r="L100" s="302">
        <f t="shared" si="26"/>
        <v>1900</v>
      </c>
      <c r="M100" s="302" t="str">
        <f t="shared" si="27"/>
        <v>4</v>
      </c>
      <c r="N100" s="1019" t="e">
        <f t="shared" si="25"/>
        <v>#DIV/0!</v>
      </c>
    </row>
    <row r="101" spans="1:14">
      <c r="A101" s="1015">
        <f t="shared" si="22"/>
        <v>19004</v>
      </c>
      <c r="B101" s="15"/>
      <c r="C101" s="796"/>
      <c r="D101" s="798"/>
      <c r="E101" s="530"/>
      <c r="H101" s="71"/>
      <c r="I101" s="71"/>
      <c r="J101" s="71"/>
      <c r="K101" s="71"/>
      <c r="L101" s="302">
        <f t="shared" si="23"/>
        <v>1900</v>
      </c>
      <c r="M101" s="302" t="str">
        <f t="shared" si="24"/>
        <v>4</v>
      </c>
      <c r="N101" s="1019" t="e">
        <f t="shared" si="25"/>
        <v>#DIV/0!</v>
      </c>
    </row>
    <row r="102" spans="1:14">
      <c r="A102" s="1015">
        <f t="shared" si="22"/>
        <v>19004</v>
      </c>
      <c r="B102" s="15"/>
      <c r="C102" s="796"/>
      <c r="D102" s="798"/>
      <c r="E102" s="530"/>
      <c r="H102" s="71"/>
      <c r="I102" s="71"/>
      <c r="J102" s="71"/>
      <c r="K102" s="71"/>
      <c r="L102" s="302">
        <f t="shared" si="23"/>
        <v>1900</v>
      </c>
      <c r="M102" s="302" t="str">
        <f t="shared" si="24"/>
        <v>4</v>
      </c>
      <c r="N102" s="1019" t="e">
        <f t="shared" si="25"/>
        <v>#DIV/0!</v>
      </c>
    </row>
    <row r="103" spans="1:14">
      <c r="A103" s="1015">
        <f t="shared" si="22"/>
        <v>19004</v>
      </c>
      <c r="B103" s="15"/>
      <c r="C103" s="796"/>
      <c r="D103" s="798"/>
      <c r="E103" s="530"/>
      <c r="H103" s="71"/>
      <c r="I103" s="71"/>
      <c r="J103" s="71"/>
      <c r="K103" s="71"/>
      <c r="L103" s="302">
        <f t="shared" si="23"/>
        <v>1900</v>
      </c>
      <c r="M103" s="302" t="str">
        <f t="shared" si="24"/>
        <v>4</v>
      </c>
      <c r="N103" s="1019" t="e">
        <f t="shared" si="25"/>
        <v>#DIV/0!</v>
      </c>
    </row>
    <row r="104" spans="1:14">
      <c r="A104" s="1015">
        <f t="shared" si="22"/>
        <v>19004</v>
      </c>
      <c r="B104" s="15"/>
      <c r="C104" s="796"/>
      <c r="D104" s="798"/>
      <c r="E104" s="530"/>
      <c r="H104" s="71"/>
      <c r="I104" s="71"/>
      <c r="J104" s="71"/>
      <c r="K104" s="71"/>
      <c r="L104" s="302">
        <f t="shared" si="23"/>
        <v>1900</v>
      </c>
      <c r="M104" s="302" t="str">
        <f t="shared" si="24"/>
        <v>4</v>
      </c>
      <c r="N104" s="1019" t="e">
        <f t="shared" si="25"/>
        <v>#DIV/0!</v>
      </c>
    </row>
    <row r="105" spans="1:14">
      <c r="A105" s="1015">
        <f t="shared" si="22"/>
        <v>19004</v>
      </c>
      <c r="B105" s="15"/>
      <c r="C105" s="796"/>
      <c r="D105" s="798"/>
      <c r="E105" s="530"/>
      <c r="H105" s="71"/>
      <c r="I105" s="71"/>
      <c r="J105" s="71"/>
      <c r="K105" s="71"/>
      <c r="L105" s="302">
        <f t="shared" si="23"/>
        <v>1900</v>
      </c>
      <c r="M105" s="302" t="str">
        <f t="shared" si="24"/>
        <v>4</v>
      </c>
      <c r="N105" s="1019" t="e">
        <f t="shared" si="25"/>
        <v>#DIV/0!</v>
      </c>
    </row>
    <row r="106" spans="1:14">
      <c r="A106" s="1015">
        <f t="shared" si="22"/>
        <v>19004</v>
      </c>
      <c r="B106" s="15"/>
      <c r="C106" s="796"/>
      <c r="D106" s="798"/>
      <c r="E106" s="530"/>
      <c r="H106" s="71"/>
      <c r="I106" s="71"/>
      <c r="J106" s="71"/>
      <c r="K106" s="71"/>
      <c r="L106" s="302">
        <f t="shared" si="23"/>
        <v>1900</v>
      </c>
      <c r="M106" s="302" t="str">
        <f t="shared" si="24"/>
        <v>4</v>
      </c>
      <c r="N106" s="1019" t="e">
        <f t="shared" si="25"/>
        <v>#DIV/0!</v>
      </c>
    </row>
    <row r="107" spans="1:14">
      <c r="A107" s="1015">
        <f t="shared" si="22"/>
        <v>19004</v>
      </c>
      <c r="B107" s="15"/>
      <c r="C107" s="796"/>
      <c r="D107" s="798"/>
      <c r="E107" s="530"/>
      <c r="H107" s="71"/>
      <c r="I107" s="71"/>
      <c r="J107" s="71"/>
      <c r="K107" s="71"/>
      <c r="L107" s="302">
        <f t="shared" si="23"/>
        <v>1900</v>
      </c>
      <c r="M107" s="302" t="str">
        <f t="shared" si="24"/>
        <v>4</v>
      </c>
      <c r="N107" s="1019" t="e">
        <f t="shared" si="25"/>
        <v>#DIV/0!</v>
      </c>
    </row>
    <row r="108" spans="1:14">
      <c r="A108" s="1015">
        <f t="shared" si="22"/>
        <v>19004</v>
      </c>
      <c r="B108" s="15"/>
      <c r="C108" s="796"/>
      <c r="D108" s="798"/>
      <c r="E108" s="530"/>
      <c r="H108" s="71"/>
      <c r="I108" s="71"/>
      <c r="J108" s="71"/>
      <c r="K108" s="71"/>
      <c r="L108" s="302">
        <f t="shared" si="23"/>
        <v>1900</v>
      </c>
      <c r="M108" s="302" t="str">
        <f t="shared" si="24"/>
        <v>4</v>
      </c>
      <c r="N108" s="1019" t="e">
        <f t="shared" si="25"/>
        <v>#DIV/0!</v>
      </c>
    </row>
    <row r="109" spans="1:14">
      <c r="A109" s="1015">
        <f t="shared" si="22"/>
        <v>19004</v>
      </c>
      <c r="B109" s="15"/>
      <c r="C109" s="796"/>
      <c r="D109" s="798"/>
      <c r="E109" s="530"/>
      <c r="H109" s="71"/>
      <c r="I109" s="71"/>
      <c r="J109" s="71"/>
      <c r="K109" s="71"/>
      <c r="L109" s="302">
        <f t="shared" si="23"/>
        <v>1900</v>
      </c>
      <c r="M109" s="302" t="str">
        <f t="shared" si="24"/>
        <v>4</v>
      </c>
      <c r="N109" s="1019" t="e">
        <f t="shared" si="25"/>
        <v>#DIV/0!</v>
      </c>
    </row>
    <row r="110" spans="1:14">
      <c r="A110" s="1015">
        <f t="shared" si="22"/>
        <v>19004</v>
      </c>
      <c r="B110" s="15"/>
      <c r="C110" s="796"/>
      <c r="D110" s="798"/>
      <c r="E110" s="530"/>
      <c r="H110" s="71"/>
      <c r="I110" s="71"/>
      <c r="J110" s="71"/>
      <c r="K110" s="71"/>
      <c r="L110" s="302">
        <f t="shared" si="23"/>
        <v>1900</v>
      </c>
      <c r="M110" s="302" t="str">
        <f t="shared" si="24"/>
        <v>4</v>
      </c>
      <c r="N110" s="1019" t="e">
        <f t="shared" si="25"/>
        <v>#DIV/0!</v>
      </c>
    </row>
    <row r="111" spans="1:14">
      <c r="A111" s="1015">
        <f t="shared" si="22"/>
        <v>19004</v>
      </c>
      <c r="B111" s="15"/>
      <c r="C111" s="796"/>
      <c r="D111" s="798"/>
      <c r="E111" s="530"/>
      <c r="H111" s="71"/>
      <c r="I111" s="71"/>
      <c r="J111" s="71"/>
      <c r="K111" s="71"/>
      <c r="L111" s="302">
        <f t="shared" si="23"/>
        <v>1900</v>
      </c>
      <c r="M111" s="302" t="str">
        <f t="shared" si="24"/>
        <v>4</v>
      </c>
      <c r="N111" s="1019" t="e">
        <f t="shared" si="25"/>
        <v>#DIV/0!</v>
      </c>
    </row>
    <row r="112" spans="1:14">
      <c r="A112" s="1015">
        <f t="shared" si="22"/>
        <v>19004</v>
      </c>
      <c r="B112" s="15"/>
      <c r="C112" s="796"/>
      <c r="D112" s="798"/>
      <c r="E112" s="530"/>
      <c r="H112" s="71"/>
      <c r="I112" s="71"/>
      <c r="J112" s="71"/>
      <c r="K112" s="71"/>
      <c r="L112" s="302">
        <f t="shared" si="23"/>
        <v>1900</v>
      </c>
      <c r="M112" s="302" t="str">
        <f t="shared" si="24"/>
        <v>4</v>
      </c>
      <c r="N112" s="1019" t="e">
        <f t="shared" si="25"/>
        <v>#DIV/0!</v>
      </c>
    </row>
    <row r="113" spans="1:14">
      <c r="A113" s="1015">
        <f t="shared" si="22"/>
        <v>19004</v>
      </c>
      <c r="B113" s="15"/>
      <c r="C113" s="796"/>
      <c r="D113" s="798"/>
      <c r="E113" s="530"/>
      <c r="H113" s="71"/>
      <c r="I113" s="71"/>
      <c r="J113" s="71"/>
      <c r="K113" s="71"/>
      <c r="L113" s="302">
        <f t="shared" si="23"/>
        <v>1900</v>
      </c>
      <c r="M113" s="302" t="str">
        <f t="shared" si="24"/>
        <v>4</v>
      </c>
      <c r="N113" s="1019" t="e">
        <f t="shared" si="25"/>
        <v>#DIV/0!</v>
      </c>
    </row>
    <row r="114" spans="1:14">
      <c r="A114" s="1015">
        <f t="shared" si="22"/>
        <v>19004</v>
      </c>
      <c r="B114" s="15"/>
      <c r="C114" s="796"/>
      <c r="D114" s="798"/>
      <c r="E114" s="530"/>
      <c r="H114" s="71"/>
      <c r="I114" s="71"/>
      <c r="J114" s="71"/>
      <c r="K114" s="71"/>
      <c r="L114" s="302">
        <f t="shared" si="23"/>
        <v>1900</v>
      </c>
      <c r="M114" s="302" t="str">
        <f t="shared" si="24"/>
        <v>4</v>
      </c>
      <c r="N114" s="1019" t="e">
        <f t="shared" si="25"/>
        <v>#DIV/0!</v>
      </c>
    </row>
    <row r="115" spans="1:14">
      <c r="A115" s="1015">
        <f t="shared" si="22"/>
        <v>19004</v>
      </c>
      <c r="B115" s="15"/>
      <c r="C115" s="796"/>
      <c r="D115" s="798"/>
      <c r="E115" s="530"/>
      <c r="H115" s="71"/>
      <c r="I115" s="71"/>
      <c r="J115" s="71"/>
      <c r="K115" s="71"/>
      <c r="L115" s="302">
        <f t="shared" si="23"/>
        <v>1900</v>
      </c>
      <c r="M115" s="302" t="str">
        <f t="shared" si="24"/>
        <v>4</v>
      </c>
      <c r="N115" s="1019" t="e">
        <f t="shared" si="25"/>
        <v>#DIV/0!</v>
      </c>
    </row>
    <row r="116" spans="1:14">
      <c r="A116" s="1015">
        <f t="shared" si="22"/>
        <v>19004</v>
      </c>
      <c r="B116" s="15"/>
      <c r="C116" s="796"/>
      <c r="D116" s="798"/>
      <c r="E116" s="530"/>
      <c r="H116" s="71"/>
      <c r="I116" s="71"/>
      <c r="J116" s="71"/>
      <c r="K116" s="71"/>
      <c r="L116" s="302">
        <f t="shared" si="23"/>
        <v>1900</v>
      </c>
      <c r="M116" s="302" t="str">
        <f t="shared" si="24"/>
        <v>4</v>
      </c>
      <c r="N116" s="1019" t="e">
        <f t="shared" si="25"/>
        <v>#DIV/0!</v>
      </c>
    </row>
    <row r="117" spans="1:14">
      <c r="A117" s="1015">
        <f t="shared" si="22"/>
        <v>19004</v>
      </c>
      <c r="B117" s="15"/>
      <c r="C117" s="796"/>
      <c r="D117" s="798"/>
      <c r="E117" s="530"/>
      <c r="H117" s="71"/>
      <c r="I117" s="71"/>
      <c r="J117" s="71"/>
      <c r="K117" s="71"/>
      <c r="L117" s="302">
        <f t="shared" si="23"/>
        <v>1900</v>
      </c>
      <c r="M117" s="302" t="str">
        <f t="shared" si="24"/>
        <v>4</v>
      </c>
      <c r="N117" s="1019" t="e">
        <f t="shared" si="25"/>
        <v>#DIV/0!</v>
      </c>
    </row>
    <row r="118" spans="1:14">
      <c r="A118" s="1015">
        <f t="shared" si="22"/>
        <v>19004</v>
      </c>
      <c r="B118" s="15"/>
      <c r="C118" s="796"/>
      <c r="D118" s="798"/>
      <c r="E118" s="530"/>
      <c r="H118" s="71"/>
      <c r="I118" s="71"/>
      <c r="J118" s="71"/>
      <c r="K118" s="71"/>
      <c r="L118" s="302">
        <f t="shared" si="23"/>
        <v>1900</v>
      </c>
      <c r="M118" s="302" t="str">
        <f t="shared" si="24"/>
        <v>4</v>
      </c>
      <c r="N118" s="1019" t="e">
        <f t="shared" si="25"/>
        <v>#DIV/0!</v>
      </c>
    </row>
    <row r="119" spans="1:14">
      <c r="A119" s="1015">
        <f t="shared" si="22"/>
        <v>19004</v>
      </c>
      <c r="B119" s="15"/>
      <c r="C119" s="796"/>
      <c r="D119" s="798"/>
      <c r="E119" s="530"/>
      <c r="H119" s="71"/>
      <c r="I119" s="71"/>
      <c r="J119" s="71"/>
      <c r="K119" s="71"/>
      <c r="L119" s="302">
        <f t="shared" si="23"/>
        <v>1900</v>
      </c>
      <c r="M119" s="302" t="str">
        <f t="shared" si="24"/>
        <v>4</v>
      </c>
      <c r="N119" s="1019" t="e">
        <f t="shared" si="25"/>
        <v>#DIV/0!</v>
      </c>
    </row>
    <row r="120" spans="1:14">
      <c r="A120" s="1015">
        <f t="shared" si="22"/>
        <v>19004</v>
      </c>
      <c r="B120" s="15"/>
      <c r="C120" s="796"/>
      <c r="D120" s="798"/>
      <c r="E120" s="530"/>
      <c r="H120" s="71"/>
      <c r="I120" s="71"/>
      <c r="J120" s="71"/>
      <c r="K120" s="71"/>
      <c r="L120" s="302">
        <f t="shared" si="23"/>
        <v>1900</v>
      </c>
      <c r="M120" s="302" t="str">
        <f t="shared" si="24"/>
        <v>4</v>
      </c>
      <c r="N120" s="1019" t="e">
        <f t="shared" si="25"/>
        <v>#DIV/0!</v>
      </c>
    </row>
    <row r="121" spans="1:14">
      <c r="A121" s="1015">
        <f t="shared" si="22"/>
        <v>19004</v>
      </c>
      <c r="B121" s="15"/>
      <c r="C121" s="796"/>
      <c r="D121" s="798"/>
      <c r="E121" s="530"/>
      <c r="H121" s="71"/>
      <c r="I121" s="71"/>
      <c r="J121" s="71"/>
      <c r="K121" s="71"/>
      <c r="L121" s="302">
        <f t="shared" si="23"/>
        <v>1900</v>
      </c>
      <c r="M121" s="302" t="str">
        <f t="shared" si="24"/>
        <v>4</v>
      </c>
      <c r="N121" s="1019" t="e">
        <f t="shared" si="25"/>
        <v>#DIV/0!</v>
      </c>
    </row>
    <row r="122" spans="1:14">
      <c r="A122" s="1015">
        <f t="shared" si="22"/>
        <v>19004</v>
      </c>
      <c r="B122" s="15"/>
      <c r="C122" s="796"/>
      <c r="D122" s="798"/>
      <c r="E122" s="530"/>
      <c r="H122" s="71"/>
      <c r="I122" s="71"/>
      <c r="J122" s="71"/>
      <c r="K122" s="71"/>
      <c r="L122" s="302">
        <f t="shared" si="23"/>
        <v>1900</v>
      </c>
      <c r="M122" s="302" t="str">
        <f t="shared" si="24"/>
        <v>4</v>
      </c>
      <c r="N122" s="1019" t="e">
        <f t="shared" si="25"/>
        <v>#DIV/0!</v>
      </c>
    </row>
    <row r="123" spans="1:14">
      <c r="A123" s="1015">
        <f t="shared" si="22"/>
        <v>19004</v>
      </c>
      <c r="B123" s="15"/>
      <c r="C123" s="796"/>
      <c r="D123" s="798"/>
      <c r="E123" s="530"/>
      <c r="H123" s="71"/>
      <c r="I123" s="71"/>
      <c r="J123" s="71"/>
      <c r="K123" s="71"/>
      <c r="L123" s="302">
        <f t="shared" si="23"/>
        <v>1900</v>
      </c>
      <c r="M123" s="302" t="str">
        <f t="shared" si="24"/>
        <v>4</v>
      </c>
      <c r="N123" s="1019" t="e">
        <f t="shared" si="25"/>
        <v>#DIV/0!</v>
      </c>
    </row>
    <row r="124" spans="1:14">
      <c r="A124" s="1015">
        <f t="shared" si="22"/>
        <v>19004</v>
      </c>
      <c r="B124" s="15"/>
      <c r="C124" s="796"/>
      <c r="D124" s="798"/>
      <c r="E124" s="530"/>
      <c r="H124" s="71"/>
      <c r="I124" s="71"/>
      <c r="J124" s="71"/>
      <c r="K124" s="71"/>
      <c r="L124" s="302">
        <f t="shared" si="23"/>
        <v>1900</v>
      </c>
      <c r="M124" s="302" t="str">
        <f t="shared" si="24"/>
        <v>4</v>
      </c>
      <c r="N124" s="1019" t="e">
        <f t="shared" si="25"/>
        <v>#DIV/0!</v>
      </c>
    </row>
    <row r="125" spans="1:14">
      <c r="A125" s="1015">
        <f t="shared" si="22"/>
        <v>19004</v>
      </c>
      <c r="B125" s="15"/>
      <c r="C125" s="796"/>
      <c r="D125" s="798"/>
      <c r="E125" s="530"/>
      <c r="H125" s="71"/>
      <c r="I125" s="71"/>
      <c r="J125" s="71"/>
      <c r="K125" s="71"/>
      <c r="L125" s="302">
        <f t="shared" si="23"/>
        <v>1900</v>
      </c>
      <c r="M125" s="302" t="str">
        <f t="shared" si="24"/>
        <v>4</v>
      </c>
      <c r="N125" s="1019" t="e">
        <f t="shared" si="25"/>
        <v>#DIV/0!</v>
      </c>
    </row>
    <row r="126" spans="1:14">
      <c r="A126" s="1015">
        <f t="shared" si="22"/>
        <v>19004</v>
      </c>
      <c r="B126" s="15"/>
      <c r="C126" s="796"/>
      <c r="D126" s="798"/>
      <c r="E126" s="530"/>
      <c r="H126" s="71"/>
      <c r="I126" s="71"/>
      <c r="J126" s="71"/>
      <c r="K126" s="71"/>
      <c r="L126" s="302">
        <f t="shared" si="23"/>
        <v>1900</v>
      </c>
      <c r="M126" s="302" t="str">
        <f t="shared" si="24"/>
        <v>4</v>
      </c>
      <c r="N126" s="1019" t="e">
        <f t="shared" si="25"/>
        <v>#DIV/0!</v>
      </c>
    </row>
    <row r="127" spans="1:14">
      <c r="A127" s="1015">
        <f t="shared" si="22"/>
        <v>19004</v>
      </c>
      <c r="B127" s="15"/>
      <c r="C127" s="796"/>
      <c r="D127" s="798"/>
      <c r="E127" s="530"/>
      <c r="H127" s="71"/>
      <c r="I127" s="71"/>
      <c r="J127" s="71"/>
      <c r="K127" s="71"/>
      <c r="L127" s="302">
        <f t="shared" si="23"/>
        <v>1900</v>
      </c>
      <c r="M127" s="302" t="str">
        <f t="shared" si="24"/>
        <v>4</v>
      </c>
      <c r="N127" s="1019" t="e">
        <f t="shared" si="25"/>
        <v>#DIV/0!</v>
      </c>
    </row>
    <row r="128" spans="1:14">
      <c r="A128" s="1015">
        <f t="shared" si="22"/>
        <v>19004</v>
      </c>
      <c r="B128" s="15"/>
      <c r="C128" s="796"/>
      <c r="D128" s="798"/>
      <c r="E128" s="530"/>
      <c r="H128" s="71"/>
      <c r="I128" s="71"/>
      <c r="J128" s="71"/>
      <c r="K128" s="71"/>
      <c r="L128" s="302">
        <f t="shared" si="23"/>
        <v>1900</v>
      </c>
      <c r="M128" s="302" t="str">
        <f t="shared" si="24"/>
        <v>4</v>
      </c>
      <c r="N128" s="1019" t="e">
        <f t="shared" si="25"/>
        <v>#DIV/0!</v>
      </c>
    </row>
    <row r="129" spans="1:14">
      <c r="A129" s="1015">
        <f t="shared" si="22"/>
        <v>19004</v>
      </c>
      <c r="B129" s="15"/>
      <c r="C129" s="796"/>
      <c r="D129" s="798"/>
      <c r="E129" s="530"/>
      <c r="H129" s="71"/>
      <c r="I129" s="71"/>
      <c r="J129" s="71"/>
      <c r="K129" s="71"/>
      <c r="L129" s="302">
        <f t="shared" si="23"/>
        <v>1900</v>
      </c>
      <c r="M129" s="302" t="str">
        <f t="shared" si="24"/>
        <v>4</v>
      </c>
      <c r="N129" s="1019" t="e">
        <f t="shared" si="25"/>
        <v>#DIV/0!</v>
      </c>
    </row>
    <row r="130" spans="1:14">
      <c r="A130" s="1015">
        <f t="shared" si="22"/>
        <v>19004</v>
      </c>
      <c r="B130" s="15"/>
      <c r="C130" s="796"/>
      <c r="D130" s="798"/>
      <c r="E130" s="530"/>
      <c r="H130" s="71"/>
      <c r="I130" s="71"/>
      <c r="J130" s="71"/>
      <c r="K130" s="71"/>
      <c r="L130" s="302">
        <f t="shared" si="23"/>
        <v>1900</v>
      </c>
      <c r="M130" s="302" t="str">
        <f t="shared" si="24"/>
        <v>4</v>
      </c>
      <c r="N130" s="1019" t="e">
        <f t="shared" si="25"/>
        <v>#DIV/0!</v>
      </c>
    </row>
    <row r="131" spans="1:14">
      <c r="A131" s="1015">
        <f t="shared" si="22"/>
        <v>19004</v>
      </c>
      <c r="B131" s="15"/>
      <c r="C131" s="796"/>
      <c r="D131" s="798"/>
      <c r="E131" s="530"/>
      <c r="H131" s="71"/>
      <c r="I131" s="71"/>
      <c r="J131" s="71"/>
      <c r="K131" s="71"/>
      <c r="L131" s="302">
        <f t="shared" si="23"/>
        <v>1900</v>
      </c>
      <c r="M131" s="302" t="str">
        <f t="shared" si="24"/>
        <v>4</v>
      </c>
      <c r="N131" s="1019" t="e">
        <f t="shared" si="25"/>
        <v>#DIV/0!</v>
      </c>
    </row>
    <row r="132" spans="1:14">
      <c r="A132" s="1015">
        <f t="shared" si="22"/>
        <v>19004</v>
      </c>
      <c r="B132" s="15"/>
      <c r="C132" s="796"/>
      <c r="D132" s="798"/>
      <c r="E132" s="530"/>
      <c r="H132" s="71"/>
      <c r="I132" s="71"/>
      <c r="J132" s="71"/>
      <c r="K132" s="71"/>
      <c r="L132" s="302">
        <f t="shared" si="23"/>
        <v>1900</v>
      </c>
      <c r="M132" s="302" t="str">
        <f t="shared" si="24"/>
        <v>4</v>
      </c>
      <c r="N132" s="1019" t="e">
        <f t="shared" si="25"/>
        <v>#DIV/0!</v>
      </c>
    </row>
    <row r="133" spans="1:14">
      <c r="A133" s="1015">
        <f t="shared" si="22"/>
        <v>19004</v>
      </c>
      <c r="B133" s="15"/>
      <c r="C133" s="796"/>
      <c r="D133" s="798"/>
      <c r="E133" s="530"/>
      <c r="H133" s="71"/>
      <c r="I133" s="71"/>
      <c r="J133" s="71"/>
      <c r="K133" s="71"/>
      <c r="L133" s="302">
        <f t="shared" si="23"/>
        <v>1900</v>
      </c>
      <c r="M133" s="302" t="str">
        <f t="shared" si="24"/>
        <v>4</v>
      </c>
      <c r="N133" s="1019" t="e">
        <f t="shared" si="25"/>
        <v>#DIV/0!</v>
      </c>
    </row>
    <row r="134" spans="1:14">
      <c r="A134" s="1015">
        <f t="shared" si="22"/>
        <v>19004</v>
      </c>
      <c r="B134" s="15"/>
      <c r="C134" s="796"/>
      <c r="D134" s="798"/>
      <c r="E134" s="530"/>
      <c r="H134" s="71"/>
      <c r="I134" s="71"/>
      <c r="J134" s="71"/>
      <c r="K134" s="71"/>
      <c r="L134" s="302">
        <f t="shared" si="23"/>
        <v>1900</v>
      </c>
      <c r="M134" s="302" t="str">
        <f t="shared" si="24"/>
        <v>4</v>
      </c>
      <c r="N134" s="1019" t="e">
        <f t="shared" si="25"/>
        <v>#DIV/0!</v>
      </c>
    </row>
    <row r="135" spans="1:14">
      <c r="A135" s="1015">
        <f t="shared" si="22"/>
        <v>19004</v>
      </c>
      <c r="B135" s="15"/>
      <c r="C135" s="796"/>
      <c r="D135" s="798"/>
      <c r="E135" s="530"/>
      <c r="H135" s="71"/>
      <c r="I135" s="71"/>
      <c r="J135" s="71"/>
      <c r="K135" s="71"/>
      <c r="L135" s="302">
        <f t="shared" si="23"/>
        <v>1900</v>
      </c>
      <c r="M135" s="302" t="str">
        <f t="shared" si="24"/>
        <v>4</v>
      </c>
      <c r="N135" s="1019" t="e">
        <f t="shared" si="25"/>
        <v>#DIV/0!</v>
      </c>
    </row>
    <row r="136" spans="1:14">
      <c r="A136" s="1015">
        <f t="shared" si="22"/>
        <v>19004</v>
      </c>
      <c r="B136" s="15"/>
      <c r="C136" s="796"/>
      <c r="D136" s="798"/>
      <c r="E136" s="530"/>
      <c r="H136" s="71"/>
      <c r="I136" s="71"/>
      <c r="J136" s="71"/>
      <c r="K136" s="71"/>
      <c r="L136" s="302">
        <f t="shared" si="23"/>
        <v>1900</v>
      </c>
      <c r="M136" s="302" t="str">
        <f t="shared" si="24"/>
        <v>4</v>
      </c>
      <c r="N136" s="1019" t="e">
        <f t="shared" si="25"/>
        <v>#DIV/0!</v>
      </c>
    </row>
    <row r="137" spans="1:14">
      <c r="A137" s="1015">
        <f t="shared" si="22"/>
        <v>19004</v>
      </c>
      <c r="B137" s="15"/>
      <c r="C137" s="796"/>
      <c r="D137" s="798"/>
      <c r="E137" s="530"/>
      <c r="H137" s="71"/>
      <c r="I137" s="71"/>
      <c r="J137" s="71"/>
      <c r="K137" s="71"/>
      <c r="L137" s="302">
        <f t="shared" si="23"/>
        <v>1900</v>
      </c>
      <c r="M137" s="302" t="str">
        <f t="shared" si="24"/>
        <v>4</v>
      </c>
      <c r="N137" s="1019" t="e">
        <f t="shared" si="25"/>
        <v>#DIV/0!</v>
      </c>
    </row>
    <row r="138" spans="1:14">
      <c r="A138" s="1015">
        <f t="shared" ref="A138:A201" si="28">L138*10+M138</f>
        <v>19004</v>
      </c>
      <c r="B138" s="15"/>
      <c r="C138" s="796"/>
      <c r="D138" s="798"/>
      <c r="E138" s="530"/>
      <c r="H138" s="71"/>
      <c r="I138" s="71"/>
      <c r="J138" s="71"/>
      <c r="K138" s="71"/>
      <c r="L138" s="302">
        <f t="shared" ref="L138:L201" si="29">YEAR(B138)</f>
        <v>1900</v>
      </c>
      <c r="M138" s="302" t="str">
        <f t="shared" ref="M138:M201" si="30">IF(MONTH(B138)=3,"1",IF(MONTH(B138)=6,"2",IF(MONTH(B138)=9,"3","4")))</f>
        <v>4</v>
      </c>
      <c r="N138" s="1019" t="e">
        <f t="shared" ref="N138:N201" si="31">K138/J138</f>
        <v>#DIV/0!</v>
      </c>
    </row>
    <row r="139" spans="1:14">
      <c r="A139" s="1015">
        <f t="shared" si="28"/>
        <v>19004</v>
      </c>
      <c r="B139" s="15"/>
      <c r="C139" s="796"/>
      <c r="D139" s="798"/>
      <c r="E139" s="530"/>
      <c r="H139" s="71"/>
      <c r="I139" s="71"/>
      <c r="J139" s="71"/>
      <c r="K139" s="71"/>
      <c r="L139" s="302">
        <f t="shared" si="29"/>
        <v>1900</v>
      </c>
      <c r="M139" s="302" t="str">
        <f t="shared" si="30"/>
        <v>4</v>
      </c>
      <c r="N139" s="1019" t="e">
        <f t="shared" si="31"/>
        <v>#DIV/0!</v>
      </c>
    </row>
    <row r="140" spans="1:14">
      <c r="A140" s="1015">
        <f t="shared" si="28"/>
        <v>19004</v>
      </c>
      <c r="B140" s="15"/>
      <c r="C140" s="796"/>
      <c r="D140" s="798"/>
      <c r="E140" s="530"/>
      <c r="H140" s="71"/>
      <c r="I140" s="71"/>
      <c r="J140" s="71"/>
      <c r="K140" s="71"/>
      <c r="L140" s="302">
        <f t="shared" si="29"/>
        <v>1900</v>
      </c>
      <c r="M140" s="302" t="str">
        <f t="shared" si="30"/>
        <v>4</v>
      </c>
      <c r="N140" s="1019" t="e">
        <f t="shared" si="31"/>
        <v>#DIV/0!</v>
      </c>
    </row>
    <row r="141" spans="1:14">
      <c r="A141" s="1015">
        <f t="shared" si="28"/>
        <v>19004</v>
      </c>
      <c r="B141" s="15"/>
      <c r="C141" s="796"/>
      <c r="D141" s="798"/>
      <c r="E141" s="530"/>
      <c r="H141" s="71"/>
      <c r="I141" s="71"/>
      <c r="J141" s="71"/>
      <c r="K141" s="71"/>
      <c r="L141" s="302">
        <f t="shared" si="29"/>
        <v>1900</v>
      </c>
      <c r="M141" s="302" t="str">
        <f t="shared" si="30"/>
        <v>4</v>
      </c>
      <c r="N141" s="1019" t="e">
        <f t="shared" si="31"/>
        <v>#DIV/0!</v>
      </c>
    </row>
    <row r="142" spans="1:14">
      <c r="A142" s="1015">
        <f t="shared" si="28"/>
        <v>19004</v>
      </c>
      <c r="B142" s="15"/>
      <c r="C142" s="796"/>
      <c r="D142" s="798"/>
      <c r="E142" s="530"/>
      <c r="H142" s="71"/>
      <c r="I142" s="71"/>
      <c r="J142" s="71"/>
      <c r="K142" s="71"/>
      <c r="L142" s="302">
        <f t="shared" si="29"/>
        <v>1900</v>
      </c>
      <c r="M142" s="302" t="str">
        <f t="shared" si="30"/>
        <v>4</v>
      </c>
      <c r="N142" s="1019" t="e">
        <f t="shared" si="31"/>
        <v>#DIV/0!</v>
      </c>
    </row>
    <row r="143" spans="1:14">
      <c r="A143" s="1015">
        <f t="shared" si="28"/>
        <v>19004</v>
      </c>
      <c r="B143" s="15"/>
      <c r="C143" s="796"/>
      <c r="D143" s="798"/>
      <c r="E143" s="530"/>
      <c r="H143" s="71"/>
      <c r="I143" s="71"/>
      <c r="J143" s="71"/>
      <c r="K143" s="71"/>
      <c r="L143" s="302">
        <f t="shared" si="29"/>
        <v>1900</v>
      </c>
      <c r="M143" s="302" t="str">
        <f t="shared" si="30"/>
        <v>4</v>
      </c>
      <c r="N143" s="1019" t="e">
        <f t="shared" si="31"/>
        <v>#DIV/0!</v>
      </c>
    </row>
    <row r="144" spans="1:14">
      <c r="A144" s="1015">
        <f t="shared" si="28"/>
        <v>19004</v>
      </c>
      <c r="B144" s="15"/>
      <c r="C144" s="796"/>
      <c r="D144" s="798"/>
      <c r="E144" s="530"/>
      <c r="H144" s="71"/>
      <c r="I144" s="71"/>
      <c r="J144" s="71"/>
      <c r="K144" s="71"/>
      <c r="L144" s="302">
        <f t="shared" si="29"/>
        <v>1900</v>
      </c>
      <c r="M144" s="302" t="str">
        <f t="shared" si="30"/>
        <v>4</v>
      </c>
      <c r="N144" s="1019" t="e">
        <f t="shared" si="31"/>
        <v>#DIV/0!</v>
      </c>
    </row>
    <row r="145" spans="1:14">
      <c r="A145" s="1015">
        <f t="shared" si="28"/>
        <v>19004</v>
      </c>
      <c r="B145" s="15"/>
      <c r="C145" s="796"/>
      <c r="D145" s="798"/>
      <c r="E145" s="530"/>
      <c r="H145" s="71"/>
      <c r="I145" s="71"/>
      <c r="J145" s="71"/>
      <c r="K145" s="71"/>
      <c r="L145" s="302">
        <f t="shared" si="29"/>
        <v>1900</v>
      </c>
      <c r="M145" s="302" t="str">
        <f t="shared" si="30"/>
        <v>4</v>
      </c>
      <c r="N145" s="1019" t="e">
        <f t="shared" si="31"/>
        <v>#DIV/0!</v>
      </c>
    </row>
    <row r="146" spans="1:14">
      <c r="A146" s="1015">
        <f t="shared" si="28"/>
        <v>19004</v>
      </c>
      <c r="B146" s="15"/>
      <c r="H146" s="71"/>
      <c r="I146" s="71"/>
      <c r="J146" s="71"/>
      <c r="K146" s="71"/>
      <c r="L146" s="302">
        <f t="shared" si="29"/>
        <v>1900</v>
      </c>
      <c r="M146" s="302" t="str">
        <f t="shared" si="30"/>
        <v>4</v>
      </c>
      <c r="N146" s="1019" t="e">
        <f t="shared" si="31"/>
        <v>#DIV/0!</v>
      </c>
    </row>
    <row r="147" spans="1:14">
      <c r="A147" s="1015">
        <f t="shared" si="28"/>
        <v>19004</v>
      </c>
      <c r="B147" s="15"/>
      <c r="H147" s="71"/>
      <c r="I147" s="71"/>
      <c r="J147" s="71"/>
      <c r="K147" s="71"/>
      <c r="L147" s="302">
        <f t="shared" si="29"/>
        <v>1900</v>
      </c>
      <c r="M147" s="302" t="str">
        <f t="shared" si="30"/>
        <v>4</v>
      </c>
      <c r="N147" s="1019" t="e">
        <f t="shared" si="31"/>
        <v>#DIV/0!</v>
      </c>
    </row>
    <row r="148" spans="1:14">
      <c r="A148" s="1015">
        <f t="shared" si="28"/>
        <v>19004</v>
      </c>
      <c r="B148" s="15"/>
      <c r="H148" s="71"/>
      <c r="I148" s="71"/>
      <c r="J148" s="71"/>
      <c r="K148" s="71"/>
      <c r="L148" s="302">
        <f t="shared" si="29"/>
        <v>1900</v>
      </c>
      <c r="M148" s="302" t="str">
        <f t="shared" si="30"/>
        <v>4</v>
      </c>
      <c r="N148" s="1019" t="e">
        <f t="shared" si="31"/>
        <v>#DIV/0!</v>
      </c>
    </row>
    <row r="149" spans="1:14">
      <c r="A149" s="1015">
        <f t="shared" si="28"/>
        <v>19004</v>
      </c>
      <c r="B149" s="15"/>
      <c r="H149" s="71"/>
      <c r="I149" s="71"/>
      <c r="J149" s="71"/>
      <c r="K149" s="71"/>
      <c r="L149" s="302">
        <f t="shared" si="29"/>
        <v>1900</v>
      </c>
      <c r="M149" s="302" t="str">
        <f t="shared" si="30"/>
        <v>4</v>
      </c>
      <c r="N149" s="1019" t="e">
        <f t="shared" si="31"/>
        <v>#DIV/0!</v>
      </c>
    </row>
    <row r="150" spans="1:14">
      <c r="A150" s="1015">
        <f t="shared" si="28"/>
        <v>19004</v>
      </c>
      <c r="B150" s="15"/>
      <c r="H150" s="71"/>
      <c r="I150" s="71"/>
      <c r="J150" s="71"/>
      <c r="K150" s="71"/>
      <c r="L150" s="302">
        <f t="shared" si="29"/>
        <v>1900</v>
      </c>
      <c r="M150" s="302" t="str">
        <f t="shared" si="30"/>
        <v>4</v>
      </c>
      <c r="N150" s="1019" t="e">
        <f t="shared" si="31"/>
        <v>#DIV/0!</v>
      </c>
    </row>
    <row r="151" spans="1:14">
      <c r="A151" s="1015">
        <f t="shared" si="28"/>
        <v>19004</v>
      </c>
      <c r="B151" s="15"/>
      <c r="H151" s="71"/>
      <c r="I151" s="71"/>
      <c r="J151" s="71"/>
      <c r="K151" s="71"/>
      <c r="L151" s="302">
        <f t="shared" si="29"/>
        <v>1900</v>
      </c>
      <c r="M151" s="302" t="str">
        <f t="shared" si="30"/>
        <v>4</v>
      </c>
      <c r="N151" s="1019" t="e">
        <f t="shared" si="31"/>
        <v>#DIV/0!</v>
      </c>
    </row>
    <row r="152" spans="1:14">
      <c r="A152" s="1015">
        <f t="shared" si="28"/>
        <v>19004</v>
      </c>
      <c r="B152" s="15"/>
      <c r="H152" s="71"/>
      <c r="I152" s="71"/>
      <c r="J152" s="71"/>
      <c r="K152" s="71"/>
      <c r="L152" s="302">
        <f t="shared" si="29"/>
        <v>1900</v>
      </c>
      <c r="M152" s="302" t="str">
        <f t="shared" si="30"/>
        <v>4</v>
      </c>
      <c r="N152" s="1019" t="e">
        <f t="shared" si="31"/>
        <v>#DIV/0!</v>
      </c>
    </row>
    <row r="153" spans="1:14">
      <c r="A153" s="1015">
        <f t="shared" si="28"/>
        <v>19004</v>
      </c>
      <c r="B153" s="15"/>
      <c r="H153" s="71"/>
      <c r="I153" s="71"/>
      <c r="J153" s="71"/>
      <c r="K153" s="71"/>
      <c r="L153" s="302">
        <f t="shared" si="29"/>
        <v>1900</v>
      </c>
      <c r="M153" s="302" t="str">
        <f t="shared" si="30"/>
        <v>4</v>
      </c>
      <c r="N153" s="1019" t="e">
        <f t="shared" si="31"/>
        <v>#DIV/0!</v>
      </c>
    </row>
    <row r="154" spans="1:14">
      <c r="A154" s="1015">
        <f t="shared" si="28"/>
        <v>19004</v>
      </c>
      <c r="B154" s="15"/>
      <c r="H154" s="71"/>
      <c r="I154" s="71"/>
      <c r="J154" s="71"/>
      <c r="K154" s="71"/>
      <c r="L154" s="302">
        <f t="shared" si="29"/>
        <v>1900</v>
      </c>
      <c r="M154" s="302" t="str">
        <f t="shared" si="30"/>
        <v>4</v>
      </c>
      <c r="N154" s="1019" t="e">
        <f t="shared" si="31"/>
        <v>#DIV/0!</v>
      </c>
    </row>
    <row r="155" spans="1:14">
      <c r="A155" s="1015">
        <f t="shared" si="28"/>
        <v>19004</v>
      </c>
      <c r="B155" s="15"/>
      <c r="H155" s="71"/>
      <c r="I155" s="71"/>
      <c r="J155" s="71"/>
      <c r="K155" s="71"/>
      <c r="L155" s="302">
        <f t="shared" si="29"/>
        <v>1900</v>
      </c>
      <c r="M155" s="302" t="str">
        <f t="shared" si="30"/>
        <v>4</v>
      </c>
      <c r="N155" s="1019" t="e">
        <f t="shared" si="31"/>
        <v>#DIV/0!</v>
      </c>
    </row>
    <row r="156" spans="1:14">
      <c r="A156" s="1015">
        <f t="shared" si="28"/>
        <v>19004</v>
      </c>
      <c r="B156" s="15"/>
      <c r="H156" s="71"/>
      <c r="I156" s="71"/>
      <c r="J156" s="71"/>
      <c r="K156" s="71"/>
      <c r="L156" s="302">
        <f t="shared" si="29"/>
        <v>1900</v>
      </c>
      <c r="M156" s="302" t="str">
        <f t="shared" si="30"/>
        <v>4</v>
      </c>
      <c r="N156" s="1019" t="e">
        <f t="shared" si="31"/>
        <v>#DIV/0!</v>
      </c>
    </row>
    <row r="157" spans="1:14">
      <c r="A157" s="1015">
        <f t="shared" si="28"/>
        <v>19004</v>
      </c>
      <c r="B157" s="15"/>
      <c r="H157" s="71"/>
      <c r="I157" s="71"/>
      <c r="J157" s="71"/>
      <c r="K157" s="71"/>
      <c r="L157" s="302">
        <f t="shared" si="29"/>
        <v>1900</v>
      </c>
      <c r="M157" s="302" t="str">
        <f t="shared" si="30"/>
        <v>4</v>
      </c>
      <c r="N157" s="1019" t="e">
        <f t="shared" si="31"/>
        <v>#DIV/0!</v>
      </c>
    </row>
    <row r="158" spans="1:14">
      <c r="A158" s="1015">
        <f t="shared" si="28"/>
        <v>19004</v>
      </c>
      <c r="B158" s="15"/>
      <c r="H158" s="71"/>
      <c r="I158" s="71"/>
      <c r="J158" s="71"/>
      <c r="K158" s="71"/>
      <c r="L158" s="302">
        <f t="shared" si="29"/>
        <v>1900</v>
      </c>
      <c r="M158" s="302" t="str">
        <f t="shared" si="30"/>
        <v>4</v>
      </c>
      <c r="N158" s="1019" t="e">
        <f t="shared" si="31"/>
        <v>#DIV/0!</v>
      </c>
    </row>
    <row r="159" spans="1:14">
      <c r="A159" s="1015">
        <f t="shared" si="28"/>
        <v>19004</v>
      </c>
      <c r="B159" s="15"/>
      <c r="H159" s="71"/>
      <c r="I159" s="71"/>
      <c r="J159" s="71"/>
      <c r="K159" s="71"/>
      <c r="L159" s="302">
        <f t="shared" si="29"/>
        <v>1900</v>
      </c>
      <c r="M159" s="302" t="str">
        <f t="shared" si="30"/>
        <v>4</v>
      </c>
      <c r="N159" s="1019" t="e">
        <f t="shared" si="31"/>
        <v>#DIV/0!</v>
      </c>
    </row>
    <row r="160" spans="1:14">
      <c r="A160" s="1015">
        <f t="shared" si="28"/>
        <v>19004</v>
      </c>
      <c r="B160" s="15"/>
      <c r="H160" s="71"/>
      <c r="I160" s="71"/>
      <c r="J160" s="71"/>
      <c r="K160" s="71"/>
      <c r="L160" s="302">
        <f t="shared" si="29"/>
        <v>1900</v>
      </c>
      <c r="M160" s="302" t="str">
        <f t="shared" si="30"/>
        <v>4</v>
      </c>
      <c r="N160" s="1019" t="e">
        <f t="shared" si="31"/>
        <v>#DIV/0!</v>
      </c>
    </row>
    <row r="161" spans="1:14">
      <c r="A161" s="1015">
        <f t="shared" si="28"/>
        <v>19004</v>
      </c>
      <c r="B161" s="15"/>
      <c r="H161" s="71"/>
      <c r="I161" s="71"/>
      <c r="J161" s="71"/>
      <c r="K161" s="71"/>
      <c r="L161" s="302">
        <f t="shared" si="29"/>
        <v>1900</v>
      </c>
      <c r="M161" s="302" t="str">
        <f t="shared" si="30"/>
        <v>4</v>
      </c>
      <c r="N161" s="1019" t="e">
        <f t="shared" si="31"/>
        <v>#DIV/0!</v>
      </c>
    </row>
    <row r="162" spans="1:14">
      <c r="A162" s="1015">
        <f t="shared" si="28"/>
        <v>19004</v>
      </c>
      <c r="B162" s="15"/>
      <c r="H162" s="71"/>
      <c r="I162" s="71"/>
      <c r="J162" s="71"/>
      <c r="K162" s="71"/>
      <c r="L162" s="302">
        <f t="shared" si="29"/>
        <v>1900</v>
      </c>
      <c r="M162" s="302" t="str">
        <f t="shared" si="30"/>
        <v>4</v>
      </c>
      <c r="N162" s="1019" t="e">
        <f t="shared" si="31"/>
        <v>#DIV/0!</v>
      </c>
    </row>
    <row r="163" spans="1:14">
      <c r="A163" s="1015">
        <f t="shared" si="28"/>
        <v>19004</v>
      </c>
      <c r="B163" s="15"/>
      <c r="H163" s="71"/>
      <c r="I163" s="71"/>
      <c r="J163" s="71"/>
      <c r="K163" s="71"/>
      <c r="L163" s="302">
        <f t="shared" si="29"/>
        <v>1900</v>
      </c>
      <c r="M163" s="302" t="str">
        <f t="shared" si="30"/>
        <v>4</v>
      </c>
      <c r="N163" s="1019" t="e">
        <f t="shared" si="31"/>
        <v>#DIV/0!</v>
      </c>
    </row>
    <row r="164" spans="1:14">
      <c r="A164" s="1015">
        <f t="shared" si="28"/>
        <v>19004</v>
      </c>
      <c r="B164" s="15"/>
      <c r="H164" s="71"/>
      <c r="I164" s="71"/>
      <c r="J164" s="71"/>
      <c r="K164" s="71"/>
      <c r="L164" s="302">
        <f t="shared" si="29"/>
        <v>1900</v>
      </c>
      <c r="M164" s="302" t="str">
        <f t="shared" si="30"/>
        <v>4</v>
      </c>
      <c r="N164" s="1019" t="e">
        <f t="shared" si="31"/>
        <v>#DIV/0!</v>
      </c>
    </row>
    <row r="165" spans="1:14">
      <c r="A165" s="1015">
        <f t="shared" si="28"/>
        <v>19004</v>
      </c>
      <c r="B165" s="15"/>
      <c r="H165" s="71"/>
      <c r="I165" s="71"/>
      <c r="J165" s="71"/>
      <c r="K165" s="71"/>
      <c r="L165" s="302">
        <f t="shared" si="29"/>
        <v>1900</v>
      </c>
      <c r="M165" s="302" t="str">
        <f t="shared" si="30"/>
        <v>4</v>
      </c>
      <c r="N165" s="1019" t="e">
        <f t="shared" si="31"/>
        <v>#DIV/0!</v>
      </c>
    </row>
    <row r="166" spans="1:14">
      <c r="A166" s="1015">
        <f t="shared" si="28"/>
        <v>19004</v>
      </c>
      <c r="B166" s="15"/>
      <c r="H166" s="71"/>
      <c r="I166" s="71"/>
      <c r="J166" s="71"/>
      <c r="K166" s="71"/>
      <c r="L166" s="302">
        <f t="shared" si="29"/>
        <v>1900</v>
      </c>
      <c r="M166" s="302" t="str">
        <f t="shared" si="30"/>
        <v>4</v>
      </c>
      <c r="N166" s="1019" t="e">
        <f t="shared" si="31"/>
        <v>#DIV/0!</v>
      </c>
    </row>
    <row r="167" spans="1:14">
      <c r="A167" s="1015">
        <f t="shared" si="28"/>
        <v>19004</v>
      </c>
      <c r="B167" s="15"/>
      <c r="H167" s="71"/>
      <c r="I167" s="71"/>
      <c r="J167" s="71"/>
      <c r="K167" s="71"/>
      <c r="L167" s="302">
        <f t="shared" si="29"/>
        <v>1900</v>
      </c>
      <c r="M167" s="302" t="str">
        <f t="shared" si="30"/>
        <v>4</v>
      </c>
      <c r="N167" s="1019" t="e">
        <f t="shared" si="31"/>
        <v>#DIV/0!</v>
      </c>
    </row>
    <row r="168" spans="1:14">
      <c r="A168" s="1015">
        <f t="shared" si="28"/>
        <v>19004</v>
      </c>
      <c r="B168" s="15"/>
      <c r="H168" s="71"/>
      <c r="I168" s="71"/>
      <c r="J168" s="71"/>
      <c r="K168" s="71"/>
      <c r="L168" s="302">
        <f t="shared" si="29"/>
        <v>1900</v>
      </c>
      <c r="M168" s="302" t="str">
        <f t="shared" si="30"/>
        <v>4</v>
      </c>
      <c r="N168" s="1019" t="e">
        <f t="shared" si="31"/>
        <v>#DIV/0!</v>
      </c>
    </row>
    <row r="169" spans="1:14">
      <c r="A169" s="1015">
        <f t="shared" si="28"/>
        <v>19004</v>
      </c>
      <c r="B169" s="15"/>
      <c r="H169" s="71"/>
      <c r="I169" s="71"/>
      <c r="J169" s="71"/>
      <c r="K169" s="71"/>
      <c r="L169" s="302">
        <f t="shared" si="29"/>
        <v>1900</v>
      </c>
      <c r="M169" s="302" t="str">
        <f t="shared" si="30"/>
        <v>4</v>
      </c>
      <c r="N169" s="1019" t="e">
        <f t="shared" si="31"/>
        <v>#DIV/0!</v>
      </c>
    </row>
    <row r="170" spans="1:14">
      <c r="A170" s="1015">
        <f t="shared" si="28"/>
        <v>19004</v>
      </c>
      <c r="B170" s="15"/>
      <c r="H170" s="71"/>
      <c r="I170" s="71"/>
      <c r="J170" s="71"/>
      <c r="K170" s="71"/>
      <c r="L170" s="302">
        <f t="shared" si="29"/>
        <v>1900</v>
      </c>
      <c r="M170" s="302" t="str">
        <f t="shared" si="30"/>
        <v>4</v>
      </c>
      <c r="N170" s="1019" t="e">
        <f t="shared" si="31"/>
        <v>#DIV/0!</v>
      </c>
    </row>
    <row r="171" spans="1:14">
      <c r="A171" s="1015">
        <f t="shared" si="28"/>
        <v>19004</v>
      </c>
      <c r="B171" s="15"/>
      <c r="H171" s="71"/>
      <c r="I171" s="71"/>
      <c r="J171" s="71"/>
      <c r="K171" s="71"/>
      <c r="L171" s="302">
        <f t="shared" si="29"/>
        <v>1900</v>
      </c>
      <c r="M171" s="302" t="str">
        <f t="shared" si="30"/>
        <v>4</v>
      </c>
      <c r="N171" s="1019" t="e">
        <f t="shared" si="31"/>
        <v>#DIV/0!</v>
      </c>
    </row>
    <row r="172" spans="1:14">
      <c r="A172" s="1015">
        <f t="shared" si="28"/>
        <v>19004</v>
      </c>
      <c r="B172" s="15"/>
      <c r="H172" s="71"/>
      <c r="I172" s="71"/>
      <c r="J172" s="71"/>
      <c r="K172" s="71"/>
      <c r="L172" s="302">
        <f t="shared" si="29"/>
        <v>1900</v>
      </c>
      <c r="M172" s="302" t="str">
        <f t="shared" si="30"/>
        <v>4</v>
      </c>
      <c r="N172" s="1019" t="e">
        <f t="shared" si="31"/>
        <v>#DIV/0!</v>
      </c>
    </row>
    <row r="173" spans="1:14">
      <c r="A173" s="1015">
        <f t="shared" si="28"/>
        <v>19004</v>
      </c>
      <c r="B173" s="15"/>
      <c r="H173" s="71"/>
      <c r="I173" s="71"/>
      <c r="J173" s="71"/>
      <c r="K173" s="71"/>
      <c r="L173" s="302">
        <f t="shared" si="29"/>
        <v>1900</v>
      </c>
      <c r="M173" s="302" t="str">
        <f t="shared" si="30"/>
        <v>4</v>
      </c>
      <c r="N173" s="1019" t="e">
        <f t="shared" si="31"/>
        <v>#DIV/0!</v>
      </c>
    </row>
    <row r="174" spans="1:14">
      <c r="A174" s="1015">
        <f t="shared" si="28"/>
        <v>19004</v>
      </c>
      <c r="B174" s="15"/>
      <c r="H174" s="71"/>
      <c r="I174" s="71"/>
      <c r="J174" s="71"/>
      <c r="K174" s="71"/>
      <c r="L174" s="302">
        <f t="shared" si="29"/>
        <v>1900</v>
      </c>
      <c r="M174" s="302" t="str">
        <f t="shared" si="30"/>
        <v>4</v>
      </c>
      <c r="N174" s="1019" t="e">
        <f t="shared" si="31"/>
        <v>#DIV/0!</v>
      </c>
    </row>
    <row r="175" spans="1:14">
      <c r="A175" s="1015">
        <f t="shared" si="28"/>
        <v>19004</v>
      </c>
      <c r="B175" s="15"/>
      <c r="H175" s="71"/>
      <c r="I175" s="71"/>
      <c r="J175" s="71"/>
      <c r="K175" s="71"/>
      <c r="L175" s="302">
        <f t="shared" si="29"/>
        <v>1900</v>
      </c>
      <c r="M175" s="302" t="str">
        <f t="shared" si="30"/>
        <v>4</v>
      </c>
      <c r="N175" s="1019" t="e">
        <f t="shared" si="31"/>
        <v>#DIV/0!</v>
      </c>
    </row>
    <row r="176" spans="1:14">
      <c r="A176" s="1015">
        <f t="shared" si="28"/>
        <v>19004</v>
      </c>
      <c r="B176" s="15"/>
      <c r="H176" s="71"/>
      <c r="I176" s="71"/>
      <c r="J176" s="71"/>
      <c r="K176" s="71"/>
      <c r="L176" s="302">
        <f t="shared" si="29"/>
        <v>1900</v>
      </c>
      <c r="M176" s="302" t="str">
        <f t="shared" si="30"/>
        <v>4</v>
      </c>
      <c r="N176" s="1019" t="e">
        <f t="shared" si="31"/>
        <v>#DIV/0!</v>
      </c>
    </row>
    <row r="177" spans="1:14">
      <c r="A177" s="1015">
        <f t="shared" si="28"/>
        <v>19004</v>
      </c>
      <c r="B177" s="15"/>
      <c r="H177" s="71"/>
      <c r="I177" s="71"/>
      <c r="J177" s="71"/>
      <c r="K177" s="71"/>
      <c r="L177" s="302">
        <f t="shared" si="29"/>
        <v>1900</v>
      </c>
      <c r="M177" s="302" t="str">
        <f t="shared" si="30"/>
        <v>4</v>
      </c>
      <c r="N177" s="1019" t="e">
        <f t="shared" si="31"/>
        <v>#DIV/0!</v>
      </c>
    </row>
    <row r="178" spans="1:14">
      <c r="A178" s="1015">
        <f t="shared" si="28"/>
        <v>19004</v>
      </c>
      <c r="B178" s="15"/>
      <c r="H178" s="71"/>
      <c r="I178" s="71"/>
      <c r="J178" s="71"/>
      <c r="K178" s="71"/>
      <c r="L178" s="302">
        <f t="shared" si="29"/>
        <v>1900</v>
      </c>
      <c r="M178" s="302" t="str">
        <f t="shared" si="30"/>
        <v>4</v>
      </c>
      <c r="N178" s="1019" t="e">
        <f t="shared" si="31"/>
        <v>#DIV/0!</v>
      </c>
    </row>
    <row r="179" spans="1:14">
      <c r="A179" s="1015">
        <f t="shared" si="28"/>
        <v>19004</v>
      </c>
      <c r="B179" s="15"/>
      <c r="H179" s="71"/>
      <c r="I179" s="71"/>
      <c r="J179" s="71"/>
      <c r="K179" s="71"/>
      <c r="L179" s="302">
        <f t="shared" si="29"/>
        <v>1900</v>
      </c>
      <c r="M179" s="302" t="str">
        <f t="shared" si="30"/>
        <v>4</v>
      </c>
      <c r="N179" s="1019" t="e">
        <f t="shared" si="31"/>
        <v>#DIV/0!</v>
      </c>
    </row>
    <row r="180" spans="1:14">
      <c r="A180" s="1015">
        <f t="shared" si="28"/>
        <v>19004</v>
      </c>
      <c r="B180" s="15"/>
      <c r="H180" s="71"/>
      <c r="I180" s="71"/>
      <c r="J180" s="71"/>
      <c r="K180" s="71"/>
      <c r="L180" s="302">
        <f t="shared" si="29"/>
        <v>1900</v>
      </c>
      <c r="M180" s="302" t="str">
        <f t="shared" si="30"/>
        <v>4</v>
      </c>
      <c r="N180" s="1019" t="e">
        <f t="shared" si="31"/>
        <v>#DIV/0!</v>
      </c>
    </row>
    <row r="181" spans="1:14">
      <c r="A181" s="1015">
        <f t="shared" si="28"/>
        <v>19004</v>
      </c>
      <c r="H181" s="71"/>
      <c r="I181" s="71"/>
      <c r="J181" s="71"/>
      <c r="K181" s="71"/>
      <c r="L181" s="302">
        <f t="shared" si="29"/>
        <v>1900</v>
      </c>
      <c r="M181" s="302" t="str">
        <f t="shared" si="30"/>
        <v>4</v>
      </c>
      <c r="N181" s="1019" t="e">
        <f t="shared" si="31"/>
        <v>#DIV/0!</v>
      </c>
    </row>
    <row r="182" spans="1:14">
      <c r="A182" s="1015">
        <f t="shared" si="28"/>
        <v>19004</v>
      </c>
      <c r="H182" s="71"/>
      <c r="I182" s="71"/>
      <c r="J182" s="71"/>
      <c r="K182" s="71"/>
      <c r="L182" s="302">
        <f t="shared" si="29"/>
        <v>1900</v>
      </c>
      <c r="M182" s="302" t="str">
        <f t="shared" si="30"/>
        <v>4</v>
      </c>
      <c r="N182" s="1019" t="e">
        <f t="shared" si="31"/>
        <v>#DIV/0!</v>
      </c>
    </row>
    <row r="183" spans="1:14">
      <c r="A183" s="1015">
        <f t="shared" si="28"/>
        <v>19004</v>
      </c>
      <c r="H183" s="71"/>
      <c r="I183" s="71"/>
      <c r="J183" s="71"/>
      <c r="K183" s="71"/>
      <c r="L183" s="302">
        <f t="shared" si="29"/>
        <v>1900</v>
      </c>
      <c r="M183" s="302" t="str">
        <f t="shared" si="30"/>
        <v>4</v>
      </c>
      <c r="N183" s="1019" t="e">
        <f t="shared" si="31"/>
        <v>#DIV/0!</v>
      </c>
    </row>
    <row r="184" spans="1:14">
      <c r="A184" s="1015">
        <f t="shared" si="28"/>
        <v>19004</v>
      </c>
      <c r="H184" s="71"/>
      <c r="I184" s="71"/>
      <c r="J184" s="71"/>
      <c r="K184" s="71"/>
      <c r="L184" s="302">
        <f t="shared" si="29"/>
        <v>1900</v>
      </c>
      <c r="M184" s="302" t="str">
        <f t="shared" si="30"/>
        <v>4</v>
      </c>
      <c r="N184" s="1019" t="e">
        <f t="shared" si="31"/>
        <v>#DIV/0!</v>
      </c>
    </row>
    <row r="185" spans="1:14">
      <c r="A185" s="1015">
        <f t="shared" si="28"/>
        <v>19004</v>
      </c>
      <c r="H185" s="71"/>
      <c r="I185" s="71"/>
      <c r="J185" s="71"/>
      <c r="K185" s="71"/>
      <c r="L185" s="302">
        <f t="shared" si="29"/>
        <v>1900</v>
      </c>
      <c r="M185" s="302" t="str">
        <f t="shared" si="30"/>
        <v>4</v>
      </c>
      <c r="N185" s="1019" t="e">
        <f t="shared" si="31"/>
        <v>#DIV/0!</v>
      </c>
    </row>
    <row r="186" spans="1:14">
      <c r="A186" s="1015">
        <f t="shared" si="28"/>
        <v>19004</v>
      </c>
      <c r="H186" s="71"/>
      <c r="I186" s="71"/>
      <c r="J186" s="71"/>
      <c r="K186" s="71"/>
      <c r="L186" s="302">
        <f t="shared" si="29"/>
        <v>1900</v>
      </c>
      <c r="M186" s="302" t="str">
        <f t="shared" si="30"/>
        <v>4</v>
      </c>
      <c r="N186" s="1019" t="e">
        <f t="shared" si="31"/>
        <v>#DIV/0!</v>
      </c>
    </row>
    <row r="187" spans="1:14">
      <c r="A187" s="1015">
        <f t="shared" si="28"/>
        <v>19004</v>
      </c>
      <c r="H187" s="71"/>
      <c r="I187" s="71"/>
      <c r="J187" s="71"/>
      <c r="K187" s="71"/>
      <c r="L187" s="302">
        <f t="shared" si="29"/>
        <v>1900</v>
      </c>
      <c r="M187" s="302" t="str">
        <f t="shared" si="30"/>
        <v>4</v>
      </c>
      <c r="N187" s="1019" t="e">
        <f t="shared" si="31"/>
        <v>#DIV/0!</v>
      </c>
    </row>
    <row r="188" spans="1:14">
      <c r="A188" s="1015">
        <f t="shared" si="28"/>
        <v>19004</v>
      </c>
      <c r="H188" s="71"/>
      <c r="I188" s="71"/>
      <c r="J188" s="71"/>
      <c r="K188" s="71"/>
      <c r="L188" s="302">
        <f t="shared" si="29"/>
        <v>1900</v>
      </c>
      <c r="M188" s="302" t="str">
        <f t="shared" si="30"/>
        <v>4</v>
      </c>
      <c r="N188" s="1019" t="e">
        <f t="shared" si="31"/>
        <v>#DIV/0!</v>
      </c>
    </row>
    <row r="189" spans="1:14">
      <c r="A189" s="1015">
        <f t="shared" si="28"/>
        <v>19004</v>
      </c>
      <c r="H189" s="71"/>
      <c r="I189" s="71"/>
      <c r="J189" s="71"/>
      <c r="K189" s="71"/>
      <c r="L189" s="302">
        <f t="shared" si="29"/>
        <v>1900</v>
      </c>
      <c r="M189" s="302" t="str">
        <f t="shared" si="30"/>
        <v>4</v>
      </c>
      <c r="N189" s="1019" t="e">
        <f t="shared" si="31"/>
        <v>#DIV/0!</v>
      </c>
    </row>
    <row r="190" spans="1:14">
      <c r="A190" s="1015">
        <f t="shared" si="28"/>
        <v>19004</v>
      </c>
      <c r="H190" s="71"/>
      <c r="I190" s="71"/>
      <c r="J190" s="71"/>
      <c r="K190" s="71"/>
      <c r="L190" s="302">
        <f t="shared" si="29"/>
        <v>1900</v>
      </c>
      <c r="M190" s="302" t="str">
        <f t="shared" si="30"/>
        <v>4</v>
      </c>
      <c r="N190" s="1019" t="e">
        <f t="shared" si="31"/>
        <v>#DIV/0!</v>
      </c>
    </row>
    <row r="191" spans="1:14">
      <c r="A191" s="1015">
        <f t="shared" si="28"/>
        <v>19004</v>
      </c>
      <c r="H191" s="71"/>
      <c r="I191" s="71"/>
      <c r="J191" s="71"/>
      <c r="K191" s="71"/>
      <c r="L191" s="302">
        <f t="shared" si="29"/>
        <v>1900</v>
      </c>
      <c r="M191" s="302" t="str">
        <f t="shared" si="30"/>
        <v>4</v>
      </c>
      <c r="N191" s="1019" t="e">
        <f t="shared" si="31"/>
        <v>#DIV/0!</v>
      </c>
    </row>
    <row r="192" spans="1:14">
      <c r="A192" s="1015">
        <f t="shared" si="28"/>
        <v>19004</v>
      </c>
      <c r="H192" s="71"/>
      <c r="I192" s="71"/>
      <c r="J192" s="71"/>
      <c r="K192" s="71"/>
      <c r="L192" s="302">
        <f t="shared" si="29"/>
        <v>1900</v>
      </c>
      <c r="M192" s="302" t="str">
        <f t="shared" si="30"/>
        <v>4</v>
      </c>
      <c r="N192" s="1019" t="e">
        <f t="shared" si="31"/>
        <v>#DIV/0!</v>
      </c>
    </row>
    <row r="193" spans="1:14">
      <c r="A193" s="1015">
        <f t="shared" si="28"/>
        <v>19004</v>
      </c>
      <c r="H193" s="71"/>
      <c r="I193" s="71"/>
      <c r="J193" s="71"/>
      <c r="K193" s="71"/>
      <c r="L193" s="302">
        <f t="shared" si="29"/>
        <v>1900</v>
      </c>
      <c r="M193" s="302" t="str">
        <f t="shared" si="30"/>
        <v>4</v>
      </c>
      <c r="N193" s="1019" t="e">
        <f t="shared" si="31"/>
        <v>#DIV/0!</v>
      </c>
    </row>
    <row r="194" spans="1:14">
      <c r="A194" s="1015">
        <f t="shared" si="28"/>
        <v>19004</v>
      </c>
      <c r="H194" s="71"/>
      <c r="I194" s="71"/>
      <c r="J194" s="71"/>
      <c r="K194" s="71"/>
      <c r="L194" s="302">
        <f t="shared" si="29"/>
        <v>1900</v>
      </c>
      <c r="M194" s="302" t="str">
        <f t="shared" si="30"/>
        <v>4</v>
      </c>
      <c r="N194" s="1019" t="e">
        <f t="shared" si="31"/>
        <v>#DIV/0!</v>
      </c>
    </row>
    <row r="195" spans="1:14">
      <c r="A195" s="1015">
        <f t="shared" si="28"/>
        <v>19004</v>
      </c>
      <c r="H195" s="71"/>
      <c r="I195" s="71"/>
      <c r="J195" s="71"/>
      <c r="K195" s="71"/>
      <c r="L195" s="302">
        <f t="shared" si="29"/>
        <v>1900</v>
      </c>
      <c r="M195" s="302" t="str">
        <f t="shared" si="30"/>
        <v>4</v>
      </c>
      <c r="N195" s="1019" t="e">
        <f t="shared" si="31"/>
        <v>#DIV/0!</v>
      </c>
    </row>
    <row r="196" spans="1:14">
      <c r="A196" s="1015">
        <f t="shared" si="28"/>
        <v>19004</v>
      </c>
      <c r="H196" s="71"/>
      <c r="I196" s="71"/>
      <c r="J196" s="71"/>
      <c r="K196" s="71"/>
      <c r="L196" s="302">
        <f t="shared" si="29"/>
        <v>1900</v>
      </c>
      <c r="M196" s="302" t="str">
        <f t="shared" si="30"/>
        <v>4</v>
      </c>
      <c r="N196" s="1019" t="e">
        <f t="shared" si="31"/>
        <v>#DIV/0!</v>
      </c>
    </row>
    <row r="197" spans="1:14">
      <c r="A197" s="1015">
        <f t="shared" si="28"/>
        <v>19004</v>
      </c>
      <c r="H197" s="71"/>
      <c r="I197" s="71"/>
      <c r="J197" s="71"/>
      <c r="K197" s="71"/>
      <c r="L197" s="302">
        <f t="shared" si="29"/>
        <v>1900</v>
      </c>
      <c r="M197" s="302" t="str">
        <f t="shared" si="30"/>
        <v>4</v>
      </c>
      <c r="N197" s="1019" t="e">
        <f t="shared" si="31"/>
        <v>#DIV/0!</v>
      </c>
    </row>
    <row r="198" spans="1:14">
      <c r="A198" s="1015">
        <f t="shared" si="28"/>
        <v>19004</v>
      </c>
      <c r="H198" s="71"/>
      <c r="I198" s="71"/>
      <c r="J198" s="71"/>
      <c r="K198" s="71"/>
      <c r="L198" s="302">
        <f t="shared" si="29"/>
        <v>1900</v>
      </c>
      <c r="M198" s="302" t="str">
        <f t="shared" si="30"/>
        <v>4</v>
      </c>
      <c r="N198" s="1019" t="e">
        <f t="shared" si="31"/>
        <v>#DIV/0!</v>
      </c>
    </row>
    <row r="199" spans="1:14">
      <c r="A199" s="1015">
        <f t="shared" si="28"/>
        <v>19004</v>
      </c>
      <c r="H199" s="71"/>
      <c r="I199" s="71"/>
      <c r="J199" s="71"/>
      <c r="K199" s="71"/>
      <c r="L199" s="302">
        <f t="shared" si="29"/>
        <v>1900</v>
      </c>
      <c r="M199" s="302" t="str">
        <f t="shared" si="30"/>
        <v>4</v>
      </c>
      <c r="N199" s="1019" t="e">
        <f t="shared" si="31"/>
        <v>#DIV/0!</v>
      </c>
    </row>
    <row r="200" spans="1:14">
      <c r="A200" s="1015">
        <f t="shared" si="28"/>
        <v>19004</v>
      </c>
      <c r="H200" s="71"/>
      <c r="I200" s="71"/>
      <c r="J200" s="71"/>
      <c r="K200" s="71"/>
      <c r="L200" s="302">
        <f t="shared" si="29"/>
        <v>1900</v>
      </c>
      <c r="M200" s="302" t="str">
        <f t="shared" si="30"/>
        <v>4</v>
      </c>
      <c r="N200" s="1019" t="e">
        <f t="shared" si="31"/>
        <v>#DIV/0!</v>
      </c>
    </row>
    <row r="201" spans="1:14">
      <c r="A201" s="1015">
        <f t="shared" si="28"/>
        <v>19004</v>
      </c>
      <c r="H201" s="71"/>
      <c r="I201" s="71"/>
      <c r="J201" s="71"/>
      <c r="K201" s="71"/>
      <c r="L201" s="302">
        <f t="shared" si="29"/>
        <v>1900</v>
      </c>
      <c r="M201" s="302" t="str">
        <f t="shared" si="30"/>
        <v>4</v>
      </c>
      <c r="N201" s="1019" t="e">
        <f t="shared" si="31"/>
        <v>#DIV/0!</v>
      </c>
    </row>
    <row r="202" spans="1:14">
      <c r="A202" s="1015">
        <f t="shared" ref="A202:A250" si="32">L202*10+M202</f>
        <v>19004</v>
      </c>
      <c r="H202" s="71"/>
      <c r="I202" s="71"/>
      <c r="J202" s="71"/>
      <c r="K202" s="71"/>
      <c r="L202" s="302">
        <f t="shared" ref="L202:L250" si="33">YEAR(B202)</f>
        <v>1900</v>
      </c>
      <c r="M202" s="302" t="str">
        <f t="shared" ref="M202:M250" si="34">IF(MONTH(B202)=3,"1",IF(MONTH(B202)=6,"2",IF(MONTH(B202)=9,"3","4")))</f>
        <v>4</v>
      </c>
      <c r="N202" s="1019" t="e">
        <f t="shared" ref="N202:N250" si="35">K202/J202</f>
        <v>#DIV/0!</v>
      </c>
    </row>
    <row r="203" spans="1:14">
      <c r="A203" s="1015">
        <f t="shared" si="32"/>
        <v>19004</v>
      </c>
      <c r="H203" s="71"/>
      <c r="I203" s="71"/>
      <c r="J203" s="71"/>
      <c r="K203" s="71"/>
      <c r="L203" s="302">
        <f t="shared" si="33"/>
        <v>1900</v>
      </c>
      <c r="M203" s="302" t="str">
        <f t="shared" si="34"/>
        <v>4</v>
      </c>
      <c r="N203" s="1019" t="e">
        <f t="shared" si="35"/>
        <v>#DIV/0!</v>
      </c>
    </row>
    <row r="204" spans="1:14">
      <c r="A204" s="1015">
        <f t="shared" si="32"/>
        <v>19004</v>
      </c>
      <c r="H204" s="71"/>
      <c r="I204" s="71"/>
      <c r="J204" s="71"/>
      <c r="K204" s="71"/>
      <c r="L204" s="302">
        <f t="shared" si="33"/>
        <v>1900</v>
      </c>
      <c r="M204" s="302" t="str">
        <f t="shared" si="34"/>
        <v>4</v>
      </c>
      <c r="N204" s="1019" t="e">
        <f t="shared" si="35"/>
        <v>#DIV/0!</v>
      </c>
    </row>
    <row r="205" spans="1:14">
      <c r="A205" s="1015">
        <f t="shared" si="32"/>
        <v>19004</v>
      </c>
      <c r="H205" s="71"/>
      <c r="I205" s="71"/>
      <c r="J205" s="71"/>
      <c r="K205" s="71"/>
      <c r="L205" s="302">
        <f t="shared" si="33"/>
        <v>1900</v>
      </c>
      <c r="M205" s="302" t="str">
        <f t="shared" si="34"/>
        <v>4</v>
      </c>
      <c r="N205" s="1019" t="e">
        <f t="shared" si="35"/>
        <v>#DIV/0!</v>
      </c>
    </row>
    <row r="206" spans="1:14">
      <c r="A206" s="1015">
        <f t="shared" si="32"/>
        <v>19004</v>
      </c>
      <c r="H206" s="71"/>
      <c r="I206" s="71"/>
      <c r="J206" s="71"/>
      <c r="K206" s="71"/>
      <c r="L206" s="302">
        <f t="shared" si="33"/>
        <v>1900</v>
      </c>
      <c r="M206" s="302" t="str">
        <f t="shared" si="34"/>
        <v>4</v>
      </c>
      <c r="N206" s="1019" t="e">
        <f t="shared" si="35"/>
        <v>#DIV/0!</v>
      </c>
    </row>
    <row r="207" spans="1:14">
      <c r="A207" s="1015">
        <f t="shared" si="32"/>
        <v>19004</v>
      </c>
      <c r="H207" s="71"/>
      <c r="I207" s="71"/>
      <c r="J207" s="71"/>
      <c r="K207" s="71"/>
      <c r="L207" s="302">
        <f t="shared" si="33"/>
        <v>1900</v>
      </c>
      <c r="M207" s="302" t="str">
        <f t="shared" si="34"/>
        <v>4</v>
      </c>
      <c r="N207" s="1019" t="e">
        <f t="shared" si="35"/>
        <v>#DIV/0!</v>
      </c>
    </row>
    <row r="208" spans="1:14">
      <c r="A208" s="1015">
        <f t="shared" si="32"/>
        <v>19004</v>
      </c>
      <c r="H208" s="71"/>
      <c r="I208" s="71"/>
      <c r="J208" s="71"/>
      <c r="K208" s="71"/>
      <c r="L208" s="302">
        <f t="shared" si="33"/>
        <v>1900</v>
      </c>
      <c r="M208" s="302" t="str">
        <f t="shared" si="34"/>
        <v>4</v>
      </c>
      <c r="N208" s="1019" t="e">
        <f t="shared" si="35"/>
        <v>#DIV/0!</v>
      </c>
    </row>
    <row r="209" spans="1:14">
      <c r="A209" s="1015">
        <f t="shared" si="32"/>
        <v>19004</v>
      </c>
      <c r="H209" s="71"/>
      <c r="I209" s="71"/>
      <c r="J209" s="71"/>
      <c r="K209" s="71"/>
      <c r="L209" s="302">
        <f t="shared" si="33"/>
        <v>1900</v>
      </c>
      <c r="M209" s="302" t="str">
        <f t="shared" si="34"/>
        <v>4</v>
      </c>
      <c r="N209" s="1019" t="e">
        <f t="shared" si="35"/>
        <v>#DIV/0!</v>
      </c>
    </row>
    <row r="210" spans="1:14">
      <c r="A210" s="1015">
        <f t="shared" si="32"/>
        <v>19004</v>
      </c>
      <c r="H210" s="71"/>
      <c r="I210" s="71"/>
      <c r="J210" s="71"/>
      <c r="K210" s="71"/>
      <c r="L210" s="302">
        <f t="shared" si="33"/>
        <v>1900</v>
      </c>
      <c r="M210" s="302" t="str">
        <f t="shared" si="34"/>
        <v>4</v>
      </c>
      <c r="N210" s="1019" t="e">
        <f t="shared" si="35"/>
        <v>#DIV/0!</v>
      </c>
    </row>
    <row r="211" spans="1:14">
      <c r="A211" s="1015">
        <f t="shared" si="32"/>
        <v>19004</v>
      </c>
      <c r="H211" s="71"/>
      <c r="I211" s="71"/>
      <c r="J211" s="71"/>
      <c r="K211" s="71"/>
      <c r="L211" s="302">
        <f t="shared" si="33"/>
        <v>1900</v>
      </c>
      <c r="M211" s="302" t="str">
        <f t="shared" si="34"/>
        <v>4</v>
      </c>
      <c r="N211" s="1019" t="e">
        <f t="shared" si="35"/>
        <v>#DIV/0!</v>
      </c>
    </row>
    <row r="212" spans="1:14">
      <c r="A212" s="1015">
        <f t="shared" si="32"/>
        <v>19004</v>
      </c>
      <c r="H212" s="71"/>
      <c r="I212" s="71"/>
      <c r="J212" s="71"/>
      <c r="K212" s="71"/>
      <c r="L212" s="302">
        <f t="shared" si="33"/>
        <v>1900</v>
      </c>
      <c r="M212" s="302" t="str">
        <f t="shared" si="34"/>
        <v>4</v>
      </c>
      <c r="N212" s="1019" t="e">
        <f t="shared" si="35"/>
        <v>#DIV/0!</v>
      </c>
    </row>
    <row r="213" spans="1:14">
      <c r="A213" s="1015">
        <f t="shared" si="32"/>
        <v>19004</v>
      </c>
      <c r="H213" s="71"/>
      <c r="I213" s="71"/>
      <c r="J213" s="71"/>
      <c r="K213" s="71"/>
      <c r="L213" s="302">
        <f t="shared" si="33"/>
        <v>1900</v>
      </c>
      <c r="M213" s="302" t="str">
        <f t="shared" si="34"/>
        <v>4</v>
      </c>
      <c r="N213" s="1019" t="e">
        <f t="shared" si="35"/>
        <v>#DIV/0!</v>
      </c>
    </row>
    <row r="214" spans="1:14">
      <c r="A214" s="1015">
        <f t="shared" si="32"/>
        <v>19004</v>
      </c>
      <c r="H214" s="71"/>
      <c r="I214" s="71"/>
      <c r="J214" s="71"/>
      <c r="K214" s="71"/>
      <c r="L214" s="302">
        <f t="shared" si="33"/>
        <v>1900</v>
      </c>
      <c r="M214" s="302" t="str">
        <f t="shared" si="34"/>
        <v>4</v>
      </c>
      <c r="N214" s="1019" t="e">
        <f t="shared" si="35"/>
        <v>#DIV/0!</v>
      </c>
    </row>
    <row r="215" spans="1:14">
      <c r="A215" s="1015">
        <f t="shared" si="32"/>
        <v>19004</v>
      </c>
      <c r="H215" s="71"/>
      <c r="I215" s="71"/>
      <c r="J215" s="71"/>
      <c r="K215" s="71"/>
      <c r="L215" s="302">
        <f t="shared" si="33"/>
        <v>1900</v>
      </c>
      <c r="M215" s="302" t="str">
        <f t="shared" si="34"/>
        <v>4</v>
      </c>
      <c r="N215" s="1019" t="e">
        <f t="shared" si="35"/>
        <v>#DIV/0!</v>
      </c>
    </row>
    <row r="216" spans="1:14">
      <c r="A216" s="1015">
        <f t="shared" si="32"/>
        <v>19004</v>
      </c>
      <c r="H216" s="71"/>
      <c r="I216" s="71"/>
      <c r="J216" s="71"/>
      <c r="K216" s="71"/>
      <c r="L216" s="302">
        <f t="shared" si="33"/>
        <v>1900</v>
      </c>
      <c r="M216" s="302" t="str">
        <f t="shared" si="34"/>
        <v>4</v>
      </c>
      <c r="N216" s="1019" t="e">
        <f t="shared" si="35"/>
        <v>#DIV/0!</v>
      </c>
    </row>
    <row r="217" spans="1:14">
      <c r="A217" s="1015">
        <f t="shared" si="32"/>
        <v>19004</v>
      </c>
      <c r="H217" s="71"/>
      <c r="I217" s="71"/>
      <c r="J217" s="71"/>
      <c r="K217" s="71"/>
      <c r="L217" s="302">
        <f t="shared" si="33"/>
        <v>1900</v>
      </c>
      <c r="M217" s="302" t="str">
        <f t="shared" si="34"/>
        <v>4</v>
      </c>
      <c r="N217" s="1019" t="e">
        <f t="shared" si="35"/>
        <v>#DIV/0!</v>
      </c>
    </row>
    <row r="218" spans="1:14">
      <c r="A218" s="1015">
        <f t="shared" si="32"/>
        <v>19004</v>
      </c>
      <c r="H218" s="71"/>
      <c r="I218" s="71"/>
      <c r="J218" s="71"/>
      <c r="K218" s="71"/>
      <c r="L218" s="302">
        <f t="shared" si="33"/>
        <v>1900</v>
      </c>
      <c r="M218" s="302" t="str">
        <f t="shared" si="34"/>
        <v>4</v>
      </c>
      <c r="N218" s="1019" t="e">
        <f t="shared" si="35"/>
        <v>#DIV/0!</v>
      </c>
    </row>
    <row r="219" spans="1:14">
      <c r="A219" s="1015">
        <f t="shared" si="32"/>
        <v>19004</v>
      </c>
      <c r="H219" s="71"/>
      <c r="I219" s="71"/>
      <c r="J219" s="71"/>
      <c r="K219" s="71"/>
      <c r="L219" s="302">
        <f t="shared" si="33"/>
        <v>1900</v>
      </c>
      <c r="M219" s="302" t="str">
        <f t="shared" si="34"/>
        <v>4</v>
      </c>
      <c r="N219" s="1019" t="e">
        <f t="shared" si="35"/>
        <v>#DIV/0!</v>
      </c>
    </row>
    <row r="220" spans="1:14">
      <c r="A220" s="1015">
        <f t="shared" si="32"/>
        <v>19004</v>
      </c>
      <c r="H220" s="71"/>
      <c r="I220" s="71"/>
      <c r="J220" s="71"/>
      <c r="K220" s="71"/>
      <c r="L220" s="302">
        <f t="shared" si="33"/>
        <v>1900</v>
      </c>
      <c r="M220" s="302" t="str">
        <f t="shared" si="34"/>
        <v>4</v>
      </c>
      <c r="N220" s="1019" t="e">
        <f t="shared" si="35"/>
        <v>#DIV/0!</v>
      </c>
    </row>
    <row r="221" spans="1:14">
      <c r="A221" s="1015">
        <f t="shared" si="32"/>
        <v>19004</v>
      </c>
      <c r="H221" s="71"/>
      <c r="I221" s="71"/>
      <c r="J221" s="71"/>
      <c r="K221" s="71"/>
      <c r="L221" s="302">
        <f t="shared" si="33"/>
        <v>1900</v>
      </c>
      <c r="M221" s="302" t="str">
        <f t="shared" si="34"/>
        <v>4</v>
      </c>
      <c r="N221" s="1019" t="e">
        <f t="shared" si="35"/>
        <v>#DIV/0!</v>
      </c>
    </row>
    <row r="222" spans="1:14">
      <c r="A222" s="1015">
        <f t="shared" si="32"/>
        <v>19004</v>
      </c>
      <c r="H222" s="71"/>
      <c r="I222" s="71"/>
      <c r="J222" s="71"/>
      <c r="K222" s="71"/>
      <c r="L222" s="302">
        <f t="shared" si="33"/>
        <v>1900</v>
      </c>
      <c r="M222" s="302" t="str">
        <f t="shared" si="34"/>
        <v>4</v>
      </c>
      <c r="N222" s="1019" t="e">
        <f t="shared" si="35"/>
        <v>#DIV/0!</v>
      </c>
    </row>
    <row r="223" spans="1:14">
      <c r="A223" s="1015">
        <f t="shared" si="32"/>
        <v>19004</v>
      </c>
      <c r="H223" s="71"/>
      <c r="I223" s="71"/>
      <c r="J223" s="71"/>
      <c r="K223" s="71"/>
      <c r="L223" s="302">
        <f t="shared" si="33"/>
        <v>1900</v>
      </c>
      <c r="M223" s="302" t="str">
        <f t="shared" si="34"/>
        <v>4</v>
      </c>
      <c r="N223" s="1019" t="e">
        <f t="shared" si="35"/>
        <v>#DIV/0!</v>
      </c>
    </row>
    <row r="224" spans="1:14">
      <c r="A224" s="1015">
        <f t="shared" si="32"/>
        <v>19004</v>
      </c>
      <c r="H224" s="71"/>
      <c r="I224" s="71"/>
      <c r="J224" s="71"/>
      <c r="K224" s="71"/>
      <c r="L224" s="302">
        <f t="shared" si="33"/>
        <v>1900</v>
      </c>
      <c r="M224" s="302" t="str">
        <f t="shared" si="34"/>
        <v>4</v>
      </c>
      <c r="N224" s="1019" t="e">
        <f t="shared" si="35"/>
        <v>#DIV/0!</v>
      </c>
    </row>
    <row r="225" spans="1:14">
      <c r="A225" s="1015">
        <f t="shared" si="32"/>
        <v>19004</v>
      </c>
      <c r="H225" s="71"/>
      <c r="I225" s="71"/>
      <c r="J225" s="71"/>
      <c r="K225" s="71"/>
      <c r="L225" s="302">
        <f t="shared" si="33"/>
        <v>1900</v>
      </c>
      <c r="M225" s="302" t="str">
        <f t="shared" si="34"/>
        <v>4</v>
      </c>
      <c r="N225" s="1019" t="e">
        <f t="shared" si="35"/>
        <v>#DIV/0!</v>
      </c>
    </row>
    <row r="226" spans="1:14">
      <c r="A226" s="1015">
        <f t="shared" si="32"/>
        <v>19004</v>
      </c>
      <c r="H226" s="71"/>
      <c r="I226" s="71"/>
      <c r="J226" s="71"/>
      <c r="K226" s="71"/>
      <c r="L226" s="302">
        <f t="shared" si="33"/>
        <v>1900</v>
      </c>
      <c r="M226" s="302" t="str">
        <f t="shared" si="34"/>
        <v>4</v>
      </c>
      <c r="N226" s="1019" t="e">
        <f t="shared" si="35"/>
        <v>#DIV/0!</v>
      </c>
    </row>
    <row r="227" spans="1:14">
      <c r="A227" s="1015">
        <f t="shared" si="32"/>
        <v>19004</v>
      </c>
      <c r="H227" s="71"/>
      <c r="I227" s="71"/>
      <c r="J227" s="71"/>
      <c r="K227" s="71"/>
      <c r="L227" s="302">
        <f t="shared" si="33"/>
        <v>1900</v>
      </c>
      <c r="M227" s="302" t="str">
        <f t="shared" si="34"/>
        <v>4</v>
      </c>
      <c r="N227" s="1019" t="e">
        <f t="shared" si="35"/>
        <v>#DIV/0!</v>
      </c>
    </row>
    <row r="228" spans="1:14">
      <c r="A228" s="1015">
        <f t="shared" si="32"/>
        <v>19004</v>
      </c>
      <c r="H228" s="71"/>
      <c r="I228" s="71"/>
      <c r="J228" s="71"/>
      <c r="K228" s="71"/>
      <c r="L228" s="302">
        <f t="shared" si="33"/>
        <v>1900</v>
      </c>
      <c r="M228" s="302" t="str">
        <f t="shared" si="34"/>
        <v>4</v>
      </c>
      <c r="N228" s="1019" t="e">
        <f t="shared" si="35"/>
        <v>#DIV/0!</v>
      </c>
    </row>
    <row r="229" spans="1:14">
      <c r="A229" s="1015">
        <f t="shared" si="32"/>
        <v>19004</v>
      </c>
      <c r="H229" s="71"/>
      <c r="I229" s="71"/>
      <c r="J229" s="71"/>
      <c r="K229" s="71"/>
      <c r="L229" s="302">
        <f t="shared" si="33"/>
        <v>1900</v>
      </c>
      <c r="M229" s="302" t="str">
        <f t="shared" si="34"/>
        <v>4</v>
      </c>
      <c r="N229" s="1019" t="e">
        <f t="shared" si="35"/>
        <v>#DIV/0!</v>
      </c>
    </row>
    <row r="230" spans="1:14">
      <c r="A230" s="1015">
        <f t="shared" si="32"/>
        <v>19004</v>
      </c>
      <c r="H230" s="71"/>
      <c r="I230" s="71"/>
      <c r="J230" s="71"/>
      <c r="K230" s="71"/>
      <c r="L230" s="302">
        <f t="shared" si="33"/>
        <v>1900</v>
      </c>
      <c r="M230" s="302" t="str">
        <f t="shared" si="34"/>
        <v>4</v>
      </c>
      <c r="N230" s="1019" t="e">
        <f t="shared" si="35"/>
        <v>#DIV/0!</v>
      </c>
    </row>
    <row r="231" spans="1:14">
      <c r="A231" s="1015">
        <f t="shared" si="32"/>
        <v>19004</v>
      </c>
      <c r="H231" s="71"/>
      <c r="I231" s="71"/>
      <c r="J231" s="71"/>
      <c r="K231" s="71"/>
      <c r="L231" s="302">
        <f t="shared" si="33"/>
        <v>1900</v>
      </c>
      <c r="M231" s="302" t="str">
        <f t="shared" si="34"/>
        <v>4</v>
      </c>
      <c r="N231" s="1019" t="e">
        <f t="shared" si="35"/>
        <v>#DIV/0!</v>
      </c>
    </row>
    <row r="232" spans="1:14">
      <c r="A232" s="1015">
        <f t="shared" si="32"/>
        <v>19004</v>
      </c>
      <c r="H232" s="71"/>
      <c r="I232" s="71"/>
      <c r="J232" s="71"/>
      <c r="K232" s="71"/>
      <c r="L232" s="302">
        <f t="shared" si="33"/>
        <v>1900</v>
      </c>
      <c r="M232" s="302" t="str">
        <f t="shared" si="34"/>
        <v>4</v>
      </c>
      <c r="N232" s="1019" t="e">
        <f t="shared" si="35"/>
        <v>#DIV/0!</v>
      </c>
    </row>
    <row r="233" spans="1:14">
      <c r="A233" s="1015">
        <f t="shared" si="32"/>
        <v>19004</v>
      </c>
      <c r="H233" s="71"/>
      <c r="I233" s="71"/>
      <c r="J233" s="71"/>
      <c r="K233" s="71"/>
      <c r="L233" s="302">
        <f t="shared" si="33"/>
        <v>1900</v>
      </c>
      <c r="M233" s="302" t="str">
        <f t="shared" si="34"/>
        <v>4</v>
      </c>
      <c r="N233" s="1019" t="e">
        <f t="shared" si="35"/>
        <v>#DIV/0!</v>
      </c>
    </row>
    <row r="234" spans="1:14">
      <c r="A234" s="1015">
        <f t="shared" si="32"/>
        <v>19004</v>
      </c>
      <c r="H234" s="71"/>
      <c r="I234" s="71"/>
      <c r="J234" s="71"/>
      <c r="K234" s="71"/>
      <c r="L234" s="302">
        <f t="shared" si="33"/>
        <v>1900</v>
      </c>
      <c r="M234" s="302" t="str">
        <f t="shared" si="34"/>
        <v>4</v>
      </c>
      <c r="N234" s="1019" t="e">
        <f t="shared" si="35"/>
        <v>#DIV/0!</v>
      </c>
    </row>
    <row r="235" spans="1:14">
      <c r="A235" s="1015">
        <f t="shared" si="32"/>
        <v>19004</v>
      </c>
      <c r="H235" s="71"/>
      <c r="I235" s="71"/>
      <c r="J235" s="71"/>
      <c r="K235" s="71"/>
      <c r="L235" s="302">
        <f t="shared" si="33"/>
        <v>1900</v>
      </c>
      <c r="M235" s="302" t="str">
        <f t="shared" si="34"/>
        <v>4</v>
      </c>
      <c r="N235" s="1019" t="e">
        <f t="shared" si="35"/>
        <v>#DIV/0!</v>
      </c>
    </row>
    <row r="236" spans="1:14">
      <c r="A236" s="1015">
        <f t="shared" si="32"/>
        <v>19004</v>
      </c>
      <c r="H236" s="71"/>
      <c r="I236" s="71"/>
      <c r="J236" s="71"/>
      <c r="K236" s="71"/>
      <c r="L236" s="302">
        <f t="shared" si="33"/>
        <v>1900</v>
      </c>
      <c r="M236" s="302" t="str">
        <f t="shared" si="34"/>
        <v>4</v>
      </c>
      <c r="N236" s="1019" t="e">
        <f t="shared" si="35"/>
        <v>#DIV/0!</v>
      </c>
    </row>
    <row r="237" spans="1:14">
      <c r="A237" s="1015">
        <f t="shared" si="32"/>
        <v>19004</v>
      </c>
      <c r="H237" s="71"/>
      <c r="I237" s="71"/>
      <c r="J237" s="71"/>
      <c r="K237" s="71"/>
      <c r="L237" s="302">
        <f t="shared" si="33"/>
        <v>1900</v>
      </c>
      <c r="M237" s="302" t="str">
        <f t="shared" si="34"/>
        <v>4</v>
      </c>
      <c r="N237" s="1019" t="e">
        <f t="shared" si="35"/>
        <v>#DIV/0!</v>
      </c>
    </row>
    <row r="238" spans="1:14">
      <c r="A238" s="1015">
        <f t="shared" si="32"/>
        <v>19004</v>
      </c>
      <c r="H238" s="71"/>
      <c r="I238" s="71"/>
      <c r="J238" s="71"/>
      <c r="K238" s="71"/>
      <c r="L238" s="302">
        <f t="shared" si="33"/>
        <v>1900</v>
      </c>
      <c r="M238" s="302" t="str">
        <f t="shared" si="34"/>
        <v>4</v>
      </c>
      <c r="N238" s="1019" t="e">
        <f t="shared" si="35"/>
        <v>#DIV/0!</v>
      </c>
    </row>
    <row r="239" spans="1:14">
      <c r="A239" s="1015">
        <f t="shared" si="32"/>
        <v>19004</v>
      </c>
      <c r="H239" s="71"/>
      <c r="I239" s="71"/>
      <c r="J239" s="71"/>
      <c r="K239" s="71"/>
      <c r="L239" s="302">
        <f t="shared" si="33"/>
        <v>1900</v>
      </c>
      <c r="M239" s="302" t="str">
        <f t="shared" si="34"/>
        <v>4</v>
      </c>
      <c r="N239" s="1019" t="e">
        <f t="shared" si="35"/>
        <v>#DIV/0!</v>
      </c>
    </row>
    <row r="240" spans="1:14">
      <c r="A240" s="1015">
        <f t="shared" si="32"/>
        <v>19004</v>
      </c>
      <c r="H240" s="71"/>
      <c r="I240" s="71"/>
      <c r="J240" s="71"/>
      <c r="K240" s="71"/>
      <c r="L240" s="302">
        <f t="shared" si="33"/>
        <v>1900</v>
      </c>
      <c r="M240" s="302" t="str">
        <f t="shared" si="34"/>
        <v>4</v>
      </c>
      <c r="N240" s="1019" t="e">
        <f t="shared" si="35"/>
        <v>#DIV/0!</v>
      </c>
    </row>
    <row r="241" spans="1:14">
      <c r="A241" s="1015">
        <f t="shared" si="32"/>
        <v>19004</v>
      </c>
      <c r="H241" s="71"/>
      <c r="I241" s="71"/>
      <c r="J241" s="71"/>
      <c r="K241" s="71"/>
      <c r="L241" s="302">
        <f t="shared" si="33"/>
        <v>1900</v>
      </c>
      <c r="M241" s="302" t="str">
        <f t="shared" si="34"/>
        <v>4</v>
      </c>
      <c r="N241" s="1019" t="e">
        <f t="shared" si="35"/>
        <v>#DIV/0!</v>
      </c>
    </row>
    <row r="242" spans="1:14">
      <c r="A242" s="1015">
        <f t="shared" si="32"/>
        <v>19004</v>
      </c>
      <c r="H242" s="71"/>
      <c r="I242" s="71"/>
      <c r="J242" s="71"/>
      <c r="K242" s="71"/>
      <c r="L242" s="302">
        <f t="shared" si="33"/>
        <v>1900</v>
      </c>
      <c r="M242" s="302" t="str">
        <f t="shared" si="34"/>
        <v>4</v>
      </c>
      <c r="N242" s="1019" t="e">
        <f t="shared" si="35"/>
        <v>#DIV/0!</v>
      </c>
    </row>
    <row r="243" spans="1:14">
      <c r="A243" s="1015">
        <f t="shared" si="32"/>
        <v>19004</v>
      </c>
      <c r="H243" s="71"/>
      <c r="I243" s="71"/>
      <c r="J243" s="71"/>
      <c r="K243" s="71"/>
      <c r="L243" s="302">
        <f t="shared" si="33"/>
        <v>1900</v>
      </c>
      <c r="M243" s="302" t="str">
        <f t="shared" si="34"/>
        <v>4</v>
      </c>
      <c r="N243" s="1019" t="e">
        <f t="shared" si="35"/>
        <v>#DIV/0!</v>
      </c>
    </row>
    <row r="244" spans="1:14">
      <c r="A244" s="1015">
        <f t="shared" si="32"/>
        <v>19004</v>
      </c>
      <c r="H244" s="71"/>
      <c r="I244" s="71"/>
      <c r="J244" s="71"/>
      <c r="K244" s="71"/>
      <c r="L244" s="302">
        <f t="shared" si="33"/>
        <v>1900</v>
      </c>
      <c r="M244" s="302" t="str">
        <f t="shared" si="34"/>
        <v>4</v>
      </c>
      <c r="N244" s="1019" t="e">
        <f t="shared" si="35"/>
        <v>#DIV/0!</v>
      </c>
    </row>
    <row r="245" spans="1:14">
      <c r="A245" s="1015">
        <f t="shared" si="32"/>
        <v>19004</v>
      </c>
      <c r="H245" s="71"/>
      <c r="I245" s="71"/>
      <c r="J245" s="71"/>
      <c r="K245" s="71"/>
      <c r="L245" s="302">
        <f t="shared" si="33"/>
        <v>1900</v>
      </c>
      <c r="M245" s="302" t="str">
        <f t="shared" si="34"/>
        <v>4</v>
      </c>
      <c r="N245" s="1019" t="e">
        <f t="shared" si="35"/>
        <v>#DIV/0!</v>
      </c>
    </row>
    <row r="246" spans="1:14">
      <c r="A246" s="1015">
        <f t="shared" si="32"/>
        <v>19004</v>
      </c>
      <c r="H246" s="71"/>
      <c r="I246" s="71"/>
      <c r="J246" s="71"/>
      <c r="K246" s="71"/>
      <c r="L246" s="302">
        <f t="shared" si="33"/>
        <v>1900</v>
      </c>
      <c r="M246" s="302" t="str">
        <f t="shared" si="34"/>
        <v>4</v>
      </c>
      <c r="N246" s="1019" t="e">
        <f t="shared" si="35"/>
        <v>#DIV/0!</v>
      </c>
    </row>
    <row r="247" spans="1:14">
      <c r="A247" s="1015">
        <f t="shared" si="32"/>
        <v>19004</v>
      </c>
      <c r="H247" s="71"/>
      <c r="I247" s="71"/>
      <c r="J247" s="71"/>
      <c r="K247" s="71"/>
      <c r="L247" s="302">
        <f t="shared" si="33"/>
        <v>1900</v>
      </c>
      <c r="M247" s="302" t="str">
        <f t="shared" si="34"/>
        <v>4</v>
      </c>
      <c r="N247" s="1019" t="e">
        <f t="shared" si="35"/>
        <v>#DIV/0!</v>
      </c>
    </row>
    <row r="248" spans="1:14">
      <c r="A248" s="1015">
        <f t="shared" si="32"/>
        <v>19004</v>
      </c>
      <c r="H248" s="71"/>
      <c r="I248" s="71"/>
      <c r="J248" s="71"/>
      <c r="K248" s="71"/>
      <c r="L248" s="302">
        <f t="shared" si="33"/>
        <v>1900</v>
      </c>
      <c r="M248" s="302" t="str">
        <f t="shared" si="34"/>
        <v>4</v>
      </c>
      <c r="N248" s="1019" t="e">
        <f t="shared" si="35"/>
        <v>#DIV/0!</v>
      </c>
    </row>
    <row r="249" spans="1:14">
      <c r="A249" s="1015">
        <f t="shared" si="32"/>
        <v>19004</v>
      </c>
      <c r="H249" s="71"/>
      <c r="I249" s="71"/>
      <c r="J249" s="71"/>
      <c r="K249" s="71"/>
      <c r="L249" s="302">
        <f t="shared" si="33"/>
        <v>1900</v>
      </c>
      <c r="M249" s="302" t="str">
        <f t="shared" si="34"/>
        <v>4</v>
      </c>
      <c r="N249" s="1019" t="e">
        <f t="shared" si="35"/>
        <v>#DIV/0!</v>
      </c>
    </row>
    <row r="250" spans="1:14">
      <c r="A250" s="1015">
        <f t="shared" si="32"/>
        <v>19004</v>
      </c>
      <c r="H250" s="71"/>
      <c r="I250" s="71"/>
      <c r="J250" s="71"/>
      <c r="K250" s="71"/>
      <c r="L250" s="302">
        <f t="shared" si="33"/>
        <v>1900</v>
      </c>
      <c r="M250" s="302" t="str">
        <f t="shared" si="34"/>
        <v>4</v>
      </c>
      <c r="N250" s="1019" t="e">
        <f t="shared" si="35"/>
        <v>#DIV/0!</v>
      </c>
    </row>
    <row r="251" spans="1:14">
      <c r="H251" s="71"/>
      <c r="I251" s="71"/>
      <c r="J251" s="71"/>
      <c r="K251" s="71"/>
      <c r="L251" s="302"/>
      <c r="M251" s="302"/>
      <c r="N251" s="302"/>
    </row>
    <row r="252" spans="1:14">
      <c r="H252" s="71"/>
      <c r="I252" s="71"/>
      <c r="J252" s="71"/>
      <c r="K252" s="71"/>
      <c r="L252" s="303"/>
      <c r="M252" s="303"/>
      <c r="N252" s="303"/>
    </row>
    <row r="253" spans="1:14">
      <c r="H253" s="71"/>
      <c r="I253" s="71"/>
      <c r="J253" s="71"/>
      <c r="K253" s="71"/>
      <c r="L253" s="303"/>
      <c r="M253" s="303"/>
      <c r="N253" s="303"/>
    </row>
    <row r="254" spans="1:14">
      <c r="H254" s="71"/>
      <c r="I254" s="71"/>
      <c r="J254" s="71"/>
      <c r="K254" s="71"/>
      <c r="L254" s="303"/>
      <c r="M254" s="303"/>
      <c r="N254" s="303"/>
    </row>
    <row r="255" spans="1:14">
      <c r="H255" s="71"/>
      <c r="I255" s="71"/>
      <c r="J255" s="71"/>
      <c r="K255" s="71"/>
      <c r="L255" s="303"/>
      <c r="M255" s="303"/>
      <c r="N255" s="303"/>
    </row>
    <row r="256" spans="1:14">
      <c r="H256" s="71"/>
      <c r="I256" s="71"/>
      <c r="J256" s="71"/>
      <c r="K256" s="71"/>
      <c r="L256" s="303"/>
      <c r="M256" s="303"/>
      <c r="N256" s="303"/>
    </row>
    <row r="257" spans="8:14">
      <c r="H257" s="71"/>
      <c r="I257" s="71"/>
      <c r="J257" s="71"/>
      <c r="K257" s="71"/>
      <c r="L257" s="303"/>
      <c r="M257" s="303"/>
      <c r="N257" s="303"/>
    </row>
    <row r="258" spans="8:14">
      <c r="H258" s="71"/>
      <c r="I258" s="71"/>
      <c r="J258" s="71"/>
      <c r="K258" s="71"/>
      <c r="L258" s="303"/>
      <c r="M258" s="303"/>
      <c r="N258" s="303"/>
    </row>
    <row r="259" spans="8:14">
      <c r="H259" s="71"/>
      <c r="I259" s="71"/>
      <c r="J259" s="71"/>
      <c r="K259" s="71"/>
      <c r="L259" s="303"/>
      <c r="M259" s="303"/>
      <c r="N259" s="303"/>
    </row>
    <row r="260" spans="8:14">
      <c r="H260" s="71"/>
      <c r="I260" s="71"/>
      <c r="J260" s="71"/>
      <c r="K260" s="71"/>
      <c r="L260" s="303"/>
      <c r="M260" s="303"/>
      <c r="N260" s="303"/>
    </row>
    <row r="261" spans="8:14">
      <c r="H261" s="71"/>
      <c r="I261" s="71"/>
      <c r="J261" s="71"/>
      <c r="K261" s="71"/>
      <c r="L261" s="303"/>
      <c r="M261" s="303"/>
      <c r="N261" s="303"/>
    </row>
    <row r="262" spans="8:14">
      <c r="H262" s="71"/>
      <c r="I262" s="71"/>
      <c r="J262" s="71"/>
      <c r="K262" s="71"/>
      <c r="L262" s="303"/>
      <c r="M262" s="303"/>
      <c r="N262" s="303"/>
    </row>
    <row r="263" spans="8:14">
      <c r="H263" s="71"/>
      <c r="I263" s="71"/>
      <c r="J263" s="71"/>
      <c r="K263" s="71"/>
      <c r="L263" s="303"/>
      <c r="M263" s="303"/>
      <c r="N263" s="303"/>
    </row>
    <row r="264" spans="8:14">
      <c r="H264" s="71"/>
      <c r="I264" s="71"/>
      <c r="J264" s="71"/>
      <c r="K264" s="71"/>
      <c r="L264" s="303"/>
      <c r="M264" s="303"/>
      <c r="N264" s="303"/>
    </row>
    <row r="265" spans="8:14">
      <c r="H265" s="71"/>
      <c r="I265" s="71"/>
      <c r="J265" s="71"/>
      <c r="K265" s="71"/>
      <c r="L265" s="303"/>
      <c r="M265" s="303"/>
      <c r="N265" s="303"/>
    </row>
    <row r="266" spans="8:14">
      <c r="H266" s="71"/>
      <c r="I266" s="71"/>
      <c r="J266" s="71"/>
      <c r="K266" s="71"/>
      <c r="L266" s="303"/>
      <c r="M266" s="303"/>
      <c r="N266" s="303"/>
    </row>
    <row r="267" spans="8:14">
      <c r="H267" s="71"/>
      <c r="I267" s="71"/>
      <c r="J267" s="71"/>
      <c r="K267" s="71"/>
      <c r="L267" s="303"/>
      <c r="M267" s="303"/>
      <c r="N267" s="303"/>
    </row>
    <row r="268" spans="8:14">
      <c r="H268" s="71"/>
      <c r="I268" s="71"/>
      <c r="J268" s="71"/>
      <c r="K268" s="71"/>
      <c r="L268" s="303"/>
      <c r="M268" s="303"/>
      <c r="N268" s="303"/>
    </row>
    <row r="269" spans="8:14">
      <c r="H269" s="71"/>
      <c r="I269" s="71"/>
      <c r="J269" s="71"/>
      <c r="K269" s="71"/>
      <c r="L269" s="303"/>
      <c r="M269" s="303"/>
      <c r="N269" s="303"/>
    </row>
    <row r="270" spans="8:14">
      <c r="H270" s="71"/>
      <c r="I270" s="71"/>
      <c r="J270" s="71"/>
      <c r="K270" s="71"/>
      <c r="L270" s="303"/>
      <c r="M270" s="303"/>
      <c r="N270" s="303"/>
    </row>
    <row r="271" spans="8:14">
      <c r="H271" s="71"/>
      <c r="I271" s="71"/>
      <c r="J271" s="71"/>
      <c r="K271" s="71"/>
      <c r="L271" s="303"/>
      <c r="M271" s="303"/>
      <c r="N271" s="303"/>
    </row>
    <row r="272" spans="8:14">
      <c r="H272" s="71"/>
      <c r="I272" s="71"/>
      <c r="J272" s="71"/>
      <c r="K272" s="71"/>
      <c r="L272" s="303"/>
      <c r="M272" s="303"/>
      <c r="N272" s="303"/>
    </row>
    <row r="273" spans="8:14">
      <c r="H273" s="71"/>
      <c r="I273" s="71"/>
      <c r="J273" s="71"/>
      <c r="K273" s="71"/>
      <c r="L273" s="303"/>
      <c r="M273" s="303"/>
      <c r="N273" s="303"/>
    </row>
    <row r="274" spans="8:14">
      <c r="H274" s="71"/>
      <c r="I274" s="71"/>
      <c r="J274" s="71"/>
      <c r="K274" s="71"/>
      <c r="L274" s="303"/>
      <c r="M274" s="303"/>
      <c r="N274" s="303"/>
    </row>
    <row r="275" spans="8:14">
      <c r="H275" s="71"/>
      <c r="I275" s="71"/>
      <c r="J275" s="71"/>
      <c r="K275" s="71"/>
      <c r="L275" s="303"/>
      <c r="M275" s="303"/>
      <c r="N275" s="303"/>
    </row>
    <row r="276" spans="8:14">
      <c r="H276" s="71"/>
      <c r="I276" s="71"/>
      <c r="J276" s="71"/>
      <c r="K276" s="71"/>
      <c r="L276" s="303"/>
      <c r="M276" s="303"/>
      <c r="N276" s="303"/>
    </row>
    <row r="277" spans="8:14">
      <c r="H277" s="71"/>
      <c r="I277" s="71"/>
      <c r="J277" s="71"/>
      <c r="K277" s="71"/>
      <c r="L277" s="303"/>
      <c r="M277" s="303"/>
      <c r="N277" s="303"/>
    </row>
    <row r="278" spans="8:14">
      <c r="H278" s="71"/>
      <c r="I278" s="71"/>
      <c r="J278" s="71"/>
      <c r="K278" s="71"/>
      <c r="L278" s="303"/>
      <c r="M278" s="303"/>
      <c r="N278" s="303"/>
    </row>
    <row r="279" spans="8:14">
      <c r="H279" s="71"/>
      <c r="I279" s="71"/>
      <c r="J279" s="71"/>
      <c r="K279" s="71"/>
      <c r="L279" s="303"/>
      <c r="M279" s="303"/>
      <c r="N279" s="303"/>
    </row>
    <row r="280" spans="8:14">
      <c r="H280" s="71"/>
      <c r="I280" s="71"/>
      <c r="J280" s="71"/>
      <c r="K280" s="71"/>
      <c r="L280" s="303"/>
      <c r="M280" s="303"/>
      <c r="N280" s="303"/>
    </row>
    <row r="281" spans="8:14">
      <c r="H281" s="71"/>
      <c r="I281" s="71"/>
      <c r="J281" s="71"/>
      <c r="K281" s="71"/>
      <c r="L281" s="303"/>
      <c r="M281" s="303"/>
      <c r="N281" s="303"/>
    </row>
    <row r="282" spans="8:14">
      <c r="H282" s="71"/>
      <c r="I282" s="71"/>
      <c r="J282" s="71"/>
      <c r="K282" s="71"/>
      <c r="L282" s="303"/>
      <c r="M282" s="303"/>
      <c r="N282" s="303"/>
    </row>
    <row r="283" spans="8:14">
      <c r="H283" s="71"/>
      <c r="I283" s="71"/>
      <c r="J283" s="71"/>
      <c r="K283" s="71"/>
      <c r="L283" s="303"/>
      <c r="M283" s="303"/>
      <c r="N283" s="303"/>
    </row>
    <row r="284" spans="8:14">
      <c r="H284" s="71"/>
      <c r="I284" s="71"/>
      <c r="J284" s="71"/>
      <c r="K284" s="71"/>
      <c r="L284" s="303"/>
      <c r="M284" s="303"/>
      <c r="N284" s="303"/>
    </row>
    <row r="285" spans="8:14">
      <c r="H285" s="71"/>
      <c r="I285" s="71"/>
      <c r="J285" s="71"/>
      <c r="K285" s="71"/>
      <c r="L285" s="303"/>
      <c r="M285" s="303"/>
      <c r="N285" s="303"/>
    </row>
    <row r="286" spans="8:14">
      <c r="H286" s="71"/>
      <c r="I286" s="71"/>
      <c r="J286" s="71"/>
      <c r="K286" s="71"/>
      <c r="L286" s="303"/>
      <c r="M286" s="303"/>
      <c r="N286" s="303"/>
    </row>
    <row r="287" spans="8:14">
      <c r="H287" s="71"/>
      <c r="I287" s="71"/>
      <c r="J287" s="71"/>
      <c r="K287" s="71"/>
      <c r="L287" s="303"/>
      <c r="M287" s="303"/>
      <c r="N287" s="303"/>
    </row>
    <row r="288" spans="8:14">
      <c r="H288" s="71"/>
      <c r="I288" s="71"/>
      <c r="J288" s="71"/>
      <c r="K288" s="71"/>
      <c r="L288" s="303"/>
      <c r="M288" s="303"/>
      <c r="N288" s="303"/>
    </row>
    <row r="289" spans="8:14">
      <c r="H289" s="71"/>
      <c r="I289" s="71"/>
      <c r="J289" s="71"/>
      <c r="K289" s="71"/>
      <c r="L289" s="303"/>
      <c r="M289" s="303"/>
      <c r="N289" s="303"/>
    </row>
    <row r="290" spans="8:14">
      <c r="H290" s="71"/>
      <c r="I290" s="71"/>
      <c r="J290" s="71"/>
      <c r="K290" s="71"/>
      <c r="L290" s="303"/>
      <c r="M290" s="303"/>
      <c r="N290" s="303"/>
    </row>
    <row r="291" spans="8:14">
      <c r="H291" s="71"/>
      <c r="I291" s="71"/>
      <c r="J291" s="71"/>
      <c r="K291" s="71"/>
      <c r="L291" s="303"/>
      <c r="M291" s="303"/>
      <c r="N291" s="303"/>
    </row>
    <row r="292" spans="8:14">
      <c r="H292" s="71"/>
      <c r="I292" s="71"/>
      <c r="J292" s="71"/>
      <c r="K292" s="71"/>
      <c r="L292" s="303"/>
      <c r="M292" s="303"/>
      <c r="N292" s="303"/>
    </row>
    <row r="293" spans="8:14">
      <c r="H293" s="71"/>
      <c r="I293" s="71"/>
      <c r="J293" s="71"/>
      <c r="K293" s="71"/>
      <c r="L293" s="303"/>
      <c r="M293" s="303"/>
      <c r="N293" s="303"/>
    </row>
    <row r="294" spans="8:14">
      <c r="H294" s="71"/>
      <c r="I294" s="71"/>
      <c r="J294" s="71"/>
      <c r="K294" s="71"/>
      <c r="L294" s="303"/>
      <c r="M294" s="303"/>
      <c r="N294" s="303"/>
    </row>
    <row r="295" spans="8:14">
      <c r="H295" s="71"/>
      <c r="I295" s="71"/>
      <c r="J295" s="71"/>
      <c r="K295" s="71"/>
      <c r="L295" s="303"/>
      <c r="M295" s="303"/>
      <c r="N295" s="303"/>
    </row>
    <row r="296" spans="8:14">
      <c r="H296" s="71"/>
      <c r="I296" s="71"/>
      <c r="J296" s="71"/>
      <c r="K296" s="71"/>
      <c r="L296" s="303"/>
      <c r="M296" s="303"/>
      <c r="N296" s="303"/>
    </row>
    <row r="297" spans="8:14">
      <c r="H297" s="71"/>
      <c r="I297" s="71"/>
      <c r="J297" s="71"/>
      <c r="K297" s="71"/>
      <c r="L297" s="303"/>
      <c r="M297" s="303"/>
      <c r="N297" s="303"/>
    </row>
    <row r="298" spans="8:14">
      <c r="H298" s="71"/>
      <c r="I298" s="71"/>
      <c r="J298" s="71"/>
      <c r="K298" s="71"/>
      <c r="L298" s="303"/>
      <c r="M298" s="303"/>
      <c r="N298" s="303"/>
    </row>
    <row r="299" spans="8:14">
      <c r="H299" s="71"/>
      <c r="I299" s="71"/>
      <c r="J299" s="71"/>
      <c r="K299" s="71"/>
      <c r="L299" s="303"/>
      <c r="M299" s="303"/>
      <c r="N299" s="303"/>
    </row>
    <row r="300" spans="8:14">
      <c r="H300" s="71"/>
      <c r="I300" s="71"/>
      <c r="J300" s="71"/>
      <c r="K300" s="71"/>
      <c r="L300" s="303"/>
      <c r="M300" s="303"/>
      <c r="N300" s="303"/>
    </row>
    <row r="301" spans="8:14">
      <c r="H301" s="71"/>
      <c r="I301" s="71"/>
      <c r="J301" s="71"/>
      <c r="K301" s="71"/>
      <c r="L301" s="303"/>
      <c r="M301" s="303"/>
      <c r="N301" s="303"/>
    </row>
    <row r="302" spans="8:14">
      <c r="H302" s="71"/>
      <c r="I302" s="71"/>
      <c r="J302" s="71"/>
      <c r="K302" s="71"/>
      <c r="L302" s="303"/>
      <c r="M302" s="303"/>
      <c r="N302" s="303"/>
    </row>
    <row r="303" spans="8:14">
      <c r="H303" s="71"/>
      <c r="I303" s="71"/>
      <c r="J303" s="71"/>
      <c r="K303" s="71"/>
      <c r="L303" s="303"/>
      <c r="M303" s="303"/>
      <c r="N303" s="303"/>
    </row>
    <row r="304" spans="8:14">
      <c r="H304" s="71"/>
      <c r="I304" s="71"/>
      <c r="J304" s="71"/>
      <c r="K304" s="71"/>
      <c r="L304" s="303"/>
      <c r="M304" s="303"/>
      <c r="N304" s="303"/>
    </row>
    <row r="305" spans="8:14">
      <c r="H305" s="71"/>
      <c r="I305" s="71"/>
      <c r="J305" s="71"/>
      <c r="K305" s="71"/>
      <c r="L305" s="303"/>
      <c r="M305" s="303"/>
      <c r="N305" s="303"/>
    </row>
    <row r="306" spans="8:14">
      <c r="H306" s="71"/>
      <c r="I306" s="71"/>
      <c r="J306" s="71"/>
      <c r="K306" s="71"/>
      <c r="L306" s="303"/>
      <c r="M306" s="303"/>
      <c r="N306" s="303"/>
    </row>
    <row r="307" spans="8:14">
      <c r="H307" s="71"/>
      <c r="I307" s="71"/>
      <c r="J307" s="71"/>
      <c r="K307" s="71"/>
      <c r="L307" s="303"/>
      <c r="M307" s="303"/>
      <c r="N307" s="303"/>
    </row>
    <row r="308" spans="8:14">
      <c r="H308" s="71"/>
      <c r="I308" s="71"/>
      <c r="J308" s="71"/>
      <c r="K308" s="71"/>
      <c r="L308" s="303"/>
      <c r="M308" s="303"/>
      <c r="N308" s="303"/>
    </row>
    <row r="309" spans="8:14">
      <c r="H309" s="71"/>
      <c r="I309" s="71"/>
      <c r="J309" s="71"/>
      <c r="K309" s="71"/>
      <c r="L309" s="303"/>
      <c r="M309" s="303"/>
      <c r="N309" s="303"/>
    </row>
    <row r="310" spans="8:14">
      <c r="H310" s="71"/>
      <c r="I310" s="71"/>
      <c r="J310" s="71"/>
      <c r="K310" s="71"/>
      <c r="L310" s="303"/>
      <c r="M310" s="303"/>
      <c r="N310" s="303"/>
    </row>
    <row r="311" spans="8:14">
      <c r="H311" s="71"/>
      <c r="I311" s="71"/>
      <c r="J311" s="71"/>
      <c r="K311" s="71"/>
      <c r="L311" s="303"/>
      <c r="M311" s="303"/>
      <c r="N311" s="303"/>
    </row>
    <row r="312" spans="8:14">
      <c r="H312" s="71"/>
      <c r="I312" s="71"/>
      <c r="J312" s="71"/>
      <c r="K312" s="71"/>
      <c r="L312" s="303"/>
      <c r="M312" s="303"/>
      <c r="N312" s="303"/>
    </row>
    <row r="313" spans="8:14">
      <c r="H313" s="71"/>
      <c r="I313" s="71"/>
      <c r="J313" s="71"/>
      <c r="K313" s="71"/>
      <c r="L313" s="303"/>
      <c r="M313" s="303"/>
      <c r="N313" s="303"/>
    </row>
    <row r="314" spans="8:14">
      <c r="H314" s="71"/>
      <c r="I314" s="71"/>
      <c r="J314" s="71"/>
      <c r="K314" s="71"/>
      <c r="L314" s="303"/>
      <c r="M314" s="303"/>
      <c r="N314" s="303"/>
    </row>
    <row r="315" spans="8:14">
      <c r="H315" s="71"/>
      <c r="I315" s="71"/>
      <c r="J315" s="71"/>
      <c r="K315" s="71"/>
      <c r="L315" s="303"/>
      <c r="M315" s="303"/>
      <c r="N315" s="303"/>
    </row>
    <row r="316" spans="8:14">
      <c r="H316" s="71"/>
      <c r="I316" s="71"/>
      <c r="J316" s="71"/>
      <c r="K316" s="71"/>
      <c r="L316" s="303"/>
      <c r="M316" s="303"/>
      <c r="N316" s="303"/>
    </row>
    <row r="317" spans="8:14">
      <c r="H317" s="71"/>
      <c r="I317" s="71"/>
      <c r="J317" s="71"/>
      <c r="K317" s="71"/>
      <c r="L317" s="303"/>
      <c r="M317" s="303"/>
      <c r="N317" s="303"/>
    </row>
    <row r="318" spans="8:14">
      <c r="H318" s="71"/>
      <c r="I318" s="71"/>
      <c r="J318" s="71"/>
      <c r="K318" s="71"/>
      <c r="L318" s="303"/>
      <c r="M318" s="303"/>
      <c r="N318" s="303"/>
    </row>
    <row r="319" spans="8:14">
      <c r="H319" s="71"/>
      <c r="I319" s="71"/>
      <c r="J319" s="71"/>
      <c r="K319" s="71"/>
      <c r="L319" s="303"/>
      <c r="M319" s="303"/>
      <c r="N319" s="303"/>
    </row>
    <row r="320" spans="8:14">
      <c r="H320" s="71"/>
      <c r="I320" s="71"/>
      <c r="J320" s="71"/>
      <c r="K320" s="71"/>
      <c r="L320" s="303"/>
      <c r="M320" s="303"/>
      <c r="N320" s="303"/>
    </row>
    <row r="321" spans="8:14">
      <c r="H321" s="71"/>
      <c r="I321" s="71"/>
      <c r="J321" s="71"/>
      <c r="K321" s="71"/>
      <c r="L321" s="303"/>
      <c r="M321" s="303"/>
      <c r="N321" s="303"/>
    </row>
    <row r="322" spans="8:14">
      <c r="H322" s="71"/>
      <c r="I322" s="71"/>
      <c r="J322" s="71"/>
      <c r="K322" s="71"/>
      <c r="L322" s="303"/>
      <c r="M322" s="303"/>
      <c r="N322" s="303"/>
    </row>
    <row r="323" spans="8:14">
      <c r="H323" s="71"/>
      <c r="I323" s="71"/>
      <c r="J323" s="71"/>
      <c r="K323" s="71"/>
      <c r="L323" s="303"/>
      <c r="M323" s="303"/>
      <c r="N323" s="303"/>
    </row>
    <row r="324" spans="8:14">
      <c r="H324" s="71"/>
      <c r="I324" s="71"/>
      <c r="J324" s="71"/>
      <c r="K324" s="71"/>
      <c r="L324" s="303"/>
      <c r="M324" s="303"/>
      <c r="N324" s="303"/>
    </row>
    <row r="325" spans="8:14">
      <c r="H325" s="71"/>
      <c r="I325" s="71"/>
      <c r="J325" s="71"/>
      <c r="K325" s="71"/>
      <c r="L325" s="303"/>
      <c r="M325" s="303"/>
      <c r="N325" s="303"/>
    </row>
    <row r="326" spans="8:14">
      <c r="H326" s="71"/>
      <c r="I326" s="71"/>
      <c r="J326" s="71"/>
      <c r="K326" s="71"/>
      <c r="L326" s="303"/>
      <c r="M326" s="303"/>
      <c r="N326" s="303"/>
    </row>
    <row r="327" spans="8:14">
      <c r="H327" s="71"/>
      <c r="I327" s="71"/>
      <c r="J327" s="71"/>
      <c r="K327" s="71"/>
      <c r="L327" s="303"/>
      <c r="M327" s="303"/>
      <c r="N327" s="303"/>
    </row>
    <row r="328" spans="8:14">
      <c r="H328" s="71"/>
      <c r="I328" s="71"/>
      <c r="J328" s="71"/>
      <c r="K328" s="71"/>
      <c r="L328" s="303"/>
      <c r="M328" s="303"/>
      <c r="N328" s="303"/>
    </row>
    <row r="329" spans="8:14">
      <c r="H329" s="71"/>
      <c r="I329" s="71"/>
      <c r="J329" s="71"/>
      <c r="K329" s="71"/>
      <c r="L329" s="303"/>
      <c r="M329" s="303"/>
      <c r="N329" s="303"/>
    </row>
    <row r="330" spans="8:14">
      <c r="H330" s="71"/>
      <c r="I330" s="71"/>
      <c r="J330" s="71"/>
      <c r="K330" s="71"/>
      <c r="L330" s="303"/>
      <c r="M330" s="303"/>
      <c r="N330" s="303"/>
    </row>
    <row r="331" spans="8:14">
      <c r="H331" s="71"/>
      <c r="I331" s="71"/>
      <c r="J331" s="71"/>
      <c r="K331" s="71"/>
      <c r="L331" s="303"/>
      <c r="M331" s="303"/>
      <c r="N331" s="303"/>
    </row>
    <row r="332" spans="8:14">
      <c r="H332" s="71"/>
      <c r="I332" s="71"/>
      <c r="J332" s="71"/>
      <c r="K332" s="71"/>
      <c r="L332" s="303"/>
      <c r="M332" s="303"/>
      <c r="N332" s="303"/>
    </row>
    <row r="333" spans="8:14">
      <c r="H333" s="71"/>
      <c r="I333" s="71"/>
      <c r="J333" s="71"/>
      <c r="K333" s="71"/>
      <c r="L333" s="303"/>
      <c r="M333" s="303"/>
      <c r="N333" s="303"/>
    </row>
    <row r="334" spans="8:14">
      <c r="H334" s="71"/>
      <c r="I334" s="71"/>
      <c r="J334" s="71"/>
      <c r="K334" s="71"/>
      <c r="L334" s="303"/>
      <c r="M334" s="303"/>
      <c r="N334" s="303"/>
    </row>
    <row r="335" spans="8:14">
      <c r="H335" s="71"/>
      <c r="I335" s="71"/>
      <c r="J335" s="71"/>
      <c r="K335" s="71"/>
      <c r="L335" s="303"/>
      <c r="M335" s="303"/>
      <c r="N335" s="303"/>
    </row>
    <row r="336" spans="8:14">
      <c r="H336" s="71"/>
      <c r="I336" s="71"/>
      <c r="J336" s="71"/>
      <c r="K336" s="71"/>
      <c r="L336" s="303"/>
      <c r="M336" s="303"/>
      <c r="N336" s="303"/>
    </row>
    <row r="337" spans="8:14">
      <c r="H337" s="71"/>
      <c r="I337" s="71"/>
      <c r="J337" s="71"/>
      <c r="K337" s="71"/>
      <c r="L337" s="303"/>
      <c r="M337" s="303"/>
      <c r="N337" s="303"/>
    </row>
    <row r="338" spans="8:14">
      <c r="H338" s="71"/>
      <c r="I338" s="71"/>
      <c r="J338" s="71"/>
      <c r="K338" s="71"/>
      <c r="L338" s="303"/>
      <c r="M338" s="303"/>
      <c r="N338" s="303"/>
    </row>
    <row r="339" spans="8:14">
      <c r="H339" s="71"/>
      <c r="I339" s="71"/>
      <c r="J339" s="71"/>
      <c r="K339" s="71"/>
      <c r="L339" s="303"/>
      <c r="M339" s="303"/>
      <c r="N339" s="303"/>
    </row>
    <row r="340" spans="8:14">
      <c r="H340" s="71"/>
      <c r="I340" s="71"/>
      <c r="J340" s="71"/>
      <c r="K340" s="71"/>
      <c r="L340" s="303"/>
      <c r="M340" s="303"/>
      <c r="N340" s="303"/>
    </row>
    <row r="341" spans="8:14">
      <c r="H341" s="71"/>
      <c r="I341" s="71"/>
      <c r="J341" s="71"/>
      <c r="K341" s="71"/>
      <c r="L341" s="303"/>
      <c r="M341" s="303"/>
      <c r="N341" s="303"/>
    </row>
    <row r="342" spans="8:14">
      <c r="H342" s="71"/>
      <c r="I342" s="71"/>
      <c r="J342" s="71"/>
      <c r="K342" s="71"/>
      <c r="L342" s="303"/>
      <c r="M342" s="303"/>
      <c r="N342" s="303"/>
    </row>
    <row r="343" spans="8:14">
      <c r="H343" s="71"/>
      <c r="I343" s="71"/>
      <c r="J343" s="71"/>
      <c r="K343" s="71"/>
      <c r="L343" s="303"/>
      <c r="M343" s="303"/>
      <c r="N343" s="303"/>
    </row>
    <row r="344" spans="8:14">
      <c r="H344" s="71"/>
      <c r="I344" s="71"/>
      <c r="J344" s="71"/>
      <c r="K344" s="71"/>
      <c r="L344" s="303"/>
      <c r="M344" s="303"/>
      <c r="N344" s="303"/>
    </row>
    <row r="345" spans="8:14">
      <c r="H345" s="71"/>
      <c r="I345" s="71"/>
      <c r="J345" s="71"/>
      <c r="K345" s="71"/>
      <c r="L345" s="303"/>
      <c r="M345" s="303"/>
      <c r="N345" s="303"/>
    </row>
    <row r="346" spans="8:14">
      <c r="H346" s="71"/>
      <c r="I346" s="71"/>
      <c r="J346" s="71"/>
      <c r="K346" s="71"/>
      <c r="L346" s="303"/>
      <c r="M346" s="303"/>
      <c r="N346" s="303"/>
    </row>
    <row r="347" spans="8:14">
      <c r="H347" s="71"/>
      <c r="I347" s="71"/>
      <c r="J347" s="71"/>
      <c r="K347" s="71"/>
      <c r="L347" s="303"/>
      <c r="M347" s="303"/>
      <c r="N347" s="303"/>
    </row>
    <row r="348" spans="8:14">
      <c r="H348" s="71"/>
      <c r="I348" s="71"/>
      <c r="J348" s="71"/>
      <c r="K348" s="71"/>
      <c r="L348" s="303"/>
      <c r="M348" s="303"/>
      <c r="N348" s="303"/>
    </row>
    <row r="349" spans="8:14">
      <c r="H349" s="71"/>
      <c r="I349" s="71"/>
      <c r="J349" s="71"/>
      <c r="K349" s="71"/>
      <c r="L349" s="303"/>
      <c r="M349" s="303"/>
      <c r="N349" s="303"/>
    </row>
    <row r="350" spans="8:14">
      <c r="H350" s="71"/>
      <c r="I350" s="71"/>
      <c r="J350" s="71"/>
      <c r="K350" s="71"/>
      <c r="L350" s="303"/>
      <c r="M350" s="303"/>
      <c r="N350" s="303"/>
    </row>
    <row r="351" spans="8:14">
      <c r="H351" s="71"/>
      <c r="I351" s="71"/>
      <c r="J351" s="71"/>
      <c r="K351" s="71"/>
      <c r="L351" s="303"/>
      <c r="M351" s="303"/>
      <c r="N351" s="303"/>
    </row>
    <row r="352" spans="8:14">
      <c r="H352" s="71"/>
      <c r="I352" s="71"/>
      <c r="J352" s="71"/>
      <c r="K352" s="71"/>
      <c r="L352" s="303"/>
      <c r="M352" s="303"/>
      <c r="N352" s="303"/>
    </row>
    <row r="353" spans="8:14">
      <c r="H353" s="71"/>
      <c r="I353" s="71"/>
      <c r="J353" s="71"/>
      <c r="K353" s="71"/>
      <c r="L353" s="303"/>
      <c r="M353" s="303"/>
      <c r="N353" s="303"/>
    </row>
    <row r="354" spans="8:14">
      <c r="H354" s="71"/>
      <c r="I354" s="71"/>
      <c r="J354" s="71"/>
      <c r="K354" s="71"/>
      <c r="L354" s="303"/>
      <c r="M354" s="303"/>
      <c r="N354" s="303"/>
    </row>
    <row r="355" spans="8:14">
      <c r="H355" s="71"/>
      <c r="I355" s="71"/>
      <c r="J355" s="71"/>
      <c r="K355" s="71"/>
      <c r="L355" s="303"/>
      <c r="M355" s="303"/>
      <c r="N355" s="303"/>
    </row>
    <row r="356" spans="8:14">
      <c r="H356" s="71"/>
      <c r="I356" s="71"/>
      <c r="J356" s="71"/>
      <c r="K356" s="71"/>
      <c r="L356" s="303"/>
      <c r="M356" s="303"/>
      <c r="N356" s="303"/>
    </row>
    <row r="357" spans="8:14">
      <c r="H357" s="71"/>
      <c r="I357" s="71"/>
      <c r="J357" s="71"/>
      <c r="K357" s="71"/>
      <c r="L357" s="303"/>
      <c r="M357" s="303"/>
      <c r="N357" s="303"/>
    </row>
    <row r="358" spans="8:14">
      <c r="H358" s="71"/>
      <c r="I358" s="71"/>
      <c r="J358" s="71"/>
      <c r="K358" s="71"/>
      <c r="L358" s="303"/>
      <c r="M358" s="303"/>
      <c r="N358" s="303"/>
    </row>
    <row r="359" spans="8:14">
      <c r="H359" s="71"/>
      <c r="I359" s="71"/>
      <c r="J359" s="71"/>
      <c r="K359" s="71"/>
      <c r="L359" s="303"/>
      <c r="M359" s="303"/>
      <c r="N359" s="303"/>
    </row>
    <row r="360" spans="8:14">
      <c r="H360" s="71"/>
      <c r="I360" s="71"/>
      <c r="J360" s="71"/>
      <c r="K360" s="71"/>
      <c r="L360" s="303"/>
      <c r="M360" s="303"/>
      <c r="N360" s="303"/>
    </row>
    <row r="361" spans="8:14">
      <c r="H361" s="71"/>
      <c r="I361" s="71"/>
      <c r="J361" s="71"/>
      <c r="K361" s="71"/>
      <c r="L361" s="303"/>
      <c r="M361" s="303"/>
      <c r="N361" s="303"/>
    </row>
    <row r="362" spans="8:14">
      <c r="H362" s="71"/>
      <c r="I362" s="71"/>
      <c r="J362" s="71"/>
      <c r="K362" s="71"/>
      <c r="L362" s="303"/>
      <c r="M362" s="303"/>
      <c r="N362" s="303"/>
    </row>
    <row r="363" spans="8:14">
      <c r="H363" s="71"/>
      <c r="I363" s="71"/>
      <c r="J363" s="71"/>
      <c r="K363" s="71"/>
      <c r="L363" s="303"/>
      <c r="M363" s="303"/>
      <c r="N363" s="303"/>
    </row>
  </sheetData>
  <mergeCells count="16">
    <mergeCell ref="AD34:AM34"/>
    <mergeCell ref="AE35:AG35"/>
    <mergeCell ref="AH35:AJ35"/>
    <mergeCell ref="AK35:AM35"/>
    <mergeCell ref="Z33:AB33"/>
    <mergeCell ref="Z34:AB34"/>
    <mergeCell ref="AE33:AM33"/>
    <mergeCell ref="B5:K5"/>
    <mergeCell ref="B6:K6"/>
    <mergeCell ref="Z58:AB58"/>
    <mergeCell ref="Z59:AB59"/>
    <mergeCell ref="Z9:AB9"/>
    <mergeCell ref="Z8:AB8"/>
    <mergeCell ref="C7:E7"/>
    <mergeCell ref="F7:H7"/>
    <mergeCell ref="I7:K7"/>
  </mergeCells>
  <dataValidations count="1">
    <dataValidation type="list" allowBlank="1" showInputMessage="1" showErrorMessage="1" promptTitle="Selecta Period:" prompt="Select Financial or Calendar years." sqref="AE33:AM33">
      <formula1>$B$1:$B$2</formula1>
    </dataValidation>
  </dataValidation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tint="0.39997558519241921"/>
  </sheetPr>
  <dimension ref="A3:AB90"/>
  <sheetViews>
    <sheetView zoomScaleNormal="100" workbookViewId="0"/>
  </sheetViews>
  <sheetFormatPr defaultRowHeight="15"/>
  <cols>
    <col min="1" max="1" width="0.28515625" style="630" customWidth="1"/>
    <col min="2" max="2" width="6" style="630" hidden="1" customWidth="1"/>
    <col min="3" max="3" width="7.85546875" style="163" bestFit="1" customWidth="1"/>
    <col min="4" max="4" width="13.85546875" style="163" bestFit="1" customWidth="1"/>
    <col min="5" max="5" width="16.85546875" style="163" customWidth="1"/>
    <col min="6" max="6" width="18.85546875" style="163" bestFit="1" customWidth="1"/>
    <col min="7" max="7" width="18.28515625" style="163" bestFit="1" customWidth="1"/>
    <col min="8" max="8" width="6.28515625" style="163" bestFit="1" customWidth="1"/>
    <col min="9" max="9" width="16" style="163" bestFit="1" customWidth="1"/>
    <col min="10" max="10" width="7.5703125" style="163" bestFit="1" customWidth="1"/>
    <col min="11" max="11" width="7.42578125" style="163" bestFit="1" customWidth="1"/>
    <col min="12" max="16" width="9.140625" style="163"/>
    <col min="17" max="17" width="9.140625" style="163" customWidth="1"/>
    <col min="18" max="27" width="9.140625" style="163"/>
    <col min="28" max="28" width="4.140625" style="163" bestFit="1" customWidth="1"/>
    <col min="29" max="16384" width="9.140625" style="163"/>
  </cols>
  <sheetData>
    <row r="3" spans="1:28">
      <c r="AB3" s="1026" t="s">
        <v>546</v>
      </c>
    </row>
    <row r="4" spans="1:28">
      <c r="AB4" s="1026" t="s">
        <v>545</v>
      </c>
    </row>
    <row r="5" spans="1:28">
      <c r="C5" s="1947" t="s">
        <v>667</v>
      </c>
      <c r="D5" s="1947"/>
      <c r="E5" s="1947"/>
      <c r="F5" s="1947"/>
      <c r="G5" s="1947"/>
      <c r="H5" s="1947"/>
      <c r="I5" s="1947"/>
      <c r="J5" s="1947"/>
      <c r="K5" s="1947"/>
      <c r="L5" s="537"/>
    </row>
    <row r="6" spans="1:28" ht="15.75" thickBot="1">
      <c r="C6" s="1947" t="s">
        <v>668</v>
      </c>
      <c r="D6" s="1947"/>
      <c r="E6" s="1947"/>
      <c r="F6" s="1947"/>
      <c r="G6" s="1947"/>
      <c r="H6" s="1947"/>
      <c r="I6" s="1947"/>
      <c r="J6" s="1947"/>
      <c r="K6" s="1947"/>
    </row>
    <row r="7" spans="1:28" ht="15" customHeight="1">
      <c r="C7" s="164"/>
      <c r="D7" s="171" t="s">
        <v>150</v>
      </c>
      <c r="E7" s="172" t="s">
        <v>143</v>
      </c>
      <c r="F7" s="171" t="s">
        <v>141</v>
      </c>
      <c r="G7" s="172" t="s">
        <v>148</v>
      </c>
      <c r="H7" s="2056" t="s">
        <v>145</v>
      </c>
      <c r="I7" s="2056" t="s">
        <v>649</v>
      </c>
      <c r="J7" s="2056" t="s">
        <v>147</v>
      </c>
      <c r="K7" s="2058" t="s">
        <v>146</v>
      </c>
    </row>
    <row r="8" spans="1:28" ht="15" customHeight="1" thickBot="1">
      <c r="C8" s="165"/>
      <c r="D8" s="173" t="s">
        <v>151</v>
      </c>
      <c r="E8" s="174" t="s">
        <v>144</v>
      </c>
      <c r="F8" s="173" t="s">
        <v>142</v>
      </c>
      <c r="G8" s="174" t="s">
        <v>149</v>
      </c>
      <c r="H8" s="2057"/>
      <c r="I8" s="2057"/>
      <c r="J8" s="2057"/>
      <c r="K8" s="2059"/>
    </row>
    <row r="9" spans="1:28">
      <c r="A9" s="630">
        <v>1990</v>
      </c>
      <c r="B9" s="1010">
        <f t="shared" ref="B9:B17" si="0">A10</f>
        <v>1991</v>
      </c>
      <c r="C9" s="1023">
        <f t="shared" ref="C9:C35" si="1">IF($F$41=$AB$4,A9,CONCATENATE(A9,"-",RIGHT(B9,2)))</f>
        <v>1990</v>
      </c>
      <c r="D9" s="166">
        <f>IF($F$41="Historic Calendar Year",HLOOKUP(CONCATENATE('Petroleum - Gas Prices'!A9," QUANTITY"),'CY Q&amp;V 1886-2003'!$Y$8:$AR$179,172,FALSE)*1000,HLOOKUP(CONCATENATE('Petroleum - Gas Prices'!C9," QUANTITY"),'FY Q&amp;V 1984-85 to 2002-03'!$M$8:$AH$137,130,FALSE)*1000)</f>
        <v>3698843000</v>
      </c>
      <c r="E9" s="401">
        <f>IF(D9&lt;&gt;"",D9/26300,"")</f>
        <v>140640.41825095058</v>
      </c>
      <c r="F9" s="404">
        <f t="shared" ref="F9:F17" si="2">+E9*1000</f>
        <v>140640418.25095057</v>
      </c>
      <c r="G9" s="167">
        <f>IF($F$41="Historic Calendar Year",HLOOKUP(CONCATENATE('Petroleum - Gas Prices'!A9," VALUE"),'CY Q&amp;V 1886-2003'!$Y$8:$AR$179,172,FALSE),HLOOKUP(CONCATENATE('Petroleum - Gas Prices'!C9," VALUE"),'FY Q&amp;V 1984-85 to 2002-03'!$M$8:$AH$137,130,FALSE))</f>
        <v>366425052</v>
      </c>
      <c r="H9" s="168">
        <f t="shared" ref="H9:H33" si="3">IF(C9&lt;&gt;"",G9/F9,"")</f>
        <v>2.6054035998824498</v>
      </c>
      <c r="I9" s="169"/>
      <c r="J9" s="567">
        <f>IF(C9&lt;&gt;"",
IF($F$41="Historic Calendar Year",AVERAGEIF('Data - Monthly Commodity Prices'!$A$9:$A$1300,C9,'Data - Monthly Commodity Prices'!$X$9:$X$1300),
(SUMIFS('Data - Monthly Commodity Prices'!$X$9:$X$1300,'Data - Monthly Commodity Prices'!$A$9:$A$1300,A9,'Data - Monthly Commodity Prices'!$B$9:$B$1300,3)+
SUMIFS('Data - Monthly Commodity Prices'!$X$9:$X$1300,'Data - Monthly Commodity Prices'!$A$9:$A$1300,A9,'Data - Monthly Commodity Prices'!$B$9:$B$1300,4)+
SUMIFS('Data - Monthly Commodity Prices'!$X$9:$X$1300,'Data - Monthly Commodity Prices'!$A$9:$A$1300,B9,'Data - Monthly Commodity Prices'!$B$9:$B$1300,1)+
SUMIFS('Data - Monthly Commodity Prices'!$X$9:$X$1300,'Data - Monthly Commodity Prices'!$A$9:$A$1300,B9,'Data - Monthly Commodity Prices'!$B$9:$B$1300,2))/12
),"")</f>
        <v>0.77989166666666676</v>
      </c>
      <c r="K9" s="985">
        <f t="shared" ref="K9:K34" si="4">IFERROR(H9*J9,"")</f>
        <v>2.031932555851657</v>
      </c>
    </row>
    <row r="10" spans="1:28">
      <c r="A10" s="630">
        <v>1991</v>
      </c>
      <c r="B10" s="1010">
        <f t="shared" si="0"/>
        <v>1992</v>
      </c>
      <c r="C10" s="1023">
        <f t="shared" si="1"/>
        <v>1991</v>
      </c>
      <c r="D10" s="175">
        <f>IF($F$41="Historic Calendar Year",HLOOKUP(CONCATENATE('Petroleum - Gas Prices'!A10," QUANTITY"),'CY Q&amp;V 1886-2003'!$Y$8:$AR$179,172,FALSE)*1000,HLOOKUP(CONCATENATE('Petroleum - Gas Prices'!C10," QUANTITY"),'FY Q&amp;V 1984-85 to 2002-03'!$M$8:$AH$137,130,FALSE)*1000)</f>
        <v>3738455000</v>
      </c>
      <c r="E10" s="403">
        <f t="shared" ref="E10:E37" si="5">IF(D10&lt;&gt;"",D10/26300,"")</f>
        <v>142146.57794676805</v>
      </c>
      <c r="F10" s="402">
        <f t="shared" si="2"/>
        <v>142146577.94676805</v>
      </c>
      <c r="G10" s="176">
        <f>IF($F$41="Historic Calendar Year",HLOOKUP(CONCATENATE('Petroleum - Gas Prices'!A10," VALUE"),'CY Q&amp;V 1886-2003'!$Y$8:$AR$179,172,FALSE),HLOOKUP(CONCATENATE('Petroleum - Gas Prices'!C10," VALUE"),'FY Q&amp;V 1984-85 to 2002-03'!$M$8:$AH$137,130,FALSE))</f>
        <v>372203226</v>
      </c>
      <c r="H10" s="177">
        <f t="shared" si="3"/>
        <v>2.6184466159951105</v>
      </c>
      <c r="I10" s="178">
        <f>(H10-H9)/H9</f>
        <v>5.0061403589252542E-3</v>
      </c>
      <c r="J10" s="568">
        <f>IF(C10&lt;&gt;"",
IF($F$41="Historic Calendar Year",AVERAGEIF('Data - Monthly Commodity Prices'!$A$9:$A$1300,C10,'Data - Monthly Commodity Prices'!$X$9:$X$1300),
(SUMIFS('Data - Monthly Commodity Prices'!$X$9:$X$1300,'Data - Monthly Commodity Prices'!$A$9:$A$1300,A10,'Data - Monthly Commodity Prices'!$B$9:$B$1300,3)+
SUMIFS('Data - Monthly Commodity Prices'!$X$9:$X$1300,'Data - Monthly Commodity Prices'!$A$9:$A$1300,A10,'Data - Monthly Commodity Prices'!$B$9:$B$1300,4)+
SUMIFS('Data - Monthly Commodity Prices'!$X$9:$X$1300,'Data - Monthly Commodity Prices'!$A$9:$A$1300,B10,'Data - Monthly Commodity Prices'!$B$9:$B$1300,1)+
SUMIFS('Data - Monthly Commodity Prices'!$X$9:$X$1300,'Data - Monthly Commodity Prices'!$A$9:$A$1300,B10,'Data - Monthly Commodity Prices'!$B$9:$B$1300,2))/12
),"")</f>
        <v>0.78029166666666672</v>
      </c>
      <c r="K10" s="284">
        <f t="shared" si="4"/>
        <v>2.0431520740725184</v>
      </c>
    </row>
    <row r="11" spans="1:28">
      <c r="A11" s="630">
        <v>1992</v>
      </c>
      <c r="B11" s="1010">
        <f t="shared" si="0"/>
        <v>1993</v>
      </c>
      <c r="C11" s="1023">
        <f t="shared" si="1"/>
        <v>1992</v>
      </c>
      <c r="D11" s="166">
        <f>IF($F$41="Historic Calendar Year",HLOOKUP(CONCATENATE('Petroleum - Gas Prices'!A11," QUANTITY"),'CY Q&amp;V 1886-2003'!$Y$8:$AR$179,172,FALSE)*1000,HLOOKUP(CONCATENATE('Petroleum - Gas Prices'!C11," QUANTITY"),'FY Q&amp;V 1984-85 to 2002-03'!$M$8:$AH$137,130,FALSE)*1000)</f>
        <v>3776068000</v>
      </c>
      <c r="E11" s="401">
        <f t="shared" si="5"/>
        <v>143576.73003802283</v>
      </c>
      <c r="F11" s="404">
        <f t="shared" si="2"/>
        <v>143576730.03802282</v>
      </c>
      <c r="G11" s="167">
        <f>IF($F$41="Historic Calendar Year",HLOOKUP(CONCATENATE('Petroleum - Gas Prices'!A11," VALUE"),'CY Q&amp;V 1886-2003'!$Y$8:$AR$179,172,FALSE),HLOOKUP(CONCATENATE('Petroleum - Gas Prices'!C11," VALUE"),'FY Q&amp;V 1984-85 to 2002-03'!$M$8:$AH$137,130,FALSE))</f>
        <v>368955578</v>
      </c>
      <c r="H11" s="168">
        <f t="shared" si="3"/>
        <v>2.5697449572942013</v>
      </c>
      <c r="I11" s="161">
        <f t="shared" ref="I11:I37" si="6">(H11-H10)/H10</f>
        <v>-1.8599446864186211E-2</v>
      </c>
      <c r="J11" s="567">
        <f>IF(C11&lt;&gt;"",
IF($F$41="Historic Calendar Year",AVERAGEIF('Data - Monthly Commodity Prices'!$A$9:$A$1300,C11,'Data - Monthly Commodity Prices'!$X$9:$X$1300),
(SUMIFS('Data - Monthly Commodity Prices'!$X$9:$X$1300,'Data - Monthly Commodity Prices'!$A$9:$A$1300,A11,'Data - Monthly Commodity Prices'!$B$9:$B$1300,3)+
SUMIFS('Data - Monthly Commodity Prices'!$X$9:$X$1300,'Data - Monthly Commodity Prices'!$A$9:$A$1300,A11,'Data - Monthly Commodity Prices'!$B$9:$B$1300,4)+
SUMIFS('Data - Monthly Commodity Prices'!$X$9:$X$1300,'Data - Monthly Commodity Prices'!$A$9:$A$1300,B11,'Data - Monthly Commodity Prices'!$B$9:$B$1300,1)+
SUMIFS('Data - Monthly Commodity Prices'!$X$9:$X$1300,'Data - Monthly Commodity Prices'!$A$9:$A$1300,B11,'Data - Monthly Commodity Prices'!$B$9:$B$1300,2))/12
),"")</f>
        <v>0.73121666666666674</v>
      </c>
      <c r="K11" s="985">
        <f t="shared" si="4"/>
        <v>1.8790403418561417</v>
      </c>
    </row>
    <row r="12" spans="1:28">
      <c r="A12" s="630">
        <v>1993</v>
      </c>
      <c r="B12" s="1010">
        <f t="shared" si="0"/>
        <v>1994</v>
      </c>
      <c r="C12" s="1023">
        <f t="shared" si="1"/>
        <v>1993</v>
      </c>
      <c r="D12" s="175">
        <f>IF($F$41="Historic Calendar Year",HLOOKUP(CONCATENATE('Petroleum - Gas Prices'!A12," QUANTITY"),'CY Q&amp;V 1886-2003'!$Y$8:$AR$179,172,FALSE)*1000,HLOOKUP(CONCATENATE('Petroleum - Gas Prices'!C12," QUANTITY"),'FY Q&amp;V 1984-85 to 2002-03'!$M$8:$AH$137,130,FALSE)*1000)</f>
        <v>4210825000</v>
      </c>
      <c r="E12" s="403">
        <f t="shared" si="5"/>
        <v>160107.41444866921</v>
      </c>
      <c r="F12" s="402">
        <f t="shared" si="2"/>
        <v>160107414.4486692</v>
      </c>
      <c r="G12" s="176">
        <f>IF($F$41="Historic Calendar Year",HLOOKUP(CONCATENATE('Petroleum - Gas Prices'!A12," VALUE"),'CY Q&amp;V 1886-2003'!$Y$8:$AR$179,172,FALSE),HLOOKUP(CONCATENATE('Petroleum - Gas Prices'!C12," VALUE"),'FY Q&amp;V 1984-85 to 2002-03'!$M$8:$AH$137,130,FALSE))</f>
        <v>422956897</v>
      </c>
      <c r="H12" s="177">
        <f t="shared" si="3"/>
        <v>2.6417071217872983</v>
      </c>
      <c r="I12" s="178">
        <f t="shared" si="6"/>
        <v>2.8003621249973836E-2</v>
      </c>
      <c r="J12" s="568">
        <f>IF(C12&lt;&gt;"",
IF($F$41="Historic Calendar Year",AVERAGEIF('Data - Monthly Commodity Prices'!$A$9:$A$1300,C12,'Data - Monthly Commodity Prices'!$X$9:$X$1300),
(SUMIFS('Data - Monthly Commodity Prices'!$X$9:$X$1300,'Data - Monthly Commodity Prices'!$A$9:$A$1300,A12,'Data - Monthly Commodity Prices'!$B$9:$B$1300,3)+
SUMIFS('Data - Monthly Commodity Prices'!$X$9:$X$1300,'Data - Monthly Commodity Prices'!$A$9:$A$1300,A12,'Data - Monthly Commodity Prices'!$B$9:$B$1300,4)+
SUMIFS('Data - Monthly Commodity Prices'!$X$9:$X$1300,'Data - Monthly Commodity Prices'!$A$9:$A$1300,B12,'Data - Monthly Commodity Prices'!$B$9:$B$1300,1)+
SUMIFS('Data - Monthly Commodity Prices'!$X$9:$X$1300,'Data - Monthly Commodity Prices'!$A$9:$A$1300,B12,'Data - Monthly Commodity Prices'!$B$9:$B$1300,2))/12
),"")</f>
        <v>0.67972499999999991</v>
      </c>
      <c r="K12" s="284">
        <f t="shared" si="4"/>
        <v>1.7956343733568711</v>
      </c>
    </row>
    <row r="13" spans="1:28">
      <c r="A13" s="630">
        <v>1994</v>
      </c>
      <c r="B13" s="1010">
        <f t="shared" si="0"/>
        <v>1995</v>
      </c>
      <c r="C13" s="1023">
        <f t="shared" si="1"/>
        <v>1994</v>
      </c>
      <c r="D13" s="166">
        <f>IF($F$41="Historic Calendar Year",HLOOKUP(CONCATENATE('Petroleum - Gas Prices'!A13," QUANTITY"),'CY Q&amp;V 1886-2003'!$Y$8:$AR$179,172,FALSE)*1000,HLOOKUP(CONCATENATE('Petroleum - Gas Prices'!C13," QUANTITY"),'FY Q&amp;V 1984-85 to 2002-03'!$M$8:$AH$137,130,FALSE)*1000)</f>
        <v>4915310000</v>
      </c>
      <c r="E13" s="401">
        <f t="shared" si="5"/>
        <v>186893.91634980988</v>
      </c>
      <c r="F13" s="404">
        <f t="shared" si="2"/>
        <v>186893916.34980989</v>
      </c>
      <c r="G13" s="167">
        <f>IF($F$41="Historic Calendar Year",HLOOKUP(CONCATENATE('Petroleum - Gas Prices'!A13," VALUE"),'CY Q&amp;V 1886-2003'!$Y$8:$AR$179,172,FALSE),HLOOKUP(CONCATENATE('Petroleum - Gas Prices'!C13," VALUE"),'FY Q&amp;V 1984-85 to 2002-03'!$M$8:$AH$137,130,FALSE))</f>
        <v>441964508</v>
      </c>
      <c r="H13" s="168">
        <f t="shared" si="3"/>
        <v>2.364788092795775</v>
      </c>
      <c r="I13" s="161">
        <f t="shared" si="6"/>
        <v>-0.10482578735078261</v>
      </c>
      <c r="J13" s="567">
        <f>IF(C13&lt;&gt;"",
IF($F$41="Historic Calendar Year",AVERAGEIF('Data - Monthly Commodity Prices'!$A$9:$A$1300,C13,'Data - Monthly Commodity Prices'!$X$9:$X$1300),
(SUMIFS('Data - Monthly Commodity Prices'!$X$9:$X$1300,'Data - Monthly Commodity Prices'!$A$9:$A$1300,A13,'Data - Monthly Commodity Prices'!$B$9:$B$1300,3)+
SUMIFS('Data - Monthly Commodity Prices'!$X$9:$X$1300,'Data - Monthly Commodity Prices'!$A$9:$A$1300,A13,'Data - Monthly Commodity Prices'!$B$9:$B$1300,4)+
SUMIFS('Data - Monthly Commodity Prices'!$X$9:$X$1300,'Data - Monthly Commodity Prices'!$A$9:$A$1300,B13,'Data - Monthly Commodity Prices'!$B$9:$B$1300,1)+
SUMIFS('Data - Monthly Commodity Prices'!$X$9:$X$1300,'Data - Monthly Commodity Prices'!$A$9:$A$1300,B13,'Data - Monthly Commodity Prices'!$B$9:$B$1300,2))/12
),"")</f>
        <v>0.7345666666666667</v>
      </c>
      <c r="K13" s="985">
        <f t="shared" si="4"/>
        <v>1.7370945066980166</v>
      </c>
      <c r="N13" s="170"/>
    </row>
    <row r="14" spans="1:28">
      <c r="A14" s="630">
        <v>1995</v>
      </c>
      <c r="B14" s="1010">
        <f t="shared" si="0"/>
        <v>1996</v>
      </c>
      <c r="C14" s="1023">
        <f t="shared" si="1"/>
        <v>1995</v>
      </c>
      <c r="D14" s="175">
        <f>IF($F$41="Historic Calendar Year",HLOOKUP(CONCATENATE('Petroleum - Gas Prices'!A14," QUANTITY"),'CY Q&amp;V 1886-2003'!$Y$8:$AR$179,172,FALSE)*1000,HLOOKUP(CONCATENATE('Petroleum - Gas Prices'!C14," QUANTITY"),'FY Q&amp;V 1984-85 to 2002-03'!$M$8:$AH$137,130,FALSE)*1000)</f>
        <v>5827413000</v>
      </c>
      <c r="E14" s="403">
        <f t="shared" si="5"/>
        <v>221574.63878326997</v>
      </c>
      <c r="F14" s="402">
        <f t="shared" si="2"/>
        <v>221574638.78326997</v>
      </c>
      <c r="G14" s="176">
        <f>IF($F$41="Historic Calendar Year",HLOOKUP(CONCATENATE('Petroleum - Gas Prices'!A14," VALUE"),'CY Q&amp;V 1886-2003'!$Y$8:$AR$179,172,FALSE),HLOOKUP(CONCATENATE('Petroleum - Gas Prices'!C14," VALUE"),'FY Q&amp;V 1984-85 to 2002-03'!$M$8:$AH$137,130,FALSE))</f>
        <v>421922592</v>
      </c>
      <c r="H14" s="177">
        <f t="shared" si="3"/>
        <v>1.9042007438978497</v>
      </c>
      <c r="I14" s="178">
        <f t="shared" si="6"/>
        <v>-0.19476897329662848</v>
      </c>
      <c r="J14" s="568">
        <f>IF(C14&lt;&gt;"",
IF($F$41="Historic Calendar Year",AVERAGEIF('Data - Monthly Commodity Prices'!$A$9:$A$1300,C14,'Data - Monthly Commodity Prices'!$X$9:$X$1300),
(SUMIFS('Data - Monthly Commodity Prices'!$X$9:$X$1300,'Data - Monthly Commodity Prices'!$A$9:$A$1300,A14,'Data - Monthly Commodity Prices'!$B$9:$B$1300,3)+
SUMIFS('Data - Monthly Commodity Prices'!$X$9:$X$1300,'Data - Monthly Commodity Prices'!$A$9:$A$1300,A14,'Data - Monthly Commodity Prices'!$B$9:$B$1300,4)+
SUMIFS('Data - Monthly Commodity Prices'!$X$9:$X$1300,'Data - Monthly Commodity Prices'!$A$9:$A$1300,B14,'Data - Monthly Commodity Prices'!$B$9:$B$1300,1)+
SUMIFS('Data - Monthly Commodity Prices'!$X$9:$X$1300,'Data - Monthly Commodity Prices'!$A$9:$A$1300,B14,'Data - Monthly Commodity Prices'!$B$9:$B$1300,2))/12
),"")</f>
        <v>0.73940833333333311</v>
      </c>
      <c r="K14" s="284">
        <f t="shared" si="4"/>
        <v>1.407981898377602</v>
      </c>
    </row>
    <row r="15" spans="1:28">
      <c r="A15" s="630">
        <v>1996</v>
      </c>
      <c r="B15" s="1010">
        <f t="shared" si="0"/>
        <v>1997</v>
      </c>
      <c r="C15" s="1023">
        <f t="shared" si="1"/>
        <v>1996</v>
      </c>
      <c r="D15" s="166">
        <f>IF($F$41="Historic Calendar Year",HLOOKUP(CONCATENATE('Petroleum - Gas Prices'!A15," QUANTITY"),'CY Q&amp;V 1886-2003'!$Y$8:$AR$179,172,FALSE)*1000,HLOOKUP(CONCATENATE('Petroleum - Gas Prices'!C15," QUANTITY"),'FY Q&amp;V 1984-85 to 2002-03'!$M$8:$AH$137,130,FALSE)*1000)</f>
        <v>6624510000</v>
      </c>
      <c r="E15" s="401">
        <f t="shared" si="5"/>
        <v>251882.50950570343</v>
      </c>
      <c r="F15" s="404">
        <f t="shared" si="2"/>
        <v>251882509.50570342</v>
      </c>
      <c r="G15" s="167">
        <f>IF($F$41="Historic Calendar Year",HLOOKUP(CONCATENATE('Petroleum - Gas Prices'!A15," VALUE"),'CY Q&amp;V 1886-2003'!$Y$8:$AR$179,172,FALSE),HLOOKUP(CONCATENATE('Petroleum - Gas Prices'!C15," VALUE"),'FY Q&amp;V 1984-85 to 2002-03'!$M$8:$AH$137,130,FALSE))</f>
        <v>494681365</v>
      </c>
      <c r="H15" s="168">
        <f t="shared" si="3"/>
        <v>1.9639369401661406</v>
      </c>
      <c r="I15" s="161">
        <f t="shared" si="6"/>
        <v>3.1370745158943968E-2</v>
      </c>
      <c r="J15" s="567">
        <f>IF(C15&lt;&gt;"",
IF($F$41="Historic Calendar Year",AVERAGEIF('Data - Monthly Commodity Prices'!$A$9:$A$1300,C15,'Data - Monthly Commodity Prices'!$X$9:$X$1300),
(SUMIFS('Data - Monthly Commodity Prices'!$X$9:$X$1300,'Data - Monthly Commodity Prices'!$A$9:$A$1300,A15,'Data - Monthly Commodity Prices'!$B$9:$B$1300,3)+
SUMIFS('Data - Monthly Commodity Prices'!$X$9:$X$1300,'Data - Monthly Commodity Prices'!$A$9:$A$1300,A15,'Data - Monthly Commodity Prices'!$B$9:$B$1300,4)+
SUMIFS('Data - Monthly Commodity Prices'!$X$9:$X$1300,'Data - Monthly Commodity Prices'!$A$9:$A$1300,B15,'Data - Monthly Commodity Prices'!$B$9:$B$1300,1)+
SUMIFS('Data - Monthly Commodity Prices'!$X$9:$X$1300,'Data - Monthly Commodity Prices'!$A$9:$A$1300,B15,'Data - Monthly Commodity Prices'!$B$9:$B$1300,2))/12
),"")</f>
        <v>0.78454999999999997</v>
      </c>
      <c r="K15" s="985">
        <f t="shared" si="4"/>
        <v>1.5408067264073455</v>
      </c>
    </row>
    <row r="16" spans="1:28">
      <c r="A16" s="630">
        <v>1997</v>
      </c>
      <c r="B16" s="1010">
        <f t="shared" si="0"/>
        <v>1998</v>
      </c>
      <c r="C16" s="1023">
        <f t="shared" si="1"/>
        <v>1997</v>
      </c>
      <c r="D16" s="175">
        <f>IF($F$41="Historic Calendar Year",HLOOKUP(CONCATENATE('Petroleum - Gas Prices'!A16," QUANTITY"),'CY Q&amp;V 1886-2003'!$Y$8:$AR$179,172,FALSE)*1000,HLOOKUP(CONCATENATE('Petroleum - Gas Prices'!C16," QUANTITY"),'FY Q&amp;V 1984-85 to 2002-03'!$M$8:$AH$137,130,FALSE)*1000)</f>
        <v>7331730000</v>
      </c>
      <c r="E16" s="403">
        <f t="shared" si="5"/>
        <v>278773.0038022814</v>
      </c>
      <c r="F16" s="402">
        <f t="shared" si="2"/>
        <v>278773003.80228138</v>
      </c>
      <c r="G16" s="176">
        <f>IF($F$41="Historic Calendar Year",HLOOKUP(CONCATENATE('Petroleum - Gas Prices'!A16," VALUE"),'CY Q&amp;V 1886-2003'!$Y$8:$AR$179,172,FALSE),HLOOKUP(CONCATENATE('Petroleum - Gas Prices'!C16," VALUE"),'FY Q&amp;V 1984-85 to 2002-03'!$M$8:$AH$137,130,FALSE))</f>
        <v>571510515.80999994</v>
      </c>
      <c r="H16" s="177">
        <f t="shared" si="3"/>
        <v>2.0500927565258129</v>
      </c>
      <c r="I16" s="178">
        <f t="shared" si="6"/>
        <v>4.3868932142181648E-2</v>
      </c>
      <c r="J16" s="568">
        <f>IF(C16&lt;&gt;"",
IF($F$41="Historic Calendar Year",AVERAGEIF('Data - Monthly Commodity Prices'!$A$9:$A$1300,C16,'Data - Monthly Commodity Prices'!$X$9:$X$1300),
(SUMIFS('Data - Monthly Commodity Prices'!$X$9:$X$1300,'Data - Monthly Commodity Prices'!$A$9:$A$1300,A16,'Data - Monthly Commodity Prices'!$B$9:$B$1300,3)+
SUMIFS('Data - Monthly Commodity Prices'!$X$9:$X$1300,'Data - Monthly Commodity Prices'!$A$9:$A$1300,A16,'Data - Monthly Commodity Prices'!$B$9:$B$1300,4)+
SUMIFS('Data - Monthly Commodity Prices'!$X$9:$X$1300,'Data - Monthly Commodity Prices'!$A$9:$A$1300,B16,'Data - Monthly Commodity Prices'!$B$9:$B$1300,1)+
SUMIFS('Data - Monthly Commodity Prices'!$X$9:$X$1300,'Data - Monthly Commodity Prices'!$A$9:$A$1300,B16,'Data - Monthly Commodity Prices'!$B$9:$B$1300,2))/12
),"")</f>
        <v>0.73849166666666655</v>
      </c>
      <c r="K16" s="284">
        <f t="shared" si="4"/>
        <v>1.5139764165880083</v>
      </c>
    </row>
    <row r="17" spans="1:11">
      <c r="A17" s="630">
        <v>1998</v>
      </c>
      <c r="B17" s="1010">
        <f t="shared" si="0"/>
        <v>1999</v>
      </c>
      <c r="C17" s="1023">
        <f t="shared" si="1"/>
        <v>1998</v>
      </c>
      <c r="D17" s="166">
        <f>IF($F$41="Historic Calendar Year",HLOOKUP(CONCATENATE('Petroleum - Gas Prices'!A17," QUANTITY"),'CY Q&amp;V 1886-2003'!$Y$8:$AR$179,172,FALSE)*1000,HLOOKUP(CONCATENATE('Petroleum - Gas Prices'!C17," QUANTITY"),'FY Q&amp;V 1984-85 to 2002-03'!$M$8:$AH$137,130,FALSE)*1000)</f>
        <v>6328179000</v>
      </c>
      <c r="E17" s="401">
        <f t="shared" si="5"/>
        <v>240615.17110266161</v>
      </c>
      <c r="F17" s="404">
        <f t="shared" si="2"/>
        <v>240615171.10266161</v>
      </c>
      <c r="G17" s="167">
        <f>IF($F$41="Historic Calendar Year",HLOOKUP(CONCATENATE('Petroleum - Gas Prices'!A17," VALUE"),'CY Q&amp;V 1886-2003'!$Y$8:$AR$179,172,FALSE),HLOOKUP(CONCATENATE('Petroleum - Gas Prices'!C17," VALUE"),'FY Q&amp;V 1984-85 to 2002-03'!$M$8:$AH$137,130,FALSE))</f>
        <v>527964048</v>
      </c>
      <c r="H17" s="168">
        <f t="shared" si="3"/>
        <v>2.1942259317253825</v>
      </c>
      <c r="I17" s="161">
        <f t="shared" si="6"/>
        <v>7.0305684823658759E-2</v>
      </c>
      <c r="J17" s="567">
        <f>IF(C17&lt;&gt;"",
IF($F$41="Historic Calendar Year",AVERAGEIF('Data - Monthly Commodity Prices'!$A$9:$A$1300,C17,'Data - Monthly Commodity Prices'!$X$9:$X$1300),
(SUMIFS('Data - Monthly Commodity Prices'!$X$9:$X$1300,'Data - Monthly Commodity Prices'!$A$9:$A$1300,A17,'Data - Monthly Commodity Prices'!$B$9:$B$1300,3)+
SUMIFS('Data - Monthly Commodity Prices'!$X$9:$X$1300,'Data - Monthly Commodity Prices'!$A$9:$A$1300,A17,'Data - Monthly Commodity Prices'!$B$9:$B$1300,4)+
SUMIFS('Data - Monthly Commodity Prices'!$X$9:$X$1300,'Data - Monthly Commodity Prices'!$A$9:$A$1300,B17,'Data - Monthly Commodity Prices'!$B$9:$B$1300,1)+
SUMIFS('Data - Monthly Commodity Prices'!$X$9:$X$1300,'Data - Monthly Commodity Prices'!$A$9:$A$1300,B17,'Data - Monthly Commodity Prices'!$B$9:$B$1300,2))/12
),"")</f>
        <v>0.6299083333333334</v>
      </c>
      <c r="K17" s="985">
        <f t="shared" si="4"/>
        <v>1.3821611996099163</v>
      </c>
    </row>
    <row r="18" spans="1:11">
      <c r="A18" s="630">
        <v>1999</v>
      </c>
      <c r="B18" s="1010">
        <f>A19</f>
        <v>2000</v>
      </c>
      <c r="C18" s="1023">
        <f t="shared" si="1"/>
        <v>1999</v>
      </c>
      <c r="D18" s="175">
        <f>IF(C18&lt;&gt;"",IF($F$41=$AB$4,SUMIF('Petroleum - Q&amp;V2'!$L$9:$L$130,'Petroleum - Gas Prices'!C18,'Petroleum - Q&amp;V2'!$I$9:$I$130)*1000,(SUMIFS('Petroleum - Q&amp;V2'!$I$9:$I$250,'Petroleum - Q&amp;V2'!$L$9:$L$250,A18,'Petroleum - Q&amp;V2'!$M$9:$M$250,3)+
SUMIFS('Petroleum - Q&amp;V2'!$I$9:$I$250,'Petroleum - Q&amp;V2'!$L$9:$L$250,A18,'Petroleum - Q&amp;V2'!$M$9:$M$250,4)+
SUMIFS('Petroleum - Q&amp;V2'!$I$9:$I$250,'Petroleum - Q&amp;V2'!$L$9:$L$250,B18,'Petroleum - Q&amp;V2'!$M$9:$M$250,1)+
SUMIFS('Petroleum - Q&amp;V2'!$I$9:$I$250,'Petroleum - Q&amp;V2'!$L$9:$L$250,B18,'Petroleum - Q&amp;V2'!$M$9:$M$250,2))*1000),"")</f>
        <v>6461309480</v>
      </c>
      <c r="E18" s="403">
        <f t="shared" si="5"/>
        <v>245677.16653992396</v>
      </c>
      <c r="F18" s="402">
        <f t="shared" ref="F18:F33" si="7">IF(D18&lt;&gt;"",E18*1000,"")</f>
        <v>245677166.53992397</v>
      </c>
      <c r="G18" s="176">
        <f>IF(C18&lt;&gt;"",IF($F$41=$AB$4,SUMIF('Petroleum - Q&amp;V2'!$L$9:$L$130,'Petroleum - Gas Prices'!C18,'Petroleum - Q&amp;V2'!$K$9:$K$130)*1000000,
(SUMIFS('Petroleum - Q&amp;V2'!$K$9:$K$250,'Petroleum - Q&amp;V2'!$L$9:$L$250,A18,'Petroleum - Q&amp;V2'!$M$9:$M$250,3)+
SUMIFS('Petroleum - Q&amp;V2'!$K$9:$K$250,'Petroleum - Q&amp;V2'!$L$9:$L$250,A18,'Petroleum - Q&amp;V2'!$M$9:$M$250,4)+
SUMIFS('Petroleum - Q&amp;V2'!$K$9:$K$250,'Petroleum - Q&amp;V2'!$L$9:$L$250,B18,'Petroleum - Q&amp;V2'!$M$9:$M$250,1)+
SUMIFS('Petroleum - Q&amp;V2'!$K$9:$K$250,'Petroleum - Q&amp;V2'!$L$9:$L$250,B18,'Petroleum - Q&amp;V2'!$M$9:$M$250,2))*1000000),"")</f>
        <v>556055604.5999999</v>
      </c>
      <c r="H18" s="177">
        <f t="shared" si="3"/>
        <v>2.2633589129644966</v>
      </c>
      <c r="I18" s="178">
        <f t="shared" si="6"/>
        <v>3.1506774320524469E-2</v>
      </c>
      <c r="J18" s="568">
        <f>IF(C18&lt;&gt;"",
IF($F$41="Historic Calendar Year",AVERAGEIF('Data - Monthly Commodity Prices'!$A$9:$A$1300,C18,'Data - Monthly Commodity Prices'!$X$9:$X$1300),
(SUMIFS('Data - Monthly Commodity Prices'!$X$9:$X$1300,'Data - Monthly Commodity Prices'!$A$9:$A$1300,A18,'Data - Monthly Commodity Prices'!$B$9:$B$1300,3)+
SUMIFS('Data - Monthly Commodity Prices'!$X$9:$X$1300,'Data - Monthly Commodity Prices'!$A$9:$A$1300,A18,'Data - Monthly Commodity Prices'!$B$9:$B$1300,4)+
SUMIFS('Data - Monthly Commodity Prices'!$X$9:$X$1300,'Data - Monthly Commodity Prices'!$A$9:$A$1300,B18,'Data - Monthly Commodity Prices'!$B$9:$B$1300,1)+
SUMIFS('Data - Monthly Commodity Prices'!$X$9:$X$1300,'Data - Monthly Commodity Prices'!$A$9:$A$1300,B18,'Data - Monthly Commodity Prices'!$B$9:$B$1300,2))/12
),"")</f>
        <v>0.64528333333333343</v>
      </c>
      <c r="K18" s="284">
        <f t="shared" si="4"/>
        <v>1.4605077838874405</v>
      </c>
    </row>
    <row r="19" spans="1:11">
      <c r="A19" s="630">
        <v>2000</v>
      </c>
      <c r="B19" s="1010">
        <f t="shared" ref="B19:B36" si="8">A20</f>
        <v>2001</v>
      </c>
      <c r="C19" s="1023">
        <f t="shared" si="1"/>
        <v>2000</v>
      </c>
      <c r="D19" s="166">
        <f>IF(C19&lt;&gt;"",IF($F$41=$AB$4,SUMIF('Petroleum - Q&amp;V2'!$L$9:$L$130,'Petroleum - Gas Prices'!C19,'Petroleum - Q&amp;V2'!$I$9:$I$130)*1000,(SUMIFS('Petroleum - Q&amp;V2'!$I$9:$I$250,'Petroleum - Q&amp;V2'!$L$9:$L$250,A19,'Petroleum - Q&amp;V2'!$M$9:$M$250,3)+
SUMIFS('Petroleum - Q&amp;V2'!$I$9:$I$250,'Petroleum - Q&amp;V2'!$L$9:$L$250,A19,'Petroleum - Q&amp;V2'!$M$9:$M$250,4)+
SUMIFS('Petroleum - Q&amp;V2'!$I$9:$I$250,'Petroleum - Q&amp;V2'!$L$9:$L$250,B19,'Petroleum - Q&amp;V2'!$M$9:$M$250,1)+
SUMIFS('Petroleum - Q&amp;V2'!$I$9:$I$250,'Petroleum - Q&amp;V2'!$L$9:$L$250,B19,'Petroleum - Q&amp;V2'!$M$9:$M$250,2))*1000),"")</f>
        <v>6873984000</v>
      </c>
      <c r="E19" s="401">
        <f t="shared" si="5"/>
        <v>261368.21292775666</v>
      </c>
      <c r="F19" s="404">
        <f t="shared" si="7"/>
        <v>261368212.92775667</v>
      </c>
      <c r="G19" s="167">
        <f>IF(C19&lt;&gt;"",IF($F$41=$AB$4,SUMIF('Petroleum - Q&amp;V2'!$L$9:$L$130,'Petroleum - Gas Prices'!C19,'Petroleum - Q&amp;V2'!$K$9:$K$130)*1000000,
(SUMIFS('Petroleum - Q&amp;V2'!$K$9:$K$250,'Petroleum - Q&amp;V2'!$L$9:$L$250,A19,'Petroleum - Q&amp;V2'!$M$9:$M$250,3)+
SUMIFS('Petroleum - Q&amp;V2'!$K$9:$K$250,'Petroleum - Q&amp;V2'!$L$9:$L$250,A19,'Petroleum - Q&amp;V2'!$M$9:$M$250,4)+
SUMIFS('Petroleum - Q&amp;V2'!$K$9:$K$250,'Petroleum - Q&amp;V2'!$L$9:$L$250,B19,'Petroleum - Q&amp;V2'!$M$9:$M$250,1)+
SUMIFS('Petroleum - Q&amp;V2'!$K$9:$K$250,'Petroleum - Q&amp;V2'!$L$9:$L$250,B19,'Petroleum - Q&amp;V2'!$M$9:$M$250,2))*1000000),"")</f>
        <v>602958033</v>
      </c>
      <c r="H19" s="168">
        <f t="shared" si="3"/>
        <v>2.3069294702897185</v>
      </c>
      <c r="I19" s="161">
        <f t="shared" si="6"/>
        <v>1.9250396866201887E-2</v>
      </c>
      <c r="J19" s="567">
        <f>IF(C19&lt;&gt;"",
IF($F$41="Historic Calendar Year",AVERAGEIF('Data - Monthly Commodity Prices'!$A$9:$A$1300,C19,'Data - Monthly Commodity Prices'!$X$9:$X$1300),
(SUMIFS('Data - Monthly Commodity Prices'!$X$9:$X$1300,'Data - Monthly Commodity Prices'!$A$9:$A$1300,A19,'Data - Monthly Commodity Prices'!$B$9:$B$1300,3)+
SUMIFS('Data - Monthly Commodity Prices'!$X$9:$X$1300,'Data - Monthly Commodity Prices'!$A$9:$A$1300,A19,'Data - Monthly Commodity Prices'!$B$9:$B$1300,4)+
SUMIFS('Data - Monthly Commodity Prices'!$X$9:$X$1300,'Data - Monthly Commodity Prices'!$A$9:$A$1300,B19,'Data - Monthly Commodity Prices'!$B$9:$B$1300,1)+
SUMIFS('Data - Monthly Commodity Prices'!$X$9:$X$1300,'Data - Monthly Commodity Prices'!$A$9:$A$1300,B19,'Data - Monthly Commodity Prices'!$B$9:$B$1300,2))/12
),"")</f>
        <v>0.58186666666666675</v>
      </c>
      <c r="K19" s="985">
        <f t="shared" si="4"/>
        <v>1.3423253611125778</v>
      </c>
    </row>
    <row r="20" spans="1:11">
      <c r="A20" s="630">
        <v>2001</v>
      </c>
      <c r="B20" s="1010">
        <f t="shared" si="8"/>
        <v>2002</v>
      </c>
      <c r="C20" s="1023">
        <f t="shared" si="1"/>
        <v>2001</v>
      </c>
      <c r="D20" s="175">
        <f>IF(C20&lt;&gt;"",IF($F$41=$AB$4,SUMIF('Petroleum - Q&amp;V2'!$L$9:$L$130,'Petroleum - Gas Prices'!C20,'Petroleum - Q&amp;V2'!$I$9:$I$130)*1000,(SUMIFS('Petroleum - Q&amp;V2'!$I$9:$I$250,'Petroleum - Q&amp;V2'!$L$9:$L$250,A20,'Petroleum - Q&amp;V2'!$M$9:$M$250,3)+
SUMIFS('Petroleum - Q&amp;V2'!$I$9:$I$250,'Petroleum - Q&amp;V2'!$L$9:$L$250,A20,'Petroleum - Q&amp;V2'!$M$9:$M$250,4)+
SUMIFS('Petroleum - Q&amp;V2'!$I$9:$I$250,'Petroleum - Q&amp;V2'!$L$9:$L$250,B20,'Petroleum - Q&amp;V2'!$M$9:$M$250,1)+
SUMIFS('Petroleum - Q&amp;V2'!$I$9:$I$250,'Petroleum - Q&amp;V2'!$L$9:$L$250,B20,'Petroleum - Q&amp;V2'!$M$9:$M$250,2))*1000),"")</f>
        <v>7665533000</v>
      </c>
      <c r="E20" s="403">
        <f t="shared" si="5"/>
        <v>291465.1330798479</v>
      </c>
      <c r="F20" s="402">
        <f t="shared" si="7"/>
        <v>291465133.07984793</v>
      </c>
      <c r="G20" s="176">
        <f>IF(C20&lt;&gt;"",IF($F$41=$AB$4,SUMIF('Petroleum - Q&amp;V2'!$L$9:$L$130,'Petroleum - Gas Prices'!C20,'Petroleum - Q&amp;V2'!$K$9:$K$130)*1000000,
(SUMIFS('Petroleum - Q&amp;V2'!$K$9:$K$250,'Petroleum - Q&amp;V2'!$L$9:$L$250,A20,'Petroleum - Q&amp;V2'!$M$9:$M$250,3)+
SUMIFS('Petroleum - Q&amp;V2'!$K$9:$K$250,'Petroleum - Q&amp;V2'!$L$9:$L$250,A20,'Petroleum - Q&amp;V2'!$M$9:$M$250,4)+
SUMIFS('Petroleum - Q&amp;V2'!$K$9:$K$250,'Petroleum - Q&amp;V2'!$L$9:$L$250,B20,'Petroleum - Q&amp;V2'!$M$9:$M$250,1)+
SUMIFS('Petroleum - Q&amp;V2'!$K$9:$K$250,'Petroleum - Q&amp;V2'!$L$9:$L$250,B20,'Petroleum - Q&amp;V2'!$M$9:$M$250,2))*1000000),"")</f>
        <v>642074669.21454954</v>
      </c>
      <c r="H20" s="177">
        <f t="shared" si="3"/>
        <v>2.202921023279484</v>
      </c>
      <c r="I20" s="178">
        <f t="shared" si="6"/>
        <v>-4.5085230541171445E-2</v>
      </c>
      <c r="J20" s="568">
        <f>IF(C20&lt;&gt;"",
IF($F$41="Historic Calendar Year",AVERAGEIF('Data - Monthly Commodity Prices'!$A$9:$A$1300,C20,'Data - Monthly Commodity Prices'!$X$9:$X$1300),
(SUMIFS('Data - Monthly Commodity Prices'!$X$9:$X$1300,'Data - Monthly Commodity Prices'!$A$9:$A$1300,A20,'Data - Monthly Commodity Prices'!$B$9:$B$1300,3)+
SUMIFS('Data - Monthly Commodity Prices'!$X$9:$X$1300,'Data - Monthly Commodity Prices'!$A$9:$A$1300,A20,'Data - Monthly Commodity Prices'!$B$9:$B$1300,4)+
SUMIFS('Data - Monthly Commodity Prices'!$X$9:$X$1300,'Data - Monthly Commodity Prices'!$A$9:$A$1300,B20,'Data - Monthly Commodity Prices'!$B$9:$B$1300,1)+
SUMIFS('Data - Monthly Commodity Prices'!$X$9:$X$1300,'Data - Monthly Commodity Prices'!$A$9:$A$1300,B20,'Data - Monthly Commodity Prices'!$B$9:$B$1300,2))/12
),"")</f>
        <v>0.51741666666666664</v>
      </c>
      <c r="K20" s="284">
        <f t="shared" si="4"/>
        <v>1.1398280527951929</v>
      </c>
    </row>
    <row r="21" spans="1:11">
      <c r="A21" s="630">
        <v>2002</v>
      </c>
      <c r="B21" s="1010">
        <f t="shared" si="8"/>
        <v>2003</v>
      </c>
      <c r="C21" s="1023">
        <f t="shared" si="1"/>
        <v>2002</v>
      </c>
      <c r="D21" s="166">
        <f>IF(C21&lt;&gt;"",IF($F$41=$AB$4,SUMIF('Petroleum - Q&amp;V2'!$L$9:$L$130,'Petroleum - Gas Prices'!C21,'Petroleum - Q&amp;V2'!$I$9:$I$130)*1000,(SUMIFS('Petroleum - Q&amp;V2'!$I$9:$I$250,'Petroleum - Q&amp;V2'!$L$9:$L$250,A21,'Petroleum - Q&amp;V2'!$M$9:$M$250,3)+
SUMIFS('Petroleum - Q&amp;V2'!$I$9:$I$250,'Petroleum - Q&amp;V2'!$L$9:$L$250,A21,'Petroleum - Q&amp;V2'!$M$9:$M$250,4)+
SUMIFS('Petroleum - Q&amp;V2'!$I$9:$I$250,'Petroleum - Q&amp;V2'!$L$9:$L$250,B21,'Petroleum - Q&amp;V2'!$M$9:$M$250,1)+
SUMIFS('Petroleum - Q&amp;V2'!$I$9:$I$250,'Petroleum - Q&amp;V2'!$L$9:$L$250,B21,'Petroleum - Q&amp;V2'!$M$9:$M$250,2))*1000),"")</f>
        <v>7749597000</v>
      </c>
      <c r="E21" s="401">
        <f t="shared" si="5"/>
        <v>294661.48288973386</v>
      </c>
      <c r="F21" s="404">
        <f t="shared" si="7"/>
        <v>294661482.88973385</v>
      </c>
      <c r="G21" s="167">
        <f>IF(C21&lt;&gt;"",IF($F$41=$AB$4,SUMIF('Petroleum - Q&amp;V2'!$L$9:$L$130,'Petroleum - Gas Prices'!C21,'Petroleum - Q&amp;V2'!$K$9:$K$130)*1000000,
(SUMIFS('Petroleum - Q&amp;V2'!$K$9:$K$250,'Petroleum - Q&amp;V2'!$L$9:$L$250,A21,'Petroleum - Q&amp;V2'!$M$9:$M$250,3)+
SUMIFS('Petroleum - Q&amp;V2'!$K$9:$K$250,'Petroleum - Q&amp;V2'!$L$9:$L$250,A21,'Petroleum - Q&amp;V2'!$M$9:$M$250,4)+
SUMIFS('Petroleum - Q&amp;V2'!$K$9:$K$250,'Petroleum - Q&amp;V2'!$L$9:$L$250,B21,'Petroleum - Q&amp;V2'!$M$9:$M$250,1)+
SUMIFS('Petroleum - Q&amp;V2'!$K$9:$K$250,'Petroleum - Q&amp;V2'!$L$9:$L$250,B21,'Petroleum - Q&amp;V2'!$M$9:$M$250,2))*1000000),"")</f>
        <v>650203389</v>
      </c>
      <c r="H21" s="168">
        <f t="shared" si="3"/>
        <v>2.2066114058189088</v>
      </c>
      <c r="I21" s="161">
        <f t="shared" si="6"/>
        <v>1.675222352697379E-3</v>
      </c>
      <c r="J21" s="567">
        <f>IF(C21&lt;&gt;"",
IF($F$41="Historic Calendar Year",AVERAGEIF('Data - Monthly Commodity Prices'!$A$9:$A$1300,C21,'Data - Monthly Commodity Prices'!$X$9:$X$1300),
(SUMIFS('Data - Monthly Commodity Prices'!$X$9:$X$1300,'Data - Monthly Commodity Prices'!$A$9:$A$1300,A21,'Data - Monthly Commodity Prices'!$B$9:$B$1300,3)+
SUMIFS('Data - Monthly Commodity Prices'!$X$9:$X$1300,'Data - Monthly Commodity Prices'!$A$9:$A$1300,A21,'Data - Monthly Commodity Prices'!$B$9:$B$1300,4)+
SUMIFS('Data - Monthly Commodity Prices'!$X$9:$X$1300,'Data - Monthly Commodity Prices'!$A$9:$A$1300,B21,'Data - Monthly Commodity Prices'!$B$9:$B$1300,1)+
SUMIFS('Data - Monthly Commodity Prices'!$X$9:$X$1300,'Data - Monthly Commodity Prices'!$A$9:$A$1300,B21,'Data - Monthly Commodity Prices'!$B$9:$B$1300,2))/12
),"")</f>
        <v>0.54391666666666671</v>
      </c>
      <c r="K21" s="985">
        <f t="shared" si="4"/>
        <v>1.2002127204816682</v>
      </c>
    </row>
    <row r="22" spans="1:11">
      <c r="A22" s="630">
        <v>2003</v>
      </c>
      <c r="B22" s="1010">
        <f t="shared" si="8"/>
        <v>2004</v>
      </c>
      <c r="C22" s="1023">
        <f t="shared" si="1"/>
        <v>2003</v>
      </c>
      <c r="D22" s="175">
        <f>IF(C22&lt;&gt;"",IF($F$41=$AB$4,SUMIF('Petroleum - Q&amp;V2'!$L$9:$L$130,'Petroleum - Gas Prices'!C22,'Petroleum - Q&amp;V2'!$I$9:$I$130)*1000,(SUMIFS('Petroleum - Q&amp;V2'!$I$9:$I$250,'Petroleum - Q&amp;V2'!$L$9:$L$250,A22,'Petroleum - Q&amp;V2'!$M$9:$M$250,3)+
SUMIFS('Petroleum - Q&amp;V2'!$I$9:$I$250,'Petroleum - Q&amp;V2'!$L$9:$L$250,A22,'Petroleum - Q&amp;V2'!$M$9:$M$250,4)+
SUMIFS('Petroleum - Q&amp;V2'!$I$9:$I$250,'Petroleum - Q&amp;V2'!$L$9:$L$250,B22,'Petroleum - Q&amp;V2'!$M$9:$M$250,1)+
SUMIFS('Petroleum - Q&amp;V2'!$I$9:$I$250,'Petroleum - Q&amp;V2'!$L$9:$L$250,B22,'Petroleum - Q&amp;V2'!$M$9:$M$250,2))*1000),"")</f>
        <v>8112617000</v>
      </c>
      <c r="E22" s="403">
        <f t="shared" si="5"/>
        <v>308464.52471482888</v>
      </c>
      <c r="F22" s="402">
        <f t="shared" si="7"/>
        <v>308464524.71482885</v>
      </c>
      <c r="G22" s="176">
        <f>IF(C22&lt;&gt;"",IF($F$41=$AB$4,SUMIF('Petroleum - Q&amp;V2'!$L$9:$L$130,'Petroleum - Gas Prices'!C22,'Petroleum - Q&amp;V2'!$K$9:$K$130)*1000000,
(SUMIFS('Petroleum - Q&amp;V2'!$K$9:$K$250,'Petroleum - Q&amp;V2'!$L$9:$L$250,A22,'Petroleum - Q&amp;V2'!$M$9:$M$250,3)+
SUMIFS('Petroleum - Q&amp;V2'!$K$9:$K$250,'Petroleum - Q&amp;V2'!$L$9:$L$250,A22,'Petroleum - Q&amp;V2'!$M$9:$M$250,4)+
SUMIFS('Petroleum - Q&amp;V2'!$K$9:$K$250,'Petroleum - Q&amp;V2'!$L$9:$L$250,B22,'Petroleum - Q&amp;V2'!$M$9:$M$250,1)+
SUMIFS('Petroleum - Q&amp;V2'!$K$9:$K$250,'Petroleum - Q&amp;V2'!$L$9:$L$250,B22,'Petroleum - Q&amp;V2'!$M$9:$M$250,2))*1000000),"")</f>
        <v>690454885</v>
      </c>
      <c r="H22" s="177">
        <f t="shared" si="3"/>
        <v>2.2383607503595946</v>
      </c>
      <c r="I22" s="178">
        <f t="shared" si="6"/>
        <v>1.4388280807831272E-2</v>
      </c>
      <c r="J22" s="568">
        <f>IF(C22&lt;&gt;"",
IF($F$41="Historic Calendar Year",AVERAGEIF('Data - Monthly Commodity Prices'!$A$9:$A$1300,C22,'Data - Monthly Commodity Prices'!$X$9:$X$1300),
(SUMIFS('Data - Monthly Commodity Prices'!$X$9:$X$1300,'Data - Monthly Commodity Prices'!$A$9:$A$1300,A22,'Data - Monthly Commodity Prices'!$B$9:$B$1300,3)+
SUMIFS('Data - Monthly Commodity Prices'!$X$9:$X$1300,'Data - Monthly Commodity Prices'!$A$9:$A$1300,A22,'Data - Monthly Commodity Prices'!$B$9:$B$1300,4)+
SUMIFS('Data - Monthly Commodity Prices'!$X$9:$X$1300,'Data - Monthly Commodity Prices'!$A$9:$A$1300,B22,'Data - Monthly Commodity Prices'!$B$9:$B$1300,1)+
SUMIFS('Data - Monthly Commodity Prices'!$X$9:$X$1300,'Data - Monthly Commodity Prices'!$A$9:$A$1300,B22,'Data - Monthly Commodity Prices'!$B$9:$B$1300,2))/12
),"")</f>
        <v>0.65274999999999994</v>
      </c>
      <c r="K22" s="284">
        <f t="shared" si="4"/>
        <v>1.4610899797972252</v>
      </c>
    </row>
    <row r="23" spans="1:11">
      <c r="A23" s="630">
        <v>2004</v>
      </c>
      <c r="B23" s="1010">
        <f t="shared" si="8"/>
        <v>2005</v>
      </c>
      <c r="C23" s="1023">
        <f t="shared" si="1"/>
        <v>2004</v>
      </c>
      <c r="D23" s="166">
        <f>IF(C23&lt;&gt;"",IF($F$41=$AB$4,SUMIF('Petroleum - Q&amp;V2'!$L$9:$L$130,'Petroleum - Gas Prices'!C23,'Petroleum - Q&amp;V2'!$I$9:$I$130)*1000,(SUMIFS('Petroleum - Q&amp;V2'!$I$9:$I$250,'Petroleum - Q&amp;V2'!$L$9:$L$250,A23,'Petroleum - Q&amp;V2'!$M$9:$M$250,3)+
SUMIFS('Petroleum - Q&amp;V2'!$I$9:$I$250,'Petroleum - Q&amp;V2'!$L$9:$L$250,A23,'Petroleum - Q&amp;V2'!$M$9:$M$250,4)+
SUMIFS('Petroleum - Q&amp;V2'!$I$9:$I$250,'Petroleum - Q&amp;V2'!$L$9:$L$250,B23,'Petroleum - Q&amp;V2'!$M$9:$M$250,1)+
SUMIFS('Petroleum - Q&amp;V2'!$I$9:$I$250,'Petroleum - Q&amp;V2'!$L$9:$L$250,B23,'Petroleum - Q&amp;V2'!$M$9:$M$250,2))*1000),"")</f>
        <v>7713691000</v>
      </c>
      <c r="E23" s="401">
        <f t="shared" si="5"/>
        <v>293296.23574144486</v>
      </c>
      <c r="F23" s="404">
        <f t="shared" si="7"/>
        <v>293296235.74144489</v>
      </c>
      <c r="G23" s="167">
        <f>IF(C23&lt;&gt;"",IF($F$41=$AB$4,SUMIF('Petroleum - Q&amp;V2'!$L$9:$L$130,'Petroleum - Gas Prices'!C23,'Petroleum - Q&amp;V2'!$K$9:$K$130)*1000000,
(SUMIFS('Petroleum - Q&amp;V2'!$K$9:$K$250,'Petroleum - Q&amp;V2'!$L$9:$L$250,A23,'Petroleum - Q&amp;V2'!$M$9:$M$250,3)+
SUMIFS('Petroleum - Q&amp;V2'!$K$9:$K$250,'Petroleum - Q&amp;V2'!$L$9:$L$250,A23,'Petroleum - Q&amp;V2'!$M$9:$M$250,4)+
SUMIFS('Petroleum - Q&amp;V2'!$K$9:$K$250,'Petroleum - Q&amp;V2'!$L$9:$L$250,B23,'Petroleum - Q&amp;V2'!$M$9:$M$250,1)+
SUMIFS('Petroleum - Q&amp;V2'!$K$9:$K$250,'Petroleum - Q&amp;V2'!$L$9:$L$250,B23,'Petroleum - Q&amp;V2'!$M$9:$M$250,2))*1000000),"")</f>
        <v>655458232</v>
      </c>
      <c r="H23" s="168">
        <f t="shared" si="3"/>
        <v>2.234799332978207</v>
      </c>
      <c r="I23" s="161">
        <f t="shared" si="6"/>
        <v>-1.5910828407867028E-3</v>
      </c>
      <c r="J23" s="567">
        <f>IF(C23&lt;&gt;"",
IF($F$41="Historic Calendar Year",AVERAGEIF('Data - Monthly Commodity Prices'!$A$9:$A$1300,C23,'Data - Monthly Commodity Prices'!$X$9:$X$1300),
(SUMIFS('Data - Monthly Commodity Prices'!$X$9:$X$1300,'Data - Monthly Commodity Prices'!$A$9:$A$1300,A23,'Data - Monthly Commodity Prices'!$B$9:$B$1300,3)+
SUMIFS('Data - Monthly Commodity Prices'!$X$9:$X$1300,'Data - Monthly Commodity Prices'!$A$9:$A$1300,A23,'Data - Monthly Commodity Prices'!$B$9:$B$1300,4)+
SUMIFS('Data - Monthly Commodity Prices'!$X$9:$X$1300,'Data - Monthly Commodity Prices'!$A$9:$A$1300,B23,'Data - Monthly Commodity Prices'!$B$9:$B$1300,1)+
SUMIFS('Data - Monthly Commodity Prices'!$X$9:$X$1300,'Data - Monthly Commodity Prices'!$A$9:$A$1300,B23,'Data - Monthly Commodity Prices'!$B$9:$B$1300,2))/12
),"")</f>
        <v>0.73497499999999993</v>
      </c>
      <c r="K23" s="985">
        <f t="shared" si="4"/>
        <v>1.6425216397556575</v>
      </c>
    </row>
    <row r="24" spans="1:11">
      <c r="A24" s="630">
        <v>2005</v>
      </c>
      <c r="B24" s="1010">
        <f t="shared" si="8"/>
        <v>2006</v>
      </c>
      <c r="C24" s="1023">
        <f t="shared" si="1"/>
        <v>2005</v>
      </c>
      <c r="D24" s="175">
        <f>IF(C24&lt;&gt;"",IF($F$41=$AB$4,SUMIF('Petroleum - Q&amp;V2'!$L$9:$L$130,'Petroleum - Gas Prices'!C24,'Petroleum - Q&amp;V2'!$I$9:$I$130)*1000,(SUMIFS('Petroleum - Q&amp;V2'!$I$9:$I$250,'Petroleum - Q&amp;V2'!$L$9:$L$250,A24,'Petroleum - Q&amp;V2'!$M$9:$M$250,3)+
SUMIFS('Petroleum - Q&amp;V2'!$I$9:$I$250,'Petroleum - Q&amp;V2'!$L$9:$L$250,A24,'Petroleum - Q&amp;V2'!$M$9:$M$250,4)+
SUMIFS('Petroleum - Q&amp;V2'!$I$9:$I$250,'Petroleum - Q&amp;V2'!$L$9:$L$250,B24,'Petroleum - Q&amp;V2'!$M$9:$M$250,1)+
SUMIFS('Petroleum - Q&amp;V2'!$I$9:$I$250,'Petroleum - Q&amp;V2'!$L$9:$L$250,B24,'Petroleum - Q&amp;V2'!$M$9:$M$250,2))*1000),"")</f>
        <v>7406249000</v>
      </c>
      <c r="E24" s="403">
        <f t="shared" si="5"/>
        <v>281606.42585551331</v>
      </c>
      <c r="F24" s="402">
        <f t="shared" si="7"/>
        <v>281606425.85551333</v>
      </c>
      <c r="G24" s="176">
        <f>IF(C24&lt;&gt;"",IF($F$41=$AB$4,SUMIF('Petroleum - Q&amp;V2'!$L$9:$L$130,'Petroleum - Gas Prices'!C24,'Petroleum - Q&amp;V2'!$K$9:$K$130)*1000000,
(SUMIFS('Petroleum - Q&amp;V2'!$K$9:$K$250,'Petroleum - Q&amp;V2'!$L$9:$L$250,A24,'Petroleum - Q&amp;V2'!$M$9:$M$250,3)+
SUMIFS('Petroleum - Q&amp;V2'!$K$9:$K$250,'Petroleum - Q&amp;V2'!$L$9:$L$250,A24,'Petroleum - Q&amp;V2'!$M$9:$M$250,4)+
SUMIFS('Petroleum - Q&amp;V2'!$K$9:$K$250,'Petroleum - Q&amp;V2'!$L$9:$L$250,B24,'Petroleum - Q&amp;V2'!$M$9:$M$250,1)+
SUMIFS('Petroleum - Q&amp;V2'!$K$9:$K$250,'Petroleum - Q&amp;V2'!$L$9:$L$250,B24,'Petroleum - Q&amp;V2'!$M$9:$M$250,2))*1000000),"")</f>
        <v>661610646</v>
      </c>
      <c r="H24" s="177">
        <f t="shared" si="3"/>
        <v>2.3494160120460434</v>
      </c>
      <c r="I24" s="178">
        <f t="shared" si="6"/>
        <v>5.1287235223527856E-2</v>
      </c>
      <c r="J24" s="568">
        <f>IF(C24&lt;&gt;"",
IF($F$41="Historic Calendar Year",AVERAGEIF('Data - Monthly Commodity Prices'!$A$9:$A$1300,C24,'Data - Monthly Commodity Prices'!$X$9:$X$1300),
(SUMIFS('Data - Monthly Commodity Prices'!$X$9:$X$1300,'Data - Monthly Commodity Prices'!$A$9:$A$1300,A24,'Data - Monthly Commodity Prices'!$B$9:$B$1300,3)+
SUMIFS('Data - Monthly Commodity Prices'!$X$9:$X$1300,'Data - Monthly Commodity Prices'!$A$9:$A$1300,A24,'Data - Monthly Commodity Prices'!$B$9:$B$1300,4)+
SUMIFS('Data - Monthly Commodity Prices'!$X$9:$X$1300,'Data - Monthly Commodity Prices'!$A$9:$A$1300,B24,'Data - Monthly Commodity Prices'!$B$9:$B$1300,1)+
SUMIFS('Data - Monthly Commodity Prices'!$X$9:$X$1300,'Data - Monthly Commodity Prices'!$A$9:$A$1300,B24,'Data - Monthly Commodity Prices'!$B$9:$B$1300,2))/12
),"")</f>
        <v>0.76223333333333343</v>
      </c>
      <c r="K24" s="284">
        <f t="shared" si="4"/>
        <v>1.7908031982485628</v>
      </c>
    </row>
    <row r="25" spans="1:11">
      <c r="A25" s="630">
        <v>2006</v>
      </c>
      <c r="B25" s="1010">
        <f t="shared" si="8"/>
        <v>2007</v>
      </c>
      <c r="C25" s="1023">
        <f t="shared" si="1"/>
        <v>2006</v>
      </c>
      <c r="D25" s="166">
        <f>IF(C25&lt;&gt;"",IF($F$41=$AB$4,SUMIF('Petroleum - Q&amp;V2'!$L$9:$L$130,'Petroleum - Gas Prices'!C25,'Petroleum - Q&amp;V2'!$I$9:$I$130)*1000,(SUMIFS('Petroleum - Q&amp;V2'!$I$9:$I$250,'Petroleum - Q&amp;V2'!$L$9:$L$250,A25,'Petroleum - Q&amp;V2'!$M$9:$M$250,3)+
SUMIFS('Petroleum - Q&amp;V2'!$I$9:$I$250,'Petroleum - Q&amp;V2'!$L$9:$L$250,A25,'Petroleum - Q&amp;V2'!$M$9:$M$250,4)+
SUMIFS('Petroleum - Q&amp;V2'!$I$9:$I$250,'Petroleum - Q&amp;V2'!$L$9:$L$250,B25,'Petroleum - Q&amp;V2'!$M$9:$M$250,1)+
SUMIFS('Petroleum - Q&amp;V2'!$I$9:$I$250,'Petroleum - Q&amp;V2'!$L$9:$L$250,B25,'Petroleum - Q&amp;V2'!$M$9:$M$250,2))*1000),"")</f>
        <v>8364468000</v>
      </c>
      <c r="E25" s="401">
        <f t="shared" si="5"/>
        <v>318040.60836501903</v>
      </c>
      <c r="F25" s="404">
        <f t="shared" si="7"/>
        <v>318040608.36501902</v>
      </c>
      <c r="G25" s="167">
        <f>IF(C25&lt;&gt;"",IF($F$41=$AB$4,SUMIF('Petroleum - Q&amp;V2'!$L$9:$L$130,'Petroleum - Gas Prices'!C25,'Petroleum - Q&amp;V2'!$K$9:$K$130)*1000000,
(SUMIFS('Petroleum - Q&amp;V2'!$K$9:$K$250,'Petroleum - Q&amp;V2'!$L$9:$L$250,A25,'Petroleum - Q&amp;V2'!$M$9:$M$250,3)+
SUMIFS('Petroleum - Q&amp;V2'!$K$9:$K$250,'Petroleum - Q&amp;V2'!$L$9:$L$250,A25,'Petroleum - Q&amp;V2'!$M$9:$M$250,4)+
SUMIFS('Petroleum - Q&amp;V2'!$K$9:$K$250,'Petroleum - Q&amp;V2'!$L$9:$L$250,B25,'Petroleum - Q&amp;V2'!$M$9:$M$250,1)+
SUMIFS('Petroleum - Q&amp;V2'!$K$9:$K$250,'Petroleum - Q&amp;V2'!$L$9:$L$250,B25,'Petroleum - Q&amp;V2'!$M$9:$M$250,2))*1000000),"")</f>
        <v>816673663.99999988</v>
      </c>
      <c r="H25" s="168">
        <f t="shared" si="3"/>
        <v>2.5678282663284739</v>
      </c>
      <c r="I25" s="161">
        <f t="shared" si="6"/>
        <v>9.2964486988501072E-2</v>
      </c>
      <c r="J25" s="567">
        <f>IF(C25&lt;&gt;"",
IF($F$41="Historic Calendar Year",AVERAGEIF('Data - Monthly Commodity Prices'!$A$9:$A$1300,C25,'Data - Monthly Commodity Prices'!$X$9:$X$1300),
(SUMIFS('Data - Monthly Commodity Prices'!$X$9:$X$1300,'Data - Monthly Commodity Prices'!$A$9:$A$1300,A25,'Data - Monthly Commodity Prices'!$B$9:$B$1300,3)+
SUMIFS('Data - Monthly Commodity Prices'!$X$9:$X$1300,'Data - Monthly Commodity Prices'!$A$9:$A$1300,A25,'Data - Monthly Commodity Prices'!$B$9:$B$1300,4)+
SUMIFS('Data - Monthly Commodity Prices'!$X$9:$X$1300,'Data - Monthly Commodity Prices'!$A$9:$A$1300,B25,'Data - Monthly Commodity Prices'!$B$9:$B$1300,1)+
SUMIFS('Data - Monthly Commodity Prices'!$X$9:$X$1300,'Data - Monthly Commodity Prices'!$A$9:$A$1300,B25,'Data - Monthly Commodity Prices'!$B$9:$B$1300,2))/12
),"")</f>
        <v>0.75339999999999996</v>
      </c>
      <c r="K25" s="985">
        <f t="shared" si="4"/>
        <v>1.9346018158518721</v>
      </c>
    </row>
    <row r="26" spans="1:11">
      <c r="A26" s="630">
        <v>2007</v>
      </c>
      <c r="B26" s="1010">
        <f t="shared" si="8"/>
        <v>2008</v>
      </c>
      <c r="C26" s="1023">
        <f t="shared" si="1"/>
        <v>2007</v>
      </c>
      <c r="D26" s="175">
        <f>IF(C26&lt;&gt;"",IF($F$41=$AB$4,SUMIF('Petroleum - Q&amp;V2'!$L$9:$L$130,'Petroleum - Gas Prices'!C26,'Petroleum - Q&amp;V2'!$I$9:$I$130)*1000,(SUMIFS('Petroleum - Q&amp;V2'!$I$9:$I$250,'Petroleum - Q&amp;V2'!$L$9:$L$250,A26,'Petroleum - Q&amp;V2'!$M$9:$M$250,3)+
SUMIFS('Petroleum - Q&amp;V2'!$I$9:$I$250,'Petroleum - Q&amp;V2'!$L$9:$L$250,A26,'Petroleum - Q&amp;V2'!$M$9:$M$250,4)+
SUMIFS('Petroleum - Q&amp;V2'!$I$9:$I$250,'Petroleum - Q&amp;V2'!$L$9:$L$250,B26,'Petroleum - Q&amp;V2'!$M$9:$M$250,1)+
SUMIFS('Petroleum - Q&amp;V2'!$I$9:$I$250,'Petroleum - Q&amp;V2'!$L$9:$L$250,B26,'Petroleum - Q&amp;V2'!$M$9:$M$250,2))*1000),"")</f>
        <v>9174076000</v>
      </c>
      <c r="E26" s="403">
        <f t="shared" si="5"/>
        <v>348824.18250950571</v>
      </c>
      <c r="F26" s="402">
        <f t="shared" si="7"/>
        <v>348824182.50950569</v>
      </c>
      <c r="G26" s="176">
        <f>IF(C26&lt;&gt;"",IF($F$41=$AB$4,SUMIF('Petroleum - Q&amp;V2'!$L$9:$L$130,'Petroleum - Gas Prices'!C26,'Petroleum - Q&amp;V2'!$K$9:$K$130)*1000000,
(SUMIFS('Petroleum - Q&amp;V2'!$K$9:$K$250,'Petroleum - Q&amp;V2'!$L$9:$L$250,A26,'Petroleum - Q&amp;V2'!$M$9:$M$250,3)+
SUMIFS('Petroleum - Q&amp;V2'!$K$9:$K$250,'Petroleum - Q&amp;V2'!$L$9:$L$250,A26,'Petroleum - Q&amp;V2'!$M$9:$M$250,4)+
SUMIFS('Petroleum - Q&amp;V2'!$K$9:$K$250,'Petroleum - Q&amp;V2'!$L$9:$L$250,B26,'Petroleum - Q&amp;V2'!$M$9:$M$250,1)+
SUMIFS('Petroleum - Q&amp;V2'!$K$9:$K$250,'Petroleum - Q&amp;V2'!$L$9:$L$250,B26,'Petroleum - Q&amp;V2'!$M$9:$M$250,2))*1000000),"")</f>
        <v>1002465839</v>
      </c>
      <c r="H26" s="177">
        <f t="shared" si="3"/>
        <v>2.8738427244008009</v>
      </c>
      <c r="I26" s="178">
        <f t="shared" si="6"/>
        <v>0.11917247819297193</v>
      </c>
      <c r="J26" s="568">
        <f>IF(C26&lt;&gt;"",
IF($F$41="Historic Calendar Year",AVERAGEIF('Data - Monthly Commodity Prices'!$A$9:$A$1300,C26,'Data - Monthly Commodity Prices'!$X$9:$X$1300),
(SUMIFS('Data - Monthly Commodity Prices'!$X$9:$X$1300,'Data - Monthly Commodity Prices'!$A$9:$A$1300,A26,'Data - Monthly Commodity Prices'!$B$9:$B$1300,3)+
SUMIFS('Data - Monthly Commodity Prices'!$X$9:$X$1300,'Data - Monthly Commodity Prices'!$A$9:$A$1300,A26,'Data - Monthly Commodity Prices'!$B$9:$B$1300,4)+
SUMIFS('Data - Monthly Commodity Prices'!$X$9:$X$1300,'Data - Monthly Commodity Prices'!$A$9:$A$1300,B26,'Data - Monthly Commodity Prices'!$B$9:$B$1300,1)+
SUMIFS('Data - Monthly Commodity Prices'!$X$9:$X$1300,'Data - Monthly Commodity Prices'!$A$9:$A$1300,B26,'Data - Monthly Commodity Prices'!$B$9:$B$1300,2))/12
),"")</f>
        <v>0.83856666666666679</v>
      </c>
      <c r="K26" s="284">
        <f t="shared" si="4"/>
        <v>2.4099087139250321</v>
      </c>
    </row>
    <row r="27" spans="1:11">
      <c r="A27" s="630">
        <v>2008</v>
      </c>
      <c r="B27" s="1010">
        <f t="shared" si="8"/>
        <v>2009</v>
      </c>
      <c r="C27" s="1023">
        <f t="shared" si="1"/>
        <v>2008</v>
      </c>
      <c r="D27" s="166">
        <f>IF(C27&lt;&gt;"",IF($F$41=$AB$4,SUMIF('Petroleum - Q&amp;V2'!$L$9:$L$130,'Petroleum - Gas Prices'!C27,'Petroleum - Q&amp;V2'!$I$9:$I$130)*1000,(SUMIFS('Petroleum - Q&amp;V2'!$I$9:$I$250,'Petroleum - Q&amp;V2'!$L$9:$L$250,A27,'Petroleum - Q&amp;V2'!$M$9:$M$250,3)+
SUMIFS('Petroleum - Q&amp;V2'!$I$9:$I$250,'Petroleum - Q&amp;V2'!$L$9:$L$250,A27,'Petroleum - Q&amp;V2'!$M$9:$M$250,4)+
SUMIFS('Petroleum - Q&amp;V2'!$I$9:$I$250,'Petroleum - Q&amp;V2'!$L$9:$L$250,B27,'Petroleum - Q&amp;V2'!$M$9:$M$250,1)+
SUMIFS('Petroleum - Q&amp;V2'!$I$9:$I$250,'Petroleum - Q&amp;V2'!$L$9:$L$250,B27,'Petroleum - Q&amp;V2'!$M$9:$M$250,2))*1000),"")</f>
        <v>8502567000</v>
      </c>
      <c r="E27" s="401">
        <f t="shared" si="5"/>
        <v>323291.52091254754</v>
      </c>
      <c r="F27" s="404">
        <f t="shared" si="7"/>
        <v>323291520.91254753</v>
      </c>
      <c r="G27" s="167">
        <f>IF(C27&lt;&gt;"",IF($F$41=$AB$4,SUMIF('Petroleum - Q&amp;V2'!$L$9:$L$130,'Petroleum - Gas Prices'!C27,'Petroleum - Q&amp;V2'!$K$9:$K$130)*1000000,
(SUMIFS('Petroleum - Q&amp;V2'!$K$9:$K$250,'Petroleum - Q&amp;V2'!$L$9:$L$250,A27,'Petroleum - Q&amp;V2'!$M$9:$M$250,3)+
SUMIFS('Petroleum - Q&amp;V2'!$K$9:$K$250,'Petroleum - Q&amp;V2'!$L$9:$L$250,A27,'Petroleum - Q&amp;V2'!$M$9:$M$250,4)+
SUMIFS('Petroleum - Q&amp;V2'!$K$9:$K$250,'Petroleum - Q&amp;V2'!$L$9:$L$250,B27,'Petroleum - Q&amp;V2'!$M$9:$M$250,1)+
SUMIFS('Petroleum - Q&amp;V2'!$K$9:$K$250,'Petroleum - Q&amp;V2'!$L$9:$L$250,B27,'Petroleum - Q&amp;V2'!$M$9:$M$250,2))*1000000),"")</f>
        <v>1191442427</v>
      </c>
      <c r="H27" s="168">
        <f t="shared" si="3"/>
        <v>3.6853500631162328</v>
      </c>
      <c r="I27" s="161">
        <f t="shared" si="6"/>
        <v>0.28237708759258284</v>
      </c>
      <c r="J27" s="567">
        <f>IF(C27&lt;&gt;"",
IF($F$41="Historic Calendar Year",AVERAGEIF('Data - Monthly Commodity Prices'!$A$9:$A$1300,C27,'Data - Monthly Commodity Prices'!$X$9:$X$1300),
(SUMIFS('Data - Monthly Commodity Prices'!$X$9:$X$1300,'Data - Monthly Commodity Prices'!$A$9:$A$1300,A27,'Data - Monthly Commodity Prices'!$B$9:$B$1300,3)+
SUMIFS('Data - Monthly Commodity Prices'!$X$9:$X$1300,'Data - Monthly Commodity Prices'!$A$9:$A$1300,A27,'Data - Monthly Commodity Prices'!$B$9:$B$1300,4)+
SUMIFS('Data - Monthly Commodity Prices'!$X$9:$X$1300,'Data - Monthly Commodity Prices'!$A$9:$A$1300,B27,'Data - Monthly Commodity Prices'!$B$9:$B$1300,1)+
SUMIFS('Data - Monthly Commodity Prices'!$X$9:$X$1300,'Data - Monthly Commodity Prices'!$A$9:$A$1300,B27,'Data - Monthly Commodity Prices'!$B$9:$B$1300,2))/12
),"")</f>
        <v>0.85243333333333338</v>
      </c>
      <c r="K27" s="985">
        <f t="shared" si="4"/>
        <v>3.141515238802381</v>
      </c>
    </row>
    <row r="28" spans="1:11">
      <c r="A28" s="630">
        <v>2009</v>
      </c>
      <c r="B28" s="1010">
        <f t="shared" si="8"/>
        <v>2010</v>
      </c>
      <c r="C28" s="1023">
        <f t="shared" si="1"/>
        <v>2009</v>
      </c>
      <c r="D28" s="175">
        <f>IF(C28&lt;&gt;"",IF($F$41=$AB$4,SUMIF('Petroleum - Q&amp;V2'!$L$9:$L$130,'Petroleum - Gas Prices'!C28,'Petroleum - Q&amp;V2'!$I$9:$I$130)*1000,(SUMIFS('Petroleum - Q&amp;V2'!$I$9:$I$250,'Petroleum - Q&amp;V2'!$L$9:$L$250,A28,'Petroleum - Q&amp;V2'!$M$9:$M$250,3)+
SUMIFS('Petroleum - Q&amp;V2'!$I$9:$I$250,'Petroleum - Q&amp;V2'!$L$9:$L$250,A28,'Petroleum - Q&amp;V2'!$M$9:$M$250,4)+
SUMIFS('Petroleum - Q&amp;V2'!$I$9:$I$250,'Petroleum - Q&amp;V2'!$L$9:$L$250,B28,'Petroleum - Q&amp;V2'!$M$9:$M$250,1)+
SUMIFS('Petroleum - Q&amp;V2'!$I$9:$I$250,'Petroleum - Q&amp;V2'!$L$9:$L$250,B28,'Petroleum - Q&amp;V2'!$M$9:$M$250,2))*1000),"")</f>
        <v>9312415000</v>
      </c>
      <c r="E28" s="403">
        <f t="shared" si="5"/>
        <v>354084.22053231939</v>
      </c>
      <c r="F28" s="402">
        <f t="shared" si="7"/>
        <v>354084220.53231937</v>
      </c>
      <c r="G28" s="176">
        <f>IF(C28&lt;&gt;"",IF($F$41=$AB$4,SUMIF('Petroleum - Q&amp;V2'!$L$9:$L$130,'Petroleum - Gas Prices'!C28,'Petroleum - Q&amp;V2'!$K$9:$K$130)*1000000,
(SUMIFS('Petroleum - Q&amp;V2'!$K$9:$K$250,'Petroleum - Q&amp;V2'!$L$9:$L$250,A28,'Petroleum - Q&amp;V2'!$M$9:$M$250,3)+
SUMIFS('Petroleum - Q&amp;V2'!$K$9:$K$250,'Petroleum - Q&amp;V2'!$L$9:$L$250,A28,'Petroleum - Q&amp;V2'!$M$9:$M$250,4)+
SUMIFS('Petroleum - Q&amp;V2'!$K$9:$K$250,'Petroleum - Q&amp;V2'!$L$9:$L$250,B28,'Petroleum - Q&amp;V2'!$M$9:$M$250,1)+
SUMIFS('Petroleum - Q&amp;V2'!$K$9:$K$250,'Petroleum - Q&amp;V2'!$L$9:$L$250,B28,'Petroleum - Q&amp;V2'!$M$9:$M$250,2))*1000000),"")</f>
        <v>1156235342</v>
      </c>
      <c r="H28" s="177">
        <f t="shared" si="3"/>
        <v>3.2654246502760027</v>
      </c>
      <c r="I28" s="178">
        <f t="shared" si="6"/>
        <v>-0.11394451155208644</v>
      </c>
      <c r="J28" s="568">
        <f>IF(C28&lt;&gt;"",
IF($F$41="Historic Calendar Year",AVERAGEIF('Data - Monthly Commodity Prices'!$A$9:$A$1300,C28,'Data - Monthly Commodity Prices'!$X$9:$X$1300),
(SUMIFS('Data - Monthly Commodity Prices'!$X$9:$X$1300,'Data - Monthly Commodity Prices'!$A$9:$A$1300,A28,'Data - Monthly Commodity Prices'!$B$9:$B$1300,3)+
SUMIFS('Data - Monthly Commodity Prices'!$X$9:$X$1300,'Data - Monthly Commodity Prices'!$A$9:$A$1300,A28,'Data - Monthly Commodity Prices'!$B$9:$B$1300,4)+
SUMIFS('Data - Monthly Commodity Prices'!$X$9:$X$1300,'Data - Monthly Commodity Prices'!$A$9:$A$1300,B28,'Data - Monthly Commodity Prices'!$B$9:$B$1300,1)+
SUMIFS('Data - Monthly Commodity Prices'!$X$9:$X$1300,'Data - Monthly Commodity Prices'!$A$9:$A$1300,B28,'Data - Monthly Commodity Prices'!$B$9:$B$1300,2))/12
),"")</f>
        <v>0.79248333333333332</v>
      </c>
      <c r="K28" s="284">
        <f t="shared" si="4"/>
        <v>2.5877946115995609</v>
      </c>
    </row>
    <row r="29" spans="1:11">
      <c r="A29" s="630">
        <v>2010</v>
      </c>
      <c r="B29" s="1010">
        <f t="shared" si="8"/>
        <v>2011</v>
      </c>
      <c r="C29" s="1023">
        <f t="shared" si="1"/>
        <v>2010</v>
      </c>
      <c r="D29" s="166">
        <f>IF(C29&lt;&gt;"",IF($F$41=$AB$4,SUMIF('Petroleum - Q&amp;V2'!$L$9:$L$130,'Petroleum - Gas Prices'!C29,'Petroleum - Q&amp;V2'!$I$9:$I$130)*1000,(SUMIFS('Petroleum - Q&amp;V2'!$I$9:$I$250,'Petroleum - Q&amp;V2'!$L$9:$L$250,A29,'Petroleum - Q&amp;V2'!$M$9:$M$250,3)+
SUMIFS('Petroleum - Q&amp;V2'!$I$9:$I$250,'Petroleum - Q&amp;V2'!$L$9:$L$250,A29,'Petroleum - Q&amp;V2'!$M$9:$M$250,4)+
SUMIFS('Petroleum - Q&amp;V2'!$I$9:$I$250,'Petroleum - Q&amp;V2'!$L$9:$L$250,B29,'Petroleum - Q&amp;V2'!$M$9:$M$250,1)+
SUMIFS('Petroleum - Q&amp;V2'!$I$9:$I$250,'Petroleum - Q&amp;V2'!$L$9:$L$250,B29,'Petroleum - Q&amp;V2'!$M$9:$M$250,2))*1000),"")</f>
        <v>9226158000</v>
      </c>
      <c r="E29" s="401">
        <f t="shared" si="5"/>
        <v>350804.4866920152</v>
      </c>
      <c r="F29" s="404">
        <f t="shared" si="7"/>
        <v>350804486.69201517</v>
      </c>
      <c r="G29" s="167">
        <f>IF(C29&lt;&gt;"",IF($F$41=$AB$4,SUMIF('Petroleum - Q&amp;V2'!$L$9:$L$130,'Petroleum - Gas Prices'!C29,'Petroleum - Q&amp;V2'!$K$9:$K$130)*1000000,
(SUMIFS('Petroleum - Q&amp;V2'!$K$9:$K$250,'Petroleum - Q&amp;V2'!$L$9:$L$250,A29,'Petroleum - Q&amp;V2'!$M$9:$M$250,3)+
SUMIFS('Petroleum - Q&amp;V2'!$K$9:$K$250,'Petroleum - Q&amp;V2'!$L$9:$L$250,A29,'Petroleum - Q&amp;V2'!$M$9:$M$250,4)+
SUMIFS('Petroleum - Q&amp;V2'!$K$9:$K$250,'Petroleum - Q&amp;V2'!$L$9:$L$250,B29,'Petroleum - Q&amp;V2'!$M$9:$M$250,1)+
SUMIFS('Petroleum - Q&amp;V2'!$K$9:$K$250,'Petroleum - Q&amp;V2'!$L$9:$L$250,B29,'Petroleum - Q&amp;V2'!$M$9:$M$250,2))*1000000),"")</f>
        <v>1391169679</v>
      </c>
      <c r="H29" s="168">
        <f t="shared" si="3"/>
        <v>3.9656553201993727</v>
      </c>
      <c r="I29" s="161">
        <f t="shared" si="6"/>
        <v>0.2144378587526693</v>
      </c>
      <c r="J29" s="567">
        <f>IF(C29&lt;&gt;"",
IF($F$41="Historic Calendar Year",AVERAGEIF('Data - Monthly Commodity Prices'!$A$9:$A$1300,C29,'Data - Monthly Commodity Prices'!$X$9:$X$1300),
(SUMIFS('Data - Monthly Commodity Prices'!$X$9:$X$1300,'Data - Monthly Commodity Prices'!$A$9:$A$1300,A29,'Data - Monthly Commodity Prices'!$B$9:$B$1300,3)+
SUMIFS('Data - Monthly Commodity Prices'!$X$9:$X$1300,'Data - Monthly Commodity Prices'!$A$9:$A$1300,A29,'Data - Monthly Commodity Prices'!$B$9:$B$1300,4)+
SUMIFS('Data - Monthly Commodity Prices'!$X$9:$X$1300,'Data - Monthly Commodity Prices'!$A$9:$A$1300,B29,'Data - Monthly Commodity Prices'!$B$9:$B$1300,1)+
SUMIFS('Data - Monthly Commodity Prices'!$X$9:$X$1300,'Data - Monthly Commodity Prices'!$A$9:$A$1300,B29,'Data - Monthly Commodity Prices'!$B$9:$B$1300,2))/12
),"")</f>
        <v>0.92023333333333335</v>
      </c>
      <c r="K29" s="985">
        <f t="shared" si="4"/>
        <v>3.6493282141581362</v>
      </c>
    </row>
    <row r="30" spans="1:11">
      <c r="A30" s="630">
        <v>2011</v>
      </c>
      <c r="B30" s="1010">
        <f t="shared" si="8"/>
        <v>2012</v>
      </c>
      <c r="C30" s="1023">
        <f t="shared" si="1"/>
        <v>2011</v>
      </c>
      <c r="D30" s="175">
        <f>IF(C30&lt;&gt;"",IF($F$41=$AB$4,SUMIF('Petroleum - Q&amp;V2'!$L$9:$L$130,'Petroleum - Gas Prices'!C30,'Petroleum - Q&amp;V2'!$I$9:$I$130)*1000,(SUMIFS('Petroleum - Q&amp;V2'!$I$9:$I$250,'Petroleum - Q&amp;V2'!$L$9:$L$250,A30,'Petroleum - Q&amp;V2'!$M$9:$M$250,3)+
SUMIFS('Petroleum - Q&amp;V2'!$I$9:$I$250,'Petroleum - Q&amp;V2'!$L$9:$L$250,A30,'Petroleum - Q&amp;V2'!$M$9:$M$250,4)+
SUMIFS('Petroleum - Q&amp;V2'!$I$9:$I$250,'Petroleum - Q&amp;V2'!$L$9:$L$250,B30,'Petroleum - Q&amp;V2'!$M$9:$M$250,1)+
SUMIFS('Petroleum - Q&amp;V2'!$I$9:$I$250,'Petroleum - Q&amp;V2'!$L$9:$L$250,B30,'Petroleum - Q&amp;V2'!$M$9:$M$250,2))*1000),"")</f>
        <v>8869413000</v>
      </c>
      <c r="E30" s="403">
        <f t="shared" si="5"/>
        <v>337240.03802281368</v>
      </c>
      <c r="F30" s="402">
        <f t="shared" si="7"/>
        <v>337240038.02281368</v>
      </c>
      <c r="G30" s="176">
        <f>IF(C30&lt;&gt;"",IF($F$41=$AB$4,SUMIF('Petroleum - Q&amp;V2'!$L$9:$L$130,'Petroleum - Gas Prices'!C30,'Petroleum - Q&amp;V2'!$K$9:$K$130)*1000000,
(SUMIFS('Petroleum - Q&amp;V2'!$K$9:$K$250,'Petroleum - Q&amp;V2'!$L$9:$L$250,A30,'Petroleum - Q&amp;V2'!$M$9:$M$250,3)+
SUMIFS('Petroleum - Q&amp;V2'!$K$9:$K$250,'Petroleum - Q&amp;V2'!$L$9:$L$250,A30,'Petroleum - Q&amp;V2'!$M$9:$M$250,4)+
SUMIFS('Petroleum - Q&amp;V2'!$K$9:$K$250,'Petroleum - Q&amp;V2'!$L$9:$L$250,B30,'Petroleum - Q&amp;V2'!$M$9:$M$250,1)+
SUMIFS('Petroleum - Q&amp;V2'!$K$9:$K$250,'Petroleum - Q&amp;V2'!$L$9:$L$250,B30,'Petroleum - Q&amp;V2'!$M$9:$M$250,2))*1000000),"")</f>
        <v>1421126106</v>
      </c>
      <c r="H30" s="177">
        <f t="shared" si="3"/>
        <v>4.2139898759703716</v>
      </c>
      <c r="I30" s="178">
        <f t="shared" si="6"/>
        <v>6.2621316206198638E-2</v>
      </c>
      <c r="J30" s="568">
        <f>IF(C30&lt;&gt;"",
IF($F$41="Historic Calendar Year",AVERAGEIF('Data - Monthly Commodity Prices'!$A$9:$A$1300,C30,'Data - Monthly Commodity Prices'!$X$9:$X$1300),
(SUMIFS('Data - Monthly Commodity Prices'!$X$9:$X$1300,'Data - Monthly Commodity Prices'!$A$9:$A$1300,A30,'Data - Monthly Commodity Prices'!$B$9:$B$1300,3)+
SUMIFS('Data - Monthly Commodity Prices'!$X$9:$X$1300,'Data - Monthly Commodity Prices'!$A$9:$A$1300,A30,'Data - Monthly Commodity Prices'!$B$9:$B$1300,4)+
SUMIFS('Data - Monthly Commodity Prices'!$X$9:$X$1300,'Data - Monthly Commodity Prices'!$A$9:$A$1300,B30,'Data - Monthly Commodity Prices'!$B$9:$B$1300,1)+
SUMIFS('Data - Monthly Commodity Prices'!$X$9:$X$1300,'Data - Monthly Commodity Prices'!$A$9:$A$1300,B30,'Data - Monthly Commodity Prices'!$B$9:$B$1300,2))/12
),"")</f>
        <v>1.0306583333333335</v>
      </c>
      <c r="K30" s="284">
        <f t="shared" si="4"/>
        <v>4.3431837822511641</v>
      </c>
    </row>
    <row r="31" spans="1:11">
      <c r="A31" s="630">
        <v>2012</v>
      </c>
      <c r="B31" s="1010">
        <f t="shared" si="8"/>
        <v>2013</v>
      </c>
      <c r="C31" s="1023">
        <f t="shared" si="1"/>
        <v>2012</v>
      </c>
      <c r="D31" s="166">
        <f>IF(C31&lt;&gt;"",IF($F$41=$AB$4,SUMIF('Petroleum - Q&amp;V2'!$L$9:$L$130,'Petroleum - Gas Prices'!C31,'Petroleum - Q&amp;V2'!$I$9:$I$130)*1000,(SUMIFS('Petroleum - Q&amp;V2'!$I$9:$I$250,'Petroleum - Q&amp;V2'!$L$9:$L$250,A31,'Petroleum - Q&amp;V2'!$M$9:$M$250,3)+
SUMIFS('Petroleum - Q&amp;V2'!$I$9:$I$250,'Petroleum - Q&amp;V2'!$L$9:$L$250,A31,'Petroleum - Q&amp;V2'!$M$9:$M$250,4)+
SUMIFS('Petroleum - Q&amp;V2'!$I$9:$I$250,'Petroleum - Q&amp;V2'!$L$9:$L$250,B31,'Petroleum - Q&amp;V2'!$M$9:$M$250,1)+
SUMIFS('Petroleum - Q&amp;V2'!$I$9:$I$250,'Petroleum - Q&amp;V2'!$L$9:$L$250,B31,'Petroleum - Q&amp;V2'!$M$9:$M$250,2))*1000),"")</f>
        <v>9009209000</v>
      </c>
      <c r="E31" s="401">
        <f t="shared" si="5"/>
        <v>342555.47528517112</v>
      </c>
      <c r="F31" s="404">
        <f t="shared" si="7"/>
        <v>342555475.28517115</v>
      </c>
      <c r="G31" s="167">
        <f>IF(C31&lt;&gt;"",IF($F$41=$AB$4,SUMIF('Petroleum - Q&amp;V2'!$L$9:$L$130,'Petroleum - Gas Prices'!C31,'Petroleum - Q&amp;V2'!$K$9:$K$130)*1000000,
(SUMIFS('Petroleum - Q&amp;V2'!$K$9:$K$250,'Petroleum - Q&amp;V2'!$L$9:$L$250,A31,'Petroleum - Q&amp;V2'!$M$9:$M$250,3)+
SUMIFS('Petroleum - Q&amp;V2'!$K$9:$K$250,'Petroleum - Q&amp;V2'!$L$9:$L$250,A31,'Petroleum - Q&amp;V2'!$M$9:$M$250,4)+
SUMIFS('Petroleum - Q&amp;V2'!$K$9:$K$250,'Petroleum - Q&amp;V2'!$L$9:$L$250,B31,'Petroleum - Q&amp;V2'!$M$9:$M$250,1)+
SUMIFS('Petroleum - Q&amp;V2'!$K$9:$K$250,'Petroleum - Q&amp;V2'!$L$9:$L$250,B31,'Petroleum - Q&amp;V2'!$M$9:$M$250,2))*1000000),"")</f>
        <v>1470541897</v>
      </c>
      <c r="H31" s="168">
        <f t="shared" si="3"/>
        <v>4.2928576627648436</v>
      </c>
      <c r="I31" s="161">
        <f t="shared" si="6"/>
        <v>1.8715703909068088E-2</v>
      </c>
      <c r="J31" s="567">
        <f>IF(C31&lt;&gt;"",
IF($F$41="Historic Calendar Year",AVERAGEIF('Data - Monthly Commodity Prices'!$A$9:$A$1300,C31,'Data - Monthly Commodity Prices'!$X$9:$X$1300),
(SUMIFS('Data - Monthly Commodity Prices'!$X$9:$X$1300,'Data - Monthly Commodity Prices'!$A$9:$A$1300,A31,'Data - Monthly Commodity Prices'!$B$9:$B$1300,3)+
SUMIFS('Data - Monthly Commodity Prices'!$X$9:$X$1300,'Data - Monthly Commodity Prices'!$A$9:$A$1300,A31,'Data - Monthly Commodity Prices'!$B$9:$B$1300,4)+
SUMIFS('Data - Monthly Commodity Prices'!$X$9:$X$1300,'Data - Monthly Commodity Prices'!$A$9:$A$1300,B31,'Data - Monthly Commodity Prices'!$B$9:$B$1300,1)+
SUMIFS('Data - Monthly Commodity Prices'!$X$9:$X$1300,'Data - Monthly Commodity Prices'!$A$9:$A$1300,B31,'Data - Monthly Commodity Prices'!$B$9:$B$1300,2))/12
),"")</f>
        <v>1.0350999999999999</v>
      </c>
      <c r="K31" s="985">
        <f t="shared" si="4"/>
        <v>4.4435369667278888</v>
      </c>
    </row>
    <row r="32" spans="1:11">
      <c r="A32" s="630">
        <v>2013</v>
      </c>
      <c r="B32" s="1010">
        <f t="shared" si="8"/>
        <v>2014</v>
      </c>
      <c r="C32" s="1023">
        <f t="shared" si="1"/>
        <v>2013</v>
      </c>
      <c r="D32" s="175">
        <f>IF(C32&lt;&gt;"",IF($F$41=$AB$4,SUMIF('Petroleum - Q&amp;V2'!$L$9:$L$130,'Petroleum - Gas Prices'!C32,'Petroleum - Q&amp;V2'!$I$9:$I$130)*1000,(SUMIFS('Petroleum - Q&amp;V2'!$I$9:$I$250,'Petroleum - Q&amp;V2'!$L$9:$L$250,A32,'Petroleum - Q&amp;V2'!$M$9:$M$250,3)+
SUMIFS('Petroleum - Q&amp;V2'!$I$9:$I$250,'Petroleum - Q&amp;V2'!$L$9:$L$250,A32,'Petroleum - Q&amp;V2'!$M$9:$M$250,4)+
SUMIFS('Petroleum - Q&amp;V2'!$I$9:$I$250,'Petroleum - Q&amp;V2'!$L$9:$L$250,B32,'Petroleum - Q&amp;V2'!$M$9:$M$250,1)+
SUMIFS('Petroleum - Q&amp;V2'!$I$9:$I$250,'Petroleum - Q&amp;V2'!$L$9:$L$250,B32,'Petroleum - Q&amp;V2'!$M$9:$M$250,2))*1000),"")</f>
        <v>9297667000</v>
      </c>
      <c r="E32" s="403">
        <f t="shared" si="5"/>
        <v>353523.46007604565</v>
      </c>
      <c r="F32" s="402">
        <f t="shared" si="7"/>
        <v>353523460.07604563</v>
      </c>
      <c r="G32" s="176">
        <f>IF(C32&lt;&gt;"",IF($F$41=$AB$4,SUMIF('Petroleum - Q&amp;V2'!$L$9:$L$130,'Petroleum - Gas Prices'!C32,'Petroleum - Q&amp;V2'!$K$9:$K$130)*1000000,
(SUMIFS('Petroleum - Q&amp;V2'!$K$9:$K$250,'Petroleum - Q&amp;V2'!$L$9:$L$250,A32,'Petroleum - Q&amp;V2'!$M$9:$M$250,3)+
SUMIFS('Petroleum - Q&amp;V2'!$K$9:$K$250,'Petroleum - Q&amp;V2'!$L$9:$L$250,A32,'Petroleum - Q&amp;V2'!$M$9:$M$250,4)+
SUMIFS('Petroleum - Q&amp;V2'!$K$9:$K$250,'Petroleum - Q&amp;V2'!$L$9:$L$250,B32,'Petroleum - Q&amp;V2'!$M$9:$M$250,1)+
SUMIFS('Petroleum - Q&amp;V2'!$K$9:$K$250,'Petroleum - Q&amp;V2'!$L$9:$L$250,B32,'Petroleum - Q&amp;V2'!$M$9:$M$250,2))*1000000),"")</f>
        <v>1559456330</v>
      </c>
      <c r="H32" s="177">
        <f t="shared" si="3"/>
        <v>4.4111820179191188</v>
      </c>
      <c r="I32" s="178">
        <f t="shared" si="6"/>
        <v>2.7563074401602126E-2</v>
      </c>
      <c r="J32" s="568">
        <f>IF(C32&lt;&gt;"",
IF($F$41="Historic Calendar Year",AVERAGEIF('Data - Monthly Commodity Prices'!$A$9:$A$1300,C32,'Data - Monthly Commodity Prices'!$X$9:$X$1300),
(SUMIFS('Data - Monthly Commodity Prices'!$X$9:$X$1300,'Data - Monthly Commodity Prices'!$A$9:$A$1300,A32,'Data - Monthly Commodity Prices'!$B$9:$B$1300,3)+
SUMIFS('Data - Monthly Commodity Prices'!$X$9:$X$1300,'Data - Monthly Commodity Prices'!$A$9:$A$1300,A32,'Data - Monthly Commodity Prices'!$B$9:$B$1300,4)+
SUMIFS('Data - Monthly Commodity Prices'!$X$9:$X$1300,'Data - Monthly Commodity Prices'!$A$9:$A$1300,B32,'Data - Monthly Commodity Prices'!$B$9:$B$1300,1)+
SUMIFS('Data - Monthly Commodity Prices'!$X$9:$X$1300,'Data - Monthly Commodity Prices'!$A$9:$A$1300,B32,'Data - Monthly Commodity Prices'!$B$9:$B$1300,2))/12
),"")</f>
        <v>0.96746666666666681</v>
      </c>
      <c r="K32" s="284">
        <f t="shared" si="4"/>
        <v>4.267671562936151</v>
      </c>
    </row>
    <row r="33" spans="1:11">
      <c r="A33" s="630">
        <v>2014</v>
      </c>
      <c r="B33" s="1010">
        <f t="shared" si="8"/>
        <v>2015</v>
      </c>
      <c r="C33" s="1023">
        <f t="shared" si="1"/>
        <v>2014</v>
      </c>
      <c r="D33" s="166">
        <f>IF(C33&lt;&gt;"",IF($F$41=$AB$4,SUMIF('Petroleum - Q&amp;V2'!$L$9:$L$130,'Petroleum - Gas Prices'!C33,'Petroleum - Q&amp;V2'!$I$9:$I$130)*1000,(SUMIFS('Petroleum - Q&amp;V2'!$I$9:$I$250,'Petroleum - Q&amp;V2'!$L$9:$L$250,A33,'Petroleum - Q&amp;V2'!$M$9:$M$250,3)+
SUMIFS('Petroleum - Q&amp;V2'!$I$9:$I$250,'Petroleum - Q&amp;V2'!$L$9:$L$250,A33,'Petroleum - Q&amp;V2'!$M$9:$M$250,4)+
SUMIFS('Petroleum - Q&amp;V2'!$I$9:$I$250,'Petroleum - Q&amp;V2'!$L$9:$L$250,B33,'Petroleum - Q&amp;V2'!$M$9:$M$250,1)+
SUMIFS('Petroleum - Q&amp;V2'!$I$9:$I$250,'Petroleum - Q&amp;V2'!$L$9:$L$250,B33,'Petroleum - Q&amp;V2'!$M$9:$M$250,2))*1000),"")</f>
        <v>8070924677</v>
      </c>
      <c r="E33" s="401">
        <f t="shared" si="5"/>
        <v>306879.2652851711</v>
      </c>
      <c r="F33" s="404">
        <f t="shared" si="7"/>
        <v>306879265.28517109</v>
      </c>
      <c r="G33" s="167">
        <f>IF(C33&lt;&gt;"",IF($F$41=$AB$4,SUMIF('Petroleum - Q&amp;V2'!$L$9:$L$130,'Petroleum - Gas Prices'!C33,'Petroleum - Q&amp;V2'!$K$9:$K$130)*1000000,
(SUMIFS('Petroleum - Q&amp;V2'!$K$9:$K$250,'Petroleum - Q&amp;V2'!$L$9:$L$250,A33,'Petroleum - Q&amp;V2'!$M$9:$M$250,3)+
SUMIFS('Petroleum - Q&amp;V2'!$K$9:$K$250,'Petroleum - Q&amp;V2'!$L$9:$L$250,A33,'Petroleum - Q&amp;V2'!$M$9:$M$250,4)+
SUMIFS('Petroleum - Q&amp;V2'!$K$9:$K$250,'Petroleum - Q&amp;V2'!$L$9:$L$250,B33,'Petroleum - Q&amp;V2'!$M$9:$M$250,1)+
SUMIFS('Petroleum - Q&amp;V2'!$K$9:$K$250,'Petroleum - Q&amp;V2'!$L$9:$L$250,B33,'Petroleum - Q&amp;V2'!$M$9:$M$250,2))*1000000),"")</f>
        <v>1491260153.7561886</v>
      </c>
      <c r="H33" s="168">
        <f t="shared" si="3"/>
        <v>4.8594360142592823</v>
      </c>
      <c r="I33" s="161">
        <f t="shared" si="6"/>
        <v>0.10161766041828801</v>
      </c>
      <c r="J33" s="567">
        <f>IF(C33&lt;&gt;"",
IF($F$41="Historic Calendar Year",AVERAGEIF('Data - Monthly Commodity Prices'!$A$9:$A$1300,C33,'Data - Monthly Commodity Prices'!$X$9:$X$1300),
(SUMIFS('Data - Monthly Commodity Prices'!$X$9:$X$1300,'Data - Monthly Commodity Prices'!$A$9:$A$1300,A33,'Data - Monthly Commodity Prices'!$B$9:$B$1300,3)+
SUMIFS('Data - Monthly Commodity Prices'!$X$9:$X$1300,'Data - Monthly Commodity Prices'!$A$9:$A$1300,A33,'Data - Monthly Commodity Prices'!$B$9:$B$1300,4)+
SUMIFS('Data - Monthly Commodity Prices'!$X$9:$X$1300,'Data - Monthly Commodity Prices'!$A$9:$A$1300,B33,'Data - Monthly Commodity Prices'!$B$9:$B$1300,1)+
SUMIFS('Data - Monthly Commodity Prices'!$X$9:$X$1300,'Data - Monthly Commodity Prices'!$A$9:$A$1300,B33,'Data - Monthly Commodity Prices'!$B$9:$B$1300,2))/12
),"")</f>
        <v>0.90255833333333335</v>
      </c>
      <c r="K33" s="985">
        <f t="shared" si="4"/>
        <v>4.3859244699698339</v>
      </c>
    </row>
    <row r="34" spans="1:11">
      <c r="A34" s="630">
        <v>2015</v>
      </c>
      <c r="B34" s="1010">
        <f t="shared" si="8"/>
        <v>2016</v>
      </c>
      <c r="C34" s="1023">
        <f t="shared" si="1"/>
        <v>2015</v>
      </c>
      <c r="D34" s="278">
        <f>IF(C34&lt;&gt;"",IF($F$41=$AB$4,SUMIF('Petroleum - Q&amp;V2'!$L$9:$L$130,'Petroleum - Gas Prices'!C34,'Petroleum - Q&amp;V2'!$I$9:$I$130)*1000,(SUMIFS('Petroleum - Q&amp;V2'!$I$9:$I$250,'Petroleum - Q&amp;V2'!$L$9:$L$250,A34,'Petroleum - Q&amp;V2'!$M$9:$M$250,3)+
SUMIFS('Petroleum - Q&amp;V2'!$I$9:$I$250,'Petroleum - Q&amp;V2'!$L$9:$L$250,A34,'Petroleum - Q&amp;V2'!$M$9:$M$250,4)+
SUMIFS('Petroleum - Q&amp;V2'!$I$9:$I$250,'Petroleum - Q&amp;V2'!$L$9:$L$250,B34,'Petroleum - Q&amp;V2'!$M$9:$M$250,1)+
SUMIFS('Petroleum - Q&amp;V2'!$I$9:$I$250,'Petroleum - Q&amp;V2'!$L$9:$L$250,B34,'Petroleum - Q&amp;V2'!$M$9:$M$250,2))*1000),"")</f>
        <v>10016682171.999998</v>
      </c>
      <c r="E34" s="406">
        <f>IF(D34&lt;&gt;"",D34/26300,"")</f>
        <v>380862.43999999994</v>
      </c>
      <c r="F34" s="405">
        <f>IF(D34&lt;&gt;"",E34*1000,"")</f>
        <v>380862439.99999994</v>
      </c>
      <c r="G34" s="408">
        <f>IF(C34&lt;&gt;"",IF($F$41=$AB$4,SUMIF('Petroleum - Q&amp;V2'!$L$9:$L$130,'Petroleum - Gas Prices'!C34,'Petroleum - Q&amp;V2'!$K$9:$K$130)*1000000,
(SUMIFS('Petroleum - Q&amp;V2'!$K$9:$K$250,'Petroleum - Q&amp;V2'!$L$9:$L$250,A34,'Petroleum - Q&amp;V2'!$M$9:$M$250,3)+
SUMIFS('Petroleum - Q&amp;V2'!$K$9:$K$250,'Petroleum - Q&amp;V2'!$L$9:$L$250,A34,'Petroleum - Q&amp;V2'!$M$9:$M$250,4)+
SUMIFS('Petroleum - Q&amp;V2'!$K$9:$K$250,'Petroleum - Q&amp;V2'!$L$9:$L$250,B34,'Petroleum - Q&amp;V2'!$M$9:$M$250,1)+
SUMIFS('Petroleum - Q&amp;V2'!$K$9:$K$250,'Petroleum - Q&amp;V2'!$L$9:$L$250,B34,'Petroleum - Q&amp;V2'!$M$9:$M$250,2))*1000000),"")</f>
        <v>1861523430.198</v>
      </c>
      <c r="H34" s="279">
        <f>IF(C34&lt;&gt;"",G34/F34,"")</f>
        <v>4.8876529546940892</v>
      </c>
      <c r="I34" s="178">
        <f t="shared" si="6"/>
        <v>5.8066286606117618E-3</v>
      </c>
      <c r="J34" s="569">
        <f>IF(C34&lt;&gt;"",
IF($F$41="Historic Calendar Year",AVERAGEIF('Data - Monthly Commodity Prices'!$A$9:$A$1300,C34,'Data - Monthly Commodity Prices'!$X$9:$X$1300),
(SUMIFS('Data - Monthly Commodity Prices'!$X$9:$X$1300,'Data - Monthly Commodity Prices'!$A$9:$A$1300,A34,'Data - Monthly Commodity Prices'!$B$9:$B$1300,3)+
SUMIFS('Data - Monthly Commodity Prices'!$X$9:$X$1300,'Data - Monthly Commodity Prices'!$A$9:$A$1300,A34,'Data - Monthly Commodity Prices'!$B$9:$B$1300,4)+
SUMIFS('Data - Monthly Commodity Prices'!$X$9:$X$1300,'Data - Monthly Commodity Prices'!$A$9:$A$1300,B34,'Data - Monthly Commodity Prices'!$B$9:$B$1300,1)+
SUMIFS('Data - Monthly Commodity Prices'!$X$9:$X$1300,'Data - Monthly Commodity Prices'!$A$9:$A$1300,B34,'Data - Monthly Commodity Prices'!$B$9:$B$1300,2))/12
),"")</f>
        <v>0.75245833333333323</v>
      </c>
      <c r="K34" s="986">
        <f t="shared" si="4"/>
        <v>3.6777551962008559</v>
      </c>
    </row>
    <row r="35" spans="1:11">
      <c r="A35" s="630">
        <v>2016</v>
      </c>
      <c r="B35" s="1010">
        <f t="shared" si="8"/>
        <v>2017</v>
      </c>
      <c r="C35" s="1023">
        <f t="shared" si="1"/>
        <v>2016</v>
      </c>
      <c r="D35" s="166">
        <f>IF(C35&lt;&gt;"",IF($F$41=$AB$4,SUMIF('Petroleum - Q&amp;V2'!$L$9:$L$130,'Petroleum - Gas Prices'!C35,'Petroleum - Q&amp;V2'!$I$9:$I$130)*1000,(SUMIFS('Petroleum - Q&amp;V2'!$I$9:$I$250,'Petroleum - Q&amp;V2'!$L$9:$L$250,A35,'Petroleum - Q&amp;V2'!$M$9:$M$250,3)+
SUMIFS('Petroleum - Q&amp;V2'!$I$9:$I$250,'Petroleum - Q&amp;V2'!$L$9:$L$250,A35,'Petroleum - Q&amp;V2'!$M$9:$M$250,4)+
SUMIFS('Petroleum - Q&amp;V2'!$I$9:$I$250,'Petroleum - Q&amp;V2'!$L$9:$L$250,B35,'Petroleum - Q&amp;V2'!$M$9:$M$250,1)+
SUMIFS('Petroleum - Q&amp;V2'!$I$9:$I$250,'Petroleum - Q&amp;V2'!$L$9:$L$250,B35,'Petroleum - Q&amp;V2'!$M$9:$M$250,2))*1000),"")</f>
        <v>10131107748.056385</v>
      </c>
      <c r="E35" s="401">
        <f>IF(D35&lt;&gt;"",D35/26300,"")</f>
        <v>385213.22235955839</v>
      </c>
      <c r="F35" s="404">
        <f>IF(D35&lt;&gt;"",E35*1000,"")</f>
        <v>385213222.3595584</v>
      </c>
      <c r="G35" s="167">
        <f>IF(C35&lt;&gt;"",IF($F$41=$AB$4,SUMIF('Petroleum - Q&amp;V2'!$L$9:$L$130,'Petroleum - Gas Prices'!C35,'Petroleum - Q&amp;V2'!$K$9:$K$130)*1000000,
(SUMIFS('Petroleum - Q&amp;V2'!$K$9:$K$250,'Petroleum - Q&amp;V2'!$L$9:$L$250,A35,'Petroleum - Q&amp;V2'!$M$9:$M$250,3)+
SUMIFS('Petroleum - Q&amp;V2'!$K$9:$K$250,'Petroleum - Q&amp;V2'!$L$9:$L$250,A35,'Petroleum - Q&amp;V2'!$M$9:$M$250,4)+
SUMIFS('Petroleum - Q&amp;V2'!$K$9:$K$250,'Petroleum - Q&amp;V2'!$L$9:$L$250,B35,'Petroleum - Q&amp;V2'!$M$9:$M$250,1)+
SUMIFS('Petroleum - Q&amp;V2'!$K$9:$K$250,'Petroleum - Q&amp;V2'!$L$9:$L$250,B35,'Petroleum - Q&amp;V2'!$M$9:$M$250,2))*1000000),"")</f>
        <v>1916104660.6769698</v>
      </c>
      <c r="H35" s="168">
        <f>IF(C35&lt;&gt;"",G35/F35,"")</f>
        <v>4.9741404226474755</v>
      </c>
      <c r="I35" s="161">
        <f t="shared" si="6"/>
        <v>1.769509184778021E-2</v>
      </c>
      <c r="J35" s="567">
        <f>IF(C35&lt;&gt;"",
IF($F$41="Historic Calendar Year",AVERAGEIF('Data - Monthly Commodity Prices'!$A$9:$A$1300,C35,'Data - Monthly Commodity Prices'!$X$9:$X$1300),
(SUMIFS('Data - Monthly Commodity Prices'!$X$9:$X$1300,'Data - Monthly Commodity Prices'!$A$9:$A$1300,A35,'Data - Monthly Commodity Prices'!$B$9:$B$1300,3)+
SUMIFS('Data - Monthly Commodity Prices'!$X$9:$X$1300,'Data - Monthly Commodity Prices'!$A$9:$A$1300,A35,'Data - Monthly Commodity Prices'!$B$9:$B$1300,4)+
SUMIFS('Data - Monthly Commodity Prices'!$X$9:$X$1300,'Data - Monthly Commodity Prices'!$A$9:$A$1300,B35,'Data - Monthly Commodity Prices'!$B$9:$B$1300,1)+
SUMIFS('Data - Monthly Commodity Prices'!$X$9:$X$1300,'Data - Monthly Commodity Prices'!$A$9:$A$1300,B35,'Data - Monthly Commodity Prices'!$B$9:$B$1300,2))/12
),"")</f>
        <v>0.74401666666666666</v>
      </c>
      <c r="K35" s="985">
        <f t="shared" ref="K35" si="9">IFERROR(H35*J35,"")</f>
        <v>3.700843376790099</v>
      </c>
    </row>
    <row r="36" spans="1:11">
      <c r="A36" s="630">
        <v>2017</v>
      </c>
      <c r="B36" s="1010">
        <f t="shared" si="8"/>
        <v>2018</v>
      </c>
      <c r="C36" s="1023">
        <f t="shared" ref="C36" si="10">IF($F$41=$AB$4,A36,CONCATENATE(A36,"-",RIGHT(B36,2)))</f>
        <v>2017</v>
      </c>
      <c r="D36" s="278">
        <f>IF(C36&lt;&gt;"",IF($F$41=$AB$4,SUMIF('Petroleum - Q&amp;V2'!$L$9:$L$130,'Petroleum - Gas Prices'!C36,'Petroleum - Q&amp;V2'!$I$9:$I$130)*1000,(SUMIFS('Petroleum - Q&amp;V2'!$I$9:$I$250,'Petroleum - Q&amp;V2'!$L$9:$L$250,A36,'Petroleum - Q&amp;V2'!$M$9:$M$250,3)+
SUMIFS('Petroleum - Q&amp;V2'!$I$9:$I$250,'Petroleum - Q&amp;V2'!$L$9:$L$250,A36,'Petroleum - Q&amp;V2'!$M$9:$M$250,4)+
SUMIFS('Petroleum - Q&amp;V2'!$I$9:$I$250,'Petroleum - Q&amp;V2'!$L$9:$L$250,B36,'Petroleum - Q&amp;V2'!$M$9:$M$250,1)+
SUMIFS('Petroleum - Q&amp;V2'!$I$9:$I$250,'Petroleum - Q&amp;V2'!$L$9:$L$250,B36,'Petroleum - Q&amp;V2'!$M$9:$M$250,2))*1000),"")</f>
        <v>9887401417.7690277</v>
      </c>
      <c r="E36" s="406">
        <f t="shared" si="5"/>
        <v>375946.82196840411</v>
      </c>
      <c r="F36" s="405">
        <f t="shared" ref="F36:F37" si="11">IF(D36&lt;&gt;"",E36*1000,"")</f>
        <v>375946821.96840411</v>
      </c>
      <c r="G36" s="408">
        <f>IF(C36&lt;&gt;"",IF($F$41=$AB$4,SUMIF('Petroleum - Q&amp;V2'!$L$9:$L$130,'Petroleum - Gas Prices'!C36,'Petroleum - Q&amp;V2'!$K$9:$K$130)*1000000,
(SUMIFS('Petroleum - Q&amp;V2'!$K$9:$K$250,'Petroleum - Q&amp;V2'!$L$9:$L$250,A36,'Petroleum - Q&amp;V2'!$M$9:$M$250,3)+
SUMIFS('Petroleum - Q&amp;V2'!$K$9:$K$250,'Petroleum - Q&amp;V2'!$L$9:$L$250,A36,'Petroleum - Q&amp;V2'!$M$9:$M$250,4)+
SUMIFS('Petroleum - Q&amp;V2'!$K$9:$K$250,'Petroleum - Q&amp;V2'!$L$9:$L$250,B36,'Petroleum - Q&amp;V2'!$M$9:$M$250,1)+
SUMIFS('Petroleum - Q&amp;V2'!$K$9:$K$250,'Petroleum - Q&amp;V2'!$L$9:$L$250,B36,'Petroleum - Q&amp;V2'!$M$9:$M$250,2))*1000000),"")</f>
        <v>1745804133.2613595</v>
      </c>
      <c r="H36" s="279">
        <f t="shared" ref="H36:H37" si="12">IF(C36&lt;&gt;"",G36/F36,"")</f>
        <v>4.643752869410033</v>
      </c>
      <c r="I36" s="178">
        <f t="shared" si="6"/>
        <v>-6.6421034624027459E-2</v>
      </c>
      <c r="J36" s="569">
        <f>IF(C36&lt;&gt;"",
IF($F$41="Historic Calendar Year",AVERAGEIF('Data - Monthly Commodity Prices'!$A$9:$A$1300,C36,'Data - Monthly Commodity Prices'!$X$9:$X$1300),
(SUMIFS('Data - Monthly Commodity Prices'!$X$9:$X$1300,'Data - Monthly Commodity Prices'!$A$9:$A$1300,A36,'Data - Monthly Commodity Prices'!$B$9:$B$1300,3)+
SUMIFS('Data - Monthly Commodity Prices'!$X$9:$X$1300,'Data - Monthly Commodity Prices'!$A$9:$A$1300,A36,'Data - Monthly Commodity Prices'!$B$9:$B$1300,4)+
SUMIFS('Data - Monthly Commodity Prices'!$X$9:$X$1300,'Data - Monthly Commodity Prices'!$A$9:$A$1300,B36,'Data - Monthly Commodity Prices'!$B$9:$B$1300,1)+
SUMIFS('Data - Monthly Commodity Prices'!$X$9:$X$1300,'Data - Monthly Commodity Prices'!$A$9:$A$1300,B36,'Data - Monthly Commodity Prices'!$B$9:$B$1300,2))/12
),"")</f>
        <v>0.76690000000000003</v>
      </c>
      <c r="K36" s="986">
        <f t="shared" ref="K36:K37" si="13">IFERROR(H36*J36,"")</f>
        <v>3.5612940755505544</v>
      </c>
    </row>
    <row r="37" spans="1:11">
      <c r="A37" s="630">
        <v>2018</v>
      </c>
      <c r="B37" s="1010">
        <v>2019</v>
      </c>
      <c r="C37" s="1023">
        <f>IF($F$41=$AB$4,A37,CONCATENATE(A37,"-",RIGHT(B37,2)))</f>
        <v>2018</v>
      </c>
      <c r="D37" s="1911">
        <f>IF(C37&lt;&gt;"",IF($F$41=$AB$4,SUMIF('Petroleum - Q&amp;V2'!$L$9:$L$130,'Petroleum - Gas Prices'!C37,'Petroleum - Q&amp;V2'!$I$9:$I$130)*1000,(SUMIFS('Petroleum - Q&amp;V2'!$I$9:$I$250,'Petroleum - Q&amp;V2'!$L$9:$L$250,A37,'Petroleum - Q&amp;V2'!$M$9:$M$250,3)+
SUMIFS('Petroleum - Q&amp;V2'!$I$9:$I$250,'Petroleum - Q&amp;V2'!$L$9:$L$250,A37,'Petroleum - Q&amp;V2'!$M$9:$M$250,4)+
SUMIFS('Petroleum - Q&amp;V2'!$I$9:$I$250,'Petroleum - Q&amp;V2'!$L$9:$L$250,B37,'Petroleum - Q&amp;V2'!$M$9:$M$250,1)+
SUMIFS('Petroleum - Q&amp;V2'!$I$9:$I$250,'Petroleum - Q&amp;V2'!$L$9:$L$250,B37,'Petroleum - Q&amp;V2'!$M$9:$M$250,2))*1000),"")</f>
        <v>10128603143.680073</v>
      </c>
      <c r="E37" s="789">
        <f t="shared" si="5"/>
        <v>385117.99025399517</v>
      </c>
      <c r="F37" s="1912">
        <f t="shared" si="11"/>
        <v>385117990.25399518</v>
      </c>
      <c r="G37" s="1913">
        <f>IF(C37&lt;&gt;"",IF($F$41=$AB$4,SUMIF('Petroleum - Q&amp;V2'!$L$9:$L$130,'Petroleum - Gas Prices'!C37,'Petroleum - Q&amp;V2'!$K$9:$K$130)*1000000,
(SUMIFS('Petroleum - Q&amp;V2'!$K$9:$K$250,'Petroleum - Q&amp;V2'!$L$9:$L$250,A37,'Petroleum - Q&amp;V2'!$M$9:$M$250,3)+
SUMIFS('Petroleum - Q&amp;V2'!$K$9:$K$250,'Petroleum - Q&amp;V2'!$L$9:$L$250,A37,'Petroleum - Q&amp;V2'!$M$9:$M$250,4)+
SUMIFS('Petroleum - Q&amp;V2'!$K$9:$K$250,'Petroleum - Q&amp;V2'!$L$9:$L$250,B37,'Petroleum - Q&amp;V2'!$M$9:$M$250,1)+
SUMIFS('Petroleum - Q&amp;V2'!$K$9:$K$250,'Petroleum - Q&amp;V2'!$L$9:$L$250,B37,'Petroleum - Q&amp;V2'!$M$9:$M$250,2))*1000000),"")</f>
        <v>1585068033.9181547</v>
      </c>
      <c r="H37" s="1914">
        <f t="shared" si="12"/>
        <v>4.1157984670432084</v>
      </c>
      <c r="I37" s="1915">
        <f t="shared" si="6"/>
        <v>-0.11369132191435904</v>
      </c>
      <c r="J37" s="1916">
        <f>IF(C37&lt;&gt;"",
IF($F$41="Historic Calendar Year",AVERAGEIF('Data - Monthly Commodity Prices'!$A$9:$A$1300,C37,'Data - Monthly Commodity Prices'!$X$9:$X$1300),
(SUMIFS('Data - Monthly Commodity Prices'!$X$9:$X$1300,'Data - Monthly Commodity Prices'!$A$9:$A$1300,A37,'Data - Monthly Commodity Prices'!$B$9:$B$1300,3)+
SUMIFS('Data - Monthly Commodity Prices'!$X$9:$X$1300,'Data - Monthly Commodity Prices'!$A$9:$A$1300,A37,'Data - Monthly Commodity Prices'!$B$9:$B$1300,4)+
SUMIFS('Data - Monthly Commodity Prices'!$X$9:$X$1300,'Data - Monthly Commodity Prices'!$A$9:$A$1300,B37,'Data - Monthly Commodity Prices'!$B$9:$B$1300,1)+
SUMIFS('Data - Monthly Commodity Prices'!$X$9:$X$1300,'Data - Monthly Commodity Prices'!$A$9:$A$1300,B37,'Data - Monthly Commodity Prices'!$B$9:$B$1300,2))/12
),"")</f>
        <v>0.74775000000000003</v>
      </c>
      <c r="K37" s="1917">
        <f t="shared" si="13"/>
        <v>3.077588303731559</v>
      </c>
    </row>
    <row r="38" spans="1:11" ht="15.75" thickBot="1">
      <c r="A38" s="630">
        <v>2019</v>
      </c>
      <c r="B38" s="630">
        <v>2020</v>
      </c>
      <c r="C38" s="1532">
        <f t="shared" ref="C38" si="14">IF($F$41=$AB$4,A38,CONCATENATE(A38,"-",RIGHT(B38,2)))</f>
        <v>2019</v>
      </c>
      <c r="D38" s="1918">
        <f>IF(C38&lt;&gt;"",IF($F$41=$AB$4,SUMIF('Petroleum - Q&amp;V2'!$L$9:$L$130,'Petroleum - Gas Prices'!C38,'Petroleum - Q&amp;V2'!$I$9:$I$130)*1000,(SUMIFS('Petroleum - Q&amp;V2'!$I$9:$I$250,'Petroleum - Q&amp;V2'!$L$9:$L$250,A38,'Petroleum - Q&amp;V2'!$M$9:$M$250,3)+
SUMIFS('Petroleum - Q&amp;V2'!$I$9:$I$250,'Petroleum - Q&amp;V2'!$L$9:$L$250,A38,'Petroleum - Q&amp;V2'!$M$9:$M$250,4)+
SUMIFS('Petroleum - Q&amp;V2'!$I$9:$I$250,'Petroleum - Q&amp;V2'!$L$9:$L$250,B38,'Petroleum - Q&amp;V2'!$M$9:$M$250,1)+
SUMIFS('Petroleum - Q&amp;V2'!$I$9:$I$250,'Petroleum - Q&amp;V2'!$L$9:$L$250,B38,'Petroleum - Q&amp;V2'!$M$9:$M$250,2))*1000),"")</f>
        <v>10926725652.046551</v>
      </c>
      <c r="E38" s="1919">
        <f t="shared" ref="E38" si="15">IF(D38&lt;&gt;"",D38/26300,"")</f>
        <v>415464.85368998291</v>
      </c>
      <c r="F38" s="1920">
        <f t="shared" ref="F38" si="16">IF(D38&lt;&gt;"",E38*1000,"")</f>
        <v>415464853.68998289</v>
      </c>
      <c r="G38" s="1921">
        <f>IF(C38&lt;&gt;"",IF($F$41=$AB$4,SUMIF('Petroleum - Q&amp;V2'!$L$9:$L$130,'Petroleum - Gas Prices'!C38,'Petroleum - Q&amp;V2'!$K$9:$K$130)*1000000,
(SUMIFS('Petroleum - Q&amp;V2'!$K$9:$K$250,'Petroleum - Q&amp;V2'!$L$9:$L$250,A38,'Petroleum - Q&amp;V2'!$M$9:$M$250,3)+
SUMIFS('Petroleum - Q&amp;V2'!$K$9:$K$250,'Petroleum - Q&amp;V2'!$L$9:$L$250,A38,'Petroleum - Q&amp;V2'!$M$9:$M$250,4)+
SUMIFS('Petroleum - Q&amp;V2'!$K$9:$K$250,'Petroleum - Q&amp;V2'!$L$9:$L$250,B38,'Petroleum - Q&amp;V2'!$M$9:$M$250,1)+
SUMIFS('Petroleum - Q&amp;V2'!$K$9:$K$250,'Petroleum - Q&amp;V2'!$L$9:$L$250,B38,'Petroleum - Q&amp;V2'!$M$9:$M$250,2))*1000000),"")</f>
        <v>1698004187.6200366</v>
      </c>
      <c r="H38" s="1922">
        <f t="shared" ref="H38" si="17">IF(C38&lt;&gt;"",G38/F38,"")</f>
        <v>4.0869983887664203</v>
      </c>
      <c r="I38" s="1923">
        <f t="shared" ref="I38" si="18">(H38-H37)/H37</f>
        <v>-6.9974461838696609E-3</v>
      </c>
      <c r="J38" s="1924">
        <f>IF(C38&lt;&gt;"",
IF($F$41="Historic Calendar Year",AVERAGEIF('Data - Monthly Commodity Prices'!$A$9:$A$1300,C38,'Data - Monthly Commodity Prices'!$X$9:$X$1300),
(SUMIFS('Data - Monthly Commodity Prices'!$X$9:$X$1300,'Data - Monthly Commodity Prices'!$A$9:$A$1300,A38,'Data - Monthly Commodity Prices'!$B$9:$B$1300,3)+
SUMIFS('Data - Monthly Commodity Prices'!$X$9:$X$1300,'Data - Monthly Commodity Prices'!$A$9:$A$1300,A38,'Data - Monthly Commodity Prices'!$B$9:$B$1300,4)+
SUMIFS('Data - Monthly Commodity Prices'!$X$9:$X$1300,'Data - Monthly Commodity Prices'!$A$9:$A$1300,B38,'Data - Monthly Commodity Prices'!$B$9:$B$1300,1)+
SUMIFS('Data - Monthly Commodity Prices'!$X$9:$X$1300,'Data - Monthly Commodity Prices'!$A$9:$A$1300,B38,'Data - Monthly Commodity Prices'!$B$9:$B$1300,2))/12
),"")</f>
        <v>0.69585833333333325</v>
      </c>
      <c r="K38" s="1925">
        <f t="shared" ref="K38" si="19">IFERROR(H38*J38,"")</f>
        <v>2.8439718871430197</v>
      </c>
    </row>
    <row r="39" spans="1:11" s="630" customFormat="1" ht="15.75" thickBot="1">
      <c r="C39"/>
      <c r="D39" s="692"/>
      <c r="E39" s="789"/>
      <c r="F39" s="1533"/>
      <c r="G39" s="1534"/>
      <c r="H39" s="1909"/>
      <c r="I39" s="161"/>
      <c r="J39" s="1910"/>
      <c r="K39" s="1565"/>
    </row>
    <row r="40" spans="1:11" ht="15.75" thickBot="1">
      <c r="C40" s="162"/>
      <c r="F40" s="2053" t="s">
        <v>617</v>
      </c>
      <c r="G40" s="2054"/>
      <c r="H40" s="2055"/>
    </row>
    <row r="41" spans="1:11" ht="15.75" thickBot="1">
      <c r="F41" s="1963" t="s">
        <v>545</v>
      </c>
      <c r="G41" s="1966"/>
      <c r="H41" s="1964"/>
    </row>
    <row r="42" spans="1:11">
      <c r="A42" s="794"/>
      <c r="B42" s="794"/>
      <c r="C42" s="794"/>
      <c r="F42" s="1995" t="s">
        <v>618</v>
      </c>
      <c r="G42" s="1995"/>
      <c r="H42" s="1995"/>
    </row>
    <row r="43" spans="1:11">
      <c r="A43" s="794"/>
      <c r="B43" s="1011"/>
      <c r="C43" s="297"/>
      <c r="D43" s="630"/>
    </row>
    <row r="44" spans="1:11">
      <c r="A44" s="794"/>
      <c r="B44" s="794"/>
      <c r="C44" s="794"/>
      <c r="D44" s="170"/>
    </row>
    <row r="45" spans="1:11">
      <c r="D45" s="630"/>
    </row>
    <row r="46" spans="1:11">
      <c r="D46" s="630"/>
    </row>
    <row r="47" spans="1:11" ht="15.75" thickBot="1">
      <c r="C47" s="2052" t="s">
        <v>622</v>
      </c>
      <c r="D47" s="2052"/>
      <c r="E47" s="2052"/>
    </row>
    <row r="48" spans="1:11" ht="30" customHeight="1" thickBot="1">
      <c r="A48" s="1021"/>
      <c r="B48" s="1012"/>
      <c r="C48" s="1024" t="s">
        <v>6</v>
      </c>
      <c r="D48" s="1020" t="s">
        <v>49</v>
      </c>
      <c r="E48" s="1032" t="s">
        <v>621</v>
      </c>
      <c r="F48" s="1029" t="s">
        <v>630</v>
      </c>
    </row>
    <row r="49" spans="1:6">
      <c r="A49" s="1033">
        <f>DATE(D49,IF(C49="4",12,IF(C49="3",9,IF(C49="2",6,3))),1)</f>
        <v>40238</v>
      </c>
      <c r="B49" s="630">
        <f>LARGE('Petroleum - Q&amp;V2'!$A$9:$A$250,40)</f>
        <v>20101</v>
      </c>
      <c r="C49" s="244" t="str">
        <f>RIGHT(B49,1)</f>
        <v>1</v>
      </c>
      <c r="D49" s="1016" t="str">
        <f>LEFT(B49,4)</f>
        <v>2010</v>
      </c>
      <c r="E49" s="1014">
        <f>VLOOKUP('Petroleum - Gas Prices'!B49,'Petroleum - Q&amp;V2'!$A$9:$N$250,14,FALSE)</f>
        <v>4.6581804052600999</v>
      </c>
      <c r="F49" s="1031">
        <f>SUMIF('Data - Monthly Commodity Prices'!C100:C1000,'Petroleum - Gas Prices'!A49,'Data - Monthly Commodity Prices'!M100:M1000)</f>
        <v>3.94</v>
      </c>
    </row>
    <row r="50" spans="1:6">
      <c r="A50" s="1033">
        <f t="shared" ref="A50:A88" si="20">DATE(D50,IF(C50="4",12,IF(C50="3",9,IF(C50="2",6,3))),1)</f>
        <v>40330</v>
      </c>
      <c r="B50" s="630">
        <f>LARGE('Petroleum - Q&amp;V2'!$A$9:$A$250,39)</f>
        <v>20102</v>
      </c>
      <c r="C50" s="244" t="str">
        <f t="shared" ref="C50:C88" si="21">RIGHT(B50,1)</f>
        <v>2</v>
      </c>
      <c r="D50" s="1016" t="str">
        <f t="shared" ref="D50:D88" si="22">LEFT(B50,4)</f>
        <v>2010</v>
      </c>
      <c r="E50" s="1030">
        <f>VLOOKUP('Petroleum - Gas Prices'!B50,'Petroleum - Q&amp;V2'!$A$9:$N$250,14,FALSE)</f>
        <v>3.7281148451155723</v>
      </c>
      <c r="F50" s="1028">
        <f>SUMIF('Data - Monthly Commodity Prices'!C101:C1001,'Petroleum - Gas Prices'!A50,'Data - Monthly Commodity Prices'!M101:M1001)</f>
        <v>4.09</v>
      </c>
    </row>
    <row r="51" spans="1:6">
      <c r="A51" s="1033">
        <f t="shared" si="20"/>
        <v>40422</v>
      </c>
      <c r="B51" s="630">
        <f>LARGE('Petroleum - Q&amp;V2'!$A$9:$A$250,38)</f>
        <v>20103</v>
      </c>
      <c r="C51" s="244" t="str">
        <f t="shared" si="21"/>
        <v>3</v>
      </c>
      <c r="D51" s="1016" t="str">
        <f t="shared" si="22"/>
        <v>2010</v>
      </c>
      <c r="E51" s="1014">
        <f>VLOOKUP('Petroleum - Gas Prices'!B51,'Petroleum - Q&amp;V2'!$A$9:$N$250,14,FALSE)</f>
        <v>3.764935123411052</v>
      </c>
      <c r="F51" s="1031">
        <f>SUMIF('Data - Monthly Commodity Prices'!C102:C1002,'Petroleum - Gas Prices'!A51,'Data - Monthly Commodity Prices'!M102:M1002)</f>
        <v>3.99</v>
      </c>
    </row>
    <row r="52" spans="1:6">
      <c r="A52" s="1033">
        <f t="shared" si="20"/>
        <v>40513</v>
      </c>
      <c r="B52" s="630">
        <f>LARGE('Petroleum - Q&amp;V2'!$A$9:$A$250,37)</f>
        <v>20104</v>
      </c>
      <c r="C52" s="244" t="str">
        <f t="shared" si="21"/>
        <v>4</v>
      </c>
      <c r="D52" s="1016" t="str">
        <f t="shared" si="22"/>
        <v>2010</v>
      </c>
      <c r="E52" s="1030">
        <f>VLOOKUP('Petroleum - Gas Prices'!B52,'Petroleum - Q&amp;V2'!$A$9:$N$250,14,FALSE)</f>
        <v>3.7105101779713254</v>
      </c>
      <c r="F52" s="1028">
        <f>SUMIF('Data - Monthly Commodity Prices'!C103:C1003,'Petroleum - Gas Prices'!A52,'Data - Monthly Commodity Prices'!M103:M1003)</f>
        <v>3.91</v>
      </c>
    </row>
    <row r="53" spans="1:6">
      <c r="A53" s="1033">
        <f t="shared" si="20"/>
        <v>40603</v>
      </c>
      <c r="B53" s="630">
        <f>LARGE('Petroleum - Q&amp;V2'!$A$9:$A$250,36)</f>
        <v>20111</v>
      </c>
      <c r="C53" s="244" t="str">
        <f t="shared" si="21"/>
        <v>1</v>
      </c>
      <c r="D53" s="1016" t="str">
        <f t="shared" si="22"/>
        <v>2011</v>
      </c>
      <c r="E53" s="1014">
        <f>VLOOKUP('Petroleum - Gas Prices'!B53,'Petroleum - Q&amp;V2'!$A$9:$N$250,14,FALSE)</f>
        <v>4.3056190241039651</v>
      </c>
      <c r="F53" s="1031">
        <f>SUMIF('Data - Monthly Commodity Prices'!C104:C1004,'Petroleum - Gas Prices'!A53,'Data - Monthly Commodity Prices'!M104:M1004)</f>
        <v>4.05</v>
      </c>
    </row>
    <row r="54" spans="1:6">
      <c r="A54" s="1033">
        <f t="shared" si="20"/>
        <v>40695</v>
      </c>
      <c r="B54" s="630">
        <f>LARGE('Petroleum - Q&amp;V2'!$A$9:$A$250,35)</f>
        <v>20112</v>
      </c>
      <c r="C54" s="244" t="str">
        <f t="shared" si="21"/>
        <v>2</v>
      </c>
      <c r="D54" s="1016" t="str">
        <f t="shared" si="22"/>
        <v>2011</v>
      </c>
      <c r="E54" s="1030">
        <f>VLOOKUP('Petroleum - Gas Prices'!B54,'Petroleum - Q&amp;V2'!$A$9:$N$250,14,FALSE)</f>
        <v>4.2380097944327924</v>
      </c>
      <c r="F54" s="1028">
        <f>SUMIF('Data - Monthly Commodity Prices'!C105:C1005,'Petroleum - Gas Prices'!A54,'Data - Monthly Commodity Prices'!M105:M1005)</f>
        <v>4.1500000000000004</v>
      </c>
    </row>
    <row r="55" spans="1:6">
      <c r="A55" s="1033">
        <f t="shared" si="20"/>
        <v>40787</v>
      </c>
      <c r="B55" s="630">
        <f>LARGE('Petroleum - Q&amp;V2'!$A$9:$A$250,34)</f>
        <v>20113</v>
      </c>
      <c r="C55" s="244" t="str">
        <f t="shared" si="21"/>
        <v>3</v>
      </c>
      <c r="D55" s="1016" t="str">
        <f t="shared" si="22"/>
        <v>2011</v>
      </c>
      <c r="E55" s="1014">
        <f>VLOOKUP('Petroleum - Gas Prices'!B55,'Petroleum - Q&amp;V2'!$A$9:$N$250,14,FALSE)</f>
        <v>4.1681709329336512</v>
      </c>
      <c r="F55" s="1031">
        <f>SUMIF('Data - Monthly Commodity Prices'!C106:C1006,'Petroleum - Gas Prices'!A55,'Data - Monthly Commodity Prices'!M106:M1006)</f>
        <v>4.21</v>
      </c>
    </row>
    <row r="56" spans="1:6">
      <c r="A56" s="1033">
        <f t="shared" si="20"/>
        <v>40878</v>
      </c>
      <c r="B56" s="630">
        <f>LARGE('Petroleum - Q&amp;V2'!$A$9:$A$250,33)</f>
        <v>20114</v>
      </c>
      <c r="C56" s="244" t="str">
        <f t="shared" si="21"/>
        <v>4</v>
      </c>
      <c r="D56" s="1016" t="str">
        <f t="shared" si="22"/>
        <v>2011</v>
      </c>
      <c r="E56" s="1030">
        <f>VLOOKUP('Petroleum - Gas Prices'!B56,'Petroleum - Q&amp;V2'!$A$9:$N$250,14,FALSE)</f>
        <v>4.1484404742488969</v>
      </c>
      <c r="F56" s="1028">
        <f>SUMIF('Data - Monthly Commodity Prices'!C107:C1007,'Petroleum - Gas Prices'!A56,'Data - Monthly Commodity Prices'!M107:M1007)</f>
        <v>4.7</v>
      </c>
    </row>
    <row r="57" spans="1:6">
      <c r="A57" s="1033">
        <f t="shared" si="20"/>
        <v>40969</v>
      </c>
      <c r="B57" s="630">
        <f>LARGE('Petroleum - Q&amp;V2'!$A$9:$A$250,32)</f>
        <v>20121</v>
      </c>
      <c r="C57" s="244" t="str">
        <f t="shared" si="21"/>
        <v>1</v>
      </c>
      <c r="D57" s="1016" t="str">
        <f t="shared" si="22"/>
        <v>2012</v>
      </c>
      <c r="E57" s="1014">
        <f>VLOOKUP('Petroleum - Gas Prices'!B57,'Petroleum - Q&amp;V2'!$A$9:$N$250,14,FALSE)</f>
        <v>4.2466506124824406</v>
      </c>
      <c r="F57" s="1031">
        <f>SUMIF('Data - Monthly Commodity Prices'!C108:C1008,'Petroleum - Gas Prices'!A57,'Data - Monthly Commodity Prices'!M108:M1008)</f>
        <v>4.51</v>
      </c>
    </row>
    <row r="58" spans="1:6">
      <c r="A58" s="1033">
        <f t="shared" si="20"/>
        <v>41061</v>
      </c>
      <c r="B58" s="630">
        <f>LARGE('Petroleum - Q&amp;V2'!$A$9:$A$250,31)</f>
        <v>20122</v>
      </c>
      <c r="C58" s="244" t="str">
        <f t="shared" si="21"/>
        <v>2</v>
      </c>
      <c r="D58" s="1016" t="str">
        <f t="shared" si="22"/>
        <v>2012</v>
      </c>
      <c r="E58" s="1030">
        <f>VLOOKUP('Petroleum - Gas Prices'!B58,'Petroleum - Q&amp;V2'!$A$9:$N$250,14,FALSE)</f>
        <v>4.231970586663552</v>
      </c>
      <c r="F58" s="1028">
        <f>SUMIF('Data - Monthly Commodity Prices'!C109:C1009,'Petroleum - Gas Prices'!A58,'Data - Monthly Commodity Prices'!M109:M1009)</f>
        <v>4.32</v>
      </c>
    </row>
    <row r="59" spans="1:6">
      <c r="A59" s="1033">
        <f t="shared" si="20"/>
        <v>41153</v>
      </c>
      <c r="B59" s="630">
        <f>LARGE('Petroleum - Q&amp;V2'!$A$9:$A$250,30)</f>
        <v>20123</v>
      </c>
      <c r="C59" s="244" t="str">
        <f t="shared" si="21"/>
        <v>3</v>
      </c>
      <c r="D59" s="1016" t="str">
        <f t="shared" si="22"/>
        <v>2012</v>
      </c>
      <c r="E59" s="1014">
        <f>VLOOKUP('Petroleum - Gas Prices'!B59,'Petroleum - Q&amp;V2'!$A$9:$N$250,14,FALSE)</f>
        <v>4.3645289030058034</v>
      </c>
      <c r="F59" s="1031">
        <f>SUMIF('Data - Monthly Commodity Prices'!C110:C1010,'Petroleum - Gas Prices'!A59,'Data - Monthly Commodity Prices'!M110:M1010)</f>
        <v>4.74</v>
      </c>
    </row>
    <row r="60" spans="1:6">
      <c r="A60" s="1033">
        <f t="shared" si="20"/>
        <v>41244</v>
      </c>
      <c r="B60" s="630">
        <f>LARGE('Petroleum - Q&amp;V2'!$A$9:$A$250,29)</f>
        <v>20124</v>
      </c>
      <c r="C60" s="244" t="str">
        <f t="shared" si="21"/>
        <v>4</v>
      </c>
      <c r="D60" s="1016" t="str">
        <f t="shared" si="22"/>
        <v>2012</v>
      </c>
      <c r="E60" s="1030">
        <f>VLOOKUP('Petroleum - Gas Prices'!B60,'Petroleum - Q&amp;V2'!$A$9:$N$250,14,FALSE)</f>
        <v>4.3297610724778695</v>
      </c>
      <c r="F60" s="1028">
        <f>SUMIF('Data - Monthly Commodity Prices'!C111:C1011,'Petroleum - Gas Prices'!A60,'Data - Monthly Commodity Prices'!M111:M1011)</f>
        <v>4.49</v>
      </c>
    </row>
    <row r="61" spans="1:6">
      <c r="A61" s="1033">
        <f t="shared" si="20"/>
        <v>41334</v>
      </c>
      <c r="B61" s="630">
        <f>LARGE('Petroleum - Q&amp;V2'!$A$9:$A$250,28)</f>
        <v>20131</v>
      </c>
      <c r="C61" s="244" t="str">
        <f t="shared" si="21"/>
        <v>1</v>
      </c>
      <c r="D61" s="1016" t="str">
        <f t="shared" si="22"/>
        <v>2013</v>
      </c>
      <c r="E61" s="1014">
        <f>VLOOKUP('Petroleum - Gas Prices'!B61,'Petroleum - Q&amp;V2'!$A$9:$N$250,14,FALSE)</f>
        <v>4.2212398386308392</v>
      </c>
      <c r="F61" s="1031">
        <f>SUMIF('Data - Monthly Commodity Prices'!C112:C1012,'Petroleum - Gas Prices'!A61,'Data - Monthly Commodity Prices'!M112:M1012)</f>
        <v>4.75</v>
      </c>
    </row>
    <row r="62" spans="1:6">
      <c r="A62" s="1033">
        <f t="shared" si="20"/>
        <v>41426</v>
      </c>
      <c r="B62" s="630">
        <f>LARGE('Petroleum - Q&amp;V2'!$A$9:$A$250,27)</f>
        <v>20132</v>
      </c>
      <c r="C62" s="244" t="str">
        <f t="shared" si="21"/>
        <v>2</v>
      </c>
      <c r="D62" s="1016" t="str">
        <f t="shared" si="22"/>
        <v>2013</v>
      </c>
      <c r="E62" s="1030">
        <f>VLOOKUP('Petroleum - Gas Prices'!B62,'Petroleum - Q&amp;V2'!$A$9:$N$250,14,FALSE)</f>
        <v>4.409489820673107</v>
      </c>
      <c r="F62" s="1028">
        <f>SUMIF('Data - Monthly Commodity Prices'!C113:C1013,'Petroleum - Gas Prices'!A62,'Data - Monthly Commodity Prices'!M113:M1013)</f>
        <v>4.83</v>
      </c>
    </row>
    <row r="63" spans="1:6">
      <c r="A63" s="1033">
        <f t="shared" si="20"/>
        <v>41518</v>
      </c>
      <c r="B63" s="630">
        <f>LARGE('Petroleum - Q&amp;V2'!$A$9:$A$250,26)</f>
        <v>20133</v>
      </c>
      <c r="C63" s="244" t="str">
        <f t="shared" si="21"/>
        <v>3</v>
      </c>
      <c r="D63" s="1016" t="str">
        <f t="shared" si="22"/>
        <v>2013</v>
      </c>
      <c r="E63" s="1014">
        <f>VLOOKUP('Petroleum - Gas Prices'!B63,'Petroleum - Q&amp;V2'!$A$9:$N$250,14,FALSE)</f>
        <v>4.3123824115462766</v>
      </c>
      <c r="F63" s="1031">
        <f>SUMIF('Data - Monthly Commodity Prices'!C114:C1014,'Petroleum - Gas Prices'!A63,'Data - Monthly Commodity Prices'!M114:M1014)</f>
        <v>5.13</v>
      </c>
    </row>
    <row r="64" spans="1:6">
      <c r="A64" s="1033">
        <f t="shared" si="20"/>
        <v>41609</v>
      </c>
      <c r="B64" s="630">
        <f>LARGE('Petroleum - Q&amp;V2'!$A$9:$A$250,25)</f>
        <v>20134</v>
      </c>
      <c r="C64" s="244" t="str">
        <f t="shared" si="21"/>
        <v>4</v>
      </c>
      <c r="D64" s="1016" t="str">
        <f t="shared" si="22"/>
        <v>2013</v>
      </c>
      <c r="E64" s="1030">
        <f>VLOOKUP('Petroleum - Gas Prices'!B64,'Petroleum - Q&amp;V2'!$A$9:$N$250,14,FALSE)</f>
        <v>4.6786472839104709</v>
      </c>
      <c r="F64" s="1028">
        <f>SUMIF('Data - Monthly Commodity Prices'!C115:C1015,'Petroleum - Gas Prices'!A64,'Data - Monthly Commodity Prices'!M115:M1015)</f>
        <v>4.6100000000000003</v>
      </c>
    </row>
    <row r="65" spans="1:6">
      <c r="A65" s="1033">
        <f t="shared" si="20"/>
        <v>41699</v>
      </c>
      <c r="B65" s="630">
        <f>LARGE('Petroleum - Q&amp;V2'!$A$9:$A$250,24)</f>
        <v>20141</v>
      </c>
      <c r="C65" s="244" t="str">
        <f t="shared" si="21"/>
        <v>1</v>
      </c>
      <c r="D65" s="1016" t="str">
        <f t="shared" si="22"/>
        <v>2014</v>
      </c>
      <c r="E65" s="1014">
        <f>VLOOKUP('Petroleum - Gas Prices'!B65,'Petroleum - Q&amp;V2'!$A$9:$N$250,14,FALSE)</f>
        <v>4.7077</v>
      </c>
      <c r="F65" s="1031">
        <f>SUMIF('Data - Monthly Commodity Prices'!C116:C1016,'Petroleum - Gas Prices'!A65,'Data - Monthly Commodity Prices'!M116:M1016)</f>
        <v>5.01</v>
      </c>
    </row>
    <row r="66" spans="1:6">
      <c r="A66" s="1033">
        <f t="shared" si="20"/>
        <v>41791</v>
      </c>
      <c r="B66" s="630">
        <f>LARGE('Petroleum - Q&amp;V2'!$A$9:$A$250,23)</f>
        <v>20142</v>
      </c>
      <c r="C66" s="244" t="str">
        <f t="shared" si="21"/>
        <v>2</v>
      </c>
      <c r="D66" s="1016" t="str">
        <f t="shared" si="22"/>
        <v>2014</v>
      </c>
      <c r="E66" s="1030">
        <f>VLOOKUP('Petroleum - Gas Prices'!B66,'Petroleum - Q&amp;V2'!$A$9:$N$250,14,FALSE)</f>
        <v>4.9295292104925368</v>
      </c>
      <c r="F66" s="1028">
        <f>SUMIF('Data - Monthly Commodity Prices'!C117:C1017,'Petroleum - Gas Prices'!A66,'Data - Monthly Commodity Prices'!M117:M1017)</f>
        <v>4.6100000000000003</v>
      </c>
    </row>
    <row r="67" spans="1:6">
      <c r="A67" s="1033">
        <f t="shared" si="20"/>
        <v>41883</v>
      </c>
      <c r="B67" s="630">
        <f>LARGE('Petroleum - Q&amp;V2'!$A$9:$A$250,22)</f>
        <v>20143</v>
      </c>
      <c r="C67" s="244" t="str">
        <f t="shared" si="21"/>
        <v>3</v>
      </c>
      <c r="D67" s="1016" t="str">
        <f t="shared" si="22"/>
        <v>2014</v>
      </c>
      <c r="E67" s="1014">
        <f>VLOOKUP('Petroleum - Gas Prices'!B67,'Petroleum - Q&amp;V2'!$A$9:$N$250,14,FALSE)</f>
        <v>4.8887781628142477</v>
      </c>
      <c r="F67" s="1031">
        <f>SUMIF('Data - Monthly Commodity Prices'!C118:C1018,'Petroleum - Gas Prices'!A67,'Data - Monthly Commodity Prices'!M118:M1018)</f>
        <v>4.59</v>
      </c>
    </row>
    <row r="68" spans="1:6">
      <c r="A68" s="1033">
        <f t="shared" si="20"/>
        <v>41974</v>
      </c>
      <c r="B68" s="630">
        <f>LARGE('Petroleum - Q&amp;V2'!$A$9:$A$250,21)</f>
        <v>20144</v>
      </c>
      <c r="C68" s="244" t="str">
        <f t="shared" si="21"/>
        <v>4</v>
      </c>
      <c r="D68" s="1016" t="str">
        <f t="shared" si="22"/>
        <v>2014</v>
      </c>
      <c r="E68" s="1030">
        <f>VLOOKUP('Petroleum - Gas Prices'!B68,'Petroleum - Q&amp;V2'!$A$9:$N$250,14,FALSE)</f>
        <v>4.8480040103555151</v>
      </c>
      <c r="F68" s="1028">
        <f>SUMIF('Data - Monthly Commodity Prices'!C119:C1019,'Petroleum - Gas Prices'!A68,'Data - Monthly Commodity Prices'!M119:M1019)</f>
        <v>4.57</v>
      </c>
    </row>
    <row r="69" spans="1:6">
      <c r="A69" s="1033">
        <f t="shared" si="20"/>
        <v>42064</v>
      </c>
      <c r="B69" s="630">
        <f>LARGE('Petroleum - Q&amp;V2'!$A$9:$A$250,20)</f>
        <v>20151</v>
      </c>
      <c r="C69" s="244" t="str">
        <f t="shared" si="21"/>
        <v>1</v>
      </c>
      <c r="D69" s="1016" t="str">
        <f t="shared" si="22"/>
        <v>2015</v>
      </c>
      <c r="E69" s="1014">
        <f>VLOOKUP('Petroleum - Gas Prices'!B69,'Petroleum - Q&amp;V2'!$A$9:$N$250,14,FALSE)</f>
        <v>4.8461122505566507</v>
      </c>
      <c r="F69" s="1031">
        <f>SUMIF('Data - Monthly Commodity Prices'!C120:C1020,'Petroleum - Gas Prices'!A69,'Data - Monthly Commodity Prices'!M120:M1020)</f>
        <v>4.76</v>
      </c>
    </row>
    <row r="70" spans="1:6">
      <c r="A70" s="1033">
        <f t="shared" si="20"/>
        <v>42156</v>
      </c>
      <c r="B70" s="630">
        <f>LARGE('Petroleum - Q&amp;V2'!$A$9:$A$250,19)</f>
        <v>20152</v>
      </c>
      <c r="C70" s="244" t="str">
        <f t="shared" si="21"/>
        <v>2</v>
      </c>
      <c r="D70" s="1016" t="str">
        <f t="shared" si="22"/>
        <v>2015</v>
      </c>
      <c r="E70" s="1030">
        <f>VLOOKUP('Petroleum - Gas Prices'!B70,'Petroleum - Q&amp;V2'!$A$9:$N$250,14,FALSE)</f>
        <v>4.8089078565611905</v>
      </c>
      <c r="F70" s="1028">
        <f>SUMIF('Data - Monthly Commodity Prices'!C121:C1021,'Petroleum - Gas Prices'!A70,'Data - Monthly Commodity Prices'!M121:M1021)</f>
        <v>4.42</v>
      </c>
    </row>
    <row r="71" spans="1:6">
      <c r="A71" s="1033">
        <f t="shared" si="20"/>
        <v>42248</v>
      </c>
      <c r="B71" s="630">
        <f>LARGE('Petroleum - Q&amp;V2'!$A$9:$A$250,18)</f>
        <v>20153</v>
      </c>
      <c r="C71" s="244" t="str">
        <f t="shared" si="21"/>
        <v>3</v>
      </c>
      <c r="D71" s="1016" t="str">
        <f t="shared" si="22"/>
        <v>2015</v>
      </c>
      <c r="E71" s="1014">
        <f>VLOOKUP('Petroleum - Gas Prices'!B71,'Petroleum - Q&amp;V2'!$A$9:$N$250,14,FALSE)</f>
        <v>4.9058702326383257</v>
      </c>
      <c r="F71" s="1031">
        <f>SUMIF('Data - Monthly Commodity Prices'!C122:C1022,'Petroleum - Gas Prices'!A71,'Data - Monthly Commodity Prices'!M122:M1022)</f>
        <v>4.43</v>
      </c>
    </row>
    <row r="72" spans="1:6">
      <c r="A72" s="1033">
        <f t="shared" si="20"/>
        <v>42339</v>
      </c>
      <c r="B72" s="630">
        <f>LARGE('Petroleum - Q&amp;V2'!$A$9:$A$250,17)</f>
        <v>20154</v>
      </c>
      <c r="C72" s="244" t="str">
        <f t="shared" si="21"/>
        <v>4</v>
      </c>
      <c r="D72" s="1016" t="str">
        <f t="shared" si="22"/>
        <v>2015</v>
      </c>
      <c r="E72" s="1030">
        <f>VLOOKUP('Petroleum - Gas Prices'!B72,'Petroleum - Q&amp;V2'!$A$9:$N$250,14,FALSE)</f>
        <v>4.9922471050309447</v>
      </c>
      <c r="F72" s="1028">
        <f>SUMIF('Data - Monthly Commodity Prices'!C123:C1023,'Petroleum - Gas Prices'!A72,'Data - Monthly Commodity Prices'!M123:M1023)</f>
        <v>4.58</v>
      </c>
    </row>
    <row r="73" spans="1:6">
      <c r="A73" s="1033">
        <f t="shared" si="20"/>
        <v>42430</v>
      </c>
      <c r="B73" s="630">
        <f>LARGE('Petroleum - Q&amp;V2'!$A$9:$A$250,16)</f>
        <v>20161</v>
      </c>
      <c r="C73" s="244" t="str">
        <f t="shared" si="21"/>
        <v>1</v>
      </c>
      <c r="D73" s="1016" t="str">
        <f t="shared" si="22"/>
        <v>2016</v>
      </c>
      <c r="E73" s="1014">
        <f>VLOOKUP('Petroleum - Gas Prices'!B73,'Petroleum - Q&amp;V2'!$A$9:$N$250,14,FALSE)</f>
        <v>4.803597104985454</v>
      </c>
      <c r="F73" s="1031">
        <f>SUMIF('Data - Monthly Commodity Prices'!C124:C1024,'Petroleum - Gas Prices'!A73,'Data - Monthly Commodity Prices'!M124:M1024)</f>
        <v>5.32</v>
      </c>
    </row>
    <row r="74" spans="1:6">
      <c r="A74" s="1033">
        <f t="shared" si="20"/>
        <v>42522</v>
      </c>
      <c r="B74" s="630">
        <f>LARGE('Petroleum - Q&amp;V2'!$A$9:$A$250,15)</f>
        <v>20162</v>
      </c>
      <c r="C74" s="244" t="str">
        <f t="shared" si="21"/>
        <v>2</v>
      </c>
      <c r="D74" s="1016" t="str">
        <f t="shared" si="22"/>
        <v>2016</v>
      </c>
      <c r="E74" s="1030">
        <f>VLOOKUP('Petroleum - Gas Prices'!B74,'Petroleum - Q&amp;V2'!$A$9:$N$250,14,FALSE)</f>
        <v>4.9911008406418791</v>
      </c>
      <c r="F74" s="1028">
        <f>SUMIF('Data - Monthly Commodity Prices'!C125:C1025,'Petroleum - Gas Prices'!A74,'Data - Monthly Commodity Prices'!M125:M1025)</f>
        <v>5.27</v>
      </c>
    </row>
    <row r="75" spans="1:6">
      <c r="A75" s="1033">
        <f t="shared" si="20"/>
        <v>42614</v>
      </c>
      <c r="B75" s="630">
        <f>LARGE('Petroleum - Q&amp;V2'!$A$9:$A$250,14)</f>
        <v>20163</v>
      </c>
      <c r="C75" s="244" t="str">
        <f t="shared" si="21"/>
        <v>3</v>
      </c>
      <c r="D75" s="1016" t="str">
        <f t="shared" si="22"/>
        <v>2016</v>
      </c>
      <c r="E75" s="1014">
        <f>VLOOKUP('Petroleum - Gas Prices'!B75,'Petroleum - Q&amp;V2'!$A$9:$N$250,14,FALSE)</f>
        <v>5.116182081598228</v>
      </c>
      <c r="F75" s="1031">
        <f>SUMIF('Data - Monthly Commodity Prices'!C126:C1026,'Petroleum - Gas Prices'!A75,'Data - Monthly Commodity Prices'!M126:M1026)</f>
        <v>5.49</v>
      </c>
    </row>
    <row r="76" spans="1:6">
      <c r="A76" s="1033">
        <f t="shared" si="20"/>
        <v>42705</v>
      </c>
      <c r="B76" s="630">
        <f>LARGE('Petroleum - Q&amp;V2'!$A$9:$A$250,13)</f>
        <v>20164</v>
      </c>
      <c r="C76" s="244" t="str">
        <f t="shared" si="21"/>
        <v>4</v>
      </c>
      <c r="D76" s="1016" t="str">
        <f t="shared" si="22"/>
        <v>2016</v>
      </c>
      <c r="E76" s="1030">
        <f>VLOOKUP('Petroleum - Gas Prices'!B76,'Petroleum - Q&amp;V2'!$A$9:$N$250,14,FALSE)</f>
        <v>4.9957045537060383</v>
      </c>
      <c r="F76" s="1028">
        <f>SUMIF('Data - Monthly Commodity Prices'!C127:C1027,'Petroleum - Gas Prices'!A76,'Data - Monthly Commodity Prices'!M127:M1027)</f>
        <v>5.53</v>
      </c>
    </row>
    <row r="77" spans="1:6">
      <c r="A77" s="1033">
        <f t="shared" si="20"/>
        <v>42795</v>
      </c>
      <c r="B77" s="630">
        <f>LARGE('Petroleum - Q&amp;V2'!$A$9:$A$250,12)</f>
        <v>20171</v>
      </c>
      <c r="C77" s="244" t="str">
        <f t="shared" si="21"/>
        <v>1</v>
      </c>
      <c r="D77" s="1016" t="str">
        <f t="shared" si="22"/>
        <v>2017</v>
      </c>
      <c r="E77" s="1014">
        <f>VLOOKUP('Petroleum - Gas Prices'!B77,'Petroleum - Q&amp;V2'!$A$9:$N$250,14,FALSE)</f>
        <v>4.8653053800000006</v>
      </c>
      <c r="F77" s="1031">
        <f>SUMIF('Data - Monthly Commodity Prices'!C128:C1028,'Petroleum - Gas Prices'!A77,'Data - Monthly Commodity Prices'!M128:M1028)</f>
        <v>5.7450000000000001</v>
      </c>
    </row>
    <row r="78" spans="1:6">
      <c r="A78" s="1033">
        <f t="shared" si="20"/>
        <v>42887</v>
      </c>
      <c r="B78" s="630">
        <f>LARGE('Petroleum - Q&amp;V2'!$A$9:$A$250,11)</f>
        <v>20172</v>
      </c>
      <c r="C78" s="244" t="str">
        <f t="shared" si="21"/>
        <v>2</v>
      </c>
      <c r="D78" s="1016" t="str">
        <f t="shared" si="22"/>
        <v>2017</v>
      </c>
      <c r="E78" s="1030">
        <f>VLOOKUP('Petroleum - Gas Prices'!B78,'Petroleum - Q&amp;V2'!$A$9:$N$250,14,FALSE)</f>
        <v>4.8461826499999994</v>
      </c>
      <c r="F78" s="1028">
        <f>SUMIF('Data - Monthly Commodity Prices'!C129:C1029,'Petroleum - Gas Prices'!A78,'Data - Monthly Commodity Prices'!M129:M1029)</f>
        <v>5.9</v>
      </c>
    </row>
    <row r="79" spans="1:6">
      <c r="A79" s="1033">
        <f t="shared" si="20"/>
        <v>42979</v>
      </c>
      <c r="B79" s="630">
        <f>LARGE('Petroleum - Q&amp;V2'!$A$9:$A$250,10)</f>
        <v>20173</v>
      </c>
      <c r="C79" s="244" t="str">
        <f t="shared" si="21"/>
        <v>3</v>
      </c>
      <c r="D79" s="1016" t="str">
        <f t="shared" si="22"/>
        <v>2017</v>
      </c>
      <c r="E79" s="1014">
        <f>VLOOKUP('Petroleum - Gas Prices'!B79,'Petroleum - Q&amp;V2'!$A$9:$N$250,14,FALSE)</f>
        <v>4.7457922777766823</v>
      </c>
      <c r="F79" s="1031">
        <f>SUMIF('Data - Monthly Commodity Prices'!C130:C1030,'Petroleum - Gas Prices'!A79,'Data - Monthly Commodity Prices'!M130:M1030)</f>
        <v>6.01</v>
      </c>
    </row>
    <row r="80" spans="1:6">
      <c r="A80" s="1033">
        <f t="shared" si="20"/>
        <v>43070</v>
      </c>
      <c r="B80" s="630">
        <f>LARGE('Petroleum - Q&amp;V2'!$A$9:$A$250,9)</f>
        <v>20174</v>
      </c>
      <c r="C80" s="244" t="str">
        <f t="shared" si="21"/>
        <v>4</v>
      </c>
      <c r="D80" s="1016" t="str">
        <f t="shared" si="22"/>
        <v>2017</v>
      </c>
      <c r="E80" s="1030">
        <f>VLOOKUP('Petroleum - Gas Prices'!B80,'Petroleum - Q&amp;V2'!$A$9:$N$250,14,FALSE)</f>
        <v>4.1251764833236289</v>
      </c>
      <c r="F80" s="1028">
        <f>SUMIF('Data - Monthly Commodity Prices'!C131:C1031,'Petroleum - Gas Prices'!A80,'Data - Monthly Commodity Prices'!M131:M1031)</f>
        <v>6.02</v>
      </c>
    </row>
    <row r="81" spans="1:6">
      <c r="A81" s="1033">
        <f t="shared" si="20"/>
        <v>43160</v>
      </c>
      <c r="B81" s="630">
        <f>LARGE('Petroleum - Q&amp;V2'!$A$9:$A$250,8)</f>
        <v>20181</v>
      </c>
      <c r="C81" s="244" t="str">
        <f t="shared" si="21"/>
        <v>1</v>
      </c>
      <c r="D81" s="1016" t="str">
        <f t="shared" si="22"/>
        <v>2018</v>
      </c>
      <c r="E81" s="1014">
        <f>VLOOKUP('Petroleum - Gas Prices'!B81,'Petroleum - Q&amp;V2'!$A$9:$N$250,14,FALSE)</f>
        <v>4.1085924471391548</v>
      </c>
      <c r="F81" s="1031">
        <f>SUMIF('Data - Monthly Commodity Prices'!C132:C1032,'Petroleum - Gas Prices'!A81,'Data - Monthly Commodity Prices'!M132:M1032)</f>
        <v>6.19</v>
      </c>
    </row>
    <row r="82" spans="1:6">
      <c r="A82" s="1033">
        <f t="shared" si="20"/>
        <v>43252</v>
      </c>
      <c r="B82" s="630">
        <f>LARGE('Petroleum - Q&amp;V2'!$A$9:$A$250,7)</f>
        <v>20182</v>
      </c>
      <c r="C82" s="244" t="str">
        <f t="shared" si="21"/>
        <v>2</v>
      </c>
      <c r="D82" s="1016" t="str">
        <f t="shared" si="22"/>
        <v>2018</v>
      </c>
      <c r="E82" s="1030">
        <f>VLOOKUP('Petroleum - Gas Prices'!B82,'Petroleum - Q&amp;V2'!$A$9:$N$250,14,FALSE)</f>
        <v>4.1266047364363416</v>
      </c>
      <c r="F82" s="1028">
        <f>SUMIF('Data - Monthly Commodity Prices'!C133:C1033,'Petroleum - Gas Prices'!A82,'Data - Monthly Commodity Prices'!M133:M1033)</f>
        <v>6.38</v>
      </c>
    </row>
    <row r="83" spans="1:6">
      <c r="A83" s="1033">
        <f t="shared" si="20"/>
        <v>43344</v>
      </c>
      <c r="B83" s="630">
        <f>LARGE('Petroleum - Q&amp;V2'!$A$9:$A$250,6)</f>
        <v>20183</v>
      </c>
      <c r="C83" s="244" t="str">
        <f t="shared" si="21"/>
        <v>3</v>
      </c>
      <c r="D83" s="1016" t="str">
        <f t="shared" si="22"/>
        <v>2018</v>
      </c>
      <c r="E83" s="1014">
        <f>VLOOKUP('Petroleum - Gas Prices'!B83,'Petroleum - Q&amp;V2'!$A$9:$N$250,14,FALSE)</f>
        <v>4.2626040379226575</v>
      </c>
      <c r="F83" s="1031">
        <f>SUMIF('Data - Monthly Commodity Prices'!C134:C1034,'Petroleum - Gas Prices'!A83,'Data - Monthly Commodity Prices'!M134:M1034)</f>
        <v>5.9950000000000001</v>
      </c>
    </row>
    <row r="84" spans="1:6">
      <c r="A84" s="1033">
        <f t="shared" si="20"/>
        <v>43435</v>
      </c>
      <c r="B84" s="630">
        <f>LARGE('Petroleum - Q&amp;V2'!$A$9:$A$250,5)</f>
        <v>20184</v>
      </c>
      <c r="C84" s="244" t="str">
        <f t="shared" si="21"/>
        <v>4</v>
      </c>
      <c r="D84" s="1016" t="str">
        <f t="shared" si="22"/>
        <v>2018</v>
      </c>
      <c r="E84" s="1030">
        <f>VLOOKUP('Petroleum - Gas Prices'!B84,'Petroleum - Q&amp;V2'!$A$9:$N$250,14,FALSE)</f>
        <v>3.9780937334600459</v>
      </c>
      <c r="F84" s="1028">
        <f>SUMIF('Data - Monthly Commodity Prices'!C135:C1035,'Petroleum - Gas Prices'!A84,'Data - Monthly Commodity Prices'!M135:M1035)</f>
        <v>6.5449999999999999</v>
      </c>
    </row>
    <row r="85" spans="1:6">
      <c r="A85" s="1033">
        <f t="shared" si="20"/>
        <v>43525</v>
      </c>
      <c r="B85" s="630">
        <f>LARGE('Petroleum - Q&amp;V2'!$A$9:$A$250,4)</f>
        <v>20191</v>
      </c>
      <c r="C85" s="244" t="str">
        <f t="shared" si="21"/>
        <v>1</v>
      </c>
      <c r="D85" s="1016" t="str">
        <f t="shared" si="22"/>
        <v>2019</v>
      </c>
      <c r="E85" s="1014">
        <f>VLOOKUP('Petroleum - Gas Prices'!B85,'Petroleum - Q&amp;V2'!$A$9:$N$250,14,FALSE)</f>
        <v>4.0251547820688458</v>
      </c>
      <c r="F85" s="1031">
        <f>SUMIF('Data - Monthly Commodity Prices'!C136:C1036,'Petroleum - Gas Prices'!A85,'Data - Monthly Commodity Prices'!M136:M1036)</f>
        <v>7</v>
      </c>
    </row>
    <row r="86" spans="1:6">
      <c r="A86" s="1033">
        <f t="shared" si="20"/>
        <v>43617</v>
      </c>
      <c r="B86" s="630">
        <f>LARGE('Petroleum - Q&amp;V2'!$A$9:$A$250,3)</f>
        <v>20192</v>
      </c>
      <c r="C86" s="244" t="str">
        <f t="shared" si="21"/>
        <v>2</v>
      </c>
      <c r="D86" s="1016" t="str">
        <f t="shared" si="22"/>
        <v>2019</v>
      </c>
      <c r="E86" s="1030">
        <f>VLOOKUP('Petroleum - Gas Prices'!B86,'Petroleum - Q&amp;V2'!$A$9:$N$250,14,FALSE)</f>
        <v>4.0538008855784415</v>
      </c>
      <c r="F86" s="1028">
        <f>SUMIF('Data - Monthly Commodity Prices'!C137:C1037,'Petroleum - Gas Prices'!A86,'Data - Monthly Commodity Prices'!M137:M1037)</f>
        <v>7</v>
      </c>
    </row>
    <row r="87" spans="1:6">
      <c r="A87" s="1033">
        <f t="shared" si="20"/>
        <v>43709</v>
      </c>
      <c r="B87" s="630">
        <f>LARGE('Petroleum - Q&amp;V2'!$A$9:$A$250,2)</f>
        <v>20193</v>
      </c>
      <c r="C87" s="244" t="str">
        <f t="shared" si="21"/>
        <v>3</v>
      </c>
      <c r="D87" s="1016" t="str">
        <f t="shared" si="22"/>
        <v>2019</v>
      </c>
      <c r="E87" s="1014">
        <f>VLOOKUP('Petroleum - Gas Prices'!B87,'Petroleum - Q&amp;V2'!$A$9:$N$250,14,FALSE)</f>
        <v>4.1651705925324878</v>
      </c>
      <c r="F87" s="1031">
        <f>SUMIF('Data - Monthly Commodity Prices'!C138:C1038,'Petroleum - Gas Prices'!A87,'Data - Monthly Commodity Prices'!M138:M1038)</f>
        <v>7.1</v>
      </c>
    </row>
    <row r="88" spans="1:6" s="630" customFormat="1" ht="15.75" thickBot="1">
      <c r="A88" s="1033">
        <f t="shared" si="20"/>
        <v>43800</v>
      </c>
      <c r="B88" s="630">
        <f>LARGE('Petroleum - Q&amp;V2'!$A$9:$A$250,1)</f>
        <v>20194</v>
      </c>
      <c r="C88" s="276" t="str">
        <f t="shared" si="21"/>
        <v>4</v>
      </c>
      <c r="D88" s="1025" t="str">
        <f t="shared" si="22"/>
        <v>2019</v>
      </c>
      <c r="E88" s="1027">
        <f>VLOOKUP('Petroleum - Gas Prices'!B88,'Petroleum - Q&amp;V2'!$A$9:$N$250,14,FALSE)</f>
        <v>4.0966093892810571</v>
      </c>
      <c r="F88" s="1022">
        <f>SUMIF('Data - Monthly Commodity Prices'!C139:C1039,'Petroleum - Gas Prices'!A88,'Data - Monthly Commodity Prices'!M139:M1039)</f>
        <v>7</v>
      </c>
    </row>
    <row r="89" spans="1:6" s="630" customFormat="1">
      <c r="A89" s="1033"/>
      <c r="C89" s="163"/>
      <c r="D89" s="163"/>
      <c r="E89" s="163"/>
      <c r="F89" s="163"/>
    </row>
    <row r="90" spans="1:6" s="630" customFormat="1">
      <c r="A90" s="1033"/>
      <c r="C90" s="163"/>
      <c r="D90" s="163"/>
      <c r="E90" s="163"/>
      <c r="F90" s="163"/>
    </row>
  </sheetData>
  <mergeCells count="10">
    <mergeCell ref="C5:K5"/>
    <mergeCell ref="H7:H8"/>
    <mergeCell ref="I7:I8"/>
    <mergeCell ref="J7:J8"/>
    <mergeCell ref="K7:K8"/>
    <mergeCell ref="C47:E47"/>
    <mergeCell ref="F40:H40"/>
    <mergeCell ref="F41:H41"/>
    <mergeCell ref="F42:H42"/>
    <mergeCell ref="C6:K6"/>
  </mergeCells>
  <dataValidations count="1">
    <dataValidation type="list" allowBlank="1" showInputMessage="1" showErrorMessage="1" promptTitle="Select a Period:" prompt="Select Financial or Calendar years." sqref="F41:H41">
      <formula1>$AB$3:$AB$4</formula1>
    </dataValidation>
  </dataValidation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8" tint="0.39997558519241921"/>
  </sheetPr>
  <dimension ref="A1:Y67"/>
  <sheetViews>
    <sheetView workbookViewId="0"/>
  </sheetViews>
  <sheetFormatPr defaultRowHeight="15"/>
  <cols>
    <col min="1" max="1" width="9.140625" style="140"/>
    <col min="2" max="2" width="15.85546875" style="140" bestFit="1" customWidth="1"/>
    <col min="3" max="3" width="9.140625" style="140"/>
    <col min="4" max="5" width="0" style="798" hidden="1" customWidth="1"/>
    <col min="6" max="7" width="19.7109375" style="140" customWidth="1"/>
    <col min="8" max="8" width="0" style="140" hidden="1" customWidth="1"/>
    <col min="9" max="16384" width="9.140625" style="140"/>
  </cols>
  <sheetData>
    <row r="1" spans="1:25">
      <c r="Y1" s="807" t="s">
        <v>545</v>
      </c>
    </row>
    <row r="2" spans="1:25">
      <c r="Y2" s="807" t="s">
        <v>546</v>
      </c>
    </row>
    <row r="4" spans="1:25">
      <c r="F4" s="808" t="str">
        <f>IF('Data Sources'!J4=12,IF(F39="Historic Calendar Year","","Please Note: Most recent financial year is based on only the first half. Second half financial year average price data not yet available."),IF(I6="Historic Calendar Year","Please Note: Most recent calendar year is based on only the first half. Second half calendar year price data not yet available.",""))</f>
        <v/>
      </c>
    </row>
    <row r="5" spans="1:25">
      <c r="A5" s="1937" t="s">
        <v>101</v>
      </c>
      <c r="B5" s="1937"/>
      <c r="C5" s="24"/>
      <c r="D5" s="410"/>
      <c r="E5" s="410"/>
      <c r="F5" s="1937" t="s">
        <v>102</v>
      </c>
      <c r="G5" s="1937"/>
    </row>
    <row r="6" spans="1:25" ht="15.75" thickBot="1">
      <c r="A6" s="1966" t="s">
        <v>54</v>
      </c>
      <c r="B6" s="1966"/>
      <c r="C6" s="24"/>
      <c r="D6" s="410"/>
      <c r="E6" s="410"/>
      <c r="F6" s="1937" t="str">
        <f>F39</f>
        <v>Historic Calendar Year</v>
      </c>
      <c r="G6" s="1937"/>
    </row>
    <row r="7" spans="1:25" ht="15.75" thickBot="1">
      <c r="A7" s="118" t="s">
        <v>52</v>
      </c>
      <c r="B7" s="124" t="s">
        <v>103</v>
      </c>
      <c r="C7" s="24"/>
      <c r="D7" s="410"/>
      <c r="E7" s="410"/>
      <c r="F7" s="118" t="s">
        <v>49</v>
      </c>
      <c r="G7" s="124" t="s">
        <v>104</v>
      </c>
    </row>
    <row r="8" spans="1:25">
      <c r="A8" s="1891">
        <f>LARGE('Data - Monthly Commodity Prices'!C$159:C$902,60)</f>
        <v>42005</v>
      </c>
      <c r="B8" s="139">
        <f>SUMIF('Data - Monthly Commodity Prices'!C$252:C$902,A8,'Data - Monthly Commodity Prices'!N$252:N$902)</f>
        <v>50.28</v>
      </c>
      <c r="C8" s="24"/>
      <c r="D8" s="410">
        <v>1992</v>
      </c>
      <c r="E8" s="410">
        <v>1993</v>
      </c>
      <c r="F8" s="1894">
        <f>IF($F$6="Historic Calendar Year",1992,CONCATENATE(D8,"-",RIGHT(E8,2)))</f>
        <v>1992</v>
      </c>
      <c r="G8" s="30">
        <f t="array" ref="G8">IF($F$6="Historic Calendar Year",IFERROR(AVERAGE(IF($F8=YEAR('Data - Monthly Commodity Prices'!C$100:C$1000),'Data - Monthly Commodity Prices'!N$100:N$1000)),"NA"),IFERROR(IF(H8=0,"NA",H8),"NA"))</f>
        <v>20.770833333333332</v>
      </c>
      <c r="H8" s="798">
        <f>(SUMIFS('Data - Monthly Commodity Prices'!$N$9:$N$2500,'Data - Monthly Commodity Prices'!$A$9:$A$2500,'Petroleum - Oil Prices'!D8,'Data - Monthly Commodity Prices'!$B$9:$B$2500,3)+
SUMIFS('Data - Monthly Commodity Prices'!$N$9:$N$2500,'Data - Monthly Commodity Prices'!$A$9:$A$2500,'Petroleum - Oil Prices'!D8,'Data - Monthly Commodity Prices'!$B$9:$B$2500,4)+
SUMIFS('Data - Monthly Commodity Prices'!$N$9:$N$2500,'Data - Monthly Commodity Prices'!$A$9:$A$2500,'Petroleum - Oil Prices'!E8,'Data - Monthly Commodity Prices'!$B$9:$B$2500,1)+
SUMIFS('Data - Monthly Commodity Prices'!$N$9:$N$2500,'Data - Monthly Commodity Prices'!$A$9:$A$2500,'Petroleum - Oil Prices'!E8,'Data - Monthly Commodity Prices'!$B$9:$B$2500,2))
/(COUNTIFS('Data - Monthly Commodity Prices'!$A$9:$A$2500,'Petroleum - Oil Prices'!D8,'Data - Monthly Commodity Prices'!$B$9:$B$2500,3)+
COUNTIFS('Data - Monthly Commodity Prices'!$A$9:$A$2500,'Petroleum - Oil Prices'!D8,'Data - Monthly Commodity Prices'!$B$9:$B$2500,4)+
COUNTIFS('Data - Monthly Commodity Prices'!$A$9:$A$2500,'Petroleum - Oil Prices'!E8,'Data - Monthly Commodity Prices'!$B$9:$B$2500,1)+
COUNTIFS('Data - Monthly Commodity Prices'!$A$9:$A$2500,'Petroleum - Oil Prices'!E8,'Data - Monthly Commodity Prices'!$B$9:$B$2500,2))</f>
        <v>20.759166666666669</v>
      </c>
    </row>
    <row r="9" spans="1:25">
      <c r="A9" s="1892">
        <f>LARGE('Data - Monthly Commodity Prices'!C$159:C$902,59)</f>
        <v>42036</v>
      </c>
      <c r="B9" s="30">
        <f>SUMIF('Data - Monthly Commodity Prices'!C$252:C$902,A9,'Data - Monthly Commodity Prices'!N$252:N$902)</f>
        <v>59.79</v>
      </c>
      <c r="C9" s="24"/>
      <c r="D9" s="410">
        <f t="shared" ref="D9:E23" si="0">D8+1</f>
        <v>1993</v>
      </c>
      <c r="E9" s="410">
        <f t="shared" si="0"/>
        <v>1994</v>
      </c>
      <c r="F9" s="1895">
        <f t="shared" ref="F9:F36" si="1">IF($F$6="Historic Calendar Year",F8+1,CONCATENATE(D9,"-",RIGHT(E9,2)))</f>
        <v>1993</v>
      </c>
      <c r="G9" s="139">
        <f t="array" ref="G9">IF($F$6="Historic Calendar Year",IFERROR(AVERAGE(IF($F9=YEAR('Data - Monthly Commodity Prices'!C$100:C$1000),'Data - Monthly Commodity Prices'!N$100:N$1000)),"NA"),IFERROR(IF(H9=0,"NA",H9),"NA"))</f>
        <v>18.889166666666664</v>
      </c>
      <c r="H9" s="798">
        <f>(SUMIFS('Data - Monthly Commodity Prices'!$N$9:$N$2500,'Data - Monthly Commodity Prices'!$A$9:$A$2500,'Petroleum - Oil Prices'!D9,'Data - Monthly Commodity Prices'!$B$9:$B$2500,3)+
SUMIFS('Data - Monthly Commodity Prices'!$N$9:$N$2500,'Data - Monthly Commodity Prices'!$A$9:$A$2500,'Petroleum - Oil Prices'!D9,'Data - Monthly Commodity Prices'!$B$9:$B$2500,4)+
SUMIFS('Data - Monthly Commodity Prices'!$N$9:$N$2500,'Data - Monthly Commodity Prices'!$A$9:$A$2500,'Petroleum - Oil Prices'!E9,'Data - Monthly Commodity Prices'!$B$9:$B$2500,1)+
SUMIFS('Data - Monthly Commodity Prices'!$N$9:$N$2500,'Data - Monthly Commodity Prices'!$A$9:$A$2500,'Petroleum - Oil Prices'!E9,'Data - Monthly Commodity Prices'!$B$9:$B$2500,2))
/(COUNTIFS('Data - Monthly Commodity Prices'!$A$9:$A$2500,'Petroleum - Oil Prices'!D9,'Data - Monthly Commodity Prices'!$B$9:$B$2500,3)+
COUNTIFS('Data - Monthly Commodity Prices'!$A$9:$A$2500,'Petroleum - Oil Prices'!D9,'Data - Monthly Commodity Prices'!$B$9:$B$2500,4)+
COUNTIFS('Data - Monthly Commodity Prices'!$A$9:$A$2500,'Petroleum - Oil Prices'!E9,'Data - Monthly Commodity Prices'!$B$9:$B$2500,1)+
COUNTIFS('Data - Monthly Commodity Prices'!$A$9:$A$2500,'Petroleum - Oil Prices'!E9,'Data - Monthly Commodity Prices'!$B$9:$B$2500,2))</f>
        <v>17.185000000000002</v>
      </c>
    </row>
    <row r="10" spans="1:25">
      <c r="A10" s="1891">
        <f>LARGE('Data - Monthly Commodity Prices'!C$159:C$902,58)</f>
        <v>42064</v>
      </c>
      <c r="B10" s="139">
        <f>SUMIF('Data - Monthly Commodity Prices'!C$252:C$902,A10,'Data - Monthly Commodity Prices'!N$252:N$902)</f>
        <v>58.28</v>
      </c>
      <c r="C10" s="24"/>
      <c r="D10" s="410">
        <f t="shared" si="0"/>
        <v>1994</v>
      </c>
      <c r="E10" s="410">
        <f t="shared" si="0"/>
        <v>1995</v>
      </c>
      <c r="F10" s="1894">
        <f t="shared" si="1"/>
        <v>1994</v>
      </c>
      <c r="G10" s="30">
        <f t="array" ref="G10">IF($F$6="Historic Calendar Year",IFERROR(AVERAGE(IF($F10=YEAR('Data - Monthly Commodity Prices'!C$100:C$1000),'Data - Monthly Commodity Prices'!N$100:N$1000)),"NA"),IFERROR(IF(H10=0,"NA",H10),"NA"))</f>
        <v>17.168333333333333</v>
      </c>
      <c r="H10" s="798">
        <f>(SUMIFS('Data - Monthly Commodity Prices'!$N$9:$N$2500,'Data - Monthly Commodity Prices'!$A$9:$A$2500,'Petroleum - Oil Prices'!D10,'Data - Monthly Commodity Prices'!$B$9:$B$2500,3)+
SUMIFS('Data - Monthly Commodity Prices'!$N$9:$N$2500,'Data - Monthly Commodity Prices'!$A$9:$A$2500,'Petroleum - Oil Prices'!D10,'Data - Monthly Commodity Prices'!$B$9:$B$2500,4)+
SUMIFS('Data - Monthly Commodity Prices'!$N$9:$N$2500,'Data - Monthly Commodity Prices'!$A$9:$A$2500,'Petroleum - Oil Prices'!E10,'Data - Monthly Commodity Prices'!$B$9:$B$2500,1)+
SUMIFS('Data - Monthly Commodity Prices'!$N$9:$N$2500,'Data - Monthly Commodity Prices'!$A$9:$A$2500,'Petroleum - Oil Prices'!E10,'Data - Monthly Commodity Prices'!$B$9:$B$2500,2))
/(COUNTIFS('Data - Monthly Commodity Prices'!$A$9:$A$2500,'Petroleum - Oil Prices'!D10,'Data - Monthly Commodity Prices'!$B$9:$B$2500,3)+
COUNTIFS('Data - Monthly Commodity Prices'!$A$9:$A$2500,'Petroleum - Oil Prices'!D10,'Data - Monthly Commodity Prices'!$B$9:$B$2500,4)+
COUNTIFS('Data - Monthly Commodity Prices'!$A$9:$A$2500,'Petroleum - Oil Prices'!E10,'Data - Monthly Commodity Prices'!$B$9:$B$2500,1)+
COUNTIFS('Data - Monthly Commodity Prices'!$A$9:$A$2500,'Petroleum - Oil Prices'!E10,'Data - Monthly Commodity Prices'!$B$9:$B$2500,2))</f>
        <v>18.294999999999998</v>
      </c>
    </row>
    <row r="11" spans="1:25">
      <c r="A11" s="1892">
        <f>LARGE('Data - Monthly Commodity Prices'!C$159:C$902,57)</f>
        <v>42095</v>
      </c>
      <c r="B11" s="30">
        <f>SUMIF('Data - Monthly Commodity Prices'!C$252:C$902,A11,'Data - Monthly Commodity Prices'!N$252:N$902)</f>
        <v>61.74</v>
      </c>
      <c r="C11" s="24"/>
      <c r="D11" s="410">
        <f t="shared" si="0"/>
        <v>1995</v>
      </c>
      <c r="E11" s="410">
        <f t="shared" si="0"/>
        <v>1996</v>
      </c>
      <c r="F11" s="1895">
        <f t="shared" si="1"/>
        <v>1995</v>
      </c>
      <c r="G11" s="139">
        <f t="array" ref="G11">IF($F$6="Historic Calendar Year",IFERROR(AVERAGE(IF($F11=YEAR('Data - Monthly Commodity Prices'!C$100:C$1000),'Data - Monthly Commodity Prices'!N$100:N$1000)),"NA"),IFERROR(IF(H11=0,"NA",H11),"NA"))</f>
        <v>18.320833333333329</v>
      </c>
      <c r="H11" s="798">
        <f>(SUMIFS('Data - Monthly Commodity Prices'!$N$9:$N$2500,'Data - Monthly Commodity Prices'!$A$9:$A$2500,'Petroleum - Oil Prices'!D11,'Data - Monthly Commodity Prices'!$B$9:$B$2500,3)+
SUMIFS('Data - Monthly Commodity Prices'!$N$9:$N$2500,'Data - Monthly Commodity Prices'!$A$9:$A$2500,'Petroleum - Oil Prices'!D11,'Data - Monthly Commodity Prices'!$B$9:$B$2500,4)+
SUMIFS('Data - Monthly Commodity Prices'!$N$9:$N$2500,'Data - Monthly Commodity Prices'!$A$9:$A$2500,'Petroleum - Oil Prices'!E11,'Data - Monthly Commodity Prices'!$B$9:$B$2500,1)+
SUMIFS('Data - Monthly Commodity Prices'!$N$9:$N$2500,'Data - Monthly Commodity Prices'!$A$9:$A$2500,'Petroleum - Oil Prices'!E11,'Data - Monthly Commodity Prices'!$B$9:$B$2500,2))
/(COUNTIFS('Data - Monthly Commodity Prices'!$A$9:$A$2500,'Petroleum - Oil Prices'!D11,'Data - Monthly Commodity Prices'!$B$9:$B$2500,3)+
COUNTIFS('Data - Monthly Commodity Prices'!$A$9:$A$2500,'Petroleum - Oil Prices'!D11,'Data - Monthly Commodity Prices'!$B$9:$B$2500,4)+
COUNTIFS('Data - Monthly Commodity Prices'!$A$9:$A$2500,'Petroleum - Oil Prices'!E11,'Data - Monthly Commodity Prices'!$B$9:$B$2500,1)+
COUNTIFS('Data - Monthly Commodity Prices'!$A$9:$A$2500,'Petroleum - Oil Prices'!E11,'Data - Monthly Commodity Prices'!$B$9:$B$2500,2))</f>
        <v>19.191666666666666</v>
      </c>
    </row>
    <row r="12" spans="1:25">
      <c r="A12" s="1891">
        <f>LARGE('Data - Monthly Commodity Prices'!C$159:C$902,56)</f>
        <v>42125</v>
      </c>
      <c r="B12" s="139">
        <f>SUMIF('Data - Monthly Commodity Prices'!C$252:C$902,A12,'Data - Monthly Commodity Prices'!N$252:N$902)</f>
        <v>67.25</v>
      </c>
      <c r="C12" s="24"/>
      <c r="D12" s="410">
        <f t="shared" si="0"/>
        <v>1996</v>
      </c>
      <c r="E12" s="410">
        <f t="shared" si="0"/>
        <v>1997</v>
      </c>
      <c r="F12" s="1894">
        <f t="shared" si="1"/>
        <v>1996</v>
      </c>
      <c r="G12" s="30">
        <f t="array" ref="G12">IF($F$6="Historic Calendar Year",IFERROR(AVERAGE(IF($F12=YEAR('Data - Monthly Commodity Prices'!C$100:C$1000),'Data - Monthly Commodity Prices'!N$100:N$1000)),"NA"),IFERROR(IF(H12=0,"NA",H12),"NA"))</f>
        <v>21.976666666666663</v>
      </c>
      <c r="H12" s="798">
        <f>(SUMIFS('Data - Monthly Commodity Prices'!$N$9:$N$2500,'Data - Monthly Commodity Prices'!$A$9:$A$2500,'Petroleum - Oil Prices'!D12,'Data - Monthly Commodity Prices'!$B$9:$B$2500,3)+
SUMIFS('Data - Monthly Commodity Prices'!$N$9:$N$2500,'Data - Monthly Commodity Prices'!$A$9:$A$2500,'Petroleum - Oil Prices'!D12,'Data - Monthly Commodity Prices'!$B$9:$B$2500,4)+
SUMIFS('Data - Monthly Commodity Prices'!$N$9:$N$2500,'Data - Monthly Commodity Prices'!$A$9:$A$2500,'Petroleum - Oil Prices'!E12,'Data - Monthly Commodity Prices'!$B$9:$B$2500,1)+
SUMIFS('Data - Monthly Commodity Prices'!$N$9:$N$2500,'Data - Monthly Commodity Prices'!$A$9:$A$2500,'Petroleum - Oil Prices'!E12,'Data - Monthly Commodity Prices'!$B$9:$B$2500,2))
/(COUNTIFS('Data - Monthly Commodity Prices'!$A$9:$A$2500,'Petroleum - Oil Prices'!D12,'Data - Monthly Commodity Prices'!$B$9:$B$2500,3)+
COUNTIFS('Data - Monthly Commodity Prices'!$A$9:$A$2500,'Petroleum - Oil Prices'!D12,'Data - Monthly Commodity Prices'!$B$9:$B$2500,4)+
COUNTIFS('Data - Monthly Commodity Prices'!$A$9:$A$2500,'Petroleum - Oil Prices'!E12,'Data - Monthly Commodity Prices'!$B$9:$B$2500,1)+
COUNTIFS('Data - Monthly Commodity Prices'!$A$9:$A$2500,'Petroleum - Oil Prices'!E12,'Data - Monthly Commodity Prices'!$B$9:$B$2500,2))</f>
        <v>22.936666666666667</v>
      </c>
    </row>
    <row r="13" spans="1:25">
      <c r="A13" s="1892">
        <f>LARGE('Data - Monthly Commodity Prices'!C$159:C$902,55)</f>
        <v>42156</v>
      </c>
      <c r="B13" s="30">
        <f>SUMIF('Data - Monthly Commodity Prices'!C$252:C$902,A13,'Data - Monthly Commodity Prices'!N$252:N$902)</f>
        <v>64.989999999999995</v>
      </c>
      <c r="C13" s="24"/>
      <c r="D13" s="410">
        <f t="shared" si="0"/>
        <v>1997</v>
      </c>
      <c r="E13" s="410">
        <f t="shared" si="0"/>
        <v>1998</v>
      </c>
      <c r="F13" s="1895">
        <f t="shared" si="1"/>
        <v>1997</v>
      </c>
      <c r="G13" s="139">
        <f t="array" ref="G13">IF($F$6="Historic Calendar Year",IFERROR(AVERAGE(IF($F13=YEAR('Data - Monthly Commodity Prices'!C$100:C$1000),'Data - Monthly Commodity Prices'!N$100:N$1000)),"NA"),IFERROR(IF(H13=0,"NA",H13),"NA"))</f>
        <v>21.11</v>
      </c>
      <c r="H13" s="798">
        <f>(SUMIFS('Data - Monthly Commodity Prices'!$N$9:$N$2500,'Data - Monthly Commodity Prices'!$A$9:$A$2500,'Petroleum - Oil Prices'!D13,'Data - Monthly Commodity Prices'!$B$9:$B$2500,3)+
SUMIFS('Data - Monthly Commodity Prices'!$N$9:$N$2500,'Data - Monthly Commodity Prices'!$A$9:$A$2500,'Petroleum - Oil Prices'!D13,'Data - Monthly Commodity Prices'!$B$9:$B$2500,4)+
SUMIFS('Data - Monthly Commodity Prices'!$N$9:$N$2500,'Data - Monthly Commodity Prices'!$A$9:$A$2500,'Petroleum - Oil Prices'!E13,'Data - Monthly Commodity Prices'!$B$9:$B$2500,1)+
SUMIFS('Data - Monthly Commodity Prices'!$N$9:$N$2500,'Data - Monthly Commodity Prices'!$A$9:$A$2500,'Petroleum - Oil Prices'!E13,'Data - Monthly Commodity Prices'!$B$9:$B$2500,2))
/(COUNTIFS('Data - Monthly Commodity Prices'!$A$9:$A$2500,'Petroleum - Oil Prices'!D13,'Data - Monthly Commodity Prices'!$B$9:$B$2500,3)+
COUNTIFS('Data - Monthly Commodity Prices'!$A$9:$A$2500,'Petroleum - Oil Prices'!D13,'Data - Monthly Commodity Prices'!$B$9:$B$2500,4)+
COUNTIFS('Data - Monthly Commodity Prices'!$A$9:$A$2500,'Petroleum - Oil Prices'!E13,'Data - Monthly Commodity Prices'!$B$9:$B$2500,1)+
COUNTIFS('Data - Monthly Commodity Prices'!$A$9:$A$2500,'Petroleum - Oil Prices'!E13,'Data - Monthly Commodity Prices'!$B$9:$B$2500,2))</f>
        <v>17.177499999999998</v>
      </c>
    </row>
    <row r="14" spans="1:25">
      <c r="A14" s="1891">
        <f>LARGE('Data - Monthly Commodity Prices'!C$159:C$902,54)</f>
        <v>42186</v>
      </c>
      <c r="B14" s="139">
        <f>SUMIF('Data - Monthly Commodity Prices'!C$252:C$902,A14,'Data - Monthly Commodity Prices'!N$252:N$902)</f>
        <v>58.7</v>
      </c>
      <c r="C14" s="24"/>
      <c r="D14" s="410">
        <f t="shared" si="0"/>
        <v>1998</v>
      </c>
      <c r="E14" s="410">
        <f t="shared" si="0"/>
        <v>1999</v>
      </c>
      <c r="F14" s="1894">
        <f t="shared" si="1"/>
        <v>1998</v>
      </c>
      <c r="G14" s="30">
        <f t="array" ref="G14">IF($F$6="Historic Calendar Year",IFERROR(AVERAGE(IF($F14=YEAR('Data - Monthly Commodity Prices'!C$100:C$1000),'Data - Monthly Commodity Prices'!N$100:N$1000)),"NA"),IFERROR(IF(H14=0,"NA",H14),"NA"))</f>
        <v>13.869166666666667</v>
      </c>
      <c r="H14" s="798">
        <f>(SUMIFS('Data - Monthly Commodity Prices'!$N$9:$N$2500,'Data - Monthly Commodity Prices'!$A$9:$A$2500,'Petroleum - Oil Prices'!D14,'Data - Monthly Commodity Prices'!$B$9:$B$2500,3)+
SUMIFS('Data - Monthly Commodity Prices'!$N$9:$N$2500,'Data - Monthly Commodity Prices'!$A$9:$A$2500,'Petroleum - Oil Prices'!D14,'Data - Monthly Commodity Prices'!$B$9:$B$2500,4)+
SUMIFS('Data - Monthly Commodity Prices'!$N$9:$N$2500,'Data - Monthly Commodity Prices'!$A$9:$A$2500,'Petroleum - Oil Prices'!E14,'Data - Monthly Commodity Prices'!$B$9:$B$2500,1)+
SUMIFS('Data - Monthly Commodity Prices'!$N$9:$N$2500,'Data - Monthly Commodity Prices'!$A$9:$A$2500,'Petroleum - Oil Prices'!E14,'Data - Monthly Commodity Prices'!$B$9:$B$2500,2))
/(COUNTIFS('Data - Monthly Commodity Prices'!$A$9:$A$2500,'Petroleum - Oil Prices'!D14,'Data - Monthly Commodity Prices'!$B$9:$B$2500,3)+
COUNTIFS('Data - Monthly Commodity Prices'!$A$9:$A$2500,'Petroleum - Oil Prices'!D14,'Data - Monthly Commodity Prices'!$B$9:$B$2500,4)+
COUNTIFS('Data - Monthly Commodity Prices'!$A$9:$A$2500,'Petroleum - Oil Prices'!E14,'Data - Monthly Commodity Prices'!$B$9:$B$2500,1)+
COUNTIFS('Data - Monthly Commodity Prices'!$A$9:$A$2500,'Petroleum - Oil Prices'!E14,'Data - Monthly Commodity Prices'!$B$9:$B$2500,2))</f>
        <v>13.875</v>
      </c>
    </row>
    <row r="15" spans="1:25">
      <c r="A15" s="1892">
        <f>LARGE('Data - Monthly Commodity Prices'!C$159:C$902,53)</f>
        <v>42217</v>
      </c>
      <c r="B15" s="30">
        <f>SUMIF('Data - Monthly Commodity Prices'!C$252:C$902,A15,'Data - Monthly Commodity Prices'!N$252:N$902)</f>
        <v>49.23</v>
      </c>
      <c r="C15" s="24"/>
      <c r="D15" s="410">
        <f t="shared" si="0"/>
        <v>1999</v>
      </c>
      <c r="E15" s="410">
        <f t="shared" si="0"/>
        <v>2000</v>
      </c>
      <c r="F15" s="1895">
        <f t="shared" si="1"/>
        <v>1999</v>
      </c>
      <c r="G15" s="139">
        <f t="array" ref="G15">IF($F$6="Historic Calendar Year",IFERROR(AVERAGE(IF($F15=YEAR('Data - Monthly Commodity Prices'!C$100:C$1000),'Data - Monthly Commodity Prices'!N$100:N$1000)),"NA"),IFERROR(IF(H15=0,"NA",H15),"NA"))</f>
        <v>18.857499999999998</v>
      </c>
      <c r="H15" s="798">
        <f>(SUMIFS('Data - Monthly Commodity Prices'!$N$9:$N$2500,'Data - Monthly Commodity Prices'!$A$9:$A$2500,'Petroleum - Oil Prices'!D15,'Data - Monthly Commodity Prices'!$B$9:$B$2500,3)+
SUMIFS('Data - Monthly Commodity Prices'!$N$9:$N$2500,'Data - Monthly Commodity Prices'!$A$9:$A$2500,'Petroleum - Oil Prices'!D15,'Data - Monthly Commodity Prices'!$B$9:$B$2500,4)+
SUMIFS('Data - Monthly Commodity Prices'!$N$9:$N$2500,'Data - Monthly Commodity Prices'!$A$9:$A$2500,'Petroleum - Oil Prices'!E15,'Data - Monthly Commodity Prices'!$B$9:$B$2500,1)+
SUMIFS('Data - Monthly Commodity Prices'!$N$9:$N$2500,'Data - Monthly Commodity Prices'!$A$9:$A$2500,'Petroleum - Oil Prices'!E15,'Data - Monthly Commodity Prices'!$B$9:$B$2500,2))
/(COUNTIFS('Data - Monthly Commodity Prices'!$A$9:$A$2500,'Petroleum - Oil Prices'!D15,'Data - Monthly Commodity Prices'!$B$9:$B$2500,3)+
COUNTIFS('Data - Monthly Commodity Prices'!$A$9:$A$2500,'Petroleum - Oil Prices'!D15,'Data - Monthly Commodity Prices'!$B$9:$B$2500,4)+
COUNTIFS('Data - Monthly Commodity Prices'!$A$9:$A$2500,'Petroleum - Oil Prices'!E15,'Data - Monthly Commodity Prices'!$B$9:$B$2500,1)+
COUNTIFS('Data - Monthly Commodity Prices'!$A$9:$A$2500,'Petroleum - Oil Prices'!E15,'Data - Monthly Commodity Prices'!$B$9:$B$2500,2))</f>
        <v>25.590000000000003</v>
      </c>
    </row>
    <row r="16" spans="1:25">
      <c r="A16" s="1891">
        <f>LARGE('Data - Monthly Commodity Prices'!C$159:C$902,52)</f>
        <v>42248</v>
      </c>
      <c r="B16" s="139">
        <f>SUMIF('Data - Monthly Commodity Prices'!C$252:C$902,A16,'Data - Monthly Commodity Prices'!N$252:N$902)</f>
        <v>49.09</v>
      </c>
      <c r="C16" s="24"/>
      <c r="D16" s="410">
        <f t="shared" si="0"/>
        <v>2000</v>
      </c>
      <c r="E16" s="410">
        <f t="shared" si="0"/>
        <v>2001</v>
      </c>
      <c r="F16" s="1894">
        <f t="shared" si="1"/>
        <v>2000</v>
      </c>
      <c r="G16" s="30">
        <f t="array" ref="G16">IF($F$6="Historic Calendar Year",IFERROR(AVERAGE(IF($F16=YEAR('Data - Monthly Commodity Prices'!C$100:C$1000),'Data - Monthly Commodity Prices'!N$100:N$1000)),"NA"),IFERROR(IF(H16=0,"NA",H16),"NA"))</f>
        <v>29.802499999999998</v>
      </c>
      <c r="H16" s="798">
        <f>(SUMIFS('Data - Monthly Commodity Prices'!$N$9:$N$2500,'Data - Monthly Commodity Prices'!$A$9:$A$2500,'Petroleum - Oil Prices'!D16,'Data - Monthly Commodity Prices'!$B$9:$B$2500,3)+
SUMIFS('Data - Monthly Commodity Prices'!$N$9:$N$2500,'Data - Monthly Commodity Prices'!$A$9:$A$2500,'Petroleum - Oil Prices'!D16,'Data - Monthly Commodity Prices'!$B$9:$B$2500,4)+
SUMIFS('Data - Monthly Commodity Prices'!$N$9:$N$2500,'Data - Monthly Commodity Prices'!$A$9:$A$2500,'Petroleum - Oil Prices'!E16,'Data - Monthly Commodity Prices'!$B$9:$B$2500,1)+
SUMIFS('Data - Monthly Commodity Prices'!$N$9:$N$2500,'Data - Monthly Commodity Prices'!$A$9:$A$2500,'Petroleum - Oil Prices'!E16,'Data - Monthly Commodity Prices'!$B$9:$B$2500,2))
/(COUNTIFS('Data - Monthly Commodity Prices'!$A$9:$A$2500,'Petroleum - Oil Prices'!D16,'Data - Monthly Commodity Prices'!$B$9:$B$2500,3)+
COUNTIFS('Data - Monthly Commodity Prices'!$A$9:$A$2500,'Petroleum - Oil Prices'!D16,'Data - Monthly Commodity Prices'!$B$9:$B$2500,4)+
COUNTIFS('Data - Monthly Commodity Prices'!$A$9:$A$2500,'Petroleum - Oil Prices'!E16,'Data - Monthly Commodity Prices'!$B$9:$B$2500,1)+
COUNTIFS('Data - Monthly Commodity Prices'!$A$9:$A$2500,'Petroleum - Oil Prices'!E16,'Data - Monthly Commodity Prices'!$B$9:$B$2500,2))</f>
        <v>29.580833333333334</v>
      </c>
    </row>
    <row r="17" spans="1:8">
      <c r="A17" s="1892">
        <f>LARGE('Data - Monthly Commodity Prices'!C$159:C$902,51)</f>
        <v>42278</v>
      </c>
      <c r="B17" s="30">
        <f>SUMIF('Data - Monthly Commodity Prices'!C$252:C$902,A17,'Data - Monthly Commodity Prices'!N$252:N$902)</f>
        <v>49</v>
      </c>
      <c r="C17" s="24"/>
      <c r="D17" s="410">
        <f t="shared" si="0"/>
        <v>2001</v>
      </c>
      <c r="E17" s="410">
        <f t="shared" si="0"/>
        <v>2002</v>
      </c>
      <c r="F17" s="1895">
        <f t="shared" si="1"/>
        <v>2001</v>
      </c>
      <c r="G17" s="139">
        <f t="array" ref="G17">IF($F$6="Historic Calendar Year",IFERROR(AVERAGE(IF($F17=YEAR('Data - Monthly Commodity Prices'!C$100:C$1000),'Data - Monthly Commodity Prices'!N$100:N$1000)),"NA"),IFERROR(IF(H17=0,"NA",H17),"NA"))</f>
        <v>25.319166666666664</v>
      </c>
      <c r="H17" s="798">
        <f>(SUMIFS('Data - Monthly Commodity Prices'!$N$9:$N$2500,'Data - Monthly Commodity Prices'!$A$9:$A$2500,'Petroleum - Oil Prices'!D17,'Data - Monthly Commodity Prices'!$B$9:$B$2500,3)+
SUMIFS('Data - Monthly Commodity Prices'!$N$9:$N$2500,'Data - Monthly Commodity Prices'!$A$9:$A$2500,'Petroleum - Oil Prices'!D17,'Data - Monthly Commodity Prices'!$B$9:$B$2500,4)+
SUMIFS('Data - Monthly Commodity Prices'!$N$9:$N$2500,'Data - Monthly Commodity Prices'!$A$9:$A$2500,'Petroleum - Oil Prices'!E17,'Data - Monthly Commodity Prices'!$B$9:$B$2500,1)+
SUMIFS('Data - Monthly Commodity Prices'!$N$9:$N$2500,'Data - Monthly Commodity Prices'!$A$9:$A$2500,'Petroleum - Oil Prices'!E17,'Data - Monthly Commodity Prices'!$B$9:$B$2500,2))
/(COUNTIFS('Data - Monthly Commodity Prices'!$A$9:$A$2500,'Petroleum - Oil Prices'!D17,'Data - Monthly Commodity Prices'!$B$9:$B$2500,3)+
COUNTIFS('Data - Monthly Commodity Prices'!$A$9:$A$2500,'Petroleum - Oil Prices'!D17,'Data - Monthly Commodity Prices'!$B$9:$B$2500,4)+
COUNTIFS('Data - Monthly Commodity Prices'!$A$9:$A$2500,'Petroleum - Oil Prices'!E17,'Data - Monthly Commodity Prices'!$B$9:$B$2500,1)+
COUNTIFS('Data - Monthly Commodity Prices'!$A$9:$A$2500,'Petroleum - Oil Prices'!E17,'Data - Monthly Commodity Prices'!$B$9:$B$2500,2))</f>
        <v>23.283333333333331</v>
      </c>
    </row>
    <row r="18" spans="1:8">
      <c r="A18" s="1891">
        <f>LARGE('Data - Monthly Commodity Prices'!C$159:C$902,50)</f>
        <v>42309</v>
      </c>
      <c r="B18" s="139">
        <f>SUMIF('Data - Monthly Commodity Prices'!C$252:C$902,A18,'Data - Monthly Commodity Prices'!N$252:N$902)</f>
        <v>45.11</v>
      </c>
      <c r="C18" s="24"/>
      <c r="D18" s="410">
        <f t="shared" si="0"/>
        <v>2002</v>
      </c>
      <c r="E18" s="410">
        <f t="shared" si="0"/>
        <v>2003</v>
      </c>
      <c r="F18" s="1894">
        <f t="shared" si="1"/>
        <v>2002</v>
      </c>
      <c r="G18" s="30">
        <f t="array" ref="G18">IF($F$6="Historic Calendar Year",IFERROR(AVERAGE(IF($F18=YEAR('Data - Monthly Commodity Prices'!C$100:C$1000),'Data - Monthly Commodity Prices'!N$100:N$1000)),"NA"),IFERROR(IF(H18=0,"NA",H18),"NA"))</f>
        <v>25.678333333333331</v>
      </c>
      <c r="H18" s="798">
        <f>(SUMIFS('Data - Monthly Commodity Prices'!$N$9:$N$2500,'Data - Monthly Commodity Prices'!$A$9:$A$2500,'Petroleum - Oil Prices'!D18,'Data - Monthly Commodity Prices'!$B$9:$B$2500,3)+
SUMIFS('Data - Monthly Commodity Prices'!$N$9:$N$2500,'Data - Monthly Commodity Prices'!$A$9:$A$2500,'Petroleum - Oil Prices'!D18,'Data - Monthly Commodity Prices'!$B$9:$B$2500,4)+
SUMIFS('Data - Monthly Commodity Prices'!$N$9:$N$2500,'Data - Monthly Commodity Prices'!$A$9:$A$2500,'Petroleum - Oil Prices'!E18,'Data - Monthly Commodity Prices'!$B$9:$B$2500,1)+
SUMIFS('Data - Monthly Commodity Prices'!$N$9:$N$2500,'Data - Monthly Commodity Prices'!$A$9:$A$2500,'Petroleum - Oil Prices'!E18,'Data - Monthly Commodity Prices'!$B$9:$B$2500,2))
/(COUNTIFS('Data - Monthly Commodity Prices'!$A$9:$A$2500,'Petroleum - Oil Prices'!D18,'Data - Monthly Commodity Prices'!$B$9:$B$2500,3)+
COUNTIFS('Data - Monthly Commodity Prices'!$A$9:$A$2500,'Petroleum - Oil Prices'!D18,'Data - Monthly Commodity Prices'!$B$9:$B$2500,4)+
COUNTIFS('Data - Monthly Commodity Prices'!$A$9:$A$2500,'Petroleum - Oil Prices'!E18,'Data - Monthly Commodity Prices'!$B$9:$B$2500,1)+
COUNTIFS('Data - Monthly Commodity Prices'!$A$9:$A$2500,'Petroleum - Oil Prices'!E18,'Data - Monthly Commodity Prices'!$B$9:$B$2500,2))</f>
        <v>28.802499999999998</v>
      </c>
    </row>
    <row r="19" spans="1:8">
      <c r="A19" s="1892">
        <f>LARGE('Data - Monthly Commodity Prices'!C$159:C$902,49)</f>
        <v>42339</v>
      </c>
      <c r="B19" s="30">
        <f>SUMIF('Data - Monthly Commodity Prices'!C$252:C$902,A19,'Data - Monthly Commodity Prices'!N$252:N$902)</f>
        <v>38.83</v>
      </c>
      <c r="C19" s="24"/>
      <c r="D19" s="410">
        <f t="shared" si="0"/>
        <v>2003</v>
      </c>
      <c r="E19" s="410">
        <f t="shared" si="0"/>
        <v>2004</v>
      </c>
      <c r="F19" s="1895">
        <f t="shared" si="1"/>
        <v>2003</v>
      </c>
      <c r="G19" s="139">
        <f t="array" ref="G19">IF($F$6="Historic Calendar Year",IFERROR(AVERAGE(IF($F19=YEAR('Data - Monthly Commodity Prices'!C$100:C$1000),'Data - Monthly Commodity Prices'!N$100:N$1000)),"NA"),IFERROR(IF(H19=0,"NA",H19),"NA"))</f>
        <v>30.077499999999997</v>
      </c>
      <c r="H19" s="798">
        <f>(SUMIFS('Data - Monthly Commodity Prices'!$N$9:$N$2500,'Data - Monthly Commodity Prices'!$A$9:$A$2500,'Petroleum - Oil Prices'!D19,'Data - Monthly Commodity Prices'!$B$9:$B$2500,3)+
SUMIFS('Data - Monthly Commodity Prices'!$N$9:$N$2500,'Data - Monthly Commodity Prices'!$A$9:$A$2500,'Petroleum - Oil Prices'!D19,'Data - Monthly Commodity Prices'!$B$9:$B$2500,4)+
SUMIFS('Data - Monthly Commodity Prices'!$N$9:$N$2500,'Data - Monthly Commodity Prices'!$A$9:$A$2500,'Petroleum - Oil Prices'!E19,'Data - Monthly Commodity Prices'!$B$9:$B$2500,1)+
SUMIFS('Data - Monthly Commodity Prices'!$N$9:$N$2500,'Data - Monthly Commodity Prices'!$A$9:$A$2500,'Petroleum - Oil Prices'!E19,'Data - Monthly Commodity Prices'!$B$9:$B$2500,2))
/(COUNTIFS('Data - Monthly Commodity Prices'!$A$9:$A$2500,'Petroleum - Oil Prices'!D19,'Data - Monthly Commodity Prices'!$B$9:$B$2500,3)+
COUNTIFS('Data - Monthly Commodity Prices'!$A$9:$A$2500,'Petroleum - Oil Prices'!D19,'Data - Monthly Commodity Prices'!$B$9:$B$2500,4)+
COUNTIFS('Data - Monthly Commodity Prices'!$A$9:$A$2500,'Petroleum - Oil Prices'!E19,'Data - Monthly Commodity Prices'!$B$9:$B$2500,1)+
COUNTIFS('Data - Monthly Commodity Prices'!$A$9:$A$2500,'Petroleum - Oil Prices'!E19,'Data - Monthly Commodity Prices'!$B$9:$B$2500,2))</f>
        <v>33.245833333333337</v>
      </c>
    </row>
    <row r="20" spans="1:8">
      <c r="A20" s="1891">
        <f>LARGE('Data - Monthly Commodity Prices'!C$159:C$902,48)</f>
        <v>42370</v>
      </c>
      <c r="B20" s="139">
        <f>SUMIF('Data - Monthly Commodity Prices'!C$252:C$902,A20,'Data - Monthly Commodity Prices'!N$252:N$902)</f>
        <v>32.299999999999997</v>
      </c>
      <c r="C20" s="24"/>
      <c r="D20" s="410">
        <f t="shared" si="0"/>
        <v>2004</v>
      </c>
      <c r="E20" s="410">
        <f t="shared" si="0"/>
        <v>2005</v>
      </c>
      <c r="F20" s="1894">
        <f t="shared" si="1"/>
        <v>2004</v>
      </c>
      <c r="G20" s="30">
        <f t="array" ref="G20">IF($F$6="Historic Calendar Year",IFERROR(AVERAGE(IF($F20=YEAR('Data - Monthly Commodity Prices'!C$100:C$1000),'Data - Monthly Commodity Prices'!N$100:N$1000)),"NA"),IFERROR(IF(H20=0,"NA",H20),"NA"))</f>
        <v>40.995000000000005</v>
      </c>
      <c r="H20" s="798">
        <f>(SUMIFS('Data - Monthly Commodity Prices'!$N$9:$N$2500,'Data - Monthly Commodity Prices'!$A$9:$A$2500,'Petroleum - Oil Prices'!D20,'Data - Monthly Commodity Prices'!$B$9:$B$2500,3)+
SUMIFS('Data - Monthly Commodity Prices'!$N$9:$N$2500,'Data - Monthly Commodity Prices'!$A$9:$A$2500,'Petroleum - Oil Prices'!D20,'Data - Monthly Commodity Prices'!$B$9:$B$2500,4)+
SUMIFS('Data - Monthly Commodity Prices'!$N$9:$N$2500,'Data - Monthly Commodity Prices'!$A$9:$A$2500,'Petroleum - Oil Prices'!E20,'Data - Monthly Commodity Prices'!$B$9:$B$2500,1)+
SUMIFS('Data - Monthly Commodity Prices'!$N$9:$N$2500,'Data - Monthly Commodity Prices'!$A$9:$A$2500,'Petroleum - Oil Prices'!E20,'Data - Monthly Commodity Prices'!$B$9:$B$2500,2))
/(COUNTIFS('Data - Monthly Commodity Prices'!$A$9:$A$2500,'Petroleum - Oil Prices'!D20,'Data - Monthly Commodity Prices'!$B$9:$B$2500,3)+
COUNTIFS('Data - Monthly Commodity Prices'!$A$9:$A$2500,'Petroleum - Oil Prices'!D20,'Data - Monthly Commodity Prices'!$B$9:$B$2500,4)+
COUNTIFS('Data - Monthly Commodity Prices'!$A$9:$A$2500,'Petroleum - Oil Prices'!E20,'Data - Monthly Commodity Prices'!$B$9:$B$2500,1)+
COUNTIFS('Data - Monthly Commodity Prices'!$A$9:$A$2500,'Petroleum - Oil Prices'!E20,'Data - Monthly Commodity Prices'!$B$9:$B$2500,2))</f>
        <v>49.409166666666671</v>
      </c>
    </row>
    <row r="21" spans="1:8">
      <c r="A21" s="1892">
        <f>LARGE('Data - Monthly Commodity Prices'!C$159:C$902,47)</f>
        <v>42401</v>
      </c>
      <c r="B21" s="30">
        <f>SUMIF('Data - Monthly Commodity Prices'!C$252:C$902,A21,'Data - Monthly Commodity Prices'!N$252:N$902)</f>
        <v>35.08</v>
      </c>
      <c r="C21" s="24"/>
      <c r="D21" s="410">
        <f t="shared" si="0"/>
        <v>2005</v>
      </c>
      <c r="E21" s="410">
        <f t="shared" si="0"/>
        <v>2006</v>
      </c>
      <c r="F21" s="1895">
        <f t="shared" si="1"/>
        <v>2005</v>
      </c>
      <c r="G21" s="139">
        <f t="array" ref="G21">IF($F$6="Historic Calendar Year",IFERROR(AVERAGE(IF($F21=YEAR('Data - Monthly Commodity Prices'!C$100:C$1000),'Data - Monthly Commodity Prices'!N$100:N$1000)),"NA"),IFERROR(IF(H21=0,"NA",H21),"NA"))</f>
        <v>57.789166666666667</v>
      </c>
      <c r="H21" s="798">
        <f>(SUMIFS('Data - Monthly Commodity Prices'!$N$9:$N$2500,'Data - Monthly Commodity Prices'!$A$9:$A$2500,'Petroleum - Oil Prices'!D21,'Data - Monthly Commodity Prices'!$B$9:$B$2500,3)+
SUMIFS('Data - Monthly Commodity Prices'!$N$9:$N$2500,'Data - Monthly Commodity Prices'!$A$9:$A$2500,'Petroleum - Oil Prices'!D21,'Data - Monthly Commodity Prices'!$B$9:$B$2500,4)+
SUMIFS('Data - Monthly Commodity Prices'!$N$9:$N$2500,'Data - Monthly Commodity Prices'!$A$9:$A$2500,'Petroleum - Oil Prices'!E21,'Data - Monthly Commodity Prices'!$B$9:$B$2500,1)+
SUMIFS('Data - Monthly Commodity Prices'!$N$9:$N$2500,'Data - Monthly Commodity Prices'!$A$9:$A$2500,'Petroleum - Oil Prices'!E21,'Data - Monthly Commodity Prices'!$B$9:$B$2500,2))
/(COUNTIFS('Data - Monthly Commodity Prices'!$A$9:$A$2500,'Petroleum - Oil Prices'!D21,'Data - Monthly Commodity Prices'!$B$9:$B$2500,3)+
COUNTIFS('Data - Monthly Commodity Prices'!$A$9:$A$2500,'Petroleum - Oil Prices'!D21,'Data - Monthly Commodity Prices'!$B$9:$B$2500,4)+
COUNTIFS('Data - Monthly Commodity Prices'!$A$9:$A$2500,'Petroleum - Oil Prices'!E21,'Data - Monthly Commodity Prices'!$B$9:$B$2500,1)+
COUNTIFS('Data - Monthly Commodity Prices'!$A$9:$A$2500,'Petroleum - Oil Prices'!E21,'Data - Monthly Commodity Prices'!$B$9:$B$2500,2))</f>
        <v>66.512500000000003</v>
      </c>
    </row>
    <row r="22" spans="1:8">
      <c r="A22" s="1891">
        <f>LARGE('Data - Monthly Commodity Prices'!C$159:C$902,46)</f>
        <v>42430</v>
      </c>
      <c r="B22" s="139">
        <f>SUMIF('Data - Monthly Commodity Prices'!C$252:C$902,A22,'Data - Monthly Commodity Prices'!N$252:N$902)</f>
        <v>40.99</v>
      </c>
      <c r="C22" s="24"/>
      <c r="D22" s="410">
        <f t="shared" si="0"/>
        <v>2006</v>
      </c>
      <c r="E22" s="410">
        <f t="shared" si="0"/>
        <v>2007</v>
      </c>
      <c r="F22" s="1894">
        <f t="shared" si="1"/>
        <v>2006</v>
      </c>
      <c r="G22" s="30">
        <f t="array" ref="G22">IF($F$6="Historic Calendar Year",IFERROR(AVERAGE(IF($F22=YEAR('Data - Monthly Commodity Prices'!C$100:C$1000),'Data - Monthly Commodity Prices'!N$100:N$1000)),"NA"),IFERROR(IF(H22=0,"NA",H22),"NA"))</f>
        <v>69.603333333333339</v>
      </c>
      <c r="H22" s="798">
        <f>(SUMIFS('Data - Monthly Commodity Prices'!$N$9:$N$2500,'Data - Monthly Commodity Prices'!$A$9:$A$2500,'Petroleum - Oil Prices'!D22,'Data - Monthly Commodity Prices'!$B$9:$B$2500,3)+
SUMIFS('Data - Monthly Commodity Prices'!$N$9:$N$2500,'Data - Monthly Commodity Prices'!$A$9:$A$2500,'Petroleum - Oil Prices'!D22,'Data - Monthly Commodity Prices'!$B$9:$B$2500,4)+
SUMIFS('Data - Monthly Commodity Prices'!$N$9:$N$2500,'Data - Monthly Commodity Prices'!$A$9:$A$2500,'Petroleum - Oil Prices'!E22,'Data - Monthly Commodity Prices'!$B$9:$B$2500,1)+
SUMIFS('Data - Monthly Commodity Prices'!$N$9:$N$2500,'Data - Monthly Commodity Prices'!$A$9:$A$2500,'Petroleum - Oil Prices'!E22,'Data - Monthly Commodity Prices'!$B$9:$B$2500,2))
/(COUNTIFS('Data - Monthly Commodity Prices'!$A$9:$A$2500,'Petroleum - Oil Prices'!D22,'Data - Monthly Commodity Prices'!$B$9:$B$2500,3)+
COUNTIFS('Data - Monthly Commodity Prices'!$A$9:$A$2500,'Petroleum - Oil Prices'!D22,'Data - Monthly Commodity Prices'!$B$9:$B$2500,4)+
COUNTIFS('Data - Monthly Commodity Prices'!$A$9:$A$2500,'Petroleum - Oil Prices'!E22,'Data - Monthly Commodity Prices'!$B$9:$B$2500,1)+
COUNTIFS('Data - Monthly Commodity Prices'!$A$9:$A$2500,'Petroleum - Oil Prices'!E22,'Data - Monthly Commodity Prices'!$B$9:$B$2500,2))</f>
        <v>69.087500000000006</v>
      </c>
    </row>
    <row r="23" spans="1:8">
      <c r="A23" s="1892">
        <f>LARGE('Data - Monthly Commodity Prices'!C$159:C$902,45)</f>
        <v>42461</v>
      </c>
      <c r="B23" s="30">
        <f>SUMIF('Data - Monthly Commodity Prices'!C$252:C$902,A23,'Data - Monthly Commodity Prices'!N$252:N$902)</f>
        <v>43.73</v>
      </c>
      <c r="C23" s="24"/>
      <c r="D23" s="410">
        <f t="shared" si="0"/>
        <v>2007</v>
      </c>
      <c r="E23" s="410">
        <f t="shared" si="0"/>
        <v>2008</v>
      </c>
      <c r="F23" s="1895">
        <f t="shared" si="1"/>
        <v>2007</v>
      </c>
      <c r="G23" s="139">
        <f t="array" ref="G23">IF($F$6="Historic Calendar Year",IFERROR(AVERAGE(IF($F23=YEAR('Data - Monthly Commodity Prices'!C$100:C$1000),'Data - Monthly Commodity Prices'!N$100:N$1000)),"NA"),IFERROR(IF(H23=0,"NA",H23),"NA"))</f>
        <v>78.184999999999988</v>
      </c>
      <c r="H23" s="798">
        <f>(SUMIFS('Data - Monthly Commodity Prices'!$N$9:$N$2500,'Data - Monthly Commodity Prices'!$A$9:$A$2500,'Petroleum - Oil Prices'!D23,'Data - Monthly Commodity Prices'!$B$9:$B$2500,3)+
SUMIFS('Data - Monthly Commodity Prices'!$N$9:$N$2500,'Data - Monthly Commodity Prices'!$A$9:$A$2500,'Petroleum - Oil Prices'!D23,'Data - Monthly Commodity Prices'!$B$9:$B$2500,4)+
SUMIFS('Data - Monthly Commodity Prices'!$N$9:$N$2500,'Data - Monthly Commodity Prices'!$A$9:$A$2500,'Petroleum - Oil Prices'!E23,'Data - Monthly Commodity Prices'!$B$9:$B$2500,1)+
SUMIFS('Data - Monthly Commodity Prices'!$N$9:$N$2500,'Data - Monthly Commodity Prices'!$A$9:$A$2500,'Petroleum - Oil Prices'!E23,'Data - Monthly Commodity Prices'!$B$9:$B$2500,2))
/(COUNTIFS('Data - Monthly Commodity Prices'!$A$9:$A$2500,'Petroleum - Oil Prices'!D23,'Data - Monthly Commodity Prices'!$B$9:$B$2500,3)+
COUNTIFS('Data - Monthly Commodity Prices'!$A$9:$A$2500,'Petroleum - Oil Prices'!D23,'Data - Monthly Commodity Prices'!$B$9:$B$2500,4)+
COUNTIFS('Data - Monthly Commodity Prices'!$A$9:$A$2500,'Petroleum - Oil Prices'!E23,'Data - Monthly Commodity Prices'!$B$9:$B$2500,1)+
COUNTIFS('Data - Monthly Commodity Prices'!$A$9:$A$2500,'Petroleum - Oil Prices'!E23,'Data - Monthly Commodity Prices'!$B$9:$B$2500,2))</f>
        <v>101.46083333333335</v>
      </c>
    </row>
    <row r="24" spans="1:8">
      <c r="A24" s="1891">
        <f>LARGE('Data - Monthly Commodity Prices'!C$159:C$902,44)</f>
        <v>42491</v>
      </c>
      <c r="B24" s="139">
        <f>SUMIF('Data - Monthly Commodity Prices'!C$252:C$902,A24,'Data - Monthly Commodity Prices'!N$252:N$902)</f>
        <v>48.53</v>
      </c>
      <c r="C24" s="24"/>
      <c r="D24" s="410">
        <f t="shared" ref="D24:E36" si="2">D23+1</f>
        <v>2008</v>
      </c>
      <c r="E24" s="410">
        <f t="shared" si="2"/>
        <v>2009</v>
      </c>
      <c r="F24" s="1894">
        <f t="shared" si="1"/>
        <v>2008</v>
      </c>
      <c r="G24" s="30">
        <f t="array" ref="G24">IF($F$6="Historic Calendar Year",IFERROR(AVERAGE(IF($F24=YEAR('Data - Monthly Commodity Prices'!C$100:C$1000),'Data - Monthly Commodity Prices'!N$100:N$1000)),"NA"),IFERROR(IF(H24=0,"NA",H24),"NA"))</f>
        <v>103.00583333333334</v>
      </c>
      <c r="H24" s="798">
        <f>(SUMIFS('Data - Monthly Commodity Prices'!$N$9:$N$2500,'Data - Monthly Commodity Prices'!$A$9:$A$2500,'Petroleum - Oil Prices'!D24,'Data - Monthly Commodity Prices'!$B$9:$B$2500,3)+
SUMIFS('Data - Monthly Commodity Prices'!$N$9:$N$2500,'Data - Monthly Commodity Prices'!$A$9:$A$2500,'Petroleum - Oil Prices'!D24,'Data - Monthly Commodity Prices'!$B$9:$B$2500,4)+
SUMIFS('Data - Monthly Commodity Prices'!$N$9:$N$2500,'Data - Monthly Commodity Prices'!$A$9:$A$2500,'Petroleum - Oil Prices'!E24,'Data - Monthly Commodity Prices'!$B$9:$B$2500,1)+
SUMIFS('Data - Monthly Commodity Prices'!$N$9:$N$2500,'Data - Monthly Commodity Prices'!$A$9:$A$2500,'Petroleum - Oil Prices'!E24,'Data - Monthly Commodity Prices'!$B$9:$B$2500,2))
/(COUNTIFS('Data - Monthly Commodity Prices'!$A$9:$A$2500,'Petroleum - Oil Prices'!D24,'Data - Monthly Commodity Prices'!$B$9:$B$2500,3)+
COUNTIFS('Data - Monthly Commodity Prices'!$A$9:$A$2500,'Petroleum - Oil Prices'!D24,'Data - Monthly Commodity Prices'!$B$9:$B$2500,4)+
COUNTIFS('Data - Monthly Commodity Prices'!$A$9:$A$2500,'Petroleum - Oil Prices'!E24,'Data - Monthly Commodity Prices'!$B$9:$B$2500,1)+
COUNTIFS('Data - Monthly Commodity Prices'!$A$9:$A$2500,'Petroleum - Oil Prices'!E24,'Data - Monthly Commodity Prices'!$B$9:$B$2500,2))</f>
        <v>72.328333333333333</v>
      </c>
    </row>
    <row r="25" spans="1:8">
      <c r="A25" s="1892">
        <f>LARGE('Data - Monthly Commodity Prices'!C$159:C$902,43)</f>
        <v>42522</v>
      </c>
      <c r="B25" s="30">
        <f>SUMIF('Data - Monthly Commodity Prices'!C$252:C$902,A25,'Data - Monthly Commodity Prices'!N$252:N$902)</f>
        <v>49.98</v>
      </c>
      <c r="C25" s="24"/>
      <c r="D25" s="410">
        <f t="shared" si="2"/>
        <v>2009</v>
      </c>
      <c r="E25" s="410">
        <f t="shared" si="2"/>
        <v>2010</v>
      </c>
      <c r="F25" s="1895">
        <f t="shared" si="1"/>
        <v>2009</v>
      </c>
      <c r="G25" s="139">
        <f t="array" ref="G25">IF($F$6="Historic Calendar Year",IFERROR(AVERAGE(IF($F25=YEAR('Data - Monthly Commodity Prices'!C$100:C$1000),'Data - Monthly Commodity Prices'!N$100:N$1000)),"NA"),IFERROR(IF(H25=0,"NA",H25),"NA"))</f>
        <v>65.173333333333332</v>
      </c>
      <c r="H25" s="798">
        <f>(SUMIFS('Data - Monthly Commodity Prices'!$N$9:$N$2500,'Data - Monthly Commodity Prices'!$A$9:$A$2500,'Petroleum - Oil Prices'!D25,'Data - Monthly Commodity Prices'!$B$9:$B$2500,3)+
SUMIFS('Data - Monthly Commodity Prices'!$N$9:$N$2500,'Data - Monthly Commodity Prices'!$A$9:$A$2500,'Petroleum - Oil Prices'!D25,'Data - Monthly Commodity Prices'!$B$9:$B$2500,4)+
SUMIFS('Data - Monthly Commodity Prices'!$N$9:$N$2500,'Data - Monthly Commodity Prices'!$A$9:$A$2500,'Petroleum - Oil Prices'!E25,'Data - Monthly Commodity Prices'!$B$9:$B$2500,1)+
SUMIFS('Data - Monthly Commodity Prices'!$N$9:$N$2500,'Data - Monthly Commodity Prices'!$A$9:$A$2500,'Petroleum - Oil Prices'!E25,'Data - Monthly Commodity Prices'!$B$9:$B$2500,2))
/(COUNTIFS('Data - Monthly Commodity Prices'!$A$9:$A$2500,'Petroleum - Oil Prices'!D25,'Data - Monthly Commodity Prices'!$B$9:$B$2500,3)+
COUNTIFS('Data - Monthly Commodity Prices'!$A$9:$A$2500,'Petroleum - Oil Prices'!D25,'Data - Monthly Commodity Prices'!$B$9:$B$2500,4)+
COUNTIFS('Data - Monthly Commodity Prices'!$A$9:$A$2500,'Petroleum - Oil Prices'!E25,'Data - Monthly Commodity Prices'!$B$9:$B$2500,1)+
COUNTIFS('Data - Monthly Commodity Prices'!$A$9:$A$2500,'Petroleum - Oil Prices'!E25,'Data - Monthly Commodity Prices'!$B$9:$B$2500,2))</f>
        <v>78.571666666666673</v>
      </c>
    </row>
    <row r="26" spans="1:8">
      <c r="A26" s="1891">
        <f>LARGE('Data - Monthly Commodity Prices'!C$159:C$902,42)</f>
        <v>42552</v>
      </c>
      <c r="B26" s="139">
        <f>SUMIF('Data - Monthly Commodity Prices'!C$252:C$902,A26,'Data - Monthly Commodity Prices'!N$252:N$902)</f>
        <v>45.84</v>
      </c>
      <c r="C26" s="24"/>
      <c r="D26" s="410">
        <f t="shared" si="2"/>
        <v>2010</v>
      </c>
      <c r="E26" s="410">
        <f t="shared" si="2"/>
        <v>2011</v>
      </c>
      <c r="F26" s="1894">
        <f t="shared" si="1"/>
        <v>2010</v>
      </c>
      <c r="G26" s="30">
        <f t="array" ref="G26">IF($F$6="Historic Calendar Year",IFERROR(AVERAGE(IF($F26=YEAR('Data - Monthly Commodity Prices'!C$100:C$1000),'Data - Monthly Commodity Prices'!N$100:N$1000)),"NA"),IFERROR(IF(H26=0,"NA",H26),"NA"))</f>
        <v>84.006666666666675</v>
      </c>
      <c r="H26" s="798">
        <f>(SUMIFS('Data - Monthly Commodity Prices'!$N$9:$N$2500,'Data - Monthly Commodity Prices'!$A$9:$A$2500,'Petroleum - Oil Prices'!D26,'Data - Monthly Commodity Prices'!$B$9:$B$2500,3)+
SUMIFS('Data - Monthly Commodity Prices'!$N$9:$N$2500,'Data - Monthly Commodity Prices'!$A$9:$A$2500,'Petroleum - Oil Prices'!D26,'Data - Monthly Commodity Prices'!$B$9:$B$2500,4)+
SUMIFS('Data - Monthly Commodity Prices'!$N$9:$N$2500,'Data - Monthly Commodity Prices'!$A$9:$A$2500,'Petroleum - Oil Prices'!E26,'Data - Monthly Commodity Prices'!$B$9:$B$2500,1)+
SUMIFS('Data - Monthly Commodity Prices'!$N$9:$N$2500,'Data - Monthly Commodity Prices'!$A$9:$A$2500,'Petroleum - Oil Prices'!E26,'Data - Monthly Commodity Prices'!$B$9:$B$2500,2))
/(COUNTIFS('Data - Monthly Commodity Prices'!$A$9:$A$2500,'Petroleum - Oil Prices'!D26,'Data - Monthly Commodity Prices'!$B$9:$B$2500,3)+
COUNTIFS('Data - Monthly Commodity Prices'!$A$9:$A$2500,'Petroleum - Oil Prices'!D26,'Data - Monthly Commodity Prices'!$B$9:$B$2500,4)+
COUNTIFS('Data - Monthly Commodity Prices'!$A$9:$A$2500,'Petroleum - Oil Prices'!E26,'Data - Monthly Commodity Prices'!$B$9:$B$2500,1)+
COUNTIFS('Data - Monthly Commodity Prices'!$A$9:$A$2500,'Petroleum - Oil Prices'!E26,'Data - Monthly Commodity Prices'!$B$9:$B$2500,2))</f>
        <v>101.2975</v>
      </c>
    </row>
    <row r="27" spans="1:8">
      <c r="A27" s="1892">
        <f>LARGE('Data - Monthly Commodity Prices'!C$159:C$902,41)</f>
        <v>42583</v>
      </c>
      <c r="B27" s="30">
        <f>SUMIF('Data - Monthly Commodity Prices'!C$252:C$902,A27,'Data - Monthly Commodity Prices'!N$252:N$902)</f>
        <v>46.4</v>
      </c>
      <c r="C27" s="24"/>
      <c r="D27" s="410">
        <f t="shared" si="2"/>
        <v>2011</v>
      </c>
      <c r="E27" s="410">
        <f t="shared" si="2"/>
        <v>2012</v>
      </c>
      <c r="F27" s="1895">
        <f t="shared" si="1"/>
        <v>2011</v>
      </c>
      <c r="G27" s="139">
        <f t="array" ref="G27">IF($F$6="Historic Calendar Year",IFERROR(AVERAGE(IF($F27=YEAR('Data - Monthly Commodity Prices'!C$100:C$1000),'Data - Monthly Commodity Prices'!N$100:N$1000)),"NA"),IFERROR(IF(H27=0,"NA",H27),"NA"))</f>
        <v>117.91666666666667</v>
      </c>
      <c r="H27" s="798">
        <f>(SUMIFS('Data - Monthly Commodity Prices'!$N$9:$N$2500,'Data - Monthly Commodity Prices'!$A$9:$A$2500,'Petroleum - Oil Prices'!D27,'Data - Monthly Commodity Prices'!$B$9:$B$2500,3)+
SUMIFS('Data - Monthly Commodity Prices'!$N$9:$N$2500,'Data - Monthly Commodity Prices'!$A$9:$A$2500,'Petroleum - Oil Prices'!D27,'Data - Monthly Commodity Prices'!$B$9:$B$2500,4)+
SUMIFS('Data - Monthly Commodity Prices'!$N$9:$N$2500,'Data - Monthly Commodity Prices'!$A$9:$A$2500,'Petroleum - Oil Prices'!E27,'Data - Monthly Commodity Prices'!$B$9:$B$2500,1)+
SUMIFS('Data - Monthly Commodity Prices'!$N$9:$N$2500,'Data - Monthly Commodity Prices'!$A$9:$A$2500,'Petroleum - Oil Prices'!E27,'Data - Monthly Commodity Prices'!$B$9:$B$2500,2))
/(COUNTIFS('Data - Monthly Commodity Prices'!$A$9:$A$2500,'Petroleum - Oil Prices'!D27,'Data - Monthly Commodity Prices'!$B$9:$B$2500,3)+
COUNTIFS('Data - Monthly Commodity Prices'!$A$9:$A$2500,'Petroleum - Oil Prices'!D27,'Data - Monthly Commodity Prices'!$B$9:$B$2500,4)+
COUNTIFS('Data - Monthly Commodity Prices'!$A$9:$A$2500,'Petroleum - Oil Prices'!E27,'Data - Monthly Commodity Prices'!$B$9:$B$2500,1)+
COUNTIFS('Data - Monthly Commodity Prices'!$A$9:$A$2500,'Petroleum - Oil Prices'!E27,'Data - Monthly Commodity Prices'!$B$9:$B$2500,2))</f>
        <v>120.74833333333333</v>
      </c>
    </row>
    <row r="28" spans="1:8">
      <c r="A28" s="1891">
        <f>LARGE('Data - Monthly Commodity Prices'!C$159:C$902,40)</f>
        <v>42614</v>
      </c>
      <c r="B28" s="139">
        <f>SUMIF('Data - Monthly Commodity Prices'!C$252:C$902,A28,'Data - Monthly Commodity Prices'!N$252:N$902)</f>
        <v>46.87</v>
      </c>
      <c r="C28" s="24"/>
      <c r="D28" s="410">
        <f t="shared" si="2"/>
        <v>2012</v>
      </c>
      <c r="E28" s="410">
        <f t="shared" si="2"/>
        <v>2013</v>
      </c>
      <c r="F28" s="1894">
        <f t="shared" si="1"/>
        <v>2012</v>
      </c>
      <c r="G28" s="30">
        <f t="array" ref="G28">IF($F$6="Historic Calendar Year",IFERROR(AVERAGE(IF($F28=YEAR('Data - Monthly Commodity Prices'!C$100:C$1000),'Data - Monthly Commodity Prices'!N$100:N$1000)),"NA"),IFERROR(IF(H28=0,"NA",H28),"NA"))</f>
        <v>118.13499999999999</v>
      </c>
      <c r="H28" s="798">
        <f>(SUMIFS('Data - Monthly Commodity Prices'!$N$9:$N$2500,'Data - Monthly Commodity Prices'!$A$9:$A$2500,'Petroleum - Oil Prices'!D28,'Data - Monthly Commodity Prices'!$B$9:$B$2500,3)+
SUMIFS('Data - Monthly Commodity Prices'!$N$9:$N$2500,'Data - Monthly Commodity Prices'!$A$9:$A$2500,'Petroleum - Oil Prices'!D28,'Data - Monthly Commodity Prices'!$B$9:$B$2500,4)+
SUMIFS('Data - Monthly Commodity Prices'!$N$9:$N$2500,'Data - Monthly Commodity Prices'!$A$9:$A$2500,'Petroleum - Oil Prices'!E28,'Data - Monthly Commodity Prices'!$B$9:$B$2500,1)+
SUMIFS('Data - Monthly Commodity Prices'!$N$9:$N$2500,'Data - Monthly Commodity Prices'!$A$9:$A$2500,'Petroleum - Oil Prices'!E28,'Data - Monthly Commodity Prices'!$B$9:$B$2500,2))
/(COUNTIFS('Data - Monthly Commodity Prices'!$A$9:$A$2500,'Petroleum - Oil Prices'!D28,'Data - Monthly Commodity Prices'!$B$9:$B$2500,3)+
COUNTIFS('Data - Monthly Commodity Prices'!$A$9:$A$2500,'Petroleum - Oil Prices'!D28,'Data - Monthly Commodity Prices'!$B$9:$B$2500,4)+
COUNTIFS('Data - Monthly Commodity Prices'!$A$9:$A$2500,'Petroleum - Oil Prices'!E28,'Data - Monthly Commodity Prices'!$B$9:$B$2500,1)+
COUNTIFS('Data - Monthly Commodity Prices'!$A$9:$A$2500,'Petroleum - Oil Prices'!E28,'Data - Monthly Commodity Prices'!$B$9:$B$2500,2))</f>
        <v>114.19500000000001</v>
      </c>
    </row>
    <row r="29" spans="1:8">
      <c r="A29" s="1892">
        <f>LARGE('Data - Monthly Commodity Prices'!C$159:C$902,39)</f>
        <v>42644</v>
      </c>
      <c r="B29" s="30">
        <f>SUMIF('Data - Monthly Commodity Prices'!C$252:C$902,A29,'Data - Monthly Commodity Prices'!N$252:N$902)</f>
        <v>51.24</v>
      </c>
      <c r="C29" s="24"/>
      <c r="D29" s="410">
        <f t="shared" si="2"/>
        <v>2013</v>
      </c>
      <c r="E29" s="410">
        <f t="shared" si="2"/>
        <v>2014</v>
      </c>
      <c r="F29" s="1895">
        <f t="shared" si="1"/>
        <v>2013</v>
      </c>
      <c r="G29" s="139">
        <f t="array" ref="G29">IF($F$6="Historic Calendar Year",IFERROR(AVERAGE(IF($F29=YEAR('Data - Monthly Commodity Prices'!C$100:C$1000),'Data - Monthly Commodity Prices'!N$100:N$1000)),"NA"),IFERROR(IF(H29=0,"NA",H29),"NA"))</f>
        <v>115.15666666666665</v>
      </c>
      <c r="H29" s="798">
        <f>(SUMIFS('Data - Monthly Commodity Prices'!$N$9:$N$2500,'Data - Monthly Commodity Prices'!$A$9:$A$2500,'Petroleum - Oil Prices'!D29,'Data - Monthly Commodity Prices'!$B$9:$B$2500,3)+
SUMIFS('Data - Monthly Commodity Prices'!$N$9:$N$2500,'Data - Monthly Commodity Prices'!$A$9:$A$2500,'Petroleum - Oil Prices'!D29,'Data - Monthly Commodity Prices'!$B$9:$B$2500,4)+
SUMIFS('Data - Monthly Commodity Prices'!$N$9:$N$2500,'Data - Monthly Commodity Prices'!$A$9:$A$2500,'Petroleum - Oil Prices'!E29,'Data - Monthly Commodity Prices'!$B$9:$B$2500,1)+
SUMIFS('Data - Monthly Commodity Prices'!$N$9:$N$2500,'Data - Monthly Commodity Prices'!$A$9:$A$2500,'Petroleum - Oil Prices'!E29,'Data - Monthly Commodity Prices'!$B$9:$B$2500,2))
/(COUNTIFS('Data - Monthly Commodity Prices'!$A$9:$A$2500,'Petroleum - Oil Prices'!D29,'Data - Monthly Commodity Prices'!$B$9:$B$2500,3)+
COUNTIFS('Data - Monthly Commodity Prices'!$A$9:$A$2500,'Petroleum - Oil Prices'!D29,'Data - Monthly Commodity Prices'!$B$9:$B$2500,4)+
COUNTIFS('Data - Monthly Commodity Prices'!$A$9:$A$2500,'Petroleum - Oil Prices'!E29,'Data - Monthly Commodity Prices'!$B$9:$B$2500,1)+
COUNTIFS('Data - Monthly Commodity Prices'!$A$9:$A$2500,'Petroleum - Oil Prices'!E29,'Data - Monthly Commodity Prices'!$B$9:$B$2500,2))</f>
        <v>115.62166666666667</v>
      </c>
    </row>
    <row r="30" spans="1:8">
      <c r="A30" s="1891">
        <f>LARGE('Data - Monthly Commodity Prices'!C$159:C$902,38)</f>
        <v>42675</v>
      </c>
      <c r="B30" s="139">
        <f>SUMIF('Data - Monthly Commodity Prices'!C$252:C$902,A30,'Data - Monthly Commodity Prices'!N$252:N$902)</f>
        <v>48.22</v>
      </c>
      <c r="C30" s="24"/>
      <c r="D30" s="410">
        <f t="shared" si="2"/>
        <v>2014</v>
      </c>
      <c r="E30" s="410">
        <f t="shared" si="2"/>
        <v>2015</v>
      </c>
      <c r="F30" s="1894">
        <f t="shared" si="1"/>
        <v>2014</v>
      </c>
      <c r="G30" s="30">
        <f t="array" ref="G30">IF($F$6="Historic Calendar Year",IFERROR(AVERAGE(IF($F30=YEAR('Data - Monthly Commodity Prices'!C$100:C$1000),'Data - Monthly Commodity Prices'!N$100:N$1000)),"NA"),IFERROR(IF(H30=0,"NA",H30),"NA"))</f>
        <v>103.81749999999998</v>
      </c>
      <c r="H30" s="798">
        <f>(SUMIFS('Data - Monthly Commodity Prices'!$N$9:$N$2500,'Data - Monthly Commodity Prices'!$A$9:$A$2500,'Petroleum - Oil Prices'!D30,'Data - Monthly Commodity Prices'!$B$9:$B$2500,3)+
SUMIFS('Data - Monthly Commodity Prices'!$N$9:$N$2500,'Data - Monthly Commodity Prices'!$A$9:$A$2500,'Petroleum - Oil Prices'!D30,'Data - Monthly Commodity Prices'!$B$9:$B$2500,4)+
SUMIFS('Data - Monthly Commodity Prices'!$N$9:$N$2500,'Data - Monthly Commodity Prices'!$A$9:$A$2500,'Petroleum - Oil Prices'!E30,'Data - Monthly Commodity Prices'!$B$9:$B$2500,1)+
SUMIFS('Data - Monthly Commodity Prices'!$N$9:$N$2500,'Data - Monthly Commodity Prices'!$A$9:$A$2500,'Petroleum - Oil Prices'!E30,'Data - Monthly Commodity Prices'!$B$9:$B$2500,2))
/(COUNTIFS('Data - Monthly Commodity Prices'!$A$9:$A$2500,'Petroleum - Oil Prices'!D30,'Data - Monthly Commodity Prices'!$B$9:$B$2500,3)+
COUNTIFS('Data - Monthly Commodity Prices'!$A$9:$A$2500,'Petroleum - Oil Prices'!D30,'Data - Monthly Commodity Prices'!$B$9:$B$2500,4)+
COUNTIFS('Data - Monthly Commodity Prices'!$A$9:$A$2500,'Petroleum - Oil Prices'!E30,'Data - Monthly Commodity Prices'!$B$9:$B$2500,1)+
COUNTIFS('Data - Monthly Commodity Prices'!$A$9:$A$2500,'Petroleum - Oil Prices'!E30,'Data - Monthly Commodity Prices'!$B$9:$B$2500,2))</f>
        <v>76.696666666666673</v>
      </c>
    </row>
    <row r="31" spans="1:8">
      <c r="A31" s="1892">
        <f>LARGE('Data - Monthly Commodity Prices'!C$159:C$902,37)</f>
        <v>42705</v>
      </c>
      <c r="B31" s="30">
        <f>SUMIF('Data - Monthly Commodity Prices'!C$252:C$902,A31,'Data - Monthly Commodity Prices'!N$252:N$902)</f>
        <v>55.75</v>
      </c>
      <c r="C31" s="24"/>
      <c r="D31" s="410">
        <f t="shared" si="2"/>
        <v>2015</v>
      </c>
      <c r="E31" s="410">
        <f t="shared" si="2"/>
        <v>2016</v>
      </c>
      <c r="F31" s="1895">
        <f t="shared" si="1"/>
        <v>2015</v>
      </c>
      <c r="G31" s="139">
        <f t="array" ref="G31">IF($F$6="Historic Calendar Year",IFERROR(AVERAGE(IF($F31=YEAR('Data - Monthly Commodity Prices'!C$100:C$1000),'Data - Monthly Commodity Prices'!N$100:N$1000)),"NA"),IFERROR(IF(H31=0,"NA",H31),"NA"))</f>
        <v>54.357500000000009</v>
      </c>
      <c r="H31" s="798">
        <f>(SUMIFS('Data - Monthly Commodity Prices'!$N$9:$N$2500,'Data - Monthly Commodity Prices'!$A$9:$A$2500,'Petroleum - Oil Prices'!D31,'Data - Monthly Commodity Prices'!$B$9:$B$2500,3)+
SUMIFS('Data - Monthly Commodity Prices'!$N$9:$N$2500,'Data - Monthly Commodity Prices'!$A$9:$A$2500,'Petroleum - Oil Prices'!D31,'Data - Monthly Commodity Prices'!$B$9:$B$2500,4)+
SUMIFS('Data - Monthly Commodity Prices'!$N$9:$N$2500,'Data - Monthly Commodity Prices'!$A$9:$A$2500,'Petroleum - Oil Prices'!E31,'Data - Monthly Commodity Prices'!$B$9:$B$2500,1)+
SUMIFS('Data - Monthly Commodity Prices'!$N$9:$N$2500,'Data - Monthly Commodity Prices'!$A$9:$A$2500,'Petroleum - Oil Prices'!E31,'Data - Monthly Commodity Prices'!$B$9:$B$2500,2))
/(COUNTIFS('Data - Monthly Commodity Prices'!$A$9:$A$2500,'Petroleum - Oil Prices'!D31,'Data - Monthly Commodity Prices'!$B$9:$B$2500,3)+
COUNTIFS('Data - Monthly Commodity Prices'!$A$9:$A$2500,'Petroleum - Oil Prices'!D31,'Data - Monthly Commodity Prices'!$B$9:$B$2500,4)+
COUNTIFS('Data - Monthly Commodity Prices'!$A$9:$A$2500,'Petroleum - Oil Prices'!E31,'Data - Monthly Commodity Prices'!$B$9:$B$2500,1)+
COUNTIFS('Data - Monthly Commodity Prices'!$A$9:$A$2500,'Petroleum - Oil Prices'!E31,'Data - Monthly Commodity Prices'!$B$9:$B$2500,2))</f>
        <v>45.047500000000007</v>
      </c>
    </row>
    <row r="32" spans="1:8">
      <c r="A32" s="1891">
        <f>LARGE('Data - Monthly Commodity Prices'!C$159:C$902,36)</f>
        <v>42736</v>
      </c>
      <c r="B32" s="139">
        <f>SUMIF('Data - Monthly Commodity Prices'!C$252:C$902,A32,'Data - Monthly Commodity Prices'!N$252:N$902)</f>
        <v>56.79</v>
      </c>
      <c r="C32" s="24"/>
      <c r="D32" s="410">
        <f t="shared" si="2"/>
        <v>2016</v>
      </c>
      <c r="E32" s="410">
        <f t="shared" si="2"/>
        <v>2017</v>
      </c>
      <c r="F32" s="1894">
        <f t="shared" si="1"/>
        <v>2016</v>
      </c>
      <c r="G32" s="30">
        <f t="array" ref="G32">IF($F$6="Historic Calendar Year",IFERROR(AVERAGE(IF($F32=YEAR('Data - Monthly Commodity Prices'!C$100:C$1000),'Data - Monthly Commodity Prices'!N$100:N$1000)),"NA"),IFERROR(IF(H32=0,"NA",H32),"NA"))</f>
        <v>45.410833333333329</v>
      </c>
      <c r="H32" s="798">
        <f>(SUMIFS('Data - Monthly Commodity Prices'!$N$9:$N$2500,'Data - Monthly Commodity Prices'!$A$9:$A$2500,'Petroleum - Oil Prices'!D32,'Data - Monthly Commodity Prices'!$B$9:$B$2500,3)+
SUMIFS('Data - Monthly Commodity Prices'!$N$9:$N$2500,'Data - Monthly Commodity Prices'!$A$9:$A$2500,'Petroleum - Oil Prices'!D32,'Data - Monthly Commodity Prices'!$B$9:$B$2500,4)+
SUMIFS('Data - Monthly Commodity Prices'!$N$9:$N$2500,'Data - Monthly Commodity Prices'!$A$9:$A$2500,'Petroleum - Oil Prices'!E32,'Data - Monthly Commodity Prices'!$B$9:$B$2500,1)+
SUMIFS('Data - Monthly Commodity Prices'!$N$9:$N$2500,'Data - Monthly Commodity Prices'!$A$9:$A$2500,'Petroleum - Oil Prices'!E32,'Data - Monthly Commodity Prices'!$B$9:$B$2500,2))
/(COUNTIFS('Data - Monthly Commodity Prices'!$A$9:$A$2500,'Petroleum - Oil Prices'!D32,'Data - Monthly Commodity Prices'!$B$9:$B$2500,3)+
COUNTIFS('Data - Monthly Commodity Prices'!$A$9:$A$2500,'Petroleum - Oil Prices'!D32,'Data - Monthly Commodity Prices'!$B$9:$B$2500,4)+
COUNTIFS('Data - Monthly Commodity Prices'!$A$9:$A$2500,'Petroleum - Oil Prices'!E32,'Data - Monthly Commodity Prices'!$B$9:$B$2500,1)+
COUNTIFS('Data - Monthly Commodity Prices'!$A$9:$A$2500,'Petroleum - Oil Prices'!E32,'Data - Monthly Commodity Prices'!$B$9:$B$2500,2))</f>
        <v>51.377499999999998</v>
      </c>
    </row>
    <row r="33" spans="1:8">
      <c r="A33" s="1892">
        <f>LARGE('Data - Monthly Commodity Prices'!C$159:C$902,35)</f>
        <v>42767</v>
      </c>
      <c r="B33" s="30">
        <f>SUMIF('Data - Monthly Commodity Prices'!C$252:C$902,A33,'Data - Monthly Commodity Prices'!N$252:N$902)</f>
        <v>57.28</v>
      </c>
      <c r="C33" s="24"/>
      <c r="D33" s="410">
        <f t="shared" si="2"/>
        <v>2017</v>
      </c>
      <c r="E33" s="410">
        <f t="shared" si="2"/>
        <v>2018</v>
      </c>
      <c r="F33" s="1895">
        <f t="shared" si="1"/>
        <v>2017</v>
      </c>
      <c r="G33" s="139">
        <f t="array" ref="G33">IF($F$6="Historic Calendar Year",IFERROR(AVERAGE(IF($F33=YEAR('Data - Monthly Commodity Prices'!C$100:C$1000),'Data - Monthly Commodity Prices'!N$100:N$1000)),"NA"),IFERROR(IF(H33=0,"NA",H33),"NA"))</f>
        <v>55.634166666666665</v>
      </c>
      <c r="H33" s="798">
        <f>(SUMIFS('Data - Monthly Commodity Prices'!$N$9:$N$2500,'Data - Monthly Commodity Prices'!$A$9:$A$2500,'Petroleum - Oil Prices'!D33,'Data - Monthly Commodity Prices'!$B$9:$B$2500,3)+
SUMIFS('Data - Monthly Commodity Prices'!$N$9:$N$2500,'Data - Monthly Commodity Prices'!$A$9:$A$2500,'Petroleum - Oil Prices'!D33,'Data - Monthly Commodity Prices'!$B$9:$B$2500,4)+
SUMIFS('Data - Monthly Commodity Prices'!$N$9:$N$2500,'Data - Monthly Commodity Prices'!$A$9:$A$2500,'Petroleum - Oil Prices'!E33,'Data - Monthly Commodity Prices'!$B$9:$B$2500,1)+
SUMIFS('Data - Monthly Commodity Prices'!$N$9:$N$2500,'Data - Monthly Commodity Prices'!$A$9:$A$2500,'Petroleum - Oil Prices'!E33,'Data - Monthly Commodity Prices'!$B$9:$B$2500,2))
/(COUNTIFS('Data - Monthly Commodity Prices'!$A$9:$A$2500,'Petroleum - Oil Prices'!D33,'Data - Monthly Commodity Prices'!$B$9:$B$2500,3)+
COUNTIFS('Data - Monthly Commodity Prices'!$A$9:$A$2500,'Petroleum - Oil Prices'!D33,'Data - Monthly Commodity Prices'!$B$9:$B$2500,4)+
COUNTIFS('Data - Monthly Commodity Prices'!$A$9:$A$2500,'Petroleum - Oil Prices'!E33,'Data - Monthly Commodity Prices'!$B$9:$B$2500,1)+
COUNTIFS('Data - Monthly Commodity Prices'!$A$9:$A$2500,'Petroleum - Oil Prices'!E33,'Data - Monthly Commodity Prices'!$B$9:$B$2500,2))</f>
        <v>64.984999999999999</v>
      </c>
    </row>
    <row r="34" spans="1:8">
      <c r="A34" s="1891">
        <f>LARGE('Data - Monthly Commodity Prices'!C$159:C$902,34)</f>
        <v>42795</v>
      </c>
      <c r="B34" s="139">
        <f>SUMIF('Data - Monthly Commodity Prices'!C$252:C$902,A34,'Data - Monthly Commodity Prices'!N$252:N$902)</f>
        <v>53.85</v>
      </c>
      <c r="C34" s="24"/>
      <c r="D34" s="410">
        <f t="shared" si="2"/>
        <v>2018</v>
      </c>
      <c r="E34" s="410">
        <f t="shared" si="2"/>
        <v>2019</v>
      </c>
      <c r="F34" s="1894">
        <f t="shared" si="1"/>
        <v>2018</v>
      </c>
      <c r="G34" s="30">
        <f t="array" ref="G34">IF($F$6="Historic Calendar Year",IFERROR(AVERAGE(IF($F34=YEAR('Data - Monthly Commodity Prices'!C$100:C$1000),'Data - Monthly Commodity Prices'!N$100:N$1000)),"NA"),IFERROR(IF(H34=0,"NA",H34),"NA"))</f>
        <v>72.898333333333326</v>
      </c>
      <c r="H34" s="798">
        <f>(SUMIFS('Data - Monthly Commodity Prices'!$N$9:$N$2500,'Data - Monthly Commodity Prices'!$A$9:$A$2500,'Petroleum - Oil Prices'!D34,'Data - Monthly Commodity Prices'!$B$9:$B$2500,3)+
SUMIFS('Data - Monthly Commodity Prices'!$N$9:$N$2500,'Data - Monthly Commodity Prices'!$A$9:$A$2500,'Petroleum - Oil Prices'!D34,'Data - Monthly Commodity Prices'!$B$9:$B$2500,4)+
SUMIFS('Data - Monthly Commodity Prices'!$N$9:$N$2500,'Data - Monthly Commodity Prices'!$A$9:$A$2500,'Petroleum - Oil Prices'!E34,'Data - Monthly Commodity Prices'!$B$9:$B$2500,1)+
SUMIFS('Data - Monthly Commodity Prices'!$N$9:$N$2500,'Data - Monthly Commodity Prices'!$A$9:$A$2500,'Petroleum - Oil Prices'!E34,'Data - Monthly Commodity Prices'!$B$9:$B$2500,2))
/(COUNTIFS('Data - Monthly Commodity Prices'!$A$9:$A$2500,'Petroleum - Oil Prices'!D34,'Data - Monthly Commodity Prices'!$B$9:$B$2500,3)+
COUNTIFS('Data - Monthly Commodity Prices'!$A$9:$A$2500,'Petroleum - Oil Prices'!D34,'Data - Monthly Commodity Prices'!$B$9:$B$2500,4)+
COUNTIFS('Data - Monthly Commodity Prices'!$A$9:$A$2500,'Petroleum - Oil Prices'!E34,'Data - Monthly Commodity Prices'!$B$9:$B$2500,1)+
COUNTIFS('Data - Monthly Commodity Prices'!$A$9:$A$2500,'Petroleum - Oil Prices'!E34,'Data - Monthly Commodity Prices'!$B$9:$B$2500,2))</f>
        <v>70.435000000000002</v>
      </c>
    </row>
    <row r="35" spans="1:8">
      <c r="A35" s="1892">
        <f>LARGE('Data - Monthly Commodity Prices'!C$159:C$902,33)</f>
        <v>42826</v>
      </c>
      <c r="B35" s="30">
        <f>SUMIF('Data - Monthly Commodity Prices'!C$252:C$902,A35,'Data - Monthly Commodity Prices'!N$252:N$902)</f>
        <v>54.54</v>
      </c>
      <c r="C35" s="24"/>
      <c r="D35" s="410">
        <f t="shared" si="2"/>
        <v>2019</v>
      </c>
      <c r="E35" s="410">
        <f t="shared" si="2"/>
        <v>2020</v>
      </c>
      <c r="F35" s="1895">
        <f t="shared" si="1"/>
        <v>2019</v>
      </c>
      <c r="G35" s="139">
        <f t="array" ref="G35">IF($F$6="Historic Calendar Year",IFERROR(AVERAGE(IF($F35=YEAR('Data - Monthly Commodity Prices'!C$100:C$1000),'Data - Monthly Commodity Prices'!N$100:N$1000)),"NA"),IFERROR(IF(H35=0,"NA",H35),"NA"))</f>
        <v>66.423333333333332</v>
      </c>
      <c r="H35" s="798">
        <f>(SUMIFS('Data - Monthly Commodity Prices'!$N$9:$N$2500,'Data - Monthly Commodity Prices'!$A$9:$A$2500,'Petroleum - Oil Prices'!D35,'Data - Monthly Commodity Prices'!$B$9:$B$2500,3)+
SUMIFS('Data - Monthly Commodity Prices'!$N$9:$N$2500,'Data - Monthly Commodity Prices'!$A$9:$A$2500,'Petroleum - Oil Prices'!D35,'Data - Monthly Commodity Prices'!$B$9:$B$2500,4)+
SUMIFS('Data - Monthly Commodity Prices'!$N$9:$N$2500,'Data - Monthly Commodity Prices'!$A$9:$A$2500,'Petroleum - Oil Prices'!E35,'Data - Monthly Commodity Prices'!$B$9:$B$2500,1)+
SUMIFS('Data - Monthly Commodity Prices'!$N$9:$N$2500,'Data - Monthly Commodity Prices'!$A$9:$A$2500,'Petroleum - Oil Prices'!E35,'Data - Monthly Commodity Prices'!$B$9:$B$2500,2))
/(COUNTIFS('Data - Monthly Commodity Prices'!$A$9:$A$2500,'Petroleum - Oil Prices'!D35,'Data - Monthly Commodity Prices'!$B$9:$B$2500,3)+
COUNTIFS('Data - Monthly Commodity Prices'!$A$9:$A$2500,'Petroleum - Oil Prices'!D35,'Data - Monthly Commodity Prices'!$B$9:$B$2500,4)+
COUNTIFS('Data - Monthly Commodity Prices'!$A$9:$A$2500,'Petroleum - Oil Prices'!E35,'Data - Monthly Commodity Prices'!$B$9:$B$2500,1)+
COUNTIFS('Data - Monthly Commodity Prices'!$A$9:$A$2500,'Petroleum - Oil Prices'!E35,'Data - Monthly Commodity Prices'!$B$9:$B$2500,2))</f>
        <v>65.37</v>
      </c>
    </row>
    <row r="36" spans="1:8" ht="15.75" thickBot="1">
      <c r="A36" s="1891">
        <f>LARGE('Data - Monthly Commodity Prices'!C$159:C$902,32)</f>
        <v>42856</v>
      </c>
      <c r="B36" s="139">
        <f>SUMIF('Data - Monthly Commodity Prices'!C$252:C$902,A36,'Data - Monthly Commodity Prices'!N$252:N$902)</f>
        <v>51.87</v>
      </c>
      <c r="C36" s="24"/>
      <c r="D36" s="410">
        <f t="shared" si="2"/>
        <v>2020</v>
      </c>
      <c r="E36" s="410">
        <f t="shared" si="2"/>
        <v>2021</v>
      </c>
      <c r="F36" s="1896">
        <f t="shared" si="1"/>
        <v>2020</v>
      </c>
      <c r="G36" s="29" t="str">
        <f t="array" ref="G36">IF($F$6="Historic Calendar Year",IFERROR(AVERAGE(IF($F36=YEAR('Data - Monthly Commodity Prices'!C$100:C$1000),'Data - Monthly Commodity Prices'!N$100:N$1000)),"NA"),IFERROR(IF(H36=0,"NA",H36),"NA"))</f>
        <v>NA</v>
      </c>
      <c r="H36" s="798" t="e">
        <f>(SUMIFS('Data - Monthly Commodity Prices'!$N$9:$N$2500,'Data - Monthly Commodity Prices'!$A$9:$A$2500,'Petroleum - Oil Prices'!D36,'Data - Monthly Commodity Prices'!$B$9:$B$2500,3)+
SUMIFS('Data - Monthly Commodity Prices'!$N$9:$N$2500,'Data - Monthly Commodity Prices'!$A$9:$A$2500,'Petroleum - Oil Prices'!D36,'Data - Monthly Commodity Prices'!$B$9:$B$2500,4)+
SUMIFS('Data - Monthly Commodity Prices'!$N$9:$N$2500,'Data - Monthly Commodity Prices'!$A$9:$A$2500,'Petroleum - Oil Prices'!E36,'Data - Monthly Commodity Prices'!$B$9:$B$2500,1)+
SUMIFS('Data - Monthly Commodity Prices'!$N$9:$N$2500,'Data - Monthly Commodity Prices'!$A$9:$A$2500,'Petroleum - Oil Prices'!E36,'Data - Monthly Commodity Prices'!$B$9:$B$2500,2))
/(COUNTIFS('Data - Monthly Commodity Prices'!$A$9:$A$2500,'Petroleum - Oil Prices'!D36,'Data - Monthly Commodity Prices'!$B$9:$B$2500,3)+
COUNTIFS('Data - Monthly Commodity Prices'!$A$9:$A$2500,'Petroleum - Oil Prices'!D36,'Data - Monthly Commodity Prices'!$B$9:$B$2500,4)+
COUNTIFS('Data - Monthly Commodity Prices'!$A$9:$A$2500,'Petroleum - Oil Prices'!E36,'Data - Monthly Commodity Prices'!$B$9:$B$2500,1)+
COUNTIFS('Data - Monthly Commodity Prices'!$A$9:$A$2500,'Petroleum - Oil Prices'!E36,'Data - Monthly Commodity Prices'!$B$9:$B$2500,2))</f>
        <v>#DIV/0!</v>
      </c>
    </row>
    <row r="37" spans="1:8" ht="15.75" thickBot="1">
      <c r="A37" s="1892">
        <f>LARGE('Data - Monthly Commodity Prices'!C$159:C$902,31)</f>
        <v>42887</v>
      </c>
      <c r="B37" s="30">
        <f>SUMIF('Data - Monthly Commodity Prices'!C$252:C$902,A37,'Data - Monthly Commodity Prices'!N$252:N$902)</f>
        <v>47.88</v>
      </c>
      <c r="C37" s="24"/>
      <c r="D37" s="410"/>
      <c r="E37" s="410"/>
      <c r="F37" s="24"/>
      <c r="G37" s="24"/>
      <c r="H37" s="798"/>
    </row>
    <row r="38" spans="1:8" ht="15.75" thickBot="1">
      <c r="A38" s="1891">
        <f>LARGE('Data - Monthly Commodity Prices'!C$159:C$902,30)</f>
        <v>42917</v>
      </c>
      <c r="B38" s="139">
        <f>SUMIF('Data - Monthly Commodity Prices'!C$252:C$902,A38,'Data - Monthly Commodity Prices'!N$252:N$902)</f>
        <v>48.77</v>
      </c>
      <c r="C38" s="24"/>
      <c r="D38" s="410"/>
      <c r="E38" s="410"/>
      <c r="F38" s="2053" t="s">
        <v>617</v>
      </c>
      <c r="G38" s="2055"/>
      <c r="H38" s="798"/>
    </row>
    <row r="39" spans="1:8" ht="15.75" thickBot="1">
      <c r="A39" s="1892">
        <f>LARGE('Data - Monthly Commodity Prices'!C$159:C$902,29)</f>
        <v>42948</v>
      </c>
      <c r="B39" s="30">
        <f>SUMIF('Data - Monthly Commodity Prices'!C$252:C$902,A39,'Data - Monthly Commodity Prices'!N$252:N$902)</f>
        <v>51.64</v>
      </c>
      <c r="C39" s="24"/>
      <c r="D39" s="410"/>
      <c r="E39" s="410"/>
      <c r="F39" s="1963" t="s">
        <v>545</v>
      </c>
      <c r="G39" s="1964"/>
      <c r="H39" s="798"/>
    </row>
    <row r="40" spans="1:8">
      <c r="A40" s="1891">
        <f>LARGE('Data - Monthly Commodity Prices'!C$159:C$902,28)</f>
        <v>42979</v>
      </c>
      <c r="B40" s="139">
        <f>SUMIF('Data - Monthly Commodity Prices'!C$252:C$902,A40,'Data - Monthly Commodity Prices'!N$252:N$902)</f>
        <v>55.91</v>
      </c>
      <c r="C40" s="24"/>
      <c r="D40" s="410"/>
      <c r="E40" s="410"/>
      <c r="F40" s="1965" t="s">
        <v>618</v>
      </c>
      <c r="G40" s="1965"/>
      <c r="H40" s="798"/>
    </row>
    <row r="41" spans="1:8">
      <c r="A41" s="1892">
        <f>LARGE('Data - Monthly Commodity Prices'!C$159:C$902,27)</f>
        <v>43009</v>
      </c>
      <c r="B41" s="30">
        <f>SUMIF('Data - Monthly Commodity Prices'!C$252:C$902,A41,'Data - Monthly Commodity Prices'!N$252:N$902)</f>
        <v>58.72</v>
      </c>
      <c r="C41" s="24"/>
      <c r="D41" s="410"/>
      <c r="E41" s="410"/>
      <c r="F41" s="24"/>
      <c r="G41" s="24"/>
      <c r="H41" s="798"/>
    </row>
    <row r="42" spans="1:8">
      <c r="A42" s="1891">
        <f>LARGE('Data - Monthly Commodity Prices'!C$159:C$902,26)</f>
        <v>43040</v>
      </c>
      <c r="B42" s="139">
        <f>SUMIF('Data - Monthly Commodity Prices'!C$252:C$902,A42,'Data - Monthly Commodity Prices'!N$252:N$902)</f>
        <v>64.37</v>
      </c>
      <c r="C42" s="24"/>
      <c r="D42" s="410"/>
      <c r="E42" s="410"/>
      <c r="F42" s="24"/>
      <c r="G42" s="24"/>
      <c r="H42" s="798"/>
    </row>
    <row r="43" spans="1:8">
      <c r="A43" s="1892">
        <f>LARGE('Data - Monthly Commodity Prices'!C$159:C$902,25)</f>
        <v>43070</v>
      </c>
      <c r="B43" s="30">
        <f>SUMIF('Data - Monthly Commodity Prices'!C$252:C$902,A43,'Data - Monthly Commodity Prices'!N$252:N$902)</f>
        <v>65.989999999999995</v>
      </c>
      <c r="C43" s="24"/>
      <c r="D43" s="410"/>
      <c r="E43" s="410"/>
      <c r="F43" s="24"/>
      <c r="G43" s="24"/>
    </row>
    <row r="44" spans="1:8">
      <c r="A44" s="1891">
        <f>LARGE('Data - Monthly Commodity Prices'!C$159:C$902,24)</f>
        <v>43101</v>
      </c>
      <c r="B44" s="139">
        <f>SUMIF('Data - Monthly Commodity Prices'!C$252:C$902,A44,'Data - Monthly Commodity Prices'!N$252:N$902)</f>
        <v>70.72</v>
      </c>
      <c r="C44" s="24"/>
      <c r="D44" s="410"/>
      <c r="E44" s="410"/>
      <c r="F44" s="24"/>
      <c r="G44" s="24"/>
    </row>
    <row r="45" spans="1:8">
      <c r="A45" s="1892">
        <f>LARGE('Data - Monthly Commodity Prices'!C$159:C$902,23)</f>
        <v>43132</v>
      </c>
      <c r="B45" s="30">
        <f>SUMIF('Data - Monthly Commodity Prices'!C$252:C$902,A45,'Data - Monthly Commodity Prices'!N$252:N$902)</f>
        <v>67.489999999999995</v>
      </c>
      <c r="C45" s="24"/>
      <c r="D45" s="410"/>
      <c r="E45" s="410"/>
      <c r="F45" s="24"/>
      <c r="G45" s="24"/>
    </row>
    <row r="46" spans="1:8">
      <c r="A46" s="1891">
        <f>LARGE('Data - Monthly Commodity Prices'!C$159:C$902,22)</f>
        <v>43160</v>
      </c>
      <c r="B46" s="139">
        <f>SUMIF('Data - Monthly Commodity Prices'!C$252:C$902,A46,'Data - Monthly Commodity Prices'!N$252:N$902)</f>
        <v>67.87</v>
      </c>
      <c r="C46" s="24"/>
      <c r="D46" s="410"/>
      <c r="E46" s="410"/>
      <c r="F46" s="24"/>
      <c r="G46" s="24"/>
    </row>
    <row r="47" spans="1:8">
      <c r="A47" s="1892">
        <f>LARGE('Data - Monthly Commodity Prices'!C$159:C$902,21)</f>
        <v>43191</v>
      </c>
      <c r="B47" s="30">
        <f>SUMIF('Data - Monthly Commodity Prices'!C$252:C$902,A47,'Data - Monthly Commodity Prices'!N$252:N$902)</f>
        <v>73.02</v>
      </c>
      <c r="C47" s="24"/>
      <c r="D47" s="410"/>
      <c r="E47" s="410"/>
      <c r="F47" s="24"/>
      <c r="G47" s="24"/>
    </row>
    <row r="48" spans="1:8">
      <c r="A48" s="1891">
        <f>LARGE('Data - Monthly Commodity Prices'!C$159:C$902,20)</f>
        <v>43221</v>
      </c>
      <c r="B48" s="139">
        <f>SUMIF('Data - Monthly Commodity Prices'!C$252:C$902,A48,'Data - Monthly Commodity Prices'!N$252:N$902)</f>
        <v>78.41</v>
      </c>
      <c r="C48" s="24"/>
      <c r="D48" s="410"/>
      <c r="E48" s="410"/>
      <c r="F48" s="24"/>
      <c r="G48" s="24"/>
    </row>
    <row r="49" spans="1:7">
      <c r="A49" s="1892">
        <f>LARGE('Data - Monthly Commodity Prices'!C$159:C$902,19)</f>
        <v>43252</v>
      </c>
      <c r="B49" s="30">
        <f>SUMIF('Data - Monthly Commodity Prices'!C$252:C$902,A49,'Data - Monthly Commodity Prices'!N$252:N$902)</f>
        <v>76.91</v>
      </c>
      <c r="C49" s="24"/>
      <c r="D49" s="410"/>
      <c r="E49" s="410"/>
      <c r="F49" s="24"/>
      <c r="G49" s="24"/>
    </row>
    <row r="50" spans="1:7">
      <c r="A50" s="1891">
        <f>LARGE('Data - Monthly Commodity Prices'!C$159:C$902,18)</f>
        <v>43282</v>
      </c>
      <c r="B50" s="139">
        <f>SUMIF('Data - Monthly Commodity Prices'!C$252:C$902,A50,'Data - Monthly Commodity Prices'!N$252:N$902)</f>
        <v>76.33</v>
      </c>
      <c r="C50" s="24"/>
      <c r="D50" s="410"/>
      <c r="E50" s="410"/>
      <c r="F50" s="24"/>
      <c r="G50" s="24"/>
    </row>
    <row r="51" spans="1:7">
      <c r="A51" s="1892">
        <f>LARGE('Data - Monthly Commodity Prices'!C$159:C$902,17)</f>
        <v>43313</v>
      </c>
      <c r="B51" s="30">
        <f>SUMIF('Data - Monthly Commodity Prices'!C$252:C$902,A51,'Data - Monthly Commodity Prices'!N$252:N$902)</f>
        <v>74.77</v>
      </c>
      <c r="C51" s="24"/>
      <c r="D51" s="410"/>
      <c r="E51" s="410"/>
      <c r="F51" s="24"/>
      <c r="G51" s="24"/>
    </row>
    <row r="52" spans="1:7">
      <c r="A52" s="1891">
        <f>LARGE('Data - Monthly Commodity Prices'!C$159:C$902,16)</f>
        <v>43344</v>
      </c>
      <c r="B52" s="139">
        <f>SUMIF('Data - Monthly Commodity Prices'!C$252:C$902,A52,'Data - Monthly Commodity Prices'!N$252:N$902)</f>
        <v>80.540000000000006</v>
      </c>
      <c r="C52" s="24"/>
      <c r="D52" s="410"/>
      <c r="E52" s="410"/>
      <c r="F52" s="24"/>
      <c r="G52" s="24"/>
    </row>
    <row r="53" spans="1:7">
      <c r="A53" s="1892">
        <f>LARGE('Data - Monthly Commodity Prices'!C$159:C$902,15)</f>
        <v>43374</v>
      </c>
      <c r="B53" s="30">
        <f>SUMIF('Data - Monthly Commodity Prices'!C$252:C$902,A53,'Data - Monthly Commodity Prices'!N$252:N$902)</f>
        <v>82.44</v>
      </c>
      <c r="C53" s="24"/>
      <c r="D53" s="410"/>
      <c r="E53" s="410"/>
      <c r="F53" s="24"/>
      <c r="G53" s="24"/>
    </row>
    <row r="54" spans="1:7">
      <c r="A54" s="1891">
        <f>LARGE('Data - Monthly Commodity Prices'!C$159:C$902,14)</f>
        <v>43405</v>
      </c>
      <c r="B54" s="139">
        <f>SUMIF('Data - Monthly Commodity Prices'!C$252:C$902,A54,'Data - Monthly Commodity Prices'!N$252:N$902)</f>
        <v>67.38</v>
      </c>
      <c r="C54" s="24"/>
      <c r="D54" s="410"/>
      <c r="E54" s="410"/>
      <c r="F54" s="24"/>
      <c r="G54" s="24"/>
    </row>
    <row r="55" spans="1:7">
      <c r="A55" s="1892">
        <f>LARGE('Data - Monthly Commodity Prices'!C$159:C$902,13)</f>
        <v>43435</v>
      </c>
      <c r="B55" s="30">
        <f>SUMIF('Data - Monthly Commodity Prices'!C$252:C$902,A55,'Data - Monthly Commodity Prices'!N$252:N$902)</f>
        <v>58.9</v>
      </c>
      <c r="C55" s="24"/>
      <c r="D55" s="410"/>
      <c r="E55" s="410"/>
      <c r="F55" s="24"/>
      <c r="G55" s="24"/>
    </row>
    <row r="56" spans="1:7">
      <c r="A56" s="1891">
        <f>LARGE('Data - Monthly Commodity Prices'!C$159:C$902,12)</f>
        <v>43466</v>
      </c>
      <c r="B56" s="139">
        <f>SUMIF('Data - Monthly Commodity Prices'!C$252:C$902,A56,'Data - Monthly Commodity Prices'!N$252:N$902)</f>
        <v>60.95</v>
      </c>
      <c r="C56" s="24"/>
      <c r="D56" s="410"/>
      <c r="E56" s="410"/>
      <c r="F56" s="24"/>
      <c r="G56" s="24"/>
    </row>
    <row r="57" spans="1:7">
      <c r="A57" s="1892">
        <f>LARGE('Data - Monthly Commodity Prices'!C$159:C$902,11)</f>
        <v>43497</v>
      </c>
      <c r="B57" s="30">
        <f>SUMIF('Data - Monthly Commodity Prices'!C$252:C$902,A57,'Data - Monthly Commodity Prices'!N$252:N$902)</f>
        <v>65.84</v>
      </c>
      <c r="C57" s="24"/>
      <c r="D57" s="410"/>
      <c r="E57" s="410"/>
      <c r="F57" s="24"/>
      <c r="G57" s="24"/>
    </row>
    <row r="58" spans="1:7">
      <c r="A58" s="1891">
        <f>LARGE('Data - Monthly Commodity Prices'!C$159:C$902,10)</f>
        <v>43525</v>
      </c>
      <c r="B58" s="139">
        <f>SUMIF('Data - Monthly Commodity Prices'!C$252:C$902,A58,'Data - Monthly Commodity Prices'!N$252:N$902)</f>
        <v>68.11</v>
      </c>
      <c r="C58" s="24"/>
      <c r="D58" s="410"/>
      <c r="E58" s="410"/>
      <c r="F58" s="24"/>
      <c r="G58" s="24"/>
    </row>
    <row r="59" spans="1:7">
      <c r="A59" s="1892">
        <f>LARGE('Data - Monthly Commodity Prices'!C$159:C$902,9)</f>
        <v>43556</v>
      </c>
      <c r="B59" s="30">
        <f>SUMIF('Data - Monthly Commodity Prices'!C$252:C$902,A59,'Data - Monthly Commodity Prices'!N$252:N$902)</f>
        <v>72.77</v>
      </c>
      <c r="C59" s="24"/>
      <c r="D59" s="410"/>
      <c r="E59" s="410"/>
      <c r="F59" s="24"/>
      <c r="G59" s="24"/>
    </row>
    <row r="60" spans="1:7">
      <c r="A60" s="1891">
        <f>LARGE('Data - Monthly Commodity Prices'!C$159:C$902,8)</f>
        <v>43586</v>
      </c>
      <c r="B60" s="139">
        <f>SUMIF('Data - Monthly Commodity Prices'!C$252:C$902,A60,'Data - Monthly Commodity Prices'!N$252:N$902)</f>
        <v>72.239999999999995</v>
      </c>
      <c r="C60" s="24"/>
      <c r="D60" s="410"/>
      <c r="E60" s="410"/>
      <c r="F60" s="24"/>
      <c r="G60" s="24"/>
    </row>
    <row r="61" spans="1:7">
      <c r="A61" s="1892">
        <f>LARGE('Data - Monthly Commodity Prices'!C$159:C$902,7)</f>
        <v>43617</v>
      </c>
      <c r="B61" s="30">
        <f>SUMIF('Data - Monthly Commodity Prices'!C$252:C$902,A61,'Data - Monthly Commodity Prices'!N$252:N$902)</f>
        <v>64.95</v>
      </c>
      <c r="C61" s="24"/>
      <c r="D61" s="410"/>
      <c r="E61" s="410"/>
      <c r="F61" s="24"/>
      <c r="G61" s="24"/>
    </row>
    <row r="62" spans="1:7">
      <c r="A62" s="1891">
        <f>LARGE('Data - Monthly Commodity Prices'!C$159:C$902,6)</f>
        <v>43647</v>
      </c>
      <c r="B62" s="139">
        <f>SUMIF('Data - Monthly Commodity Prices'!C$252:C$902,A62,'Data - Monthly Commodity Prices'!N$252:N$902)</f>
        <v>66.09</v>
      </c>
      <c r="C62" s="24"/>
      <c r="D62" s="410"/>
      <c r="E62" s="410"/>
    </row>
    <row r="63" spans="1:7">
      <c r="A63" s="1892">
        <f>LARGE('Data - Monthly Commodity Prices'!C$159:C$902,5)</f>
        <v>43678</v>
      </c>
      <c r="B63" s="30">
        <f>SUMIF('Data - Monthly Commodity Prices'!C$252:C$902,A63,'Data - Monthly Commodity Prices'!N$252:N$902)</f>
        <v>61.46</v>
      </c>
      <c r="C63" s="24"/>
      <c r="D63" s="410"/>
      <c r="E63" s="410"/>
    </row>
    <row r="64" spans="1:7">
      <c r="A64" s="1891">
        <f>LARGE('Data - Monthly Commodity Prices'!C$159:C$902,4)</f>
        <v>43709</v>
      </c>
      <c r="B64" s="139">
        <f>SUMIF('Data - Monthly Commodity Prices'!C$252:C$902,A64,'Data - Monthly Commodity Prices'!N$252:N$902)</f>
        <v>64.05</v>
      </c>
      <c r="C64" s="24"/>
      <c r="D64" s="410"/>
      <c r="E64" s="410"/>
    </row>
    <row r="65" spans="1:5">
      <c r="A65" s="1892">
        <f>LARGE('Data - Monthly Commodity Prices'!C$159:C$902,3)</f>
        <v>43739</v>
      </c>
      <c r="B65" s="30">
        <f>SUMIF('Data - Monthly Commodity Prices'!C$252:C$902,A65,'Data - Monthly Commodity Prices'!N$252:N$902)</f>
        <v>60.86</v>
      </c>
      <c r="C65" s="24"/>
      <c r="D65" s="410"/>
      <c r="E65" s="410"/>
    </row>
    <row r="66" spans="1:5">
      <c r="A66" s="1891">
        <f>LARGE('Data - Monthly Commodity Prices'!C$159:C$902,2)</f>
        <v>43770</v>
      </c>
      <c r="B66" s="139">
        <f>SUMIF('Data - Monthly Commodity Prices'!C$252:C$902,A66,'Data - Monthly Commodity Prices'!N$252:N$902)</f>
        <v>64.239999999999995</v>
      </c>
      <c r="C66" s="24"/>
      <c r="D66" s="410"/>
      <c r="E66" s="410"/>
    </row>
    <row r="67" spans="1:5" ht="15.75" thickBot="1">
      <c r="A67" s="1893">
        <f>LARGE('Data - Monthly Commodity Prices'!C$159:C$902,1)</f>
        <v>43800</v>
      </c>
      <c r="B67" s="29">
        <f>SUMIF('Data - Monthly Commodity Prices'!C$252:C$902,A67,'Data - Monthly Commodity Prices'!N$252:N$902)</f>
        <v>75.52</v>
      </c>
      <c r="C67" s="24"/>
      <c r="D67" s="410"/>
      <c r="E67" s="410"/>
    </row>
  </sheetData>
  <mergeCells count="7">
    <mergeCell ref="F39:G39"/>
    <mergeCell ref="F38:G38"/>
    <mergeCell ref="F40:G40"/>
    <mergeCell ref="A5:B5"/>
    <mergeCell ref="F5:G5"/>
    <mergeCell ref="A6:B6"/>
    <mergeCell ref="F6:G6"/>
  </mergeCells>
  <dataValidations xWindow="579" yWindow="944" count="1">
    <dataValidation type="list" allowBlank="1" showInputMessage="1" showErrorMessage="1" promptTitle="Select a Period:" prompt="Select Financial or Calendar years." sqref="F39:G39">
      <formula1>$Y$1:$Y$2</formula1>
    </dataValidation>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Z81"/>
  <sheetViews>
    <sheetView workbookViewId="0"/>
  </sheetViews>
  <sheetFormatPr defaultRowHeight="15"/>
  <cols>
    <col min="1" max="1" width="20.140625" style="1097" bestFit="1" customWidth="1"/>
    <col min="2" max="2" width="5.28515625" style="1097" bestFit="1" customWidth="1"/>
    <col min="3" max="4" width="15.140625" style="1097" bestFit="1" customWidth="1"/>
    <col min="5" max="14" width="15.42578125" style="1097" customWidth="1"/>
    <col min="15" max="22" width="9.140625" style="1097"/>
    <col min="23" max="23" width="17.85546875" style="1097" customWidth="1"/>
    <col min="24" max="16384" width="9.140625" style="1097"/>
  </cols>
  <sheetData>
    <row r="1" spans="1:26">
      <c r="S1" s="537"/>
      <c r="T1" s="537"/>
      <c r="U1" s="537"/>
      <c r="V1" s="1041" t="s">
        <v>4</v>
      </c>
      <c r="W1" s="1041" t="str">
        <f>"Western Australian Petroleum Exports "&amp;B6&amp;CHAR(10)&amp;"Total Value: $"&amp;TEXT(C21,"#,###")</f>
        <v>Western Australian Petroleum Exports 2019
Total Value: $37,091,306,998</v>
      </c>
      <c r="X1" s="1041" t="s">
        <v>429</v>
      </c>
      <c r="Y1" s="1041">
        <f>IF($B$5="Calendar Year",MAX('Data - Monthly Commodity Prices'!$AK$9:$AK$3501),CONCATENATE(MAX('Data - Monthly Commodity Prices'!$AW$9:$AW$3495),"-",VALUE(RIGHT(MAX('Data - Monthly Commodity Prices'!$AW$9:$AW$3495),2))+1))</f>
        <v>2019</v>
      </c>
      <c r="Z1" s="1026">
        <f t="array" ref="Z1">MIN(IF('Data - Monthly Commodity Prices'!$AJ$9:$AJ$3501=V1,'Data - Monthly Commodity Prices'!$AK$9:$AK$3501))</f>
        <v>2007</v>
      </c>
    </row>
    <row r="2" spans="1:26">
      <c r="S2" s="537"/>
      <c r="T2" s="537"/>
      <c r="U2" s="537"/>
      <c r="V2" s="1041"/>
      <c r="W2" s="1041" t="str">
        <f>IF($B$5=X1,IF(RIGHT(LEFT(B6,5),1)="-","Mismatch Error",""),IF(LEN(B6)=4,"Mismatch Error",""))</f>
        <v/>
      </c>
      <c r="X2" s="1041" t="s">
        <v>446</v>
      </c>
      <c r="Y2" s="1041">
        <f t="shared" ref="Y2:Y4" si="0">IFERROR(IF($B$5=$X$1,IF($Z$1&lt;=(Y1-1),Y1-1,""),IF($Z$1=VALUE(LEFT(Y1,4)),"",CONCATENATE(VALUE(LEFT(Y1,4))-1,"-",RIGHT(LEFT(Y1,4),2)))),"")</f>
        <v>2018</v>
      </c>
      <c r="Z2" s="1026"/>
    </row>
    <row r="3" spans="1:26">
      <c r="S3" s="537"/>
      <c r="T3" s="537"/>
      <c r="U3" s="537"/>
      <c r="V3" s="537"/>
      <c r="W3" s="1109"/>
      <c r="X3" s="1109"/>
      <c r="Y3" s="1041">
        <f t="shared" si="0"/>
        <v>2017</v>
      </c>
      <c r="Z3" s="1026"/>
    </row>
    <row r="4" spans="1:26" ht="21" customHeight="1" thickBot="1">
      <c r="S4" s="537"/>
      <c r="T4" s="537"/>
      <c r="U4" s="537"/>
      <c r="V4" s="537"/>
      <c r="W4" s="1109"/>
      <c r="X4" s="1109"/>
      <c r="Y4" s="1041">
        <f t="shared" si="0"/>
        <v>2016</v>
      </c>
      <c r="Z4" s="1026"/>
    </row>
    <row r="5" spans="1:26" ht="15.75" thickBot="1">
      <c r="A5" s="128" t="s">
        <v>447</v>
      </c>
      <c r="B5" s="2060" t="s">
        <v>429</v>
      </c>
      <c r="C5" s="1939"/>
      <c r="D5" s="1940"/>
      <c r="E5" s="1040"/>
      <c r="S5" s="537"/>
      <c r="T5" s="537"/>
      <c r="U5" s="537"/>
      <c r="V5" s="537"/>
      <c r="W5" s="1109"/>
      <c r="X5" s="1109"/>
      <c r="Y5" s="1041">
        <f>IFERROR(IF($B$5=$X$1,IF($Z$1&lt;=(Y4-1),Y4-1,""),IF($Z$1=VALUE(LEFT(Y4,4)),"",CONCATENATE(VALUE(LEFT(Y4,4))-1,"-",RIGHT(LEFT(Y4,4),2)))),"")</f>
        <v>2015</v>
      </c>
      <c r="Z5" s="1026"/>
    </row>
    <row r="6" spans="1:26" ht="15.75" thickBot="1">
      <c r="A6" s="128" t="s">
        <v>447</v>
      </c>
      <c r="B6" s="2060">
        <v>2019</v>
      </c>
      <c r="C6" s="1939"/>
      <c r="D6" s="1940"/>
      <c r="E6" s="1040"/>
      <c r="S6" s="537"/>
      <c r="T6" s="537"/>
      <c r="U6" s="537"/>
      <c r="V6" s="537"/>
      <c r="W6" s="1109"/>
      <c r="X6" s="1109"/>
      <c r="Y6" s="1041">
        <f t="shared" ref="Y6:Y25" si="1">IFERROR(IF($B$5=$X$1,IF($Z$1&lt;=(Y5-1),Y5-1,""),IF($Z$1=VALUE(LEFT(Y5,4)),"",CONCATENATE(VALUE(LEFT(Y5,4))-1,"-",RIGHT(LEFT(Y5,4),2)))),"")</f>
        <v>2014</v>
      </c>
      <c r="Z6" s="1026"/>
    </row>
    <row r="7" spans="1:26">
      <c r="S7" s="537"/>
      <c r="T7" s="537"/>
      <c r="U7" s="537"/>
      <c r="V7" s="537"/>
      <c r="W7" s="1109"/>
      <c r="X7" s="1109"/>
      <c r="Y7" s="1041">
        <f t="shared" si="1"/>
        <v>2013</v>
      </c>
      <c r="Z7" s="1026"/>
    </row>
    <row r="8" spans="1:26">
      <c r="A8" s="1937" t="str">
        <f>IF($B$6="Click here to select an option","Select a year above for display.",CONCATENATE("Western Australian Petroleum Exports ",B6))</f>
        <v>Western Australian Petroleum Exports 2019</v>
      </c>
      <c r="B8" s="1937"/>
      <c r="C8" s="1937"/>
      <c r="D8" s="1937"/>
      <c r="S8" s="537"/>
      <c r="T8" s="537"/>
      <c r="U8" s="537"/>
      <c r="V8" s="537"/>
      <c r="W8" s="1109"/>
      <c r="X8" s="1109"/>
      <c r="Y8" s="1041">
        <f t="shared" si="1"/>
        <v>2012</v>
      </c>
      <c r="Z8" s="1026"/>
    </row>
    <row r="9" spans="1:26" ht="15.75" thickBot="1">
      <c r="A9" s="187" t="s">
        <v>43</v>
      </c>
      <c r="B9" s="186" t="s">
        <v>44</v>
      </c>
      <c r="C9" s="187" t="s">
        <v>46</v>
      </c>
      <c r="D9" s="186" t="s">
        <v>47</v>
      </c>
      <c r="S9" s="537"/>
      <c r="T9" s="537"/>
      <c r="U9" s="537"/>
      <c r="V9" s="537"/>
      <c r="W9" s="1109"/>
      <c r="X9" s="1109"/>
      <c r="Y9" s="1041">
        <f t="shared" si="1"/>
        <v>2011</v>
      </c>
      <c r="Z9" s="1026"/>
    </row>
    <row r="10" spans="1:26">
      <c r="A10" s="185" t="str">
        <f t="array" ref="A10">IF($W$2="Mismatch Error","Mismatch Error",IF($B$5=$X$1,INDEX('Data - Monthly Commodity Prices'!$AJ$9:$AO$3501,MATCH(1,(('Data - Monthly Commodity Prices'!$AJ$9:$AJ$3501)="Petroleum")*(('Data - Monthly Commodity Prices'!$AK$9:$AK$3501)=$B$6)*(('Data - Monthly Commodity Prices'!$AM$9:$AM$3501)=B10),0),3),INDEX('Data - Monthly Commodity Prices'!$AQ$9:$AV$3495,MATCH(1,(('Data - Monthly Commodity Prices'!$AQ$9:$AQ$3495)="Petroleum")*(('Data - Monthly Commodity Prices'!$AR$9:$AR$3495)=$B$6)*(('Data - Monthly Commodity Prices'!$AT$9:$AT$3495)=B10),0),3)))</f>
        <v>Japan</v>
      </c>
      <c r="B10" s="184">
        <v>1</v>
      </c>
      <c r="C10" s="183">
        <f t="array" ref="C10">IF($W$2="Mismatch Error","",IF($B$5=$X$1,INDEX('Data - Monthly Commodity Prices'!$AJ$9:$AO$3501,MATCH(1,(('Data - Monthly Commodity Prices'!$AJ$9:$AJ$3501)="Petroleum")*(('Data - Monthly Commodity Prices'!$AK$9:$AK$3501)=$B$6)*(('Data - Monthly Commodity Prices'!$AM$9:$AM$3501)=B10),0),5),INDEX('Data - Monthly Commodity Prices'!$AQ$9:$AV$3495,MATCH(1,(('Data - Monthly Commodity Prices'!$AQ$9:$AQ$3495)="Petroleum")*(('Data - Monthly Commodity Prices'!$AR$9:$AR$3495)=$B$6)*(('Data - Monthly Commodity Prices'!$AT$9:$AT$3495)=B10),0),5)))</f>
        <v>15230864464.184933</v>
      </c>
      <c r="D10" s="182">
        <f>IF($W$2="Mismatch Error","",C10/$C$21)</f>
        <v>0.41063164652227868</v>
      </c>
      <c r="S10" s="537"/>
      <c r="T10" s="537"/>
      <c r="U10" s="537"/>
      <c r="V10" s="537"/>
      <c r="W10" s="1109"/>
      <c r="X10" s="1109"/>
      <c r="Y10" s="1041">
        <f t="shared" si="1"/>
        <v>2010</v>
      </c>
      <c r="Z10" s="1026"/>
    </row>
    <row r="11" spans="1:26">
      <c r="A11" s="13" t="str">
        <f t="array" ref="A11">IF($W$2="Mismatch Error","",IF($B$5=$X$1,INDEX('Data - Monthly Commodity Prices'!$AJ$9:$AO$3501,MATCH(1,(('Data - Monthly Commodity Prices'!$AJ$9:$AJ$3501)="Petroleum")*(('Data - Monthly Commodity Prices'!$AK$9:$AK$3501)=$B$6)*(('Data - Monthly Commodity Prices'!$AM$9:$AM$3501)=B11),0),3),INDEX('Data - Monthly Commodity Prices'!$AQ$9:$AV$3495,MATCH(1,(('Data - Monthly Commodity Prices'!$AQ$9:$AQ$3495)="Petroleum")*(('Data - Monthly Commodity Prices'!$AR$9:$AR$3495)=$B$6)*(('Data - Monthly Commodity Prices'!$AT$9:$AT$3495)=B11),0),3)))</f>
        <v>China</v>
      </c>
      <c r="B11" s="11">
        <v>2</v>
      </c>
      <c r="C11" s="55">
        <f t="array" ref="C11">IF($W$2="Mismatch Error","",IF($B$5=$X$1,INDEX('Data - Monthly Commodity Prices'!$AJ$9:$AO$3501,MATCH(1,(('Data - Monthly Commodity Prices'!$AJ$9:$AJ$3501)="Petroleum")*(('Data - Monthly Commodity Prices'!$AK$9:$AK$3501)=$B$6)*(('Data - Monthly Commodity Prices'!$AM$9:$AM$3501)=B11),0),5),INDEX('Data - Monthly Commodity Prices'!$AQ$9:$AV$3495,MATCH(1,(('Data - Monthly Commodity Prices'!$AQ$9:$AQ$3495)="Petroleum")*(('Data - Monthly Commodity Prices'!$AR$9:$AR$3495)=$B$6)*(('Data - Monthly Commodity Prices'!$AT$9:$AT$3495)=B11),0),5)))</f>
        <v>6161561303.8123999</v>
      </c>
      <c r="D11" s="1088">
        <f t="shared" ref="D11:D20" si="2">IF($W$2="Mismatch Error","",C11/$C$21)</f>
        <v>0.16611874324546699</v>
      </c>
      <c r="S11" s="537"/>
      <c r="T11" s="537"/>
      <c r="U11" s="537"/>
      <c r="V11" s="537"/>
      <c r="W11" s="1109"/>
      <c r="X11" s="1109"/>
      <c r="Y11" s="1041">
        <f t="shared" si="1"/>
        <v>2009</v>
      </c>
      <c r="Z11" s="1026"/>
    </row>
    <row r="12" spans="1:26">
      <c r="A12" s="185" t="str">
        <f t="array" ref="A12">IF($W$2="Mismatch Error","",IF($B$5=$X$1,INDEX('Data - Monthly Commodity Prices'!$AJ$9:$AO$3501,MATCH(1,(('Data - Monthly Commodity Prices'!$AJ$9:$AJ$3501)="Petroleum")*(('Data - Monthly Commodity Prices'!$AK$9:$AK$3501)=$B$6)*(('Data - Monthly Commodity Prices'!$AM$9:$AM$3501)=B12),0),3),INDEX('Data - Monthly Commodity Prices'!$AQ$9:$AV$3495,MATCH(1,(('Data - Monthly Commodity Prices'!$AQ$9:$AQ$3495)="Petroleum")*(('Data - Monthly Commodity Prices'!$AR$9:$AR$3495)=$B$6)*(('Data - Monthly Commodity Prices'!$AT$9:$AT$3495)=B12),0),3)))</f>
        <v>Singapore</v>
      </c>
      <c r="B12" s="184">
        <v>3</v>
      </c>
      <c r="C12" s="183">
        <f t="array" ref="C12">IF($W$2="Mismatch Error","",IF($B$5=$X$1,INDEX('Data - Monthly Commodity Prices'!$AJ$9:$AO$3501,MATCH(1,(('Data - Monthly Commodity Prices'!$AJ$9:$AJ$3501)="Petroleum")*(('Data - Monthly Commodity Prices'!$AK$9:$AK$3501)=$B$6)*(('Data - Monthly Commodity Prices'!$AM$9:$AM$3501)=B12),0),5),INDEX('Data - Monthly Commodity Prices'!$AQ$9:$AV$3495,MATCH(1,(('Data - Monthly Commodity Prices'!$AQ$9:$AQ$3495)="Petroleum")*(('Data - Monthly Commodity Prices'!$AR$9:$AR$3495)=$B$6)*(('Data - Monthly Commodity Prices'!$AT$9:$AT$3495)=B12),0),5)))</f>
        <v>5969176325.3473015</v>
      </c>
      <c r="D12" s="182">
        <f t="shared" si="2"/>
        <v>0.16093194897919</v>
      </c>
      <c r="S12" s="537"/>
      <c r="T12" s="537"/>
      <c r="U12" s="537"/>
      <c r="V12" s="537"/>
      <c r="W12" s="1109"/>
      <c r="X12" s="1109"/>
      <c r="Y12" s="1041">
        <f t="shared" si="1"/>
        <v>2008</v>
      </c>
      <c r="Z12" s="1026"/>
    </row>
    <row r="13" spans="1:26">
      <c r="A13" s="13" t="str">
        <f t="array" ref="A13">IF($W$2="Mismatch Error","",IF($B$5=$X$1,INDEX('Data - Monthly Commodity Prices'!$AJ$9:$AO$3501,MATCH(1,(('Data - Monthly Commodity Prices'!$AJ$9:$AJ$3501)="Petroleum")*(('Data - Monthly Commodity Prices'!$AK$9:$AK$3501)=$B$6)*(('Data - Monthly Commodity Prices'!$AM$9:$AM$3501)=B13),0),3),INDEX('Data - Monthly Commodity Prices'!$AQ$9:$AV$3495,MATCH(1,(('Data - Monthly Commodity Prices'!$AQ$9:$AQ$3495)="Petroleum")*(('Data - Monthly Commodity Prices'!$AR$9:$AR$3495)=$B$6)*(('Data - Monthly Commodity Prices'!$AT$9:$AT$3495)=B13),0),3)))</f>
        <v>Korea, Republic Of</v>
      </c>
      <c r="B13" s="11">
        <v>4</v>
      </c>
      <c r="C13" s="55">
        <f t="array" ref="C13">IF($W$2="Mismatch Error","",IF($B$5=$X$1,INDEX('Data - Monthly Commodity Prices'!$AJ$9:$AO$3501,MATCH(1,(('Data - Monthly Commodity Prices'!$AJ$9:$AJ$3501)="Petroleum")*(('Data - Monthly Commodity Prices'!$AK$9:$AK$3501)=$B$6)*(('Data - Monthly Commodity Prices'!$AM$9:$AM$3501)=B13),0),5),INDEX('Data - Monthly Commodity Prices'!$AQ$9:$AV$3495,MATCH(1,(('Data - Monthly Commodity Prices'!$AQ$9:$AQ$3495)="Petroleum")*(('Data - Monthly Commodity Prices'!$AR$9:$AR$3495)=$B$6)*(('Data - Monthly Commodity Prices'!$AT$9:$AT$3495)=B13),0),5)))</f>
        <v>2970195082.8455005</v>
      </c>
      <c r="D13" s="1088">
        <f t="shared" si="2"/>
        <v>8.0077929931634553E-2</v>
      </c>
      <c r="S13" s="537"/>
      <c r="T13" s="537"/>
      <c r="U13" s="537"/>
      <c r="V13" s="537"/>
      <c r="W13" s="537"/>
      <c r="X13" s="537"/>
      <c r="Y13" s="1041">
        <f t="shared" si="1"/>
        <v>2007</v>
      </c>
      <c r="Z13" s="1026"/>
    </row>
    <row r="14" spans="1:26">
      <c r="A14" s="185" t="str">
        <f t="array" ref="A14">IF($W$2="Mismatch Error","",IF($B$5=$X$1,INDEX('Data - Monthly Commodity Prices'!$AJ$9:$AO$3501,MATCH(1,(('Data - Monthly Commodity Prices'!$AJ$9:$AJ$3501)="Petroleum")*(('Data - Monthly Commodity Prices'!$AK$9:$AK$3501)=$B$6)*(('Data - Monthly Commodity Prices'!$AM$9:$AM$3501)=B14),0),3),INDEX('Data - Monthly Commodity Prices'!$AQ$9:$AV$3495,MATCH(1,(('Data - Monthly Commodity Prices'!$AQ$9:$AQ$3495)="Petroleum")*(('Data - Monthly Commodity Prices'!$AR$9:$AR$3495)=$B$6)*(('Data - Monthly Commodity Prices'!$AT$9:$AT$3495)=B14),0),3)))</f>
        <v>Malaysia</v>
      </c>
      <c r="B14" s="184">
        <v>5</v>
      </c>
      <c r="C14" s="183">
        <f t="array" ref="C14">IF($W$2="Mismatch Error","",IF($B$5=$X$1,INDEX('Data - Monthly Commodity Prices'!$AJ$9:$AO$3501,MATCH(1,(('Data - Monthly Commodity Prices'!$AJ$9:$AJ$3501)="Petroleum")*(('Data - Monthly Commodity Prices'!$AK$9:$AK$3501)=$B$6)*(('Data - Monthly Commodity Prices'!$AM$9:$AM$3501)=B14),0),5),INDEX('Data - Monthly Commodity Prices'!$AQ$9:$AV$3495,MATCH(1,(('Data - Monthly Commodity Prices'!$AQ$9:$AQ$3495)="Petroleum")*(('Data - Monthly Commodity Prices'!$AR$9:$AR$3495)=$B$6)*(('Data - Monthly Commodity Prices'!$AT$9:$AT$3495)=B14),0),5)))</f>
        <v>1913219561.3520002</v>
      </c>
      <c r="D14" s="182">
        <f t="shared" si="2"/>
        <v>5.1581346579768539E-2</v>
      </c>
      <c r="S14" s="537"/>
      <c r="T14" s="537"/>
      <c r="U14" s="537"/>
      <c r="V14" s="537"/>
      <c r="W14" s="537"/>
      <c r="X14" s="537"/>
      <c r="Y14" s="1041" t="str">
        <f t="shared" si="1"/>
        <v/>
      </c>
      <c r="Z14" s="1026"/>
    </row>
    <row r="15" spans="1:26">
      <c r="A15" s="13" t="str">
        <f t="array" ref="A15">IF($W$2="Mismatch Error","",IF($B$5=$X$1,INDEX('Data - Monthly Commodity Prices'!$AJ$9:$AO$3501,MATCH(1,(('Data - Monthly Commodity Prices'!$AJ$9:$AJ$3501)="Petroleum")*(('Data - Monthly Commodity Prices'!$AK$9:$AK$3501)=$B$6)*(('Data - Monthly Commodity Prices'!$AM$9:$AM$3501)=B15),0),3),INDEX('Data - Monthly Commodity Prices'!$AQ$9:$AV$3495,MATCH(1,(('Data - Monthly Commodity Prices'!$AQ$9:$AQ$3495)="Petroleum")*(('Data - Monthly Commodity Prices'!$AR$9:$AR$3495)=$B$6)*(('Data - Monthly Commodity Prices'!$AT$9:$AT$3495)=B15),0),3)))</f>
        <v>Taiwan, Province Of China</v>
      </c>
      <c r="B15" s="11">
        <v>6</v>
      </c>
      <c r="C15" s="55">
        <f t="array" ref="C15">IF($W$2="Mismatch Error","",IF($B$5=$X$1,INDEX('Data - Monthly Commodity Prices'!$AJ$9:$AO$3501,MATCH(1,(('Data - Monthly Commodity Prices'!$AJ$9:$AJ$3501)="Petroleum")*(('Data - Monthly Commodity Prices'!$AK$9:$AK$3501)=$B$6)*(('Data - Monthly Commodity Prices'!$AM$9:$AM$3501)=B15),0),5),INDEX('Data - Monthly Commodity Prices'!$AQ$9:$AV$3495,MATCH(1,(('Data - Monthly Commodity Prices'!$AQ$9:$AQ$3495)="Petroleum")*(('Data - Monthly Commodity Prices'!$AR$9:$AR$3495)=$B$6)*(('Data - Monthly Commodity Prices'!$AT$9:$AT$3495)=B15),0),5)))</f>
        <v>1395790158.1521003</v>
      </c>
      <c r="D15" s="1088">
        <f t="shared" si="2"/>
        <v>3.7631193698122158E-2</v>
      </c>
      <c r="S15" s="537"/>
      <c r="T15" s="537"/>
      <c r="U15" s="537"/>
      <c r="V15" s="537"/>
      <c r="W15" s="537"/>
      <c r="X15" s="537"/>
      <c r="Y15" s="1041" t="str">
        <f t="shared" si="1"/>
        <v/>
      </c>
      <c r="Z15" s="1026"/>
    </row>
    <row r="16" spans="1:26">
      <c r="A16" s="185" t="str">
        <f t="array" ref="A16">IF($W$2="Mismatch Error","",IF($B$5=$X$1,INDEX('Data - Monthly Commodity Prices'!$AJ$9:$AO$3501,MATCH(1,(('Data - Monthly Commodity Prices'!$AJ$9:$AJ$3501)="Petroleum")*(('Data - Monthly Commodity Prices'!$AK$9:$AK$3501)=$B$6)*(('Data - Monthly Commodity Prices'!$AM$9:$AM$3501)=B16),0),3),INDEX('Data - Monthly Commodity Prices'!$AQ$9:$AV$3495,MATCH(1,(('Data - Monthly Commodity Prices'!$AQ$9:$AQ$3495)="Petroleum")*(('Data - Monthly Commodity Prices'!$AR$9:$AR$3495)=$B$6)*(('Data - Monthly Commodity Prices'!$AT$9:$AT$3495)=B16),0),3)))</f>
        <v>Thailand</v>
      </c>
      <c r="B16" s="184">
        <v>7</v>
      </c>
      <c r="C16" s="183">
        <f t="array" ref="C16">IF($W$2="Mismatch Error","",IF($B$5=$X$1,INDEX('Data - Monthly Commodity Prices'!$AJ$9:$AO$3501,MATCH(1,(('Data - Monthly Commodity Prices'!$AJ$9:$AJ$3501)="Petroleum")*(('Data - Monthly Commodity Prices'!$AK$9:$AK$3501)=$B$6)*(('Data - Monthly Commodity Prices'!$AM$9:$AM$3501)=B16),0),5),INDEX('Data - Monthly Commodity Prices'!$AQ$9:$AV$3495,MATCH(1,(('Data - Monthly Commodity Prices'!$AQ$9:$AQ$3495)="Petroleum")*(('Data - Monthly Commodity Prices'!$AR$9:$AR$3495)=$B$6)*(('Data - Monthly Commodity Prices'!$AT$9:$AT$3495)=B16),0),5)))</f>
        <v>1123456464.8697007</v>
      </c>
      <c r="D16" s="182">
        <f t="shared" si="2"/>
        <v>3.0288942498985807E-2</v>
      </c>
      <c r="S16" s="537"/>
      <c r="T16" s="537"/>
      <c r="U16" s="537"/>
      <c r="V16" s="537"/>
      <c r="W16" s="537"/>
      <c r="X16" s="537"/>
      <c r="Y16" s="1041" t="str">
        <f t="shared" si="1"/>
        <v/>
      </c>
      <c r="Z16" s="1026"/>
    </row>
    <row r="17" spans="1:26">
      <c r="A17" s="13" t="str">
        <f t="array" ref="A17">IF($W$2="Mismatch Error","",IF($B$5=$X$1,INDEX('Data - Monthly Commodity Prices'!$AJ$9:$AO$3501,MATCH(1,(('Data - Monthly Commodity Prices'!$AJ$9:$AJ$3501)="Petroleum")*(('Data - Monthly Commodity Prices'!$AK$9:$AK$3501)=$B$6)*(('Data - Monthly Commodity Prices'!$AM$9:$AM$3501)=B17),0),3),INDEX('Data - Monthly Commodity Prices'!$AQ$9:$AV$3495,MATCH(1,(('Data - Monthly Commodity Prices'!$AQ$9:$AQ$3495)="Petroleum")*(('Data - Monthly Commodity Prices'!$AR$9:$AR$3495)=$B$6)*(('Data - Monthly Commodity Prices'!$AT$9:$AT$3495)=B17),0),3)))</f>
        <v>Indonesia</v>
      </c>
      <c r="B17" s="11">
        <v>8</v>
      </c>
      <c r="C17" s="55">
        <f t="array" ref="C17">IF($W$2="Mismatch Error","",IF($B$5=$X$1,INDEX('Data - Monthly Commodity Prices'!$AJ$9:$AO$3501,MATCH(1,(('Data - Monthly Commodity Prices'!$AJ$9:$AJ$3501)="Petroleum")*(('Data - Monthly Commodity Prices'!$AK$9:$AK$3501)=$B$6)*(('Data - Monthly Commodity Prices'!$AM$9:$AM$3501)=B17),0),5),INDEX('Data - Monthly Commodity Prices'!$AQ$9:$AV$3495,MATCH(1,(('Data - Monthly Commodity Prices'!$AQ$9:$AQ$3495)="Petroleum")*(('Data - Monthly Commodity Prices'!$AR$9:$AR$3495)=$B$6)*(('Data - Monthly Commodity Prices'!$AT$9:$AT$3495)=B17),0),5)))</f>
        <v>874079850.3312</v>
      </c>
      <c r="D17" s="1088">
        <f t="shared" si="2"/>
        <v>2.3565625508483255E-2</v>
      </c>
      <c r="S17" s="537"/>
      <c r="T17" s="537"/>
      <c r="U17" s="537"/>
      <c r="V17" s="537"/>
      <c r="W17" s="537"/>
      <c r="X17" s="537"/>
      <c r="Y17" s="1041" t="str">
        <f t="shared" si="1"/>
        <v/>
      </c>
      <c r="Z17" s="1026"/>
    </row>
    <row r="18" spans="1:26">
      <c r="A18" s="185" t="str">
        <f t="array" ref="A18">IF($W$2="Mismatch Error","",IF($B$5=$X$1,INDEX('Data - Monthly Commodity Prices'!$AJ$9:$AO$3501,MATCH(1,(('Data - Monthly Commodity Prices'!$AJ$9:$AJ$3501)="Petroleum")*(('Data - Monthly Commodity Prices'!$AK$9:$AK$3501)=$B$6)*(('Data - Monthly Commodity Prices'!$AM$9:$AM$3501)=B18),0),3),INDEX('Data - Monthly Commodity Prices'!$AQ$9:$AV$3495,MATCH(1,(('Data - Monthly Commodity Prices'!$AQ$9:$AQ$3495)="Petroleum")*(('Data - Monthly Commodity Prices'!$AR$9:$AR$3495)=$B$6)*(('Data - Monthly Commodity Prices'!$AT$9:$AT$3495)=B18),0),3)))</f>
        <v>India</v>
      </c>
      <c r="B18" s="184">
        <v>9</v>
      </c>
      <c r="C18" s="183">
        <f t="array" ref="C18">IF($W$2="Mismatch Error","",IF($B$5=$X$1,INDEX('Data - Monthly Commodity Prices'!$AJ$9:$AO$3501,MATCH(1,(('Data - Monthly Commodity Prices'!$AJ$9:$AJ$3501)="Petroleum")*(('Data - Monthly Commodity Prices'!$AK$9:$AK$3501)=$B$6)*(('Data - Monthly Commodity Prices'!$AM$9:$AM$3501)=B18),0),5),INDEX('Data - Monthly Commodity Prices'!$AQ$9:$AV$3495,MATCH(1,(('Data - Monthly Commodity Prices'!$AQ$9:$AQ$3495)="Petroleum")*(('Data - Monthly Commodity Prices'!$AR$9:$AR$3495)=$B$6)*(('Data - Monthly Commodity Prices'!$AT$9:$AT$3495)=B18),0),5)))</f>
        <v>466023281.55539995</v>
      </c>
      <c r="D18" s="182">
        <f t="shared" si="2"/>
        <v>1.2564218391726726E-2</v>
      </c>
      <c r="S18" s="537"/>
      <c r="T18" s="537"/>
      <c r="U18" s="537"/>
      <c r="V18" s="537"/>
      <c r="W18" s="537"/>
      <c r="X18" s="537"/>
      <c r="Y18" s="1041" t="str">
        <f t="shared" si="1"/>
        <v/>
      </c>
      <c r="Z18" s="1026"/>
    </row>
    <row r="19" spans="1:26">
      <c r="A19" s="13" t="str">
        <f t="array" ref="A19">IF($W$2="Mismatch Error","",IF($B$5=$X$1,INDEX('Data - Monthly Commodity Prices'!$AJ$9:$AO$3501,MATCH(1,(('Data - Monthly Commodity Prices'!$AJ$9:$AJ$3501)="Petroleum")*(('Data - Monthly Commodity Prices'!$AK$9:$AK$3501)=$B$6)*(('Data - Monthly Commodity Prices'!$AM$9:$AM$3501)=B19),0),3),INDEX('Data - Monthly Commodity Prices'!$AQ$9:$AV$3495,MATCH(1,(('Data - Monthly Commodity Prices'!$AQ$9:$AQ$3495)="Petroleum")*(('Data - Monthly Commodity Prices'!$AR$9:$AR$3495)=$B$6)*(('Data - Monthly Commodity Prices'!$AT$9:$AT$3495)=B19),0),3)))</f>
        <v>United Arab Emirates</v>
      </c>
      <c r="B19" s="11">
        <v>10</v>
      </c>
      <c r="C19" s="55">
        <f t="array" ref="C19">IF($W$2="Mismatch Error","",IF($B$5=$X$1,INDEX('Data - Monthly Commodity Prices'!$AJ$9:$AO$3501,MATCH(1,(('Data - Monthly Commodity Prices'!$AJ$9:$AJ$3501)="Petroleum")*(('Data - Monthly Commodity Prices'!$AK$9:$AK$3501)=$B$6)*(('Data - Monthly Commodity Prices'!$AM$9:$AM$3501)=B19),0),5),INDEX('Data - Monthly Commodity Prices'!$AQ$9:$AV$3495,MATCH(1,(('Data - Monthly Commodity Prices'!$AQ$9:$AQ$3495)="Petroleum")*(('Data - Monthly Commodity Prices'!$AR$9:$AR$3495)=$B$6)*(('Data - Monthly Commodity Prices'!$AT$9:$AT$3495)=B19),0),5)))</f>
        <v>419439454.86780006</v>
      </c>
      <c r="D19" s="1088">
        <f t="shared" si="2"/>
        <v>1.1308295361289512E-2</v>
      </c>
      <c r="S19" s="537"/>
      <c r="T19" s="537"/>
      <c r="U19" s="537"/>
      <c r="V19" s="537"/>
      <c r="W19" s="537"/>
      <c r="X19" s="537"/>
      <c r="Y19" s="1041" t="str">
        <f t="shared" si="1"/>
        <v/>
      </c>
      <c r="Z19" s="1026"/>
    </row>
    <row r="20" spans="1:26" ht="15.75" thickBot="1">
      <c r="A20" s="181" t="str">
        <f>IF($W$2="Mismatch Error","","Other")</f>
        <v>Other</v>
      </c>
      <c r="B20" s="180"/>
      <c r="C20" s="179">
        <f>IF($W$2="Mismatch Error","",IF($B$5=$X$1,SUMIFS('Data - Monthly Commodity Prices'!$AN$9:$AN$3501,'Data - Monthly Commodity Prices'!$AJ$9:$AJ$3501,"Petroleum",'Data - Monthly Commodity Prices'!$AK$9:$AK$3501,$B$6,'Data - Monthly Commodity Prices'!$AL$9:$AL$3501,"TOTAL")-SUM($C$10:$C$19),SUMIFS('Data - Monthly Commodity Prices'!$AU$9:$AU$3495,'Data - Monthly Commodity Prices'!$AQ$9:$AQ$3495,"Petroleum",'Data - Monthly Commodity Prices'!$AR$9:$AR$3495,$B$6,'Data - Monthly Commodity Prices'!$AS$9:$AS$3495,"TOTAL")-SUM($C$10:$C$19)))</f>
        <v>567501050.51820374</v>
      </c>
      <c r="D20" s="1108">
        <f t="shared" si="2"/>
        <v>1.5300109283053979E-2</v>
      </c>
      <c r="E20" s="537"/>
      <c r="S20" s="537"/>
      <c r="T20" s="537"/>
      <c r="U20" s="537"/>
      <c r="V20" s="537"/>
      <c r="W20" s="537"/>
      <c r="X20" s="537"/>
      <c r="Y20" s="1041" t="str">
        <f t="shared" si="1"/>
        <v/>
      </c>
      <c r="Z20" s="1026"/>
    </row>
    <row r="21" spans="1:26">
      <c r="A21" s="1068" t="str">
        <f>IF($W$2="Mismatch Error","","Grand Total")</f>
        <v>Grand Total</v>
      </c>
      <c r="B21" s="1065"/>
      <c r="C21" s="1066">
        <f>IF($W$2="Mismatch Error","",IF($B$5=$X$1,SUMIFS('Data - Monthly Commodity Prices'!$AN$9:$AN$3501,'Data - Monthly Commodity Prices'!$AJ$9:$AJ$3501,"Petroleum",'Data - Monthly Commodity Prices'!$AK$9:$AK$3501,$B$6,'Data - Monthly Commodity Prices'!$AL$9:$AL$3501,"TOTAL"),SUMIFS('Data - Monthly Commodity Prices'!$AU$9:$AU$3495,'Data - Monthly Commodity Prices'!$AQ$9:$AQ$3495,"Petroleum",'Data - Monthly Commodity Prices'!$AR$9:$AR$3495,$B$6,'Data - Monthly Commodity Prices'!$AS$9:$AS$3495,"TOTAL")))</f>
        <v>37091306997.836533</v>
      </c>
      <c r="D21" s="1067"/>
      <c r="S21" s="537"/>
      <c r="T21" s="537"/>
      <c r="U21" s="537"/>
      <c r="V21" s="537"/>
      <c r="W21" s="537"/>
      <c r="X21" s="537"/>
      <c r="Y21" s="1041" t="str">
        <f t="shared" si="1"/>
        <v/>
      </c>
      <c r="Z21" s="1026"/>
    </row>
    <row r="22" spans="1:26">
      <c r="S22" s="537"/>
      <c r="T22" s="537"/>
      <c r="U22" s="537"/>
      <c r="V22" s="537"/>
      <c r="W22" s="537"/>
      <c r="X22" s="537"/>
      <c r="Y22" s="1041" t="str">
        <f t="shared" si="1"/>
        <v/>
      </c>
      <c r="Z22" s="1026"/>
    </row>
    <row r="23" spans="1:26">
      <c r="A23" s="1970" t="str">
        <f>IF(A10="Mismatch Error","You have selected an incompatible year or year type. Change one or the other to display data.","")</f>
        <v/>
      </c>
      <c r="B23" s="1970"/>
      <c r="C23" s="1970"/>
      <c r="D23" s="1970"/>
      <c r="S23" s="537"/>
      <c r="T23" s="537"/>
      <c r="U23" s="537"/>
      <c r="V23" s="537"/>
      <c r="W23" s="537"/>
      <c r="X23" s="537"/>
      <c r="Y23" s="1041" t="str">
        <f t="shared" si="1"/>
        <v/>
      </c>
      <c r="Z23" s="1026"/>
    </row>
    <row r="24" spans="1:26">
      <c r="A24" s="1970"/>
      <c r="B24" s="1970"/>
      <c r="C24" s="1970"/>
      <c r="D24" s="1970"/>
      <c r="S24" s="537"/>
      <c r="T24" s="537"/>
      <c r="U24" s="537"/>
      <c r="V24" s="537"/>
      <c r="W24" s="537"/>
      <c r="X24" s="537"/>
      <c r="Y24" s="1041" t="str">
        <f t="shared" si="1"/>
        <v/>
      </c>
      <c r="Z24" s="1026"/>
    </row>
    <row r="25" spans="1:26" ht="15" customHeight="1">
      <c r="A25" s="1970"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70"/>
      <c r="C25" s="1970"/>
      <c r="D25" s="1970"/>
      <c r="S25" s="537"/>
      <c r="T25" s="537"/>
      <c r="U25" s="537"/>
      <c r="V25" s="537"/>
      <c r="W25" s="537"/>
      <c r="X25" s="537"/>
      <c r="Y25" s="1041" t="str">
        <f t="shared" si="1"/>
        <v/>
      </c>
      <c r="Z25" s="1026"/>
    </row>
    <row r="26" spans="1:26">
      <c r="A26" s="1970"/>
      <c r="B26" s="1970"/>
      <c r="C26" s="1970"/>
      <c r="D26" s="1970"/>
      <c r="S26" s="537"/>
      <c r="T26" s="537"/>
      <c r="U26" s="537"/>
      <c r="V26" s="537"/>
      <c r="W26" s="537"/>
      <c r="X26" s="537"/>
      <c r="Y26" s="1041"/>
      <c r="Z26" s="1026"/>
    </row>
    <row r="27" spans="1:26">
      <c r="A27" s="1970"/>
      <c r="B27" s="1970"/>
      <c r="C27" s="1970"/>
      <c r="D27" s="1970"/>
      <c r="S27" s="537"/>
      <c r="T27" s="537"/>
      <c r="U27" s="537"/>
      <c r="V27" s="537"/>
      <c r="W27" s="537"/>
      <c r="X27" s="537"/>
      <c r="Y27" s="1041"/>
      <c r="Z27" s="1026"/>
    </row>
    <row r="28" spans="1:26">
      <c r="A28" s="1970"/>
      <c r="B28" s="1970"/>
      <c r="C28" s="1970"/>
      <c r="D28" s="1970"/>
      <c r="S28" s="537"/>
      <c r="T28" s="537"/>
      <c r="U28" s="537"/>
      <c r="V28" s="537"/>
      <c r="W28" s="537"/>
      <c r="X28" s="537"/>
      <c r="Y28" s="1041"/>
      <c r="Z28" s="1026"/>
    </row>
    <row r="29" spans="1:26">
      <c r="S29" s="537"/>
      <c r="T29" s="537"/>
      <c r="U29" s="537"/>
      <c r="V29" s="537"/>
      <c r="W29" s="537"/>
      <c r="X29" s="537"/>
      <c r="Y29" s="1041"/>
      <c r="Z29" s="1026"/>
    </row>
    <row r="30" spans="1:26">
      <c r="S30" s="537"/>
      <c r="T30" s="537"/>
      <c r="U30" s="537"/>
      <c r="V30" s="537"/>
      <c r="W30" s="537"/>
      <c r="X30" s="537"/>
      <c r="Y30" s="1041"/>
      <c r="Z30" s="1026"/>
    </row>
    <row r="31" spans="1:26">
      <c r="S31" s="537"/>
      <c r="T31" s="537"/>
      <c r="U31" s="537"/>
      <c r="V31" s="537"/>
      <c r="W31" s="537"/>
      <c r="X31" s="537"/>
      <c r="Y31" s="1109"/>
      <c r="Z31" s="537"/>
    </row>
    <row r="32" spans="1:26">
      <c r="E32" s="1064"/>
      <c r="S32" s="537"/>
      <c r="T32" s="537"/>
      <c r="U32" s="537"/>
      <c r="V32" s="537"/>
      <c r="W32" s="537"/>
      <c r="X32" s="537"/>
      <c r="Y32" s="537"/>
      <c r="Z32" s="537"/>
    </row>
    <row r="33" spans="5:26">
      <c r="E33" s="1064"/>
      <c r="S33" s="537"/>
      <c r="T33" s="537"/>
      <c r="U33" s="537"/>
      <c r="V33" s="537"/>
      <c r="W33" s="537"/>
      <c r="X33" s="537"/>
      <c r="Y33" s="537"/>
      <c r="Z33" s="537"/>
    </row>
    <row r="34" spans="5:26">
      <c r="E34" s="1064"/>
    </row>
    <row r="35" spans="5:26">
      <c r="E35" s="1064"/>
    </row>
    <row r="36" spans="5:26">
      <c r="E36" s="1064"/>
    </row>
    <row r="37" spans="5:26">
      <c r="E37" s="1064"/>
    </row>
    <row r="38" spans="5:26">
      <c r="E38" s="1064"/>
    </row>
    <row r="39" spans="5:26">
      <c r="E39" s="1064"/>
    </row>
    <row r="40" spans="5:26">
      <c r="E40" s="1064"/>
    </row>
    <row r="41" spans="5:26">
      <c r="E41" s="1064"/>
    </row>
    <row r="42" spans="5:26">
      <c r="E42" s="1064"/>
    </row>
    <row r="43" spans="5:26">
      <c r="E43" s="1064"/>
    </row>
    <row r="44" spans="5:26">
      <c r="E44" s="1064"/>
    </row>
    <row r="45" spans="5:26">
      <c r="E45" s="1064"/>
    </row>
    <row r="46" spans="5:26">
      <c r="E46" s="1064"/>
    </row>
    <row r="47" spans="5:26">
      <c r="E47" s="1064"/>
    </row>
    <row r="48" spans="5:26">
      <c r="E48" s="1064"/>
    </row>
    <row r="49" spans="5:5">
      <c r="E49" s="1064"/>
    </row>
    <row r="50" spans="5:5">
      <c r="E50" s="1064"/>
    </row>
    <row r="51" spans="5:5">
      <c r="E51" s="1064"/>
    </row>
    <row r="52" spans="5:5">
      <c r="E52" s="1064"/>
    </row>
    <row r="53" spans="5:5">
      <c r="E53" s="1064"/>
    </row>
    <row r="54" spans="5:5">
      <c r="E54" s="1064"/>
    </row>
    <row r="55" spans="5:5">
      <c r="E55" s="1064"/>
    </row>
    <row r="56" spans="5:5">
      <c r="E56" s="1064"/>
    </row>
    <row r="57" spans="5:5">
      <c r="E57" s="1064"/>
    </row>
    <row r="58" spans="5:5">
      <c r="E58" s="1064"/>
    </row>
    <row r="59" spans="5:5">
      <c r="E59" s="1064"/>
    </row>
    <row r="60" spans="5:5">
      <c r="E60" s="1064"/>
    </row>
    <row r="61" spans="5:5">
      <c r="E61" s="1064"/>
    </row>
    <row r="62" spans="5:5">
      <c r="E62" s="1064"/>
    </row>
    <row r="63" spans="5:5">
      <c r="E63" s="1064"/>
    </row>
    <row r="64" spans="5:5">
      <c r="E64" s="1064"/>
    </row>
    <row r="67" spans="5:5">
      <c r="E67" s="1064"/>
    </row>
    <row r="68" spans="5:5">
      <c r="E68" s="1064"/>
    </row>
    <row r="69" spans="5:5">
      <c r="E69" s="1064"/>
    </row>
    <row r="70" spans="5:5">
      <c r="E70" s="1064"/>
    </row>
    <row r="71" spans="5:5">
      <c r="E71" s="1064"/>
    </row>
    <row r="72" spans="5:5">
      <c r="E72" s="1064"/>
    </row>
    <row r="73" spans="5:5">
      <c r="E73" s="1064"/>
    </row>
    <row r="74" spans="5:5">
      <c r="E74" s="1064"/>
    </row>
    <row r="75" spans="5:5">
      <c r="E75" s="1064"/>
    </row>
    <row r="76" spans="5:5">
      <c r="E76" s="1064"/>
    </row>
    <row r="77" spans="5:5">
      <c r="E77" s="1064"/>
    </row>
    <row r="78" spans="5:5">
      <c r="E78" s="1064"/>
    </row>
    <row r="79" spans="5:5">
      <c r="E79" s="1064"/>
    </row>
    <row r="80" spans="5:5">
      <c r="E80" s="1064"/>
    </row>
    <row r="81" spans="5:5">
      <c r="E81" s="1064"/>
    </row>
  </sheetData>
  <mergeCells count="5">
    <mergeCell ref="B5:D5"/>
    <mergeCell ref="B6:D6"/>
    <mergeCell ref="A8:D8"/>
    <mergeCell ref="A23:D24"/>
    <mergeCell ref="A25:D28"/>
  </mergeCells>
  <conditionalFormatting sqref="A10">
    <cfRule type="containsText" dxfId="0"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8" tint="0.39997558519241921"/>
  </sheetPr>
  <dimension ref="A1:W64"/>
  <sheetViews>
    <sheetView zoomScaleNormal="100" workbookViewId="0"/>
  </sheetViews>
  <sheetFormatPr defaultRowHeight="15"/>
  <cols>
    <col min="1" max="1" width="15.7109375" style="140" customWidth="1"/>
    <col min="2" max="2" width="21.85546875" style="140" bestFit="1" customWidth="1"/>
    <col min="3" max="3" width="20.140625" style="140" bestFit="1" customWidth="1"/>
    <col min="4" max="4" width="9.140625" style="140" customWidth="1"/>
    <col min="5" max="15" width="9.140625" style="140"/>
    <col min="16" max="16" width="10.28515625" style="140" bestFit="1" customWidth="1"/>
    <col min="17" max="17" width="10.5703125" style="140" bestFit="1" customWidth="1"/>
    <col min="18" max="18" width="10.28515625" style="140" customWidth="1"/>
    <col min="19" max="21" width="23.28515625" style="140" customWidth="1"/>
    <col min="22" max="22" width="9.140625" style="140"/>
    <col min="23" max="23" width="12.5703125" style="140" bestFit="1" customWidth="1"/>
    <col min="24" max="26" width="12" style="140" bestFit="1" customWidth="1"/>
    <col min="27" max="16384" width="9.140625" style="140"/>
  </cols>
  <sheetData>
    <row r="1" spans="1:23">
      <c r="E1" s="1538"/>
      <c r="W1" s="1026" t="str">
        <f>A5&amp;" "&amp;S51&amp;CHAR(10)&amp;"WA vs Rest of Australia"</f>
        <v>Australian Crude Oil and Condensate Production 2019
WA vs Rest of Australia</v>
      </c>
    </row>
    <row r="2" spans="1:23">
      <c r="N2" s="537"/>
    </row>
    <row r="5" spans="1:23" ht="15.75" thickBot="1">
      <c r="A5" s="1947" t="s">
        <v>107</v>
      </c>
      <c r="B5" s="1947"/>
      <c r="C5" s="1947"/>
    </row>
    <row r="6" spans="1:23" ht="15.75" thickBot="1">
      <c r="A6" s="128"/>
      <c r="B6" s="133" t="s">
        <v>105</v>
      </c>
      <c r="C6" s="132" t="s">
        <v>106</v>
      </c>
    </row>
    <row r="7" spans="1:23">
      <c r="A7" s="129">
        <v>1965</v>
      </c>
      <c r="B7" s="528">
        <v>0</v>
      </c>
      <c r="C7" s="561">
        <v>0.41661999999999999</v>
      </c>
    </row>
    <row r="8" spans="1:23">
      <c r="A8" s="129">
        <v>1966</v>
      </c>
      <c r="B8" s="35">
        <v>0</v>
      </c>
      <c r="C8" s="34">
        <v>0.53867200000000004</v>
      </c>
    </row>
    <row r="9" spans="1:23">
      <c r="A9" s="129">
        <v>1967</v>
      </c>
      <c r="B9" s="528">
        <v>0.73855690000000007</v>
      </c>
      <c r="C9" s="561">
        <v>0.46932610000000002</v>
      </c>
    </row>
    <row r="10" spans="1:23">
      <c r="A10" s="129">
        <v>1968</v>
      </c>
      <c r="B10" s="35">
        <v>1.691354</v>
      </c>
      <c r="C10" s="34">
        <v>0.51414490000000002</v>
      </c>
      <c r="K10" s="350" t="s">
        <v>482</v>
      </c>
    </row>
    <row r="11" spans="1:23">
      <c r="A11" s="129">
        <v>1969</v>
      </c>
      <c r="B11" s="528">
        <v>2.0883660000000002</v>
      </c>
      <c r="C11" s="561">
        <v>0.41703750000000001</v>
      </c>
      <c r="K11" s="350" t="s">
        <v>483</v>
      </c>
    </row>
    <row r="12" spans="1:23">
      <c r="A12" s="129">
        <v>1970</v>
      </c>
      <c r="B12" s="35">
        <v>2.6482829999999997</v>
      </c>
      <c r="C12" s="34">
        <v>7.719716</v>
      </c>
    </row>
    <row r="13" spans="1:23">
      <c r="A13" s="129">
        <v>1971</v>
      </c>
      <c r="B13" s="528">
        <v>2.5990139999999999</v>
      </c>
      <c r="C13" s="561">
        <v>15.35299</v>
      </c>
    </row>
    <row r="14" spans="1:23">
      <c r="A14" s="129">
        <v>1972</v>
      </c>
      <c r="B14" s="35">
        <v>2.454863</v>
      </c>
      <c r="C14" s="34">
        <v>16.546130000000002</v>
      </c>
    </row>
    <row r="15" spans="1:23">
      <c r="A15" s="129">
        <v>1973</v>
      </c>
      <c r="B15" s="528">
        <v>2.3218369999999999</v>
      </c>
      <c r="C15" s="561">
        <v>20.298159999999999</v>
      </c>
    </row>
    <row r="16" spans="1:23">
      <c r="A16" s="129">
        <v>1974</v>
      </c>
      <c r="B16" s="35">
        <v>2.1989830000000001</v>
      </c>
      <c r="C16" s="34">
        <v>20.20402</v>
      </c>
    </row>
    <row r="17" spans="1:3">
      <c r="A17" s="129">
        <v>1975</v>
      </c>
      <c r="B17" s="528">
        <v>2.0499050000000003</v>
      </c>
      <c r="C17" s="561">
        <v>21.78209</v>
      </c>
    </row>
    <row r="18" spans="1:3">
      <c r="A18" s="129">
        <v>1976</v>
      </c>
      <c r="B18" s="35">
        <v>1.776065</v>
      </c>
      <c r="C18" s="34">
        <v>22.474930000000001</v>
      </c>
    </row>
    <row r="19" spans="1:3">
      <c r="A19" s="129">
        <v>1977</v>
      </c>
      <c r="B19" s="528">
        <v>1.874762</v>
      </c>
      <c r="C19" s="561">
        <v>23.120240000000003</v>
      </c>
    </row>
    <row r="20" spans="1:3">
      <c r="A20" s="129">
        <v>1978</v>
      </c>
      <c r="B20" s="35">
        <v>1.822473</v>
      </c>
      <c r="C20" s="34">
        <v>23.364529999999998</v>
      </c>
    </row>
    <row r="21" spans="1:3">
      <c r="A21" s="129">
        <v>1979</v>
      </c>
      <c r="B21" s="528">
        <v>1.4239999999999999</v>
      </c>
      <c r="C21" s="561">
        <v>23.943999999999999</v>
      </c>
    </row>
    <row r="22" spans="1:3">
      <c r="A22" s="129">
        <v>1980</v>
      </c>
      <c r="B22" s="35">
        <v>1.6279999999999999</v>
      </c>
      <c r="C22" s="34">
        <v>19.695</v>
      </c>
    </row>
    <row r="23" spans="1:3">
      <c r="A23" s="129">
        <v>1981</v>
      </c>
      <c r="B23" s="528">
        <v>1.4419999999999999</v>
      </c>
      <c r="C23" s="561">
        <v>20.262</v>
      </c>
    </row>
    <row r="24" spans="1:3">
      <c r="A24" s="129">
        <v>1982</v>
      </c>
      <c r="B24" s="35">
        <v>1.2809999999999999</v>
      </c>
      <c r="C24" s="34">
        <v>20.396999999999998</v>
      </c>
    </row>
    <row r="25" spans="1:3">
      <c r="A25" s="129">
        <v>1983</v>
      </c>
      <c r="B25" s="528">
        <v>1.2649999999999999</v>
      </c>
      <c r="C25" s="561">
        <v>23.8</v>
      </c>
    </row>
    <row r="26" spans="1:3">
      <c r="A26" s="129">
        <v>1984</v>
      </c>
      <c r="B26" s="35">
        <v>1.3240000000000001</v>
      </c>
      <c r="C26" s="34">
        <v>27.591000000000001</v>
      </c>
    </row>
    <row r="27" spans="1:3">
      <c r="A27" s="129">
        <v>1985</v>
      </c>
      <c r="B27" s="528">
        <v>1.476</v>
      </c>
      <c r="C27" s="561">
        <v>31.901</v>
      </c>
    </row>
    <row r="28" spans="1:3">
      <c r="A28" s="129">
        <v>1986</v>
      </c>
      <c r="B28" s="35">
        <v>2.0299999999999998</v>
      </c>
      <c r="C28" s="34">
        <v>27.734000000000002</v>
      </c>
    </row>
    <row r="29" spans="1:3">
      <c r="A29" s="129">
        <v>1987</v>
      </c>
      <c r="B29" s="528">
        <v>2.6859999999999999</v>
      </c>
      <c r="C29" s="561">
        <v>29.187999999999999</v>
      </c>
    </row>
    <row r="30" spans="1:3">
      <c r="A30" s="129">
        <v>1988</v>
      </c>
      <c r="B30" s="35">
        <v>3.1869999999999998</v>
      </c>
      <c r="C30" s="34">
        <v>26.952000000000002</v>
      </c>
    </row>
    <row r="31" spans="1:3">
      <c r="A31" s="129">
        <v>1989</v>
      </c>
      <c r="B31" s="528">
        <v>3.867</v>
      </c>
      <c r="C31" s="561">
        <v>24.533999999999999</v>
      </c>
    </row>
    <row r="32" spans="1:3">
      <c r="A32" s="129">
        <v>1990</v>
      </c>
      <c r="B32" s="35">
        <v>6.92</v>
      </c>
      <c r="C32" s="34">
        <v>26.567</v>
      </c>
    </row>
    <row r="33" spans="1:21">
      <c r="A33" s="129">
        <v>1991</v>
      </c>
      <c r="B33" s="528">
        <v>7.0839999999999996</v>
      </c>
      <c r="C33" s="561">
        <v>24.526</v>
      </c>
    </row>
    <row r="34" spans="1:21">
      <c r="A34" s="129">
        <v>1992</v>
      </c>
      <c r="B34" s="35">
        <v>7.1070000000000002</v>
      </c>
      <c r="C34" s="34">
        <v>23.945</v>
      </c>
    </row>
    <row r="35" spans="1:21">
      <c r="A35" s="129">
        <v>1993</v>
      </c>
      <c r="B35" s="528">
        <v>6.1619999999999999</v>
      </c>
      <c r="C35" s="561">
        <v>22.596</v>
      </c>
    </row>
    <row r="36" spans="1:21">
      <c r="A36" s="129">
        <v>1994</v>
      </c>
      <c r="B36" s="35">
        <v>11.09408</v>
      </c>
      <c r="C36" s="34">
        <v>20.153919999999999</v>
      </c>
    </row>
    <row r="37" spans="1:21">
      <c r="A37" s="129">
        <v>1995</v>
      </c>
      <c r="B37" s="528">
        <v>12.51158</v>
      </c>
      <c r="C37" s="561">
        <v>16.872420000000002</v>
      </c>
    </row>
    <row r="38" spans="1:21">
      <c r="A38" s="129">
        <v>1996</v>
      </c>
      <c r="B38" s="35">
        <v>16.224634999999999</v>
      </c>
      <c r="C38" s="34">
        <v>15.353365</v>
      </c>
    </row>
    <row r="39" spans="1:21">
      <c r="A39" s="129">
        <v>1997</v>
      </c>
      <c r="B39" s="528">
        <v>15.976610000000001</v>
      </c>
      <c r="C39" s="561">
        <v>16.927389999999999</v>
      </c>
      <c r="S39" s="1937" t="s">
        <v>109</v>
      </c>
      <c r="T39" s="1937"/>
      <c r="U39" s="1937"/>
    </row>
    <row r="40" spans="1:21">
      <c r="A40" s="129">
        <v>1998</v>
      </c>
      <c r="B40" s="35">
        <v>17.382999999999999</v>
      </c>
      <c r="C40" s="34">
        <v>13.651999999999999</v>
      </c>
      <c r="S40" s="2031" t="s">
        <v>50</v>
      </c>
      <c r="T40" s="2031"/>
      <c r="U40" s="2031"/>
    </row>
    <row r="41" spans="1:21" ht="15.75" thickBot="1">
      <c r="A41" s="129">
        <v>1999</v>
      </c>
      <c r="B41" s="528">
        <f>SUMIF('Petroleum - Q&amp;V1'!H$8:H$508, A41,'Petroleum - Q&amp;V1'!F$8:F$508)</f>
        <v>14.055568000000001</v>
      </c>
      <c r="C41" s="561">
        <v>16.036999999999999</v>
      </c>
      <c r="S41" s="135" t="s">
        <v>49</v>
      </c>
      <c r="T41" s="136" t="str">
        <f>B6</f>
        <v>Western Australia (GL)</v>
      </c>
      <c r="U41" s="137" t="str">
        <f>C6</f>
        <v>Rest of Australia (GL)</v>
      </c>
    </row>
    <row r="42" spans="1:21">
      <c r="A42" s="129">
        <v>2000</v>
      </c>
      <c r="B42" s="35">
        <f>SUMIF('Petroleum - Q&amp;V1'!H$8:H$508, A42,'Petroleum - Q&amp;V1'!F$8:F$508)</f>
        <v>19.939762000000002</v>
      </c>
      <c r="C42" s="34">
        <v>20.478000000000002</v>
      </c>
      <c r="S42" s="1897">
        <f>LARGE(A$7:A$69,10)</f>
        <v>2010</v>
      </c>
      <c r="T42" s="534">
        <f t="shared" ref="T42:T51" ca="1" si="0">SUMIF($A$7:$A$74,$S42,B$7:B$73)</f>
        <v>21.920589</v>
      </c>
      <c r="U42" s="1406">
        <f t="shared" ref="U42:U51" si="1">SUMIF($A$7:$A$74,$S42,C$7:C$74)</f>
        <v>5.3974110000000017</v>
      </c>
    </row>
    <row r="43" spans="1:21">
      <c r="A43" s="129">
        <v>2001</v>
      </c>
      <c r="B43" s="528">
        <f>SUMIF('Petroleum - Q&amp;V1'!H$8:H$508, A43,'Petroleum - Q&amp;V1'!F$8:F$508)</f>
        <v>20.076323000000002</v>
      </c>
      <c r="C43" s="561">
        <v>16.702677000000001</v>
      </c>
      <c r="S43" s="1898">
        <f>LARGE(A$7:A$69,9)</f>
        <v>2011</v>
      </c>
      <c r="T43" s="521">
        <f t="shared" ca="1" si="0"/>
        <v>18.335720000000002</v>
      </c>
      <c r="U43" s="522">
        <f t="shared" si="1"/>
        <v>5.5312799999999989</v>
      </c>
    </row>
    <row r="44" spans="1:21">
      <c r="A44" s="129">
        <v>2002</v>
      </c>
      <c r="B44" s="35">
        <f>SUMIF('Petroleum - Q&amp;V1'!H$8:H$508, A44,'Petroleum - Q&amp;V1'!F$8:F$508)</f>
        <v>22.166976999999996</v>
      </c>
      <c r="C44" s="34">
        <v>13.944922999999999</v>
      </c>
      <c r="S44" s="1899">
        <f>LARGE(A$7:A$69,8)</f>
        <v>2012</v>
      </c>
      <c r="T44" s="1407">
        <f t="shared" ca="1" si="0"/>
        <v>15.991191000000001</v>
      </c>
      <c r="U44" s="535">
        <f t="shared" si="1"/>
        <v>5.9488090000000007</v>
      </c>
    </row>
    <row r="45" spans="1:21">
      <c r="A45" s="129">
        <v>2003</v>
      </c>
      <c r="B45" s="528">
        <f>SUMIF('Petroleum - Q&amp;V1'!H$8:H$508, A45,'Petroleum - Q&amp;V1'!F$8:F$508)</f>
        <v>20.513078</v>
      </c>
      <c r="C45" s="561">
        <v>9.5589230000000001</v>
      </c>
      <c r="S45" s="1898">
        <f>LARGE(A$7:A$69,7)</f>
        <v>2013</v>
      </c>
      <c r="T45" s="521">
        <f t="shared" ca="1" si="0"/>
        <v>12.828248</v>
      </c>
      <c r="U45" s="522">
        <f t="shared" si="1"/>
        <v>6.1817520000000012</v>
      </c>
    </row>
    <row r="46" spans="1:21">
      <c r="A46" s="129">
        <v>2004</v>
      </c>
      <c r="B46" s="35">
        <f>SUMIF('Petroleum - Q&amp;V1'!H$8:H$508, A46,'Petroleum - Q&amp;V1'!F$8:F$508)</f>
        <v>17.702249000000002</v>
      </c>
      <c r="C46" s="34">
        <v>7.359886000000003</v>
      </c>
      <c r="S46" s="1899">
        <f>LARGE(A$7:A$69,6)</f>
        <v>2014</v>
      </c>
      <c r="T46" s="1407">
        <f t="shared" ca="1" si="0"/>
        <v>12.524324309000001</v>
      </c>
      <c r="U46" s="535">
        <f t="shared" si="1"/>
        <v>7.9256756909999986</v>
      </c>
    </row>
    <row r="47" spans="1:21">
      <c r="A47" s="129">
        <v>2005</v>
      </c>
      <c r="B47" s="528">
        <f>SUMIF('Petroleum - Q&amp;V1'!H$8:H$508, A47,'Petroleum - Q&amp;V1'!F$8:F$508)</f>
        <v>19.058396999999999</v>
      </c>
      <c r="C47" s="561">
        <v>6.7048319999999997</v>
      </c>
      <c r="S47" s="1898">
        <f>LARGE(A$7:A$69,5)</f>
        <v>2015</v>
      </c>
      <c r="T47" s="521">
        <f t="shared" ca="1" si="0"/>
        <v>14.973535984</v>
      </c>
      <c r="U47" s="522">
        <f t="shared" si="1"/>
        <v>3.6764640159999988</v>
      </c>
    </row>
    <row r="48" spans="1:21">
      <c r="A48" s="129">
        <v>2006</v>
      </c>
      <c r="B48" s="35">
        <f>SUMIF('Petroleum - Q&amp;V1'!H$8:H$508, A48,'Petroleum - Q&amp;V1'!F$8:F$508)</f>
        <v>17.562943000000001</v>
      </c>
      <c r="C48" s="34">
        <v>8.4257999999999988</v>
      </c>
      <c r="S48" s="1899">
        <f>LARGE(A$7:A$69,4)</f>
        <v>2016</v>
      </c>
      <c r="T48" s="1407">
        <f t="shared" ca="1" si="0"/>
        <v>12.270888789022798</v>
      </c>
      <c r="U48" s="535">
        <f t="shared" si="1"/>
        <v>4.7191112109772</v>
      </c>
    </row>
    <row r="49" spans="1:21">
      <c r="A49" s="129">
        <v>2007</v>
      </c>
      <c r="B49" s="528">
        <f>SUMIF('Petroleum - Q&amp;V1'!H$8:H$508, A49,'Petroleum - Q&amp;V1'!F$8:F$508)</f>
        <v>19.051446000000002</v>
      </c>
      <c r="C49" s="561">
        <v>10.921000000000003</v>
      </c>
      <c r="S49" s="1898">
        <f>LARGE(A$7:A$69,3)</f>
        <v>2017</v>
      </c>
      <c r="T49" s="521">
        <f t="shared" ca="1" si="0"/>
        <v>11.54600424643619</v>
      </c>
      <c r="U49" s="522">
        <f t="shared" si="1"/>
        <v>4.941995753563809</v>
      </c>
    </row>
    <row r="50" spans="1:21">
      <c r="A50" s="129">
        <v>2008</v>
      </c>
      <c r="B50" s="35">
        <f>SUMIF('Petroleum - Q&amp;V1'!H$8:H$508, A50,'Petroleum - Q&amp;V1'!F$8:F$508)</f>
        <v>19.049435000000003</v>
      </c>
      <c r="C50" s="34">
        <v>7.6799649999999993</v>
      </c>
      <c r="S50" s="1899">
        <f>LARGE(A$7:A$69,2)</f>
        <v>2018</v>
      </c>
      <c r="T50" s="1407">
        <f t="shared" ca="1" si="0"/>
        <v>12.422687324147216</v>
      </c>
      <c r="U50" s="535">
        <f t="shared" si="1"/>
        <v>4.5173126758527857</v>
      </c>
    </row>
    <row r="51" spans="1:21">
      <c r="A51" s="129">
        <v>2009</v>
      </c>
      <c r="B51" s="528">
        <f>SUMIF('Petroleum - Q&amp;V1'!H$8:H$508, A51,'Petroleum - Q&amp;V1'!F$8:F$508)</f>
        <v>18.739460999999999</v>
      </c>
      <c r="C51" s="561">
        <v>5.8065390000000008</v>
      </c>
      <c r="E51" s="407"/>
      <c r="S51" s="1900">
        <f>LARGE(A$7:A$69,1)</f>
        <v>2019</v>
      </c>
      <c r="T51" s="523">
        <f t="shared" ca="1" si="0"/>
        <v>18.366769518664384</v>
      </c>
      <c r="U51" s="524">
        <f t="shared" si="1"/>
        <v>4.1578304813356155</v>
      </c>
    </row>
    <row r="52" spans="1:21">
      <c r="A52" s="129">
        <v>2010</v>
      </c>
      <c r="B52" s="35">
        <f>SUMIF('Petroleum - Q&amp;V1'!H$8:H$508, A52,'Petroleum - Q&amp;V1'!F$8:F$508)</f>
        <v>21.920589</v>
      </c>
      <c r="C52" s="502">
        <v>5.3974110000000017</v>
      </c>
    </row>
    <row r="53" spans="1:21">
      <c r="A53" s="129">
        <v>2011</v>
      </c>
      <c r="B53" s="528">
        <f>SUMIF('Petroleum - Q&amp;V1'!H$8:H$508, A53,'Petroleum - Q&amp;V1'!F$8:F$508)</f>
        <v>18.335720000000002</v>
      </c>
      <c r="C53" s="561">
        <v>5.5312799999999989</v>
      </c>
    </row>
    <row r="54" spans="1:21">
      <c r="A54" s="129">
        <v>2012</v>
      </c>
      <c r="B54" s="35">
        <f>SUMIF('Petroleum - Q&amp;V1'!H$8:H$508, A54,'Petroleum - Q&amp;V1'!F$8:F$508)</f>
        <v>15.991191000000001</v>
      </c>
      <c r="C54" s="502">
        <f>21.94-B54</f>
        <v>5.9488090000000007</v>
      </c>
    </row>
    <row r="55" spans="1:21">
      <c r="A55" s="129">
        <v>2013</v>
      </c>
      <c r="B55" s="528">
        <f>SUMIF('Petroleum - Q&amp;V1'!H$8:H$508, A55,'Petroleum - Q&amp;V1'!F$8:F$508)</f>
        <v>12.828248</v>
      </c>
      <c r="C55" s="561">
        <f>19.01-B55</f>
        <v>6.1817520000000012</v>
      </c>
    </row>
    <row r="56" spans="1:21">
      <c r="A56" s="129">
        <v>2014</v>
      </c>
      <c r="B56" s="35">
        <f>SUMIF('Petroleum - Q&amp;V1'!H$8:H$508, A56,'Petroleum - Q&amp;V1'!F$8:F$508)</f>
        <v>12.524324309000001</v>
      </c>
      <c r="C56" s="502">
        <f>20.45-B56</f>
        <v>7.9256756909999986</v>
      </c>
    </row>
    <row r="57" spans="1:21">
      <c r="A57" s="129">
        <v>2015</v>
      </c>
      <c r="B57" s="1405">
        <f>SUMIF('Petroleum - Q&amp;V1'!H$8:H$508, A57,'Petroleum - Q&amp;V1'!F$8:F$508)</f>
        <v>14.973535984</v>
      </c>
      <c r="C57" s="561">
        <f>18.65-B57</f>
        <v>3.6764640159999988</v>
      </c>
    </row>
    <row r="58" spans="1:21">
      <c r="A58" s="129">
        <v>2016</v>
      </c>
      <c r="B58" s="501">
        <f>SUMIF('Petroleum - Q&amp;V1'!H$8:H$508, A58,'Petroleum - Q&amp;V1'!F$8:F$508)</f>
        <v>12.270888789022798</v>
      </c>
      <c r="C58" s="502">
        <f>16.99-B58</f>
        <v>4.7191112109772</v>
      </c>
    </row>
    <row r="59" spans="1:21">
      <c r="A59" s="129">
        <v>2017</v>
      </c>
      <c r="B59" s="1405">
        <f>SUMIF('Petroleum - Q&amp;V1'!H$8:H$508, A59,'Petroleum - Q&amp;V1'!F$8:F$508)</f>
        <v>11.54600424643619</v>
      </c>
      <c r="C59" s="561">
        <v>4.941995753563809</v>
      </c>
    </row>
    <row r="60" spans="1:21">
      <c r="A60" s="129">
        <v>2018</v>
      </c>
      <c r="B60" s="38">
        <f>SUMIF('Petroleum - Q&amp;V1'!H$8:H$508, A60,'Petroleum - Q&amp;V1'!F$8:F$508)</f>
        <v>12.422687324147216</v>
      </c>
      <c r="C60" s="1529">
        <f>16.94-B60</f>
        <v>4.5173126758527857</v>
      </c>
    </row>
    <row r="61" spans="1:21" ht="15.75" thickBot="1">
      <c r="A61" s="122">
        <v>2019</v>
      </c>
      <c r="B61" s="1671">
        <f>SUMIF('Petroleum - Q&amp;V1'!H$8:H$508, A61,'Petroleum - Q&amp;V1'!F$8:F$508)</f>
        <v>18.366769518664384</v>
      </c>
      <c r="C61" s="1673">
        <f>22.5246-B61</f>
        <v>4.1578304813356155</v>
      </c>
    </row>
    <row r="62" spans="1:21">
      <c r="A62" s="1639"/>
      <c r="B62" s="1639"/>
      <c r="C62" s="1639"/>
    </row>
    <row r="63" spans="1:21">
      <c r="A63" s="1348"/>
      <c r="C63" s="1216"/>
    </row>
    <row r="64" spans="1:21">
      <c r="C64" s="1216"/>
    </row>
  </sheetData>
  <mergeCells count="3">
    <mergeCell ref="A5:C5"/>
    <mergeCell ref="S39:U39"/>
    <mergeCell ref="S40:U40"/>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8" tint="0.39997558519241921"/>
  </sheetPr>
  <dimension ref="A4:AB131"/>
  <sheetViews>
    <sheetView zoomScaleNormal="100" workbookViewId="0"/>
  </sheetViews>
  <sheetFormatPr defaultRowHeight="15"/>
  <cols>
    <col min="1" max="1" width="26.7109375" style="5" customWidth="1"/>
    <col min="2" max="2" width="24" style="5" customWidth="1"/>
    <col min="3" max="3" width="11" style="5" bestFit="1" customWidth="1"/>
    <col min="4" max="4" width="12.5703125" style="5" customWidth="1"/>
    <col min="5" max="12" width="9.140625" style="5"/>
    <col min="13" max="13" width="14.85546875" style="5" customWidth="1"/>
    <col min="14" max="14" width="14.28515625" style="5" customWidth="1"/>
    <col min="15" max="16384" width="9.140625" style="5"/>
  </cols>
  <sheetData>
    <row r="4" spans="1:26">
      <c r="Y4" s="541"/>
      <c r="Z4" s="541"/>
    </row>
    <row r="5" spans="1:26">
      <c r="A5" s="537"/>
      <c r="Y5" s="541"/>
      <c r="Z5" s="541"/>
    </row>
    <row r="6" spans="1:26" ht="15.75" thickBot="1">
      <c r="A6" s="1992" t="s">
        <v>722</v>
      </c>
      <c r="B6" s="1992"/>
      <c r="C6" s="1992"/>
      <c r="Y6" s="541"/>
      <c r="Z6" s="541"/>
    </row>
    <row r="7" spans="1:26" ht="30.75" customHeight="1">
      <c r="A7" s="471" t="s">
        <v>457</v>
      </c>
      <c r="B7" s="476" t="s">
        <v>458</v>
      </c>
      <c r="C7" s="477" t="s">
        <v>459</v>
      </c>
      <c r="Y7" s="541"/>
      <c r="Z7" s="541"/>
    </row>
    <row r="8" spans="1:26">
      <c r="A8" s="1302" t="s">
        <v>35</v>
      </c>
      <c r="B8" s="988">
        <v>104.84709595760215</v>
      </c>
      <c r="C8" s="457">
        <f t="shared" ref="C8:C22" si="0">B8/$B$29</f>
        <v>0.24328093512779123</v>
      </c>
      <c r="N8" s="458"/>
      <c r="O8" s="459"/>
      <c r="Y8" s="541"/>
      <c r="Z8" s="541"/>
    </row>
    <row r="9" spans="1:26">
      <c r="A9" s="1302" t="s">
        <v>154</v>
      </c>
      <c r="B9" s="989">
        <v>91.819721175090692</v>
      </c>
      <c r="C9" s="482">
        <f t="shared" si="0"/>
        <v>0.21305299328158891</v>
      </c>
      <c r="N9" s="458"/>
      <c r="O9" s="459"/>
      <c r="Y9" s="541"/>
      <c r="Z9" s="541"/>
    </row>
    <row r="10" spans="1:26">
      <c r="A10" s="1302" t="s">
        <v>31</v>
      </c>
      <c r="B10" s="988">
        <v>32.998358199080094</v>
      </c>
      <c r="C10" s="457">
        <f t="shared" si="0"/>
        <v>7.6567418172462459E-2</v>
      </c>
      <c r="N10" s="458"/>
      <c r="O10" s="459"/>
      <c r="Y10" s="541"/>
      <c r="Z10" s="541"/>
    </row>
    <row r="11" spans="1:26">
      <c r="A11" s="1302" t="s">
        <v>41</v>
      </c>
      <c r="B11" s="989">
        <v>28.427675778481159</v>
      </c>
      <c r="C11" s="482">
        <f t="shared" si="0"/>
        <v>6.5961879856884148E-2</v>
      </c>
      <c r="N11" s="458"/>
      <c r="O11" s="459"/>
      <c r="Y11" s="541"/>
      <c r="Z11" s="541"/>
    </row>
    <row r="12" spans="1:26">
      <c r="A12" s="1302" t="s">
        <v>387</v>
      </c>
      <c r="B12" s="988">
        <v>27.830588810023315</v>
      </c>
      <c r="C12" s="457">
        <f t="shared" si="0"/>
        <v>6.4576434941006067E-2</v>
      </c>
      <c r="N12" s="458"/>
      <c r="O12" s="459"/>
      <c r="Y12" s="541"/>
      <c r="Z12" s="541"/>
    </row>
    <row r="13" spans="1:26">
      <c r="A13" s="1302" t="s">
        <v>156</v>
      </c>
      <c r="B13" s="990">
        <v>24.936936064439493</v>
      </c>
      <c r="C13" s="482">
        <f t="shared" si="0"/>
        <v>5.78621760533264E-2</v>
      </c>
      <c r="N13" s="460"/>
      <c r="O13" s="459"/>
      <c r="Y13" s="541"/>
      <c r="Z13" s="541"/>
    </row>
    <row r="14" spans="1:26">
      <c r="A14" s="1302" t="s">
        <v>28</v>
      </c>
      <c r="B14" s="988">
        <v>20.808211186143005</v>
      </c>
      <c r="C14" s="457">
        <f t="shared" si="0"/>
        <v>4.8282129604700685E-2</v>
      </c>
      <c r="N14" s="458"/>
      <c r="O14" s="459"/>
      <c r="Y14" s="541"/>
      <c r="Z14" s="541"/>
    </row>
    <row r="15" spans="1:26">
      <c r="A15" s="1302" t="s">
        <v>369</v>
      </c>
      <c r="B15" s="990">
        <v>16.77421078138142</v>
      </c>
      <c r="C15" s="482">
        <f t="shared" si="0"/>
        <v>3.8921876163125715E-2</v>
      </c>
      <c r="N15" s="458"/>
      <c r="O15" s="459"/>
      <c r="Y15" s="541"/>
      <c r="Z15" s="541"/>
    </row>
    <row r="16" spans="1:26">
      <c r="A16" s="1302" t="s">
        <v>42</v>
      </c>
      <c r="B16" s="988">
        <v>13.566836987263594</v>
      </c>
      <c r="C16" s="457">
        <f t="shared" si="0"/>
        <v>3.1479677704401694E-2</v>
      </c>
      <c r="N16" s="460"/>
      <c r="O16" s="459"/>
      <c r="Y16" s="541"/>
      <c r="Z16" s="541"/>
    </row>
    <row r="17" spans="1:26">
      <c r="A17" s="1302" t="s">
        <v>381</v>
      </c>
      <c r="B17" s="990">
        <v>13.546209194511217</v>
      </c>
      <c r="C17" s="482">
        <f t="shared" si="0"/>
        <v>3.1431814206947746E-2</v>
      </c>
      <c r="N17" s="458"/>
      <c r="O17" s="459"/>
      <c r="Y17" s="541"/>
      <c r="Z17" s="541"/>
    </row>
    <row r="18" spans="1:26">
      <c r="A18" s="1302" t="s">
        <v>152</v>
      </c>
      <c r="B18" s="988">
        <v>9.5087070206720874</v>
      </c>
      <c r="C18" s="457">
        <f t="shared" si="0"/>
        <v>2.2063435469693329E-2</v>
      </c>
      <c r="N18" s="458"/>
      <c r="O18" s="459"/>
      <c r="Y18" s="541"/>
      <c r="Z18" s="541"/>
    </row>
    <row r="19" spans="1:26">
      <c r="A19" s="1302" t="s">
        <v>392</v>
      </c>
      <c r="B19" s="990">
        <v>8.7608744526043356</v>
      </c>
      <c r="C19" s="482">
        <f t="shared" si="0"/>
        <v>2.0328209474000419E-2</v>
      </c>
      <c r="N19" s="460"/>
      <c r="O19" s="459"/>
      <c r="Y19" s="541"/>
      <c r="Z19" s="541"/>
    </row>
    <row r="20" spans="1:26">
      <c r="A20" s="1302" t="s">
        <v>40</v>
      </c>
      <c r="B20" s="988">
        <v>7.4122882022007754</v>
      </c>
      <c r="C20" s="457">
        <f t="shared" si="0"/>
        <v>1.7199030538693233E-2</v>
      </c>
      <c r="N20" s="460"/>
      <c r="O20" s="459"/>
      <c r="Y20" s="541"/>
      <c r="Z20" s="541"/>
    </row>
    <row r="21" spans="1:26">
      <c r="A21" s="1302" t="s">
        <v>69</v>
      </c>
      <c r="B21" s="990">
        <v>6.6404063625519028</v>
      </c>
      <c r="C21" s="482">
        <f t="shared" si="0"/>
        <v>1.5408002050561588E-2</v>
      </c>
      <c r="N21" s="460"/>
      <c r="O21" s="459"/>
      <c r="Y21" s="541"/>
      <c r="Z21" s="541"/>
    </row>
    <row r="22" spans="1:26">
      <c r="A22" s="1302" t="s">
        <v>391</v>
      </c>
      <c r="B22" s="988">
        <v>5.3892588469103693</v>
      </c>
      <c r="C22" s="457">
        <f t="shared" si="0"/>
        <v>1.2504914131834972E-2</v>
      </c>
      <c r="N22" s="460"/>
      <c r="O22" s="459"/>
      <c r="Y22" s="541"/>
      <c r="Z22" s="541"/>
    </row>
    <row r="23" spans="1:26">
      <c r="A23" s="1302" t="s">
        <v>382</v>
      </c>
      <c r="B23" s="990">
        <v>5.1632683984532193</v>
      </c>
      <c r="C23" s="482">
        <f t="shared" ref="C23:C24" si="1">B23/$B$29</f>
        <v>1.1980539401867852E-2</v>
      </c>
      <c r="N23" s="458"/>
      <c r="O23" s="459"/>
      <c r="Y23" s="541"/>
      <c r="Z23" s="541"/>
    </row>
    <row r="24" spans="1:26">
      <c r="A24" s="1302" t="s">
        <v>583</v>
      </c>
      <c r="B24" s="988">
        <v>5.0103307750474251</v>
      </c>
      <c r="C24" s="457">
        <f t="shared" si="1"/>
        <v>1.1625672081046404E-2</v>
      </c>
      <c r="N24" s="458"/>
      <c r="O24" s="459"/>
      <c r="Y24" s="541"/>
      <c r="Z24" s="541"/>
    </row>
    <row r="25" spans="1:26">
      <c r="A25" s="1302" t="s">
        <v>82</v>
      </c>
      <c r="B25" s="990">
        <v>4.7645618784876032</v>
      </c>
      <c r="C25" s="482">
        <f>B25/$B$29</f>
        <v>1.105540462218825E-2</v>
      </c>
      <c r="N25" s="458"/>
      <c r="O25" s="459"/>
      <c r="Y25" s="541"/>
      <c r="Z25" s="541"/>
    </row>
    <row r="26" spans="1:26">
      <c r="A26" s="1302" t="s">
        <v>25</v>
      </c>
      <c r="B26" s="988">
        <v>2.0245124146124418</v>
      </c>
      <c r="C26" s="457">
        <f>B26/$B$29</f>
        <v>4.6975576090720131E-3</v>
      </c>
      <c r="N26" s="458"/>
      <c r="O26" s="459"/>
      <c r="Y26" s="541"/>
      <c r="Z26" s="541"/>
    </row>
    <row r="27" spans="1:26">
      <c r="A27" s="1302" t="s">
        <v>584</v>
      </c>
      <c r="B27" s="989">
        <v>0.61743098863000001</v>
      </c>
      <c r="C27" s="482">
        <f>B27/$B$29</f>
        <v>1.4326499643969569E-3</v>
      </c>
      <c r="N27" s="458"/>
      <c r="O27" s="459"/>
      <c r="Y27" s="541"/>
      <c r="Z27" s="541"/>
    </row>
    <row r="28" spans="1:26" ht="15.75" thickBot="1">
      <c r="A28" s="1302" t="s">
        <v>721</v>
      </c>
      <c r="B28" s="991">
        <v>0.12379630377</v>
      </c>
      <c r="C28" s="987">
        <f>B28/$B$29</f>
        <v>2.8724954440997083E-4</v>
      </c>
      <c r="N28" s="461"/>
      <c r="O28" s="459"/>
      <c r="Y28" s="541"/>
      <c r="Z28" s="541"/>
    </row>
    <row r="29" spans="1:26" ht="16.5" thickTop="1" thickBot="1">
      <c r="A29" s="1303" t="s">
        <v>137</v>
      </c>
      <c r="B29" s="992">
        <f>SUM(B8:B28)</f>
        <v>430.97127977795628</v>
      </c>
      <c r="C29" s="485"/>
      <c r="Y29" s="541"/>
      <c r="Z29" s="541"/>
    </row>
    <row r="30" spans="1:26">
      <c r="A30" s="993" t="s">
        <v>585</v>
      </c>
      <c r="B30" s="630"/>
      <c r="Y30" s="541"/>
      <c r="Z30" s="541"/>
    </row>
    <row r="32" spans="1:26" ht="15.75" thickBot="1">
      <c r="A32" s="1947" t="s">
        <v>723</v>
      </c>
      <c r="B32" s="1947"/>
      <c r="C32" s="1947"/>
    </row>
    <row r="33" spans="1:4" ht="30">
      <c r="A33" s="471" t="s">
        <v>460</v>
      </c>
      <c r="B33" s="476" t="s">
        <v>461</v>
      </c>
      <c r="C33" s="477" t="s">
        <v>459</v>
      </c>
    </row>
    <row r="34" spans="1:4">
      <c r="A34" s="472" t="s">
        <v>698</v>
      </c>
      <c r="B34" s="456">
        <v>322.83142003227368</v>
      </c>
      <c r="C34" s="457">
        <f>B34/$B$39</f>
        <v>0.74913396497519436</v>
      </c>
    </row>
    <row r="35" spans="1:4">
      <c r="A35" s="472" t="s">
        <v>454</v>
      </c>
      <c r="B35" s="481">
        <v>71.518263510914963</v>
      </c>
      <c r="C35" s="482">
        <f>B35/$B$39</f>
        <v>0.16595894013883897</v>
      </c>
    </row>
    <row r="36" spans="1:4">
      <c r="A36" s="472" t="s">
        <v>699</v>
      </c>
      <c r="B36" s="456">
        <v>14.471586614242138</v>
      </c>
      <c r="C36" s="457">
        <f>B36/$B$39</f>
        <v>3.3581480571889075E-2</v>
      </c>
    </row>
    <row r="37" spans="1:4">
      <c r="A37" s="472" t="s">
        <v>855</v>
      </c>
      <c r="B37" s="481">
        <v>12.5</v>
      </c>
      <c r="C37" s="482">
        <f>B37/$B$39</f>
        <v>2.900639151311166E-2</v>
      </c>
      <c r="D37" s="630"/>
    </row>
    <row r="38" spans="1:4" ht="15.75" thickBot="1">
      <c r="A38" s="472" t="s">
        <v>456</v>
      </c>
      <c r="B38" s="456">
        <v>9.61823482545093</v>
      </c>
      <c r="C38" s="1679">
        <f>B38/$B$39</f>
        <v>2.2319222800965988E-2</v>
      </c>
    </row>
    <row r="39" spans="1:4" ht="16.5" thickTop="1" thickBot="1">
      <c r="A39" s="475" t="s">
        <v>137</v>
      </c>
      <c r="B39" s="1683">
        <f>SUM(B34:B38)</f>
        <v>430.93950498288172</v>
      </c>
      <c r="C39" s="1787"/>
    </row>
    <row r="43" spans="1:4">
      <c r="B43" s="462"/>
    </row>
    <row r="55" spans="1:28">
      <c r="AA55" s="541"/>
      <c r="AB55" s="541"/>
    </row>
    <row r="56" spans="1:28">
      <c r="AA56" s="541"/>
      <c r="AB56" s="541"/>
    </row>
    <row r="57" spans="1:28" ht="15.75" thickBot="1">
      <c r="A57" s="1947" t="s">
        <v>724</v>
      </c>
      <c r="B57" s="1947"/>
      <c r="C57" s="1947"/>
      <c r="AA57" s="541"/>
      <c r="AB57" s="541"/>
    </row>
    <row r="58" spans="1:28" ht="30">
      <c r="A58" s="471" t="s">
        <v>457</v>
      </c>
      <c r="B58" s="476" t="s">
        <v>458</v>
      </c>
      <c r="C58" s="477" t="s">
        <v>459</v>
      </c>
      <c r="AA58" s="541"/>
      <c r="AB58" s="541"/>
    </row>
    <row r="59" spans="1:28">
      <c r="A59" s="472" t="s">
        <v>154</v>
      </c>
      <c r="B59" s="481">
        <v>91.6</v>
      </c>
      <c r="C59" s="482">
        <f t="shared" ref="C59:C80" si="2">B59/$B$80</f>
        <v>0.28421607868689686</v>
      </c>
      <c r="M59" s="458"/>
      <c r="N59" s="458"/>
      <c r="O59" s="463"/>
      <c r="AA59" s="541"/>
      <c r="AB59" s="541"/>
    </row>
    <row r="60" spans="1:28">
      <c r="A60" s="472" t="s">
        <v>35</v>
      </c>
      <c r="B60" s="456">
        <v>77.3</v>
      </c>
      <c r="C60" s="457">
        <f t="shared" si="2"/>
        <v>0.23984610133730488</v>
      </c>
      <c r="M60" s="458"/>
      <c r="N60" s="458"/>
      <c r="O60" s="463"/>
      <c r="AA60" s="541"/>
      <c r="AB60" s="541"/>
    </row>
    <row r="61" spans="1:28" s="630" customFormat="1">
      <c r="A61" s="472" t="s">
        <v>31</v>
      </c>
      <c r="B61" s="481">
        <v>33</v>
      </c>
      <c r="C61" s="482">
        <f t="shared" si="2"/>
        <v>0.10239225542213534</v>
      </c>
      <c r="M61" s="458"/>
      <c r="N61" s="458"/>
      <c r="AA61" s="541"/>
      <c r="AB61" s="541"/>
    </row>
    <row r="62" spans="1:28" s="630" customFormat="1">
      <c r="A62" s="472" t="s">
        <v>28</v>
      </c>
      <c r="B62" s="456">
        <v>20.6</v>
      </c>
      <c r="C62" s="457">
        <f t="shared" si="2"/>
        <v>6.3917589748363271E-2</v>
      </c>
      <c r="M62" s="458"/>
      <c r="N62" s="458"/>
      <c r="AA62" s="541"/>
      <c r="AB62" s="541"/>
    </row>
    <row r="63" spans="1:28" s="630" customFormat="1">
      <c r="A63" s="472" t="s">
        <v>36</v>
      </c>
      <c r="B63" s="481">
        <v>17.2</v>
      </c>
      <c r="C63" s="482">
        <f t="shared" si="2"/>
        <v>5.3368084644264478E-2</v>
      </c>
      <c r="M63" s="458"/>
      <c r="N63" s="458"/>
      <c r="AA63" s="541"/>
      <c r="AB63" s="541"/>
    </row>
    <row r="64" spans="1:28" s="630" customFormat="1">
      <c r="A64" s="472" t="s">
        <v>366</v>
      </c>
      <c r="B64" s="456">
        <v>14.49</v>
      </c>
      <c r="C64" s="457">
        <f t="shared" si="2"/>
        <v>4.4959508517173973E-2</v>
      </c>
      <c r="M64" s="458"/>
      <c r="N64" s="458"/>
      <c r="AA64" s="541"/>
      <c r="AB64" s="541"/>
    </row>
    <row r="65" spans="1:28" s="630" customFormat="1">
      <c r="A65" s="472" t="s">
        <v>42</v>
      </c>
      <c r="B65" s="481">
        <v>12.8</v>
      </c>
      <c r="C65" s="482">
        <f t="shared" si="2"/>
        <v>3.97157839213131E-2</v>
      </c>
      <c r="M65" s="458"/>
      <c r="N65" s="458"/>
      <c r="AA65" s="541"/>
      <c r="AB65" s="541"/>
    </row>
    <row r="66" spans="1:28" s="630" customFormat="1">
      <c r="A66" s="472" t="s">
        <v>387</v>
      </c>
      <c r="B66" s="456">
        <v>11.2</v>
      </c>
      <c r="C66" s="457">
        <f t="shared" si="2"/>
        <v>3.4751310931148964E-2</v>
      </c>
      <c r="M66" s="458"/>
      <c r="N66" s="458"/>
      <c r="AA66" s="541"/>
      <c r="AB66" s="541"/>
    </row>
    <row r="67" spans="1:28" s="630" customFormat="1">
      <c r="A67" s="472" t="s">
        <v>152</v>
      </c>
      <c r="B67" s="481">
        <v>9.5</v>
      </c>
      <c r="C67" s="482">
        <f t="shared" si="2"/>
        <v>2.9476558379099568E-2</v>
      </c>
      <c r="M67" s="458"/>
      <c r="N67" s="458"/>
      <c r="AA67" s="541"/>
      <c r="AB67" s="541"/>
    </row>
    <row r="68" spans="1:28" s="630" customFormat="1">
      <c r="A68" s="472" t="s">
        <v>392</v>
      </c>
      <c r="B68" s="456">
        <v>8.8000000000000007</v>
      </c>
      <c r="C68" s="457">
        <f t="shared" si="2"/>
        <v>2.730460144590276E-2</v>
      </c>
      <c r="M68" s="458"/>
      <c r="N68" s="458"/>
      <c r="AA68" s="541"/>
      <c r="AB68" s="541"/>
    </row>
    <row r="69" spans="1:28" s="630" customFormat="1">
      <c r="A69" s="472" t="s">
        <v>40</v>
      </c>
      <c r="B69" s="481">
        <v>7.4</v>
      </c>
      <c r="C69" s="482">
        <f t="shared" si="2"/>
        <v>2.2960687579509139E-2</v>
      </c>
      <c r="M69" s="458"/>
      <c r="N69" s="458"/>
      <c r="AA69" s="541"/>
      <c r="AB69" s="541"/>
    </row>
    <row r="70" spans="1:28" s="630" customFormat="1">
      <c r="A70" s="472" t="s">
        <v>382</v>
      </c>
      <c r="B70" s="456">
        <v>3.8</v>
      </c>
      <c r="C70" s="457">
        <f t="shared" si="2"/>
        <v>1.1790623351639827E-2</v>
      </c>
      <c r="M70" s="458"/>
      <c r="N70" s="458"/>
      <c r="AA70" s="541"/>
      <c r="AB70" s="541"/>
    </row>
    <row r="71" spans="1:28" s="630" customFormat="1">
      <c r="A71" s="473" t="s">
        <v>391</v>
      </c>
      <c r="B71" s="483">
        <v>3.8</v>
      </c>
      <c r="C71" s="482">
        <f t="shared" si="2"/>
        <v>1.1790623351639827E-2</v>
      </c>
      <c r="M71" s="458"/>
      <c r="N71" s="458"/>
      <c r="AA71" s="541"/>
      <c r="AB71" s="541"/>
    </row>
    <row r="72" spans="1:28" s="630" customFormat="1">
      <c r="A72" s="473" t="s">
        <v>846</v>
      </c>
      <c r="B72" s="1682">
        <v>3.1</v>
      </c>
      <c r="C72" s="1679">
        <f t="shared" si="2"/>
        <v>9.618666418443016E-3</v>
      </c>
      <c r="M72" s="458"/>
      <c r="N72" s="458"/>
      <c r="AA72" s="541"/>
      <c r="AB72" s="541"/>
    </row>
    <row r="73" spans="1:28" s="630" customFormat="1">
      <c r="A73" s="472" t="s">
        <v>369</v>
      </c>
      <c r="B73" s="481">
        <v>2.4</v>
      </c>
      <c r="C73" s="482">
        <f t="shared" si="2"/>
        <v>7.4467094852462062E-3</v>
      </c>
      <c r="M73" s="458"/>
      <c r="N73" s="458"/>
      <c r="AA73" s="541"/>
      <c r="AB73" s="541"/>
    </row>
    <row r="74" spans="1:28" s="630" customFormat="1">
      <c r="A74" s="472" t="s">
        <v>82</v>
      </c>
      <c r="B74" s="456">
        <v>2.2000000000000002</v>
      </c>
      <c r="C74" s="457">
        <f t="shared" si="2"/>
        <v>6.8261503614756901E-3</v>
      </c>
      <c r="M74" s="458"/>
      <c r="N74" s="458"/>
      <c r="AA74" s="541"/>
      <c r="AB74" s="541"/>
    </row>
    <row r="75" spans="1:28" s="630" customFormat="1">
      <c r="A75" s="473" t="s">
        <v>25</v>
      </c>
      <c r="B75" s="483">
        <v>1</v>
      </c>
      <c r="C75" s="482">
        <f t="shared" si="2"/>
        <v>3.1027956188525861E-3</v>
      </c>
      <c r="M75" s="458"/>
      <c r="N75" s="458"/>
      <c r="AA75" s="541"/>
      <c r="AB75" s="541"/>
    </row>
    <row r="76" spans="1:28" s="630" customFormat="1">
      <c r="A76" s="472" t="s">
        <v>69</v>
      </c>
      <c r="B76" s="456">
        <v>0.8</v>
      </c>
      <c r="C76" s="457">
        <f t="shared" si="2"/>
        <v>2.4822364950820687E-3</v>
      </c>
      <c r="M76" s="458"/>
      <c r="N76" s="458"/>
      <c r="AA76" s="541"/>
      <c r="AB76" s="541"/>
    </row>
    <row r="77" spans="1:28" s="630" customFormat="1">
      <c r="A77" s="472" t="s">
        <v>381</v>
      </c>
      <c r="B77" s="481">
        <v>0.6</v>
      </c>
      <c r="C77" s="482">
        <f t="shared" si="2"/>
        <v>1.8616773713115516E-3</v>
      </c>
      <c r="M77" s="458"/>
      <c r="N77" s="458"/>
      <c r="AA77" s="541"/>
      <c r="AB77" s="541"/>
    </row>
    <row r="78" spans="1:28" s="630" customFormat="1">
      <c r="A78" s="472" t="s">
        <v>845</v>
      </c>
      <c r="B78" s="456">
        <v>0.6</v>
      </c>
      <c r="C78" s="1679">
        <f t="shared" si="2"/>
        <v>1.8616773713115516E-3</v>
      </c>
      <c r="M78" s="458"/>
      <c r="N78" s="458"/>
      <c r="AA78" s="541"/>
      <c r="AB78" s="541"/>
    </row>
    <row r="79" spans="1:28" s="630" customFormat="1" ht="15.75" thickBot="1">
      <c r="A79" s="472" t="s">
        <v>721</v>
      </c>
      <c r="B79" s="481">
        <v>0.1</v>
      </c>
      <c r="C79" s="482">
        <f t="shared" si="2"/>
        <v>3.1027956188525859E-4</v>
      </c>
      <c r="M79" s="458"/>
      <c r="N79" s="458"/>
      <c r="AA79" s="541"/>
      <c r="AB79" s="541"/>
    </row>
    <row r="80" spans="1:28" s="630" customFormat="1" ht="16.5" thickTop="1" thickBot="1">
      <c r="A80" s="475" t="s">
        <v>137</v>
      </c>
      <c r="B80" s="1683">
        <f>SUM(B59:B79)</f>
        <v>322.29000000000002</v>
      </c>
      <c r="C80" s="1684">
        <f t="shared" si="2"/>
        <v>1</v>
      </c>
      <c r="M80" s="458"/>
      <c r="N80" s="458"/>
      <c r="AA80" s="541"/>
      <c r="AB80" s="541"/>
    </row>
    <row r="81" spans="1:28" s="630" customFormat="1">
      <c r="A81" s="993" t="s">
        <v>585</v>
      </c>
      <c r="B81" s="466"/>
      <c r="C81" s="5"/>
      <c r="M81" s="458"/>
      <c r="N81" s="458"/>
      <c r="AA81" s="541"/>
      <c r="AB81" s="541"/>
    </row>
    <row r="82" spans="1:28" ht="15.75" customHeight="1" thickBot="1">
      <c r="A82" s="2061" t="s">
        <v>858</v>
      </c>
      <c r="B82" s="2061"/>
      <c r="C82" s="2061"/>
      <c r="M82" s="461"/>
      <c r="AA82" s="541"/>
      <c r="AB82" s="541"/>
    </row>
    <row r="83" spans="1:28" ht="30">
      <c r="A83" s="478" t="s">
        <v>857</v>
      </c>
      <c r="B83" s="1475">
        <f>B80*0.73</f>
        <v>235.27170000000001</v>
      </c>
      <c r="C83" s="541"/>
      <c r="N83" s="464"/>
      <c r="O83" s="465"/>
      <c r="AA83" s="541"/>
      <c r="AB83" s="541"/>
    </row>
    <row r="84" spans="1:28" ht="30">
      <c r="A84" s="479" t="s">
        <v>856</v>
      </c>
      <c r="B84" s="37">
        <f>43722336.3782652/1000000</f>
        <v>43.722336378265204</v>
      </c>
      <c r="C84" s="541"/>
      <c r="N84" s="464"/>
      <c r="O84" s="465"/>
      <c r="AA84" s="541"/>
      <c r="AB84" s="541"/>
    </row>
    <row r="85" spans="1:28" ht="30.75" thickBot="1">
      <c r="A85" s="480" t="s">
        <v>463</v>
      </c>
      <c r="B85" s="994">
        <f>B84/B83</f>
        <v>0.18583763528832919</v>
      </c>
      <c r="C85" s="541"/>
      <c r="N85" s="464"/>
      <c r="O85" s="465"/>
      <c r="AA85" s="541"/>
      <c r="AB85" s="541"/>
    </row>
    <row r="86" spans="1:28">
      <c r="N86" s="464"/>
      <c r="O86" s="465"/>
      <c r="AA86" s="541"/>
      <c r="AB86" s="541"/>
    </row>
    <row r="87" spans="1:28" ht="18" customHeight="1" thickBot="1">
      <c r="A87" s="1947" t="s">
        <v>726</v>
      </c>
      <c r="B87" s="1947"/>
      <c r="C87" s="1947"/>
      <c r="N87" s="464"/>
      <c r="O87" s="465"/>
      <c r="AA87" s="541"/>
      <c r="AB87" s="541"/>
    </row>
    <row r="88" spans="1:28" ht="30">
      <c r="A88" s="471" t="s">
        <v>464</v>
      </c>
      <c r="B88" s="476" t="s">
        <v>461</v>
      </c>
      <c r="C88" s="477" t="s">
        <v>459</v>
      </c>
      <c r="N88" s="464"/>
      <c r="O88" s="465"/>
    </row>
    <row r="89" spans="1:28">
      <c r="A89" s="474" t="s">
        <v>29</v>
      </c>
      <c r="B89" s="456">
        <v>112.974969447988</v>
      </c>
      <c r="C89" s="457">
        <f t="shared" ref="C89:C116" si="3">B89/$B$118</f>
        <v>0.26214036700124133</v>
      </c>
      <c r="N89" s="464"/>
      <c r="O89" s="465"/>
    </row>
    <row r="90" spans="1:28">
      <c r="A90" s="474" t="s">
        <v>24</v>
      </c>
      <c r="B90" s="481">
        <v>73.452501314459241</v>
      </c>
      <c r="C90" s="482">
        <f t="shared" si="3"/>
        <v>0.17043479405937048</v>
      </c>
      <c r="N90" s="464"/>
      <c r="O90" s="465"/>
    </row>
    <row r="91" spans="1:28">
      <c r="A91" s="474" t="s">
        <v>451</v>
      </c>
      <c r="B91" s="456">
        <v>60.212079149071727</v>
      </c>
      <c r="C91" s="457">
        <f t="shared" si="3"/>
        <v>0.13971250979901509</v>
      </c>
      <c r="N91" s="464"/>
      <c r="O91" s="465"/>
    </row>
    <row r="92" spans="1:28">
      <c r="A92" s="474" t="s">
        <v>27</v>
      </c>
      <c r="B92" s="481">
        <v>30.596983810416358</v>
      </c>
      <c r="C92" s="482">
        <f t="shared" si="3"/>
        <v>7.0995412562480903E-2</v>
      </c>
      <c r="N92" s="464"/>
      <c r="O92" s="465"/>
    </row>
    <row r="93" spans="1:28">
      <c r="A93" s="474" t="s">
        <v>433</v>
      </c>
      <c r="B93" s="456">
        <v>22.829764586074241</v>
      </c>
      <c r="C93" s="457">
        <f t="shared" si="3"/>
        <v>5.29728212929561E-2</v>
      </c>
      <c r="N93" s="464"/>
      <c r="O93" s="465"/>
    </row>
    <row r="94" spans="1:28">
      <c r="A94" s="474" t="s">
        <v>84</v>
      </c>
      <c r="B94" s="481">
        <v>15.030513348300001</v>
      </c>
      <c r="C94" s="482">
        <f t="shared" si="3"/>
        <v>3.487590485390115E-2</v>
      </c>
      <c r="N94" s="464"/>
      <c r="O94" s="465"/>
    </row>
    <row r="95" spans="1:28">
      <c r="A95" s="474" t="s">
        <v>26</v>
      </c>
      <c r="B95" s="456">
        <v>13.146330247618382</v>
      </c>
      <c r="C95" s="457">
        <f t="shared" si="3"/>
        <v>3.0503958997897977E-2</v>
      </c>
      <c r="N95" s="464"/>
      <c r="O95" s="465"/>
    </row>
    <row r="96" spans="1:28">
      <c r="A96" s="474" t="s">
        <v>700</v>
      </c>
      <c r="B96" s="483">
        <v>12.781961692490102</v>
      </c>
      <c r="C96" s="482">
        <f t="shared" si="3"/>
        <v>2.9658499979570794E-2</v>
      </c>
      <c r="N96" s="467"/>
      <c r="O96" s="468"/>
    </row>
    <row r="97" spans="1:15">
      <c r="A97" s="474" t="s">
        <v>85</v>
      </c>
      <c r="B97" s="456">
        <v>11.522195384579851</v>
      </c>
      <c r="C97" s="457">
        <f t="shared" si="3"/>
        <v>2.6735413530377925E-2</v>
      </c>
      <c r="N97" s="464"/>
      <c r="O97" s="465"/>
    </row>
    <row r="98" spans="1:15">
      <c r="A98" s="474" t="s">
        <v>81</v>
      </c>
      <c r="B98" s="481">
        <v>9.3875067942346746</v>
      </c>
      <c r="C98" s="482">
        <f t="shared" si="3"/>
        <v>2.1782209707967751E-2</v>
      </c>
      <c r="N98" s="464"/>
      <c r="O98" s="465"/>
    </row>
    <row r="99" spans="1:15">
      <c r="A99" s="474" t="s">
        <v>68</v>
      </c>
      <c r="B99" s="456">
        <v>8.0286173847332591</v>
      </c>
      <c r="C99" s="457">
        <f t="shared" si="3"/>
        <v>1.8629123938072503E-2</v>
      </c>
      <c r="N99" s="464"/>
      <c r="O99" s="465"/>
    </row>
    <row r="100" spans="1:15">
      <c r="A100" s="474" t="s">
        <v>72</v>
      </c>
      <c r="B100" s="481">
        <v>7.3295319885627945</v>
      </c>
      <c r="C100" s="482">
        <f t="shared" si="3"/>
        <v>1.7007007966607663E-2</v>
      </c>
      <c r="N100" s="464"/>
      <c r="O100" s="465"/>
    </row>
    <row r="101" spans="1:15">
      <c r="A101" s="474" t="s">
        <v>80</v>
      </c>
      <c r="B101" s="456">
        <v>6.8742808536223539</v>
      </c>
      <c r="C101" s="457">
        <f t="shared" si="3"/>
        <v>1.5950670441807879E-2</v>
      </c>
      <c r="N101" s="464"/>
      <c r="O101" s="465"/>
    </row>
    <row r="102" spans="1:15">
      <c r="A102" s="474" t="s">
        <v>39</v>
      </c>
      <c r="B102" s="481">
        <v>6.2368796277027094</v>
      </c>
      <c r="C102" s="482">
        <f t="shared" si="3"/>
        <v>1.4471682732352982E-2</v>
      </c>
      <c r="N102" s="464"/>
      <c r="O102" s="465"/>
    </row>
    <row r="103" spans="1:15">
      <c r="A103" s="474" t="s">
        <v>70</v>
      </c>
      <c r="B103" s="456">
        <v>4.4984284087190201</v>
      </c>
      <c r="C103" s="457">
        <f t="shared" si="3"/>
        <v>1.0437884424773482E-2</v>
      </c>
      <c r="N103" s="464"/>
      <c r="O103" s="465"/>
    </row>
    <row r="104" spans="1:15">
      <c r="A104" s="474" t="s">
        <v>377</v>
      </c>
      <c r="B104" s="481">
        <v>4.3013450999441396</v>
      </c>
      <c r="C104" s="482">
        <f t="shared" si="3"/>
        <v>9.9805840940497704E-3</v>
      </c>
      <c r="N104" s="464"/>
      <c r="O104" s="465"/>
    </row>
    <row r="105" spans="1:15">
      <c r="A105" s="474" t="s">
        <v>78</v>
      </c>
      <c r="B105" s="456">
        <v>4.2994335917282642</v>
      </c>
      <c r="C105" s="457">
        <f t="shared" si="3"/>
        <v>9.9761487446295948E-3</v>
      </c>
      <c r="N105" s="469"/>
      <c r="O105" s="468"/>
    </row>
    <row r="106" spans="1:15">
      <c r="A106" s="474" t="s">
        <v>725</v>
      </c>
      <c r="B106" s="481">
        <v>4.0220817412931211</v>
      </c>
      <c r="C106" s="482">
        <f t="shared" si="3"/>
        <v>9.3325980871982236E-3</v>
      </c>
    </row>
    <row r="107" spans="1:15">
      <c r="A107" s="474" t="s">
        <v>370</v>
      </c>
      <c r="B107" s="456">
        <v>3.7066809894805441</v>
      </c>
      <c r="C107" s="457">
        <f t="shared" si="3"/>
        <v>8.6007610330560615E-3</v>
      </c>
    </row>
    <row r="108" spans="1:15">
      <c r="A108" s="474" t="s">
        <v>63</v>
      </c>
      <c r="B108" s="481">
        <v>3.6771450107305834</v>
      </c>
      <c r="C108" s="482">
        <f t="shared" si="3"/>
        <v>8.532227513223422E-3</v>
      </c>
    </row>
    <row r="109" spans="1:15">
      <c r="A109" s="474" t="s">
        <v>22</v>
      </c>
      <c r="B109" s="456">
        <v>3.5933542443907909</v>
      </c>
      <c r="C109" s="457">
        <f t="shared" si="3"/>
        <v>8.3378044268800269E-3</v>
      </c>
    </row>
    <row r="110" spans="1:15">
      <c r="A110" s="474" t="s">
        <v>25</v>
      </c>
      <c r="B110" s="481">
        <v>3.165441987760218</v>
      </c>
      <c r="C110" s="482">
        <f t="shared" si="3"/>
        <v>7.3449024013644499E-3</v>
      </c>
    </row>
    <row r="111" spans="1:15">
      <c r="A111" s="474" t="s">
        <v>64</v>
      </c>
      <c r="B111" s="456">
        <v>2.8721177886425391</v>
      </c>
      <c r="C111" s="457">
        <f t="shared" si="3"/>
        <v>6.6642904606597124E-3</v>
      </c>
    </row>
    <row r="112" spans="1:15">
      <c r="A112" s="474" t="s">
        <v>366</v>
      </c>
      <c r="B112" s="481">
        <v>2.1167427752308945</v>
      </c>
      <c r="C112" s="482">
        <f t="shared" si="3"/>
        <v>4.9115634255755478E-3</v>
      </c>
    </row>
    <row r="113" spans="1:3">
      <c r="A113" s="474" t="s">
        <v>31</v>
      </c>
      <c r="B113" s="456">
        <v>1.7950758733556051</v>
      </c>
      <c r="C113" s="1679">
        <f t="shared" si="3"/>
        <v>4.1651867713330239E-3</v>
      </c>
    </row>
    <row r="114" spans="1:3">
      <c r="A114" s="474" t="s">
        <v>40</v>
      </c>
      <c r="B114" s="481">
        <v>1.0429059660770115</v>
      </c>
      <c r="C114" s="482">
        <f t="shared" si="3"/>
        <v>2.4198966729623733E-3</v>
      </c>
    </row>
    <row r="115" spans="1:3" s="630" customFormat="1">
      <c r="A115" s="474" t="s">
        <v>393</v>
      </c>
      <c r="B115" s="456">
        <v>0.84723102025188146</v>
      </c>
      <c r="C115" s="1679">
        <f t="shared" si="3"/>
        <v>1.9658642234544961E-3</v>
      </c>
    </row>
    <row r="116" spans="1:3" s="630" customFormat="1">
      <c r="A116" s="474" t="s">
        <v>65</v>
      </c>
      <c r="B116" s="481">
        <v>0.62721119659768054</v>
      </c>
      <c r="C116" s="482">
        <f t="shared" si="3"/>
        <v>1.4553433744374591E-3</v>
      </c>
    </row>
    <row r="117" spans="1:3" s="630" customFormat="1" ht="15.75" thickBot="1">
      <c r="A117" s="474" t="s">
        <v>844</v>
      </c>
      <c r="B117" s="1542">
        <v>1.9684539000000001E-3</v>
      </c>
      <c r="C117" s="1543">
        <f t="shared" ref="C117" si="4">B117/$B$118</f>
        <v>4.5674827821802489E-6</v>
      </c>
    </row>
    <row r="118" spans="1:3" ht="16.5" thickTop="1" thickBot="1">
      <c r="A118" s="1681" t="s">
        <v>137</v>
      </c>
      <c r="B118" s="484">
        <f>SUM(B89:B117)</f>
        <v>430.97127977795583</v>
      </c>
      <c r="C118" s="485"/>
    </row>
    <row r="119" spans="1:3">
      <c r="A119" s="630"/>
      <c r="B119" s="630"/>
      <c r="C119" s="630"/>
    </row>
    <row r="120" spans="1:3">
      <c r="A120" s="1680"/>
      <c r="B120" s="470"/>
    </row>
    <row r="121" spans="1:3">
      <c r="A121" s="470"/>
      <c r="B121" s="470"/>
    </row>
    <row r="122" spans="1:3">
      <c r="A122" s="470"/>
      <c r="B122" s="470"/>
    </row>
    <row r="123" spans="1:3">
      <c r="A123" s="470"/>
      <c r="B123" s="470"/>
    </row>
    <row r="124" spans="1:3">
      <c r="A124" s="470"/>
      <c r="B124" s="470"/>
    </row>
    <row r="125" spans="1:3">
      <c r="A125" s="470"/>
      <c r="B125" s="470"/>
    </row>
    <row r="126" spans="1:3">
      <c r="A126" s="470"/>
      <c r="B126" s="470"/>
    </row>
    <row r="127" spans="1:3">
      <c r="A127" s="470"/>
      <c r="B127" s="470"/>
    </row>
    <row r="128" spans="1:3">
      <c r="A128" s="470"/>
      <c r="B128" s="470"/>
    </row>
    <row r="129" spans="1:2">
      <c r="A129" s="470"/>
      <c r="B129" s="470"/>
    </row>
    <row r="130" spans="1:2">
      <c r="A130" s="470"/>
      <c r="B130" s="470"/>
    </row>
    <row r="131" spans="1:2">
      <c r="A131" s="470"/>
      <c r="B131" s="470"/>
    </row>
  </sheetData>
  <sortState ref="A60:C81">
    <sortCondition descending="1" ref="B60:B81"/>
  </sortState>
  <mergeCells count="5">
    <mergeCell ref="A6:C6"/>
    <mergeCell ref="A32:C32"/>
    <mergeCell ref="A57:C57"/>
    <mergeCell ref="A87:C87"/>
    <mergeCell ref="A82:C82"/>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8" tint="0.39997558519241921"/>
  </sheetPr>
  <dimension ref="A1:Q66"/>
  <sheetViews>
    <sheetView topLeftCell="B1" zoomScaleNormal="100" workbookViewId="0"/>
  </sheetViews>
  <sheetFormatPr defaultRowHeight="15"/>
  <cols>
    <col min="1" max="1" width="9.140625" style="24" hidden="1" customWidth="1"/>
    <col min="2" max="2" width="25" style="24" bestFit="1" customWidth="1"/>
    <col min="3" max="5" width="15.7109375" style="24" customWidth="1"/>
    <col min="6" max="6" width="9.7109375" style="24" bestFit="1" customWidth="1"/>
    <col min="7" max="8" width="9.140625" style="24"/>
    <col min="9" max="9" width="9.140625" style="24" hidden="1" customWidth="1"/>
    <col min="10" max="10" width="20" style="24" bestFit="1" customWidth="1"/>
    <col min="11" max="11" width="20" style="24" customWidth="1"/>
    <col min="12" max="14" width="9.140625" style="24"/>
    <col min="15" max="15" width="9.85546875" style="24" bestFit="1" customWidth="1"/>
    <col min="16" max="16" width="15.42578125" style="24" bestFit="1" customWidth="1"/>
    <col min="17" max="16384" width="9.140625" style="24"/>
  </cols>
  <sheetData>
    <row r="1" spans="1:17">
      <c r="B1" s="141"/>
    </row>
    <row r="4" spans="1:17">
      <c r="G4" s="240"/>
      <c r="H4" s="240"/>
    </row>
    <row r="5" spans="1:17">
      <c r="B5" s="1538"/>
      <c r="G5" s="240"/>
      <c r="H5" s="240"/>
    </row>
    <row r="6" spans="1:17" ht="15.75" thickBot="1">
      <c r="B6" s="2065" t="s">
        <v>394</v>
      </c>
      <c r="C6" s="2065"/>
      <c r="D6" s="2065"/>
      <c r="E6" s="2065"/>
      <c r="F6" s="2065"/>
      <c r="H6" s="241"/>
    </row>
    <row r="7" spans="1:17" ht="15.75" thickBot="1">
      <c r="B7" s="2062" t="s">
        <v>395</v>
      </c>
      <c r="C7" s="2063"/>
      <c r="D7" s="2063"/>
      <c r="E7" s="2063"/>
      <c r="F7" s="2064"/>
      <c r="H7" s="241"/>
      <c r="J7" s="1966" t="s">
        <v>411</v>
      </c>
      <c r="K7" s="1966"/>
      <c r="L7" s="1966"/>
      <c r="M7" s="1966"/>
    </row>
    <row r="8" spans="1:17" ht="30" customHeight="1">
      <c r="B8" s="242" t="s">
        <v>43</v>
      </c>
      <c r="C8" s="243" t="s">
        <v>727</v>
      </c>
      <c r="D8" s="252" t="s">
        <v>728</v>
      </c>
      <c r="E8" s="243" t="s">
        <v>729</v>
      </c>
      <c r="F8" s="251" t="s">
        <v>398</v>
      </c>
      <c r="H8" s="241"/>
      <c r="I8" s="265" t="s">
        <v>44</v>
      </c>
      <c r="J8" s="275" t="s">
        <v>43</v>
      </c>
      <c r="K8" s="268" t="s">
        <v>399</v>
      </c>
      <c r="L8" s="269" t="s">
        <v>397</v>
      </c>
      <c r="M8" s="270" t="s">
        <v>398</v>
      </c>
      <c r="O8" s="275" t="s">
        <v>43</v>
      </c>
      <c r="P8" s="269" t="str">
        <f>E8</f>
        <v>'000 million barrels End 2018</v>
      </c>
      <c r="Q8" s="270" t="s">
        <v>398</v>
      </c>
    </row>
    <row r="9" spans="1:17">
      <c r="A9" s="24">
        <f>RANK(E9,E$9:E$21:E$9:E$65,0)</f>
        <v>16</v>
      </c>
      <c r="B9" s="244" t="s">
        <v>381</v>
      </c>
      <c r="C9" s="1544">
        <v>11.314</v>
      </c>
      <c r="D9" s="1545">
        <v>12.2</v>
      </c>
      <c r="E9" s="1544">
        <v>12.2</v>
      </c>
      <c r="F9" s="249">
        <f t="shared" ref="F9:F21" si="0">E9/$E$66</f>
        <v>7.0530929188278631E-3</v>
      </c>
      <c r="I9" s="266">
        <v>1</v>
      </c>
      <c r="J9" s="244" t="str">
        <f>VLOOKUP(I9,A$9:F$21:A$24:F$64,2,FALSE)</f>
        <v>Venezuela</v>
      </c>
      <c r="K9" s="272" t="str">
        <f t="shared" ref="K9:K18" si="1">IF(COUNTIF(B$9:B$21,J9)=1, "OPEC", "Non-OPEC")</f>
        <v>OPEC</v>
      </c>
      <c r="L9" s="562">
        <f>VLOOKUP(I9,A$9:F$22:A$24:F$64,5,FALSE)</f>
        <v>303.29057651612902</v>
      </c>
      <c r="M9" s="564">
        <f>VLOOKUP(I9,A$9:F$22:A$24:F$64,6,FALSE)</f>
        <v>0.17533906701419097</v>
      </c>
      <c r="O9" s="244" t="s">
        <v>415</v>
      </c>
      <c r="P9" s="304">
        <f>SUM(E9:E21)</f>
        <v>1239.5163045291094</v>
      </c>
      <c r="Q9" s="273">
        <f>P9/(SUM(P$9:P$10))</f>
        <v>0.71659210411851992</v>
      </c>
    </row>
    <row r="10" spans="1:17" ht="15.75" thickBot="1">
      <c r="A10" s="900">
        <f>RANK(E10,E$9:E$21:E$9:E$65,0)</f>
        <v>18</v>
      </c>
      <c r="B10" s="244" t="s">
        <v>382</v>
      </c>
      <c r="C10" s="245">
        <v>4.03</v>
      </c>
      <c r="D10" s="253">
        <v>9.5</v>
      </c>
      <c r="E10" s="245">
        <v>8.3840000000000003</v>
      </c>
      <c r="F10" s="250">
        <f t="shared" si="0"/>
        <v>4.846977953397771E-3</v>
      </c>
      <c r="I10" s="266">
        <v>2</v>
      </c>
      <c r="J10" s="244" t="str">
        <f>VLOOKUP(I10,A$9:F$21:A$24:F$64,2,FALSE)</f>
        <v>Saudi Arabia</v>
      </c>
      <c r="K10" s="271" t="str">
        <f t="shared" si="1"/>
        <v>OPEC</v>
      </c>
      <c r="L10" s="522">
        <f>VLOOKUP(I10,A$9:F$22:A$24:F$64,5,FALSE)</f>
        <v>297.67099999999999</v>
      </c>
      <c r="M10" s="565">
        <f>VLOOKUP(I10,A$9:F$22:A$24:F$64,6,FALSE)</f>
        <v>0.1720902641180663</v>
      </c>
      <c r="O10" s="276" t="s">
        <v>416</v>
      </c>
      <c r="P10" s="299">
        <f>SUM(E24:E65)</f>
        <v>490.22129292019343</v>
      </c>
      <c r="Q10" s="307">
        <f>P10/(SUM(P$9:P$10))</f>
        <v>0.28340789588148002</v>
      </c>
    </row>
    <row r="11" spans="1:17">
      <c r="A11" s="900">
        <f>RANK(E11,E$9:E$21:E$9:E$65,0)</f>
        <v>31</v>
      </c>
      <c r="B11" s="244" t="s">
        <v>368</v>
      </c>
      <c r="C11" s="1544">
        <v>4.1020000000000003</v>
      </c>
      <c r="D11" s="1545">
        <v>4.2770000000000001</v>
      </c>
      <c r="E11" s="1544">
        <v>2.7877280129805295</v>
      </c>
      <c r="F11" s="249">
        <f t="shared" si="0"/>
        <v>1.6116479268828724E-3</v>
      </c>
      <c r="I11" s="266">
        <v>3</v>
      </c>
      <c r="J11" s="244" t="str">
        <f>VLOOKUP(I11,A$9:F$21:A$24:F$64,2,FALSE)</f>
        <v>Canada</v>
      </c>
      <c r="K11" s="272" t="str">
        <f t="shared" si="1"/>
        <v>Non-OPEC</v>
      </c>
      <c r="L11" s="562">
        <f>VLOOKUP(I11,A$9:F$22:A$24:F$64,5,FALSE)</f>
        <v>167.8151007558512</v>
      </c>
      <c r="M11" s="564">
        <f>VLOOKUP(I11,A$9:F$22:A$24:F$64,6,FALSE)</f>
        <v>9.7017663837170379E-2</v>
      </c>
    </row>
    <row r="12" spans="1:17">
      <c r="A12" s="900">
        <f>RANK(E12,E$9:E$21:E$9:E$65,0)</f>
        <v>35</v>
      </c>
      <c r="B12" s="244" t="s">
        <v>385</v>
      </c>
      <c r="C12" s="245">
        <v>2.5649999999999999</v>
      </c>
      <c r="D12" s="253">
        <v>2</v>
      </c>
      <c r="E12" s="245">
        <v>2</v>
      </c>
      <c r="F12" s="250">
        <f t="shared" si="0"/>
        <v>1.156244740791453E-3</v>
      </c>
      <c r="I12" s="266">
        <v>4</v>
      </c>
      <c r="J12" s="244" t="str">
        <f>VLOOKUP(I12,A$9:F$21:A$24:F$64,2,FALSE)</f>
        <v>Iran</v>
      </c>
      <c r="K12" s="271" t="str">
        <f t="shared" si="1"/>
        <v>OPEC</v>
      </c>
      <c r="L12" s="522">
        <f>VLOOKUP(I12,A$9:F$22:A$24:F$64,5,FALSE)</f>
        <v>155.6</v>
      </c>
      <c r="M12" s="565">
        <f>VLOOKUP(I12,A$9:F$22:A$24:F$64,6,FALSE)</f>
        <v>8.9955840833575038E-2</v>
      </c>
    </row>
    <row r="13" spans="1:17">
      <c r="A13" s="900">
        <f>RANK(E13,E$9:E$21:E$9:E$65,0)</f>
        <v>4</v>
      </c>
      <c r="B13" s="244" t="s">
        <v>155</v>
      </c>
      <c r="C13" s="245">
        <v>93.7</v>
      </c>
      <c r="D13" s="253">
        <v>137.62</v>
      </c>
      <c r="E13" s="245">
        <v>155.6</v>
      </c>
      <c r="F13" s="250">
        <f t="shared" si="0"/>
        <v>8.9955840833575038E-2</v>
      </c>
      <c r="I13" s="266">
        <v>5</v>
      </c>
      <c r="J13" s="244" t="str">
        <f>VLOOKUP(I13,A$9:F$21:A$24:F$64,2,FALSE)</f>
        <v>Iraq</v>
      </c>
      <c r="K13" s="272" t="str">
        <f t="shared" si="1"/>
        <v>OPEC</v>
      </c>
      <c r="L13" s="562">
        <f>VLOOKUP(I13,A$9:F$22:A$24:F$64,5,FALSE)</f>
        <v>147.22300000000001</v>
      </c>
      <c r="M13" s="564">
        <f>VLOOKUP(I13,A$9:F$22:A$24:F$64,6,FALSE)</f>
        <v>8.5112909736770048E-2</v>
      </c>
    </row>
    <row r="14" spans="1:17">
      <c r="A14" s="900">
        <f>RANK(E14,E$9:E$21:E$9:E$65,0)</f>
        <v>5</v>
      </c>
      <c r="B14" s="244" t="s">
        <v>376</v>
      </c>
      <c r="C14" s="1544">
        <v>112.5</v>
      </c>
      <c r="D14" s="1545">
        <v>115</v>
      </c>
      <c r="E14" s="1544">
        <v>147.22300000000001</v>
      </c>
      <c r="F14" s="249">
        <f t="shared" si="0"/>
        <v>8.5112909736770048E-2</v>
      </c>
      <c r="I14" s="266">
        <v>6</v>
      </c>
      <c r="J14" s="244" t="str">
        <f>VLOOKUP(I14,A$9:F$21:A$24:F$64,2,FALSE)</f>
        <v>Russian Federation</v>
      </c>
      <c r="K14" s="271" t="str">
        <f t="shared" si="1"/>
        <v>Non-OPEC</v>
      </c>
      <c r="L14" s="522">
        <f>VLOOKUP(I14,A$9:F$22:A$24:F$64,5,FALSE)</f>
        <v>106.22318482642999</v>
      </c>
      <c r="M14" s="565">
        <f>VLOOKUP(I14,A$9:F$22:A$24:F$64,6,FALSE)</f>
        <v>6.1409999402839074E-2</v>
      </c>
    </row>
    <row r="15" spans="1:17">
      <c r="A15" s="900">
        <f>RANK(E15,E$9:E$21:E$9:E$65,0)</f>
        <v>7</v>
      </c>
      <c r="B15" s="244" t="s">
        <v>377</v>
      </c>
      <c r="C15" s="245">
        <v>96.5</v>
      </c>
      <c r="D15" s="253">
        <v>101.5</v>
      </c>
      <c r="E15" s="245">
        <v>101.5</v>
      </c>
      <c r="F15" s="250">
        <f t="shared" si="0"/>
        <v>5.8679420595166239E-2</v>
      </c>
      <c r="I15" s="266">
        <v>7</v>
      </c>
      <c r="J15" s="244" t="str">
        <f>VLOOKUP(I15,A$9:F$21:A$24:F$64,2,FALSE)</f>
        <v>Kuwait</v>
      </c>
      <c r="K15" s="272" t="str">
        <f t="shared" si="1"/>
        <v>OPEC</v>
      </c>
      <c r="L15" s="562">
        <f>VLOOKUP(I15,A$9:F$22:A$24:F$64,5,FALSE)</f>
        <v>101.5</v>
      </c>
      <c r="M15" s="564">
        <f>VLOOKUP(I15,A$9:F$22:A$24:F$64,6,FALSE)</f>
        <v>5.8679420595166239E-2</v>
      </c>
    </row>
    <row r="16" spans="1:17">
      <c r="A16" s="900">
        <f>RANK(E16,E$9:E$21:E$9:E$65,0)</f>
        <v>10</v>
      </c>
      <c r="B16" s="244" t="s">
        <v>386</v>
      </c>
      <c r="C16" s="1544">
        <v>29.5</v>
      </c>
      <c r="D16" s="1545">
        <v>44.271000000000001</v>
      </c>
      <c r="E16" s="1544">
        <v>48.363</v>
      </c>
      <c r="F16" s="249">
        <f t="shared" si="0"/>
        <v>2.7959732199448521E-2</v>
      </c>
      <c r="I16" s="266">
        <v>8</v>
      </c>
      <c r="J16" s="244" t="str">
        <f>VLOOKUP(I16,A$9:F$21:A$24:F$64,2,FALSE)</f>
        <v>United Arab Emirates</v>
      </c>
      <c r="K16" s="271" t="str">
        <f t="shared" si="1"/>
        <v>OPEC</v>
      </c>
      <c r="L16" s="522">
        <f>VLOOKUP(I16,A$9:F$22:A$24:F$64,5,FALSE)</f>
        <v>97.8</v>
      </c>
      <c r="M16" s="565">
        <f>VLOOKUP(I16,A$9:F$22:A$24:F$64,6,FALSE)</f>
        <v>5.6540367824702051E-2</v>
      </c>
    </row>
    <row r="17" spans="1:13">
      <c r="A17" s="900">
        <f>RANK(E17,E$9:E$21:E$9:E$65,0)</f>
        <v>11</v>
      </c>
      <c r="B17" s="244" t="s">
        <v>387</v>
      </c>
      <c r="C17" s="245">
        <v>22.5</v>
      </c>
      <c r="D17" s="253">
        <v>37.200000000000003</v>
      </c>
      <c r="E17" s="245">
        <v>37.453000000000003</v>
      </c>
      <c r="F17" s="250">
        <f t="shared" si="0"/>
        <v>2.1652417138431145E-2</v>
      </c>
      <c r="I17" s="266">
        <v>9</v>
      </c>
      <c r="J17" s="244" t="str">
        <f>VLOOKUP(I17,A$9:F$21:A$24:F$64,2,FALSE)</f>
        <v>US</v>
      </c>
      <c r="K17" s="272" t="str">
        <f t="shared" si="1"/>
        <v>Non-OPEC</v>
      </c>
      <c r="L17" s="562">
        <f>VLOOKUP(I17,A$9:F$22:A$24:F$64,5,FALSE)</f>
        <v>61.232999999999997</v>
      </c>
      <c r="M17" s="564">
        <f>VLOOKUP(I17,A$9:F$22:A$24:F$64,6,FALSE)</f>
        <v>3.5400167106441519E-2</v>
      </c>
    </row>
    <row r="18" spans="1:13">
      <c r="A18" s="900">
        <f>RANK(E18,E$9:E$21:E$9:E$65,0)</f>
        <v>14</v>
      </c>
      <c r="B18" s="244" t="s">
        <v>35</v>
      </c>
      <c r="C18" s="1544">
        <v>13.4855</v>
      </c>
      <c r="D18" s="1545">
        <v>26.832999999999998</v>
      </c>
      <c r="E18" s="1544">
        <v>25.243999999999996</v>
      </c>
      <c r="F18" s="249">
        <f t="shared" si="0"/>
        <v>1.4594121118269719E-2</v>
      </c>
      <c r="I18" s="266">
        <v>10</v>
      </c>
      <c r="J18" s="244" t="str">
        <f>VLOOKUP(I18,A$9:F$21:A$24:F$64,2,FALSE)</f>
        <v>Libya</v>
      </c>
      <c r="K18" s="271" t="str">
        <f t="shared" si="1"/>
        <v>OPEC</v>
      </c>
      <c r="L18" s="522">
        <f>VLOOKUP(I18,A$9:F$22:A$24:F$64,5,FALSE)</f>
        <v>48.363</v>
      </c>
      <c r="M18" s="565">
        <f>VLOOKUP(I18,A$9:F$22:A$24:F$64,6,FALSE)</f>
        <v>2.7959732199448521E-2</v>
      </c>
    </row>
    <row r="19" spans="1:13" ht="15.75" thickBot="1">
      <c r="A19" s="900">
        <f>RANK(E19,E$9:E$21:E$9:E$65,0)</f>
        <v>2</v>
      </c>
      <c r="B19" s="244" t="s">
        <v>37</v>
      </c>
      <c r="C19" s="245">
        <v>261.54199999999997</v>
      </c>
      <c r="D19" s="253">
        <v>264.06299999999999</v>
      </c>
      <c r="E19" s="245">
        <v>297.67099999999999</v>
      </c>
      <c r="F19" s="250">
        <f t="shared" si="0"/>
        <v>0.1720902641180663</v>
      </c>
      <c r="I19" s="267"/>
      <c r="J19" s="276" t="s">
        <v>45</v>
      </c>
      <c r="K19" s="274"/>
      <c r="L19" s="563"/>
      <c r="M19" s="566">
        <f>1-SUM(M9:M18)</f>
        <v>0.1404945673316299</v>
      </c>
    </row>
    <row r="20" spans="1:13">
      <c r="A20" s="900">
        <f>RANK(E20,E$9:E$21:E$9:E$65,0)</f>
        <v>8</v>
      </c>
      <c r="B20" s="244" t="s">
        <v>40</v>
      </c>
      <c r="C20" s="1544">
        <v>97.8</v>
      </c>
      <c r="D20" s="1545">
        <v>97.8</v>
      </c>
      <c r="E20" s="1544">
        <v>97.8</v>
      </c>
      <c r="F20" s="249">
        <f t="shared" si="0"/>
        <v>5.6540367824702051E-2</v>
      </c>
    </row>
    <row r="21" spans="1:13" ht="15.75" thickBot="1">
      <c r="A21" s="900">
        <f>RANK(E21,E$9:E$21:E$9:E$65,0)</f>
        <v>1</v>
      </c>
      <c r="B21" s="244" t="s">
        <v>159</v>
      </c>
      <c r="C21" s="1546">
        <v>76.108000000000004</v>
      </c>
      <c r="D21" s="1547">
        <v>172.32300000000001</v>
      </c>
      <c r="E21" s="1546">
        <v>303.29057651612902</v>
      </c>
      <c r="F21" s="962">
        <f t="shared" si="0"/>
        <v>0.17533906701419097</v>
      </c>
    </row>
    <row r="22" spans="1:13">
      <c r="A22" s="900"/>
      <c r="B22" s="2062" t="s">
        <v>396</v>
      </c>
      <c r="C22" s="2063"/>
      <c r="D22" s="2063"/>
      <c r="E22" s="2063"/>
      <c r="F22" s="2064"/>
    </row>
    <row r="23" spans="1:13" ht="30">
      <c r="B23" s="242" t="s">
        <v>43</v>
      </c>
      <c r="C23" s="243" t="s">
        <v>727</v>
      </c>
      <c r="D23" s="252" t="s">
        <v>728</v>
      </c>
      <c r="E23" s="243" t="str">
        <f>E8</f>
        <v>'000 million barrels End 2018</v>
      </c>
      <c r="F23" s="251" t="s">
        <v>398</v>
      </c>
    </row>
    <row r="24" spans="1:13">
      <c r="A24" s="900">
        <f>RANK(E24,E$9:E$21:E$9:E$65,0)</f>
        <v>34</v>
      </c>
      <c r="B24" s="244" t="s">
        <v>22</v>
      </c>
      <c r="C24" s="1476">
        <v>2.7534149716062881</v>
      </c>
      <c r="D24" s="1477">
        <v>2.5203082956284635</v>
      </c>
      <c r="E24" s="1686">
        <v>2.0167650427042787</v>
      </c>
      <c r="F24" s="249">
        <f t="shared" ref="F24:F65" si="2">E24/$E$66</f>
        <v>1.1659369870194362E-3</v>
      </c>
    </row>
    <row r="25" spans="1:13">
      <c r="A25" s="900">
        <f>RANK(E25,E$9:E$21:E$9:E$65,0)</f>
        <v>24</v>
      </c>
      <c r="B25" s="244" t="s">
        <v>154</v>
      </c>
      <c r="C25" s="1479">
        <v>4.7739663545821509</v>
      </c>
      <c r="D25" s="1480">
        <v>4.2392003553292792</v>
      </c>
      <c r="E25" s="1685">
        <v>3.9961506780397413</v>
      </c>
      <c r="F25" s="254">
        <f t="shared" si="2"/>
        <v>2.3102641024468251E-3</v>
      </c>
    </row>
    <row r="26" spans="1:13">
      <c r="A26" s="900">
        <f>RANK(E26,E$9:E$21:E$9:E$65,0)</f>
        <v>20</v>
      </c>
      <c r="B26" s="244" t="s">
        <v>371</v>
      </c>
      <c r="C26" s="1478">
        <v>1.157</v>
      </c>
      <c r="D26" s="1477">
        <v>7</v>
      </c>
      <c r="E26" s="1686">
        <v>7</v>
      </c>
      <c r="F26" s="249">
        <f t="shared" si="2"/>
        <v>4.0468565927700853E-3</v>
      </c>
    </row>
    <row r="27" spans="1:13">
      <c r="A27" s="900">
        <f>RANK(E27,E$9:E$21:E$9:E$65,0)</f>
        <v>15</v>
      </c>
      <c r="B27" s="244" t="s">
        <v>64</v>
      </c>
      <c r="C27" s="1479">
        <v>7.3572545251887842</v>
      </c>
      <c r="D27" s="1480">
        <v>12.80142</v>
      </c>
      <c r="E27" s="1685">
        <v>13.435307</v>
      </c>
      <c r="F27" s="254">
        <f t="shared" si="2"/>
        <v>7.7672515298342973E-3</v>
      </c>
    </row>
    <row r="28" spans="1:13">
      <c r="A28" s="900">
        <f>RANK(E28,E$9:E$21:E$9:E$65,0)</f>
        <v>42</v>
      </c>
      <c r="B28" s="244" t="s">
        <v>392</v>
      </c>
      <c r="C28" s="1478">
        <v>1.02</v>
      </c>
      <c r="D28" s="1477">
        <v>1.0780000000000001</v>
      </c>
      <c r="E28" s="1686">
        <v>1.1000000000000001</v>
      </c>
      <c r="F28" s="249">
        <f t="shared" si="2"/>
        <v>6.3593460743529922E-4</v>
      </c>
    </row>
    <row r="29" spans="1:13">
      <c r="A29" s="900">
        <f>RANK(E29,E$9:E$21:E$9:E$65,0)</f>
        <v>3</v>
      </c>
      <c r="B29" s="244" t="s">
        <v>65</v>
      </c>
      <c r="C29" s="1479">
        <v>49.823087876992886</v>
      </c>
      <c r="D29" s="1480">
        <v>176.34992088018777</v>
      </c>
      <c r="E29" s="1685">
        <v>167.8151007558512</v>
      </c>
      <c r="F29" s="254">
        <f t="shared" si="2"/>
        <v>9.7017663837170379E-2</v>
      </c>
    </row>
    <row r="30" spans="1:13">
      <c r="A30" s="900">
        <f>RANK(E30,E$9:E$21:E$9:E$65,0)</f>
        <v>39</v>
      </c>
      <c r="B30" s="244" t="s">
        <v>383</v>
      </c>
      <c r="C30" s="1478">
        <v>0</v>
      </c>
      <c r="D30" s="1477">
        <v>1.5</v>
      </c>
      <c r="E30" s="1686">
        <v>1.5</v>
      </c>
      <c r="F30" s="249">
        <f t="shared" si="2"/>
        <v>8.6718355559358979E-4</v>
      </c>
    </row>
    <row r="31" spans="1:13">
      <c r="A31" s="900">
        <f>RANK(E31,E$9:E$21:E$9:E$65,0)</f>
        <v>13</v>
      </c>
      <c r="B31" s="244" t="s">
        <v>24</v>
      </c>
      <c r="C31" s="1479">
        <v>17.422823600000001</v>
      </c>
      <c r="D31" s="1480">
        <v>21.186851899999997</v>
      </c>
      <c r="E31" s="1685">
        <v>25.9482</v>
      </c>
      <c r="F31" s="254">
        <f t="shared" si="2"/>
        <v>1.5001234891502391E-2</v>
      </c>
    </row>
    <row r="32" spans="1:13">
      <c r="A32" s="900">
        <f>RANK(E32,E$9:E$21:E$9:E$65,0)</f>
        <v>36</v>
      </c>
      <c r="B32" s="244" t="s">
        <v>367</v>
      </c>
      <c r="C32" s="1478">
        <v>2.4778000000000002</v>
      </c>
      <c r="D32" s="1477">
        <v>1.3620000000000001</v>
      </c>
      <c r="E32" s="1686">
        <v>1.782208</v>
      </c>
      <c r="F32" s="249">
        <f t="shared" si="2"/>
        <v>1.0303343134982269E-3</v>
      </c>
    </row>
    <row r="33" spans="1:6">
      <c r="A33" s="900">
        <f>RANK(E33,E$9:E$21:E$9:E$65,0)</f>
        <v>50</v>
      </c>
      <c r="B33" s="244" t="s">
        <v>372</v>
      </c>
      <c r="C33" s="1479">
        <v>0.88057350413899993</v>
      </c>
      <c r="D33" s="1480">
        <v>0.81138558595665011</v>
      </c>
      <c r="E33" s="1685">
        <v>0.42770713058179999</v>
      </c>
      <c r="F33" s="254">
        <f t="shared" si="2"/>
        <v>2.4726706016710471E-4</v>
      </c>
    </row>
    <row r="34" spans="1:6">
      <c r="A34" s="900">
        <f>RANK(E34,E$9:E$21:E$9:E$65,0)</f>
        <v>27</v>
      </c>
      <c r="B34" s="244" t="s">
        <v>25</v>
      </c>
      <c r="C34" s="1478">
        <v>3.7566999999999999</v>
      </c>
      <c r="D34" s="1477">
        <v>4.2</v>
      </c>
      <c r="E34" s="1686">
        <v>3.3250000000000002</v>
      </c>
      <c r="F34" s="249">
        <f t="shared" si="2"/>
        <v>1.9222568815657909E-3</v>
      </c>
    </row>
    <row r="35" spans="1:6">
      <c r="A35" s="900">
        <f>RANK(E35,E$9:E$21:E$9:E$65,0)</f>
        <v>42</v>
      </c>
      <c r="B35" s="244" t="s">
        <v>384</v>
      </c>
      <c r="C35" s="1479">
        <v>0.55500000000000005</v>
      </c>
      <c r="D35" s="1480">
        <v>1.7050000000000001</v>
      </c>
      <c r="E35" s="1685">
        <v>1.1000000000000001</v>
      </c>
      <c r="F35" s="254">
        <f t="shared" si="2"/>
        <v>6.3593460743529922E-4</v>
      </c>
    </row>
    <row r="36" spans="1:6">
      <c r="A36" s="900">
        <f>RANK(E36,E$9:E$21:E$9:E$65,0)</f>
        <v>22</v>
      </c>
      <c r="B36" s="244" t="s">
        <v>27</v>
      </c>
      <c r="C36" s="1476">
        <v>5.3942660999999994</v>
      </c>
      <c r="D36" s="1477">
        <v>5.7981000000000007</v>
      </c>
      <c r="E36" s="1686">
        <v>4.4765774700000005</v>
      </c>
      <c r="F36" s="249">
        <f t="shared" si="2"/>
        <v>2.5880095782165047E-3</v>
      </c>
    </row>
    <row r="37" spans="1:6">
      <c r="A37" s="900">
        <f>RANK(E37,E$9:E$21:E$9:E$65,0)</f>
        <v>28</v>
      </c>
      <c r="B37" s="244" t="s">
        <v>28</v>
      </c>
      <c r="C37" s="1479">
        <v>5.0999999999999996</v>
      </c>
      <c r="D37" s="1480">
        <v>3.7475000000000001</v>
      </c>
      <c r="E37" s="1685">
        <v>3.1543000000000001</v>
      </c>
      <c r="F37" s="254">
        <f t="shared" si="2"/>
        <v>1.8235713929392401E-3</v>
      </c>
    </row>
    <row r="38" spans="1:6">
      <c r="A38" s="900">
        <f>RANK(E38,E$9:E$21:E$9:E$65,0)</f>
        <v>48</v>
      </c>
      <c r="B38" s="244" t="s">
        <v>68</v>
      </c>
      <c r="C38" s="1476">
        <v>0.63579600000000003</v>
      </c>
      <c r="D38" s="1477">
        <v>0.46952020799999999</v>
      </c>
      <c r="E38" s="1686">
        <v>0.57397240799999993</v>
      </c>
      <c r="F38" s="249">
        <f t="shared" si="2"/>
        <v>3.3182628905470304E-4</v>
      </c>
    </row>
    <row r="39" spans="1:6">
      <c r="A39" s="900">
        <f>RANK(E39,E$9:E$21:E$9:E$65,0)</f>
        <v>12</v>
      </c>
      <c r="B39" s="244" t="s">
        <v>79</v>
      </c>
      <c r="C39" s="1479">
        <v>5.4</v>
      </c>
      <c r="D39" s="1480">
        <v>30</v>
      </c>
      <c r="E39" s="1685">
        <v>30</v>
      </c>
      <c r="F39" s="254">
        <f t="shared" si="2"/>
        <v>1.7343671111871795E-2</v>
      </c>
    </row>
    <row r="40" spans="1:6">
      <c r="A40" s="900">
        <f>RANK(E40,E$9:E$21:E$9:E$65,0)</f>
        <v>29</v>
      </c>
      <c r="B40" s="244" t="s">
        <v>31</v>
      </c>
      <c r="C40" s="1476">
        <v>3.42</v>
      </c>
      <c r="D40" s="1477">
        <v>5.52</v>
      </c>
      <c r="E40" s="1686">
        <v>3.0180000000000002</v>
      </c>
      <c r="F40" s="249">
        <f t="shared" si="2"/>
        <v>1.7447733138543028E-3</v>
      </c>
    </row>
    <row r="41" spans="1:6">
      <c r="A41" s="900">
        <f>RANK(E41,E$9:E$21:E$9:E$65,0)</f>
        <v>19</v>
      </c>
      <c r="B41" s="244" t="s">
        <v>80</v>
      </c>
      <c r="C41" s="1479">
        <v>21.638000000000002</v>
      </c>
      <c r="D41" s="1480">
        <v>11.865500000000001</v>
      </c>
      <c r="E41" s="1685">
        <v>7.6946999999999992</v>
      </c>
      <c r="F41" s="254">
        <f t="shared" si="2"/>
        <v>4.4484782034839966E-3</v>
      </c>
    </row>
    <row r="42" spans="1:6">
      <c r="A42" s="900">
        <f>RANK(E42,E$9:E$21:E$9:E$65,0)</f>
        <v>17</v>
      </c>
      <c r="B42" s="244" t="s">
        <v>69</v>
      </c>
      <c r="C42" s="1476">
        <v>11.663025425702749</v>
      </c>
      <c r="D42" s="1477">
        <v>7.4907979355837009</v>
      </c>
      <c r="E42" s="1686">
        <v>8.6445147048926465</v>
      </c>
      <c r="F42" s="249">
        <f t="shared" si="2"/>
        <v>4.9975873321132513E-3</v>
      </c>
    </row>
    <row r="43" spans="1:6">
      <c r="A43" s="900">
        <f>RANK(E43,E$9:E$21:E$9:E$65,0)</f>
        <v>21</v>
      </c>
      <c r="B43" s="244" t="s">
        <v>42</v>
      </c>
      <c r="C43" s="1479">
        <v>5.4</v>
      </c>
      <c r="D43" s="1480">
        <v>5.5720000000000001</v>
      </c>
      <c r="E43" s="1685">
        <v>5.3730000000000002</v>
      </c>
      <c r="F43" s="254">
        <f t="shared" si="2"/>
        <v>3.1062514961362388E-3</v>
      </c>
    </row>
    <row r="44" spans="1:6">
      <c r="A44" s="900">
        <f>RANK(E44,E$9:E$21:E$9:E$65,0)</f>
        <v>25</v>
      </c>
      <c r="B44" s="244" t="s">
        <v>391</v>
      </c>
      <c r="C44" s="1476">
        <v>0.69948599999999994</v>
      </c>
      <c r="D44" s="1477">
        <v>0.65828999999999993</v>
      </c>
      <c r="E44" s="1686">
        <v>3.9311320000000003</v>
      </c>
      <c r="F44" s="249">
        <f t="shared" si="2"/>
        <v>2.2726753501784934E-3</v>
      </c>
    </row>
    <row r="45" spans="1:6">
      <c r="A45" s="900">
        <f>RANK(E45,E$9:E$21:E$9:E$65,0)</f>
        <v>41</v>
      </c>
      <c r="B45" s="244" t="s">
        <v>393</v>
      </c>
      <c r="C45" s="1479">
        <v>1.339858</v>
      </c>
      <c r="D45" s="1480">
        <v>1.2594644837958786</v>
      </c>
      <c r="E45" s="1685">
        <v>1.1750414710636103</v>
      </c>
      <c r="F45" s="254">
        <f t="shared" si="2"/>
        <v>6.7931776056457587E-4</v>
      </c>
    </row>
    <row r="46" spans="1:6">
      <c r="A46" s="900">
        <f>RANK(E46,E$9:E$21:E$9:E$65,0)</f>
        <v>53</v>
      </c>
      <c r="B46" s="244" t="s">
        <v>701</v>
      </c>
      <c r="C46" s="1476">
        <v>0.25</v>
      </c>
      <c r="D46" s="1477">
        <v>0.25</v>
      </c>
      <c r="E46" s="1686">
        <v>0.25</v>
      </c>
      <c r="F46" s="249">
        <f t="shared" si="2"/>
        <v>1.4453059259893162E-4</v>
      </c>
    </row>
    <row r="47" spans="1:6">
      <c r="A47" s="900">
        <f>RANK(E47,E$9:E$21:E$9:E$65,0)</f>
        <v>38</v>
      </c>
      <c r="B47" s="244" t="s">
        <v>702</v>
      </c>
      <c r="C47" s="1479">
        <v>1.8964639176242331</v>
      </c>
      <c r="D47" s="1480">
        <v>1.8675935685140548</v>
      </c>
      <c r="E47" s="1685">
        <v>1.5779684326302386</v>
      </c>
      <c r="F47" s="254">
        <f t="shared" si="2"/>
        <v>9.1225885068182283E-4</v>
      </c>
    </row>
    <row r="48" spans="1:6">
      <c r="A48" s="900">
        <f>RANK(E48,E$9:E$21:E$9:E$65,0)</f>
        <v>55</v>
      </c>
      <c r="B48" s="244" t="s">
        <v>380</v>
      </c>
      <c r="C48" s="1476">
        <v>0.16422999999999999</v>
      </c>
      <c r="D48" s="1477">
        <v>0.1275</v>
      </c>
      <c r="E48" s="1686">
        <v>0.15672999999999998</v>
      </c>
      <c r="F48" s="249">
        <f t="shared" si="2"/>
        <v>9.060911911212221E-5</v>
      </c>
    </row>
    <row r="49" spans="1:11">
      <c r="A49" s="900">
        <f>RANK(E49,E$9:E$21:E$9:E$65,0)</f>
        <v>49</v>
      </c>
      <c r="B49" s="244" t="s">
        <v>370</v>
      </c>
      <c r="C49" s="1479">
        <v>1.0784530000000001</v>
      </c>
      <c r="D49" s="1480">
        <v>0.81206999999999996</v>
      </c>
      <c r="E49" s="1685">
        <v>0.52317600000000009</v>
      </c>
      <c r="F49" s="254">
        <f t="shared" si="2"/>
        <v>3.0245974925415469E-4</v>
      </c>
    </row>
    <row r="50" spans="1:11">
      <c r="A50" s="900">
        <f>RANK(E50,E$9:E$21:E$9:E$65,0)</f>
        <v>44</v>
      </c>
      <c r="B50" s="244" t="s">
        <v>82</v>
      </c>
      <c r="C50" s="1476">
        <v>0.93738300000000008</v>
      </c>
      <c r="D50" s="1477">
        <v>1.12148</v>
      </c>
      <c r="E50" s="1686">
        <v>0.98507499999999992</v>
      </c>
      <c r="F50" s="249">
        <f t="shared" si="2"/>
        <v>5.6949389401757028E-4</v>
      </c>
    </row>
    <row r="51" spans="1:11">
      <c r="A51" s="900">
        <f>RANK(E51,E$9:E$21:E$9:E$65,0)</f>
        <v>37</v>
      </c>
      <c r="B51" s="244" t="s">
        <v>703</v>
      </c>
      <c r="C51" s="1479">
        <v>1.7</v>
      </c>
      <c r="D51" s="1480">
        <v>1.6</v>
      </c>
      <c r="E51" s="1685">
        <v>1.6</v>
      </c>
      <c r="F51" s="254">
        <f t="shared" si="2"/>
        <v>9.2499579263316252E-4</v>
      </c>
      <c r="K51" s="24" t="str">
        <f>"Global Distribution of Oil Reserves"&amp;CHAR(10)&amp;"at end "&amp;RIGHT($E$8,4)</f>
        <v>Global Distribution of Oil Reserves
at end 2018</v>
      </c>
    </row>
    <row r="52" spans="1:11">
      <c r="A52" s="900">
        <f>RANK(E52,E$9:E$21:E$9:E$65,0)</f>
        <v>45</v>
      </c>
      <c r="B52" s="244" t="s">
        <v>373</v>
      </c>
      <c r="C52" s="1476">
        <v>1.1629</v>
      </c>
      <c r="D52" s="1477">
        <v>0.48</v>
      </c>
      <c r="E52" s="1686">
        <v>0.6</v>
      </c>
      <c r="F52" s="249">
        <f t="shared" si="2"/>
        <v>3.4687342223743592E-4</v>
      </c>
    </row>
    <row r="53" spans="1:11">
      <c r="A53" s="900">
        <f>RANK(E53,E$9:E$21:E$9:E$65,0)</f>
        <v>6</v>
      </c>
      <c r="B53" s="244" t="s">
        <v>36</v>
      </c>
      <c r="C53" s="1479">
        <v>113.1119934</v>
      </c>
      <c r="D53" s="1480">
        <v>106.36616599999999</v>
      </c>
      <c r="E53" s="1685">
        <v>106.22318482642999</v>
      </c>
      <c r="F53" s="254">
        <f t="shared" si="2"/>
        <v>6.1409999402839074E-2</v>
      </c>
    </row>
    <row r="54" spans="1:11">
      <c r="A54" s="900">
        <f>RANK(E54,E$9:E$21:E$9:E$65,0)</f>
        <v>26</v>
      </c>
      <c r="B54" s="244" t="s">
        <v>388</v>
      </c>
      <c r="C54" s="1476" t="s">
        <v>273</v>
      </c>
      <c r="D54" s="1477" t="s">
        <v>273</v>
      </c>
      <c r="E54" s="1686">
        <v>3.5</v>
      </c>
      <c r="F54" s="249">
        <f t="shared" si="2"/>
        <v>2.0234282963850427E-3</v>
      </c>
    </row>
    <row r="55" spans="1:11">
      <c r="A55" s="900">
        <f>RANK(E55,E$9:E$21:E$9:E$65,0)</f>
        <v>39</v>
      </c>
      <c r="B55" s="244" t="s">
        <v>389</v>
      </c>
      <c r="C55" s="1479">
        <v>0.2621</v>
      </c>
      <c r="D55" s="1480">
        <v>5</v>
      </c>
      <c r="E55" s="1685">
        <v>1.5</v>
      </c>
      <c r="F55" s="254">
        <f t="shared" si="2"/>
        <v>8.6718355559358979E-4</v>
      </c>
    </row>
    <row r="56" spans="1:11">
      <c r="A56" s="900">
        <f>RANK(E56,E$9:E$21:E$9:E$65,0)</f>
        <v>32</v>
      </c>
      <c r="B56" s="244" t="s">
        <v>378</v>
      </c>
      <c r="C56" s="1476">
        <v>2.2999999999999998</v>
      </c>
      <c r="D56" s="1477">
        <v>2.5</v>
      </c>
      <c r="E56" s="1686">
        <v>2.5</v>
      </c>
      <c r="F56" s="249">
        <f t="shared" si="2"/>
        <v>1.4453059259893163E-3</v>
      </c>
    </row>
    <row r="57" spans="1:11">
      <c r="A57" s="900">
        <f>RANK(E57,E$9:E$21:E$9:E$65,0)</f>
        <v>52</v>
      </c>
      <c r="B57" s="244" t="s">
        <v>39</v>
      </c>
      <c r="C57" s="1479">
        <v>0.38830000000000009</v>
      </c>
      <c r="D57" s="1480">
        <v>0.45400000000000001</v>
      </c>
      <c r="E57" s="1685">
        <v>0.32250000000000001</v>
      </c>
      <c r="F57" s="254">
        <f t="shared" si="2"/>
        <v>1.8644446445262181E-4</v>
      </c>
    </row>
    <row r="58" spans="1:11">
      <c r="A58" s="900">
        <f>RANK(E58,E$9:E$21:E$9:E$65,0)</f>
        <v>54</v>
      </c>
      <c r="B58" s="244" t="s">
        <v>369</v>
      </c>
      <c r="C58" s="1476">
        <v>0.74006999999999989</v>
      </c>
      <c r="D58" s="1477">
        <v>0.83</v>
      </c>
      <c r="E58" s="1686">
        <v>0.242982</v>
      </c>
      <c r="F58" s="249">
        <f t="shared" si="2"/>
        <v>1.4047332980349442E-4</v>
      </c>
    </row>
    <row r="59" spans="1:11">
      <c r="A59" s="900">
        <f>RANK(E59,E$9:E$21:E$9:E$65,0)</f>
        <v>51</v>
      </c>
      <c r="B59" s="244" t="s">
        <v>390</v>
      </c>
      <c r="C59" s="1479">
        <v>0.28999999999999998</v>
      </c>
      <c r="D59" s="1480">
        <v>0.57699999999999996</v>
      </c>
      <c r="E59" s="1685">
        <v>0.42499999999999999</v>
      </c>
      <c r="F59" s="254">
        <f t="shared" si="2"/>
        <v>2.4570200741818378E-4</v>
      </c>
    </row>
    <row r="60" spans="1:11">
      <c r="A60" s="900">
        <f>RANK(E60,E$9:E$21:E$9:E$65,0)</f>
        <v>45</v>
      </c>
      <c r="B60" s="244" t="s">
        <v>374</v>
      </c>
      <c r="C60" s="1476">
        <v>0.54600000000000004</v>
      </c>
      <c r="D60" s="1477">
        <v>0.6</v>
      </c>
      <c r="E60" s="1686">
        <v>0.6</v>
      </c>
      <c r="F60" s="249">
        <f t="shared" si="2"/>
        <v>3.4687342223743592E-4</v>
      </c>
    </row>
    <row r="61" spans="1:11">
      <c r="A61" s="900">
        <f>RANK(E61,E$9:E$21:E$9:E$65,0)</f>
        <v>32</v>
      </c>
      <c r="B61" s="244" t="s">
        <v>72</v>
      </c>
      <c r="C61" s="1479">
        <v>5.1375000000000002</v>
      </c>
      <c r="D61" s="1480">
        <v>3.06</v>
      </c>
      <c r="E61" s="1685">
        <v>2.5</v>
      </c>
      <c r="F61" s="254">
        <f t="shared" si="2"/>
        <v>1.4453059259893163E-3</v>
      </c>
    </row>
    <row r="62" spans="1:11">
      <c r="A62" s="900">
        <f>RANK(E62,E$9:E$21:E$9:E$65,0)</f>
        <v>9</v>
      </c>
      <c r="B62" s="244" t="s">
        <v>366</v>
      </c>
      <c r="C62" s="1476">
        <v>28.558</v>
      </c>
      <c r="D62" s="1477">
        <v>28.396000000000001</v>
      </c>
      <c r="E62" s="1686">
        <v>61.232999999999997</v>
      </c>
      <c r="F62" s="249">
        <f t="shared" si="2"/>
        <v>3.5400167106441519E-2</v>
      </c>
    </row>
    <row r="63" spans="1:11">
      <c r="A63" s="900">
        <f>RANK(E63,E$9:E$21:E$9:E$65,0)</f>
        <v>47</v>
      </c>
      <c r="B63" s="244" t="s">
        <v>375</v>
      </c>
      <c r="C63" s="1479">
        <v>0.59399999999999997</v>
      </c>
      <c r="D63" s="1480">
        <v>0.59399999999999997</v>
      </c>
      <c r="E63" s="1685">
        <v>0.59399999999999997</v>
      </c>
      <c r="F63" s="254">
        <f t="shared" si="2"/>
        <v>3.4340468801506154E-4</v>
      </c>
    </row>
    <row r="64" spans="1:11">
      <c r="A64" s="900">
        <f>RANK(E64,E$9:E$21:E$9:E$65,0)</f>
        <v>23</v>
      </c>
      <c r="B64" s="244" t="s">
        <v>164</v>
      </c>
      <c r="C64" s="1476">
        <v>1.9</v>
      </c>
      <c r="D64" s="1477">
        <v>4.7300000000000004</v>
      </c>
      <c r="E64" s="1686">
        <v>4.4000000000000004</v>
      </c>
      <c r="F64" s="249">
        <f t="shared" si="2"/>
        <v>2.5437384297411969E-3</v>
      </c>
    </row>
    <row r="65" spans="1:6" ht="15.75" thickBot="1">
      <c r="A65" s="900">
        <f>RANK(E65,E$9:E$21:E$9:E$65,0)</f>
        <v>30</v>
      </c>
      <c r="B65" s="244" t="s">
        <v>379</v>
      </c>
      <c r="C65" s="1479">
        <v>1.85</v>
      </c>
      <c r="D65" s="1480">
        <v>2.67</v>
      </c>
      <c r="E65" s="1685">
        <v>3</v>
      </c>
      <c r="F65" s="254">
        <f t="shared" si="2"/>
        <v>1.7343671111871796E-3</v>
      </c>
    </row>
    <row r="66" spans="1:6" ht="15.75" thickBot="1">
      <c r="B66" s="246" t="s">
        <v>137</v>
      </c>
      <c r="C66" s="247">
        <f>SUM(C24:C65)+SUM(C9:C21)</f>
        <v>1141.181945675836</v>
      </c>
      <c r="D66" s="247">
        <f>SUM(D24:D65)+SUM(D9:D21)</f>
        <v>1493.7580692129959</v>
      </c>
      <c r="E66" s="247">
        <f>SUM(E24:E65)+SUM(E9:E21)</f>
        <v>1729.7375974493029</v>
      </c>
      <c r="F66" s="248"/>
    </row>
  </sheetData>
  <dataConsolidate/>
  <mergeCells count="4">
    <mergeCell ref="B22:F22"/>
    <mergeCell ref="B6:F6"/>
    <mergeCell ref="B7:F7"/>
    <mergeCell ref="J7:M7"/>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2" tint="-0.499984740745262"/>
  </sheetPr>
  <dimension ref="A1:AA67"/>
  <sheetViews>
    <sheetView workbookViewId="0"/>
  </sheetViews>
  <sheetFormatPr defaultRowHeight="15"/>
  <cols>
    <col min="1" max="1" width="9.140625" style="86"/>
    <col min="2" max="2" width="15.85546875" style="86" bestFit="1" customWidth="1"/>
    <col min="3" max="3" width="3" style="86" customWidth="1"/>
    <col min="4" max="5" width="5" style="1244" hidden="1" customWidth="1"/>
    <col min="6" max="6" width="11.140625" style="86" customWidth="1"/>
    <col min="7" max="7" width="21.7109375" style="86" customWidth="1"/>
    <col min="8" max="8" width="0" style="86" hidden="1" customWidth="1"/>
    <col min="9" max="16384" width="9.140625" style="86"/>
  </cols>
  <sheetData>
    <row r="1" spans="1:27">
      <c r="AA1" s="807" t="s">
        <v>545</v>
      </c>
    </row>
    <row r="2" spans="1:27">
      <c r="AA2" s="807" t="s">
        <v>546</v>
      </c>
    </row>
    <row r="5" spans="1:27">
      <c r="A5" s="1937" t="s">
        <v>92</v>
      </c>
      <c r="B5" s="1937"/>
      <c r="C5" s="24"/>
      <c r="D5" s="900"/>
      <c r="E5" s="900"/>
      <c r="F5" s="1937" t="s">
        <v>93</v>
      </c>
      <c r="G5" s="1937"/>
      <c r="I5" s="488"/>
    </row>
    <row r="6" spans="1:27" ht="15.75" thickBot="1">
      <c r="A6" s="1966" t="s">
        <v>54</v>
      </c>
      <c r="B6" s="1966"/>
      <c r="C6" s="24"/>
      <c r="D6" s="900"/>
      <c r="E6" s="900"/>
      <c r="F6" s="1937" t="str">
        <f>F45</f>
        <v>Historic Calendar Year</v>
      </c>
      <c r="G6" s="1937"/>
    </row>
    <row r="7" spans="1:27" ht="15.75" thickBot="1">
      <c r="A7" s="1901" t="s">
        <v>52</v>
      </c>
      <c r="B7" s="101" t="s">
        <v>95</v>
      </c>
      <c r="C7" s="24"/>
      <c r="D7" s="900"/>
      <c r="E7" s="900"/>
      <c r="F7" s="99" t="s">
        <v>49</v>
      </c>
      <c r="G7" s="101" t="s">
        <v>94</v>
      </c>
    </row>
    <row r="8" spans="1:27">
      <c r="A8" s="1902">
        <f>LARGE('Data - Monthly Commodity Prices'!C$159:C$902,60)</f>
        <v>42005</v>
      </c>
      <c r="B8" s="125">
        <f>SUMIF('Data - Monthly Commodity Prices'!C$62:C$902,A8,'Data - Monthly Commodity Prices'!R$62:R$902)</f>
        <v>36.75</v>
      </c>
      <c r="C8" s="24"/>
      <c r="D8" s="900">
        <v>1986</v>
      </c>
      <c r="E8" s="900">
        <v>1987</v>
      </c>
      <c r="F8" s="1905">
        <f>IF($F$6="Historic Calendar Year",1986,CONCATENATE(D8,"-",RIGHT(E8,2)))</f>
        <v>1986</v>
      </c>
      <c r="G8" s="30">
        <f t="array" ref="G8">IF($F$6="Historic Calendar Year",IFERROR(AVERAGE(IF($F8=YEAR('Data - Monthly Commodity Prices'!C$100:C$1000),'Data - Monthly Commodity Prices'!R$100:R$1000)),"NA"),IFERROR(IF(H8=0,"NA",H8),"NA"))</f>
        <v>17.102083333333336</v>
      </c>
      <c r="H8" s="86">
        <f>(SUMIFS('Data - Monthly Commodity Prices'!$R$9:$R$2500,'Data - Monthly Commodity Prices'!$A$9:$A$2500,'Uranium - Prices'!D8,'Data - Monthly Commodity Prices'!$B$9:$B$2500,3)+
SUMIFS('Data - Monthly Commodity Prices'!$R$9:$R$2500,'Data - Monthly Commodity Prices'!$A$9:$A$2500,'Uranium - Prices'!D8,'Data - Monthly Commodity Prices'!$B$9:$B$2500,4)+
SUMIFS('Data - Monthly Commodity Prices'!$R$9:$R$2500,'Data - Monthly Commodity Prices'!$A$9:$A$2500,'Uranium - Prices'!E8,'Data - Monthly Commodity Prices'!$B$9:$B$2500,1)+
SUMIFS('Data - Monthly Commodity Prices'!$R$9:$R$2500,'Data - Monthly Commodity Prices'!$A$9:$A$2500,'Uranium - Prices'!E8,'Data - Monthly Commodity Prices'!$B$9:$B$2500,2))
/(COUNTIFS('Data - Monthly Commodity Prices'!$A$9:$A$2500,'Uranium - Prices'!D8,'Data - Monthly Commodity Prices'!$B$9:$B$2500,3)+
COUNTIFS('Data - Monthly Commodity Prices'!$A$9:$A$2500,'Uranium - Prices'!D8,'Data - Monthly Commodity Prices'!$B$9:$B$2500,4)+
COUNTIFS('Data - Monthly Commodity Prices'!$A$9:$A$2500,'Uranium - Prices'!E8,'Data - Monthly Commodity Prices'!$B$9:$B$2500,1)+
COUNTIFS('Data - Monthly Commodity Prices'!$A$9:$A$2500,'Uranium - Prices'!E8,'Data - Monthly Commodity Prices'!$B$9:$B$2500,2))</f>
        <v>17.231249999999999</v>
      </c>
    </row>
    <row r="9" spans="1:27">
      <c r="A9" s="1903">
        <f>LARGE('Data - Monthly Commodity Prices'!C$159:C$902,59)</f>
        <v>42036</v>
      </c>
      <c r="B9" s="30">
        <f>SUMIF('Data - Monthly Commodity Prices'!C$62:C$902,A9,'Data - Monthly Commodity Prices'!R$62:R$902)</f>
        <v>38.75</v>
      </c>
      <c r="C9" s="24"/>
      <c r="D9" s="900">
        <f>D8+1</f>
        <v>1987</v>
      </c>
      <c r="E9" s="900">
        <f>E8+1</f>
        <v>1988</v>
      </c>
      <c r="F9" s="1906">
        <f>IF($F$6="Historic Calendar Year",F8+1,CONCATENATE(D9,"-",RIGHT(E9,2)))</f>
        <v>1987</v>
      </c>
      <c r="G9" s="125">
        <f t="array" ref="G9">IF($F$6="Historic Calendar Year",IFERROR(AVERAGE(IF($F9=YEAR('Data - Monthly Commodity Prices'!C$100:C$1000),'Data - Monthly Commodity Prices'!R$100:R$1000)),"NA"),IFERROR(IF(H9=0,"NA",H9),"NA"))</f>
        <v>17.389583333333334</v>
      </c>
      <c r="H9" s="1244">
        <f>(SUMIFS('Data - Monthly Commodity Prices'!$R$9:$R$2500,'Data - Monthly Commodity Prices'!$A$9:$A$2500,'Uranium - Prices'!D9,'Data - Monthly Commodity Prices'!$B$9:$B$2500,3)+
SUMIFS('Data - Monthly Commodity Prices'!$R$9:$R$2500,'Data - Monthly Commodity Prices'!$A$9:$A$2500,'Uranium - Prices'!D9,'Data - Monthly Commodity Prices'!$B$9:$B$2500,4)+
SUMIFS('Data - Monthly Commodity Prices'!$R$9:$R$2500,'Data - Monthly Commodity Prices'!$A$9:$A$2500,'Uranium - Prices'!E9,'Data - Monthly Commodity Prices'!$B$9:$B$2500,1)+
SUMIFS('Data - Monthly Commodity Prices'!$R$9:$R$2500,'Data - Monthly Commodity Prices'!$A$9:$A$2500,'Uranium - Prices'!E9,'Data - Monthly Commodity Prices'!$B$9:$B$2500,2))
/(COUNTIFS('Data - Monthly Commodity Prices'!$A$9:$A$2500,'Uranium - Prices'!D9,'Data - Monthly Commodity Prices'!$B$9:$B$2500,3)+
COUNTIFS('Data - Monthly Commodity Prices'!$A$9:$A$2500,'Uranium - Prices'!D9,'Data - Monthly Commodity Prices'!$B$9:$B$2500,4)+
COUNTIFS('Data - Monthly Commodity Prices'!$A$9:$A$2500,'Uranium - Prices'!E9,'Data - Monthly Commodity Prices'!$B$9:$B$2500,1)+
COUNTIFS('Data - Monthly Commodity Prices'!$A$9:$A$2500,'Uranium - Prices'!E9,'Data - Monthly Commodity Prices'!$B$9:$B$2500,2))</f>
        <v>16.643750000000001</v>
      </c>
    </row>
    <row r="10" spans="1:27">
      <c r="A10" s="1902">
        <f>LARGE('Data - Monthly Commodity Prices'!C$159:C$902,58)</f>
        <v>42064</v>
      </c>
      <c r="B10" s="125">
        <f>SUMIF('Data - Monthly Commodity Prices'!C$62:C$902,A10,'Data - Monthly Commodity Prices'!R$62:R$902)</f>
        <v>39.5</v>
      </c>
      <c r="C10" s="24"/>
      <c r="D10" s="900">
        <f t="shared" ref="D10:D42" si="0">D9+1</f>
        <v>1988</v>
      </c>
      <c r="E10" s="900">
        <f t="shared" ref="E10:E42" si="1">E9+1</f>
        <v>1989</v>
      </c>
      <c r="F10" s="1905">
        <f t="shared" ref="F10:F42" si="2">IF($F$6="Historic Calendar Year",F9+1,CONCATENATE(D10,"-",RIGHT(E10,2)))</f>
        <v>1988</v>
      </c>
      <c r="G10" s="30">
        <f t="array" ref="G10">IF($F$6="Historic Calendar Year",IFERROR(AVERAGE(IF($F10=YEAR('Data - Monthly Commodity Prices'!C$100:C$1000),'Data - Monthly Commodity Prices'!R$100:R$1000)),"NA"),IFERROR(IF(H10=0,"NA",H10),"NA"))</f>
        <v>14.541666666666664</v>
      </c>
      <c r="H10" s="1244">
        <f>(SUMIFS('Data - Monthly Commodity Prices'!$R$9:$R$2500,'Data - Monthly Commodity Prices'!$A$9:$A$2500,'Uranium - Prices'!D10,'Data - Monthly Commodity Prices'!$B$9:$B$2500,3)+
SUMIFS('Data - Monthly Commodity Prices'!$R$9:$R$2500,'Data - Monthly Commodity Prices'!$A$9:$A$2500,'Uranium - Prices'!D10,'Data - Monthly Commodity Prices'!$B$9:$B$2500,4)+
SUMIFS('Data - Monthly Commodity Prices'!$R$9:$R$2500,'Data - Monthly Commodity Prices'!$A$9:$A$2500,'Uranium - Prices'!E10,'Data - Monthly Commodity Prices'!$B$9:$B$2500,1)+
SUMIFS('Data - Monthly Commodity Prices'!$R$9:$R$2500,'Data - Monthly Commodity Prices'!$A$9:$A$2500,'Uranium - Prices'!E10,'Data - Monthly Commodity Prices'!$B$9:$B$2500,2))
/(COUNTIFS('Data - Monthly Commodity Prices'!$A$9:$A$2500,'Uranium - Prices'!D10,'Data - Monthly Commodity Prices'!$B$9:$B$2500,3)+
COUNTIFS('Data - Monthly Commodity Prices'!$A$9:$A$2500,'Uranium - Prices'!D10,'Data - Monthly Commodity Prices'!$B$9:$B$2500,4)+
COUNTIFS('Data - Monthly Commodity Prices'!$A$9:$A$2500,'Uranium - Prices'!E10,'Data - Monthly Commodity Prices'!$B$9:$B$2500,1)+
COUNTIFS('Data - Monthly Commodity Prices'!$A$9:$A$2500,'Uranium - Prices'!E10,'Data - Monthly Commodity Prices'!$B$9:$B$2500,2))</f>
        <v>11.920833333333334</v>
      </c>
    </row>
    <row r="11" spans="1:27">
      <c r="A11" s="1903">
        <f>LARGE('Data - Monthly Commodity Prices'!C$159:C$902,57)</f>
        <v>42095</v>
      </c>
      <c r="B11" s="30">
        <f>SUMIF('Data - Monthly Commodity Prices'!C$62:C$902,A11,'Data - Monthly Commodity Prices'!R$62:R$902)</f>
        <v>38.25</v>
      </c>
      <c r="C11" s="24"/>
      <c r="D11" s="900">
        <f t="shared" si="0"/>
        <v>1989</v>
      </c>
      <c r="E11" s="900">
        <f t="shared" si="1"/>
        <v>1990</v>
      </c>
      <c r="F11" s="1906">
        <f t="shared" si="2"/>
        <v>1989</v>
      </c>
      <c r="G11" s="125">
        <f t="array" ref="G11">IF($F$6="Historic Calendar Year",IFERROR(AVERAGE(IF($F11=YEAR('Data - Monthly Commodity Prices'!C$100:C$1000),'Data - Monthly Commodity Prices'!R$100:R$1000)),"NA"),IFERROR(IF(H11=0,"NA",H11),"NA"))</f>
        <v>9.9958333333333336</v>
      </c>
      <c r="H11" s="1244">
        <f>(SUMIFS('Data - Monthly Commodity Prices'!$R$9:$R$2500,'Data - Monthly Commodity Prices'!$A$9:$A$2500,'Uranium - Prices'!D11,'Data - Monthly Commodity Prices'!$B$9:$B$2500,3)+
SUMIFS('Data - Monthly Commodity Prices'!$R$9:$R$2500,'Data - Monthly Commodity Prices'!$A$9:$A$2500,'Uranium - Prices'!D11,'Data - Monthly Commodity Prices'!$B$9:$B$2500,4)+
SUMIFS('Data - Monthly Commodity Prices'!$R$9:$R$2500,'Data - Monthly Commodity Prices'!$A$9:$A$2500,'Uranium - Prices'!E11,'Data - Monthly Commodity Prices'!$B$9:$B$2500,1)+
SUMIFS('Data - Monthly Commodity Prices'!$R$9:$R$2500,'Data - Monthly Commodity Prices'!$A$9:$A$2500,'Uranium - Prices'!E11,'Data - Monthly Commodity Prices'!$B$9:$B$2500,2))
/(COUNTIFS('Data - Monthly Commodity Prices'!$A$9:$A$2500,'Uranium - Prices'!D11,'Data - Monthly Commodity Prices'!$B$9:$B$2500,3)+
COUNTIFS('Data - Monthly Commodity Prices'!$A$9:$A$2500,'Uranium - Prices'!D11,'Data - Monthly Commodity Prices'!$B$9:$B$2500,4)+
COUNTIFS('Data - Monthly Commodity Prices'!$A$9:$A$2500,'Uranium - Prices'!E11,'Data - Monthly Commodity Prices'!$B$9:$B$2500,1)+
COUNTIFS('Data - Monthly Commodity Prices'!$A$9:$A$2500,'Uranium - Prices'!E11,'Data - Monthly Commodity Prices'!$B$9:$B$2500,2))</f>
        <v>9.3541666666666661</v>
      </c>
    </row>
    <row r="12" spans="1:27">
      <c r="A12" s="1902">
        <f>LARGE('Data - Monthly Commodity Prices'!C$159:C$902,56)</f>
        <v>42125</v>
      </c>
      <c r="B12" s="125">
        <f>SUMIF('Data - Monthly Commodity Prices'!C$62:C$902,A12,'Data - Monthly Commodity Prices'!R$62:R$902)</f>
        <v>35.25</v>
      </c>
      <c r="C12" s="24"/>
      <c r="D12" s="900">
        <f t="shared" si="0"/>
        <v>1990</v>
      </c>
      <c r="E12" s="900">
        <f t="shared" si="1"/>
        <v>1991</v>
      </c>
      <c r="F12" s="1905">
        <f t="shared" si="2"/>
        <v>1990</v>
      </c>
      <c r="G12" s="30">
        <f t="array" ref="G12">IF($F$6="Historic Calendar Year",IFERROR(AVERAGE(IF($F12=YEAR('Data - Monthly Commodity Prices'!C$100:C$1000),'Data - Monthly Commodity Prices'!R$100:R$1000)),"NA"),IFERROR(IF(H12=0,"NA",H12),"NA"))</f>
        <v>9.7083333333333339</v>
      </c>
      <c r="H12" s="1244">
        <f>(SUMIFS('Data - Monthly Commodity Prices'!$R$9:$R$2500,'Data - Monthly Commodity Prices'!$A$9:$A$2500,'Uranium - Prices'!D12,'Data - Monthly Commodity Prices'!$B$9:$B$2500,3)+
SUMIFS('Data - Monthly Commodity Prices'!$R$9:$R$2500,'Data - Monthly Commodity Prices'!$A$9:$A$2500,'Uranium - Prices'!D12,'Data - Monthly Commodity Prices'!$B$9:$B$2500,4)+
SUMIFS('Data - Monthly Commodity Prices'!$R$9:$R$2500,'Data - Monthly Commodity Prices'!$A$9:$A$2500,'Uranium - Prices'!E12,'Data - Monthly Commodity Prices'!$B$9:$B$2500,1)+
SUMIFS('Data - Monthly Commodity Prices'!$R$9:$R$2500,'Data - Monthly Commodity Prices'!$A$9:$A$2500,'Uranium - Prices'!E12,'Data - Monthly Commodity Prices'!$B$9:$B$2500,2))
/(COUNTIFS('Data - Monthly Commodity Prices'!$A$9:$A$2500,'Uranium - Prices'!D12,'Data - Monthly Commodity Prices'!$B$9:$B$2500,3)+
COUNTIFS('Data - Monthly Commodity Prices'!$A$9:$A$2500,'Uranium - Prices'!D12,'Data - Monthly Commodity Prices'!$B$9:$B$2500,4)+
COUNTIFS('Data - Monthly Commodity Prices'!$A$9:$A$2500,'Uranium - Prices'!E12,'Data - Monthly Commodity Prices'!$B$9:$B$2500,1)+
COUNTIFS('Data - Monthly Commodity Prices'!$A$9:$A$2500,'Uranium - Prices'!E12,'Data - Monthly Commodity Prices'!$B$9:$B$2500,2))</f>
        <v>9.6833333333333336</v>
      </c>
    </row>
    <row r="13" spans="1:27">
      <c r="A13" s="1903">
        <f>LARGE('Data - Monthly Commodity Prices'!C$159:C$902,55)</f>
        <v>42156</v>
      </c>
      <c r="B13" s="30">
        <f>SUMIF('Data - Monthly Commodity Prices'!C$62:C$902,A13,'Data - Monthly Commodity Prices'!R$62:R$902)</f>
        <v>36.5</v>
      </c>
      <c r="C13" s="24"/>
      <c r="D13" s="900">
        <f t="shared" si="0"/>
        <v>1991</v>
      </c>
      <c r="E13" s="900">
        <f t="shared" si="1"/>
        <v>1992</v>
      </c>
      <c r="F13" s="1906">
        <f t="shared" si="2"/>
        <v>1991</v>
      </c>
      <c r="G13" s="125">
        <f t="array" ref="G13">IF($F$6="Historic Calendar Year",IFERROR(AVERAGE(IF($F13=YEAR('Data - Monthly Commodity Prices'!C$100:C$1000),'Data - Monthly Commodity Prices'!R$100:R$1000)),"NA"),IFERROR(IF(H13=0,"NA",H13),"NA"))</f>
        <v>8.6958333333333346</v>
      </c>
      <c r="H13" s="1244">
        <f>(SUMIFS('Data - Monthly Commodity Prices'!$R$9:$R$2500,'Data - Monthly Commodity Prices'!$A$9:$A$2500,'Uranium - Prices'!D13,'Data - Monthly Commodity Prices'!$B$9:$B$2500,3)+
SUMIFS('Data - Monthly Commodity Prices'!$R$9:$R$2500,'Data - Monthly Commodity Prices'!$A$9:$A$2500,'Uranium - Prices'!D13,'Data - Monthly Commodity Prices'!$B$9:$B$2500,4)+
SUMIFS('Data - Monthly Commodity Prices'!$R$9:$R$2500,'Data - Monthly Commodity Prices'!$A$9:$A$2500,'Uranium - Prices'!E13,'Data - Monthly Commodity Prices'!$B$9:$B$2500,1)+
SUMIFS('Data - Monthly Commodity Prices'!$R$9:$R$2500,'Data - Monthly Commodity Prices'!$A$9:$A$2500,'Uranium - Prices'!E13,'Data - Monthly Commodity Prices'!$B$9:$B$2500,2))
/(COUNTIFS('Data - Monthly Commodity Prices'!$A$9:$A$2500,'Uranium - Prices'!D13,'Data - Monthly Commodity Prices'!$B$9:$B$2500,3)+
COUNTIFS('Data - Monthly Commodity Prices'!$A$9:$A$2500,'Uranium - Prices'!D13,'Data - Monthly Commodity Prices'!$B$9:$B$2500,4)+
COUNTIFS('Data - Monthly Commodity Prices'!$A$9:$A$2500,'Uranium - Prices'!E13,'Data - Monthly Commodity Prices'!$B$9:$B$2500,1)+
COUNTIFS('Data - Monthly Commodity Prices'!$A$9:$A$2500,'Uranium - Prices'!E13,'Data - Monthly Commodity Prices'!$B$9:$B$2500,2))</f>
        <v>8.0166666666666675</v>
      </c>
    </row>
    <row r="14" spans="1:27">
      <c r="A14" s="1902">
        <f>LARGE('Data - Monthly Commodity Prices'!C$159:C$902,54)</f>
        <v>42186</v>
      </c>
      <c r="B14" s="125">
        <f>SUMIF('Data - Monthly Commodity Prices'!C$62:C$902,A14,'Data - Monthly Commodity Prices'!R$62:R$902)</f>
        <v>36</v>
      </c>
      <c r="C14" s="24"/>
      <c r="D14" s="900">
        <f t="shared" si="0"/>
        <v>1992</v>
      </c>
      <c r="E14" s="900">
        <f t="shared" si="1"/>
        <v>1993</v>
      </c>
      <c r="F14" s="1905">
        <f t="shared" si="2"/>
        <v>1992</v>
      </c>
      <c r="G14" s="30">
        <f t="array" ref="G14">IF($F$6="Historic Calendar Year",IFERROR(AVERAGE(IF($F14=YEAR('Data - Monthly Commodity Prices'!C$100:C$1000),'Data - Monthly Commodity Prices'!R$100:R$1000)),"NA"),IFERROR(IF(H14=0,"NA",H14),"NA"))</f>
        <v>8.3250000000000011</v>
      </c>
      <c r="H14" s="1244">
        <f>(SUMIFS('Data - Monthly Commodity Prices'!$R$9:$R$2500,'Data - Monthly Commodity Prices'!$A$9:$A$2500,'Uranium - Prices'!D14,'Data - Monthly Commodity Prices'!$B$9:$B$2500,3)+
SUMIFS('Data - Monthly Commodity Prices'!$R$9:$R$2500,'Data - Monthly Commodity Prices'!$A$9:$A$2500,'Uranium - Prices'!D14,'Data - Monthly Commodity Prices'!$B$9:$B$2500,4)+
SUMIFS('Data - Monthly Commodity Prices'!$R$9:$R$2500,'Data - Monthly Commodity Prices'!$A$9:$A$2500,'Uranium - Prices'!E14,'Data - Monthly Commodity Prices'!$B$9:$B$2500,1)+
SUMIFS('Data - Monthly Commodity Prices'!$R$9:$R$2500,'Data - Monthly Commodity Prices'!$A$9:$A$2500,'Uranium - Prices'!E14,'Data - Monthly Commodity Prices'!$B$9:$B$2500,2))
/(COUNTIFS('Data - Monthly Commodity Prices'!$A$9:$A$2500,'Uranium - Prices'!D14,'Data - Monthly Commodity Prices'!$B$9:$B$2500,3)+
COUNTIFS('Data - Monthly Commodity Prices'!$A$9:$A$2500,'Uranium - Prices'!D14,'Data - Monthly Commodity Prices'!$B$9:$B$2500,4)+
COUNTIFS('Data - Monthly Commodity Prices'!$A$9:$A$2500,'Uranium - Prices'!E14,'Data - Monthly Commodity Prices'!$B$9:$B$2500,1)+
COUNTIFS('Data - Monthly Commodity Prices'!$A$9:$A$2500,'Uranium - Prices'!E14,'Data - Monthly Commodity Prices'!$B$9:$B$2500,2))</f>
        <v>9.375</v>
      </c>
    </row>
    <row r="15" spans="1:27">
      <c r="A15" s="1903">
        <f>LARGE('Data - Monthly Commodity Prices'!C$159:C$902,53)</f>
        <v>42217</v>
      </c>
      <c r="B15" s="30">
        <f>SUMIF('Data - Monthly Commodity Prices'!C$62:C$902,A15,'Data - Monthly Commodity Prices'!R$62:R$902)</f>
        <v>36.5</v>
      </c>
      <c r="C15" s="24"/>
      <c r="D15" s="900">
        <f t="shared" si="0"/>
        <v>1993</v>
      </c>
      <c r="E15" s="900">
        <f t="shared" si="1"/>
        <v>1994</v>
      </c>
      <c r="F15" s="1906">
        <f t="shared" si="2"/>
        <v>1993</v>
      </c>
      <c r="G15" s="125">
        <f t="array" ref="G15">IF($F$6="Historic Calendar Year",IFERROR(AVERAGE(IF($F15=YEAR('Data - Monthly Commodity Prices'!C$100:C$1000),'Data - Monthly Commodity Prices'!R$100:R$1000)),"NA"),IFERROR(IF(H15=0,"NA",H15),"NA"))</f>
        <v>9.9583333333333339</v>
      </c>
      <c r="H15" s="1244">
        <f>(SUMIFS('Data - Monthly Commodity Prices'!$R$9:$R$2500,'Data - Monthly Commodity Prices'!$A$9:$A$2500,'Uranium - Prices'!D15,'Data - Monthly Commodity Prices'!$B$9:$B$2500,3)+
SUMIFS('Data - Monthly Commodity Prices'!$R$9:$R$2500,'Data - Monthly Commodity Prices'!$A$9:$A$2500,'Uranium - Prices'!D15,'Data - Monthly Commodity Prices'!$B$9:$B$2500,4)+
SUMIFS('Data - Monthly Commodity Prices'!$R$9:$R$2500,'Data - Monthly Commodity Prices'!$A$9:$A$2500,'Uranium - Prices'!E15,'Data - Monthly Commodity Prices'!$B$9:$B$2500,1)+
SUMIFS('Data - Monthly Commodity Prices'!$R$9:$R$2500,'Data - Monthly Commodity Prices'!$A$9:$A$2500,'Uranium - Prices'!E15,'Data - Monthly Commodity Prices'!$B$9:$B$2500,2))
/(COUNTIFS('Data - Monthly Commodity Prices'!$A$9:$A$2500,'Uranium - Prices'!D15,'Data - Monthly Commodity Prices'!$B$9:$B$2500,3)+
COUNTIFS('Data - Monthly Commodity Prices'!$A$9:$A$2500,'Uranium - Prices'!D15,'Data - Monthly Commodity Prices'!$B$9:$B$2500,4)+
COUNTIFS('Data - Monthly Commodity Prices'!$A$9:$A$2500,'Uranium - Prices'!E15,'Data - Monthly Commodity Prices'!$B$9:$B$2500,1)+
COUNTIFS('Data - Monthly Commodity Prices'!$A$9:$A$2500,'Uranium - Prices'!E15,'Data - Monthly Commodity Prices'!$B$9:$B$2500,2))</f>
        <v>9.6666666666666661</v>
      </c>
    </row>
    <row r="16" spans="1:27">
      <c r="A16" s="1902">
        <f>LARGE('Data - Monthly Commodity Prices'!C$159:C$902,52)</f>
        <v>42248</v>
      </c>
      <c r="B16" s="125">
        <f>SUMIF('Data - Monthly Commodity Prices'!C$62:C$902,A16,'Data - Monthly Commodity Prices'!R$62:R$902)</f>
        <v>36.5</v>
      </c>
      <c r="C16" s="24"/>
      <c r="D16" s="900">
        <f t="shared" si="0"/>
        <v>1994</v>
      </c>
      <c r="E16" s="900">
        <f t="shared" si="1"/>
        <v>1995</v>
      </c>
      <c r="F16" s="1905">
        <f t="shared" si="2"/>
        <v>1994</v>
      </c>
      <c r="G16" s="30">
        <f t="array" ref="G16">IF($F$6="Historic Calendar Year",IFERROR(AVERAGE(IF($F16=YEAR('Data - Monthly Commodity Prices'!C$100:C$1000),'Data - Monthly Commodity Prices'!R$100:R$1000)),"NA"),IFERROR(IF(H16=0,"NA",H16),"NA"))</f>
        <v>9.3083333333333318</v>
      </c>
      <c r="H16" s="1244">
        <f>(SUMIFS('Data - Monthly Commodity Prices'!$R$9:$R$2500,'Data - Monthly Commodity Prices'!$A$9:$A$2500,'Uranium - Prices'!D16,'Data - Monthly Commodity Prices'!$B$9:$B$2500,3)+
SUMIFS('Data - Monthly Commodity Prices'!$R$9:$R$2500,'Data - Monthly Commodity Prices'!$A$9:$A$2500,'Uranium - Prices'!D16,'Data - Monthly Commodity Prices'!$B$9:$B$2500,4)+
SUMIFS('Data - Monthly Commodity Prices'!$R$9:$R$2500,'Data - Monthly Commodity Prices'!$A$9:$A$2500,'Uranium - Prices'!E16,'Data - Monthly Commodity Prices'!$B$9:$B$2500,1)+
SUMIFS('Data - Monthly Commodity Prices'!$R$9:$R$2500,'Data - Monthly Commodity Prices'!$A$9:$A$2500,'Uranium - Prices'!E16,'Data - Monthly Commodity Prices'!$B$9:$B$2500,2))
/(COUNTIFS('Data - Monthly Commodity Prices'!$A$9:$A$2500,'Uranium - Prices'!D16,'Data - Monthly Commodity Prices'!$B$9:$B$2500,3)+
COUNTIFS('Data - Monthly Commodity Prices'!$A$9:$A$2500,'Uranium - Prices'!D16,'Data - Monthly Commodity Prices'!$B$9:$B$2500,4)+
COUNTIFS('Data - Monthly Commodity Prices'!$A$9:$A$2500,'Uranium - Prices'!E16,'Data - Monthly Commodity Prices'!$B$9:$B$2500,1)+
COUNTIFS('Data - Monthly Commodity Prices'!$A$9:$A$2500,'Uranium - Prices'!E16,'Data - Monthly Commodity Prices'!$B$9:$B$2500,2))</f>
        <v>10.183333333333334</v>
      </c>
    </row>
    <row r="17" spans="1:8">
      <c r="A17" s="1903">
        <f>LARGE('Data - Monthly Commodity Prices'!C$159:C$902,51)</f>
        <v>42278</v>
      </c>
      <c r="B17" s="30">
        <f>SUMIF('Data - Monthly Commodity Prices'!C$62:C$902,A17,'Data - Monthly Commodity Prices'!R$62:R$902)</f>
        <v>36.5</v>
      </c>
      <c r="C17" s="24"/>
      <c r="D17" s="900">
        <f t="shared" si="0"/>
        <v>1995</v>
      </c>
      <c r="E17" s="900">
        <f t="shared" si="1"/>
        <v>1996</v>
      </c>
      <c r="F17" s="1906">
        <f t="shared" si="2"/>
        <v>1995</v>
      </c>
      <c r="G17" s="125">
        <f t="array" ref="G17">IF($F$6="Historic Calendar Year",IFERROR(AVERAGE(IF($F17=YEAR('Data - Monthly Commodity Prices'!C$100:C$1000),'Data - Monthly Commodity Prices'!R$100:R$1000)),"NA"),IFERROR(IF(H17=0,"NA",H17),"NA"))</f>
        <v>11.454166666666667</v>
      </c>
      <c r="H17" s="1244">
        <f>(SUMIFS('Data - Monthly Commodity Prices'!$R$9:$R$2500,'Data - Monthly Commodity Prices'!$A$9:$A$2500,'Uranium - Prices'!D17,'Data - Monthly Commodity Prices'!$B$9:$B$2500,3)+
SUMIFS('Data - Monthly Commodity Prices'!$R$9:$R$2500,'Data - Monthly Commodity Prices'!$A$9:$A$2500,'Uranium - Prices'!D17,'Data - Monthly Commodity Prices'!$B$9:$B$2500,4)+
SUMIFS('Data - Monthly Commodity Prices'!$R$9:$R$2500,'Data - Monthly Commodity Prices'!$A$9:$A$2500,'Uranium - Prices'!E17,'Data - Monthly Commodity Prices'!$B$9:$B$2500,1)+
SUMIFS('Data - Monthly Commodity Prices'!$R$9:$R$2500,'Data - Monthly Commodity Prices'!$A$9:$A$2500,'Uranium - Prices'!E17,'Data - Monthly Commodity Prices'!$B$9:$B$2500,2))
/(COUNTIFS('Data - Monthly Commodity Prices'!$A$9:$A$2500,'Uranium - Prices'!D17,'Data - Monthly Commodity Prices'!$B$9:$B$2500,3)+
COUNTIFS('Data - Monthly Commodity Prices'!$A$9:$A$2500,'Uranium - Prices'!D17,'Data - Monthly Commodity Prices'!$B$9:$B$2500,4)+
COUNTIFS('Data - Monthly Commodity Prices'!$A$9:$A$2500,'Uranium - Prices'!E17,'Data - Monthly Commodity Prices'!$B$9:$B$2500,1)+
COUNTIFS('Data - Monthly Commodity Prices'!$A$9:$A$2500,'Uranium - Prices'!E17,'Data - Monthly Commodity Prices'!$B$9:$B$2500,2))</f>
        <v>13.637500000000001</v>
      </c>
    </row>
    <row r="18" spans="1:8">
      <c r="A18" s="1902">
        <f>LARGE('Data - Monthly Commodity Prices'!C$159:C$902,50)</f>
        <v>42309</v>
      </c>
      <c r="B18" s="125">
        <f>SUMIF('Data - Monthly Commodity Prices'!C$62:C$902,A18,'Data - Monthly Commodity Prices'!R$62:R$902)</f>
        <v>36</v>
      </c>
      <c r="C18" s="24"/>
      <c r="D18" s="900">
        <f t="shared" si="0"/>
        <v>1996</v>
      </c>
      <c r="E18" s="900">
        <f t="shared" si="1"/>
        <v>1997</v>
      </c>
      <c r="F18" s="1905">
        <f t="shared" si="2"/>
        <v>1996</v>
      </c>
      <c r="G18" s="30">
        <f t="array" ref="G18">IF($F$6="Historic Calendar Year",IFERROR(AVERAGE(IF($F18=YEAR('Data - Monthly Commodity Prices'!C$100:C$1000),'Data - Monthly Commodity Prices'!R$100:R$1000)),"NA"),IFERROR(IF(H18=0,"NA",H18),"NA"))</f>
        <v>15.575000000000001</v>
      </c>
      <c r="H18" s="1244">
        <f>(SUMIFS('Data - Monthly Commodity Prices'!$R$9:$R$2500,'Data - Monthly Commodity Prices'!$A$9:$A$2500,'Uranium - Prices'!D18,'Data - Monthly Commodity Prices'!$B$9:$B$2500,3)+
SUMIFS('Data - Monthly Commodity Prices'!$R$9:$R$2500,'Data - Monthly Commodity Prices'!$A$9:$A$2500,'Uranium - Prices'!D18,'Data - Monthly Commodity Prices'!$B$9:$B$2500,4)+
SUMIFS('Data - Monthly Commodity Prices'!$R$9:$R$2500,'Data - Monthly Commodity Prices'!$A$9:$A$2500,'Uranium - Prices'!E18,'Data - Monthly Commodity Prices'!$B$9:$B$2500,1)+
SUMIFS('Data - Monthly Commodity Prices'!$R$9:$R$2500,'Data - Monthly Commodity Prices'!$A$9:$A$2500,'Uranium - Prices'!E18,'Data - Monthly Commodity Prices'!$B$9:$B$2500,2))
/(COUNTIFS('Data - Monthly Commodity Prices'!$A$9:$A$2500,'Uranium - Prices'!D18,'Data - Monthly Commodity Prices'!$B$9:$B$2500,3)+
COUNTIFS('Data - Monthly Commodity Prices'!$A$9:$A$2500,'Uranium - Prices'!D18,'Data - Monthly Commodity Prices'!$B$9:$B$2500,4)+
COUNTIFS('Data - Monthly Commodity Prices'!$A$9:$A$2500,'Uranium - Prices'!E18,'Data - Monthly Commodity Prices'!$B$9:$B$2500,1)+
COUNTIFS('Data - Monthly Commodity Prices'!$A$9:$A$2500,'Uranium - Prices'!E18,'Data - Monthly Commodity Prices'!$B$9:$B$2500,2))</f>
        <v>14.204166666666666</v>
      </c>
    </row>
    <row r="19" spans="1:8">
      <c r="A19" s="1903">
        <f>LARGE('Data - Monthly Commodity Prices'!C$159:C$902,49)</f>
        <v>42339</v>
      </c>
      <c r="B19" s="30">
        <f>SUMIF('Data - Monthly Commodity Prices'!C$62:C$902,A19,'Data - Monthly Commodity Prices'!R$62:R$902)</f>
        <v>34.25</v>
      </c>
      <c r="C19" s="24"/>
      <c r="D19" s="900">
        <f t="shared" si="0"/>
        <v>1997</v>
      </c>
      <c r="E19" s="900">
        <f t="shared" si="1"/>
        <v>1998</v>
      </c>
      <c r="F19" s="1906">
        <f t="shared" si="2"/>
        <v>1997</v>
      </c>
      <c r="G19" s="125">
        <f t="array" ref="G19">IF($F$6="Historic Calendar Year",IFERROR(AVERAGE(IF($F19=YEAR('Data - Monthly Commodity Prices'!C$100:C$1000),'Data - Monthly Commodity Prices'!R$100:R$1000)),"NA"),IFERROR(IF(H19=0,"NA",H19),"NA"))</f>
        <v>12.0375</v>
      </c>
      <c r="H19" s="1244">
        <f>(SUMIFS('Data - Monthly Commodity Prices'!$R$9:$R$2500,'Data - Monthly Commodity Prices'!$A$9:$A$2500,'Uranium - Prices'!D19,'Data - Monthly Commodity Prices'!$B$9:$B$2500,3)+
SUMIFS('Data - Monthly Commodity Prices'!$R$9:$R$2500,'Data - Monthly Commodity Prices'!$A$9:$A$2500,'Uranium - Prices'!D19,'Data - Monthly Commodity Prices'!$B$9:$B$2500,4)+
SUMIFS('Data - Monthly Commodity Prices'!$R$9:$R$2500,'Data - Monthly Commodity Prices'!$A$9:$A$2500,'Uranium - Prices'!E19,'Data - Monthly Commodity Prices'!$B$9:$B$2500,1)+
SUMIFS('Data - Monthly Commodity Prices'!$R$9:$R$2500,'Data - Monthly Commodity Prices'!$A$9:$A$2500,'Uranium - Prices'!E19,'Data - Monthly Commodity Prices'!$B$9:$B$2500,2))
/(COUNTIFS('Data - Monthly Commodity Prices'!$A$9:$A$2500,'Uranium - Prices'!D19,'Data - Monthly Commodity Prices'!$B$9:$B$2500,3)+
COUNTIFS('Data - Monthly Commodity Prices'!$A$9:$A$2500,'Uranium - Prices'!D19,'Data - Monthly Commodity Prices'!$B$9:$B$2500,4)+
COUNTIFS('Data - Monthly Commodity Prices'!$A$9:$A$2500,'Uranium - Prices'!E19,'Data - Monthly Commodity Prices'!$B$9:$B$2500,1)+
COUNTIFS('Data - Monthly Commodity Prices'!$A$9:$A$2500,'Uranium - Prices'!E19,'Data - Monthly Commodity Prices'!$B$9:$B$2500,2))</f>
        <v>11.241666666666667</v>
      </c>
    </row>
    <row r="20" spans="1:8">
      <c r="A20" s="1902">
        <f>LARGE('Data - Monthly Commodity Prices'!C$159:C$902,48)</f>
        <v>42370</v>
      </c>
      <c r="B20" s="125">
        <f>SUMIF('Data - Monthly Commodity Prices'!C$62:C$902,A20,'Data - Monthly Commodity Prices'!R$62:R$902)</f>
        <v>34.75</v>
      </c>
      <c r="C20" s="24"/>
      <c r="D20" s="900">
        <f t="shared" si="0"/>
        <v>1998</v>
      </c>
      <c r="E20" s="900">
        <f t="shared" si="1"/>
        <v>1999</v>
      </c>
      <c r="F20" s="1905">
        <f t="shared" si="2"/>
        <v>1998</v>
      </c>
      <c r="G20" s="30">
        <f t="array" ref="G20">IF($F$6="Historic Calendar Year",IFERROR(AVERAGE(IF($F20=YEAR('Data - Monthly Commodity Prices'!C$100:C$1000),'Data - Monthly Commodity Prices'!R$100:R$1000)),"NA"),IFERROR(IF(H20=0,"NA",H20),"NA"))</f>
        <v>10.429999999999998</v>
      </c>
      <c r="H20" s="1244">
        <f>(SUMIFS('Data - Monthly Commodity Prices'!$R$9:$R$2500,'Data - Monthly Commodity Prices'!$A$9:$A$2500,'Uranium - Prices'!D20,'Data - Monthly Commodity Prices'!$B$9:$B$2500,3)+
SUMIFS('Data - Monthly Commodity Prices'!$R$9:$R$2500,'Data - Monthly Commodity Prices'!$A$9:$A$2500,'Uranium - Prices'!D20,'Data - Monthly Commodity Prices'!$B$9:$B$2500,4)+
SUMIFS('Data - Monthly Commodity Prices'!$R$9:$R$2500,'Data - Monthly Commodity Prices'!$A$9:$A$2500,'Uranium - Prices'!E20,'Data - Monthly Commodity Prices'!$B$9:$B$2500,1)+
SUMIFS('Data - Monthly Commodity Prices'!$R$9:$R$2500,'Data - Monthly Commodity Prices'!$A$9:$A$2500,'Uranium - Prices'!E20,'Data - Monthly Commodity Prices'!$B$9:$B$2500,2))
/(COUNTIFS('Data - Monthly Commodity Prices'!$A$9:$A$2500,'Uranium - Prices'!D20,'Data - Monthly Commodity Prices'!$B$9:$B$2500,3)+
COUNTIFS('Data - Monthly Commodity Prices'!$A$9:$A$2500,'Uranium - Prices'!D20,'Data - Monthly Commodity Prices'!$B$9:$B$2500,4)+
COUNTIFS('Data - Monthly Commodity Prices'!$A$9:$A$2500,'Uranium - Prices'!E20,'Data - Monthly Commodity Prices'!$B$9:$B$2500,1)+
COUNTIFS('Data - Monthly Commodity Prices'!$A$9:$A$2500,'Uranium - Prices'!E20,'Data - Monthly Commodity Prices'!$B$9:$B$2500,2))</f>
        <v>10.093333333333332</v>
      </c>
    </row>
    <row r="21" spans="1:8">
      <c r="A21" s="1903">
        <f>LARGE('Data - Monthly Commodity Prices'!C$159:C$902,47)</f>
        <v>42401</v>
      </c>
      <c r="B21" s="30">
        <f>SUMIF('Data - Monthly Commodity Prices'!C$62:C$902,A21,'Data - Monthly Commodity Prices'!R$62:R$902)</f>
        <v>32.15</v>
      </c>
      <c r="C21" s="24"/>
      <c r="D21" s="900">
        <f t="shared" si="0"/>
        <v>1999</v>
      </c>
      <c r="E21" s="900">
        <f t="shared" si="1"/>
        <v>2000</v>
      </c>
      <c r="F21" s="1906">
        <f t="shared" si="2"/>
        <v>1999</v>
      </c>
      <c r="G21" s="125">
        <f t="array" ref="G21">IF($F$6="Historic Calendar Year",IFERROR(AVERAGE(IF($F21=YEAR('Data - Monthly Commodity Prices'!C$100:C$1000),'Data - Monthly Commodity Prices'!R$100:R$1000)),"NA"),IFERROR(IF(H21=0,"NA",H21),"NA"))</f>
        <v>10.18</v>
      </c>
      <c r="H21" s="1244">
        <f>(SUMIFS('Data - Monthly Commodity Prices'!$R$9:$R$2500,'Data - Monthly Commodity Prices'!$A$9:$A$2500,'Uranium - Prices'!D21,'Data - Monthly Commodity Prices'!$B$9:$B$2500,3)+
SUMIFS('Data - Monthly Commodity Prices'!$R$9:$R$2500,'Data - Monthly Commodity Prices'!$A$9:$A$2500,'Uranium - Prices'!D21,'Data - Monthly Commodity Prices'!$B$9:$B$2500,4)+
SUMIFS('Data - Monthly Commodity Prices'!$R$9:$R$2500,'Data - Monthly Commodity Prices'!$A$9:$A$2500,'Uranium - Prices'!E21,'Data - Monthly Commodity Prices'!$B$9:$B$2500,1)+
SUMIFS('Data - Monthly Commodity Prices'!$R$9:$R$2500,'Data - Monthly Commodity Prices'!$A$9:$A$2500,'Uranium - Prices'!E21,'Data - Monthly Commodity Prices'!$B$9:$B$2500,2))
/(COUNTIFS('Data - Monthly Commodity Prices'!$A$9:$A$2500,'Uranium - Prices'!D21,'Data - Monthly Commodity Prices'!$B$9:$B$2500,3)+
COUNTIFS('Data - Monthly Commodity Prices'!$A$9:$A$2500,'Uranium - Prices'!D21,'Data - Monthly Commodity Prices'!$B$9:$B$2500,4)+
COUNTIFS('Data - Monthly Commodity Prices'!$A$9:$A$2500,'Uranium - Prices'!E21,'Data - Monthly Commodity Prices'!$B$9:$B$2500,1)+
COUNTIFS('Data - Monthly Commodity Prices'!$A$9:$A$2500,'Uranium - Prices'!E21,'Data - Monthly Commodity Prices'!$B$9:$B$2500,2))</f>
        <v>9.4416666666666647</v>
      </c>
    </row>
    <row r="22" spans="1:8">
      <c r="A22" s="1902">
        <f>LARGE('Data - Monthly Commodity Prices'!C$159:C$902,46)</f>
        <v>42430</v>
      </c>
      <c r="B22" s="125">
        <f>SUMIF('Data - Monthly Commodity Prices'!C$62:C$902,A22,'Data - Monthly Commodity Prices'!R$62:R$902)</f>
        <v>29.15</v>
      </c>
      <c r="C22" s="24"/>
      <c r="D22" s="900">
        <f t="shared" si="0"/>
        <v>2000</v>
      </c>
      <c r="E22" s="900">
        <f t="shared" si="1"/>
        <v>2001</v>
      </c>
      <c r="F22" s="1905">
        <f t="shared" si="2"/>
        <v>2000</v>
      </c>
      <c r="G22" s="30">
        <f t="array" ref="G22">IF($F$6="Historic Calendar Year",IFERROR(AVERAGE(IF($F22=YEAR('Data - Monthly Commodity Prices'!C$100:C$1000),'Data - Monthly Commodity Prices'!R$100:R$1000)),"NA"),IFERROR(IF(H22=0,"NA",H22),"NA"))</f>
        <v>8.2291666666666661</v>
      </c>
      <c r="H22" s="1244">
        <f>(SUMIFS('Data - Monthly Commodity Prices'!$R$9:$R$2500,'Data - Monthly Commodity Prices'!$A$9:$A$2500,'Uranium - Prices'!D22,'Data - Monthly Commodity Prices'!$B$9:$B$2500,3)+
SUMIFS('Data - Monthly Commodity Prices'!$R$9:$R$2500,'Data - Monthly Commodity Prices'!$A$9:$A$2500,'Uranium - Prices'!D22,'Data - Monthly Commodity Prices'!$B$9:$B$2500,4)+
SUMIFS('Data - Monthly Commodity Prices'!$R$9:$R$2500,'Data - Monthly Commodity Prices'!$A$9:$A$2500,'Uranium - Prices'!E22,'Data - Monthly Commodity Prices'!$B$9:$B$2500,1)+
SUMIFS('Data - Monthly Commodity Prices'!$R$9:$R$2500,'Data - Monthly Commodity Prices'!$A$9:$A$2500,'Uranium - Prices'!E22,'Data - Monthly Commodity Prices'!$B$9:$B$2500,2))
/(COUNTIFS('Data - Monthly Commodity Prices'!$A$9:$A$2500,'Uranium - Prices'!D22,'Data - Monthly Commodity Prices'!$B$9:$B$2500,3)+
COUNTIFS('Data - Monthly Commodity Prices'!$A$9:$A$2500,'Uranium - Prices'!D22,'Data - Monthly Commodity Prices'!$B$9:$B$2500,4)+
COUNTIFS('Data - Monthly Commodity Prices'!$A$9:$A$2500,'Uranium - Prices'!E22,'Data - Monthly Commodity Prices'!$B$9:$B$2500,1)+
COUNTIFS('Data - Monthly Commodity Prices'!$A$9:$A$2500,'Uranium - Prices'!E22,'Data - Monthly Commodity Prices'!$B$9:$B$2500,2))</f>
        <v>7.875</v>
      </c>
    </row>
    <row r="23" spans="1:8">
      <c r="A23" s="1903">
        <f>LARGE('Data - Monthly Commodity Prices'!C$159:C$902,45)</f>
        <v>42461</v>
      </c>
      <c r="B23" s="30">
        <f>SUMIF('Data - Monthly Commodity Prices'!C$62:C$902,A23,'Data - Monthly Commodity Prices'!R$62:R$902)</f>
        <v>27.5</v>
      </c>
      <c r="C23" s="24"/>
      <c r="D23" s="900">
        <f t="shared" si="0"/>
        <v>2001</v>
      </c>
      <c r="E23" s="900">
        <f t="shared" si="1"/>
        <v>2002</v>
      </c>
      <c r="F23" s="1906">
        <f t="shared" si="2"/>
        <v>2001</v>
      </c>
      <c r="G23" s="125">
        <f t="array" ref="G23">IF($F$6="Historic Calendar Year",IFERROR(AVERAGE(IF($F23=YEAR('Data - Monthly Commodity Prices'!C$100:C$1000),'Data - Monthly Commodity Prices'!R$100:R$1000)),"NA"),IFERROR(IF(H23=0,"NA",H23),"NA"))</f>
        <v>8.7999999999999989</v>
      </c>
      <c r="H23" s="1244">
        <f>(SUMIFS('Data - Monthly Commodity Prices'!$R$9:$R$2500,'Data - Monthly Commodity Prices'!$A$9:$A$2500,'Uranium - Prices'!D23,'Data - Monthly Commodity Prices'!$B$9:$B$2500,3)+
SUMIFS('Data - Monthly Commodity Prices'!$R$9:$R$2500,'Data - Monthly Commodity Prices'!$A$9:$A$2500,'Uranium - Prices'!D23,'Data - Monthly Commodity Prices'!$B$9:$B$2500,4)+
SUMIFS('Data - Monthly Commodity Prices'!$R$9:$R$2500,'Data - Monthly Commodity Prices'!$A$9:$A$2500,'Uranium - Prices'!E23,'Data - Monthly Commodity Prices'!$B$9:$B$2500,1)+
SUMIFS('Data - Monthly Commodity Prices'!$R$9:$R$2500,'Data - Monthly Commodity Prices'!$A$9:$A$2500,'Uranium - Prices'!E23,'Data - Monthly Commodity Prices'!$B$9:$B$2500,2))
/(COUNTIFS('Data - Monthly Commodity Prices'!$A$9:$A$2500,'Uranium - Prices'!D23,'Data - Monthly Commodity Prices'!$B$9:$B$2500,3)+
COUNTIFS('Data - Monthly Commodity Prices'!$A$9:$A$2500,'Uranium - Prices'!D23,'Data - Monthly Commodity Prices'!$B$9:$B$2500,4)+
COUNTIFS('Data - Monthly Commodity Prices'!$A$9:$A$2500,'Uranium - Prices'!E23,'Data - Monthly Commodity Prices'!$B$9:$B$2500,1)+
COUNTIFS('Data - Monthly Commodity Prices'!$A$9:$A$2500,'Uranium - Prices'!E23,'Data - Monthly Commodity Prices'!$B$9:$B$2500,2))</f>
        <v>9.5958333333333332</v>
      </c>
    </row>
    <row r="24" spans="1:8">
      <c r="A24" s="1902">
        <f>LARGE('Data - Monthly Commodity Prices'!C$159:C$902,44)</f>
        <v>42491</v>
      </c>
      <c r="B24" s="125">
        <f>SUMIF('Data - Monthly Commodity Prices'!C$62:C$902,A24,'Data - Monthly Commodity Prices'!R$62:R$902)</f>
        <v>27.25</v>
      </c>
      <c r="C24" s="24"/>
      <c r="D24" s="900">
        <f t="shared" si="0"/>
        <v>2002</v>
      </c>
      <c r="E24" s="900">
        <f t="shared" si="1"/>
        <v>2003</v>
      </c>
      <c r="F24" s="1905">
        <f t="shared" si="2"/>
        <v>2002</v>
      </c>
      <c r="G24" s="30">
        <f t="array" ref="G24">IF($F$6="Historic Calendar Year",IFERROR(AVERAGE(IF($F24=YEAR('Data - Monthly Commodity Prices'!C$100:C$1000),'Data - Monthly Commodity Prices'!R$100:R$1000)),"NA"),IFERROR(IF(H24=0,"NA",H24),"NA"))</f>
        <v>9.8958333333333339</v>
      </c>
      <c r="H24" s="1244">
        <f>(SUMIFS('Data - Monthly Commodity Prices'!$R$9:$R$2500,'Data - Monthly Commodity Prices'!$A$9:$A$2500,'Uranium - Prices'!D24,'Data - Monthly Commodity Prices'!$B$9:$B$2500,3)+
SUMIFS('Data - Monthly Commodity Prices'!$R$9:$R$2500,'Data - Monthly Commodity Prices'!$A$9:$A$2500,'Uranium - Prices'!D24,'Data - Monthly Commodity Prices'!$B$9:$B$2500,4)+
SUMIFS('Data - Monthly Commodity Prices'!$R$9:$R$2500,'Data - Monthly Commodity Prices'!$A$9:$A$2500,'Uranium - Prices'!E24,'Data - Monthly Commodity Prices'!$B$9:$B$2500,1)+
SUMIFS('Data - Monthly Commodity Prices'!$R$9:$R$2500,'Data - Monthly Commodity Prices'!$A$9:$A$2500,'Uranium - Prices'!E24,'Data - Monthly Commodity Prices'!$B$9:$B$2500,2))
/(COUNTIFS('Data - Monthly Commodity Prices'!$A$9:$A$2500,'Uranium - Prices'!D24,'Data - Monthly Commodity Prices'!$B$9:$B$2500,3)+
COUNTIFS('Data - Monthly Commodity Prices'!$A$9:$A$2500,'Uranium - Prices'!D24,'Data - Monthly Commodity Prices'!$B$9:$B$2500,4)+
COUNTIFS('Data - Monthly Commodity Prices'!$A$9:$A$2500,'Uranium - Prices'!E24,'Data - Monthly Commodity Prices'!$B$9:$B$2500,1)+
COUNTIFS('Data - Monthly Commodity Prices'!$A$9:$A$2500,'Uranium - Prices'!E24,'Data - Monthly Commodity Prices'!$B$9:$B$2500,2))</f>
        <v>10.216666666666667</v>
      </c>
    </row>
    <row r="25" spans="1:8">
      <c r="A25" s="1903">
        <f>LARGE('Data - Monthly Commodity Prices'!C$159:C$902,43)</f>
        <v>42522</v>
      </c>
      <c r="B25" s="30">
        <f>SUMIF('Data - Monthly Commodity Prices'!C$62:C$902,A25,'Data - Monthly Commodity Prices'!R$62:R$902)</f>
        <v>27</v>
      </c>
      <c r="C25" s="24"/>
      <c r="D25" s="900">
        <f t="shared" si="0"/>
        <v>2003</v>
      </c>
      <c r="E25" s="900">
        <f t="shared" si="1"/>
        <v>2004</v>
      </c>
      <c r="F25" s="1906">
        <f t="shared" si="2"/>
        <v>2003</v>
      </c>
      <c r="G25" s="125">
        <f t="array" ref="G25">IF($F$6="Historic Calendar Year",IFERROR(AVERAGE(IF($F25=YEAR('Data - Monthly Commodity Prices'!C$100:C$1000),'Data - Monthly Commodity Prices'!R$100:R$1000)),"NA"),IFERROR(IF(H25=0,"NA",H25),"NA"))</f>
        <v>11.629166666666668</v>
      </c>
      <c r="H25" s="1244">
        <f>(SUMIFS('Data - Monthly Commodity Prices'!$R$9:$R$2500,'Data - Monthly Commodity Prices'!$A$9:$A$2500,'Uranium - Prices'!D25,'Data - Monthly Commodity Prices'!$B$9:$B$2500,3)+
SUMIFS('Data - Monthly Commodity Prices'!$R$9:$R$2500,'Data - Monthly Commodity Prices'!$A$9:$A$2500,'Uranium - Prices'!D25,'Data - Monthly Commodity Prices'!$B$9:$B$2500,4)+
SUMIFS('Data - Monthly Commodity Prices'!$R$9:$R$2500,'Data - Monthly Commodity Prices'!$A$9:$A$2500,'Uranium - Prices'!E25,'Data - Monthly Commodity Prices'!$B$9:$B$2500,1)+
SUMIFS('Data - Monthly Commodity Prices'!$R$9:$R$2500,'Data - Monthly Commodity Prices'!$A$9:$A$2500,'Uranium - Prices'!E25,'Data - Monthly Commodity Prices'!$B$9:$B$2500,2))
/(COUNTIFS('Data - Monthly Commodity Prices'!$A$9:$A$2500,'Uranium - Prices'!D25,'Data - Monthly Commodity Prices'!$B$9:$B$2500,3)+
COUNTIFS('Data - Monthly Commodity Prices'!$A$9:$A$2500,'Uranium - Prices'!D25,'Data - Monthly Commodity Prices'!$B$9:$B$2500,4)+
COUNTIFS('Data - Monthly Commodity Prices'!$A$9:$A$2500,'Uranium - Prices'!E25,'Data - Monthly Commodity Prices'!$B$9:$B$2500,1)+
COUNTIFS('Data - Monthly Commodity Prices'!$A$9:$A$2500,'Uranium - Prices'!E25,'Data - Monthly Commodity Prices'!$B$9:$B$2500,2))</f>
        <v>14.987500000000002</v>
      </c>
    </row>
    <row r="26" spans="1:8">
      <c r="A26" s="1902">
        <f>LARGE('Data - Monthly Commodity Prices'!C$159:C$902,42)</f>
        <v>42552</v>
      </c>
      <c r="B26" s="125">
        <f>SUMIF('Data - Monthly Commodity Prices'!C$62:C$902,A26,'Data - Monthly Commodity Prices'!R$62:R$902)</f>
        <v>25</v>
      </c>
      <c r="C26" s="24"/>
      <c r="D26" s="900">
        <f t="shared" si="0"/>
        <v>2004</v>
      </c>
      <c r="E26" s="900">
        <f t="shared" si="1"/>
        <v>2005</v>
      </c>
      <c r="F26" s="1905">
        <f t="shared" si="2"/>
        <v>2004</v>
      </c>
      <c r="G26" s="30">
        <f t="array" ref="G26">IF($F$6="Historic Calendar Year",IFERROR(AVERAGE(IF($F26=YEAR('Data - Monthly Commodity Prices'!C$100:C$1000),'Data - Monthly Commodity Prices'!R$100:R$1000)),"NA"),IFERROR(IF(H26=0,"NA",H26),"NA"))</f>
        <v>18.554166666666664</v>
      </c>
      <c r="H26" s="1244">
        <f>(SUMIFS('Data - Monthly Commodity Prices'!$R$9:$R$2500,'Data - Monthly Commodity Prices'!$A$9:$A$2500,'Uranium - Prices'!D26,'Data - Monthly Commodity Prices'!$B$9:$B$2500,3)+
SUMIFS('Data - Monthly Commodity Prices'!$R$9:$R$2500,'Data - Monthly Commodity Prices'!$A$9:$A$2500,'Uranium - Prices'!D26,'Data - Monthly Commodity Prices'!$B$9:$B$2500,4)+
SUMIFS('Data - Monthly Commodity Prices'!$R$9:$R$2500,'Data - Monthly Commodity Prices'!$A$9:$A$2500,'Uranium - Prices'!E26,'Data - Monthly Commodity Prices'!$B$9:$B$2500,1)+
SUMIFS('Data - Monthly Commodity Prices'!$R$9:$R$2500,'Data - Monthly Commodity Prices'!$A$9:$A$2500,'Uranium - Prices'!E26,'Data - Monthly Commodity Prices'!$B$9:$B$2500,2))
/(COUNTIFS('Data - Monthly Commodity Prices'!$A$9:$A$2500,'Uranium - Prices'!D26,'Data - Monthly Commodity Prices'!$B$9:$B$2500,3)+
COUNTIFS('Data - Monthly Commodity Prices'!$A$9:$A$2500,'Uranium - Prices'!D26,'Data - Monthly Commodity Prices'!$B$9:$B$2500,4)+
COUNTIFS('Data - Monthly Commodity Prices'!$A$9:$A$2500,'Uranium - Prices'!E26,'Data - Monthly Commodity Prices'!$B$9:$B$2500,1)+
COUNTIFS('Data - Monthly Commodity Prices'!$A$9:$A$2500,'Uranium - Prices'!E26,'Data - Monthly Commodity Prices'!$B$9:$B$2500,2))</f>
        <v>22.204166666666666</v>
      </c>
    </row>
    <row r="27" spans="1:8">
      <c r="A27" s="1903">
        <f>LARGE('Data - Monthly Commodity Prices'!C$159:C$902,41)</f>
        <v>42583</v>
      </c>
      <c r="B27" s="30">
        <f>SUMIF('Data - Monthly Commodity Prices'!C$62:C$902,A27,'Data - Monthly Commodity Prices'!R$62:R$902)</f>
        <v>25.25</v>
      </c>
      <c r="C27" s="24"/>
      <c r="D27" s="900">
        <f t="shared" si="0"/>
        <v>2005</v>
      </c>
      <c r="E27" s="900">
        <f t="shared" si="1"/>
        <v>2006</v>
      </c>
      <c r="F27" s="1906">
        <f t="shared" si="2"/>
        <v>2005</v>
      </c>
      <c r="G27" s="125">
        <f t="array" ref="G27">IF($F$6="Historic Calendar Year",IFERROR(AVERAGE(IF($F27=YEAR('Data - Monthly Commodity Prices'!C$100:C$1000),'Data - Monthly Commodity Prices'!R$100:R$1000)),"NA"),IFERROR(IF(H27=0,"NA",H27),"NA"))</f>
        <v>28.516666666666666</v>
      </c>
      <c r="H27" s="1244">
        <f>(SUMIFS('Data - Monthly Commodity Prices'!$R$9:$R$2500,'Data - Monthly Commodity Prices'!$A$9:$A$2500,'Uranium - Prices'!D27,'Data - Monthly Commodity Prices'!$B$9:$B$2500,3)+
SUMIFS('Data - Monthly Commodity Prices'!$R$9:$R$2500,'Data - Monthly Commodity Prices'!$A$9:$A$2500,'Uranium - Prices'!D27,'Data - Monthly Commodity Prices'!$B$9:$B$2500,4)+
SUMIFS('Data - Monthly Commodity Prices'!$R$9:$R$2500,'Data - Monthly Commodity Prices'!$A$9:$A$2500,'Uranium - Prices'!E27,'Data - Monthly Commodity Prices'!$B$9:$B$2500,1)+
SUMIFS('Data - Monthly Commodity Prices'!$R$9:$R$2500,'Data - Monthly Commodity Prices'!$A$9:$A$2500,'Uranium - Prices'!E27,'Data - Monthly Commodity Prices'!$B$9:$B$2500,2))
/(COUNTIFS('Data - Monthly Commodity Prices'!$A$9:$A$2500,'Uranium - Prices'!D27,'Data - Monthly Commodity Prices'!$B$9:$B$2500,3)+
COUNTIFS('Data - Monthly Commodity Prices'!$A$9:$A$2500,'Uranium - Prices'!D27,'Data - Monthly Commodity Prices'!$B$9:$B$2500,4)+
COUNTIFS('Data - Monthly Commodity Prices'!$A$9:$A$2500,'Uranium - Prices'!E27,'Data - Monthly Commodity Prices'!$B$9:$B$2500,1)+
COUNTIFS('Data - Monthly Commodity Prices'!$A$9:$A$2500,'Uranium - Prices'!E27,'Data - Monthly Commodity Prices'!$B$9:$B$2500,2))</f>
        <v>36.795833333333327</v>
      </c>
    </row>
    <row r="28" spans="1:8">
      <c r="A28" s="1902">
        <f>LARGE('Data - Monthly Commodity Prices'!C$159:C$902,40)</f>
        <v>42614</v>
      </c>
      <c r="B28" s="125">
        <f>SUMIF('Data - Monthly Commodity Prices'!C$62:C$902,A28,'Data - Monthly Commodity Prices'!R$62:R$902)</f>
        <v>23.75</v>
      </c>
      <c r="C28" s="24"/>
      <c r="D28" s="900">
        <f t="shared" si="0"/>
        <v>2006</v>
      </c>
      <c r="E28" s="900">
        <f t="shared" si="1"/>
        <v>2007</v>
      </c>
      <c r="F28" s="1905">
        <f t="shared" si="2"/>
        <v>2006</v>
      </c>
      <c r="G28" s="30">
        <f t="array" ref="G28">IF($F$6="Historic Calendar Year",IFERROR(AVERAGE(IF($F28=YEAR('Data - Monthly Commodity Prices'!C$100:C$1000),'Data - Monthly Commodity Prices'!R$100:R$1000)),"NA"),IFERROR(IF(H28=0,"NA",H28),"NA"))</f>
        <v>49.279166666666669</v>
      </c>
      <c r="H28" s="1244">
        <f>(SUMIFS('Data - Monthly Commodity Prices'!$R$9:$R$2500,'Data - Monthly Commodity Prices'!$A$9:$A$2500,'Uranium - Prices'!D28,'Data - Monthly Commodity Prices'!$B$9:$B$2500,3)+
SUMIFS('Data - Monthly Commodity Prices'!$R$9:$R$2500,'Data - Monthly Commodity Prices'!$A$9:$A$2500,'Uranium - Prices'!D28,'Data - Monthly Commodity Prices'!$B$9:$B$2500,4)+
SUMIFS('Data - Monthly Commodity Prices'!$R$9:$R$2500,'Data - Monthly Commodity Prices'!$A$9:$A$2500,'Uranium - Prices'!E28,'Data - Monthly Commodity Prices'!$B$9:$B$2500,1)+
SUMIFS('Data - Monthly Commodity Prices'!$R$9:$R$2500,'Data - Monthly Commodity Prices'!$A$9:$A$2500,'Uranium - Prices'!E28,'Data - Monthly Commodity Prices'!$B$9:$B$2500,2))
/(COUNTIFS('Data - Monthly Commodity Prices'!$A$9:$A$2500,'Uranium - Prices'!D28,'Data - Monthly Commodity Prices'!$B$9:$B$2500,3)+
COUNTIFS('Data - Monthly Commodity Prices'!$A$9:$A$2500,'Uranium - Prices'!D28,'Data - Monthly Commodity Prices'!$B$9:$B$2500,4)+
COUNTIFS('Data - Monthly Commodity Prices'!$A$9:$A$2500,'Uranium - Prices'!E28,'Data - Monthly Commodity Prices'!$B$9:$B$2500,1)+
COUNTIFS('Data - Monthly Commodity Prices'!$A$9:$A$2500,'Uranium - Prices'!E28,'Data - Monthly Commodity Prices'!$B$9:$B$2500,2))</f>
        <v>81.145833333333329</v>
      </c>
    </row>
    <row r="29" spans="1:8">
      <c r="A29" s="1903">
        <f>LARGE('Data - Monthly Commodity Prices'!C$159:C$902,39)</f>
        <v>42644</v>
      </c>
      <c r="B29" s="30">
        <f>SUMIF('Data - Monthly Commodity Prices'!C$62:C$902,A29,'Data - Monthly Commodity Prices'!R$62:R$902)</f>
        <v>20</v>
      </c>
      <c r="C29" s="24"/>
      <c r="D29" s="900">
        <f t="shared" si="0"/>
        <v>2007</v>
      </c>
      <c r="E29" s="900">
        <f t="shared" si="1"/>
        <v>2008</v>
      </c>
      <c r="F29" s="1906">
        <f t="shared" si="2"/>
        <v>2007</v>
      </c>
      <c r="G29" s="125">
        <f t="array" ref="G29">IF($F$6="Historic Calendar Year",IFERROR(AVERAGE(IF($F29=YEAR('Data - Monthly Commodity Prices'!C$100:C$1000),'Data - Monthly Commodity Prices'!R$100:R$1000)),"NA"),IFERROR(IF(H29=0,"NA",H29),"NA"))</f>
        <v>98.5</v>
      </c>
      <c r="H29" s="1244">
        <f>(SUMIFS('Data - Monthly Commodity Prices'!$R$9:$R$2500,'Data - Monthly Commodity Prices'!$A$9:$A$2500,'Uranium - Prices'!D29,'Data - Monthly Commodity Prices'!$B$9:$B$2500,3)+
SUMIFS('Data - Monthly Commodity Prices'!$R$9:$R$2500,'Data - Monthly Commodity Prices'!$A$9:$A$2500,'Uranium - Prices'!D29,'Data - Monthly Commodity Prices'!$B$9:$B$2500,4)+
SUMIFS('Data - Monthly Commodity Prices'!$R$9:$R$2500,'Data - Monthly Commodity Prices'!$A$9:$A$2500,'Uranium - Prices'!E29,'Data - Monthly Commodity Prices'!$B$9:$B$2500,1)+
SUMIFS('Data - Monthly Commodity Prices'!$R$9:$R$2500,'Data - Monthly Commodity Prices'!$A$9:$A$2500,'Uranium - Prices'!E29,'Data - Monthly Commodity Prices'!$B$9:$B$2500,2))
/(COUNTIFS('Data - Monthly Commodity Prices'!$A$9:$A$2500,'Uranium - Prices'!D29,'Data - Monthly Commodity Prices'!$B$9:$B$2500,3)+
COUNTIFS('Data - Monthly Commodity Prices'!$A$9:$A$2500,'Uranium - Prices'!D29,'Data - Monthly Commodity Prices'!$B$9:$B$2500,4)+
COUNTIFS('Data - Monthly Commodity Prices'!$A$9:$A$2500,'Uranium - Prices'!E29,'Data - Monthly Commodity Prices'!$B$9:$B$2500,1)+
COUNTIFS('Data - Monthly Commodity Prices'!$A$9:$A$2500,'Uranium - Prices'!E29,'Data - Monthly Commodity Prices'!$B$9:$B$2500,2))</f>
        <v>79.916666666666671</v>
      </c>
    </row>
    <row r="30" spans="1:8">
      <c r="A30" s="1902">
        <f>LARGE('Data - Monthly Commodity Prices'!C$159:C$902,38)</f>
        <v>42675</v>
      </c>
      <c r="B30" s="125">
        <f>SUMIF('Data - Monthly Commodity Prices'!C$62:C$902,A30,'Data - Monthly Commodity Prices'!R$62:R$902)</f>
        <v>20</v>
      </c>
      <c r="C30" s="24"/>
      <c r="D30" s="900">
        <f t="shared" si="0"/>
        <v>2008</v>
      </c>
      <c r="E30" s="900">
        <f t="shared" si="1"/>
        <v>2009</v>
      </c>
      <c r="F30" s="1905">
        <f t="shared" si="2"/>
        <v>2008</v>
      </c>
      <c r="G30" s="30">
        <f t="array" ref="G30">IF($F$6="Historic Calendar Year",IFERROR(AVERAGE(IF($F30=YEAR('Data - Monthly Commodity Prices'!C$100:C$1000),'Data - Monthly Commodity Prices'!R$100:R$1000)),"NA"),IFERROR(IF(H30=0,"NA",H30),"NA"))</f>
        <v>61.833333333333336</v>
      </c>
      <c r="H30" s="1244">
        <f>(SUMIFS('Data - Monthly Commodity Prices'!$R$9:$R$2500,'Data - Monthly Commodity Prices'!$A$9:$A$2500,'Uranium - Prices'!D30,'Data - Monthly Commodity Prices'!$B$9:$B$2500,3)+
SUMIFS('Data - Monthly Commodity Prices'!$R$9:$R$2500,'Data - Monthly Commodity Prices'!$A$9:$A$2500,'Uranium - Prices'!D30,'Data - Monthly Commodity Prices'!$B$9:$B$2500,4)+
SUMIFS('Data - Monthly Commodity Prices'!$R$9:$R$2500,'Data - Monthly Commodity Prices'!$A$9:$A$2500,'Uranium - Prices'!E30,'Data - Monthly Commodity Prices'!$B$9:$B$2500,1)+
SUMIFS('Data - Monthly Commodity Prices'!$R$9:$R$2500,'Data - Monthly Commodity Prices'!$A$9:$A$2500,'Uranium - Prices'!E30,'Data - Monthly Commodity Prices'!$B$9:$B$2500,2))
/(COUNTIFS('Data - Monthly Commodity Prices'!$A$9:$A$2500,'Uranium - Prices'!D30,'Data - Monthly Commodity Prices'!$B$9:$B$2500,3)+
COUNTIFS('Data - Monthly Commodity Prices'!$A$9:$A$2500,'Uranium - Prices'!D30,'Data - Monthly Commodity Prices'!$B$9:$B$2500,4)+
COUNTIFS('Data - Monthly Commodity Prices'!$A$9:$A$2500,'Uranium - Prices'!E30,'Data - Monthly Commodity Prices'!$B$9:$B$2500,1)+
COUNTIFS('Data - Monthly Commodity Prices'!$A$9:$A$2500,'Uranium - Prices'!E30,'Data - Monthly Commodity Prices'!$B$9:$B$2500,2))</f>
        <v>51.375</v>
      </c>
    </row>
    <row r="31" spans="1:8">
      <c r="A31" s="1903">
        <f>LARGE('Data - Monthly Commodity Prices'!C$159:C$902,37)</f>
        <v>42705</v>
      </c>
      <c r="B31" s="30">
        <f>SUMIF('Data - Monthly Commodity Prices'!C$62:C$902,A31,'Data - Monthly Commodity Prices'!R$62:R$902)</f>
        <v>20.25</v>
      </c>
      <c r="C31" s="24"/>
      <c r="D31" s="900">
        <f t="shared" si="0"/>
        <v>2009</v>
      </c>
      <c r="E31" s="900">
        <f t="shared" si="1"/>
        <v>2010</v>
      </c>
      <c r="F31" s="1906">
        <f t="shared" si="2"/>
        <v>2009</v>
      </c>
      <c r="G31" s="125">
        <f t="array" ref="G31">IF($F$6="Historic Calendar Year",IFERROR(AVERAGE(IF($F31=YEAR('Data - Monthly Commodity Prices'!C$100:C$1000),'Data - Monthly Commodity Prices'!R$100:R$1000)),"NA"),IFERROR(IF(H31=0,"NA",H31),"NA"))</f>
        <v>46.3125</v>
      </c>
      <c r="H31" s="1244">
        <f>(SUMIFS('Data - Monthly Commodity Prices'!$R$9:$R$2500,'Data - Monthly Commodity Prices'!$A$9:$A$2500,'Uranium - Prices'!D31,'Data - Monthly Commodity Prices'!$B$9:$B$2500,3)+
SUMIFS('Data - Monthly Commodity Prices'!$R$9:$R$2500,'Data - Monthly Commodity Prices'!$A$9:$A$2500,'Uranium - Prices'!D31,'Data - Monthly Commodity Prices'!$B$9:$B$2500,4)+
SUMIFS('Data - Monthly Commodity Prices'!$R$9:$R$2500,'Data - Monthly Commodity Prices'!$A$9:$A$2500,'Uranium - Prices'!E31,'Data - Monthly Commodity Prices'!$B$9:$B$2500,1)+
SUMIFS('Data - Monthly Commodity Prices'!$R$9:$R$2500,'Data - Monthly Commodity Prices'!$A$9:$A$2500,'Uranium - Prices'!E31,'Data - Monthly Commodity Prices'!$B$9:$B$2500,2))
/(COUNTIFS('Data - Monthly Commodity Prices'!$A$9:$A$2500,'Uranium - Prices'!D31,'Data - Monthly Commodity Prices'!$B$9:$B$2500,3)+
COUNTIFS('Data - Monthly Commodity Prices'!$A$9:$A$2500,'Uranium - Prices'!D31,'Data - Monthly Commodity Prices'!$B$9:$B$2500,4)+
COUNTIFS('Data - Monthly Commodity Prices'!$A$9:$A$2500,'Uranium - Prices'!E31,'Data - Monthly Commodity Prices'!$B$9:$B$2500,1)+
COUNTIFS('Data - Monthly Commodity Prices'!$A$9:$A$2500,'Uranium - Prices'!E31,'Data - Monthly Commodity Prices'!$B$9:$B$2500,2))</f>
        <v>43.8125</v>
      </c>
    </row>
    <row r="32" spans="1:8">
      <c r="A32" s="1902">
        <f>LARGE('Data - Monthly Commodity Prices'!C$159:C$902,36)</f>
        <v>42736</v>
      </c>
      <c r="B32" s="125">
        <f>SUMIF('Data - Monthly Commodity Prices'!C$62:C$902,A32,'Data - Monthly Commodity Prices'!R$62:R$902)</f>
        <v>23</v>
      </c>
      <c r="C32" s="24"/>
      <c r="D32" s="900">
        <f t="shared" si="0"/>
        <v>2010</v>
      </c>
      <c r="E32" s="900">
        <f t="shared" si="1"/>
        <v>2011</v>
      </c>
      <c r="F32" s="1905">
        <f t="shared" si="2"/>
        <v>2010</v>
      </c>
      <c r="G32" s="30">
        <f t="array" ref="G32">IF($F$6="Historic Calendar Year",IFERROR(AVERAGE(IF($F32=YEAR('Data - Monthly Commodity Prices'!C$100:C$1000),'Data - Monthly Commodity Prices'!R$100:R$1000)),"NA"),IFERROR(IF(H32=0,"NA",H32),"NA"))</f>
        <v>46.625</v>
      </c>
      <c r="H32" s="1244">
        <f>(SUMIFS('Data - Monthly Commodity Prices'!$R$9:$R$2500,'Data - Monthly Commodity Prices'!$A$9:$A$2500,'Uranium - Prices'!D32,'Data - Monthly Commodity Prices'!$B$9:$B$2500,3)+
SUMIFS('Data - Monthly Commodity Prices'!$R$9:$R$2500,'Data - Monthly Commodity Prices'!$A$9:$A$2500,'Uranium - Prices'!D32,'Data - Monthly Commodity Prices'!$B$9:$B$2500,4)+
SUMIFS('Data - Monthly Commodity Prices'!$R$9:$R$2500,'Data - Monthly Commodity Prices'!$A$9:$A$2500,'Uranium - Prices'!E32,'Data - Monthly Commodity Prices'!$B$9:$B$2500,1)+
SUMIFS('Data - Monthly Commodity Prices'!$R$9:$R$2500,'Data - Monthly Commodity Prices'!$A$9:$A$2500,'Uranium - Prices'!E32,'Data - Monthly Commodity Prices'!$B$9:$B$2500,2))
/(COUNTIFS('Data - Monthly Commodity Prices'!$A$9:$A$2500,'Uranium - Prices'!D32,'Data - Monthly Commodity Prices'!$B$9:$B$2500,3)+
COUNTIFS('Data - Monthly Commodity Prices'!$A$9:$A$2500,'Uranium - Prices'!D32,'Data - Monthly Commodity Prices'!$B$9:$B$2500,4)+
COUNTIFS('Data - Monthly Commodity Prices'!$A$9:$A$2500,'Uranium - Prices'!E32,'Data - Monthly Commodity Prices'!$B$9:$B$2500,1)+
COUNTIFS('Data - Monthly Commodity Prices'!$A$9:$A$2500,'Uranium - Prices'!E32,'Data - Monthly Commodity Prices'!$B$9:$B$2500,2))</f>
        <v>56.645833333333336</v>
      </c>
    </row>
    <row r="33" spans="1:8">
      <c r="A33" s="1903">
        <f>LARGE('Data - Monthly Commodity Prices'!C$159:C$902,35)</f>
        <v>42767</v>
      </c>
      <c r="B33" s="30">
        <f>SUMIF('Data - Monthly Commodity Prices'!C$62:C$902,A33,'Data - Monthly Commodity Prices'!R$62:R$902)</f>
        <v>24.5</v>
      </c>
      <c r="C33" s="24"/>
      <c r="D33" s="900">
        <f t="shared" si="0"/>
        <v>2011</v>
      </c>
      <c r="E33" s="900">
        <f t="shared" si="1"/>
        <v>2012</v>
      </c>
      <c r="F33" s="1906">
        <f t="shared" si="2"/>
        <v>2011</v>
      </c>
      <c r="G33" s="125">
        <f t="array" ref="G33">IF($F$6="Historic Calendar Year",IFERROR(AVERAGE(IF($F33=YEAR('Data - Monthly Commodity Prices'!C$100:C$1000),'Data - Monthly Commodity Prices'!R$100:R$1000)),"NA"),IFERROR(IF(H33=0,"NA",H33),"NA"))</f>
        <v>56.875</v>
      </c>
      <c r="H33" s="1244">
        <f>(SUMIFS('Data - Monthly Commodity Prices'!$R$9:$R$2500,'Data - Monthly Commodity Prices'!$A$9:$A$2500,'Uranium - Prices'!D33,'Data - Monthly Commodity Prices'!$B$9:$B$2500,3)+
SUMIFS('Data - Monthly Commodity Prices'!$R$9:$R$2500,'Data - Monthly Commodity Prices'!$A$9:$A$2500,'Uranium - Prices'!D33,'Data - Monthly Commodity Prices'!$B$9:$B$2500,4)+
SUMIFS('Data - Monthly Commodity Prices'!$R$9:$R$2500,'Data - Monthly Commodity Prices'!$A$9:$A$2500,'Uranium - Prices'!E33,'Data - Monthly Commodity Prices'!$B$9:$B$2500,1)+
SUMIFS('Data - Monthly Commodity Prices'!$R$9:$R$2500,'Data - Monthly Commodity Prices'!$A$9:$A$2500,'Uranium - Prices'!E33,'Data - Monthly Commodity Prices'!$B$9:$B$2500,2))
/(COUNTIFS('Data - Monthly Commodity Prices'!$A$9:$A$2500,'Uranium - Prices'!D33,'Data - Monthly Commodity Prices'!$B$9:$B$2500,3)+
COUNTIFS('Data - Monthly Commodity Prices'!$A$9:$A$2500,'Uranium - Prices'!D33,'Data - Monthly Commodity Prices'!$B$9:$B$2500,4)+
COUNTIFS('Data - Monthly Commodity Prices'!$A$9:$A$2500,'Uranium - Prices'!E33,'Data - Monthly Commodity Prices'!$B$9:$B$2500,1)+
COUNTIFS('Data - Monthly Commodity Prices'!$A$9:$A$2500,'Uranium - Prices'!E33,'Data - Monthly Commodity Prices'!$B$9:$B$2500,2))</f>
        <v>51.625</v>
      </c>
    </row>
    <row r="34" spans="1:8">
      <c r="A34" s="1902">
        <f>LARGE('Data - Monthly Commodity Prices'!C$159:C$902,34)</f>
        <v>42795</v>
      </c>
      <c r="B34" s="125">
        <f>SUMIF('Data - Monthly Commodity Prices'!C$62:C$902,A34,'Data - Monthly Commodity Prices'!R$62:R$902)</f>
        <v>24.5</v>
      </c>
      <c r="C34" s="24"/>
      <c r="D34" s="900">
        <f t="shared" si="0"/>
        <v>2012</v>
      </c>
      <c r="E34" s="900">
        <f t="shared" si="1"/>
        <v>2013</v>
      </c>
      <c r="F34" s="1905">
        <f t="shared" si="2"/>
        <v>2012</v>
      </c>
      <c r="G34" s="30">
        <f t="array" ref="G34">IF($F$6="Historic Calendar Year",IFERROR(AVERAGE(IF($F34=YEAR('Data - Monthly Commodity Prices'!C$100:C$1000),'Data - Monthly Commodity Prices'!R$100:R$1000)),"NA"),IFERROR(IF(H34=0,"NA",H34),"NA"))</f>
        <v>48.291666666666664</v>
      </c>
      <c r="H34" s="1244">
        <f>(SUMIFS('Data - Monthly Commodity Prices'!$R$9:$R$2500,'Data - Monthly Commodity Prices'!$A$9:$A$2500,'Uranium - Prices'!D34,'Data - Monthly Commodity Prices'!$B$9:$B$2500,3)+
SUMIFS('Data - Monthly Commodity Prices'!$R$9:$R$2500,'Data - Monthly Commodity Prices'!$A$9:$A$2500,'Uranium - Prices'!D34,'Data - Monthly Commodity Prices'!$B$9:$B$2500,4)+
SUMIFS('Data - Monthly Commodity Prices'!$R$9:$R$2500,'Data - Monthly Commodity Prices'!$A$9:$A$2500,'Uranium - Prices'!E34,'Data - Monthly Commodity Prices'!$B$9:$B$2500,1)+
SUMIFS('Data - Monthly Commodity Prices'!$R$9:$R$2500,'Data - Monthly Commodity Prices'!$A$9:$A$2500,'Uranium - Prices'!E34,'Data - Monthly Commodity Prices'!$B$9:$B$2500,2))
/(COUNTIFS('Data - Monthly Commodity Prices'!$A$9:$A$2500,'Uranium - Prices'!D34,'Data - Monthly Commodity Prices'!$B$9:$B$2500,3)+
COUNTIFS('Data - Monthly Commodity Prices'!$A$9:$A$2500,'Uranium - Prices'!D34,'Data - Monthly Commodity Prices'!$B$9:$B$2500,4)+
COUNTIFS('Data - Monthly Commodity Prices'!$A$9:$A$2500,'Uranium - Prices'!E34,'Data - Monthly Commodity Prices'!$B$9:$B$2500,1)+
COUNTIFS('Data - Monthly Commodity Prices'!$A$9:$A$2500,'Uranium - Prices'!E34,'Data - Monthly Commodity Prices'!$B$9:$B$2500,2))</f>
        <v>43.345833333333331</v>
      </c>
    </row>
    <row r="35" spans="1:8">
      <c r="A35" s="1903">
        <f>LARGE('Data - Monthly Commodity Prices'!C$159:C$902,33)</f>
        <v>42826</v>
      </c>
      <c r="B35" s="30">
        <f>SUMIF('Data - Monthly Commodity Prices'!C$62:C$902,A35,'Data - Monthly Commodity Prices'!R$62:R$902)</f>
        <v>22.75</v>
      </c>
      <c r="C35" s="24"/>
      <c r="D35" s="900">
        <f t="shared" si="0"/>
        <v>2013</v>
      </c>
      <c r="E35" s="900">
        <f t="shared" si="1"/>
        <v>2014</v>
      </c>
      <c r="F35" s="1906">
        <f t="shared" si="2"/>
        <v>2013</v>
      </c>
      <c r="G35" s="125">
        <f t="array" ref="G35">IF($F$6="Historic Calendar Year",IFERROR(AVERAGE(IF($F35=YEAR('Data - Monthly Commodity Prices'!C$100:C$1000),'Data - Monthly Commodity Prices'!R$100:R$1000)),"NA"),IFERROR(IF(H35=0,"NA",H35),"NA"))</f>
        <v>38.304166666666667</v>
      </c>
      <c r="H35" s="1244">
        <f>(SUMIFS('Data - Monthly Commodity Prices'!$R$9:$R$2500,'Data - Monthly Commodity Prices'!$A$9:$A$2500,'Uranium - Prices'!D35,'Data - Monthly Commodity Prices'!$B$9:$B$2500,3)+
SUMIFS('Data - Monthly Commodity Prices'!$R$9:$R$2500,'Data - Monthly Commodity Prices'!$A$9:$A$2500,'Uranium - Prices'!D35,'Data - Monthly Commodity Prices'!$B$9:$B$2500,4)+
SUMIFS('Data - Monthly Commodity Prices'!$R$9:$R$2500,'Data - Monthly Commodity Prices'!$A$9:$A$2500,'Uranium - Prices'!E35,'Data - Monthly Commodity Prices'!$B$9:$B$2500,1)+
SUMIFS('Data - Monthly Commodity Prices'!$R$9:$R$2500,'Data - Monthly Commodity Prices'!$A$9:$A$2500,'Uranium - Prices'!E35,'Data - Monthly Commodity Prices'!$B$9:$B$2500,2))
/(COUNTIFS('Data - Monthly Commodity Prices'!$A$9:$A$2500,'Uranium - Prices'!D35,'Data - Monthly Commodity Prices'!$B$9:$B$2500,3)+
COUNTIFS('Data - Monthly Commodity Prices'!$A$9:$A$2500,'Uranium - Prices'!D35,'Data - Monthly Commodity Prices'!$B$9:$B$2500,4)+
COUNTIFS('Data - Monthly Commodity Prices'!$A$9:$A$2500,'Uranium - Prices'!E35,'Data - Monthly Commodity Prices'!$B$9:$B$2500,1)+
COUNTIFS('Data - Monthly Commodity Prices'!$A$9:$A$2500,'Uranium - Prices'!E35,'Data - Monthly Commodity Prices'!$B$9:$B$2500,2))</f>
        <v>33.604166666666664</v>
      </c>
    </row>
    <row r="36" spans="1:8">
      <c r="A36" s="1902">
        <f>LARGE('Data - Monthly Commodity Prices'!C$159:C$902,32)</f>
        <v>42856</v>
      </c>
      <c r="B36" s="125">
        <f>SUMIF('Data - Monthly Commodity Prices'!C$62:C$902,A36,'Data - Monthly Commodity Prices'!R$62:R$902)</f>
        <v>19.25</v>
      </c>
      <c r="C36" s="24"/>
      <c r="D36" s="900">
        <f t="shared" si="0"/>
        <v>2014</v>
      </c>
      <c r="E36" s="900">
        <f t="shared" si="1"/>
        <v>2015</v>
      </c>
      <c r="F36" s="1905">
        <f t="shared" si="2"/>
        <v>2014</v>
      </c>
      <c r="G36" s="30">
        <f t="array" ref="G36">IF($F$6="Historic Calendar Year",IFERROR(AVERAGE(IF($F36=YEAR('Data - Monthly Commodity Prices'!C$100:C$1000),'Data - Monthly Commodity Prices'!R$100:R$1000)),"NA"),IFERROR(IF(H36=0,"NA",H36),"NA"))</f>
        <v>33.166666666666664</v>
      </c>
      <c r="H36" s="1244">
        <f>(SUMIFS('Data - Monthly Commodity Prices'!$R$9:$R$2500,'Data - Monthly Commodity Prices'!$A$9:$A$2500,'Uranium - Prices'!D36,'Data - Monthly Commodity Prices'!$B$9:$B$2500,3)+
SUMIFS('Data - Monthly Commodity Prices'!$R$9:$R$2500,'Data - Monthly Commodity Prices'!$A$9:$A$2500,'Uranium - Prices'!D36,'Data - Monthly Commodity Prices'!$B$9:$B$2500,4)+
SUMIFS('Data - Monthly Commodity Prices'!$R$9:$R$2500,'Data - Monthly Commodity Prices'!$A$9:$A$2500,'Uranium - Prices'!E36,'Data - Monthly Commodity Prices'!$B$9:$B$2500,1)+
SUMIFS('Data - Monthly Commodity Prices'!$R$9:$R$2500,'Data - Monthly Commodity Prices'!$A$9:$A$2500,'Uranium - Prices'!E36,'Data - Monthly Commodity Prices'!$B$9:$B$2500,2))
/(COUNTIFS('Data - Monthly Commodity Prices'!$A$9:$A$2500,'Uranium - Prices'!D36,'Data - Monthly Commodity Prices'!$B$9:$B$2500,3)+
COUNTIFS('Data - Monthly Commodity Prices'!$A$9:$A$2500,'Uranium - Prices'!D36,'Data - Monthly Commodity Prices'!$B$9:$B$2500,4)+
COUNTIFS('Data - Monthly Commodity Prices'!$A$9:$A$2500,'Uranium - Prices'!E36,'Data - Monthly Commodity Prices'!$B$9:$B$2500,1)+
COUNTIFS('Data - Monthly Commodity Prices'!$A$9:$A$2500,'Uranium - Prices'!E36,'Data - Monthly Commodity Prices'!$B$9:$B$2500,2))</f>
        <v>35.916666666666664</v>
      </c>
    </row>
    <row r="37" spans="1:8">
      <c r="A37" s="1903">
        <f>LARGE('Data - Monthly Commodity Prices'!C$159:C$902,31)</f>
        <v>42887</v>
      </c>
      <c r="B37" s="30">
        <f>SUMIF('Data - Monthly Commodity Prices'!C$62:C$902,A37,'Data - Monthly Commodity Prices'!R$62:R$902)</f>
        <v>20.100000000000001</v>
      </c>
      <c r="C37" s="24"/>
      <c r="D37" s="900">
        <f t="shared" si="0"/>
        <v>2015</v>
      </c>
      <c r="E37" s="900">
        <f t="shared" si="1"/>
        <v>2016</v>
      </c>
      <c r="F37" s="1906">
        <f t="shared" si="2"/>
        <v>2015</v>
      </c>
      <c r="G37" s="125">
        <f t="array" ref="G37">IF($F$6="Historic Calendar Year",IFERROR(AVERAGE(IF($F37=YEAR('Data - Monthly Commodity Prices'!C$100:C$1000),'Data - Monthly Commodity Prices'!R$100:R$1000)),"NA"),IFERROR(IF(H37=0,"NA",H37),"NA"))</f>
        <v>36.729166666666664</v>
      </c>
      <c r="H37" s="1244">
        <f>(SUMIFS('Data - Monthly Commodity Prices'!$R$9:$R$2500,'Data - Monthly Commodity Prices'!$A$9:$A$2500,'Uranium - Prices'!D37,'Data - Monthly Commodity Prices'!$B$9:$B$2500,3)+
SUMIFS('Data - Monthly Commodity Prices'!$R$9:$R$2500,'Data - Monthly Commodity Prices'!$A$9:$A$2500,'Uranium - Prices'!D37,'Data - Monthly Commodity Prices'!$B$9:$B$2500,4)+
SUMIFS('Data - Monthly Commodity Prices'!$R$9:$R$2500,'Data - Monthly Commodity Prices'!$A$9:$A$2500,'Uranium - Prices'!E37,'Data - Monthly Commodity Prices'!$B$9:$B$2500,1)+
SUMIFS('Data - Monthly Commodity Prices'!$R$9:$R$2500,'Data - Monthly Commodity Prices'!$A$9:$A$2500,'Uranium - Prices'!E37,'Data - Monthly Commodity Prices'!$B$9:$B$2500,2))
/(COUNTIFS('Data - Monthly Commodity Prices'!$A$9:$A$2500,'Uranium - Prices'!D37,'Data - Monthly Commodity Prices'!$B$9:$B$2500,3)+
COUNTIFS('Data - Monthly Commodity Prices'!$A$9:$A$2500,'Uranium - Prices'!D37,'Data - Monthly Commodity Prices'!$B$9:$B$2500,4)+
COUNTIFS('Data - Monthly Commodity Prices'!$A$9:$A$2500,'Uranium - Prices'!E37,'Data - Monthly Commodity Prices'!$B$9:$B$2500,1)+
COUNTIFS('Data - Monthly Commodity Prices'!$A$9:$A$2500,'Uranium - Prices'!E37,'Data - Monthly Commodity Prices'!$B$9:$B$2500,2))</f>
        <v>32.795833333333334</v>
      </c>
    </row>
    <row r="38" spans="1:8">
      <c r="A38" s="1902">
        <f>LARGE('Data - Monthly Commodity Prices'!C$159:C$902,30)</f>
        <v>42917</v>
      </c>
      <c r="B38" s="125">
        <f>SUMIF('Data - Monthly Commodity Prices'!C$62:C$902,A38,'Data - Monthly Commodity Prices'!R$62:R$902)</f>
        <v>20.5</v>
      </c>
      <c r="C38" s="24"/>
      <c r="D38" s="900">
        <f t="shared" si="0"/>
        <v>2016</v>
      </c>
      <c r="E38" s="900">
        <f t="shared" si="1"/>
        <v>2017</v>
      </c>
      <c r="F38" s="1905">
        <f t="shared" si="2"/>
        <v>2016</v>
      </c>
      <c r="G38" s="30">
        <f t="array" ref="G38">IF($F$6="Historic Calendar Year",IFERROR(AVERAGE(IF($F38=YEAR('Data - Monthly Commodity Prices'!C$100:C$1000),'Data - Monthly Commodity Prices'!R$100:R$1000)),"NA"),IFERROR(IF(H38=0,"NA",H38),"NA"))</f>
        <v>26.004166666666666</v>
      </c>
      <c r="H38" s="1244">
        <f>(SUMIFS('Data - Monthly Commodity Prices'!$R$9:$R$2500,'Data - Monthly Commodity Prices'!$A$9:$A$2500,'Uranium - Prices'!D38,'Data - Monthly Commodity Prices'!$B$9:$B$2500,3)+
SUMIFS('Data - Monthly Commodity Prices'!$R$9:$R$2500,'Data - Monthly Commodity Prices'!$A$9:$A$2500,'Uranium - Prices'!D38,'Data - Monthly Commodity Prices'!$B$9:$B$2500,4)+
SUMIFS('Data - Monthly Commodity Prices'!$R$9:$R$2500,'Data - Monthly Commodity Prices'!$A$9:$A$2500,'Uranium - Prices'!E38,'Data - Monthly Commodity Prices'!$B$9:$B$2500,1)+
SUMIFS('Data - Monthly Commodity Prices'!$R$9:$R$2500,'Data - Monthly Commodity Prices'!$A$9:$A$2500,'Uranium - Prices'!E38,'Data - Monthly Commodity Prices'!$B$9:$B$2500,2))
/(COUNTIFS('Data - Monthly Commodity Prices'!$A$9:$A$2500,'Uranium - Prices'!D38,'Data - Monthly Commodity Prices'!$B$9:$B$2500,3)+
COUNTIFS('Data - Monthly Commodity Prices'!$A$9:$A$2500,'Uranium - Prices'!D38,'Data - Monthly Commodity Prices'!$B$9:$B$2500,4)+
COUNTIFS('Data - Monthly Commodity Prices'!$A$9:$A$2500,'Uranium - Prices'!E38,'Data - Monthly Commodity Prices'!$B$9:$B$2500,1)+
COUNTIFS('Data - Monthly Commodity Prices'!$A$9:$A$2500,'Uranium - Prices'!E38,'Data - Monthly Commodity Prices'!$B$9:$B$2500,2))</f>
        <v>22.362500000000001</v>
      </c>
    </row>
    <row r="39" spans="1:8">
      <c r="A39" s="1903">
        <f>LARGE('Data - Monthly Commodity Prices'!C$159:C$902,29)</f>
        <v>42948</v>
      </c>
      <c r="B39" s="30">
        <f>SUMIF('Data - Monthly Commodity Prices'!C$62:C$902,A39,'Data - Monthly Commodity Prices'!R$62:R$902)</f>
        <v>20</v>
      </c>
      <c r="C39" s="24"/>
      <c r="D39" s="900">
        <f t="shared" si="0"/>
        <v>2017</v>
      </c>
      <c r="E39" s="900">
        <f t="shared" si="1"/>
        <v>2018</v>
      </c>
      <c r="F39" s="1906">
        <f t="shared" si="2"/>
        <v>2017</v>
      </c>
      <c r="G39" s="125">
        <f t="array" ref="G39">IF($F$6="Historic Calendar Year",IFERROR(AVERAGE(IF($F39=YEAR('Data - Monthly Commodity Prices'!C$100:C$1000),'Data - Monthly Commodity Prices'!R$100:R$1000)),"NA"),IFERROR(IF(H39=0,"NA",H39),"NA"))</f>
        <v>21.712499999999995</v>
      </c>
      <c r="H39" s="1244">
        <f>(SUMIFS('Data - Monthly Commodity Prices'!$R$9:$R$2500,'Data - Monthly Commodity Prices'!$A$9:$A$2500,'Uranium - Prices'!D39,'Data - Monthly Commodity Prices'!$B$9:$B$2500,3)+
SUMIFS('Data - Monthly Commodity Prices'!$R$9:$R$2500,'Data - Monthly Commodity Prices'!$A$9:$A$2500,'Uranium - Prices'!D39,'Data - Monthly Commodity Prices'!$B$9:$B$2500,4)+
SUMIFS('Data - Monthly Commodity Prices'!$R$9:$R$2500,'Data - Monthly Commodity Prices'!$A$9:$A$2500,'Uranium - Prices'!E39,'Data - Monthly Commodity Prices'!$B$9:$B$2500,1)+
SUMIFS('Data - Monthly Commodity Prices'!$R$9:$R$2500,'Data - Monthly Commodity Prices'!$A$9:$A$2500,'Uranium - Prices'!E39,'Data - Monthly Commodity Prices'!$B$9:$B$2500,2))
/(COUNTIFS('Data - Monthly Commodity Prices'!$A$9:$A$2500,'Uranium - Prices'!D39,'Data - Monthly Commodity Prices'!$B$9:$B$2500,3)+
COUNTIFS('Data - Monthly Commodity Prices'!$A$9:$A$2500,'Uranium - Prices'!D39,'Data - Monthly Commodity Prices'!$B$9:$B$2500,4)+
COUNTIFS('Data - Monthly Commodity Prices'!$A$9:$A$2500,'Uranium - Prices'!E39,'Data - Monthly Commodity Prices'!$B$9:$B$2500,1)+
COUNTIFS('Data - Monthly Commodity Prices'!$A$9:$A$2500,'Uranium - Prices'!E39,'Data - Monthly Commodity Prices'!$B$9:$B$2500,2))</f>
        <v>21.466666666666669</v>
      </c>
    </row>
    <row r="40" spans="1:8">
      <c r="A40" s="1902">
        <f>LARGE('Data - Monthly Commodity Prices'!C$159:C$902,28)</f>
        <v>42979</v>
      </c>
      <c r="B40" s="125">
        <f>SUMIF('Data - Monthly Commodity Prices'!C$62:C$902,A40,'Data - Monthly Commodity Prices'!R$62:R$902)</f>
        <v>20.25</v>
      </c>
      <c r="C40" s="24"/>
      <c r="D40" s="900">
        <f t="shared" si="0"/>
        <v>2018</v>
      </c>
      <c r="E40" s="900">
        <f t="shared" si="1"/>
        <v>2019</v>
      </c>
      <c r="F40" s="1905">
        <f t="shared" si="2"/>
        <v>2018</v>
      </c>
      <c r="G40" s="30">
        <f t="array" ref="G40">IF($F$6="Historic Calendar Year",IFERROR(AVERAGE(IF($F40=YEAR('Data - Monthly Commodity Prices'!C$100:C$1000),'Data - Monthly Commodity Prices'!R$100:R$1000)),"NA"),IFERROR(IF(H40=0,"NA",H40),"NA"))</f>
        <v>24.758333333333336</v>
      </c>
      <c r="H40" s="1244">
        <f>(SUMIFS('Data - Monthly Commodity Prices'!$R$9:$R$2500,'Data - Monthly Commodity Prices'!$A$9:$A$2500,'Uranium - Prices'!D40,'Data - Monthly Commodity Prices'!$B$9:$B$2500,3)+
SUMIFS('Data - Monthly Commodity Prices'!$R$9:$R$2500,'Data - Monthly Commodity Prices'!$A$9:$A$2500,'Uranium - Prices'!D40,'Data - Monthly Commodity Prices'!$B$9:$B$2500,4)+
SUMIFS('Data - Monthly Commodity Prices'!$R$9:$R$2500,'Data - Monthly Commodity Prices'!$A$9:$A$2500,'Uranium - Prices'!E40,'Data - Monthly Commodity Prices'!$B$9:$B$2500,1)+
SUMIFS('Data - Monthly Commodity Prices'!$R$9:$R$2500,'Data - Monthly Commodity Prices'!$A$9:$A$2500,'Uranium - Prices'!E40,'Data - Monthly Commodity Prices'!$B$9:$B$2500,2))
/(COUNTIFS('Data - Monthly Commodity Prices'!$A$9:$A$2500,'Uranium - Prices'!D40,'Data - Monthly Commodity Prices'!$B$9:$B$2500,3)+
COUNTIFS('Data - Monthly Commodity Prices'!$A$9:$A$2500,'Uranium - Prices'!D40,'Data - Monthly Commodity Prices'!$B$9:$B$2500,4)+
COUNTIFS('Data - Monthly Commodity Prices'!$A$9:$A$2500,'Uranium - Prices'!E40,'Data - Monthly Commodity Prices'!$B$9:$B$2500,1)+
COUNTIFS('Data - Monthly Commodity Prices'!$A$9:$A$2500,'Uranium - Prices'!E40,'Data - Monthly Commodity Prices'!$B$9:$B$2500,2))</f>
        <v>26.908333333333331</v>
      </c>
    </row>
    <row r="41" spans="1:8">
      <c r="A41" s="1903">
        <f>LARGE('Data - Monthly Commodity Prices'!C$159:C$902,27)</f>
        <v>43009</v>
      </c>
      <c r="B41" s="30">
        <f>SUMIF('Data - Monthly Commodity Prices'!C$62:C$902,A41,'Data - Monthly Commodity Prices'!R$62:R$902)</f>
        <v>19.95</v>
      </c>
      <c r="C41" s="24"/>
      <c r="D41" s="900">
        <f t="shared" si="0"/>
        <v>2019</v>
      </c>
      <c r="E41" s="900">
        <f t="shared" si="1"/>
        <v>2020</v>
      </c>
      <c r="F41" s="1906">
        <f t="shared" si="2"/>
        <v>2019</v>
      </c>
      <c r="G41" s="125">
        <f t="array" ref="G41">IF($F$6="Historic Calendar Year",IFERROR(AVERAGE(IF($F41=YEAR('Data - Monthly Commodity Prices'!C$100:C$1000),'Data - Monthly Commodity Prices'!R$100:R$1000)),"NA"),IFERROR(IF(H41=0,"NA",H41),"NA"))</f>
        <v>25.689999999999998</v>
      </c>
      <c r="H41" s="1244">
        <f>(SUMIFS('Data - Monthly Commodity Prices'!$R$9:$R$2500,'Data - Monthly Commodity Prices'!$A$9:$A$2500,'Uranium - Prices'!D41,'Data - Monthly Commodity Prices'!$B$9:$B$2500,3)+
SUMIFS('Data - Monthly Commodity Prices'!$R$9:$R$2500,'Data - Monthly Commodity Prices'!$A$9:$A$2500,'Uranium - Prices'!D41,'Data - Monthly Commodity Prices'!$B$9:$B$2500,4)+
SUMIFS('Data - Monthly Commodity Prices'!$R$9:$R$2500,'Data - Monthly Commodity Prices'!$A$9:$A$2500,'Uranium - Prices'!E41,'Data - Monthly Commodity Prices'!$B$9:$B$2500,1)+
SUMIFS('Data - Monthly Commodity Prices'!$R$9:$R$2500,'Data - Monthly Commodity Prices'!$A$9:$A$2500,'Uranium - Prices'!E41,'Data - Monthly Commodity Prices'!$B$9:$B$2500,2))
/(COUNTIFS('Data - Monthly Commodity Prices'!$A$9:$A$2500,'Uranium - Prices'!D41,'Data - Monthly Commodity Prices'!$B$9:$B$2500,3)+
COUNTIFS('Data - Monthly Commodity Prices'!$A$9:$A$2500,'Uranium - Prices'!D41,'Data - Monthly Commodity Prices'!$B$9:$B$2500,4)+
COUNTIFS('Data - Monthly Commodity Prices'!$A$9:$A$2500,'Uranium - Prices'!E41,'Data - Monthly Commodity Prices'!$B$9:$B$2500,1)+
COUNTIFS('Data - Monthly Commodity Prices'!$A$9:$A$2500,'Uranium - Prices'!E41,'Data - Monthly Commodity Prices'!$B$9:$B$2500,2))</f>
        <v>25.221666666666664</v>
      </c>
    </row>
    <row r="42" spans="1:8" ht="15.75" thickBot="1">
      <c r="A42" s="1902">
        <f>LARGE('Data - Monthly Commodity Prices'!C$159:C$902,26)</f>
        <v>43040</v>
      </c>
      <c r="B42" s="125">
        <f>SUMIF('Data - Monthly Commodity Prices'!C$62:C$902,A42,'Data - Monthly Commodity Prices'!R$62:R$902)</f>
        <v>22</v>
      </c>
      <c r="C42" s="24"/>
      <c r="D42" s="900">
        <f t="shared" si="0"/>
        <v>2020</v>
      </c>
      <c r="E42" s="900">
        <f t="shared" si="1"/>
        <v>2021</v>
      </c>
      <c r="F42" s="1907">
        <f t="shared" si="2"/>
        <v>2020</v>
      </c>
      <c r="G42" s="29" t="str">
        <f t="array" ref="G42">IF($F$6="Historic Calendar Year",IFERROR(AVERAGE(IF($F42=YEAR('Data - Monthly Commodity Prices'!C$100:C$1000),'Data - Monthly Commodity Prices'!R$100:R$1000)),"NA"),IFERROR(IF(H42=0,"NA",H42),"NA"))</f>
        <v>NA</v>
      </c>
      <c r="H42" s="1244" t="e">
        <f>(SUMIFS('Data - Monthly Commodity Prices'!$R$9:$R$2500,'Data - Monthly Commodity Prices'!$A$9:$A$2500,'Uranium - Prices'!D42,'Data - Monthly Commodity Prices'!$B$9:$B$2500,3)+
SUMIFS('Data - Monthly Commodity Prices'!$R$9:$R$2500,'Data - Monthly Commodity Prices'!$A$9:$A$2500,'Uranium - Prices'!D42,'Data - Monthly Commodity Prices'!$B$9:$B$2500,4)+
SUMIFS('Data - Monthly Commodity Prices'!$R$9:$R$2500,'Data - Monthly Commodity Prices'!$A$9:$A$2500,'Uranium - Prices'!E42,'Data - Monthly Commodity Prices'!$B$9:$B$2500,1)+
SUMIFS('Data - Monthly Commodity Prices'!$R$9:$R$2500,'Data - Monthly Commodity Prices'!$A$9:$A$2500,'Uranium - Prices'!E42,'Data - Monthly Commodity Prices'!$B$9:$B$2500,2))
/(COUNTIFS('Data - Monthly Commodity Prices'!$A$9:$A$2500,'Uranium - Prices'!D42,'Data - Monthly Commodity Prices'!$B$9:$B$2500,3)+
COUNTIFS('Data - Monthly Commodity Prices'!$A$9:$A$2500,'Uranium - Prices'!D42,'Data - Monthly Commodity Prices'!$B$9:$B$2500,4)+
COUNTIFS('Data - Monthly Commodity Prices'!$A$9:$A$2500,'Uranium - Prices'!E42,'Data - Monthly Commodity Prices'!$B$9:$B$2500,1)+
COUNTIFS('Data - Monthly Commodity Prices'!$A$9:$A$2500,'Uranium - Prices'!E42,'Data - Monthly Commodity Prices'!$B$9:$B$2500,2))</f>
        <v>#DIV/0!</v>
      </c>
    </row>
    <row r="43" spans="1:8" ht="15.75" thickBot="1">
      <c r="A43" s="1903">
        <f>LARGE('Data - Monthly Commodity Prices'!C$159:C$902,25)</f>
        <v>43070</v>
      </c>
      <c r="B43" s="30">
        <f>SUMIF('Data - Monthly Commodity Prices'!C$62:C$902,A43,'Data - Monthly Commodity Prices'!R$62:R$902)</f>
        <v>23.75</v>
      </c>
      <c r="C43" s="24"/>
      <c r="D43" s="900"/>
      <c r="E43" s="900"/>
      <c r="F43" s="24"/>
      <c r="G43" s="24"/>
    </row>
    <row r="44" spans="1:8" ht="15.75" thickBot="1">
      <c r="A44" s="1902">
        <f>LARGE('Data - Monthly Commodity Prices'!C$159:C$902,24)</f>
        <v>43101</v>
      </c>
      <c r="B44" s="125">
        <f>SUMIF('Data - Monthly Commodity Prices'!C$62:C$902,A44,'Data - Monthly Commodity Prices'!R$62:R$902)</f>
        <v>22</v>
      </c>
      <c r="C44" s="24"/>
      <c r="D44" s="900"/>
      <c r="E44" s="900"/>
      <c r="F44" s="2066" t="s">
        <v>617</v>
      </c>
      <c r="G44" s="2067"/>
    </row>
    <row r="45" spans="1:8" ht="15.75" thickBot="1">
      <c r="A45" s="1903">
        <f>LARGE('Data - Monthly Commodity Prices'!C$159:C$902,23)</f>
        <v>43132</v>
      </c>
      <c r="B45" s="30">
        <f>SUMIF('Data - Monthly Commodity Prices'!C$62:C$902,A45,'Data - Monthly Commodity Prices'!R$62:R$902)</f>
        <v>21.75</v>
      </c>
      <c r="C45" s="24"/>
      <c r="D45" s="900"/>
      <c r="E45" s="900"/>
      <c r="F45" s="1963" t="s">
        <v>545</v>
      </c>
      <c r="G45" s="1964"/>
    </row>
    <row r="46" spans="1:8">
      <c r="A46" s="1902">
        <f>LARGE('Data - Monthly Commodity Prices'!C$159:C$902,22)</f>
        <v>43160</v>
      </c>
      <c r="B46" s="125">
        <f>SUMIF('Data - Monthly Commodity Prices'!C$62:C$902,A46,'Data - Monthly Commodity Prices'!R$62:R$902)</f>
        <v>21.1</v>
      </c>
      <c r="C46" s="24"/>
      <c r="D46" s="900"/>
      <c r="E46" s="900"/>
      <c r="F46" s="1965" t="s">
        <v>626</v>
      </c>
      <c r="G46" s="1965"/>
    </row>
    <row r="47" spans="1:8">
      <c r="A47" s="1903">
        <f>LARGE('Data - Monthly Commodity Prices'!C$159:C$902,21)</f>
        <v>43191</v>
      </c>
      <c r="B47" s="30">
        <f>SUMIF('Data - Monthly Commodity Prices'!C$62:C$902,A47,'Data - Monthly Commodity Prices'!R$62:R$902)</f>
        <v>21</v>
      </c>
      <c r="C47" s="24"/>
      <c r="D47" s="900"/>
      <c r="E47" s="900"/>
      <c r="F47" s="24"/>
      <c r="G47" s="24"/>
    </row>
    <row r="48" spans="1:8">
      <c r="A48" s="1902">
        <f>LARGE('Data - Monthly Commodity Prices'!C$159:C$902,20)</f>
        <v>43221</v>
      </c>
      <c r="B48" s="125">
        <f>SUMIF('Data - Monthly Commodity Prices'!C$62:C$902,A48,'Data - Monthly Commodity Prices'!R$62:R$902)</f>
        <v>22.75</v>
      </c>
      <c r="C48" s="24"/>
      <c r="D48" s="900"/>
      <c r="E48" s="900"/>
      <c r="F48" s="24"/>
      <c r="G48" s="24"/>
    </row>
    <row r="49" spans="1:7">
      <c r="A49" s="1903">
        <f>LARGE('Data - Monthly Commodity Prices'!C$159:C$902,19)</f>
        <v>43252</v>
      </c>
      <c r="B49" s="30">
        <f>SUMIF('Data - Monthly Commodity Prices'!C$62:C$902,A49,'Data - Monthly Commodity Prices'!R$62:R$902)</f>
        <v>22.55</v>
      </c>
      <c r="C49" s="24"/>
      <c r="D49" s="900"/>
      <c r="E49" s="900"/>
      <c r="F49" s="24"/>
      <c r="G49" s="24"/>
    </row>
    <row r="50" spans="1:7">
      <c r="A50" s="1902">
        <f>LARGE('Data - Monthly Commodity Prices'!C$159:C$902,18)</f>
        <v>43282</v>
      </c>
      <c r="B50" s="125">
        <f>SUMIF('Data - Monthly Commodity Prices'!C$62:C$902,A50,'Data - Monthly Commodity Prices'!R$62:R$902)</f>
        <v>25.7</v>
      </c>
      <c r="C50" s="24"/>
      <c r="D50" s="900"/>
      <c r="E50" s="900"/>
      <c r="F50" s="24"/>
      <c r="G50" s="24"/>
    </row>
    <row r="51" spans="1:7">
      <c r="A51" s="1903">
        <f>LARGE('Data - Monthly Commodity Prices'!C$159:C$902,17)</f>
        <v>43313</v>
      </c>
      <c r="B51" s="30">
        <f>SUMIF('Data - Monthly Commodity Prices'!C$62:C$902,A51,'Data - Monthly Commodity Prices'!R$62:R$902)</f>
        <v>27.35</v>
      </c>
      <c r="C51" s="24"/>
      <c r="D51" s="900"/>
      <c r="E51" s="900"/>
      <c r="F51" s="24"/>
      <c r="G51" s="24"/>
    </row>
    <row r="52" spans="1:7">
      <c r="A52" s="1902">
        <f>LARGE('Data - Monthly Commodity Prices'!C$159:C$902,16)</f>
        <v>43344</v>
      </c>
      <c r="B52" s="125">
        <f>SUMIF('Data - Monthly Commodity Prices'!C$62:C$902,A52,'Data - Monthly Commodity Prices'!R$62:R$902)</f>
        <v>27.4</v>
      </c>
      <c r="C52" s="24"/>
      <c r="D52" s="900"/>
      <c r="E52" s="900"/>
      <c r="F52" s="24"/>
      <c r="G52" s="24"/>
    </row>
    <row r="53" spans="1:7">
      <c r="A53" s="1903">
        <f>LARGE('Data - Monthly Commodity Prices'!C$159:C$902,15)</f>
        <v>43374</v>
      </c>
      <c r="B53" s="30">
        <f>SUMIF('Data - Monthly Commodity Prices'!C$62:C$902,A53,'Data - Monthly Commodity Prices'!R$62:R$902)</f>
        <v>27.9</v>
      </c>
      <c r="C53" s="24"/>
      <c r="D53" s="900"/>
      <c r="E53" s="900"/>
      <c r="F53" s="24"/>
      <c r="G53" s="24"/>
    </row>
    <row r="54" spans="1:7">
      <c r="A54" s="1902">
        <f>LARGE('Data - Monthly Commodity Prices'!C$159:C$902,14)</f>
        <v>43405</v>
      </c>
      <c r="B54" s="125">
        <f>SUMIF('Data - Monthly Commodity Prices'!C$62:C$902,A54,'Data - Monthly Commodity Prices'!R$62:R$902)</f>
        <v>29.1</v>
      </c>
      <c r="C54" s="24"/>
      <c r="D54" s="900"/>
      <c r="E54" s="900"/>
      <c r="F54" s="24"/>
      <c r="G54" s="24"/>
    </row>
    <row r="55" spans="1:7">
      <c r="A55" s="1903">
        <f>LARGE('Data - Monthly Commodity Prices'!C$159:C$902,13)</f>
        <v>43435</v>
      </c>
      <c r="B55" s="30">
        <f>SUMIF('Data - Monthly Commodity Prices'!C$62:C$902,A55,'Data - Monthly Commodity Prices'!R$62:R$902)</f>
        <v>28.5</v>
      </c>
      <c r="C55" s="24"/>
      <c r="D55" s="900"/>
      <c r="E55" s="900"/>
      <c r="F55" s="24"/>
      <c r="G55" s="24"/>
    </row>
    <row r="56" spans="1:7">
      <c r="A56" s="1902">
        <f>LARGE('Data - Monthly Commodity Prices'!C$159:C$902,12)</f>
        <v>43466</v>
      </c>
      <c r="B56" s="125">
        <f>SUMIF('Data - Monthly Commodity Prices'!C$62:C$902,A56,'Data - Monthly Commodity Prices'!R$62:R$902)</f>
        <v>28.9</v>
      </c>
      <c r="C56" s="24"/>
      <c r="D56" s="900"/>
      <c r="E56" s="900"/>
      <c r="F56" s="24"/>
      <c r="G56" s="24"/>
    </row>
    <row r="57" spans="1:7">
      <c r="A57" s="1903">
        <f>LARGE('Data - Monthly Commodity Prices'!C$159:C$902,11)</f>
        <v>43497</v>
      </c>
      <c r="B57" s="30">
        <f>SUMIF('Data - Monthly Commodity Prices'!C$62:C$902,A57,'Data - Monthly Commodity Prices'!R$62:R$902)</f>
        <v>28</v>
      </c>
      <c r="C57" s="24"/>
      <c r="D57" s="900"/>
      <c r="E57" s="900"/>
      <c r="F57" s="24"/>
      <c r="G57" s="24"/>
    </row>
    <row r="58" spans="1:7">
      <c r="A58" s="1902">
        <f>LARGE('Data - Monthly Commodity Prices'!C$159:C$902,10)</f>
        <v>43525</v>
      </c>
      <c r="B58" s="125">
        <f>SUMIF('Data - Monthly Commodity Prices'!C$62:C$902,A58,'Data - Monthly Commodity Prices'!R$62:R$902)</f>
        <v>25.75</v>
      </c>
      <c r="C58" s="24"/>
      <c r="D58" s="900"/>
      <c r="E58" s="900"/>
      <c r="F58" s="24"/>
      <c r="G58" s="24"/>
    </row>
    <row r="59" spans="1:7">
      <c r="A59" s="1903">
        <f>LARGE('Data - Monthly Commodity Prices'!C$159:C$902,9)</f>
        <v>43556</v>
      </c>
      <c r="B59" s="30">
        <f>SUMIF('Data - Monthly Commodity Prices'!C$62:C$902,A59,'Data - Monthly Commodity Prices'!R$62:R$902)</f>
        <v>24.1</v>
      </c>
      <c r="C59" s="24"/>
      <c r="D59" s="900"/>
      <c r="E59" s="900"/>
      <c r="F59" s="24"/>
      <c r="G59" s="24"/>
    </row>
    <row r="60" spans="1:7">
      <c r="A60" s="1902">
        <f>LARGE('Data - Monthly Commodity Prices'!C$159:C$902,8)</f>
        <v>43586</v>
      </c>
      <c r="B60" s="125">
        <f>SUMIF('Data - Monthly Commodity Prices'!C$62:C$902,A60,'Data - Monthly Commodity Prices'!R$62:R$902)</f>
        <v>24.7</v>
      </c>
      <c r="C60" s="24"/>
      <c r="D60" s="900"/>
      <c r="E60" s="900"/>
      <c r="F60" s="24"/>
      <c r="G60" s="24"/>
    </row>
    <row r="61" spans="1:7">
      <c r="A61" s="1903">
        <f>LARGE('Data - Monthly Commodity Prices'!C$159:C$902,7)</f>
        <v>43617</v>
      </c>
      <c r="B61" s="30">
        <f>SUMIF('Data - Monthly Commodity Prices'!C$62:C$902,A61,'Data - Monthly Commodity Prices'!R$62:R$902)</f>
        <v>25.5</v>
      </c>
      <c r="C61" s="24"/>
      <c r="D61" s="900"/>
      <c r="E61" s="900"/>
      <c r="F61" s="24"/>
      <c r="G61" s="24"/>
    </row>
    <row r="62" spans="1:7">
      <c r="A62" s="1902">
        <f>LARGE('Data - Monthly Commodity Prices'!C$159:C$902,6)</f>
        <v>43647</v>
      </c>
      <c r="B62" s="125">
        <f>SUMIF('Data - Monthly Commodity Prices'!C$62:C$902,A62,'Data - Monthly Commodity Prices'!R$62:R$902)</f>
        <v>25.38</v>
      </c>
      <c r="C62" s="24"/>
      <c r="D62" s="900"/>
      <c r="E62" s="900"/>
      <c r="F62" s="24"/>
      <c r="G62" s="24"/>
    </row>
    <row r="63" spans="1:7">
      <c r="A63" s="1903">
        <f>LARGE('Data - Monthly Commodity Prices'!C$159:C$902,5)</f>
        <v>43678</v>
      </c>
      <c r="B63" s="30">
        <f>SUMIF('Data - Monthly Commodity Prices'!C$62:C$902,A63,'Data - Monthly Commodity Prices'!R$62:R$902)</f>
        <v>25.3</v>
      </c>
      <c r="C63" s="24"/>
      <c r="D63" s="900"/>
      <c r="E63" s="900"/>
      <c r="F63" s="24"/>
      <c r="G63" s="24"/>
    </row>
    <row r="64" spans="1:7">
      <c r="A64" s="1902">
        <f>LARGE('Data - Monthly Commodity Prices'!C$159:C$902,4)</f>
        <v>43709</v>
      </c>
      <c r="B64" s="125">
        <f>SUMIF('Data - Monthly Commodity Prices'!C$62:C$902,A64,'Data - Monthly Commodity Prices'!R$62:R$902)</f>
        <v>25.65</v>
      </c>
      <c r="C64" s="24"/>
      <c r="D64" s="900"/>
      <c r="E64" s="900"/>
      <c r="F64" s="24"/>
      <c r="G64" s="24"/>
    </row>
    <row r="65" spans="1:7">
      <c r="A65" s="1903">
        <f>LARGE('Data - Monthly Commodity Prices'!C$159:C$902,3)</f>
        <v>43739</v>
      </c>
      <c r="B65" s="30">
        <f>SUMIF('Data - Monthly Commodity Prices'!C$62:C$902,A65,'Data - Monthly Commodity Prices'!R$62:R$902)</f>
        <v>24</v>
      </c>
      <c r="C65" s="24"/>
      <c r="D65" s="900"/>
      <c r="E65" s="900"/>
      <c r="F65" s="24"/>
      <c r="G65" s="24"/>
    </row>
    <row r="66" spans="1:7">
      <c r="A66" s="1902">
        <f>LARGE('Data - Monthly Commodity Prices'!C$159:C$902,2)</f>
        <v>43770</v>
      </c>
      <c r="B66" s="125">
        <f>SUMIF('Data - Monthly Commodity Prices'!C$62:C$902,A66,'Data - Monthly Commodity Prices'!R$62:R$902)</f>
        <v>26</v>
      </c>
      <c r="C66" s="24"/>
      <c r="D66" s="900"/>
      <c r="E66" s="900"/>
      <c r="F66" s="24"/>
      <c r="G66" s="24"/>
    </row>
    <row r="67" spans="1:7" ht="15.75" thickBot="1">
      <c r="A67" s="1904">
        <f>LARGE('Data - Monthly Commodity Prices'!C$159:C$902,1)</f>
        <v>43800</v>
      </c>
      <c r="B67" s="29">
        <f>SUMIF('Data - Monthly Commodity Prices'!C$62:C$902,A67,'Data - Monthly Commodity Prices'!R$62:R$902)</f>
        <v>25</v>
      </c>
      <c r="C67" s="24"/>
      <c r="D67" s="900"/>
      <c r="E67" s="900"/>
      <c r="F67" s="24"/>
      <c r="G67" s="24"/>
    </row>
  </sheetData>
  <mergeCells count="7">
    <mergeCell ref="F45:G45"/>
    <mergeCell ref="F46:G46"/>
    <mergeCell ref="A5:B5"/>
    <mergeCell ref="F5:G5"/>
    <mergeCell ref="A6:B6"/>
    <mergeCell ref="F6:G6"/>
    <mergeCell ref="F44:G44"/>
  </mergeCells>
  <dataValidations count="1">
    <dataValidation type="list" allowBlank="1" showInputMessage="1" showErrorMessage="1" promptTitle="Select a Period:" prompt="Select Financial or Calendar years." sqref="F45:G45">
      <formula1>$AA$1:$AA$2</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M100"/>
  <sheetViews>
    <sheetView showGridLines="0" zoomScaleNormal="100" workbookViewId="0">
      <pane ySplit="10" topLeftCell="A11" activePane="bottomLeft" state="frozen"/>
      <selection activeCell="X4" sqref="X4"/>
      <selection pane="bottomLeft"/>
    </sheetView>
  </sheetViews>
  <sheetFormatPr defaultRowHeight="15"/>
  <cols>
    <col min="1" max="1" width="48.85546875" style="229" customWidth="1"/>
    <col min="2" max="2" width="12.85546875" style="239" bestFit="1" customWidth="1"/>
    <col min="3" max="3" width="11.28515625" style="87" customWidth="1"/>
    <col min="4" max="4" width="2.7109375" style="87" bestFit="1" customWidth="1"/>
    <col min="5" max="5" width="15.5703125" style="87" bestFit="1" customWidth="1"/>
    <col min="6" max="6" width="2.7109375" style="229" bestFit="1" customWidth="1"/>
    <col min="7" max="7" width="15" style="87" bestFit="1" customWidth="1"/>
    <col min="8" max="8" width="3.140625" style="87" bestFit="1" customWidth="1"/>
    <col min="9" max="9" width="15.7109375" style="87" customWidth="1"/>
    <col min="10" max="10" width="15.7109375" style="1244" hidden="1" customWidth="1"/>
    <col min="11" max="11" width="3.140625" style="230" customWidth="1"/>
    <col min="12" max="12" width="3.42578125" style="87" customWidth="1"/>
    <col min="13" max="13" width="3.28515625" style="87" customWidth="1"/>
    <col min="14" max="14" width="22" style="87" bestFit="1" customWidth="1"/>
    <col min="15" max="15" width="19.7109375" style="87" bestFit="1" customWidth="1"/>
    <col min="16" max="16" width="10.42578125" style="87" customWidth="1"/>
    <col min="17" max="17" width="17" style="87" bestFit="1" customWidth="1"/>
    <col min="18" max="18" width="11.140625" style="87" customWidth="1"/>
    <col min="19" max="20" width="10.42578125" style="87" customWidth="1"/>
    <col min="21" max="21" width="9.140625" style="87"/>
    <col min="22" max="22" width="26.85546875" style="786" customWidth="1"/>
    <col min="23" max="23" width="10.140625" style="786" customWidth="1"/>
    <col min="24" max="27" width="9.140625" style="786"/>
    <col min="28" max="16384" width="9.140625" style="87"/>
  </cols>
  <sheetData>
    <row r="1" spans="1:39" ht="15.75">
      <c r="V1" s="1506">
        <f>IF(B6="Calendar Year",MAX('CY Q&amp;V 2004-Now'!$C$7:$BY$7),CONCATENATE(MAX('Data - Monthly Commodity Prices'!$A$9:$A$1300)-1,"-",RIGHT(MAX('Data - Monthly Commodity Prices'!$A$9:$A$1300),2)))</f>
        <v>2019</v>
      </c>
      <c r="W1" s="1506">
        <f>IF(B6="Calendar Year",MATCH('Q&amp;V 2 Yr Summary'!V1,'CY Q&amp;V 2004-Now'!$A$7:$GC$7,0),MATCH('Q&amp;V 2 Yr Summary'!V1,'FY Q&amp;V 2003-04 to Now'!$A$7:$GA$7,0))</f>
        <v>33</v>
      </c>
      <c r="X1" s="1507"/>
      <c r="Y1" s="1507"/>
      <c r="AJ1" s="1026" t="str">
        <f>CONCATENATE(IF(LEFT(B8,1)="C",RIGHT(O12,4),RIGHT(O12,7))," Mineral and Petroleum Summary")</f>
        <v>2018 Mineral and Petroleum Summary</v>
      </c>
      <c r="AM1" s="1026" t="str">
        <f>(Q12)&amp;" Mineral and Petroleum Summary"</f>
        <v>Calendar Year 2019 Mineral and Petroleum Summary</v>
      </c>
    </row>
    <row r="2" spans="1:39" ht="15.75">
      <c r="B2" s="229" t="s">
        <v>429</v>
      </c>
      <c r="V2" s="1506">
        <f>IF(B6="Calendar Year",V1-1,CONCATENATE(MAX('Data - Monthly Commodity Prices'!$A$9:$A$1300)-2,"-",RIGHT(MAX('Data - Monthly Commodity Prices'!$A$9:$A$1300)-1,2)))</f>
        <v>2018</v>
      </c>
      <c r="W2" s="1506">
        <f>W1-2</f>
        <v>31</v>
      </c>
      <c r="X2" s="1507"/>
      <c r="Y2" s="1507"/>
      <c r="AJ2" s="1026" t="str">
        <f>CONCATENATE(IF(LEFT(G8,1)="C",RIGHT(Q12,4),RIGHT(Q12,7))," Mineral and Petroleum Summary")</f>
        <v>2019 Mineral and Petroleum Summary</v>
      </c>
      <c r="AM2" s="1026" t="str">
        <f>(O12)&amp;" Mineral and Petroleum Summary"</f>
        <v>Calendar Year 2018 Mineral and Petroleum Summary</v>
      </c>
    </row>
    <row r="3" spans="1:39" ht="28.5">
      <c r="B3" s="229" t="s">
        <v>446</v>
      </c>
      <c r="N3" s="1498"/>
      <c r="V3" s="1506"/>
      <c r="W3" s="1506"/>
      <c r="X3" s="1507"/>
      <c r="Y3" s="1507"/>
      <c r="AJ3" s="1026"/>
    </row>
    <row r="4" spans="1:39" ht="15.75">
      <c r="I4" s="1348"/>
      <c r="V4" s="1507"/>
      <c r="W4" s="1507"/>
      <c r="X4" s="1507"/>
      <c r="Y4" s="1507"/>
      <c r="AJ4" s="1026"/>
    </row>
    <row r="5" spans="1:39" ht="16.5" thickBot="1">
      <c r="A5" s="231" t="s">
        <v>674</v>
      </c>
      <c r="B5" s="237"/>
      <c r="C5" s="230"/>
      <c r="D5" s="230"/>
      <c r="E5" s="230"/>
      <c r="F5" s="232"/>
      <c r="G5" s="230"/>
      <c r="H5" s="230"/>
      <c r="I5" s="230"/>
      <c r="J5" s="1083"/>
      <c r="V5" s="1507"/>
      <c r="W5" s="1507"/>
      <c r="X5" s="1507"/>
      <c r="Y5" s="1507"/>
    </row>
    <row r="6" spans="1:39" s="1244" customFormat="1" ht="15.75" thickBot="1">
      <c r="A6" s="1337" t="s">
        <v>447</v>
      </c>
      <c r="B6" s="1938" t="s">
        <v>429</v>
      </c>
      <c r="C6" s="1939"/>
      <c r="D6" s="1939"/>
      <c r="E6" s="1939"/>
      <c r="F6" s="1940"/>
      <c r="G6" s="1083"/>
      <c r="H6" s="1083"/>
      <c r="I6" s="1083"/>
      <c r="J6" s="1083"/>
      <c r="K6" s="1083"/>
      <c r="V6" s="786"/>
      <c r="W6" s="786"/>
      <c r="X6" s="786"/>
      <c r="Y6" s="786"/>
      <c r="Z6" s="786"/>
      <c r="AA6" s="786"/>
    </row>
    <row r="7" spans="1:39" ht="15.75" thickBot="1">
      <c r="A7" s="232"/>
      <c r="B7" s="237"/>
      <c r="C7" s="230"/>
      <c r="D7" s="230"/>
      <c r="E7" s="230"/>
      <c r="F7" s="232"/>
      <c r="G7" s="230"/>
      <c r="H7" s="230"/>
      <c r="I7" s="230"/>
      <c r="J7" s="1083"/>
    </row>
    <row r="8" spans="1:39" ht="15" customHeight="1">
      <c r="A8" s="1249"/>
      <c r="B8" s="1944" t="str">
        <f>B6&amp;" "&amp;V2</f>
        <v>Calendar Year 2018</v>
      </c>
      <c r="C8" s="1945"/>
      <c r="D8" s="1945"/>
      <c r="E8" s="1945"/>
      <c r="F8" s="1946"/>
      <c r="G8" s="1944" t="str">
        <f>B6&amp;" "&amp;V1</f>
        <v>Calendar Year 2019</v>
      </c>
      <c r="H8" s="1945"/>
      <c r="I8" s="1946"/>
      <c r="J8" s="1338"/>
      <c r="K8" s="948"/>
      <c r="L8" s="948"/>
    </row>
    <row r="9" spans="1:39">
      <c r="A9" s="1250" t="s">
        <v>190</v>
      </c>
      <c r="B9" s="1489" t="s">
        <v>191</v>
      </c>
      <c r="C9" s="1251" t="s">
        <v>192</v>
      </c>
      <c r="D9" s="1251"/>
      <c r="E9" s="1251" t="s">
        <v>331</v>
      </c>
      <c r="F9" s="1252"/>
      <c r="G9" s="1253" t="s">
        <v>192</v>
      </c>
      <c r="H9" s="1251"/>
      <c r="I9" s="1254" t="s">
        <v>331</v>
      </c>
      <c r="J9" s="1251"/>
      <c r="K9" s="948"/>
      <c r="L9" s="948"/>
    </row>
    <row r="10" spans="1:39" ht="15.75" thickBot="1">
      <c r="A10" s="1255"/>
      <c r="B10" s="1490"/>
      <c r="C10" s="1257"/>
      <c r="D10" s="1257"/>
      <c r="E10" s="1257"/>
      <c r="F10" s="1258"/>
      <c r="G10" s="1256"/>
      <c r="H10" s="1257"/>
      <c r="I10" s="1258"/>
      <c r="J10" s="1339"/>
      <c r="K10" s="948"/>
      <c r="L10" s="948"/>
    </row>
    <row r="11" spans="1:39" ht="15.75" thickBot="1">
      <c r="A11" s="1259" t="s">
        <v>577</v>
      </c>
      <c r="B11" s="1491" t="s">
        <v>110</v>
      </c>
      <c r="C11" s="1260">
        <f>IF($B$6="Calendar Year",
INDEX('CY Q&amp;V 2004-Now'!$A$1:$JY$226,$J11,'Q&amp;V 2 Yr Summary'!$W$2),
INDEX('FY Q&amp;V 2003-04 to Now'!$A$1:$JW$224,$J11,'Q&amp;V 2 Yr Summary'!$W$2))</f>
        <v>14979393.800000001</v>
      </c>
      <c r="D11" s="1260"/>
      <c r="E11" s="1260">
        <f>IF($B$6="Calendar Year",
INDEX('CY Q&amp;V 2004-Now'!$A$1:$JY$226,$J11,'Q&amp;V 2 Yr Summary'!$W$2+1),
INDEX('FY Q&amp;V 2003-04 to Now'!$A$1:$JW$224,$J11,'Q&amp;V 2 Yr Summary'!$W$2+1))</f>
        <v>7924854873</v>
      </c>
      <c r="F11" s="1260"/>
      <c r="G11" s="1261">
        <f>IF($B$6="Calendar Year",
INDEX('CY Q&amp;V 2004-Now'!$A$1:$JY$226,$J11,'Q&amp;V 2 Yr Summary'!$W$1),
INDEX('FY Q&amp;V 2003-04 to Now'!$A$1:$JW$224,$J11,'Q&amp;V 2 Yr Summary'!$W$1))</f>
        <v>15880590.683</v>
      </c>
      <c r="H11" s="1260"/>
      <c r="I11" s="1262">
        <f>IF($B$6="Calendar Year",
INDEX('CY Q&amp;V 2004-Now'!$A$1:$JY$226,$J11,'Q&amp;V 2 Yr Summary'!$W$1+1),
INDEX('FY Q&amp;V 2003-04 to Now'!$A$1:$JW$224,$J11,'Q&amp;V 2 Yr Summary'!$W$1+1))</f>
        <v>7358984952</v>
      </c>
      <c r="J11" s="1260">
        <v>14</v>
      </c>
      <c r="K11" s="1535"/>
      <c r="L11" s="1535"/>
      <c r="M11" s="1535"/>
      <c r="N11" s="1535"/>
      <c r="O11" s="1535"/>
      <c r="P11" s="1535"/>
      <c r="Q11" s="1535"/>
      <c r="R11" s="1535"/>
      <c r="S11" s="1535"/>
      <c r="T11" s="1535"/>
      <c r="U11" s="1535"/>
      <c r="AB11" s="1535"/>
      <c r="AC11" s="1535"/>
      <c r="AD11" s="1535"/>
      <c r="AE11" s="1535"/>
      <c r="AF11" s="1535"/>
      <c r="AG11" s="1535"/>
      <c r="AH11" s="1535"/>
      <c r="AI11" s="1535"/>
      <c r="AJ11" s="1535"/>
      <c r="AK11" s="1535"/>
      <c r="AL11" s="1535"/>
      <c r="AM11" s="1535"/>
    </row>
    <row r="12" spans="1:39" ht="15.75" thickBot="1">
      <c r="A12" s="1619"/>
      <c r="B12" s="1494"/>
      <c r="C12" s="1260"/>
      <c r="D12" s="1260"/>
      <c r="E12" s="1260"/>
      <c r="F12" s="1260"/>
      <c r="G12" s="1261"/>
      <c r="H12" s="1260"/>
      <c r="I12" s="1262"/>
      <c r="J12" s="1260"/>
      <c r="K12" s="1083"/>
      <c r="L12" s="1535"/>
      <c r="M12" s="1535"/>
      <c r="N12" s="1280"/>
      <c r="O12" s="1942" t="str">
        <f>B8</f>
        <v>Calendar Year 2018</v>
      </c>
      <c r="P12" s="1943"/>
      <c r="Q12" s="1942" t="str">
        <f>G8</f>
        <v>Calendar Year 2019</v>
      </c>
      <c r="R12" s="1943"/>
      <c r="S12" s="310"/>
      <c r="T12" s="310"/>
      <c r="U12" s="1535"/>
      <c r="AB12" s="1535"/>
      <c r="AC12" s="1535"/>
      <c r="AD12" s="1535"/>
      <c r="AE12" s="1535"/>
      <c r="AF12" s="1535"/>
      <c r="AG12" s="1535"/>
      <c r="AH12" s="1535"/>
      <c r="AI12" s="1535"/>
      <c r="AJ12" s="1535"/>
      <c r="AK12" s="1535"/>
      <c r="AL12" s="1535"/>
      <c r="AM12" s="1535"/>
    </row>
    <row r="13" spans="1:39">
      <c r="A13" s="977" t="s">
        <v>208</v>
      </c>
      <c r="B13" s="1492"/>
      <c r="C13" s="979"/>
      <c r="D13" s="979"/>
      <c r="E13" s="979"/>
      <c r="F13" s="979"/>
      <c r="G13" s="980"/>
      <c r="H13" s="979"/>
      <c r="I13" s="978"/>
      <c r="J13" s="979"/>
      <c r="K13" s="1083"/>
      <c r="L13" s="1535"/>
      <c r="M13" s="1535"/>
      <c r="N13" s="309" t="s">
        <v>420</v>
      </c>
      <c r="O13" s="982">
        <f ca="1">O24-SUM(O18:O22,O14:O17)</f>
        <v>6643766342.2832336</v>
      </c>
      <c r="P13" s="983">
        <f ca="1">O13/$O$24</f>
        <v>5.0989256808008872E-2</v>
      </c>
      <c r="Q13" s="984">
        <f ca="1">Q24-SUM(Q18:Q22,Q14:Q17)</f>
        <v>5924670005.4785156</v>
      </c>
      <c r="R13" s="983">
        <f ca="1">Q13/$Q$24</f>
        <v>3.540361552939171E-2</v>
      </c>
      <c r="S13" s="1535"/>
      <c r="T13" s="1535"/>
      <c r="U13" s="431"/>
      <c r="AB13" s="1535"/>
      <c r="AC13" s="1535"/>
      <c r="AD13" s="1535"/>
      <c r="AE13" s="1535"/>
      <c r="AF13" s="1535"/>
      <c r="AG13" s="1535"/>
      <c r="AH13" s="1535"/>
      <c r="AI13" s="1535"/>
      <c r="AJ13" s="1535"/>
      <c r="AK13" s="1535"/>
      <c r="AL13" s="1535"/>
      <c r="AM13" s="1535"/>
    </row>
    <row r="14" spans="1:39">
      <c r="A14" s="976" t="s">
        <v>332</v>
      </c>
      <c r="B14" s="1493" t="s">
        <v>110</v>
      </c>
      <c r="C14" s="1263">
        <f>IF($B$6="Calendar Year",
INDEX('CY Q&amp;V 2004-Now'!$A$1:$JY$226,$J14,'Q&amp;V 2 Yr Summary'!$W$2),
INDEX('FY Q&amp;V 2003-04 to Now'!$A$1:$JW$224,$J14,'Q&amp;V 2 Yr Summary'!$W$2))</f>
        <v>168585.00300000003</v>
      </c>
      <c r="D14" s="979"/>
      <c r="E14" s="979">
        <f>IF($B$6="Calendar Year",
INDEX('CY Q&amp;V 2004-Now'!$A$1:$JY$226,$J14,'Q&amp;V 2 Yr Summary'!$W$2+1),
INDEX('FY Q&amp;V 2003-04 to Now'!$A$1:$JW$224,$J14,'Q&amp;V 2 Yr Summary'!$W$2+1))</f>
        <v>1349702534</v>
      </c>
      <c r="F14" s="979"/>
      <c r="G14" s="980">
        <f>IF($B$6="Calendar Year",
INDEX('CY Q&amp;V 2004-Now'!$A$1:$JY$226,$J14,'Q&amp;V 2 Yr Summary'!$W$1),
INDEX('FY Q&amp;V 2003-04 to Now'!$A$1:$JW$224,$J14,'Q&amp;V 2 Yr Summary'!$W$1))</f>
        <v>171979.285</v>
      </c>
      <c r="H14" s="979"/>
      <c r="I14" s="978">
        <f>IF($B$6="Calendar Year",
INDEX('CY Q&amp;V 2004-Now'!$A$1:$JY$226,$J14,'Q&amp;V 2 Yr Summary'!$W$1+1),
INDEX('FY Q&amp;V 2003-04 to Now'!$A$1:$JW$224,$J14,'Q&amp;V 2 Yr Summary'!$W$1+1))</f>
        <v>1388796330.0000002</v>
      </c>
      <c r="J14" s="979">
        <f>MATCH(A14,'CY Q&amp;V 2004-Now'!$A$1:$A$91,0)</f>
        <v>17</v>
      </c>
      <c r="K14" s="1083"/>
      <c r="L14" s="1535"/>
      <c r="M14" s="1535"/>
      <c r="N14" s="309" t="s">
        <v>578</v>
      </c>
      <c r="O14" s="982">
        <f t="shared" ref="O14:O24" si="0">VLOOKUP(N14,$A$11:$I$114,5,FALSE)</f>
        <v>7924854873</v>
      </c>
      <c r="P14" s="983">
        <f t="shared" ref="P14:P23" ca="1" si="1">O14/$O$24</f>
        <v>6.0821293144202947E-2</v>
      </c>
      <c r="Q14" s="984">
        <f t="shared" ref="Q14:Q24" si="2">VLOOKUP(N14,$A$11:$I$114,9,FALSE)</f>
        <v>7358984952</v>
      </c>
      <c r="R14" s="983">
        <f t="shared" ref="R14:R23" ca="1" si="3">Q14/$Q$24</f>
        <v>4.3974546039909711E-2</v>
      </c>
      <c r="S14" s="1535"/>
      <c r="T14" s="1535"/>
      <c r="U14" s="1378">
        <f>(Q14-O14)/O14</f>
        <v>-7.1404452203651103E-2</v>
      </c>
      <c r="AB14" s="1535"/>
      <c r="AC14" s="1535"/>
      <c r="AD14" s="1535"/>
      <c r="AE14" s="1535"/>
      <c r="AF14" s="1535"/>
      <c r="AG14" s="1535"/>
      <c r="AH14" s="1535"/>
      <c r="AI14" s="1535"/>
      <c r="AJ14" s="1535"/>
      <c r="AK14" s="1535"/>
      <c r="AL14" s="1535"/>
      <c r="AM14" s="1535"/>
    </row>
    <row r="15" spans="1:39">
      <c r="A15" s="976" t="s">
        <v>333</v>
      </c>
      <c r="B15" s="1493" t="s">
        <v>110</v>
      </c>
      <c r="C15" s="1263">
        <f>IF($B$6="Calendar Year",
INDEX('CY Q&amp;V 2004-Now'!$A$1:$JY$226,$J15,'Q&amp;V 2 Yr Summary'!$W$2),
INDEX('FY Q&amp;V 2003-04 to Now'!$A$1:$JW$224,$J15,'Q&amp;V 2 Yr Summary'!$W$2))</f>
        <v>6091.0000000000009</v>
      </c>
      <c r="D15" s="979"/>
      <c r="E15" s="979">
        <f>IF($B$6="Calendar Year",
INDEX('CY Q&amp;V 2004-Now'!$A$1:$JY$226,$J15,'Q&amp;V 2 Yr Summary'!$W$2+1),
INDEX('FY Q&amp;V 2003-04 to Now'!$A$1:$JW$224,$J15,'Q&amp;V 2 Yr Summary'!$W$2+1))</f>
        <v>17155192</v>
      </c>
      <c r="F15" s="979"/>
      <c r="G15" s="980">
        <f>IF($B$6="Calendar Year",
INDEX('CY Q&amp;V 2004-Now'!$A$1:$JY$226,$J15,'Q&amp;V 2 Yr Summary'!$W$1),
INDEX('FY Q&amp;V 2003-04 to Now'!$A$1:$JW$224,$J15,'Q&amp;V 2 Yr Summary'!$W$1))</f>
        <v>2916.8</v>
      </c>
      <c r="H15" s="979"/>
      <c r="I15" s="978">
        <f>IF($B$6="Calendar Year",
INDEX('CY Q&amp;V 2004-Now'!$A$1:$JY$226,$J15,'Q&amp;V 2 Yr Summary'!$W$1+1),
INDEX('FY Q&amp;V 2003-04 to Now'!$A$1:$JW$224,$J15,'Q&amp;V 2 Yr Summary'!$W$1+1))</f>
        <v>8350650.9999999991</v>
      </c>
      <c r="J15" s="979">
        <f>MATCH(A15,'CY Q&amp;V 2004-Now'!$A$1:$A$91,0)</f>
        <v>18</v>
      </c>
      <c r="K15" s="1083"/>
      <c r="L15" s="1535"/>
      <c r="M15" s="1535"/>
      <c r="N15" s="309" t="s">
        <v>1</v>
      </c>
      <c r="O15" s="982">
        <f t="shared" si="0"/>
        <v>11516482507</v>
      </c>
      <c r="P15" s="983">
        <f t="shared" ca="1" si="1"/>
        <v>8.83861433140887E-2</v>
      </c>
      <c r="Q15" s="984">
        <f t="shared" si="2"/>
        <v>13787397590.999998</v>
      </c>
      <c r="R15" s="983">
        <f t="shared" ca="1" si="3"/>
        <v>8.2388339436839458E-2</v>
      </c>
      <c r="S15" s="1535"/>
      <c r="T15" s="1535"/>
      <c r="U15" s="1378">
        <f>(Q15-O15)/O15</f>
        <v>0.19718825454036684</v>
      </c>
      <c r="AB15" s="1535"/>
      <c r="AC15" s="1535"/>
      <c r="AD15" s="1535"/>
      <c r="AE15" s="1535"/>
      <c r="AF15" s="1535"/>
      <c r="AG15" s="1535"/>
      <c r="AH15" s="1535"/>
      <c r="AI15" s="1535"/>
      <c r="AJ15" s="1535"/>
      <c r="AK15" s="1535"/>
      <c r="AL15" s="1535"/>
      <c r="AM15" s="1535"/>
    </row>
    <row r="16" spans="1:39">
      <c r="A16" s="976" t="s">
        <v>334</v>
      </c>
      <c r="B16" s="1493" t="s">
        <v>110</v>
      </c>
      <c r="C16" s="1263">
        <f>IF($B$6="Calendar Year",
INDEX('CY Q&amp;V 2004-Now'!$A$1:$JY$226,$J16,'Q&amp;V 2 Yr Summary'!$W$1),
INDEX('FY Q&amp;V 2003-04 to Now'!$A$1:$JW$224,$J16,'Q&amp;V 2 Yr Summary'!$W$1))</f>
        <v>76859.00499999999</v>
      </c>
      <c r="D16" s="979"/>
      <c r="E16" s="979">
        <f>IF($B$6="Calendar Year",
INDEX('CY Q&amp;V 2004-Now'!$A$1:$JY$226,$J16,'Q&amp;V 2 Yr Summary'!$W$2+1),
INDEX('FY Q&amp;V 2003-04 to Now'!$A$1:$JW$224,$J16,'Q&amp;V 2 Yr Summary'!$W$2+1))</f>
        <v>256932685</v>
      </c>
      <c r="F16" s="979"/>
      <c r="G16" s="980">
        <f>IF($B$6="Calendar Year",
INDEX('CY Q&amp;V 2004-Now'!$A$1:$JY$226,$J16,'Q&amp;V 2 Yr Summary'!$W$1),
INDEX('FY Q&amp;V 2003-04 to Now'!$A$1:$JW$224,$J16,'Q&amp;V 2 Yr Summary'!$W$1))</f>
        <v>76859.00499999999</v>
      </c>
      <c r="H16" s="979"/>
      <c r="I16" s="978">
        <f>IF($B$6="Calendar Year",
INDEX('CY Q&amp;V 2004-Now'!$A$1:$JY$226,$J16,'Q&amp;V 2 Yr Summary'!$W$1+1),
INDEX('FY Q&amp;V 2003-04 to Now'!$A$1:$JW$224,$J16,'Q&amp;V 2 Yr Summary'!$W$1+1))</f>
        <v>264655282</v>
      </c>
      <c r="J16" s="979">
        <f>MATCH(A16,'CY Q&amp;V 2004-Now'!$A$1:$A$91,0)</f>
        <v>19</v>
      </c>
      <c r="K16" s="1083"/>
      <c r="L16" s="1535"/>
      <c r="M16" s="1535"/>
      <c r="N16" s="309" t="s">
        <v>417</v>
      </c>
      <c r="O16" s="982">
        <f t="shared" si="0"/>
        <v>65236000407.999992</v>
      </c>
      <c r="P16" s="983">
        <f t="shared" ca="1" si="1"/>
        <v>0.50067010285430003</v>
      </c>
      <c r="Q16" s="984">
        <f t="shared" si="2"/>
        <v>97675628392</v>
      </c>
      <c r="R16" s="983">
        <f t="shared" ca="1" si="3"/>
        <v>0.58367308069216395</v>
      </c>
      <c r="S16" s="1535"/>
      <c r="T16" s="1535"/>
      <c r="U16" s="1378">
        <f>(Q16-O16)/O16</f>
        <v>0.4972657394861057</v>
      </c>
      <c r="AB16" s="1535"/>
      <c r="AC16" s="1535"/>
      <c r="AD16" s="1535"/>
      <c r="AE16" s="1535"/>
      <c r="AF16" s="1535"/>
      <c r="AG16" s="1535"/>
      <c r="AH16" s="1535"/>
      <c r="AI16" s="1535"/>
      <c r="AJ16" s="1535"/>
      <c r="AK16" s="1535"/>
      <c r="AL16" s="1535"/>
      <c r="AM16" s="1535"/>
    </row>
    <row r="17" spans="1:22" ht="15.75" thickBot="1">
      <c r="A17" s="975" t="s">
        <v>215</v>
      </c>
      <c r="B17" s="1492"/>
      <c r="C17" s="979"/>
      <c r="D17" s="979"/>
      <c r="E17" s="1263">
        <f>SUM(E14:E16)</f>
        <v>1623790411</v>
      </c>
      <c r="F17" s="979"/>
      <c r="G17" s="980"/>
      <c r="H17" s="979"/>
      <c r="I17" s="978">
        <f>SUM(I14:I16)</f>
        <v>1661802263.0000002</v>
      </c>
      <c r="J17" s="979"/>
      <c r="K17" s="1083"/>
      <c r="L17" s="1535"/>
      <c r="M17" s="1535"/>
      <c r="N17" s="309" t="s">
        <v>3</v>
      </c>
      <c r="O17" s="982">
        <f t="shared" si="0"/>
        <v>2616263650</v>
      </c>
      <c r="P17" s="983">
        <f t="shared" ca="1" si="1"/>
        <v>2.0079173808129919E-2</v>
      </c>
      <c r="Q17" s="984">
        <f t="shared" si="2"/>
        <v>3111135121</v>
      </c>
      <c r="R17" s="983">
        <f t="shared" ca="1" si="3"/>
        <v>1.8590981705651214E-2</v>
      </c>
      <c r="S17" s="1535"/>
      <c r="T17" s="1535"/>
      <c r="U17" s="1378">
        <f>(Q17-O17)/O17</f>
        <v>0.18915198817978457</v>
      </c>
    </row>
    <row r="18" spans="1:22">
      <c r="A18" s="977"/>
      <c r="B18" s="1492"/>
      <c r="C18" s="979"/>
      <c r="D18" s="979"/>
      <c r="E18" s="979"/>
      <c r="F18" s="979"/>
      <c r="G18" s="980"/>
      <c r="H18" s="979"/>
      <c r="I18" s="978"/>
      <c r="J18" s="979"/>
      <c r="K18" s="949"/>
      <c r="L18" s="948"/>
      <c r="N18" s="1285" t="s">
        <v>97</v>
      </c>
      <c r="O18" s="1286">
        <f t="shared" si="0"/>
        <v>5247145453.8666544</v>
      </c>
      <c r="P18" s="1287">
        <f t="shared" ca="1" si="1"/>
        <v>4.0270538317010718E-2</v>
      </c>
      <c r="Q18" s="1288">
        <f t="shared" si="2"/>
        <v>7406381694.2101212</v>
      </c>
      <c r="R18" s="1287">
        <f t="shared" ca="1" si="3"/>
        <v>4.4257771272201332E-2</v>
      </c>
      <c r="U18" s="431"/>
    </row>
    <row r="19" spans="1:22">
      <c r="A19" s="1259" t="s">
        <v>218</v>
      </c>
      <c r="B19" s="1494"/>
      <c r="C19" s="1260">
        <f>IF($B$6="Calendar Year",
INDEX('CY Q&amp;V 2004-Now'!$A$1:$JY$226,$J19,'Q&amp;V 2 Yr Summary'!$W$2),
INDEX('FY Q&amp;V 2003-04 to Now'!$A$1:$JW$224,$J19,'Q&amp;V 2 Yr Summary'!$W$2))</f>
        <v>18898.59</v>
      </c>
      <c r="D19" s="1260"/>
      <c r="E19" s="1260">
        <f>IF($B$6="Calendar Year",
INDEX('CY Q&amp;V 2004-Now'!$A$1:$JY$226,$J19,'Q&amp;V 2 Yr Summary'!$W$2+1),
INDEX('FY Q&amp;V 2003-04 to Now'!$A$1:$JW$224,$J19,'Q&amp;V 2 Yr Summary'!$W$2+1))</f>
        <v>1425918</v>
      </c>
      <c r="F19" s="1262"/>
      <c r="G19" s="1260">
        <f>IF($B$6="Calendar Year",
INDEX('CY Q&amp;V 2004-Now'!$A$1:$JY$230,$J19,'Q&amp;V 2 Yr Summary'!$W$1),
INDEX('FY Q&amp;V 2003-04 to Now'!$A$1:$JY$228,$J19,'Q&amp;V 2 Yr Summary'!$W$1))</f>
        <v>19616.55</v>
      </c>
      <c r="H19" s="1260"/>
      <c r="I19" s="1262">
        <f>IF($B$6="Calendar Year",
INDEX('CY Q&amp;V 2004-Now'!$A$1:$JY$230,$J19,'Q&amp;V 2 Yr Summary'!$W$1+1),
INDEX('FY Q&amp;V 2003-04 to Now'!$A$1:$JY$228,$J19,'Q&amp;V 2 Yr Summary'!$W$1+1))</f>
        <v>1944713</v>
      </c>
      <c r="J19" s="1260">
        <f>MATCH(A19,'CY Q&amp;V 2004-Now'!$A$1:$A$91,0)</f>
        <v>24</v>
      </c>
      <c r="K19" s="949"/>
      <c r="L19" s="948"/>
      <c r="N19" s="1289" t="s">
        <v>151</v>
      </c>
      <c r="O19" s="1290">
        <f t="shared" si="0"/>
        <v>1585068033.9181547</v>
      </c>
      <c r="P19" s="1291">
        <f t="shared" ca="1" si="1"/>
        <v>1.2165003535004357E-2</v>
      </c>
      <c r="Q19" s="1292">
        <f t="shared" si="2"/>
        <v>1698004187.6200366</v>
      </c>
      <c r="R19" s="1291">
        <f t="shared" ca="1" si="3"/>
        <v>1.0146638947014494E-2</v>
      </c>
      <c r="U19" s="431"/>
    </row>
    <row r="20" spans="1:22">
      <c r="A20" s="1259"/>
      <c r="B20" s="1494"/>
      <c r="C20" s="1260"/>
      <c r="D20" s="1260"/>
      <c r="E20" s="1260"/>
      <c r="F20" s="1260"/>
      <c r="G20" s="1261"/>
      <c r="H20" s="1260"/>
      <c r="I20" s="1262"/>
      <c r="J20" s="1260"/>
      <c r="K20" s="949"/>
      <c r="L20" s="948"/>
      <c r="N20" s="1289" t="s">
        <v>96</v>
      </c>
      <c r="O20" s="1290">
        <f t="shared" si="0"/>
        <v>2200842908.2207103</v>
      </c>
      <c r="P20" s="1291">
        <f t="shared" ca="1" si="1"/>
        <v>1.6890922777814756E-2</v>
      </c>
      <c r="Q20" s="1292">
        <f t="shared" si="2"/>
        <v>2715232612.7344885</v>
      </c>
      <c r="R20" s="1291">
        <f t="shared" ca="1" si="3"/>
        <v>1.622521615638128E-2</v>
      </c>
    </row>
    <row r="21" spans="1:22">
      <c r="A21" s="1620" t="s">
        <v>230</v>
      </c>
      <c r="B21" s="1621"/>
      <c r="C21" s="1263">
        <f ca="1">IF($B$6="Calendar Year",
INDEX('CY Q&amp;V 2004-Now'!$A$1:$JY$226,$J21,'Q&amp;V 2 Yr Summary'!$W$2),
INDEX('FY Q&amp;V 2003-04 to Now'!$A$1:$JW$224,$J21,'Q&amp;V 2 Yr Summary'!$W$2))</f>
        <v>6465666.2699999986</v>
      </c>
      <c r="D21" s="1263"/>
      <c r="E21" s="1263">
        <f ca="1">IF($B$6="Calendar Year",
INDEX('CY Q&amp;V 2004-Now'!$A$1:$JY$226,$J21,'Q&amp;V 2 Yr Summary'!$W$2+1),
INDEX('FY Q&amp;V 2003-04 to Now'!$A$1:$JW$224,$J21,'Q&amp;V 2 Yr Summary'!$W$2+1))</f>
        <v>327376363.99999994</v>
      </c>
      <c r="F21" s="1263"/>
      <c r="G21" s="1623">
        <f ca="1">IF($B$6="Calendar Year",
INDEX('CY Q&amp;V 2004-Now'!$A$1:$JY$230,$J21,'Q&amp;V 2 Yr Summary'!$W$1),
INDEX('FY Q&amp;V 2003-04 to Now'!$A$1:$JY$228,$J21,'Q&amp;V 2 Yr Summary'!$W$1))</f>
        <v>6239250.9469999997</v>
      </c>
      <c r="H21" s="1263"/>
      <c r="I21" s="1622">
        <f ca="1">IF($B$6="Calendar Year",
INDEX('CY Q&amp;V 2004-Now'!$A$1:$JY$230,$J21,'Q&amp;V 2 Yr Summary'!$W$1+1),
INDEX('FY Q&amp;V 2003-04 to Now'!$A$1:$JY$228,$J21,'Q&amp;V 2 Yr Summary'!$W$1+1))</f>
        <v>323369284</v>
      </c>
      <c r="J21" s="1260">
        <f>MATCH(A21,'CY Q&amp;V 2004-Now'!$A$1:$A$91,0)</f>
        <v>26</v>
      </c>
      <c r="K21" s="949"/>
      <c r="L21" s="948"/>
      <c r="N21" s="1297" t="s">
        <v>346</v>
      </c>
      <c r="O21" s="1290">
        <f t="shared" si="0"/>
        <v>348824394.21846777</v>
      </c>
      <c r="P21" s="1291">
        <f t="shared" ca="1" si="1"/>
        <v>2.6771406008825769E-3</v>
      </c>
      <c r="Q21" s="1292">
        <f t="shared" si="2"/>
        <v>274240157.70186311</v>
      </c>
      <c r="R21" s="1291">
        <f t="shared" ca="1" si="3"/>
        <v>1.6387567741357001E-3</v>
      </c>
    </row>
    <row r="22" spans="1:22" ht="15.75" thickBot="1">
      <c r="A22" s="1624"/>
      <c r="B22" s="1621"/>
      <c r="C22" s="1263"/>
      <c r="D22" s="1263"/>
      <c r="E22" s="1263"/>
      <c r="F22" s="1263"/>
      <c r="G22" s="1623"/>
      <c r="H22" s="1263"/>
      <c r="I22" s="1622"/>
      <c r="J22" s="1260"/>
      <c r="K22" s="949"/>
      <c r="L22" s="948"/>
      <c r="N22" s="1293" t="s">
        <v>345</v>
      </c>
      <c r="O22" s="1294">
        <f t="shared" si="0"/>
        <v>26978126958.992531</v>
      </c>
      <c r="P22" s="1295">
        <f t="shared" ca="1" si="1"/>
        <v>0.20705042484055708</v>
      </c>
      <c r="Q22" s="1296">
        <f t="shared" si="2"/>
        <v>27394793066.075848</v>
      </c>
      <c r="R22" s="1295">
        <f t="shared" ca="1" si="3"/>
        <v>0.1637010534463112</v>
      </c>
    </row>
    <row r="23" spans="1:22" ht="15.75" thickBot="1">
      <c r="A23" s="1259" t="s">
        <v>231</v>
      </c>
      <c r="B23" s="1494"/>
      <c r="C23" s="1260"/>
      <c r="D23" s="1260"/>
      <c r="E23" s="1260"/>
      <c r="F23" s="1260"/>
      <c r="G23" s="1261"/>
      <c r="H23" s="1260"/>
      <c r="I23" s="1262"/>
      <c r="J23" s="979"/>
      <c r="K23" s="949"/>
      <c r="L23" s="948"/>
      <c r="N23" s="1298" t="s">
        <v>419</v>
      </c>
      <c r="O23" s="1299">
        <f t="shared" si="0"/>
        <v>36360007749.216515</v>
      </c>
      <c r="P23" s="1300">
        <f t="shared" ca="1" si="1"/>
        <v>0.27905403007126944</v>
      </c>
      <c r="Q23" s="1301">
        <f t="shared" si="2"/>
        <v>39488651718.342361</v>
      </c>
      <c r="R23" s="1300">
        <f t="shared" ca="1" si="3"/>
        <v>0.23596943659604402</v>
      </c>
      <c r="V23" s="1508"/>
    </row>
    <row r="24" spans="1:22" ht="15.75" thickBot="1">
      <c r="A24" s="1267" t="s">
        <v>335</v>
      </c>
      <c r="B24" s="1491" t="s">
        <v>110</v>
      </c>
      <c r="C24" s="1260">
        <f>IF($B$6="Calendar Year",
INDEX('CY Q&amp;V 2004-Now'!$A$1:$JY$230,$J24,'Q&amp;V 2 Yr Summary'!$W$2),
INDEX('FY Q&amp;V 2003-04 to Now'!$A$1:$JY$228,$J24,'Q&amp;V 2 Yr Summary'!$W$2))</f>
        <v>1449719.564</v>
      </c>
      <c r="D24" s="1260"/>
      <c r="E24" s="1260">
        <f>IF($B$6="Calendar Year",
INDEX('CY Q&amp;V 2004-Now'!$A$1:$JY$230,$J24,'Q&amp;V 2 Yr Summary'!$W$2+1),
INDEX('FY Q&amp;V 2003-04 to Now'!$A$1:$JY$228,$J24,'Q&amp;V 2 Yr Summary'!$W$2+1))</f>
        <v>45326644.450499997</v>
      </c>
      <c r="F24" s="1260"/>
      <c r="G24" s="1261">
        <f>IF($B$6="Calendar Year",
INDEX('CY Q&amp;V 2004-Now'!$A$1:$JY$230,$J24,'Q&amp;V 2 Yr Summary'!$W$1),
INDEX('FY Q&amp;V 2003-04 to Now'!$A$1:$JY$228,$J24,'Q&amp;V 2 Yr Summary'!$W$1))</f>
        <v>1992441.3299999998</v>
      </c>
      <c r="H24" s="1260"/>
      <c r="I24" s="1262">
        <f>IF($B$6="Calendar Year",
INDEX('CY Q&amp;V 2004-Now'!$A$1:$JY$230,$J24,'Q&amp;V 2 Yr Summary'!$W$1+1),
INDEX('FY Q&amp;V 2003-04 to Now'!$A$1:$JY$228,$J24,'Q&amp;V 2 Yr Summary'!$W$1+1))</f>
        <v>60859880.158939555</v>
      </c>
      <c r="J24" s="979">
        <f>MATCH(A24,'CY Q&amp;V 2004-Now'!$A$1:$A$91,0)</f>
        <v>29</v>
      </c>
      <c r="K24" s="949"/>
      <c r="L24" s="948"/>
      <c r="N24" s="1281" t="s">
        <v>418</v>
      </c>
      <c r="O24" s="1282">
        <f t="shared" ca="1" si="0"/>
        <v>130297375529.49976</v>
      </c>
      <c r="P24" s="1283"/>
      <c r="Q24" s="1284">
        <f t="shared" ca="1" si="2"/>
        <v>167346467779.82086</v>
      </c>
      <c r="R24" s="1283"/>
    </row>
    <row r="25" spans="1:22">
      <c r="A25" s="1267" t="s">
        <v>336</v>
      </c>
      <c r="B25" s="1491" t="s">
        <v>110</v>
      </c>
      <c r="C25" s="1260">
        <f>IF($B$6="Calendar Year",
INDEX('CY Q&amp;V 2004-Now'!$A$1:$JY$230,$J25,'Q&amp;V 2 Yr Summary'!$W$2),
INDEX('FY Q&amp;V 2003-04 to Now'!$A$1:$JY$228,$J25,'Q&amp;V 2 Yr Summary'!$W$2))</f>
        <v>134007.35</v>
      </c>
      <c r="D25" s="1260"/>
      <c r="E25" s="1260">
        <f>IF($B$6="Calendar Year",
INDEX('CY Q&amp;V 2004-Now'!$A$1:$JY$230,$J25,'Q&amp;V 2 Yr Summary'!$W$2+1),
INDEX('FY Q&amp;V 2003-04 to Now'!$A$1:$JY$228,$J25,'Q&amp;V 2 Yr Summary'!$W$2+1))</f>
        <v>1644366.3424</v>
      </c>
      <c r="F25" s="1260"/>
      <c r="G25" s="1261">
        <f>IF($B$6="Calendar Year",
INDEX('CY Q&amp;V 2004-Now'!$A$1:$JY$230,$J25,'Q&amp;V 2 Yr Summary'!$W$1),
INDEX('FY Q&amp;V 2003-04 to Now'!$A$1:$JY$228,$J25,'Q&amp;V 2 Yr Summary'!$W$1))</f>
        <v>159023.08999999997</v>
      </c>
      <c r="H25" s="1260"/>
      <c r="I25" s="1262">
        <f>IF($B$6="Calendar Year",
INDEX('CY Q&amp;V 2004-Now'!$A$1:$JY$230,$J25,'Q&amp;V 2 Yr Summary'!$W$1+1),
INDEX('FY Q&amp;V 2003-04 to Now'!$A$1:$JY$228,$J25,'Q&amp;V 2 Yr Summary'!$W$1+1))</f>
        <v>2116682.7993763783</v>
      </c>
      <c r="J25" s="979">
        <f>MATCH(A25,'CY Q&amp;V 2004-Now'!$A$1:$A$91,0)</f>
        <v>30</v>
      </c>
      <c r="K25" s="948"/>
      <c r="L25" s="948"/>
    </row>
    <row r="26" spans="1:22">
      <c r="A26" s="1267" t="s">
        <v>337</v>
      </c>
      <c r="B26" s="1491" t="s">
        <v>110</v>
      </c>
      <c r="C26" s="1260">
        <f>IF($B$6="Calendar Year",
INDEX('CY Q&amp;V 2004-Now'!$A$1:$JY$230,$J26,'Q&amp;V 2 Yr Summary'!$W$2),
INDEX('FY Q&amp;V 2003-04 to Now'!$A$1:$JY$228,$J26,'Q&amp;V 2 Yr Summary'!$W$2))</f>
        <v>210560.61</v>
      </c>
      <c r="D26" s="1260"/>
      <c r="E26" s="1260">
        <f>IF($B$6="Calendar Year",
INDEX('CY Q&amp;V 2004-Now'!$A$1:$JY$230,$J26,'Q&amp;V 2 Yr Summary'!$W$2+1),
INDEX('FY Q&amp;V 2003-04 to Now'!$A$1:$JY$228,$J26,'Q&amp;V 2 Yr Summary'!$W$2+1))</f>
        <v>3606588.5500000003</v>
      </c>
      <c r="F26" s="1260"/>
      <c r="G26" s="1261">
        <f>IF($B$6="Calendar Year",
INDEX('CY Q&amp;V 2004-Now'!$A$1:$JY$230,$J26,'Q&amp;V 2 Yr Summary'!$W$1),
INDEX('FY Q&amp;V 2003-04 to Now'!$A$1:$JY$228,$J26,'Q&amp;V 2 Yr Summary'!$W$1))</f>
        <v>300377.33</v>
      </c>
      <c r="H26" s="1260"/>
      <c r="I26" s="1262">
        <f>IF($B$6="Calendar Year",
INDEX('CY Q&amp;V 2004-Now'!$A$1:$JY$230,$J26,'Q&amp;V 2 Yr Summary'!$W$1+1),
INDEX('FY Q&amp;V 2003-04 to Now'!$A$1:$JY$228,$J26,'Q&amp;V 2 Yr Summary'!$W$1+1))</f>
        <v>3145018.4337779004</v>
      </c>
      <c r="J26" s="979">
        <f>MATCH(A26,'CY Q&amp;V 2004-Now'!$A$1:$A$91,0)</f>
        <v>31</v>
      </c>
      <c r="K26" s="948"/>
      <c r="L26" s="948"/>
    </row>
    <row r="27" spans="1:22">
      <c r="A27" s="1267" t="s">
        <v>338</v>
      </c>
      <c r="B27" s="1491" t="s">
        <v>110</v>
      </c>
      <c r="C27" s="1260">
        <f>IF($B$6="Calendar Year",
INDEX('CY Q&amp;V 2004-Now'!$A$1:$JY$230,$J27,'Q&amp;V 2 Yr Summary'!$W$2),
INDEX('FY Q&amp;V 2003-04 to Now'!$A$1:$JY$228,$J27,'Q&amp;V 2 Yr Summary'!$W$2))</f>
        <v>3600175.1149999998</v>
      </c>
      <c r="D27" s="1260"/>
      <c r="E27" s="1260">
        <f>IF($B$6="Calendar Year",
INDEX('CY Q&amp;V 2004-Now'!$A$1:$JY$230,$J27,'Q&amp;V 2 Yr Summary'!$W$2+1),
INDEX('FY Q&amp;V 2003-04 to Now'!$A$1:$JY$228,$J27,'Q&amp;V 2 Yr Summary'!$W$2+1))</f>
        <v>28671842.866500001</v>
      </c>
      <c r="F27" s="1260"/>
      <c r="G27" s="1261">
        <f>IF($B$6="Calendar Year",
INDEX('CY Q&amp;V 2004-Now'!$A$1:$JY$230,$J27,'Q&amp;V 2 Yr Summary'!$W$1),
INDEX('FY Q&amp;V 2003-04 to Now'!$A$1:$JY$228,$J27,'Q&amp;V 2 Yr Summary'!$W$1))</f>
        <v>2086893.6599999997</v>
      </c>
      <c r="H27" s="1260"/>
      <c r="I27" s="1262">
        <f>IF($B$6="Calendar Year",
INDEX('CY Q&amp;V 2004-Now'!$A$1:$JY$230,$J27,'Q&amp;V 2 Yr Summary'!$W$1+1),
INDEX('FY Q&amp;V 2003-04 to Now'!$A$1:$JY$228,$J27,'Q&amp;V 2 Yr Summary'!$W$1+1))</f>
        <v>29565869.215051804</v>
      </c>
      <c r="J27" s="979">
        <f>MATCH(A27,'CY Q&amp;V 2004-Now'!$A$1:$A$91,0)</f>
        <v>32</v>
      </c>
      <c r="K27" s="948"/>
      <c r="L27" s="948"/>
    </row>
    <row r="28" spans="1:22">
      <c r="A28" s="1267" t="s">
        <v>233</v>
      </c>
      <c r="B28" s="1494"/>
      <c r="C28" s="1260"/>
      <c r="D28" s="1260"/>
      <c r="E28" s="1260">
        <f>SUM(E24:E27)</f>
        <v>79249442.209399998</v>
      </c>
      <c r="F28" s="1260"/>
      <c r="G28" s="1261"/>
      <c r="H28" s="1260"/>
      <c r="I28" s="1262">
        <f>SUM(I24:I27)</f>
        <v>95687450.607145637</v>
      </c>
      <c r="J28" s="979"/>
      <c r="K28" s="948"/>
      <c r="L28" s="948"/>
    </row>
    <row r="29" spans="1:22">
      <c r="A29" s="1266"/>
      <c r="B29" s="1494"/>
      <c r="C29" s="1260"/>
      <c r="D29" s="1260"/>
      <c r="E29" s="1260"/>
      <c r="F29" s="1260"/>
      <c r="G29" s="1261"/>
      <c r="H29" s="1260"/>
      <c r="I29" s="1262"/>
      <c r="J29" s="979"/>
      <c r="K29" s="948"/>
      <c r="L29" s="948"/>
    </row>
    <row r="30" spans="1:22">
      <c r="A30" s="1620" t="s">
        <v>234</v>
      </c>
      <c r="B30" s="1628" t="s">
        <v>235</v>
      </c>
      <c r="C30" s="1263">
        <f ca="1">IF($B$6="Calendar Year",
INDEX('CY Q&amp;V 2004-Now'!$A$1:$JY$230,$J30,'Q&amp;V 2 Yr Summary'!$W$2),
INDEX('FY Q&amp;V 2003-04 to Now'!$A$1:$JY$228,$J30,'Q&amp;V 2 Yr Summary'!$W$2))</f>
        <v>15977354.379999999</v>
      </c>
      <c r="D30" s="1263"/>
      <c r="E30" s="1263">
        <f ca="1">IF($B$6="Calendar Year",
INDEX('CY Q&amp;V 2004-Now'!$A$1:$JY$230,$J30,'Q&amp;V 2 Yr Summary'!$W$2+1),
INDEX('FY Q&amp;V 2003-04 to Now'!$A$1:$JY$228,$J30,'Q&amp;V 2 Yr Summary'!$W$2+1))</f>
        <v>258785252</v>
      </c>
      <c r="F30" s="1263"/>
      <c r="G30" s="1623">
        <f ca="1">IF($B$6="Calendar Year",
INDEX('CY Q&amp;V 2004-Now'!$A$1:$JY$230,$J30,'Q&amp;V 2 Yr Summary'!$W$1),
INDEX('FY Q&amp;V 2003-04 to Now'!$A$1:$JY$228,$J30,'Q&amp;V 2 Yr Summary'!$W$1))</f>
        <v>15763761.609999999</v>
      </c>
      <c r="H30" s="1263"/>
      <c r="I30" s="1622">
        <f ca="1">IF($B$6="Calendar Year",
INDEX('CY Q&amp;V 2004-Now'!$A$1:$JY$230,$J30,'Q&amp;V 2 Yr Summary'!$W$1+1),
INDEX('FY Q&amp;V 2003-04 to Now'!$A$1:$JY$228,$J30,'Q&amp;V 2 Yr Summary'!$W$1+1))</f>
        <v>251020052.99999997</v>
      </c>
      <c r="J30" s="1260">
        <f>MATCH(A30,'CY Q&amp;V 2004-Now'!$A$1:$A$91,0)</f>
        <v>36</v>
      </c>
      <c r="K30" s="948"/>
      <c r="L30" s="948"/>
    </row>
    <row r="31" spans="1:22">
      <c r="A31" s="1624"/>
      <c r="B31" s="1621"/>
      <c r="C31" s="1263"/>
      <c r="D31" s="1263"/>
      <c r="E31" s="1263"/>
      <c r="F31" s="1263"/>
      <c r="G31" s="1623"/>
      <c r="H31" s="1263"/>
      <c r="I31" s="1622"/>
      <c r="J31" s="1260"/>
      <c r="K31" s="948"/>
      <c r="L31" s="948"/>
    </row>
    <row r="32" spans="1:22">
      <c r="A32" s="1259" t="s">
        <v>237</v>
      </c>
      <c r="B32" s="1494"/>
      <c r="C32" s="1260">
        <f>IF($B$6="Calendar Year",
INDEX('CY Q&amp;V 2004-Now'!$A$1:$JY$230,$J32,'Q&amp;V 2 Yr Summary'!$W$2),
INDEX('FY Q&amp;V 2003-04 to Now'!$A$1:$JY$228,$J32,'Q&amp;V 2 Yr Summary'!$W$2))</f>
        <v>8873.75</v>
      </c>
      <c r="D32" s="1260"/>
      <c r="E32" s="1260">
        <f>IF($B$6="Calendar Year",
INDEX('CY Q&amp;V 2004-Now'!$A$1:$JY$230,$J32,'Q&amp;V 2 Yr Summary'!$W$2+1),
INDEX('FY Q&amp;V 2003-04 to Now'!$A$1:$JY$228,$J32,'Q&amp;V 2 Yr Summary'!$W$2+1))</f>
        <v>2204050</v>
      </c>
      <c r="F32" s="1260"/>
      <c r="G32" s="1261">
        <f>IF($B$6="Calendar Year",
INDEX('CY Q&amp;V 2004-Now'!$A$1:$JY$230,$J32,'Q&amp;V 2 Yr Summary'!$W$1),
INDEX('FY Q&amp;V 2003-04 to Now'!$A$1:$JY$228,$J32,'Q&amp;V 2 Yr Summary'!$W$1))</f>
        <v>5660.7350000000006</v>
      </c>
      <c r="H32" s="1260"/>
      <c r="I32" s="1262">
        <f>IF($B$6="Calendar Year",
INDEX('CY Q&amp;V 2004-Now'!$A$1:$JY$230,$J32,'Q&amp;V 2 Yr Summary'!$W$1+1),
INDEX('FY Q&amp;V 2003-04 to Now'!$A$1:$JY$228,$J32,'Q&amp;V 2 Yr Summary'!$W$1+1))</f>
        <v>1593150.1332764172</v>
      </c>
      <c r="J32" s="979">
        <f>MATCH(A32,'CY Q&amp;V 2004-Now'!$A$1:$A$91,0)</f>
        <v>38</v>
      </c>
      <c r="K32" s="948"/>
      <c r="L32" s="948"/>
    </row>
    <row r="33" spans="1:27">
      <c r="A33" s="1266"/>
      <c r="B33" s="1494"/>
      <c r="C33" s="1260"/>
      <c r="D33" s="1260"/>
      <c r="E33" s="1260"/>
      <c r="F33" s="1260"/>
      <c r="G33" s="1261"/>
      <c r="H33" s="1260"/>
      <c r="I33" s="1262"/>
      <c r="J33" s="979"/>
      <c r="K33" s="948"/>
      <c r="L33" s="948"/>
    </row>
    <row r="34" spans="1:27">
      <c r="A34" s="1620" t="s">
        <v>248</v>
      </c>
      <c r="B34" s="1629" t="s">
        <v>196</v>
      </c>
      <c r="C34" s="1263">
        <f>IF($B$6="Calendar Year",
INDEX('CY Q&amp;V 2004-Now'!$A$1:$JY$230,$J34,'Q&amp;V 2 Yr Summary'!$W$2),
INDEX('FY Q&amp;V 2003-04 to Now'!$A$1:$JY$228,$J34,'Q&amp;V 2 Yr Summary'!$W$2))</f>
        <v>176428.598</v>
      </c>
      <c r="D34" s="1263"/>
      <c r="E34" s="1263">
        <f>IF($B$6="Calendar Year",
INDEX('CY Q&amp;V 2004-Now'!$A$1:$JY$230,$J34,'Q&amp;V 2 Yr Summary'!$W$2+1),
INDEX('FY Q&amp;V 2003-04 to Now'!$A$1:$JY$228,$J34,'Q&amp;V 2 Yr Summary'!$W$2+1))</f>
        <v>272125</v>
      </c>
      <c r="F34" s="1263"/>
      <c r="G34" s="1623">
        <f>IF($B$6="Calendar Year",
INDEX('CY Q&amp;V 2004-Now'!$A$1:$JY$230,$J34,'Q&amp;V 2 Yr Summary'!$W$1),
INDEX('FY Q&amp;V 2003-04 to Now'!$A$1:$JY$228,$J34,'Q&amp;V 2 Yr Summary'!$W$1))</f>
        <v>210882.95300000001</v>
      </c>
      <c r="H34" s="1263"/>
      <c r="I34" s="1622">
        <f>IF($B$6="Calendar Year",
INDEX('CY Q&amp;V 2004-Now'!$A$1:$JY$230,$J34,'Q&amp;V 2 Yr Summary'!$W$1+1),
INDEX('FY Q&amp;V 2003-04 to Now'!$A$1:$JY$228,$J34,'Q&amp;V 2 Yr Summary'!$W$1+1))</f>
        <v>467379</v>
      </c>
      <c r="J34" s="1260">
        <f>MATCH(A34,'CY Q&amp;V 2004-Now'!$A$1:$A$91,0)</f>
        <v>40</v>
      </c>
      <c r="K34" s="948"/>
      <c r="L34" s="948"/>
    </row>
    <row r="35" spans="1:27">
      <c r="A35" s="1624"/>
      <c r="B35" s="1621"/>
      <c r="C35" s="1263"/>
      <c r="D35" s="1263"/>
      <c r="E35" s="1263"/>
      <c r="F35" s="1263"/>
      <c r="G35" s="1623"/>
      <c r="H35" s="1263"/>
      <c r="I35" s="1622"/>
      <c r="J35" s="1260"/>
      <c r="K35" s="948"/>
      <c r="L35" s="948"/>
    </row>
    <row r="36" spans="1:27">
      <c r="A36" s="1259" t="s">
        <v>269</v>
      </c>
      <c r="B36" s="1491" t="s">
        <v>196</v>
      </c>
      <c r="C36" s="1260">
        <f>IF($B$6="Calendar Year",
INDEX('CY Q&amp;V 2004-Now'!$A$1:$JY$230,$J36,'Q&amp;V 2 Yr Summary'!$W$2),
INDEX('FY Q&amp;V 2003-04 to Now'!$A$1:$JY$228,$J36,'Q&amp;V 2 Yr Summary'!$W$2))</f>
        <v>212115.83091331137</v>
      </c>
      <c r="D36" s="1260"/>
      <c r="E36" s="1260">
        <f>IF($B$6="Calendar Year",
INDEX('CY Q&amp;V 2004-Now'!$A$1:$JY$230,$J36,'Q&amp;V 2 Yr Summary'!$W$2+1),
INDEX('FY Q&amp;V 2003-04 to Now'!$A$1:$JY$228,$J36,'Q&amp;V 2 Yr Summary'!$W$2+1))</f>
        <v>11516482507</v>
      </c>
      <c r="F36" s="1260"/>
      <c r="G36" s="1261">
        <f>IF($B$6="Calendar Year",
INDEX('CY Q&amp;V 2004-Now'!$A$1:$JY$230,$J36,'Q&amp;V 2 Yr Summary'!$W$1),
INDEX('FY Q&amp;V 2003-04 to Now'!$A$1:$JY$228,$J36,'Q&amp;V 2 Yr Summary'!$W$1))</f>
        <v>218826.82638325135</v>
      </c>
      <c r="H36" s="1260"/>
      <c r="I36" s="1262">
        <f>IF($B$6="Calendar Year",
INDEX('CY Q&amp;V 2004-Now'!$A$1:$JY$230,$J36,'Q&amp;V 2 Yr Summary'!$W$1+1),
INDEX('FY Q&amp;V 2003-04 to Now'!$A$1:$JY$228,$J36,'Q&amp;V 2 Yr Summary'!$W$1+1))</f>
        <v>13787397590.999998</v>
      </c>
      <c r="J36" s="979">
        <f>MATCH(A36,'CY Q&amp;V 2004-Now'!$A$1:$A$91,0)</f>
        <v>42</v>
      </c>
      <c r="K36" s="948"/>
      <c r="L36" s="948"/>
    </row>
    <row r="37" spans="1:27">
      <c r="A37" s="1264"/>
      <c r="B37" s="1491"/>
      <c r="C37" s="1260"/>
      <c r="D37" s="1260"/>
      <c r="E37" s="1260"/>
      <c r="F37" s="1260"/>
      <c r="G37" s="1625"/>
      <c r="H37" s="1626"/>
      <c r="I37" s="1627"/>
      <c r="J37" s="1265"/>
      <c r="K37" s="948"/>
      <c r="L37" s="948"/>
    </row>
    <row r="38" spans="1:27">
      <c r="A38" s="1620" t="s">
        <v>271</v>
      </c>
      <c r="B38" s="1629" t="s">
        <v>110</v>
      </c>
      <c r="C38" s="1263">
        <f>IF($B$6="Calendar Year",
INDEX('CY Q&amp;V 2004-Now'!$A$1:$JY$230,$J38,'Q&amp;V 2 Yr Summary'!$W$2),
INDEX('FY Q&amp;V 2003-04 to Now'!$A$1:$JY$228,$J38,'Q&amp;V 2 Yr Summary'!$W$2))</f>
        <v>854540.97000000009</v>
      </c>
      <c r="D38" s="1263"/>
      <c r="E38" s="1263">
        <f>IF($B$6="Calendar Year",
INDEX('CY Q&amp;V 2004-Now'!$A$1:$JY$230,$J38,'Q&amp;V 2 Yr Summary'!$W$2+1),
INDEX('FY Q&amp;V 2003-04 to Now'!$A$1:$JY$228,$J38,'Q&amp;V 2 Yr Summary'!$W$2+1))</f>
        <v>18831156.906199999</v>
      </c>
      <c r="F38" s="1263"/>
      <c r="G38" s="1623">
        <f>IF($B$6="Calendar Year",
INDEX('CY Q&amp;V 2004-Now'!$A$1:$JY$230,$J38,'Q&amp;V 2 Yr Summary'!$W$1),
INDEX('FY Q&amp;V 2003-04 to Now'!$A$1:$JY$228,$J38,'Q&amp;V 2 Yr Summary'!$W$1))</f>
        <v>1072149.3600000001</v>
      </c>
      <c r="H38" s="1263"/>
      <c r="I38" s="1622">
        <f>IF($B$6="Calendar Year",
INDEX('CY Q&amp;V 2004-Now'!$A$1:$JY$230,$J38,'Q&amp;V 2 Yr Summary'!$W$1+1),
INDEX('FY Q&amp;V 2003-04 to Now'!$A$1:$JY$228,$J38,'Q&amp;V 2 Yr Summary'!$W$1+1))</f>
        <v>25632045.834297538</v>
      </c>
      <c r="J38" s="1260">
        <f>MATCH(A38,'CY Q&amp;V 2004-Now'!$A$1:$A$91,0)</f>
        <v>44</v>
      </c>
      <c r="K38" s="948"/>
      <c r="L38" s="948"/>
    </row>
    <row r="39" spans="1:27">
      <c r="A39" s="1620"/>
      <c r="B39" s="1629"/>
      <c r="C39" s="1263"/>
      <c r="D39" s="1263"/>
      <c r="E39" s="1263"/>
      <c r="F39" s="1263"/>
      <c r="G39" s="1623"/>
      <c r="H39" s="1263"/>
      <c r="I39" s="1622"/>
      <c r="J39" s="1260"/>
      <c r="K39" s="948"/>
      <c r="L39" s="948"/>
    </row>
    <row r="40" spans="1:27">
      <c r="A40" s="1259" t="s">
        <v>541</v>
      </c>
      <c r="B40" s="1494"/>
      <c r="C40" s="1260"/>
      <c r="D40" s="1260"/>
      <c r="E40" s="1260"/>
      <c r="F40" s="1260"/>
      <c r="G40" s="1261"/>
      <c r="H40" s="1260"/>
      <c r="I40" s="1262"/>
      <c r="J40" s="979"/>
      <c r="K40" s="948"/>
      <c r="L40" s="948"/>
    </row>
    <row r="41" spans="1:27">
      <c r="A41" s="1267" t="s">
        <v>339</v>
      </c>
      <c r="B41" s="1491" t="s">
        <v>110</v>
      </c>
      <c r="C41" s="1260">
        <f>IF($B$6="Calendar Year",
INDEX('CY Q&amp;V 2004-Now'!$A$1:$JY$230,$J41,'Q&amp;V 2 Yr Summary'!$W$2),
INDEX('FY Q&amp;V 2003-04 to Now'!$A$1:$JY$228,$J41,'Q&amp;V 2 Yr Summary'!$W$2))</f>
        <v>360132.95999999996</v>
      </c>
      <c r="D41" s="1268"/>
      <c r="E41" s="1268" t="str">
        <f>IF($B$6="Calendar Year",
INDEX('CY Q&amp;V 2004-Now'!$A$1:$JY$230,$J41,'Q&amp;V 2 Yr Summary'!$W$2+1),
INDEX('FY Q&amp;V 2003-04 to Now'!$A$1:$JY$228,$J41,'Q&amp;V 2 Yr Summary'!$W$2+1))</f>
        <v>n/a</v>
      </c>
      <c r="F41" s="1268"/>
      <c r="G41" s="1261">
        <f>IF($B$6="Calendar Year",
INDEX('CY Q&amp;V 2004-Now'!$A$1:$JY$230,$J41,'Q&amp;V 2 Yr Summary'!$W$1),
INDEX('FY Q&amp;V 2003-04 to Now'!$A$1:$JY$228,$J41,'Q&amp;V 2 Yr Summary'!$W$1))</f>
        <v>352977.57999999996</v>
      </c>
      <c r="H41" s="1260"/>
      <c r="I41" s="1567" t="str">
        <f>IF($B$6="Calendar Year",
INDEX('CY Q&amp;V 2004-Now'!$A$1:$JY$230,$J41,'Q&amp;V 2 Yr Summary'!$W$1+1),
INDEX('FY Q&amp;V 2003-04 to Now'!$A$1:$JY$228,$J41,'Q&amp;V 2 Yr Summary'!$W$1+1))</f>
        <v>n/a</v>
      </c>
      <c r="J41" s="981">
        <f>MATCH(A41,'CY Q&amp;V 2004-Now'!$A$1:$A$91,0)</f>
        <v>47</v>
      </c>
      <c r="K41" s="948"/>
      <c r="L41" s="948"/>
    </row>
    <row r="42" spans="1:27">
      <c r="A42" s="1267" t="s">
        <v>340</v>
      </c>
      <c r="B42" s="1491" t="s">
        <v>110</v>
      </c>
      <c r="C42" s="1260">
        <f>IF($B$6="Calendar Year",
INDEX('CY Q&amp;V 2004-Now'!$A$1:$JY$230,$J42,'Q&amp;V 2 Yr Summary'!$W$2),
INDEX('FY Q&amp;V 2003-04 to Now'!$A$1:$JY$228,$J42,'Q&amp;V 2 Yr Summary'!$W$2))</f>
        <v>182509</v>
      </c>
      <c r="D42" s="1260"/>
      <c r="E42" s="1260">
        <f>IF($B$6="Calendar Year",
INDEX('CY Q&amp;V 2004-Now'!$A$1:$JY$230,$J42,'Q&amp;V 2 Yr Summary'!$W$2+1),
INDEX('FY Q&amp;V 2003-04 to Now'!$A$1:$JY$228,$J42,'Q&amp;V 2 Yr Summary'!$W$2+1))</f>
        <v>42629608</v>
      </c>
      <c r="F42" s="1260"/>
      <c r="G42" s="1261">
        <f>IF($B$6="Calendar Year",
INDEX('CY Q&amp;V 2004-Now'!$A$1:$JY$230,$J42,'Q&amp;V 2 Yr Summary'!$W$1),
INDEX('FY Q&amp;V 2003-04 to Now'!$A$1:$JY$228,$J42,'Q&amp;V 2 Yr Summary'!$W$1))</f>
        <v>359027.28</v>
      </c>
      <c r="H42" s="1260"/>
      <c r="I42" s="1262">
        <f>IF($B$6="Calendar Year",
INDEX('CY Q&amp;V 2004-Now'!$A$1:$JY$230,$J42,'Q&amp;V 2 Yr Summary'!$W$1+1),
INDEX('FY Q&amp;V 2003-04 to Now'!$A$1:$JY$228,$J42,'Q&amp;V 2 Yr Summary'!$W$1+1))</f>
        <v>72746015</v>
      </c>
      <c r="J42" s="979">
        <f>MATCH(A42,'CY Q&amp;V 2004-Now'!$A$1:$A$91,0)</f>
        <v>48</v>
      </c>
      <c r="K42" s="948"/>
      <c r="L42" s="948"/>
    </row>
    <row r="43" spans="1:27">
      <c r="A43" s="1267" t="s">
        <v>341</v>
      </c>
      <c r="B43" s="1491" t="s">
        <v>110</v>
      </c>
      <c r="C43" s="1260">
        <f>IF($B$6="Calendar Year",
INDEX('CY Q&amp;V 2004-Now'!$A$1:$JY$230,$J43,'Q&amp;V 2 Yr Summary'!$W$2),
INDEX('FY Q&amp;V 2003-04 to Now'!$A$1:$JY$228,$J43,'Q&amp;V 2 Yr Summary'!$W$2))</f>
        <v>8032.905999999999</v>
      </c>
      <c r="D43" s="1260"/>
      <c r="E43" s="1260">
        <f>IF($B$6="Calendar Year",
INDEX('CY Q&amp;V 2004-Now'!$A$1:$JY$230,$J43,'Q&amp;V 2 Yr Summary'!$W$2+1),
INDEX('FY Q&amp;V 2003-04 to Now'!$A$1:$JY$228,$J43,'Q&amp;V 2 Yr Summary'!$W$2+1))</f>
        <v>9501004</v>
      </c>
      <c r="F43" s="1260"/>
      <c r="G43" s="1261">
        <f>IF($B$6="Calendar Year",
INDEX('CY Q&amp;V 2004-Now'!$A$1:$JY$230,$J43,'Q&amp;V 2 Yr Summary'!$W$1),
INDEX('FY Q&amp;V 2003-04 to Now'!$A$1:$JY$228,$J43,'Q&amp;V 2 Yr Summary'!$W$1))</f>
        <v>20957</v>
      </c>
      <c r="H43" s="1260"/>
      <c r="I43" s="1262">
        <f>IF($B$6="Calendar Year",
INDEX('CY Q&amp;V 2004-Now'!$A$1:$JY$230,$J43,'Q&amp;V 2 Yr Summary'!$W$1+1),
INDEX('FY Q&amp;V 2003-04 to Now'!$A$1:$JY$228,$J43,'Q&amp;V 2 Yr Summary'!$W$1+1))</f>
        <v>22190860</v>
      </c>
      <c r="J43" s="979">
        <f>MATCH(A43,'CY Q&amp;V 2004-Now'!$A$1:$A$91,0)</f>
        <v>49</v>
      </c>
      <c r="K43" s="948"/>
      <c r="L43" s="948"/>
    </row>
    <row r="44" spans="1:27">
      <c r="A44" s="1267" t="s">
        <v>353</v>
      </c>
      <c r="B44" s="1491" t="s">
        <v>110</v>
      </c>
      <c r="C44" s="1268">
        <f>IF($B$6="Calendar Year",
INDEX('CY Q&amp;V 2004-Now'!$A$1:$JY$230,$J44,'Q&amp;V 2 Yr Summary'!$W$2),
INDEX('FY Q&amp;V 2003-04 to Now'!$A$1:$JY$228,$J44,'Q&amp;V 2 Yr Summary'!$W$2))</f>
        <v>25631.200000000001</v>
      </c>
      <c r="D44" s="1268"/>
      <c r="E44" s="1268">
        <f>IF($B$6="Calendar Year",
INDEX('CY Q&amp;V 2004-Now'!$A$1:$JY$230,$J44,'Q&amp;V 2 Yr Summary'!$W$2+1),
INDEX('FY Q&amp;V 2003-04 to Now'!$A$1:$JY$228,$J44,'Q&amp;V 2 Yr Summary'!$W$2+1))</f>
        <v>29610518</v>
      </c>
      <c r="F44" s="1260"/>
      <c r="G44" s="1269">
        <f>IF($B$6="Calendar Year",
INDEX('CY Q&amp;V 2004-Now'!$A$1:$JY$230,$J44,'Q&amp;V 2 Yr Summary'!$W$1),
INDEX('FY Q&amp;V 2003-04 to Now'!$A$1:$JY$228,$J44,'Q&amp;V 2 Yr Summary'!$W$1))</f>
        <v>14857.11</v>
      </c>
      <c r="H44" s="1268"/>
      <c r="I44" s="1567" t="s">
        <v>273</v>
      </c>
      <c r="J44" s="979">
        <v>50</v>
      </c>
      <c r="K44" s="948"/>
      <c r="L44" s="948"/>
    </row>
    <row r="45" spans="1:27">
      <c r="A45" s="1267" t="s">
        <v>342</v>
      </c>
      <c r="B45" s="1491" t="s">
        <v>110</v>
      </c>
      <c r="C45" s="1260">
        <f>IF($B$6="Calendar Year",
INDEX('CY Q&amp;V 2004-Now'!$A$1:$JY$230,$J45,'Q&amp;V 2 Yr Summary'!$W$2),
INDEX('FY Q&amp;V 2003-04 to Now'!$A$1:$JY$228,$J45,'Q&amp;V 2 Yr Summary'!$W$2))</f>
        <v>97328.238000000012</v>
      </c>
      <c r="D45" s="1260"/>
      <c r="E45" s="1260">
        <f>IF($B$6="Calendar Year",
INDEX('CY Q&amp;V 2004-Now'!$A$1:$JY$230,$J45,'Q&amp;V 2 Yr Summary'!$W$2+1),
INDEX('FY Q&amp;V 2003-04 to Now'!$A$1:$JY$228,$J45,'Q&amp;V 2 Yr Summary'!$W$2+1))</f>
        <v>165669383</v>
      </c>
      <c r="F45" s="1260"/>
      <c r="G45" s="1261">
        <f>IF($B$6="Calendar Year",
INDEX('CY Q&amp;V 2004-Now'!$A$1:$JY$230,$J45,'Q&amp;V 2 Yr Summary'!$W$1),
INDEX('FY Q&amp;V 2003-04 to Now'!$A$1:$JY$228,$J45,'Q&amp;V 2 Yr Summary'!$W$1))</f>
        <v>171428.83000000002</v>
      </c>
      <c r="H45" s="1260"/>
      <c r="I45" s="1262">
        <f>IF($B$6="Calendar Year",
INDEX('CY Q&amp;V 2004-Now'!$A$1:$JY$230,$J45,'Q&amp;V 2 Yr Summary'!$W$1+1),
INDEX('FY Q&amp;V 2003-04 to Now'!$A$1:$JY$228,$J45,'Q&amp;V 2 Yr Summary'!$W$1+1))</f>
        <v>282857648</v>
      </c>
      <c r="J45" s="979">
        <v>51</v>
      </c>
      <c r="K45" s="948"/>
      <c r="L45" s="948"/>
    </row>
    <row r="46" spans="1:27" s="1535" customFormat="1">
      <c r="A46" s="1267" t="s">
        <v>849</v>
      </c>
      <c r="B46" s="1491" t="s">
        <v>110</v>
      </c>
      <c r="C46" s="1260">
        <f>IF($B$6="Calendar Year",
INDEX('CY Q&amp;V 2004-Now'!$A$1:$JY$230,$J46,'Q&amp;V 2 Yr Summary'!$W$2),
INDEX('FY Q&amp;V 2003-04 to Now'!$A$1:$JY$228,$J46,'Q&amp;V 2 Yr Summary'!$W$2))</f>
        <v>260029.59175757578</v>
      </c>
      <c r="D46" s="1260"/>
      <c r="E46" s="1260">
        <f>IF($B$6="Calendar Year",
INDEX('CY Q&amp;V 2004-Now'!$A$1:$JY$230,$J46,'Q&amp;V 2 Yr Summary'!$W$2+1),
INDEX('FY Q&amp;V 2003-04 to Now'!$A$1:$JY$228,$J46,'Q&amp;V 2 Yr Summary'!$W$2+1))</f>
        <v>276283983.39685088</v>
      </c>
      <c r="F46" s="1260"/>
      <c r="G46" s="1261">
        <f>IF($B$6="Calendar Year",
INDEX('CY Q&amp;V 2004-Now'!$A$1:$JY$230,$J46,'Q&amp;V 2 Yr Summary'!$W$1),
INDEX('FY Q&amp;V 2003-04 to Now'!$A$1:$JY$228,$J46,'Q&amp;V 2 Yr Summary'!$W$1))</f>
        <v>156141.65284848487</v>
      </c>
      <c r="H46" s="1260"/>
      <c r="I46" s="1262">
        <f>IF($B$6="Calendar Year",
INDEX('CY Q&amp;V 2004-Now'!$A$1:$JY$230,$J46,'Q&amp;V 2 Yr Summary'!$W$1+1),
INDEX('FY Q&amp;V 2003-04 to Now'!$A$1:$JY$228,$J46,'Q&amp;V 2 Yr Summary'!$W$1+1))</f>
        <v>164928278.26340798</v>
      </c>
      <c r="J46" s="979">
        <v>52</v>
      </c>
      <c r="V46" s="786"/>
      <c r="W46" s="786"/>
      <c r="X46" s="786"/>
      <c r="Y46" s="786"/>
      <c r="Z46" s="786"/>
      <c r="AA46" s="786"/>
    </row>
    <row r="47" spans="1:27">
      <c r="A47" s="1267" t="s">
        <v>836</v>
      </c>
      <c r="B47" s="1759" t="s">
        <v>110</v>
      </c>
      <c r="C47" s="1260"/>
      <c r="D47" s="1260"/>
      <c r="E47" s="1260">
        <f>E48-(SUM(E41:E46))</f>
        <v>104403291.00000006</v>
      </c>
      <c r="F47" s="1260"/>
      <c r="G47" s="1261"/>
      <c r="H47" s="1260"/>
      <c r="I47" s="1262">
        <f>I48-(SUM(I41:I46))</f>
        <v>125956511</v>
      </c>
      <c r="J47" s="1341">
        <v>53</v>
      </c>
      <c r="K47" s="948"/>
      <c r="L47" s="948"/>
    </row>
    <row r="48" spans="1:27">
      <c r="A48" s="1267" t="s">
        <v>547</v>
      </c>
      <c r="B48" s="1494"/>
      <c r="C48" s="1260"/>
      <c r="D48" s="1260"/>
      <c r="E48" s="1260">
        <f>IF($B$6="Calendar Year",
INDEX('CY Q&amp;V 2004-Now'!$A$1:$JY$230,$J48,'Q&amp;V 2 Yr Summary'!$W$2+1),
INDEX('FY Q&amp;V 2003-04 to Now'!$A$1:$JY$228,$J48,'Q&amp;V 2 Yr Summary'!$W$2+1))</f>
        <v>628097787.39685094</v>
      </c>
      <c r="F48" s="1260"/>
      <c r="G48" s="1261"/>
      <c r="H48" s="1260"/>
      <c r="I48" s="1262">
        <f>IF($B$6="Calendar Year",
INDEX('CY Q&amp;V 2004-Now'!$A$1:$JY$230,$J48,'Q&amp;V 2 Yr Summary'!$W$1+1),
INDEX('FY Q&amp;V 2003-04 to Now'!$A$1:$JY$228,$J48,'Q&amp;V 2 Yr Summary'!$W$1+1))</f>
        <v>668679312.26340795</v>
      </c>
      <c r="J48" s="1341">
        <f>J47+1</f>
        <v>54</v>
      </c>
      <c r="K48" s="948"/>
      <c r="L48" s="948"/>
    </row>
    <row r="49" spans="1:12">
      <c r="A49" s="1267"/>
      <c r="B49" s="1494"/>
      <c r="C49" s="1260"/>
      <c r="D49" s="1260"/>
      <c r="E49" s="1260"/>
      <c r="F49" s="1260"/>
      <c r="G49" s="1261"/>
      <c r="H49" s="1260"/>
      <c r="I49" s="1262"/>
      <c r="J49" s="1341"/>
      <c r="K49" s="948"/>
      <c r="L49" s="948"/>
    </row>
    <row r="50" spans="1:12">
      <c r="A50" s="1620" t="s">
        <v>284</v>
      </c>
      <c r="B50" s="1629" t="s">
        <v>110</v>
      </c>
      <c r="C50" s="1263">
        <f>IF($B$6="Calendar Year",
INDEX('CY Q&amp;V 2004-Now'!$A$1:$JY$230,$J50,'Q&amp;V 2 Yr Summary'!$W$2),
INDEX('FY Q&amp;V 2003-04 to Now'!$A$1:$JY$228,$J50,'Q&amp;V 2 Yr Summary'!$W$2))</f>
        <v>813577820.15700006</v>
      </c>
      <c r="D50" s="1263"/>
      <c r="E50" s="1263">
        <f>IF($B$6="Calendar Year",
INDEX('CY Q&amp;V 2004-Now'!$A$1:$JY$230,$J50,'Q&amp;V 2 Yr Summary'!$W$2+1),
INDEX('FY Q&amp;V 2003-04 to Now'!$A$1:$JY$228,$J50,'Q&amp;V 2 Yr Summary'!$W$2+1))</f>
        <v>65236000407.999992</v>
      </c>
      <c r="F50" s="1263"/>
      <c r="G50" s="1623">
        <f>IF($B$6="Calendar Year",
INDEX('CY Q&amp;V 2004-Now'!$A$1:$JY$230,$J50,'Q&amp;V 2 Yr Summary'!$W$1),
INDEX('FY Q&amp;V 2003-04 to Now'!$A$1:$JY$228,$J50,'Q&amp;V 2 Yr Summary'!$W$1))</f>
        <v>810312792.73699999</v>
      </c>
      <c r="H50" s="1263"/>
      <c r="I50" s="1622">
        <f>IF($B$6="Calendar Year",
INDEX('CY Q&amp;V 2004-Now'!$A$1:$JY$230,$J50,'Q&amp;V 2 Yr Summary'!$W$1+1),
INDEX('FY Q&amp;V 2003-04 to Now'!$A$1:$JY$228,$J50,'Q&amp;V 2 Yr Summary'!$W$1+1))</f>
        <v>97675628392</v>
      </c>
      <c r="J50" s="1260">
        <f>MATCH(A50,'CY Q&amp;V 2004-Now'!$A$1:$A$91,0)</f>
        <v>56</v>
      </c>
      <c r="K50" s="948"/>
      <c r="L50" s="948"/>
    </row>
    <row r="51" spans="1:12">
      <c r="A51" s="1630"/>
      <c r="B51" s="1621"/>
      <c r="C51" s="1263"/>
      <c r="D51" s="1263"/>
      <c r="E51" s="1263"/>
      <c r="F51" s="1263"/>
      <c r="G51" s="1623"/>
      <c r="H51" s="1263"/>
      <c r="I51" s="1622"/>
      <c r="J51" s="1260"/>
      <c r="K51" s="948"/>
      <c r="L51" s="948"/>
    </row>
    <row r="52" spans="1:12">
      <c r="A52" s="1259" t="s">
        <v>290</v>
      </c>
      <c r="B52" s="1491" t="s">
        <v>110</v>
      </c>
      <c r="C52" s="1260">
        <f>IF($B$6="Calendar Year",
INDEX('CY Q&amp;V 2004-Now'!$A$1:$JY$230,$J52,'Q&amp;V 2 Yr Summary'!$W$2),
INDEX('FY Q&amp;V 2003-04 to Now'!$A$1:$JY$228,$J52,'Q&amp;V 2 Yr Summary'!$W$2))</f>
        <v>3955714.0760000004</v>
      </c>
      <c r="D52" s="1260"/>
      <c r="E52" s="1260">
        <f>IF($B$6="Calendar Year",
INDEX('CY Q&amp;V 2004-Now'!$A$1:$JY$230,$J52,'Q&amp;V 2 Yr Summary'!$W$2+1),
INDEX('FY Q&amp;V 2003-04 to Now'!$A$1:$JY$228,$J52,'Q&amp;V 2 Yr Summary'!$W$2+1))</f>
        <v>32159428.274</v>
      </c>
      <c r="F52" s="1260"/>
      <c r="G52" s="1261">
        <f>IF($B$6="Calendar Year",
INDEX('CY Q&amp;V 2004-Now'!$A$1:$JY$230,$J52,'Q&amp;V 2 Yr Summary'!$W$1),
INDEX('FY Q&amp;V 2003-04 to Now'!$A$1:$JY$228,$J52,'Q&amp;V 2 Yr Summary'!$W$1))</f>
        <v>4397905.0599999987</v>
      </c>
      <c r="H52" s="1260"/>
      <c r="I52" s="1262">
        <f>IF($B$6="Calendar Year",
INDEX('CY Q&amp;V 2004-Now'!$A$1:$JY$230,$J52,'Q&amp;V 2 Yr Summary'!$W$1+1),
INDEX('FY Q&amp;V 2003-04 to Now'!$A$1:$JY$228,$J52,'Q&amp;V 2 Yr Summary'!$W$1+1))</f>
        <v>37751872.640386753</v>
      </c>
      <c r="J52" s="979">
        <f>MATCH(A52,'CY Q&amp;V 2004-Now'!$A$1:$A$91,0)</f>
        <v>58</v>
      </c>
      <c r="K52" s="948"/>
      <c r="L52" s="948"/>
    </row>
    <row r="53" spans="1:12">
      <c r="A53" s="1259"/>
      <c r="B53" s="1491"/>
      <c r="C53" s="1260"/>
      <c r="D53" s="1260"/>
      <c r="E53" s="1260"/>
      <c r="F53" s="1260"/>
      <c r="G53" s="1261"/>
      <c r="H53" s="1260"/>
      <c r="I53" s="1262"/>
      <c r="J53" s="979"/>
      <c r="K53" s="948"/>
      <c r="L53" s="948"/>
    </row>
    <row r="54" spans="1:12">
      <c r="A54" s="1620" t="s">
        <v>295</v>
      </c>
      <c r="B54" s="1629" t="s">
        <v>110</v>
      </c>
      <c r="C54" s="1263">
        <f>IF($B$6="Calendar Year",
INDEX('CY Q&amp;V 2004-Now'!$A$1:$JY$230,$J54,'Q&amp;V 2 Yr Summary'!$W$2),
INDEX('FY Q&amp;V 2003-04 to Now'!$A$1:$JY$228,$J54,'Q&amp;V 2 Yr Summary'!$W$2))</f>
        <v>554744.22</v>
      </c>
      <c r="D54" s="1263"/>
      <c r="E54" s="1556">
        <f>IF($B$6="Calendar Year",
INDEX('CY Q&amp;V 2004-Now'!$A$1:$JY$230,$J54,'Q&amp;V 2 Yr Summary'!$W$2+1),
INDEX('FY Q&amp;V 2003-04 to Now'!$A$1:$JY$228,$J54,'Q&amp;V 2 Yr Summary'!$W$2+1))</f>
        <v>456739263</v>
      </c>
      <c r="F54" s="1263"/>
      <c r="G54" s="1623">
        <f>IF($B$6="Calendar Year",
INDEX('CY Q&amp;V 2004-Now'!$A$1:$JY$230,$J54,'Q&amp;V 2 Yr Summary'!$W$1),
INDEX('FY Q&amp;V 2003-04 to Now'!$A$1:$JY$228,$J54,'Q&amp;V 2 Yr Summary'!$W$1))</f>
        <v>557674.84</v>
      </c>
      <c r="H54" s="1263"/>
      <c r="I54" s="1631" t="str">
        <f>IF($B$6="Calendar Year",
INDEX('CY Q&amp;V 2004-Now'!$A$1:$JY$230,$J54,'Q&amp;V 2 Yr Summary'!$W$1+1),
INDEX('FY Q&amp;V 2003-04 to Now'!$A$1:$JY$228,$J54,'Q&amp;V 2 Yr Summary'!$W$1+1))</f>
        <v>n/a</v>
      </c>
      <c r="J54" s="1260">
        <f>MATCH(A54,'CY Q&amp;V 2004-Now'!$A$1:$A$91,0)</f>
        <v>60</v>
      </c>
      <c r="K54" s="948"/>
      <c r="L54" s="948"/>
    </row>
    <row r="55" spans="1:12">
      <c r="A55" s="1620"/>
      <c r="B55" s="1629"/>
      <c r="C55" s="1263"/>
      <c r="D55" s="1263"/>
      <c r="E55" s="1263"/>
      <c r="F55" s="1263"/>
      <c r="G55" s="1623"/>
      <c r="H55" s="1263"/>
      <c r="I55" s="1622"/>
      <c r="J55" s="1260"/>
      <c r="K55" s="948"/>
      <c r="L55" s="948"/>
    </row>
    <row r="56" spans="1:12">
      <c r="A56" s="1259" t="s">
        <v>297</v>
      </c>
      <c r="B56" s="1491"/>
      <c r="C56" s="1260"/>
      <c r="D56" s="1260"/>
      <c r="E56" s="1260"/>
      <c r="F56" s="1260"/>
      <c r="G56" s="1261"/>
      <c r="H56" s="1260"/>
      <c r="I56" s="1262"/>
      <c r="J56" s="979"/>
      <c r="K56" s="948"/>
      <c r="L56" s="948"/>
    </row>
    <row r="57" spans="1:12">
      <c r="A57" s="1267" t="s">
        <v>343</v>
      </c>
      <c r="B57" s="1491" t="s">
        <v>110</v>
      </c>
      <c r="C57" s="1260">
        <f>IF($B$6="Calendar Year",
INDEX('CY Q&amp;V 2004-Now'!$A$1:$JY$230,$J57,'Q&amp;V 2 Yr Summary'!$W$2),
INDEX('FY Q&amp;V 2003-04 to Now'!$A$1:$JY$228,$J57,'Q&amp;V 2 Yr Summary'!$W$2))</f>
        <v>4878.0980000000009</v>
      </c>
      <c r="D57" s="1260"/>
      <c r="E57" s="1260">
        <f>IF($B$6="Calendar Year",
INDEX('CY Q&amp;V 2004-Now'!$A$1:$JY$230,$J57,'Q&amp;V 2 Yr Summary'!$W$2+1),
INDEX('FY Q&amp;V 2003-04 to Now'!$A$1:$JY$228,$J57,'Q&amp;V 2 Yr Summary'!$W$2+1))</f>
        <v>503216708.00000006</v>
      </c>
      <c r="F57" s="1260"/>
      <c r="G57" s="1261">
        <f>IF($B$6="Calendar Year",
INDEX('CY Q&amp;V 2004-Now'!$A$1:$JY$230,$J57,'Q&amp;V 2 Yr Summary'!$W$1),
INDEX('FY Q&amp;V 2003-04 to Now'!$A$1:$JY$228,$J57,'Q&amp;V 2 Yr Summary'!$W$1))</f>
        <v>5741.6719999999996</v>
      </c>
      <c r="H57" s="1260"/>
      <c r="I57" s="1262">
        <f>IF($B$6="Calendar Year",
INDEX('CY Q&amp;V 2004-Now'!$A$1:$JY$230,$J57,'Q&amp;V 2 Yr Summary'!$W$1+1),
INDEX('FY Q&amp;V 2003-04 to Now'!$A$1:$JY$228,$J57,'Q&amp;V 2 Yr Summary'!$W$1+1))</f>
        <v>259483073</v>
      </c>
      <c r="J57" s="979">
        <f>MATCH(A57,'CY Q&amp;V 2004-Now'!$A$1:$A$91,0)</f>
        <v>63</v>
      </c>
      <c r="K57" s="948"/>
      <c r="L57" s="948"/>
    </row>
    <row r="58" spans="1:12">
      <c r="A58" s="1267" t="s">
        <v>3</v>
      </c>
      <c r="B58" s="1491" t="s">
        <v>110</v>
      </c>
      <c r="C58" s="1260">
        <f>IF($B$6="Calendar Year",
INDEX('CY Q&amp;V 2004-Now'!$A$1:$JY$230,$J58,'Q&amp;V 2 Yr Summary'!$W$2),
INDEX('FY Q&amp;V 2003-04 to Now'!$A$1:$JY$228,$J58,'Q&amp;V 2 Yr Summary'!$W$2))</f>
        <v>149706.005</v>
      </c>
      <c r="D58" s="1260"/>
      <c r="E58" s="1260">
        <f>IF($B$6="Calendar Year",
INDEX('CY Q&amp;V 2004-Now'!$A$1:$JY$230,$J58,'Q&amp;V 2 Yr Summary'!$W$2+1),
INDEX('FY Q&amp;V 2003-04 to Now'!$A$1:$JY$228,$J58,'Q&amp;V 2 Yr Summary'!$W$2+1))</f>
        <v>2616263650</v>
      </c>
      <c r="F58" s="1260"/>
      <c r="G58" s="1261">
        <f>IF($B$6="Calendar Year",
INDEX('CY Q&amp;V 2004-Now'!$A$1:$JY$230,$J58,'Q&amp;V 2 Yr Summary'!$W$1),
INDEX('FY Q&amp;V 2003-04 to Now'!$A$1:$JY$228,$J58,'Q&amp;V 2 Yr Summary'!$W$1))</f>
        <v>153924.08000000002</v>
      </c>
      <c r="H58" s="1260"/>
      <c r="I58" s="1262">
        <f>IF($B$6="Calendar Year",
INDEX('CY Q&amp;V 2004-Now'!$A$1:$JY$230,$J58,'Q&amp;V 2 Yr Summary'!$W$1+1),
INDEX('FY Q&amp;V 2003-04 to Now'!$A$1:$JY$228,$J58,'Q&amp;V 2 Yr Summary'!$W$1+1))</f>
        <v>3111135121</v>
      </c>
      <c r="J58" s="979">
        <f>MATCH(A58,'CY Q&amp;V 2004-Now'!$A$1:$A$91,0)</f>
        <v>64</v>
      </c>
      <c r="K58" s="948"/>
      <c r="L58" s="948"/>
    </row>
    <row r="59" spans="1:12">
      <c r="A59" s="1267" t="s">
        <v>344</v>
      </c>
      <c r="B59" s="1491" t="s">
        <v>196</v>
      </c>
      <c r="C59" s="1260">
        <f>IF($B$6="Calendar Year",
INDEX('CY Q&amp;V 2004-Now'!$A$1:$JY$230,$J59,'Q&amp;V 2 Yr Summary'!$W$2),
INDEX('FY Q&amp;V 2003-04 to Now'!$A$1:$JY$228,$J59,'Q&amp;V 2 Yr Summary'!$W$2))</f>
        <v>540.76377808259224</v>
      </c>
      <c r="D59" s="1260"/>
      <c r="E59" s="1260">
        <f>IF($B$6="Calendar Year",
INDEX('CY Q&amp;V 2004-Now'!$A$1:$JY$230,$J59,'Q&amp;V 2 Yr Summary'!$W$2+1),
INDEX('FY Q&amp;V 2003-04 to Now'!$A$1:$JY$228,$J59,'Q&amp;V 2 Yr Summary'!$W$2+1))</f>
        <v>23825429</v>
      </c>
      <c r="F59" s="1260"/>
      <c r="G59" s="1261">
        <f>IF($B$6="Calendar Year",
INDEX('CY Q&amp;V 2004-Now'!$A$1:$JY$230,$J59,'Q&amp;V 2 Yr Summary'!$W$1),
INDEX('FY Q&amp;V 2003-04 to Now'!$A$1:$JY$228,$J59,'Q&amp;V 2 Yr Summary'!$W$1))</f>
        <v>483.22618170055392</v>
      </c>
      <c r="H59" s="1260"/>
      <c r="I59" s="1262">
        <f>IF($B$6="Calendar Year",
INDEX('CY Q&amp;V 2004-Now'!$A$1:$JY$230,$J59,'Q&amp;V 2 Yr Summary'!$W$1+1),
INDEX('FY Q&amp;V 2003-04 to Now'!$A$1:$JY$228,$J59,'Q&amp;V 2 Yr Summary'!$W$1+1))</f>
        <v>32606871.000000004</v>
      </c>
      <c r="J59" s="979">
        <f>MATCH(A59,'CY Q&amp;V 2004-Now'!$A$1:$A$91,0)</f>
        <v>65</v>
      </c>
      <c r="K59" s="948"/>
      <c r="L59" s="948"/>
    </row>
    <row r="60" spans="1:12">
      <c r="A60" s="1267" t="s">
        <v>301</v>
      </c>
      <c r="B60" s="1494"/>
      <c r="C60" s="1260"/>
      <c r="D60" s="1260"/>
      <c r="E60" s="1260">
        <f>SUM(E57:E59)</f>
        <v>3143305787</v>
      </c>
      <c r="F60" s="1260"/>
      <c r="G60" s="1261"/>
      <c r="H60" s="1260"/>
      <c r="I60" s="1262">
        <f>SUM(I57:I59)</f>
        <v>3403225065</v>
      </c>
      <c r="J60" s="979"/>
      <c r="K60" s="948"/>
      <c r="L60" s="948"/>
    </row>
    <row r="61" spans="1:12">
      <c r="A61" s="1264" t="s">
        <v>304</v>
      </c>
      <c r="B61" s="1494"/>
      <c r="C61" s="1260"/>
      <c r="D61" s="1260"/>
      <c r="E61" s="1260"/>
      <c r="F61" s="1260"/>
      <c r="G61" s="1261"/>
      <c r="H61" s="1260"/>
      <c r="I61" s="1262"/>
      <c r="J61" s="979"/>
      <c r="K61" s="948"/>
      <c r="L61" s="948"/>
    </row>
    <row r="62" spans="1:12">
      <c r="A62" s="1620" t="s">
        <v>305</v>
      </c>
      <c r="B62" s="1621"/>
      <c r="C62" s="1263"/>
      <c r="D62" s="1263"/>
      <c r="E62" s="1263"/>
      <c r="F62" s="1263"/>
      <c r="G62" s="1623"/>
      <c r="H62" s="1263"/>
      <c r="I62" s="1622"/>
      <c r="J62" s="1260"/>
      <c r="K62" s="948"/>
      <c r="L62" s="948"/>
    </row>
    <row r="63" spans="1:12">
      <c r="A63" s="1618" t="s">
        <v>97</v>
      </c>
      <c r="B63" s="1629" t="s">
        <v>306</v>
      </c>
      <c r="C63" s="1263">
        <f>IF($B$6="Calendar Year",
INDEX('CY Q&amp;V 2004-Now'!$A$1:$JY$230,$J63,'Q&amp;V 2 Yr Summary'!$W$2),
INDEX('FY Q&amp;V 2003-04 to Now'!$A$1:$JY$228,$J63,'Q&amp;V 2 Yr Summary'!$W$2))</f>
        <v>8784551.42059833</v>
      </c>
      <c r="D63" s="1263"/>
      <c r="E63" s="1263">
        <f>IF($B$6="Calendar Year",
INDEX('CY Q&amp;V 2004-Now'!$A$1:$JY$230,$J63,'Q&amp;V 2 Yr Summary'!$W$2+1),
INDEX('FY Q&amp;V 2003-04 to Now'!$A$1:$JY$228,$J63,'Q&amp;V 2 Yr Summary'!$W$2+1))</f>
        <v>5247145453.8666544</v>
      </c>
      <c r="F63" s="1263"/>
      <c r="G63" s="1623">
        <f>IF($B$6="Calendar Year",
INDEX('CY Q&amp;V 2004-Now'!$A$1:$JY$230,$J63,'Q&amp;V 2 Yr Summary'!$W$1),
INDEX('FY Q&amp;V 2003-04 to Now'!$A$1:$JY$228,$J63,'Q&amp;V 2 Yr Summary'!$W$1))</f>
        <v>13769031.518872235</v>
      </c>
      <c r="H63" s="1263"/>
      <c r="I63" s="1622">
        <f>IF($B$6="Calendar Year",
INDEX('CY Q&amp;V 2004-Now'!$A$1:$JY$230,$J63,'Q&amp;V 2 Yr Summary'!$W$1+1),
INDEX('FY Q&amp;V 2003-04 to Now'!$A$1:$JY$228,$J63,'Q&amp;V 2 Yr Summary'!$W$1+1))</f>
        <v>7406381694.2101212</v>
      </c>
      <c r="J63" s="1260">
        <f>MATCH(A63,'CY Q&amp;V 2004-Now'!$A$1:$A$91,0)</f>
        <v>69</v>
      </c>
      <c r="K63" s="948"/>
      <c r="L63" s="948"/>
    </row>
    <row r="64" spans="1:12">
      <c r="A64" s="1618" t="s">
        <v>96</v>
      </c>
      <c r="B64" s="1629" t="s">
        <v>306</v>
      </c>
      <c r="C64" s="1263">
        <f>IF($B$6="Calendar Year",
INDEX('CY Q&amp;V 2004-Now'!$A$1:$JY$230,$J64,'Q&amp;V 2 Yr Summary'!$W$2),
INDEX('FY Q&amp;V 2003-04 to Now'!$A$1:$JY$228,$J64,'Q&amp;V 2 Yr Summary'!$W$2))</f>
        <v>3638135.9035488847</v>
      </c>
      <c r="D64" s="1263"/>
      <c r="E64" s="1263">
        <f>IF($B$6="Calendar Year",
INDEX('CY Q&amp;V 2004-Now'!$A$1:$JY$230,$J64,'Q&amp;V 2 Yr Summary'!$W$2+1),
INDEX('FY Q&amp;V 2003-04 to Now'!$A$1:$JY$228,$J64,'Q&amp;V 2 Yr Summary'!$W$2+1))</f>
        <v>2200842908.2207103</v>
      </c>
      <c r="F64" s="1263"/>
      <c r="G64" s="1623">
        <f>IF($B$6="Calendar Year",
INDEX('CY Q&amp;V 2004-Now'!$A$1:$JY$230,$J64,'Q&amp;V 2 Yr Summary'!$W$1),
INDEX('FY Q&amp;V 2003-04 to Now'!$A$1:$JY$228,$J64,'Q&amp;V 2 Yr Summary'!$W$1))</f>
        <v>4597737.9997921446</v>
      </c>
      <c r="H64" s="1263"/>
      <c r="I64" s="1622">
        <f>IF($B$6="Calendar Year",
INDEX('CY Q&amp;V 2004-Now'!$A$1:$JY$230,$J64,'Q&amp;V 2 Yr Summary'!$W$1+1),
INDEX('FY Q&amp;V 2003-04 to Now'!$A$1:$JY$228,$J64,'Q&amp;V 2 Yr Summary'!$W$1+1))</f>
        <v>2715232612.7344885</v>
      </c>
      <c r="J64" s="1260">
        <f>MATCH(A64,'CY Q&amp;V 2004-Now'!$A$1:$A$91,0)</f>
        <v>70</v>
      </c>
      <c r="K64" s="948"/>
      <c r="L64" s="948"/>
    </row>
    <row r="65" spans="1:12">
      <c r="A65" s="1618" t="s">
        <v>345</v>
      </c>
      <c r="B65" s="1629" t="s">
        <v>110</v>
      </c>
      <c r="C65" s="1263">
        <f>IF($B$6="Calendar Year",
INDEX('CY Q&amp;V 2004-Now'!$A$1:$JY$230,$J65,'Q&amp;V 2 Yr Summary'!$W$2),
INDEX('FY Q&amp;V 2003-04 to Now'!$A$1:$JY$228,$J65,'Q&amp;V 2 Yr Summary'!$W$2))</f>
        <v>43722336.378265209</v>
      </c>
      <c r="D65" s="1263"/>
      <c r="E65" s="1263">
        <f>IF($B$6="Calendar Year",
INDEX('CY Q&amp;V 2004-Now'!$A$1:$JY$230,$J65,'Q&amp;V 2 Yr Summary'!$W$2+1),
INDEX('FY Q&amp;V 2003-04 to Now'!$A$1:$JY$228,$J65,'Q&amp;V 2 Yr Summary'!$W$2+1))</f>
        <v>26978126958.992531</v>
      </c>
      <c r="F65" s="1263"/>
      <c r="G65" s="1623">
        <f>IF($B$6="Calendar Year",
INDEX('CY Q&amp;V 2004-Now'!$A$1:$JY$230,$J65,'Q&amp;V 2 Yr Summary'!$W$1),
INDEX('FY Q&amp;V 2003-04 to Now'!$A$1:$JY$228,$J65,'Q&amp;V 2 Yr Summary'!$W$1))</f>
        <v>44147614.446351066</v>
      </c>
      <c r="H65" s="1263"/>
      <c r="I65" s="1622">
        <f>IF($B$6="Calendar Year",
INDEX('CY Q&amp;V 2004-Now'!$A$1:$JY$230,$J65,'Q&amp;V 2 Yr Summary'!$W$1+1),
INDEX('FY Q&amp;V 2003-04 to Now'!$A$1:$JY$228,$J65,'Q&amp;V 2 Yr Summary'!$W$1+1))</f>
        <v>27394793066.075848</v>
      </c>
      <c r="J65" s="1260">
        <f>MATCH(A65,'CY Q&amp;V 2004-Now'!$A$1:$A$91,0)</f>
        <v>71</v>
      </c>
      <c r="K65" s="948"/>
      <c r="L65" s="948"/>
    </row>
    <row r="66" spans="1:12">
      <c r="A66" s="1618" t="s">
        <v>346</v>
      </c>
      <c r="B66" s="1629" t="s">
        <v>110</v>
      </c>
      <c r="C66" s="1263">
        <f>IF($B$6="Calendar Year",
INDEX('CY Q&amp;V 2004-Now'!$A$1:$JY$230,$J66,'Q&amp;V 2 Yr Summary'!$W$2),
INDEX('FY Q&amp;V 2003-04 to Now'!$A$1:$JY$228,$J66,'Q&amp;V 2 Yr Summary'!$W$2))</f>
        <v>463110</v>
      </c>
      <c r="D66" s="1263"/>
      <c r="E66" s="1263">
        <f>IF($B$6="Calendar Year",
INDEX('CY Q&amp;V 2004-Now'!$A$1:$JY$230,$J66,'Q&amp;V 2 Yr Summary'!$W$2+1),
INDEX('FY Q&amp;V 2003-04 to Now'!$A$1:$JY$228,$J66,'Q&amp;V 2 Yr Summary'!$W$2+1))</f>
        <v>348824394.21846777</v>
      </c>
      <c r="F66" s="1263"/>
      <c r="G66" s="1623">
        <f>IF($B$6="Calendar Year",
INDEX('CY Q&amp;V 2004-Now'!$A$1:$JY$230,$J66,'Q&amp;V 2 Yr Summary'!$W$1),
INDEX('FY Q&amp;V 2003-04 to Now'!$A$1:$JY$228,$J66,'Q&amp;V 2 Yr Summary'!$W$1))</f>
        <v>418249</v>
      </c>
      <c r="H66" s="1263"/>
      <c r="I66" s="1622">
        <f>IF($B$6="Calendar Year",
INDEX('CY Q&amp;V 2004-Now'!$A$1:$JY$230,$J66,'Q&amp;V 2 Yr Summary'!$W$1+1),
INDEX('FY Q&amp;V 2003-04 to Now'!$A$1:$JY$228,$J66,'Q&amp;V 2 Yr Summary'!$W$1+1))</f>
        <v>274240157.70186311</v>
      </c>
      <c r="J66" s="1260">
        <f>MATCH(A66,'CY Q&amp;V 2004-Now'!$A$1:$A$91,0)</f>
        <v>72</v>
      </c>
      <c r="K66" s="948"/>
      <c r="L66" s="948"/>
    </row>
    <row r="67" spans="1:12">
      <c r="A67" s="1618" t="s">
        <v>151</v>
      </c>
      <c r="B67" s="1632" t="s">
        <v>347</v>
      </c>
      <c r="C67" s="1263">
        <f>IF($B$6="Calendar Year",
INDEX('CY Q&amp;V 2004-Now'!$A$1:$JY$230,$J67,'Q&amp;V 2 Yr Summary'!$W$2),
INDEX('FY Q&amp;V 2003-04 to Now'!$A$1:$JY$228,$J67,'Q&amp;V 2 Yr Summary'!$W$2))</f>
        <v>10128603.143680073</v>
      </c>
      <c r="D67" s="1263"/>
      <c r="E67" s="1263">
        <f>IF($B$6="Calendar Year",
INDEX('CY Q&amp;V 2004-Now'!$A$1:$JY$230,$J67,'Q&amp;V 2 Yr Summary'!$W$2+1),
INDEX('FY Q&amp;V 2003-04 to Now'!$A$1:$JY$228,$J67,'Q&amp;V 2 Yr Summary'!$W$2+1))</f>
        <v>1585068033.9181547</v>
      </c>
      <c r="F67" s="1263"/>
      <c r="G67" s="1623">
        <f>IF($B$6="Calendar Year",
INDEX('CY Q&amp;V 2004-Now'!$A$1:$JY$230,$J67,'Q&amp;V 2 Yr Summary'!$W$1),
INDEX('FY Q&amp;V 2003-04 to Now'!$A$1:$JY$228,$J67,'Q&amp;V 2 Yr Summary'!$W$1))</f>
        <v>10926725.65204655</v>
      </c>
      <c r="H67" s="1263"/>
      <c r="I67" s="1622">
        <f>IF($B$6="Calendar Year",
INDEX('CY Q&amp;V 2004-Now'!$A$1:$JY$230,$J67,'Q&amp;V 2 Yr Summary'!$W$1+1),
INDEX('FY Q&amp;V 2003-04 to Now'!$A$1:$JY$228,$J67,'Q&amp;V 2 Yr Summary'!$W$1+1))</f>
        <v>1698004187.6200366</v>
      </c>
      <c r="J67" s="1260">
        <f>MATCH(A67,'CY Q&amp;V 2004-Now'!$A$1:$A$91,0)</f>
        <v>73</v>
      </c>
      <c r="K67" s="948"/>
      <c r="L67" s="948"/>
    </row>
    <row r="68" spans="1:12">
      <c r="A68" s="1618" t="s">
        <v>111</v>
      </c>
      <c r="B68" s="1621"/>
      <c r="C68" s="1263"/>
      <c r="D68" s="1263"/>
      <c r="E68" s="1263">
        <f>SUM(E63:E67)</f>
        <v>36360007749.216515</v>
      </c>
      <c r="F68" s="1263"/>
      <c r="G68" s="1623"/>
      <c r="H68" s="1263"/>
      <c r="I68" s="1622">
        <f>SUM(I63:I67)</f>
        <v>39488651718.342361</v>
      </c>
      <c r="J68" s="1260"/>
      <c r="K68" s="948"/>
      <c r="L68" s="948"/>
    </row>
    <row r="69" spans="1:12">
      <c r="A69" s="1633"/>
      <c r="B69" s="1629"/>
      <c r="C69" s="1263"/>
      <c r="D69" s="1263"/>
      <c r="E69" s="1263"/>
      <c r="F69" s="1263"/>
      <c r="G69" s="1623"/>
      <c r="H69" s="1263"/>
      <c r="I69" s="1622"/>
      <c r="J69" s="1260"/>
      <c r="K69" s="948"/>
      <c r="L69" s="948"/>
    </row>
    <row r="70" spans="1:12">
      <c r="A70" s="1259" t="s">
        <v>313</v>
      </c>
      <c r="B70" s="1491" t="s">
        <v>110</v>
      </c>
      <c r="C70" s="1260">
        <f ca="1">IF($B$6="Calendar Year",
INDEX('CY Q&amp;V 2004-Now'!$A$1:$JY$230,$J70,'Q&amp;V 2 Yr Summary'!$W$2),
INDEX('FY Q&amp;V 2003-04 to Now'!$A$1:$JY$228,$J70,'Q&amp;V 2 Yr Summary'!$W$2))</f>
        <v>12894453.490000002</v>
      </c>
      <c r="D70" s="1260"/>
      <c r="E70" s="1260">
        <f ca="1">IF($B$6="Calendar Year",
INDEX('CY Q&amp;V 2004-Now'!$A$1:$JY$230,$J70,'Q&amp;V 2 Yr Summary'!$W$2+1),
INDEX('FY Q&amp;V 2003-04 to Now'!$A$1:$JY$228,$J70,'Q&amp;V 2 Yr Summary'!$W$2+1))</f>
        <v>303629543.49680001</v>
      </c>
      <c r="F70" s="1262"/>
      <c r="G70" s="1261">
        <f ca="1">IF($B$6="Calendar Year",
INDEX('CY Q&amp;V 2004-Now'!$A$1:$JY$230,$J70,'Q&amp;V 2 Yr Summary'!$W$1),
INDEX('FY Q&amp;V 2003-04 to Now'!$A$1:$JY$228,$J70,'Q&amp;V 2 Yr Summary'!$W$1))</f>
        <v>11473709.442999998</v>
      </c>
      <c r="H70" s="1260"/>
      <c r="I70" s="1262">
        <f ca="1">IF($B$6="Calendar Year",
INDEX('CY Q&amp;V 2004-Now'!$A$1:$JY$230,$J70,'Q&amp;V 2 Yr Summary'!$W$1+1),
INDEX('FY Q&amp;V 2003-04 to Now'!$A$1:$JY$228,$J70,'Q&amp;V 2 Yr Summary'!$W$1+1))</f>
        <v>333741981</v>
      </c>
      <c r="J70" s="979">
        <f>MATCH(A70,'CY Q&amp;V 2004-Now'!$A$1:$A$91,0)</f>
        <v>76</v>
      </c>
      <c r="K70" s="948"/>
      <c r="L70" s="948"/>
    </row>
    <row r="71" spans="1:12">
      <c r="A71" s="1259"/>
      <c r="B71" s="1491"/>
      <c r="C71" s="1260"/>
      <c r="D71" s="1260"/>
      <c r="E71" s="1260"/>
      <c r="F71" s="1262"/>
      <c r="G71" s="1261"/>
      <c r="H71" s="1260"/>
      <c r="I71" s="1262"/>
      <c r="J71" s="979"/>
      <c r="K71" s="948"/>
      <c r="L71" s="948"/>
    </row>
    <row r="72" spans="1:12">
      <c r="A72" s="1620" t="s">
        <v>314</v>
      </c>
      <c r="B72" s="1628" t="s">
        <v>110</v>
      </c>
      <c r="C72" s="1263">
        <f>IF($B$6="Calendar Year",
INDEX('CY Q&amp;V 2004-Now'!$A$1:$JY$230,$J72,'Q&amp;V 2 Yr Summary'!$W$2),
INDEX('FY Q&amp;V 2003-04 to Now'!$A$1:$JY$228,$J72,'Q&amp;V 2 Yr Summary'!$W$2))</f>
        <v>1006493.4319999999</v>
      </c>
      <c r="D72" s="1263"/>
      <c r="E72" s="1263">
        <f>IF($B$6="Calendar Year",
INDEX('CY Q&amp;V 2004-Now'!$A$1:$JY$230,$J72,'Q&amp;V 2 Yr Summary'!$W$2+1),
INDEX('FY Q&amp;V 2003-04 to Now'!$A$1:$JY$228,$J72,'Q&amp;V 2 Yr Summary'!$W$2+1))</f>
        <v>19989688</v>
      </c>
      <c r="F72" s="1622"/>
      <c r="G72" s="1623">
        <f>IF($B$6="Calendar Year",
INDEX('CY Q&amp;V 2004-Now'!$A$1:$JY$230,$J72,'Q&amp;V 2 Yr Summary'!$W$1),
INDEX('FY Q&amp;V 2003-04 to Now'!$A$1:$JY$228,$J72,'Q&amp;V 2 Yr Summary'!$W$1))</f>
        <v>996470.89100000006</v>
      </c>
      <c r="H72" s="1263"/>
      <c r="I72" s="1622">
        <f>IF($B$6="Calendar Year",
INDEX('CY Q&amp;V 2004-Now'!$A$1:$JY$230,$J72,'Q&amp;V 2 Yr Summary'!$W$1+1),
INDEX('FY Q&amp;V 2003-04 to Now'!$A$1:$JY$228,$J72,'Q&amp;V 2 Yr Summary'!$W$1+1))</f>
        <v>21581950</v>
      </c>
      <c r="J72" s="1260">
        <f>MATCH(A72,'CY Q&amp;V 2004-Now'!$A$1:$A$91,0)</f>
        <v>78</v>
      </c>
      <c r="K72" s="948"/>
      <c r="L72" s="948"/>
    </row>
    <row r="73" spans="1:12">
      <c r="A73" s="1624"/>
      <c r="B73" s="1621"/>
      <c r="C73" s="1263"/>
      <c r="D73" s="1263"/>
      <c r="E73" s="1263"/>
      <c r="F73" s="1622"/>
      <c r="G73" s="1623"/>
      <c r="H73" s="1263"/>
      <c r="I73" s="1622"/>
      <c r="J73" s="1260"/>
      <c r="K73" s="948"/>
      <c r="L73" s="948"/>
    </row>
    <row r="74" spans="1:12">
      <c r="A74" s="1259" t="s">
        <v>317</v>
      </c>
      <c r="B74" s="1491" t="s">
        <v>196</v>
      </c>
      <c r="C74" s="1260">
        <f>IF($B$6="Calendar Year",
INDEX('CY Q&amp;V 2004-Now'!$A$1:$JY$230,$J74,'Q&amp;V 2 Yr Summary'!$W$2),
INDEX('FY Q&amp;V 2003-04 to Now'!$A$1:$JY$228,$J74,'Q&amp;V 2 Yr Summary'!$W$2))</f>
        <v>144205.04345900714</v>
      </c>
      <c r="D74" s="1260"/>
      <c r="E74" s="1260">
        <f>IF($B$6="Calendar Year",
INDEX('CY Q&amp;V 2004-Now'!$A$1:$JY$230,$J74,'Q&amp;V 2 Yr Summary'!$W$2+1),
INDEX('FY Q&amp;V 2003-04 to Now'!$A$1:$JY$228,$J74,'Q&amp;V 2 Yr Summary'!$W$2+1))</f>
        <v>94066417</v>
      </c>
      <c r="F74" s="1262"/>
      <c r="G74" s="1261">
        <f>IF($B$6="Calendar Year",
INDEX('CY Q&amp;V 2004-Now'!$A$1:$JY$230,$J74,'Q&amp;V 2 Yr Summary'!$W$1),
INDEX('FY Q&amp;V 2003-04 to Now'!$A$1:$JY$228,$J74,'Q&amp;V 2 Yr Summary'!$W$1))</f>
        <v>134472.84293673231</v>
      </c>
      <c r="H74" s="1260"/>
      <c r="I74" s="1262">
        <f>IF($B$6="Calendar Year",
INDEX('CY Q&amp;V 2004-Now'!$A$1:$JY$230,$J74,'Q&amp;V 2 Yr Summary'!$W$1+1),
INDEX('FY Q&amp;V 2003-04 to Now'!$A$1:$JY$228,$J74,'Q&amp;V 2 Yr Summary'!$W$1+1))</f>
        <v>95034499</v>
      </c>
      <c r="J74" s="979">
        <f>MATCH(A74,'CY Q&amp;V 2004-Now'!$A$1:$A$91,0)</f>
        <v>80</v>
      </c>
      <c r="K74" s="948"/>
      <c r="L74" s="948"/>
    </row>
    <row r="75" spans="1:12">
      <c r="A75" s="1259"/>
      <c r="B75" s="1491"/>
      <c r="C75" s="1260"/>
      <c r="D75" s="1260"/>
      <c r="E75" s="1260"/>
      <c r="F75" s="1262"/>
      <c r="G75" s="1261"/>
      <c r="H75" s="1260"/>
      <c r="I75" s="1262"/>
      <c r="J75" s="979"/>
      <c r="K75" s="948"/>
      <c r="L75" s="948"/>
    </row>
    <row r="76" spans="1:12">
      <c r="A76" s="1620" t="s">
        <v>321</v>
      </c>
      <c r="B76" s="1628"/>
      <c r="C76" s="1263"/>
      <c r="D76" s="1263"/>
      <c r="E76" s="1263"/>
      <c r="F76" s="1263"/>
      <c r="G76" s="1623"/>
      <c r="H76" s="1263"/>
      <c r="I76" s="1631"/>
      <c r="J76" s="1260"/>
      <c r="K76" s="948"/>
      <c r="L76" s="948"/>
    </row>
    <row r="77" spans="1:12">
      <c r="A77" s="1618" t="s">
        <v>354</v>
      </c>
      <c r="B77" s="1628" t="s">
        <v>110</v>
      </c>
      <c r="C77" s="1263">
        <f>IF($B$6="Calendar Year",
INDEX('CY Q&amp;V 2004-Now'!$A$1:$JY$230,$J77,'Q&amp;V 2 Yr Summary'!$W$2),
INDEX('FY Q&amp;V 2003-04 to Now'!$A$1:$JY$228,$J77,'Q&amp;V 2 Yr Summary'!$W$2))</f>
        <v>1965943.7</v>
      </c>
      <c r="D77" s="1263"/>
      <c r="E77" s="1263">
        <f>IF($B$6="Calendar Year",
INDEX('CY Q&amp;V 2004-Now'!$A$1:$JY$230,$J77,'Q&amp;V 2 Yr Summary'!$W$2+1),
INDEX('FY Q&amp;V 2003-04 to Now'!$A$1:$JY$228,$J77,'Q&amp;V 2 Yr Summary'!$W$2+1))</f>
        <v>1862957569</v>
      </c>
      <c r="F77" s="1263"/>
      <c r="G77" s="1623">
        <f>IF($B$6="Calendar Year",
INDEX('CY Q&amp;V 2004-Now'!$A$1:$JY$230,$J77,'Q&amp;V 2 Yr Summary'!$W$1),
INDEX('FY Q&amp;V 2003-04 to Now'!$A$1:$JY$228,$J77,'Q&amp;V 2 Yr Summary'!$W$1))</f>
        <v>1616763.5205000001</v>
      </c>
      <c r="H77" s="1263"/>
      <c r="I77" s="1631">
        <f>IF($B$6="Calendar Year",
INDEX('CY Q&amp;V 2004-Now'!$A$1:$JY$230,$J77,'Q&amp;V 2 Yr Summary'!$W$1+1),
INDEX('FY Q&amp;V 2003-04 to Now'!$A$1:$JY$228,$J77,'Q&amp;V 2 Yr Summary'!$W$1+1))</f>
        <v>1345789017</v>
      </c>
      <c r="J77" s="1260">
        <f>MATCH(A77,'CY Q&amp;V 2004-Now'!$A$1:$A$91,0)</f>
        <v>83</v>
      </c>
      <c r="K77" s="948"/>
      <c r="L77" s="948"/>
    </row>
    <row r="78" spans="1:12">
      <c r="A78" s="1618" t="s">
        <v>355</v>
      </c>
      <c r="B78" s="1628" t="s">
        <v>110</v>
      </c>
      <c r="C78" s="1263">
        <f>IF($B$6="Calendar Year",
INDEX('CY Q&amp;V 2004-Now'!$A$1:$JY$230,$J78,'Q&amp;V 2 Yr Summary'!$W$2),
INDEX('FY Q&amp;V 2003-04 to Now'!$A$1:$JY$228,$J78,'Q&amp;V 2 Yr Summary'!$W$2))</f>
        <v>117.38499999999999</v>
      </c>
      <c r="D78" s="1263"/>
      <c r="E78" s="1556" t="str">
        <f>IF($B$6="Calendar Year",
INDEX('CY Q&amp;V 2004-Now'!$A$1:$JY$230,$J78,'Q&amp;V 2 Yr Summary'!$W$2+1),
INDEX('FY Q&amp;V 2003-04 to Now'!$A$1:$JY$228,$J78,'Q&amp;V 2 Yr Summary'!$W$2+1))</f>
        <v>n/a</v>
      </c>
      <c r="F78" s="1263"/>
      <c r="G78" s="1623">
        <f>IF($B$6="Calendar Year",
INDEX('CY Q&amp;V 2004-Now'!$A$1:$JY$230,$J78,'Q&amp;V 2 Yr Summary'!$W$1),
INDEX('FY Q&amp;V 2003-04 to Now'!$A$1:$JY$228,$J78,'Q&amp;V 2 Yr Summary'!$W$1))</f>
        <v>117.38499999999999</v>
      </c>
      <c r="H78" s="1263"/>
      <c r="I78" s="1631" t="str">
        <f>IF($B$6="Calendar Year",
INDEX('CY Q&amp;V 2004-Now'!$A$1:$JY$230,$J78,'Q&amp;V 2 Yr Summary'!$W$1+1),
INDEX('FY Q&amp;V 2003-04 to Now'!$A$1:$JY$228,$J78,'Q&amp;V 2 Yr Summary'!$W$1+1))</f>
        <v>n/a</v>
      </c>
      <c r="J78" s="1260">
        <f>MATCH(A78,'CY Q&amp;V 2004-Now'!$A$1:$A$91,0)</f>
        <v>84</v>
      </c>
      <c r="K78" s="948"/>
      <c r="L78" s="948"/>
    </row>
    <row r="79" spans="1:12">
      <c r="A79" s="1618" t="s">
        <v>356</v>
      </c>
      <c r="B79" s="1628" t="s">
        <v>110</v>
      </c>
      <c r="C79" s="1263">
        <f>IF($B$6="Calendar Year",
INDEX('CY Q&amp;V 2004-Now'!$A$1:$JY$230,$J79,'Q&amp;V 2 Yr Summary'!$W$2),
INDEX('FY Q&amp;V 2003-04 to Now'!$A$1:$JY$228,$J79,'Q&amp;V 2 Yr Summary'!$W$2))</f>
        <v>82.1</v>
      </c>
      <c r="D79" s="1263"/>
      <c r="E79" s="1556" t="str">
        <f>IF($B$6="Calendar Year",
INDEX('CY Q&amp;V 2004-Now'!$A$1:$JY$230,$J79,'Q&amp;V 2 Yr Summary'!$W$2+1),
INDEX('FY Q&amp;V 2003-04 to Now'!$A$1:$JY$228,$J79,'Q&amp;V 2 Yr Summary'!$W$2+1))</f>
        <v>n/a</v>
      </c>
      <c r="F79" s="1263"/>
      <c r="G79" s="1623">
        <f>IF($B$6="Calendar Year",
INDEX('CY Q&amp;V 2004-Now'!$A$1:$JY$230,$J79,'Q&amp;V 2 Yr Summary'!$W$1),
INDEX('FY Q&amp;V 2003-04 to Now'!$A$1:$JY$228,$J79,'Q&amp;V 2 Yr Summary'!$W$1))</f>
        <v>82.1</v>
      </c>
      <c r="H79" s="1263"/>
      <c r="I79" s="1631" t="str">
        <f>IF($B$6="Calendar Year",
INDEX('CY Q&amp;V 2004-Now'!$A$1:$JY$230,$J79,'Q&amp;V 2 Yr Summary'!$W$1+1),
INDEX('FY Q&amp;V 2003-04 to Now'!$A$1:$JY$228,$J79,'Q&amp;V 2 Yr Summary'!$W$1+1))</f>
        <v>n/a</v>
      </c>
      <c r="J79" s="1260">
        <f>MATCH(A79,'CY Q&amp;V 2004-Now'!$A$1:$A$91,0)</f>
        <v>85</v>
      </c>
      <c r="K79" s="948"/>
      <c r="L79" s="948"/>
    </row>
    <row r="80" spans="1:12">
      <c r="A80" s="1618" t="s">
        <v>323</v>
      </c>
      <c r="B80" s="1628"/>
      <c r="C80" s="1263"/>
      <c r="D80" s="1263"/>
      <c r="E80" s="1263">
        <f>IF($B$6="Calendar Year",
INDEX('CY Q&amp;V 2004-Now'!$A$1:$JY$230,$J80,'Q&amp;V 2 Yr Summary'!$W$2+1),
INDEX('FY Q&amp;V 2003-04 to Now'!$A$1:$JY$228,$J80,'Q&amp;V 2 Yr Summary'!$W$2+1))</f>
        <v>1891800166</v>
      </c>
      <c r="F80" s="1263"/>
      <c r="G80" s="1623"/>
      <c r="H80" s="1263"/>
      <c r="I80" s="1631">
        <f>IF($B$6="Calendar Year",
INDEX('CY Q&amp;V 2004-Now'!$A$1:$JY$230,$J80,'Q&amp;V 2 Yr Summary'!$W$1+1),
INDEX('FY Q&amp;V 2003-04 to Now'!$A$1:$JY$228,$J80,'Q&amp;V 2 Yr Summary'!$W$1+1))</f>
        <v>1374587711</v>
      </c>
      <c r="J80" s="1260">
        <f>MATCH(A80,'CY Q&amp;V 2004-Now'!$A$1:$A$91,0)</f>
        <v>86</v>
      </c>
      <c r="K80" s="948"/>
      <c r="L80" s="948"/>
    </row>
    <row r="81" spans="1:12">
      <c r="A81" s="1630"/>
      <c r="B81" s="1621"/>
      <c r="C81" s="1263"/>
      <c r="D81" s="1263"/>
      <c r="E81" s="1263"/>
      <c r="F81" s="1622"/>
      <c r="G81" s="1623"/>
      <c r="H81" s="1263"/>
      <c r="I81" s="1622"/>
      <c r="J81" s="1260"/>
      <c r="K81" s="948"/>
      <c r="L81" s="948"/>
    </row>
    <row r="82" spans="1:12">
      <c r="A82" s="1259" t="s">
        <v>302</v>
      </c>
      <c r="B82" s="1491"/>
      <c r="C82" s="1260"/>
      <c r="D82" s="1260"/>
      <c r="E82" s="1260">
        <f>IF($B$6="Calendar Year",
INDEX('CY Q&amp;V 2004-Now'!$A$1:$JW$228,$J82,'Q&amp;V 2 Yr Summary'!$W$2+1),
INDEX('FY Q&amp;V 2003-04 to Now'!$A$1:$JW$228,$J82,'Q&amp;V 2 Yr Summary'!$W$2+1))</f>
        <v>378307193</v>
      </c>
      <c r="F82" s="1262"/>
      <c r="G82" s="1261"/>
      <c r="H82" s="1260"/>
      <c r="I82" s="1262">
        <f>IF($B$6="Calendar Year",
INDEX('CY Q&amp;V 2004-Now'!$A$1:$JW$228,$J82,'Q&amp;V 2 Yr Summary'!$W$1+1),
INDEX('FY Q&amp;V 2003-04 to Now'!$A$1:$JW$228,$J82,'Q&amp;V 2 Yr Summary'!$W$1+1))</f>
        <v>739686397</v>
      </c>
      <c r="J82" s="1341">
        <f>J80+2</f>
        <v>88</v>
      </c>
      <c r="K82" s="948"/>
      <c r="L82" s="948"/>
    </row>
    <row r="83" spans="1:12">
      <c r="A83" s="1259" t="s">
        <v>851</v>
      </c>
      <c r="B83" s="1494"/>
      <c r="C83" s="1260"/>
      <c r="D83" s="1260"/>
      <c r="E83" s="1260"/>
      <c r="F83" s="1262"/>
      <c r="G83" s="1261"/>
      <c r="H83" s="1260"/>
      <c r="I83" s="1262"/>
      <c r="J83" s="979"/>
      <c r="K83" s="948"/>
      <c r="L83" s="948"/>
    </row>
    <row r="84" spans="1:12">
      <c r="A84" s="1259"/>
      <c r="B84" s="1494"/>
      <c r="C84" s="1260"/>
      <c r="D84" s="1260"/>
      <c r="E84" s="1260"/>
      <c r="F84" s="1262"/>
      <c r="G84" s="1261"/>
      <c r="H84" s="1260"/>
      <c r="I84" s="1262"/>
      <c r="J84" s="1271"/>
      <c r="K84" s="87"/>
    </row>
    <row r="85" spans="1:12">
      <c r="A85" s="1270" t="s">
        <v>330</v>
      </c>
      <c r="B85" s="1495"/>
      <c r="C85" s="1273"/>
      <c r="D85" s="1273"/>
      <c r="E85" s="1271">
        <f ca="1">IF($B$6="Calendar Year",
INDEX('CY Q&amp;V 2004-Now'!$A$1:$JY$230,$J85,'Q&amp;V 2 Yr Summary'!$W$2+1),
INDEX('FY Q&amp;V 2003-04 to Now'!$A$1:$JY$228,$J85,'Q&amp;V 2 Yr Summary'!$W$2+1))</f>
        <v>130297375529.49976</v>
      </c>
      <c r="F85" s="1274"/>
      <c r="G85" s="1272"/>
      <c r="H85" s="1273"/>
      <c r="I85" s="1275">
        <f ca="1">IF($B$6="Calendar Year",
INDEX('CY Q&amp;V 2004-Now'!$A$1:$JY$230,$J85,'Q&amp;V 2 Yr Summary'!$W$1+1),
INDEX('FY Q&amp;V 2003-04 to Now'!$A$1:$JY$228,$J85,'Q&amp;V 2 Yr Summary'!$W$1+1))</f>
        <v>167346467779.82086</v>
      </c>
      <c r="J85" s="1342">
        <f>J82+3</f>
        <v>91</v>
      </c>
      <c r="K85" s="87"/>
    </row>
    <row r="86" spans="1:12" ht="15.75" thickBot="1">
      <c r="A86" s="1276"/>
      <c r="B86" s="1496"/>
      <c r="C86" s="1277"/>
      <c r="D86" s="1277"/>
      <c r="E86" s="1278" t="s">
        <v>304</v>
      </c>
      <c r="F86" s="1279"/>
      <c r="G86" s="1276"/>
      <c r="H86" s="1278"/>
      <c r="I86" s="1279" t="s">
        <v>304</v>
      </c>
      <c r="J86" s="1340"/>
      <c r="K86" s="87"/>
    </row>
    <row r="87" spans="1:12">
      <c r="A87" s="1941"/>
      <c r="B87" s="1941"/>
      <c r="C87" s="1941"/>
      <c r="D87" s="1941"/>
      <c r="E87" s="1941"/>
      <c r="F87" s="1941"/>
      <c r="G87" s="1941"/>
      <c r="H87" s="1941"/>
      <c r="I87" s="1941"/>
      <c r="J87" s="1"/>
      <c r="K87" s="87"/>
    </row>
    <row r="88" spans="1:12">
      <c r="A88" s="233"/>
      <c r="B88" s="238"/>
      <c r="C88" s="238"/>
      <c r="D88" s="238"/>
      <c r="E88" s="238"/>
      <c r="F88" s="234"/>
      <c r="G88" s="234"/>
      <c r="H88" s="234"/>
      <c r="I88" s="234"/>
      <c r="J88" s="1213"/>
      <c r="K88" s="87"/>
    </row>
    <row r="89" spans="1:12">
      <c r="B89" s="238"/>
      <c r="C89" s="238"/>
      <c r="D89" s="238"/>
      <c r="E89" s="238"/>
      <c r="F89" s="234"/>
      <c r="G89" s="234"/>
      <c r="H89" s="234"/>
      <c r="I89" s="234"/>
      <c r="J89" s="1213"/>
      <c r="K89" s="87"/>
    </row>
    <row r="90" spans="1:12">
      <c r="A90" s="230"/>
      <c r="B90" s="87"/>
      <c r="F90" s="87"/>
      <c r="K90" s="87"/>
    </row>
    <row r="91" spans="1:12">
      <c r="A91" s="230"/>
      <c r="B91" s="235"/>
      <c r="F91" s="87"/>
      <c r="G91" s="1216"/>
      <c r="I91" s="1216"/>
      <c r="K91" s="87"/>
    </row>
    <row r="92" spans="1:12">
      <c r="A92" s="230"/>
      <c r="B92" s="235"/>
      <c r="E92" s="324"/>
      <c r="F92" s="87"/>
      <c r="G92" s="961"/>
    </row>
    <row r="93" spans="1:12">
      <c r="A93" s="230"/>
      <c r="B93" s="87"/>
      <c r="E93" s="961"/>
      <c r="F93" s="87"/>
    </row>
    <row r="94" spans="1:12">
      <c r="G94" s="234"/>
      <c r="H94" s="234"/>
      <c r="I94" s="234"/>
      <c r="J94" s="1213"/>
    </row>
    <row r="95" spans="1:12">
      <c r="G95" s="234"/>
      <c r="H95" s="234"/>
      <c r="I95" s="234"/>
      <c r="J95" s="1213"/>
    </row>
    <row r="96" spans="1:12">
      <c r="G96" s="234"/>
      <c r="H96" s="234"/>
      <c r="I96" s="234"/>
      <c r="J96" s="1213"/>
    </row>
    <row r="97" spans="7:10">
      <c r="G97" s="234"/>
      <c r="H97" s="235"/>
      <c r="I97" s="235"/>
      <c r="J97" s="1217"/>
    </row>
    <row r="98" spans="7:10">
      <c r="G98" s="235"/>
      <c r="H98" s="235"/>
      <c r="I98" s="236"/>
      <c r="J98" s="345"/>
    </row>
    <row r="99" spans="7:10">
      <c r="G99" s="235"/>
      <c r="H99" s="235"/>
      <c r="I99" s="235"/>
      <c r="J99" s="1217"/>
    </row>
    <row r="100" spans="7:10">
      <c r="G100" s="235"/>
      <c r="H100" s="235"/>
      <c r="I100" s="235"/>
      <c r="J100" s="1217"/>
    </row>
  </sheetData>
  <mergeCells count="6">
    <mergeCell ref="B6:F6"/>
    <mergeCell ref="A87:I87"/>
    <mergeCell ref="O12:P12"/>
    <mergeCell ref="Q12:R12"/>
    <mergeCell ref="B8:F8"/>
    <mergeCell ref="G8:I8"/>
  </mergeCells>
  <dataValidations count="1">
    <dataValidation type="list" allowBlank="1" showInputMessage="1" showErrorMessage="1" promptTitle="Select a Period:" prompt="Select Financial or Calendar years." sqref="B6:F6">
      <formula1>$B$2:$B$3</formula1>
    </dataValidation>
  </dataValidations>
  <pageMargins left="0.74803149606299213" right="0.35433070866141736" top="0.31496062992125984" bottom="0.27559055118110237" header="0.51181102362204722" footer="0.55118110236220474"/>
  <pageSetup paperSize="9" scale="70" orientation="portrait" horizontalDpi="4294967292" verticalDpi="300" r:id="rId1"/>
  <headerFooter alignWithMargins="0"/>
  <ignoredErrors>
    <ignoredError sqref="E47 I47"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V92"/>
  <sheetViews>
    <sheetView showGridLines="0" zoomScaleNormal="100" workbookViewId="0">
      <pane xSplit="1" topLeftCell="H1" activePane="topRight" state="frozen"/>
      <selection activeCell="N6" sqref="N6"/>
      <selection pane="topRight"/>
    </sheetView>
  </sheetViews>
  <sheetFormatPr defaultRowHeight="15"/>
  <cols>
    <col min="1" max="1" width="77" style="423" customWidth="1"/>
    <col min="2" max="21" width="11.85546875" style="423" customWidth="1"/>
    <col min="22" max="22" width="11.42578125" style="423" customWidth="1"/>
    <col min="23" max="24" width="9.140625" style="423"/>
    <col min="25" max="25" width="22.5703125" style="423" bestFit="1" customWidth="1"/>
    <col min="26" max="26" width="9.140625" style="423"/>
    <col min="27" max="28" width="9.28515625" style="423" customWidth="1"/>
    <col min="29" max="16384" width="9.140625" style="423"/>
  </cols>
  <sheetData>
    <row r="1" spans="1:48">
      <c r="L1" s="424"/>
      <c r="N1" s="425"/>
      <c r="P1" s="425"/>
    </row>
    <row r="2" spans="1:48" ht="27" customHeight="1">
      <c r="D2" s="630"/>
    </row>
    <row r="3" spans="1:48" ht="21.75" customHeight="1"/>
    <row r="4" spans="1:48" ht="15.75" thickBot="1">
      <c r="A4" s="1039" t="s">
        <v>549</v>
      </c>
      <c r="B4" s="814">
        <f>IFERROR(VALUE(LEFT(B5,4)),"")</f>
        <v>1999</v>
      </c>
      <c r="C4" s="814">
        <f t="shared" ref="C4:AV4" si="0">IFERROR(VALUE(LEFT(C5,4)),"")</f>
        <v>2000</v>
      </c>
      <c r="D4" s="814">
        <f t="shared" si="0"/>
        <v>2001</v>
      </c>
      <c r="E4" s="814">
        <f t="shared" si="0"/>
        <v>2002</v>
      </c>
      <c r="F4" s="814">
        <f t="shared" si="0"/>
        <v>2003</v>
      </c>
      <c r="G4" s="814">
        <f t="shared" si="0"/>
        <v>2004</v>
      </c>
      <c r="H4" s="814">
        <f t="shared" si="0"/>
        <v>2005</v>
      </c>
      <c r="I4" s="814">
        <f t="shared" si="0"/>
        <v>2006</v>
      </c>
      <c r="J4" s="814">
        <f t="shared" si="0"/>
        <v>2007</v>
      </c>
      <c r="K4" s="814">
        <f t="shared" si="0"/>
        <v>2008</v>
      </c>
      <c r="L4" s="814">
        <f t="shared" si="0"/>
        <v>2009</v>
      </c>
      <c r="M4" s="814">
        <f t="shared" si="0"/>
        <v>2010</v>
      </c>
      <c r="N4" s="814">
        <f t="shared" si="0"/>
        <v>2011</v>
      </c>
      <c r="O4" s="814">
        <f t="shared" si="0"/>
        <v>2012</v>
      </c>
      <c r="P4" s="814">
        <f t="shared" si="0"/>
        <v>2013</v>
      </c>
      <c r="Q4" s="814">
        <f t="shared" si="0"/>
        <v>2014</v>
      </c>
      <c r="R4" s="814">
        <f t="shared" si="0"/>
        <v>2015</v>
      </c>
      <c r="S4" s="876">
        <f t="shared" si="0"/>
        <v>2016</v>
      </c>
      <c r="T4" s="876">
        <f t="shared" si="0"/>
        <v>2017</v>
      </c>
      <c r="U4" s="876">
        <f t="shared" si="0"/>
        <v>2018</v>
      </c>
      <c r="V4" s="876">
        <f t="shared" si="0"/>
        <v>2019</v>
      </c>
      <c r="W4" s="876" t="str">
        <f t="shared" si="0"/>
        <v/>
      </c>
      <c r="X4" s="876" t="str">
        <f t="shared" si="0"/>
        <v/>
      </c>
      <c r="Y4" s="876" t="str">
        <f t="shared" si="0"/>
        <v/>
      </c>
      <c r="Z4" s="876" t="str">
        <f t="shared" si="0"/>
        <v/>
      </c>
      <c r="AA4" s="876" t="str">
        <f t="shared" si="0"/>
        <v/>
      </c>
      <c r="AB4" s="876" t="str">
        <f t="shared" si="0"/>
        <v/>
      </c>
      <c r="AC4" s="876" t="str">
        <f t="shared" si="0"/>
        <v/>
      </c>
      <c r="AD4" s="876" t="str">
        <f t="shared" si="0"/>
        <v/>
      </c>
      <c r="AE4" s="876" t="str">
        <f t="shared" si="0"/>
        <v/>
      </c>
      <c r="AF4" s="876" t="str">
        <f t="shared" si="0"/>
        <v/>
      </c>
      <c r="AG4" s="876" t="str">
        <f t="shared" si="0"/>
        <v/>
      </c>
      <c r="AH4" s="876" t="str">
        <f t="shared" si="0"/>
        <v/>
      </c>
      <c r="AI4" s="876" t="str">
        <f t="shared" si="0"/>
        <v/>
      </c>
      <c r="AJ4" s="876" t="str">
        <f t="shared" si="0"/>
        <v/>
      </c>
      <c r="AK4" s="876" t="str">
        <f t="shared" si="0"/>
        <v/>
      </c>
      <c r="AL4" s="876" t="str">
        <f t="shared" si="0"/>
        <v/>
      </c>
      <c r="AM4" s="876" t="str">
        <f t="shared" si="0"/>
        <v/>
      </c>
      <c r="AN4" s="876" t="str">
        <f t="shared" si="0"/>
        <v/>
      </c>
      <c r="AO4" s="876" t="str">
        <f t="shared" si="0"/>
        <v/>
      </c>
      <c r="AP4" s="876" t="str">
        <f t="shared" si="0"/>
        <v/>
      </c>
      <c r="AQ4" s="876" t="str">
        <f t="shared" si="0"/>
        <v/>
      </c>
      <c r="AR4" s="876" t="str">
        <f t="shared" si="0"/>
        <v/>
      </c>
      <c r="AS4" s="876" t="str">
        <f t="shared" si="0"/>
        <v/>
      </c>
      <c r="AT4" s="876" t="str">
        <f t="shared" si="0"/>
        <v/>
      </c>
      <c r="AU4" s="876" t="str">
        <f t="shared" si="0"/>
        <v/>
      </c>
      <c r="AV4" s="876" t="str">
        <f t="shared" si="0"/>
        <v/>
      </c>
    </row>
    <row r="5" spans="1:48">
      <c r="A5" s="433"/>
      <c r="B5" s="815">
        <f t="shared" ref="B5:Q5" si="1">IF($A$4="Select: Calendar Year",C5-1,CONCATENATE(LEFT(C5,4)-1,"-",RIGHT(LEFT(C5,4),2)))</f>
        <v>1999</v>
      </c>
      <c r="C5" s="815">
        <f t="shared" si="1"/>
        <v>2000</v>
      </c>
      <c r="D5" s="815">
        <f t="shared" si="1"/>
        <v>2001</v>
      </c>
      <c r="E5" s="815">
        <f t="shared" si="1"/>
        <v>2002</v>
      </c>
      <c r="F5" s="815">
        <f t="shared" si="1"/>
        <v>2003</v>
      </c>
      <c r="G5" s="815">
        <f t="shared" si="1"/>
        <v>2004</v>
      </c>
      <c r="H5" s="815">
        <f t="shared" si="1"/>
        <v>2005</v>
      </c>
      <c r="I5" s="815">
        <f t="shared" si="1"/>
        <v>2006</v>
      </c>
      <c r="J5" s="815">
        <f t="shared" si="1"/>
        <v>2007</v>
      </c>
      <c r="K5" s="815">
        <f t="shared" si="1"/>
        <v>2008</v>
      </c>
      <c r="L5" s="815">
        <f t="shared" si="1"/>
        <v>2009</v>
      </c>
      <c r="M5" s="815">
        <f t="shared" si="1"/>
        <v>2010</v>
      </c>
      <c r="N5" s="815">
        <f t="shared" si="1"/>
        <v>2011</v>
      </c>
      <c r="O5" s="815">
        <f t="shared" si="1"/>
        <v>2012</v>
      </c>
      <c r="P5" s="815">
        <f t="shared" si="1"/>
        <v>2013</v>
      </c>
      <c r="Q5" s="815">
        <f t="shared" si="1"/>
        <v>2014</v>
      </c>
      <c r="R5" s="815">
        <f>IF($A$4="Select: Calendar Year",VALUE("2015"),"2014-15")</f>
        <v>2015</v>
      </c>
      <c r="S5" s="1380">
        <f>IF($A$4="Select: Calendar Year",R5+1,CONCATENATE(LEFT(R5,4)+1,"-",VALUE(RIGHT(LEFT(R5,4),2))+2))</f>
        <v>2016</v>
      </c>
      <c r="T5" s="1382">
        <f>IF($A$4="Select: Calendar Year",S5+1,CONCATENATE(LEFT(S5,4)+1,"-",VALUE(RIGHT(LEFT(S5,4),2))+2))</f>
        <v>2017</v>
      </c>
      <c r="U5" s="1382">
        <f>IF($A$4="Select: Calendar Year",T5+1,CONCATENATE(LEFT(T5,4)+1,"-",VALUE(RIGHT(LEFT(T5,4),2))+2))</f>
        <v>2018</v>
      </c>
      <c r="V5" s="1382">
        <f>IF($A$4="Select: Calendar Year",U5+1,CONCATENATE(LEFT(U5,4)+1,"-",VALUE(RIGHT(LEFT(U5,4),2))+2))</f>
        <v>2019</v>
      </c>
      <c r="W5" s="426"/>
    </row>
    <row r="6" spans="1:48" ht="15.75" thickBot="1">
      <c r="A6" s="435" t="s">
        <v>449</v>
      </c>
      <c r="B6" s="436" t="s">
        <v>348</v>
      </c>
      <c r="C6" s="437" t="s">
        <v>348</v>
      </c>
      <c r="D6" s="436" t="s">
        <v>348</v>
      </c>
      <c r="E6" s="437" t="s">
        <v>348</v>
      </c>
      <c r="F6" s="436" t="s">
        <v>348</v>
      </c>
      <c r="G6" s="437" t="s">
        <v>348</v>
      </c>
      <c r="H6" s="436" t="s">
        <v>348</v>
      </c>
      <c r="I6" s="437" t="s">
        <v>348</v>
      </c>
      <c r="J6" s="436" t="s">
        <v>348</v>
      </c>
      <c r="K6" s="437" t="s">
        <v>348</v>
      </c>
      <c r="L6" s="436" t="s">
        <v>348</v>
      </c>
      <c r="M6" s="437" t="s">
        <v>348</v>
      </c>
      <c r="N6" s="436" t="s">
        <v>348</v>
      </c>
      <c r="O6" s="437" t="s">
        <v>348</v>
      </c>
      <c r="P6" s="436" t="s">
        <v>348</v>
      </c>
      <c r="Q6" s="437" t="s">
        <v>348</v>
      </c>
      <c r="R6" s="437" t="str">
        <f ca="1">IF(TODAY()&gt;DATE(2015,5,1),"$M","")</f>
        <v>$M</v>
      </c>
      <c r="S6" s="1381" t="str">
        <f ca="1">IF(TODAY()&gt;DATE(2015,5,1),"$M","")</f>
        <v>$M</v>
      </c>
      <c r="T6" s="1383" t="str">
        <f ca="1">IF(TODAY()&gt;DATE(2015,5,1),"$M","")</f>
        <v>$M</v>
      </c>
      <c r="U6" s="1383" t="str">
        <f ca="1">IF(TODAY()&gt;DATE(2018,5,1),"$M","")</f>
        <v>$M</v>
      </c>
      <c r="V6" s="1383" t="str">
        <f ca="1">IF(TODAY()&gt;DATE(2018,5,1),"$M","")</f>
        <v>$M</v>
      </c>
      <c r="W6" s="427" t="str">
        <f ca="1">IF(TODAY()&gt;DATE(2020,5,1),"$M","")</f>
        <v/>
      </c>
    </row>
    <row r="7" spans="1:48">
      <c r="A7" s="434" t="s">
        <v>732</v>
      </c>
      <c r="B7" s="1553">
        <f ca="1">IF($A$4="Select: Calendar Year",INDIRECT(CONCATENATE("'CY Q&amp;V 1886-2003'!",ADDRESS(MATCH("Spodumene",'CY Q&amp;V 1886-2003'!$A$1:$A$230,0),MATCH(CONCATENATE(B$5," Value"),'CY Q&amp;V 1886-2003'!$A$8:$BH$8,0))),TRUE)/1000000,INDIRECT(CONCATENATE("'FY Q&amp;V 1984-85 to 2002-03'!",ADDRESS(MATCH("Spodumene",'FY Q&amp;V 1984-85 to 2002-03'!$A$1:$A$228,0),MATCH(CONCATENATE(B$5," Value"),'FY Q&amp;V 1984-85 to 2002-03'!$A$8:$BS$8,0))),TRUE)/1000000)</f>
        <v>11.453258</v>
      </c>
      <c r="C7" s="1553">
        <f ca="1">IF($A$4="Select: Calendar Year",INDIRECT(CONCATENATE("'CY Q&amp;V 1886-2003'!",ADDRESS(MATCH("Spodumene",'CY Q&amp;V 1886-2003'!$A$1:$A$230,0),MATCH(CONCATENATE(C$5," Value"),'CY Q&amp;V 1886-2003'!$A$8:$BH$8,0))),TRUE)/1000000,INDIRECT(CONCATENATE("'FY Q&amp;V 1984-85 to 2002-03'!",ADDRESS(MATCH("Spodumene",'FY Q&amp;V 1984-85 to 2002-03'!$A$1:$A$228,0),MATCH(CONCATENATE(C$5," Value"),'FY Q&amp;V 1984-85 to 2002-03'!$A$8:$BS$8,0))),TRUE)/1000000)</f>
        <v>16.45815</v>
      </c>
      <c r="D7" s="1553" t="s">
        <v>685</v>
      </c>
      <c r="E7" s="1553" t="s">
        <v>685</v>
      </c>
      <c r="F7" s="1553" t="s">
        <v>685</v>
      </c>
      <c r="G7" s="1553">
        <f ca="1">IF($A$4="Select: Calendar Year",INDIRECT(CONCATENATE("'CY Q&amp;V 2004-Now'!",ADDRESS(MATCH("Spodumene",'CY Q&amp;V 2004-Now'!$A$1:$A$107,0),MATCH(CONCATENATE(G$5," Value"),'CY Q&amp;V 2004-Now'!$A$8:$CP$8,0))),TRUE)/1000000,INDIRECT(CONCATENATE("'FY Q&amp;V 2003-04 to Now'!",ADDRESS(MATCH("Spodumene",'FY Q&amp;V 2003-04 to Now'!$A$1:$A$105,0),MATCH(CONCATENATE(G$5," Value"),'FY Q&amp;V 2003-04 to Now'!$A$8:$CN$8,0))),TRUE)/1000000)</f>
        <v>24.199351</v>
      </c>
      <c r="H7" s="1553">
        <f ca="1">IF($A$4="Select: Calendar Year",INDIRECT(CONCATENATE("'CY Q&amp;V 2004-Now'!",ADDRESS(MATCH("Spodumene",'CY Q&amp;V 2004-Now'!$A$1:$A$107,0),MATCH(CONCATENATE(H$5," Value"),'CY Q&amp;V 2004-Now'!$A$8:$CP$8,0))),TRUE)/1000000,INDIRECT(CONCATENATE("'FY Q&amp;V 2003-04 to Now'!",ADDRESS(MATCH("Spodumene",'FY Q&amp;V 2003-04 to Now'!$A$1:$A$105,0),MATCH(CONCATENATE(H$5," Value"),'FY Q&amp;V 2003-04 to Now'!$A$8:$CN$8,0))),TRUE)/1000000)</f>
        <v>30.318278999999997</v>
      </c>
      <c r="I7" s="1553">
        <f ca="1">IF($A$4="Select: Calendar Year",INDIRECT(CONCATENATE("'CY Q&amp;V 2004-Now'!",ADDRESS(MATCH("Spodumene",'CY Q&amp;V 2004-Now'!$A$1:$A$107,0),MATCH(CONCATENATE(I$5," Value"),'CY Q&amp;V 2004-Now'!$A$8:$CP$8,0))),TRUE)/1000000,INDIRECT(CONCATENATE("'FY Q&amp;V 2003-04 to Now'!",ADDRESS(MATCH("Spodumene",'FY Q&amp;V 2003-04 to Now'!$A$1:$A$105,0),MATCH(CONCATENATE(I$5," Value"),'FY Q&amp;V 2003-04 to Now'!$A$8:$CN$8,0))),TRUE)/1000000)</f>
        <v>51.784586000000004</v>
      </c>
      <c r="J7" s="1553">
        <f ca="1">IF($A$4="Select: Calendar Year",INDIRECT(CONCATENATE("'CY Q&amp;V 2004-Now'!",ADDRESS(MATCH("Spodumene",'CY Q&amp;V 2004-Now'!$A$1:$A$107,0),MATCH(CONCATENATE(J$5," Value"),'CY Q&amp;V 2004-Now'!$A$8:$CP$8,0))),TRUE)/1000000,INDIRECT(CONCATENATE("'FY Q&amp;V 2003-04 to Now'!",ADDRESS(MATCH("Spodumene",'FY Q&amp;V 2003-04 to Now'!$A$1:$A$105,0),MATCH(CONCATENATE(J$5," Value"),'FY Q&amp;V 2003-04 to Now'!$A$8:$CN$8,0))),TRUE)/1000000)</f>
        <v>67.904724999999999</v>
      </c>
      <c r="K7" s="1553">
        <f ca="1">IF($A$4="Select: Calendar Year",INDIRECT(CONCATENATE("'CY Q&amp;V 2004-Now'!",ADDRESS(MATCH("Spodumene",'CY Q&amp;V 2004-Now'!$A$1:$A$107,0),MATCH(CONCATENATE(K$5," Value"),'CY Q&amp;V 2004-Now'!$A$8:$CP$8,0))),TRUE)/1000000,INDIRECT(CONCATENATE("'FY Q&amp;V 2003-04 to Now'!",ADDRESS(MATCH("Spodumene",'FY Q&amp;V 2003-04 to Now'!$A$1:$A$105,0),MATCH(CONCATENATE(K$5," Value"),'FY Q&amp;V 2003-04 to Now'!$A$8:$CN$8,0))),TRUE)/1000000)</f>
        <v>73.33752733</v>
      </c>
      <c r="L7" s="1553">
        <f ca="1">IF($A$4="Select: Calendar Year",INDIRECT(CONCATENATE("'CY Q&amp;V 2004-Now'!",ADDRESS(MATCH("Spodumene",'CY Q&amp;V 2004-Now'!$A$1:$A$107,0),MATCH(CONCATENATE(L$5," Value"),'CY Q&amp;V 2004-Now'!$A$8:$CP$8,0))),TRUE)/1000000,INDIRECT(CONCATENATE("'FY Q&amp;V 2003-04 to Now'!",ADDRESS(MATCH("Spodumene",'FY Q&amp;V 2003-04 to Now'!$A$1:$A$105,0),MATCH(CONCATENATE(L$5," Value"),'FY Q&amp;V 2003-04 to Now'!$A$8:$CN$8,0))),TRUE)/1000000)</f>
        <v>71.703547</v>
      </c>
      <c r="M7" s="1553">
        <f ca="1">IF($A$4="Select: Calendar Year",INDIRECT(CONCATENATE("'CY Q&amp;V 2004-Now'!",ADDRESS(MATCH("Spodumene",'CY Q&amp;V 2004-Now'!$A$1:$A$107,0),MATCH(CONCATENATE(M$5," Value"),'CY Q&amp;V 2004-Now'!$A$8:$CP$8,0))),TRUE)/1000000,INDIRECT(CONCATENATE("'FY Q&amp;V 2003-04 to Now'!",ADDRESS(MATCH("Spodumene",'FY Q&amp;V 2003-04 to Now'!$A$1:$A$105,0),MATCH(CONCATENATE(M$5," Value"),'FY Q&amp;V 2003-04 to Now'!$A$8:$CN$8,0))),TRUE)/1000000)</f>
        <v>92.182259810000005</v>
      </c>
      <c r="N7" s="1553">
        <f ca="1">IF($A$4="Select: Calendar Year",INDIRECT(CONCATENATE("'CY Q&amp;V 2004-Now'!",ADDRESS(MATCH("Spodumene",'CY Q&amp;V 2004-Now'!$A$1:$A$107,0),MATCH(CONCATENATE(N$5," Value"),'CY Q&amp;V 2004-Now'!$A$8:$CP$8,0))),TRUE)/1000000,INDIRECT(CONCATENATE("'FY Q&amp;V 2003-04 to Now'!",ADDRESS(MATCH("Spodumene",'FY Q&amp;V 2003-04 to Now'!$A$1:$A$105,0),MATCH(CONCATENATE(N$5," Value"),'FY Q&amp;V 2003-04 to Now'!$A$8:$CN$8,0))),TRUE)/1000000)</f>
        <v>117.3272889</v>
      </c>
      <c r="O7" s="1553">
        <f ca="1">IF($A$4="Select: Calendar Year",INDIRECT(CONCATENATE("'CY Q&amp;V 2004-Now'!",ADDRESS(MATCH("Spodumene",'CY Q&amp;V 2004-Now'!$A$1:$A$107,0),MATCH(CONCATENATE(O$5," Value"),'CY Q&amp;V 2004-Now'!$A$8:$CP$8,0))),TRUE)/1000000,INDIRECT(CONCATENATE("'FY Q&amp;V 2003-04 to Now'!",ADDRESS(MATCH("Spodumene",'FY Q&amp;V 2003-04 to Now'!$A$1:$A$105,0),MATCH(CONCATENATE(O$5," Value"),'FY Q&amp;V 2003-04 to Now'!$A$8:$CN$8,0))),TRUE)/1000000)</f>
        <v>162.18938188999999</v>
      </c>
      <c r="P7" s="1553">
        <f ca="1">IF($A$4="Select: Calendar Year",INDIRECT(CONCATENATE("'CY Q&amp;V 2004-Now'!",ADDRESS(MATCH("Spodumene",'CY Q&amp;V 2004-Now'!$A$1:$A$107,0),MATCH(CONCATENATE(P$5," Value"),'CY Q&amp;V 2004-Now'!$A$8:$CP$8,0))),TRUE)/1000000,INDIRECT(CONCATENATE("'FY Q&amp;V 2003-04 to Now'!",ADDRESS(MATCH("Spodumene",'FY Q&amp;V 2003-04 to Now'!$A$1:$A$105,0),MATCH(CONCATENATE(P$5," Value"),'FY Q&amp;V 2003-04 to Now'!$A$8:$CN$8,0))),TRUE)/1000000)</f>
        <v>169.28654441999998</v>
      </c>
      <c r="Q7" s="1553">
        <f ca="1">IF($A$4="Select: Calendar Year",INDIRECT(CONCATENATE("'CY Q&amp;V 2004-Now'!",ADDRESS(MATCH("Spodumene",'CY Q&amp;V 2004-Now'!$A$1:$A$107,0),MATCH(CONCATENATE(Q$5," Value"),'CY Q&amp;V 2004-Now'!$A$8:$CP$8,0))),TRUE)/1000000,INDIRECT(CONCATENATE("'FY Q&amp;V 2003-04 to Now'!",ADDRESS(MATCH("Spodumene",'FY Q&amp;V 2003-04 to Now'!$A$1:$A$105,0),MATCH(CONCATENATE(Q$5," Value"),'FY Q&amp;V 2003-04 to Now'!$A$8:$CN$8,0))),TRUE)/1000000)</f>
        <v>201.517762</v>
      </c>
      <c r="R7" s="1553">
        <f ca="1">IF($A$4="Select: Calendar Year",INDIRECT(CONCATENATE("'CY Q&amp;V 2004-Now'!",ADDRESS(MATCH("Spodumene",'CY Q&amp;V 2004-Now'!$A$1:$A$107,0),MATCH(CONCATENATE(R$5," Value"),'CY Q&amp;V 2004-Now'!$A$8:$CP$8,0))),TRUE)/1000000,INDIRECT(CONCATENATE("'FY Q&amp;V 2003-04 to Now'!",ADDRESS(MATCH("Spodumene",'FY Q&amp;V 2003-04 to Now'!$A$1:$A$105,0),MATCH(CONCATENATE(R$5," Value"),'FY Q&amp;V 2003-04 to Now'!$A$8:$CN$8,0))),TRUE)/1000000)</f>
        <v>240.17827200000002</v>
      </c>
      <c r="S7" s="1553">
        <f ca="1">IF($A$4="Select: Calendar Year",INDIRECT(CONCATENATE("'CY Q&amp;V 2004-Now'!",ADDRESS(MATCH("Spodumene",'CY Q&amp;V 2004-Now'!$A$1:$A$107,0),MATCH(CONCATENATE(S$5," Value"),'CY Q&amp;V 2004-Now'!$A$8:$CP$8,0))),TRUE)/1000000,INDIRECT(CONCATENATE("'FY Q&amp;V 2003-04 to Now'!",ADDRESS(MATCH("Spodumene",'FY Q&amp;V 2003-04 to Now'!$A$1:$A$105,0),MATCH(CONCATENATE(S$5," Value"),'FY Q&amp;V 2003-04 to Now'!$A$8:$CN$8,0))),TRUE)/1000000)</f>
        <v>293.85964200000001</v>
      </c>
      <c r="T7" s="1553">
        <f ca="1">IF($A$4="Select: Calendar Year",INDIRECT(CONCATENATE("'CY Q&amp;V 2004-Now'!",ADDRESS(MATCH("Spodumene",'CY Q&amp;V 2004-Now'!$A$1:$A$107,0),MATCH(CONCATENATE(T$5," Value"),'CY Q&amp;V 2004-Now'!$A$8:$CP$8,0))),TRUE)/1000000,INDIRECT(CONCATENATE("'FY Q&amp;V 2003-04 to Now'!",ADDRESS(MATCH("Spodumene",'FY Q&amp;V 2003-04 to Now'!$A$1:$A$105,0),MATCH(CONCATENATE(T$5," Value"),'FY Q&amp;V 2003-04 to Now'!$A$8:$CN$8,0))),TRUE)/1000000)</f>
        <v>1198.5285669999998</v>
      </c>
      <c r="U7" s="1553">
        <f ca="1">IF($A$4="Select: Calendar Year",INDIRECT(CONCATENATE("'CY Q&amp;V 2004-Now'!",ADDRESS(MATCH("Spodumene",'CY Q&amp;V 2004-Now'!$A$1:$A$107,0),MATCH(CONCATENATE(U$5," Value"),'CY Q&amp;V 2004-Now'!$A$8:$CP$8,0))),TRUE)/1000000,INDIRECT(CONCATENATE("'FY Q&amp;V 2003-04 to Now'!",ADDRESS(MATCH("Spodumene",'FY Q&amp;V 2003-04 to Now'!$A$1:$A$105,0),MATCH(CONCATENATE(U$5," Value"),'FY Q&amp;V 2003-04 to Now'!$A$8:$CN$8,0))),TRUE)/1000000)</f>
        <v>1862.9575689999999</v>
      </c>
      <c r="V7" s="1553">
        <f ca="1">IF($A$4="Select: Calendar Year",INDIRECT(CONCATENATE("'CY Q&amp;V 2004-Now'!",ADDRESS(MATCH("Spodumene",'CY Q&amp;V 2004-Now'!$A$1:$A$107,0),MATCH(CONCATENATE(V$5," Value"),'CY Q&amp;V 2004-Now'!$A$8:$CP$8,0))),TRUE)/1000000,INDIRECT(CONCATENATE("'FY Q&amp;V 2003-04 to Now'!",ADDRESS(MATCH("Spodumene",'FY Q&amp;V 2003-04 to Now'!$A$1:$A$105,0),MATCH(CONCATENATE(V$5," Value"),'FY Q&amp;V 2003-04 to Now'!$A$8:$CN$8,0))),TRUE)/1000000)</f>
        <v>1345.7890170000001</v>
      </c>
    </row>
    <row r="8" spans="1:48">
      <c r="A8" s="434" t="s">
        <v>538</v>
      </c>
      <c r="B8" s="1554">
        <f ca="1">IF($A$4="Select: Calendar Year",INDIRECT(CONCATENATE("'CY Q&amp;V 1886-2003'!",ADDRESS(MATCH("TOTAL MINERAL SANDS",'CY Q&amp;V 1886-2003'!$A$1:$A$230,0),MATCH(CONCATENATE(B$5," Value"),'CY Q&amp;V 1886-2003'!$A$8:$BH$8,0))),TRUE)/1000000,INDIRECT(CONCATENATE("'FY Q&amp;V 1984-85 to 2002-03'!",ADDRESS(MATCH("TOTAL MINERAL SANDS",'FY Q&amp;V 1984-85 to 2002-03'!$A$1:$A$228,0),MATCH(CONCATENATE(B$5," Value"),'FY Q&amp;V 1984-85 to 2002-03'!$A$8:$BS$8,0))),TRUE)/1000000)</f>
        <v>688.48940554850321</v>
      </c>
      <c r="C8" s="1554">
        <f ca="1">IF($A$4="Select: Calendar Year",INDIRECT(CONCATENATE("'CY Q&amp;V 1886-2003'!",ADDRESS(MATCH("TOTAL MINERAL SANDS",'CY Q&amp;V 1886-2003'!$A$1:$A$230,0),MATCH(CONCATENATE(C$5," Value"),'CY Q&amp;V 1886-2003'!$A$8:$BH$8,0))),TRUE)/1000000,INDIRECT(CONCATENATE("'FY Q&amp;V 1984-85 to 2002-03'!",ADDRESS(MATCH("TOTAL MINERAL SANDS",'FY Q&amp;V 1984-85 to 2002-03'!$A$1:$A$228,0),MATCH(CONCATENATE(C$5," Value"),'FY Q&amp;V 1984-85 to 2002-03'!$A$8:$BS$8,0))),TRUE)/1000000)</f>
        <v>862.92710030203307</v>
      </c>
      <c r="D8" s="1554">
        <f ca="1">IF($A$4="Select: Calendar Year",INDIRECT(CONCATENATE("'CY Q&amp;V 1886-2003'!",ADDRESS(MATCH("TOTAL MINERAL SANDS",'CY Q&amp;V 1886-2003'!$A$1:$A$230,0),MATCH(CONCATENATE(D$5," Value"),'CY Q&amp;V 1886-2003'!$A$8:$BH$8,0))),TRUE)/1000000,INDIRECT(CONCATENATE("'FY Q&amp;V 1984-85 to 2002-03'!",ADDRESS(MATCH("TOTAL MINERAL SANDS",'FY Q&amp;V 1984-85 to 2002-03'!$A$1:$A$228,0),MATCH(CONCATENATE(D$5," Value"),'FY Q&amp;V 1984-85 to 2002-03'!$A$8:$BS$8,0))),TRUE)/1000000)</f>
        <v>897.3798996484187</v>
      </c>
      <c r="E8" s="1554">
        <f ca="1">IF($A$4="Select: Calendar Year",INDIRECT(CONCATENATE("'CY Q&amp;V 1886-2003'!",ADDRESS(MATCH("TOTAL MINERAL SANDS",'CY Q&amp;V 1886-2003'!$A$1:$A$230,0),MATCH(CONCATENATE(E$5," Value"),'CY Q&amp;V 1886-2003'!$A$8:$BH$8,0))),TRUE)/1000000,INDIRECT(CONCATENATE("'FY Q&amp;V 1984-85 to 2002-03'!",ADDRESS(MATCH("TOTAL MINERAL SANDS",'FY Q&amp;V 1984-85 to 2002-03'!$A$1:$A$228,0),MATCH(CONCATENATE(E$5," Value"),'FY Q&amp;V 1984-85 to 2002-03'!$A$8:$BS$8,0))),TRUE)/1000000)</f>
        <v>855.873064</v>
      </c>
      <c r="F8" s="1554">
        <f ca="1">IF($A$4="Select: Calendar Year",INDIRECT(CONCATENATE("'CY Q&amp;V 1886-2003'!",ADDRESS(MATCH("TOTAL MINERAL SANDS",'CY Q&amp;V 1886-2003'!$A$1:$A$230,0),MATCH(CONCATENATE(F$5," Value"),'CY Q&amp;V 1886-2003'!$A$8:$BH$8,0))),TRUE)/1000000,INDIRECT(CONCATENATE("'FY Q&amp;V 1984-85 to 2002-03'!",ADDRESS(MATCH("TOTAL MINERAL SANDS",'FY Q&amp;V 1984-85 to 2002-03'!$A$1:$A$228,0),MATCH(CONCATENATE(F$5," Value"),'FY Q&amp;V 1984-85 to 2002-03'!$A$8:$BS$8,0))),TRUE)/1000000)</f>
        <v>760.74939300000005</v>
      </c>
      <c r="G8" s="1554">
        <f ca="1">IF($A$4="Select: Calendar Year",INDIRECT(CONCATENATE("'CY Q&amp;V 2004-Now'!",ADDRESS(MATCH("TOTAL MINERAL SANDS",'CY Q&amp;V 2004-Now'!$A$1:$A$107,0),MATCH(CONCATENATE(G$5," Value"),'CY Q&amp;V 2004-Now'!$A$8:$CP$8,0))),TRUE)/1000000,INDIRECT(CONCATENATE("'FY Q&amp;V 2003-04 to Now'!",ADDRESS(MATCH("TOTAL MINERAL SANDS",'FY Q&amp;V 2003-04 to Now'!$A$1:$A$105,0),MATCH(CONCATENATE(G$5," Value"),'FY Q&amp;V 2003-04 to Now'!$A$8:$CN$8,0))),TRUE)/1000000)</f>
        <v>764.91077921212127</v>
      </c>
      <c r="H8" s="1554">
        <f ca="1">IF($A$4="Select: Calendar Year",INDIRECT(CONCATENATE("'CY Q&amp;V 2004-Now'!",ADDRESS(MATCH("TOTAL MINERAL SANDS",'CY Q&amp;V 2004-Now'!$A$1:$A$107,0),MATCH(CONCATENATE(H$5," Value"),'CY Q&amp;V 2004-Now'!$A$8:$CP$8,0))),TRUE)/1000000,INDIRECT(CONCATENATE("'FY Q&amp;V 2003-04 to Now'!",ADDRESS(MATCH("TOTAL MINERAL SANDS",'FY Q&amp;V 2003-04 to Now'!$A$1:$A$105,0),MATCH(CONCATENATE(H$5," Value"),'FY Q&amp;V 2003-04 to Now'!$A$8:$CN$8,0))),TRUE)/1000000)</f>
        <v>846.79359163939398</v>
      </c>
      <c r="I8" s="1554">
        <f ca="1">IF($A$4="Select: Calendar Year",INDIRECT(CONCATENATE("'CY Q&amp;V 2004-Now'!",ADDRESS(MATCH("TOTAL MINERAL SANDS",'CY Q&amp;V 2004-Now'!$A$1:$A$107,0),MATCH(CONCATENATE(I$5," Value"),'CY Q&amp;V 2004-Now'!$A$8:$CP$8,0))),TRUE)/1000000,INDIRECT(CONCATENATE("'FY Q&amp;V 2003-04 to Now'!",ADDRESS(MATCH("TOTAL MINERAL SANDS",'FY Q&amp;V 2003-04 to Now'!$A$1:$A$105,0),MATCH(CONCATENATE(I$5," Value"),'FY Q&amp;V 2003-04 to Now'!$A$8:$CN$8,0))),TRUE)/1000000)</f>
        <v>886.26281036130922</v>
      </c>
      <c r="J8" s="1554">
        <f ca="1">IF($A$4="Select: Calendar Year",INDIRECT(CONCATENATE("'CY Q&amp;V 2004-Now'!",ADDRESS(MATCH("TOTAL MINERAL SANDS",'CY Q&amp;V 2004-Now'!$A$1:$A$107,0),MATCH(CONCATENATE(J$5," Value"),'CY Q&amp;V 2004-Now'!$A$8:$CP$8,0))),TRUE)/1000000,INDIRECT(CONCATENATE("'FY Q&amp;V 2003-04 to Now'!",ADDRESS(MATCH("TOTAL MINERAL SANDS",'FY Q&amp;V 2003-04 to Now'!$A$1:$A$105,0),MATCH(CONCATENATE(J$5," Value"),'FY Q&amp;V 2003-04 to Now'!$A$8:$CN$8,0))),TRUE)/1000000)</f>
        <v>691.05571360429815</v>
      </c>
      <c r="K8" s="1554">
        <f ca="1">IF($A$4="Select: Calendar Year",INDIRECT(CONCATENATE("'CY Q&amp;V 2004-Now'!",ADDRESS(MATCH("TOTAL MINERAL SANDS",'CY Q&amp;V 2004-Now'!$A$1:$A$107,0),MATCH(CONCATENATE(K$5," Value"),'CY Q&amp;V 2004-Now'!$A$8:$CP$8,0))),TRUE)/1000000,INDIRECT(CONCATENATE("'FY Q&amp;V 2003-04 to Now'!",ADDRESS(MATCH("TOTAL MINERAL SANDS",'FY Q&amp;V 2003-04 to Now'!$A$1:$A$105,0),MATCH(CONCATENATE(K$5," Value"),'FY Q&amp;V 2003-04 to Now'!$A$8:$CN$8,0))),TRUE)/1000000)</f>
        <v>777.13671799124882</v>
      </c>
      <c r="L8" s="1554">
        <f ca="1">IF($A$4="Select: Calendar Year",INDIRECT(CONCATENATE("'CY Q&amp;V 2004-Now'!",ADDRESS(MATCH("TOTAL MINERAL SANDS",'CY Q&amp;V 2004-Now'!$A$1:$A$107,0),MATCH(CONCATENATE(L$5," Value"),'CY Q&amp;V 2004-Now'!$A$8:$CP$8,0))),TRUE)/1000000,INDIRECT(CONCATENATE("'FY Q&amp;V 2003-04 to Now'!",ADDRESS(MATCH("TOTAL MINERAL SANDS",'FY Q&amp;V 2003-04 to Now'!$A$1:$A$105,0),MATCH(CONCATENATE(L$5," Value"),'FY Q&amp;V 2003-04 to Now'!$A$8:$CN$8,0))),TRUE)/1000000)</f>
        <v>641.83094086659389</v>
      </c>
      <c r="M8" s="1554">
        <f ca="1">IF($A$4="Select: Calendar Year",INDIRECT(CONCATENATE("'CY Q&amp;V 2004-Now'!",ADDRESS(MATCH("TOTAL MINERAL SANDS",'CY Q&amp;V 2004-Now'!$A$1:$A$107,0),MATCH(CONCATENATE(M$5," Value"),'CY Q&amp;V 2004-Now'!$A$8:$CP$8,0))),TRUE)/1000000,INDIRECT(CONCATENATE("'FY Q&amp;V 2003-04 to Now'!",ADDRESS(MATCH("TOTAL MINERAL SANDS",'FY Q&amp;V 2003-04 to Now'!$A$1:$A$105,0),MATCH(CONCATENATE(M$5," Value"),'FY Q&amp;V 2003-04 to Now'!$A$8:$CN$8,0))),TRUE)/1000000)</f>
        <v>526.47051544375756</v>
      </c>
      <c r="N8" s="1554">
        <f ca="1">IF($A$4="Select: Calendar Year",INDIRECT(CONCATENATE("'CY Q&amp;V 2004-Now'!",ADDRESS(MATCH("TOTAL MINERAL SANDS",'CY Q&amp;V 2004-Now'!$A$1:$A$107,0),MATCH(CONCATENATE(N$5," Value"),'CY Q&amp;V 2004-Now'!$A$8:$CP$8,0))),TRUE)/1000000,INDIRECT(CONCATENATE("'FY Q&amp;V 2003-04 to Now'!",ADDRESS(MATCH("TOTAL MINERAL SANDS",'FY Q&amp;V 2003-04 to Now'!$A$1:$A$105,0),MATCH(CONCATENATE(N$5," Value"),'FY Q&amp;V 2003-04 to Now'!$A$8:$CN$8,0))),TRUE)/1000000)</f>
        <v>591.6221046056703</v>
      </c>
      <c r="O8" s="1554">
        <f ca="1">IF($A$4="Select: Calendar Year",INDIRECT(CONCATENATE("'CY Q&amp;V 2004-Now'!",ADDRESS(MATCH("TOTAL MINERAL SANDS",'CY Q&amp;V 2004-Now'!$A$1:$A$107,0),MATCH(CONCATENATE(O$5," Value"),'CY Q&amp;V 2004-Now'!$A$8:$CP$8,0))),TRUE)/1000000,INDIRECT(CONCATENATE("'FY Q&amp;V 2003-04 to Now'!",ADDRESS(MATCH("TOTAL MINERAL SANDS",'FY Q&amp;V 2003-04 to Now'!$A$1:$A$105,0),MATCH(CONCATENATE(O$5," Value"),'FY Q&amp;V 2003-04 to Now'!$A$8:$CN$8,0))),TRUE)/1000000)</f>
        <v>970.8070320666061</v>
      </c>
      <c r="P8" s="1554">
        <f ca="1">IF($A$4="Select: Calendar Year",INDIRECT(CONCATENATE("'CY Q&amp;V 2004-Now'!",ADDRESS(MATCH("TOTAL MINERAL SANDS",'CY Q&amp;V 2004-Now'!$A$1:$A$107,0),MATCH(CONCATENATE(P$5," Value"),'CY Q&amp;V 2004-Now'!$A$8:$CP$8,0))),TRUE)/1000000,INDIRECT(CONCATENATE("'FY Q&amp;V 2003-04 to Now'!",ADDRESS(MATCH("TOTAL MINERAL SANDS",'FY Q&amp;V 2003-04 to Now'!$A$1:$A$105,0),MATCH(CONCATENATE(P$5," Value"),'FY Q&amp;V 2003-04 to Now'!$A$8:$CN$8,0))),TRUE)/1000000)</f>
        <v>645.16523759951519</v>
      </c>
      <c r="Q8" s="1554">
        <f ca="1">IF($A$4="Select: Calendar Year",INDIRECT(CONCATENATE("'CY Q&amp;V 2004-Now'!",ADDRESS(MATCH("TOTAL MINERAL SANDS",'CY Q&amp;V 2004-Now'!$A$1:$A$107,0),MATCH(CONCATENATE(Q$5," Value"),'CY Q&amp;V 2004-Now'!$A$8:$CP$8,0))),TRUE)/1000000,INDIRECT(CONCATENATE("'FY Q&amp;V 2003-04 to Now'!",ADDRESS(MATCH("TOTAL MINERAL SANDS",'FY Q&amp;V 2003-04 to Now'!$A$1:$A$105,0),MATCH(CONCATENATE(Q$5," Value"),'FY Q&amp;V 2003-04 to Now'!$A$8:$CN$8,0))),TRUE)/1000000)</f>
        <v>405.23803386666663</v>
      </c>
      <c r="R8" s="1554">
        <f ca="1">IF($A$4="Select: Calendar Year",INDIRECT(CONCATENATE("'CY Q&amp;V 2004-Now'!",ADDRESS(MATCH("TOTAL MINERAL SANDS",'CY Q&amp;V 2004-Now'!$A$1:$A$107,0),MATCH(CONCATENATE(R$5," Value"),'CY Q&amp;V 2004-Now'!$A$8:$CP$8,0))),TRUE)/1000000,INDIRECT(CONCATENATE("'FY Q&amp;V 2003-04 to Now'!",ADDRESS(MATCH("TOTAL MINERAL SANDS",'FY Q&amp;V 2003-04 to Now'!$A$1:$A$105,0),MATCH(CONCATENATE(R$5," Value"),'FY Q&amp;V 2003-04 to Now'!$A$8:$CN$8,0))),TRUE)/1000000)</f>
        <v>586.41359736441711</v>
      </c>
      <c r="S8" s="1554">
        <f ca="1">IF($A$4="Select: Calendar Year",INDIRECT(CONCATENATE("'CY Q&amp;V 2004-Now'!",ADDRESS(MATCH("TOTAL MINERAL SANDS",'CY Q&amp;V 2004-Now'!$A$1:$A$107,0),MATCH(CONCATENATE(S$5," Value"),'CY Q&amp;V 2004-Now'!$A$8:$CP$8,0))),TRUE)/1000000,INDIRECT(CONCATENATE("'FY Q&amp;V 2003-04 to Now'!",ADDRESS(MATCH("TOTAL MINERAL SANDS",'FY Q&amp;V 2003-04 to Now'!$A$1:$A$105,0),MATCH(CONCATENATE(S$5," Value"),'FY Q&amp;V 2003-04 to Now'!$A$8:$CN$8,0))),TRUE)/1000000)</f>
        <v>612.46402801084832</v>
      </c>
      <c r="T8" s="1554">
        <f ca="1">IF($A$4="Select: Calendar Year",INDIRECT(CONCATENATE("'CY Q&amp;V 2004-Now'!",ADDRESS(MATCH("TOTAL MINERAL SANDS",'CY Q&amp;V 2004-Now'!$A$1:$A$107,0),MATCH(CONCATENATE(T$5," Value"),'CY Q&amp;V 2004-Now'!$A$8:$CP$8,0))),TRUE)/1000000,INDIRECT(CONCATENATE("'FY Q&amp;V 2003-04 to Now'!",ADDRESS(MATCH("TOTAL MINERAL SANDS",'FY Q&amp;V 2003-04 to Now'!$A$1:$A$105,0),MATCH(CONCATENATE(T$5," Value"),'FY Q&amp;V 2003-04 to Now'!$A$8:$CN$8,0))),TRUE)/1000000)</f>
        <v>513.50916281765262</v>
      </c>
      <c r="U8" s="1554">
        <f ca="1">IF($A$4="Select: Calendar Year",INDIRECT(CONCATENATE("'CY Q&amp;V 2004-Now'!",ADDRESS(MATCH("TOTAL MINERAL SANDS",'CY Q&amp;V 2004-Now'!$A$1:$A$107,0),MATCH(CONCATENATE(U$5," Value"),'CY Q&amp;V 2004-Now'!$A$8:$CP$8,0))),TRUE)/1000000,INDIRECT(CONCATENATE("'FY Q&amp;V 2003-04 to Now'!",ADDRESS(MATCH("TOTAL MINERAL SANDS",'FY Q&amp;V 2003-04 to Now'!$A$1:$A$105,0),MATCH(CONCATENATE(U$5," Value"),'FY Q&amp;V 2003-04 to Now'!$A$8:$CN$8,0))),TRUE)/1000000)</f>
        <v>628.09778739685089</v>
      </c>
      <c r="V8" s="1554">
        <f ca="1">IF($A$4="Select: Calendar Year",INDIRECT(CONCATENATE("'CY Q&amp;V 2004-Now'!",ADDRESS(MATCH("TOTAL MINERAL SANDS",'CY Q&amp;V 2004-Now'!$A$1:$A$107,0),MATCH(CONCATENATE(V$5," Value"),'CY Q&amp;V 2004-Now'!$A$8:$CP$8,0))),TRUE)/1000000,INDIRECT(CONCATENATE("'FY Q&amp;V 2003-04 to Now'!",ADDRESS(MATCH("TOTAL MINERAL SANDS",'FY Q&amp;V 2003-04 to Now'!$A$1:$A$105,0),MATCH(CONCATENATE(V$5," Value"),'FY Q&amp;V 2003-04 to Now'!$A$8:$CN$8,0))),TRUE)/1000000)</f>
        <v>668.67931226340795</v>
      </c>
    </row>
    <row r="9" spans="1:48">
      <c r="A9" s="434" t="s">
        <v>350</v>
      </c>
      <c r="B9" s="1553">
        <f ca="1">IF($A$4="Select: Calendar Year",INDIRECT(CONCATENATE("'CY Q&amp;V 1886-2003'!",ADDRESS(MATCH("TOTAL BASE METALS",'CY Q&amp;V 1886-2003'!$A$1:$A$230,0),MATCH(CONCATENATE(B$5," Value"),'CY Q&amp;V 1886-2003'!$A$8:$BH$8,0))),TRUE)/1000000,INDIRECT(CONCATENATE("'FY Q&amp;V 1984-85 to 2002-03'!",ADDRESS(MATCH("TOTAL BASE METALS",'FY Q&amp;V 1984-85 to 2002-03'!$A$1:$A$228,0),MATCH(CONCATENATE(B$5," Value"),'FY Q&amp;V 1984-85 to 2002-03'!$A$8:$BS$8,0))),TRUE)/1000000)</f>
        <v>283.07326561000002</v>
      </c>
      <c r="C9" s="1553">
        <f ca="1">IF($A$4="Select: Calendar Year",INDIRECT(CONCATENATE("'CY Q&amp;V 1886-2003'!",ADDRESS(MATCH("TOTAL BASE METALS",'CY Q&amp;V 1886-2003'!$A$1:$A$230,0),MATCH(CONCATENATE(C$5," Value"),'CY Q&amp;V 1886-2003'!$A$8:$BH$8,0))),TRUE)/1000000,INDIRECT(CONCATENATE("'FY Q&amp;V 1984-85 to 2002-03'!",ADDRESS(MATCH("TOTAL BASE METALS",'FY Q&amp;V 1984-85 to 2002-03'!$A$1:$A$228,0),MATCH(CONCATENATE(C$5," Value"),'FY Q&amp;V 1984-85 to 2002-03'!$A$8:$BS$8,0))),TRUE)/1000000)</f>
        <v>390.74459200000001</v>
      </c>
      <c r="D9" s="1553">
        <f ca="1">IF($A$4="Select: Calendar Year",INDIRECT(CONCATENATE("'CY Q&amp;V 1886-2003'!",ADDRESS(MATCH("TOTAL BASE METALS",'CY Q&amp;V 1886-2003'!$A$1:$A$230,0),MATCH(CONCATENATE(D$5," Value"),'CY Q&amp;V 1886-2003'!$A$8:$BH$8,0))),TRUE)/1000000,INDIRECT(CONCATENATE("'FY Q&amp;V 1984-85 to 2002-03'!",ADDRESS(MATCH("TOTAL BASE METALS",'FY Q&amp;V 1984-85 to 2002-03'!$A$1:$A$228,0),MATCH(CONCATENATE(D$5," Value"),'FY Q&amp;V 1984-85 to 2002-03'!$A$8:$BS$8,0))),TRUE)/1000000)</f>
        <v>374.33097400000003</v>
      </c>
      <c r="E9" s="1553">
        <f ca="1">IF($A$4="Select: Calendar Year",INDIRECT(CONCATENATE("'CY Q&amp;V 1886-2003'!",ADDRESS(MATCH("TOTAL BASE METALS",'CY Q&amp;V 1886-2003'!$A$1:$A$230,0),MATCH(CONCATENATE(E$5," Value"),'CY Q&amp;V 1886-2003'!$A$8:$BH$8,0))),TRUE)/1000000,INDIRECT(CONCATENATE("'FY Q&amp;V 1984-85 to 2002-03'!",ADDRESS(MATCH("TOTAL BASE METALS",'FY Q&amp;V 1984-85 to 2002-03'!$A$1:$A$228,0),MATCH(CONCATENATE(E$5," Value"),'FY Q&amp;V 1984-85 to 2002-03'!$A$8:$BS$8,0))),TRUE)/1000000)</f>
        <v>351.24398000000002</v>
      </c>
      <c r="F9" s="1553">
        <f ca="1">IF($A$4="Select: Calendar Year",INDIRECT(CONCATENATE("'CY Q&amp;V 1886-2003'!",ADDRESS(MATCH("TOTAL BASE METALS",'CY Q&amp;V 1886-2003'!$A$1:$A$230,0),MATCH(CONCATENATE(F$5," Value"),'CY Q&amp;V 1886-2003'!$A$8:$BH$8,0))),TRUE)/1000000,INDIRECT(CONCATENATE("'FY Q&amp;V 1984-85 to 2002-03'!",ADDRESS(MATCH("TOTAL BASE METALS",'FY Q&amp;V 1984-85 to 2002-03'!$A$1:$A$228,0),MATCH(CONCATENATE(F$5," Value"),'FY Q&amp;V 1984-85 to 2002-03'!$A$8:$BS$8,0))),TRUE)/1000000)</f>
        <v>309.14665300000001</v>
      </c>
      <c r="G9" s="1553">
        <f ca="1">IF($A$4="Select: Calendar Year",INDIRECT(CONCATENATE("'CY Q&amp;V 2004-Now'!",ADDRESS(MATCH("TOTAL BASE METALS",'CY Q&amp;V 2004-Now'!$A$1:$A$107,0),MATCH(CONCATENATE(G$5," Value"),'CY Q&amp;V 2004-Now'!$A$8:$CP$8,0))),TRUE)/1000000,INDIRECT(CONCATENATE("'FY Q&amp;V 2003-04 to Now'!",ADDRESS(MATCH("TOTAL BASE METALS",'FY Q&amp;V 2003-04 to Now'!$A$1:$A$105,0),MATCH(CONCATENATE(G$5," Value"),'FY Q&amp;V 2003-04 to Now'!$A$8:$CN$8,0))),TRUE)/1000000)</f>
        <v>240.84733416</v>
      </c>
      <c r="H9" s="1553">
        <f ca="1">IF($A$4="Select: Calendar Year",INDIRECT(CONCATENATE("'CY Q&amp;V 2004-Now'!",ADDRESS(MATCH("TOTAL BASE METALS",'CY Q&amp;V 2004-Now'!$A$1:$A$107,0),MATCH(CONCATENATE(H$5," Value"),'CY Q&amp;V 2004-Now'!$A$8:$CP$8,0))),TRUE)/1000000,INDIRECT(CONCATENATE("'FY Q&amp;V 2003-04 to Now'!",ADDRESS(MATCH("TOTAL BASE METALS",'FY Q&amp;V 2003-04 to Now'!$A$1:$A$105,0),MATCH(CONCATENATE(H$5," Value"),'FY Q&amp;V 2003-04 to Now'!$A$8:$CN$8,0))),TRUE)/1000000)</f>
        <v>637.87679933999993</v>
      </c>
      <c r="I9" s="1553">
        <f ca="1">IF($A$4="Select: Calendar Year",INDIRECT(CONCATENATE("'CY Q&amp;V 2004-Now'!",ADDRESS(MATCH("TOTAL BASE METALS",'CY Q&amp;V 2004-Now'!$A$1:$A$107,0),MATCH(CONCATENATE(I$5," Value"),'CY Q&amp;V 2004-Now'!$A$8:$CP$8,0))),TRUE)/1000000,INDIRECT(CONCATENATE("'FY Q&amp;V 2003-04 to Now'!",ADDRESS(MATCH("TOTAL BASE METALS",'FY Q&amp;V 2003-04 to Now'!$A$1:$A$105,0),MATCH(CONCATENATE(I$5," Value"),'FY Q&amp;V 2003-04 to Now'!$A$8:$CN$8,0))),TRUE)/1000000)</f>
        <v>1483.9352044299999</v>
      </c>
      <c r="J9" s="1553">
        <f ca="1">IF($A$4="Select: Calendar Year",INDIRECT(CONCATENATE("'CY Q&amp;V 2004-Now'!",ADDRESS(MATCH("TOTAL BASE METALS",'CY Q&amp;V 2004-Now'!$A$1:$A$107,0),MATCH(CONCATENATE(J$5," Value"),'CY Q&amp;V 2004-Now'!$A$8:$CP$8,0))),TRUE)/1000000,INDIRECT(CONCATENATE("'FY Q&amp;V 2003-04 to Now'!",ADDRESS(MATCH("TOTAL BASE METALS",'FY Q&amp;V 2003-04 to Now'!$A$1:$A$105,0),MATCH(CONCATENATE(J$5," Value"),'FY Q&amp;V 2003-04 to Now'!$A$8:$CN$8,0))),TRUE)/1000000)</f>
        <v>1465.2489422200001</v>
      </c>
      <c r="K9" s="1553">
        <f ca="1">IF($A$4="Select: Calendar Year",INDIRECT(CONCATENATE("'CY Q&amp;V 2004-Now'!",ADDRESS(MATCH("TOTAL BASE METALS",'CY Q&amp;V 2004-Now'!$A$1:$A$107,0),MATCH(CONCATENATE(K$5," Value"),'CY Q&amp;V 2004-Now'!$A$8:$CP$8,0))),TRUE)/1000000,INDIRECT(CONCATENATE("'FY Q&amp;V 2003-04 to Now'!",ADDRESS(MATCH("TOTAL BASE METALS",'FY Q&amp;V 2003-04 to Now'!$A$1:$A$105,0),MATCH(CONCATENATE(K$5," Value"),'FY Q&amp;V 2003-04 to Now'!$A$8:$CN$8,0))),TRUE)/1000000)</f>
        <v>1154.8230538400001</v>
      </c>
      <c r="L9" s="1553">
        <f ca="1">IF($A$4="Select: Calendar Year",INDIRECT(CONCATENATE("'CY Q&amp;V 2004-Now'!",ADDRESS(MATCH("TOTAL BASE METALS",'CY Q&amp;V 2004-Now'!$A$1:$A$107,0),MATCH(CONCATENATE(L$5," Value"),'CY Q&amp;V 2004-Now'!$A$8:$CP$8,0))),TRUE)/1000000,INDIRECT(CONCATENATE("'FY Q&amp;V 2003-04 to Now'!",ADDRESS(MATCH("TOTAL BASE METALS",'FY Q&amp;V 2003-04 to Now'!$A$1:$A$105,0),MATCH(CONCATENATE(L$5," Value"),'FY Q&amp;V 2003-04 to Now'!$A$8:$CN$8,0))),TRUE)/1000000)</f>
        <v>1197.922585</v>
      </c>
      <c r="M9" s="1553">
        <f ca="1">IF($A$4="Select: Calendar Year",INDIRECT(CONCATENATE("'CY Q&amp;V 2004-Now'!",ADDRESS(MATCH("TOTAL BASE METALS",'CY Q&amp;V 2004-Now'!$A$1:$A$107,0),MATCH(CONCATENATE(M$5," Value"),'CY Q&amp;V 2004-Now'!$A$8:$CP$8,0))),TRUE)/1000000,INDIRECT(CONCATENATE("'FY Q&amp;V 2003-04 to Now'!",ADDRESS(MATCH("TOTAL BASE METALS",'FY Q&amp;V 2003-04 to Now'!$A$1:$A$105,0),MATCH(CONCATENATE(M$5," Value"),'FY Q&amp;V 2003-04 to Now'!$A$8:$CN$8,0))),TRUE)/1000000)</f>
        <v>1620.6769831199999</v>
      </c>
      <c r="N9" s="1553">
        <f ca="1">IF($A$4="Select: Calendar Year",INDIRECT(CONCATENATE("'CY Q&amp;V 2004-Now'!",ADDRESS(MATCH("TOTAL BASE METALS",'CY Q&amp;V 2004-Now'!$A$1:$A$107,0),MATCH(CONCATENATE(N$5," Value"),'CY Q&amp;V 2004-Now'!$A$8:$CP$8,0))),TRUE)/1000000,INDIRECT(CONCATENATE("'FY Q&amp;V 2003-04 to Now'!",ADDRESS(MATCH("TOTAL BASE METALS",'FY Q&amp;V 2003-04 to Now'!$A$1:$A$105,0),MATCH(CONCATENATE(N$5," Value"),'FY Q&amp;V 2003-04 to Now'!$A$8:$CN$8,0))),TRUE)/1000000)</f>
        <v>1367.8412058399999</v>
      </c>
      <c r="O9" s="1553">
        <f ca="1">IF($A$4="Select: Calendar Year",INDIRECT(CONCATENATE("'CY Q&amp;V 2004-Now'!",ADDRESS(MATCH("TOTAL BASE METALS",'CY Q&amp;V 2004-Now'!$A$1:$A$107,0),MATCH(CONCATENATE(O$5," Value"),'CY Q&amp;V 2004-Now'!$A$8:$CP$8,0))),TRUE)/1000000,INDIRECT(CONCATENATE("'FY Q&amp;V 2003-04 to Now'!",ADDRESS(MATCH("TOTAL BASE METALS",'FY Q&amp;V 2003-04 to Now'!$A$1:$A$105,0),MATCH(CONCATENATE(O$5," Value"),'FY Q&amp;V 2003-04 to Now'!$A$8:$CN$8,0))),TRUE)/1000000)</f>
        <v>1494.2869990700001</v>
      </c>
      <c r="P9" s="1553">
        <f ca="1">IF($A$4="Select: Calendar Year",INDIRECT(CONCATENATE("'CY Q&amp;V 2004-Now'!",ADDRESS(MATCH("TOTAL BASE METALS",'CY Q&amp;V 2004-Now'!$A$1:$A$107,0),MATCH(CONCATENATE(P$5," Value"),'CY Q&amp;V 2004-Now'!$A$8:$CP$8,0))),TRUE)/1000000,INDIRECT(CONCATENATE("'FY Q&amp;V 2003-04 to Now'!",ADDRESS(MATCH("TOTAL BASE METALS",'FY Q&amp;V 2003-04 to Now'!$A$1:$A$105,0),MATCH(CONCATENATE(P$5," Value"),'FY Q&amp;V 2003-04 to Now'!$A$8:$CN$8,0))),TRUE)/1000000)</f>
        <v>1705.1024500199999</v>
      </c>
      <c r="Q9" s="1553">
        <f ca="1">IF($A$4="Select: Calendar Year",INDIRECT(CONCATENATE("'CY Q&amp;V 2004-Now'!",ADDRESS(MATCH("TOTAL BASE METALS",'CY Q&amp;V 2004-Now'!$A$1:$A$107,0),MATCH(CONCATENATE(Q$5," Value"),'CY Q&amp;V 2004-Now'!$A$8:$CP$8,0))),TRUE)/1000000,INDIRECT(CONCATENATE("'FY Q&amp;V 2003-04 to Now'!",ADDRESS(MATCH("TOTAL BASE METALS",'FY Q&amp;V 2003-04 to Now'!$A$1:$A$105,0),MATCH(CONCATENATE(Q$5," Value"),'FY Q&amp;V 2003-04 to Now'!$A$8:$CN$8,0))),TRUE)/1000000)</f>
        <v>1759.2699549999998</v>
      </c>
      <c r="R9" s="1553">
        <f ca="1">IF($A$4="Select: Calendar Year",INDIRECT(CONCATENATE("'CY Q&amp;V 2004-Now'!",ADDRESS(MATCH("TOTAL BASE METALS",'CY Q&amp;V 2004-Now'!$A$1:$A$107,0),MATCH(CONCATENATE(R$5," Value"),'CY Q&amp;V 2004-Now'!$A$8:$CP$8,0))),TRUE)/1000000,INDIRECT(CONCATENATE("'FY Q&amp;V 2003-04 to Now'!",ADDRESS(MATCH("TOTAL BASE METALS",'FY Q&amp;V 2003-04 to Now'!$A$1:$A$105,0),MATCH(CONCATENATE(R$5," Value"),'FY Q&amp;V 2003-04 to Now'!$A$8:$CN$8,0))),TRUE)/1000000)</f>
        <v>1478.4855849999999</v>
      </c>
      <c r="S9" s="1553">
        <f ca="1">IF($A$4="Select: Calendar Year",INDIRECT(CONCATENATE("'CY Q&amp;V 2004-Now'!",ADDRESS(MATCH("TOTAL BASE METALS",'CY Q&amp;V 2004-Now'!$A$1:$A$107,0),MATCH(CONCATENATE(S$5," Value"),'CY Q&amp;V 2004-Now'!$A$8:$CP$8,0))),TRUE)/1000000,INDIRECT(CONCATENATE("'FY Q&amp;V 2003-04 to Now'!",ADDRESS(MATCH("TOTAL BASE METALS",'FY Q&amp;V 2003-04 to Now'!$A$1:$A$105,0),MATCH(CONCATENATE(S$5," Value"),'FY Q&amp;V 2003-04 to Now'!$A$8:$CN$8,0))),TRUE)/1000000)</f>
        <v>1405.7598539999999</v>
      </c>
      <c r="T9" s="1553">
        <f ca="1">IF($A$4="Select: Calendar Year",INDIRECT(CONCATENATE("'CY Q&amp;V 2004-Now'!",ADDRESS(MATCH("TOTAL BASE METALS",'CY Q&amp;V 2004-Now'!$A$1:$A$107,0),MATCH(CONCATENATE(T$5," Value"),'CY Q&amp;V 2004-Now'!$A$8:$CP$8,0))),TRUE)/1000000,INDIRECT(CONCATENATE("'FY Q&amp;V 2003-04 to Now'!",ADDRESS(MATCH("TOTAL BASE METALS",'FY Q&amp;V 2003-04 to Now'!$A$1:$A$105,0),MATCH(CONCATENATE(T$5," Value"),'FY Q&amp;V 2003-04 to Now'!$A$8:$CN$8,0))),TRUE)/1000000)</f>
        <v>1566.3109159999999</v>
      </c>
      <c r="U9" s="1553">
        <f ca="1">IF($A$4="Select: Calendar Year",INDIRECT(CONCATENATE("'CY Q&amp;V 2004-Now'!",ADDRESS(MATCH("TOTAL BASE METALS",'CY Q&amp;V 2004-Now'!$A$1:$A$107,0),MATCH(CONCATENATE(U$5," Value"),'CY Q&amp;V 2004-Now'!$A$8:$CP$8,0))),TRUE)/1000000,INDIRECT(CONCATENATE("'FY Q&amp;V 2003-04 to Now'!",ADDRESS(MATCH("TOTAL BASE METALS",'FY Q&amp;V 2003-04 to Now'!$A$1:$A$105,0),MATCH(CONCATENATE(U$5," Value"),'FY Q&amp;V 2003-04 to Now'!$A$8:$CN$8,0))),TRUE)/1000000)</f>
        <v>1623.7904109999999</v>
      </c>
      <c r="V9" s="1553">
        <f ca="1">IF($A$4="Select: Calendar Year",INDIRECT(CONCATENATE("'CY Q&amp;V 2004-Now'!",ADDRESS(MATCH("TOTAL BASE METALS",'CY Q&amp;V 2004-Now'!$A$1:$A$107,0),MATCH(CONCATENATE(V$5," Value"),'CY Q&amp;V 2004-Now'!$A$8:$CP$8,0))),TRUE)/1000000,INDIRECT(CONCATENATE("'FY Q&amp;V 2003-04 to Now'!",ADDRESS(MATCH("TOTAL BASE METALS",'FY Q&amp;V 2003-04 to Now'!$A$1:$A$105,0),MATCH(CONCATENATE(V$5," Value"),'FY Q&amp;V 2003-04 to Now'!$A$8:$CN$8,0))),TRUE)/1000000)</f>
        <v>1661.8022630000003</v>
      </c>
    </row>
    <row r="10" spans="1:48">
      <c r="A10" s="434" t="s">
        <v>351</v>
      </c>
      <c r="B10" s="1554">
        <f ca="1">IF($A$4="Select: Calendar Year",(INDIRECT(CONCATENATE("'CY Q&amp;V 1886-2003'!",ADDRESS(MATCH("Natural Gas",'CY Q&amp;V 1886-2003'!$A$1:$A$230,0),MATCH(CONCATENATE(B$5," Value"),'CY Q&amp;V 1886-2003'!$A$8:$BH$8,0))),TRUE)/1000000)+(INDIRECT(CONCATENATE("'CY Q&amp;V 1886-2003'!",ADDRESS(MATCH("LPG - Butane",'CY Q&amp;V 1886-2003'!$A$1:$A$230,0),MATCH(CONCATENATE(B$5," Value"),'CY Q&amp;V 1886-2003'!$A$8:$BH$8,0))),TRUE)/1000000)+(INDIRECT(CONCATENATE("'CY Q&amp;V 1886-2003'!",ADDRESS(MATCH("LPG - Propane",'CY Q&amp;V 1886-2003'!$A$1:$A$230,0),MATCH(CONCATENATE(B$5," Value"),'CY Q&amp;V 1886-2003'!$A$8:$BH$8,0))),TRUE)/1000000),(INDIRECT(CONCATENATE("'FY Q&amp;V 1984-85 to 2002-03'!",ADDRESS(MATCH("Natural Gas",'FY Q&amp;V 1984-85 to 2002-03'!$A$1:$A$228,0),MATCH(CONCATENATE(B$5," Value"),'FY Q&amp;V 1984-85 to 2002-03'!$A$8:$BS$8,0))),TRUE)/1000000)+(INDIRECT(CONCATENATE("'FY Q&amp;V 1984-85 to 2002-03'!",ADDRESS(MATCH("LPG - Butane",'FY Q&amp;V 1984-85 to 2002-03'!$A$1:$A$228,0),MATCH(CONCATENATE(B$5," Value"),'FY Q&amp;V 1984-85 to 2002-03'!$A$8:$BS$8,0))),TRUE)/1000000)+(INDIRECT(CONCATENATE("'FY Q&amp;V 1984-85 to 2002-03'!",ADDRESS(MATCH("LPG - Propane",'FY Q&amp;V 1984-85 to 2002-03'!$A$1:$A$228,0),MATCH(CONCATENATE(B$5," Value"),'FY Q&amp;V 1984-85 to 2002-03'!$A$8:$BS$8,0))),TRUE)/1000000))</f>
        <v>767.65358836000007</v>
      </c>
      <c r="C10" s="1554">
        <f ca="1">IF($A$4="Select: Calendar Year",(INDIRECT(CONCATENATE("'CY Q&amp;V 1886-2003'!",ADDRESS(MATCH("Natural Gas",'CY Q&amp;V 1886-2003'!$A$1:$A$230,0),MATCH(CONCATENATE(C$5," Value"),'CY Q&amp;V 1886-2003'!$A$8:$BH$8,0))),TRUE)/1000000)+(INDIRECT(CONCATENATE("'CY Q&amp;V 1886-2003'!",ADDRESS(MATCH("LPG - Butane",'CY Q&amp;V 1886-2003'!$A$1:$A$230,0),MATCH(CONCATENATE(C$5," Value"),'CY Q&amp;V 1886-2003'!$A$8:$BH$8,0))),TRUE)/1000000)+(INDIRECT(CONCATENATE("'CY Q&amp;V 1886-2003'!",ADDRESS(MATCH("LPG - Propane",'CY Q&amp;V 1886-2003'!$A$1:$A$230,0),MATCH(CONCATENATE(C$5," Value"),'CY Q&amp;V 1886-2003'!$A$8:$BH$8,0))),TRUE)/1000000),(INDIRECT(CONCATENATE("'FY Q&amp;V 1984-85 to 2002-03'!",ADDRESS(MATCH("Natural Gas",'FY Q&amp;V 1984-85 to 2002-03'!$A$1:$A$228,0),MATCH(CONCATENATE(C$5," Value"),'FY Q&amp;V 1984-85 to 2002-03'!$A$8:$BS$8,0))),TRUE)/1000000)+(INDIRECT(CONCATENATE("'FY Q&amp;V 1984-85 to 2002-03'!",ADDRESS(MATCH("LPG - Butane",'FY Q&amp;V 1984-85 to 2002-03'!$A$1:$A$228,0),MATCH(CONCATENATE(C$5," Value"),'FY Q&amp;V 1984-85 to 2002-03'!$A$8:$BS$8,0))),TRUE)/1000000)+(INDIRECT(CONCATENATE("'FY Q&amp;V 1984-85 to 2002-03'!",ADDRESS(MATCH("LPG - Propane",'FY Q&amp;V 1984-85 to 2002-03'!$A$1:$A$228,0),MATCH(CONCATENATE(C$5," Value"),'FY Q&amp;V 1984-85 to 2002-03'!$A$8:$BS$8,0))),TRUE)/1000000))</f>
        <v>1016.3653165530314</v>
      </c>
      <c r="D10" s="1554">
        <f ca="1">IF($A$4="Select: Calendar Year",(INDIRECT(CONCATENATE("'CY Q&amp;V 1886-2003'!",ADDRESS(MATCH("Natural Gas",'CY Q&amp;V 1886-2003'!$A$1:$A$230,0),MATCH(CONCATENATE(D$5," Value"),'CY Q&amp;V 1886-2003'!$A$8:$BH$8,0))),TRUE)/1000000)+(INDIRECT(CONCATENATE("'CY Q&amp;V 1886-2003'!",ADDRESS(MATCH("LPG - Butane",'CY Q&amp;V 1886-2003'!$A$1:$A$230,0),MATCH(CONCATENATE(D$5," Value"),'CY Q&amp;V 1886-2003'!$A$8:$BH$8,0))),TRUE)/1000000)+(INDIRECT(CONCATENATE("'CY Q&amp;V 1886-2003'!",ADDRESS(MATCH("LPG - Propane",'CY Q&amp;V 1886-2003'!$A$1:$A$230,0),MATCH(CONCATENATE(D$5," Value"),'CY Q&amp;V 1886-2003'!$A$8:$BH$8,0))),TRUE)/1000000),(INDIRECT(CONCATENATE("'FY Q&amp;V 1984-85 to 2002-03'!",ADDRESS(MATCH("Natural Gas",'FY Q&amp;V 1984-85 to 2002-03'!$A$1:$A$228,0),MATCH(CONCATENATE(D$5," Value"),'FY Q&amp;V 1984-85 to 2002-03'!$A$8:$BS$8,0))),TRUE)/1000000)+(INDIRECT(CONCATENATE("'FY Q&amp;V 1984-85 to 2002-03'!",ADDRESS(MATCH("LPG - Butane",'FY Q&amp;V 1984-85 to 2002-03'!$A$1:$A$228,0),MATCH(CONCATENATE(D$5," Value"),'FY Q&amp;V 1984-85 to 2002-03'!$A$8:$BS$8,0))),TRUE)/1000000)+(INDIRECT(CONCATENATE("'FY Q&amp;V 1984-85 to 2002-03'!",ADDRESS(MATCH("LPG - Propane",'FY Q&amp;V 1984-85 to 2002-03'!$A$1:$A$228,0),MATCH(CONCATENATE(D$5," Value"),'FY Q&amp;V 1984-85 to 2002-03'!$A$8:$BS$8,0))),TRUE)/1000000))</f>
        <v>1048.9921557199236</v>
      </c>
      <c r="E10" s="1554">
        <f ca="1">IF($A$4="Select: Calendar Year",(INDIRECT(CONCATENATE("'CY Q&amp;V 1886-2003'!",ADDRESS(MATCH("Natural Gas",'CY Q&amp;V 1886-2003'!$A$1:$A$230,0),MATCH(CONCATENATE(E$5," Value"),'CY Q&amp;V 1886-2003'!$A$8:$BH$8,0))),TRUE)/1000000)+(INDIRECT(CONCATENATE("'CY Q&amp;V 1886-2003'!",ADDRESS(MATCH("LPG - Butane",'CY Q&amp;V 1886-2003'!$A$1:$A$230,0),MATCH(CONCATENATE(E$5," Value"),'CY Q&amp;V 1886-2003'!$A$8:$BH$8,0))),TRUE)/1000000)+(INDIRECT(CONCATENATE("'CY Q&amp;V 1886-2003'!",ADDRESS(MATCH("LPG - Propane",'CY Q&amp;V 1886-2003'!$A$1:$A$230,0),MATCH(CONCATENATE(E$5," Value"),'CY Q&amp;V 1886-2003'!$A$8:$BH$8,0))),TRUE)/1000000),(INDIRECT(CONCATENATE("'FY Q&amp;V 1984-85 to 2002-03'!",ADDRESS(MATCH("Natural Gas",'FY Q&amp;V 1984-85 to 2002-03'!$A$1:$A$228,0),MATCH(CONCATENATE(E$5," Value"),'FY Q&amp;V 1984-85 to 2002-03'!$A$8:$BS$8,0))),TRUE)/1000000)+(INDIRECT(CONCATENATE("'FY Q&amp;V 1984-85 to 2002-03'!",ADDRESS(MATCH("LPG - Butane",'FY Q&amp;V 1984-85 to 2002-03'!$A$1:$A$228,0),MATCH(CONCATENATE(E$5," Value"),'FY Q&amp;V 1984-85 to 2002-03'!$A$8:$BS$8,0))),TRUE)/1000000)+(INDIRECT(CONCATENATE("'FY Q&amp;V 1984-85 to 2002-03'!",ADDRESS(MATCH("LPG - Propane",'FY Q&amp;V 1984-85 to 2002-03'!$A$1:$A$228,0),MATCH(CONCATENATE(E$5," Value"),'FY Q&amp;V 1984-85 to 2002-03'!$A$8:$BS$8,0))),TRUE)/1000000))</f>
        <v>1023.3495369999999</v>
      </c>
      <c r="F10" s="1554">
        <f ca="1">IF($A$4="Select: Calendar Year",(INDIRECT(CONCATENATE("'CY Q&amp;V 1886-2003'!",ADDRESS(MATCH("Natural Gas",'CY Q&amp;V 1886-2003'!$A$1:$A$230,0),MATCH(CONCATENATE(F$5," Value"),'CY Q&amp;V 1886-2003'!$A$8:$BH$8,0))),TRUE)/1000000)+(INDIRECT(CONCATENATE("'CY Q&amp;V 1886-2003'!",ADDRESS(MATCH("LPG - Butane",'CY Q&amp;V 1886-2003'!$A$1:$A$230,0),MATCH(CONCATENATE(F$5," Value"),'CY Q&amp;V 1886-2003'!$A$8:$BH$8,0))),TRUE)/1000000)+(INDIRECT(CONCATENATE("'CY Q&amp;V 1886-2003'!",ADDRESS(MATCH("LPG - Propane",'CY Q&amp;V 1886-2003'!$A$1:$A$230,0),MATCH(CONCATENATE(F$5," Value"),'CY Q&amp;V 1886-2003'!$A$8:$BH$8,0))),TRUE)/1000000),(INDIRECT(CONCATENATE("'FY Q&amp;V 1984-85 to 2002-03'!",ADDRESS(MATCH("Natural Gas",'FY Q&amp;V 1984-85 to 2002-03'!$A$1:$A$228,0),MATCH(CONCATENATE(F$5," Value"),'FY Q&amp;V 1984-85 to 2002-03'!$A$8:$BS$8,0))),TRUE)/1000000)+(INDIRECT(CONCATENATE("'FY Q&amp;V 1984-85 to 2002-03'!",ADDRESS(MATCH("LPG - Butane",'FY Q&amp;V 1984-85 to 2002-03'!$A$1:$A$228,0),MATCH(CONCATENATE(F$5," Value"),'FY Q&amp;V 1984-85 to 2002-03'!$A$8:$BS$8,0))),TRUE)/1000000)+(INDIRECT(CONCATENATE("'FY Q&amp;V 1984-85 to 2002-03'!",ADDRESS(MATCH("LPG - Propane",'FY Q&amp;V 1984-85 to 2002-03'!$A$1:$A$228,0),MATCH(CONCATENATE(F$5," Value"),'FY Q&amp;V 1984-85 to 2002-03'!$A$8:$BS$8,0))),TRUE)/1000000))</f>
        <v>1016.001757</v>
      </c>
      <c r="G10" s="1554">
        <f ca="1">IF($A$4="Select: Calendar Year",(INDIRECT(CONCATENATE("'CY Q&amp;V 2004-Now'!",ADDRESS(MATCH("Natural Gas",'CY Q&amp;V 2004-Now'!$A$1:$A$107,0),MATCH(CONCATENATE(G$5," Value"),'CY Q&amp;V 2004-Now'!$A$8:$CP$8,0))),TRUE)/1000000)+(INDIRECT(CONCATENATE("'CY Q&amp;V 2004-Now'!",ADDRESS(MATCH("LPG - Butane and Propane",'CY Q&amp;V 2004-Now'!$A$1:$A$107,0),MATCH(CONCATENATE(G$5," Value"),'CY Q&amp;V 2004-Now'!$A$8:$CP$8,0))),TRUE)/1000000),(INDIRECT(CONCATENATE("'FY Q&amp;V 2003-04 to Now'!",ADDRESS(MATCH("Natural Gas",'FY Q&amp;V 2003-04 to Now'!$A$1:$A$105,0),MATCH(CONCATENATE(G$5," Value"),'FY Q&amp;V 2003-04 to Now'!$A$8:$CN$8,0))),TRUE)/1000000)+(INDIRECT(CONCATENATE("'FY Q&amp;V 2003-04 to Now'!",ADDRESS(MATCH("LPG - Butane and Propane",'FY Q&amp;V 2003-04 to Now'!$A$1:$A$105,0),MATCH(CONCATENATE(G$5," Value"),'FY Q&amp;V 2003-04 to Now'!$A$8:$CN$8,0))),TRUE)/1000000))</f>
        <v>995.87618899999995</v>
      </c>
      <c r="H10" s="1554">
        <f ca="1">IF($A$4="Select: Calendar Year",(INDIRECT(CONCATENATE("'CY Q&amp;V 2004-Now'!",ADDRESS(MATCH("Natural Gas",'CY Q&amp;V 2004-Now'!$A$1:$A$107,0),MATCH(CONCATENATE(H$5," Value"),'CY Q&amp;V 2004-Now'!$A$8:$CP$8,0))),TRUE)/1000000)+(INDIRECT(CONCATENATE("'CY Q&amp;V 2004-Now'!",ADDRESS(MATCH("LPG - Butane and Propane",'CY Q&amp;V 2004-Now'!$A$1:$A$107,0),MATCH(CONCATENATE(H$5," Value"),'CY Q&amp;V 2004-Now'!$A$8:$CP$8,0))),TRUE)/1000000),(INDIRECT(CONCATENATE("'FY Q&amp;V 2003-04 to Now'!",ADDRESS(MATCH("Natural Gas",'FY Q&amp;V 2003-04 to Now'!$A$1:$A$105,0),MATCH(CONCATENATE(H$5," Value"),'FY Q&amp;V 2003-04 to Now'!$A$8:$CN$8,0))),TRUE)/1000000)+(INDIRECT(CONCATENATE("'FY Q&amp;V 2003-04 to Now'!",ADDRESS(MATCH("LPG - Butane and Propane",'FY Q&amp;V 2003-04 to Now'!$A$1:$A$105,0),MATCH(CONCATENATE(H$5," Value"),'FY Q&amp;V 2003-04 to Now'!$A$8:$CN$8,0))),TRUE)/1000000))</f>
        <v>1205.8326673563288</v>
      </c>
      <c r="I10" s="1554">
        <f ca="1">IF($A$4="Select: Calendar Year",(INDIRECT(CONCATENATE("'CY Q&amp;V 2004-Now'!",ADDRESS(MATCH("Natural Gas",'CY Q&amp;V 2004-Now'!$A$1:$A$107,0),MATCH(CONCATENATE(I$5," Value"),'CY Q&amp;V 2004-Now'!$A$8:$CP$8,0))),TRUE)/1000000)+(INDIRECT(CONCATENATE("'CY Q&amp;V 2004-Now'!",ADDRESS(MATCH("LPG - Butane and Propane",'CY Q&amp;V 2004-Now'!$A$1:$A$107,0),MATCH(CONCATENATE(I$5," Value"),'CY Q&amp;V 2004-Now'!$A$8:$CP$8,0))),TRUE)/1000000),(INDIRECT(CONCATENATE("'FY Q&amp;V 2003-04 to Now'!",ADDRESS(MATCH("Natural Gas",'FY Q&amp;V 2003-04 to Now'!$A$1:$A$105,0),MATCH(CONCATENATE(I$5," Value"),'FY Q&amp;V 2003-04 to Now'!$A$8:$CN$8,0))),TRUE)/1000000)+(INDIRECT(CONCATENATE("'FY Q&amp;V 2003-04 to Now'!",ADDRESS(MATCH("LPG - Butane and Propane",'FY Q&amp;V 2003-04 to Now'!$A$1:$A$105,0),MATCH(CONCATENATE(I$5," Value"),'FY Q&amp;V 2003-04 to Now'!$A$8:$CN$8,0))),TRUE)/1000000))</f>
        <v>1430.5037373099885</v>
      </c>
      <c r="J10" s="1554">
        <f ca="1">IF($A$4="Select: Calendar Year",(INDIRECT(CONCATENATE("'CY Q&amp;V 2004-Now'!",ADDRESS(MATCH("Natural Gas",'CY Q&amp;V 2004-Now'!$A$1:$A$107,0),MATCH(CONCATENATE(J$5," Value"),'CY Q&amp;V 2004-Now'!$A$8:$CP$8,0))),TRUE)/1000000)+(INDIRECT(CONCATENATE("'CY Q&amp;V 2004-Now'!",ADDRESS(MATCH("LPG - Butane and Propane",'CY Q&amp;V 2004-Now'!$A$1:$A$107,0),MATCH(CONCATENATE(J$5," Value"),'CY Q&amp;V 2004-Now'!$A$8:$CP$8,0))),TRUE)/1000000),(INDIRECT(CONCATENATE("'FY Q&amp;V 2003-04 to Now'!",ADDRESS(MATCH("Natural Gas",'FY Q&amp;V 2003-04 to Now'!$A$1:$A$105,0),MATCH(CONCATENATE(J$5," Value"),'FY Q&amp;V 2003-04 to Now'!$A$8:$CN$8,0))),TRUE)/1000000)+(INDIRECT(CONCATENATE("'FY Q&amp;V 2003-04 to Now'!",ADDRESS(MATCH("LPG - Butane and Propane",'FY Q&amp;V 2003-04 to Now'!$A$1:$A$105,0),MATCH(CONCATENATE(J$5," Value"),'FY Q&amp;V 2003-04 to Now'!$A$8:$CN$8,0))),TRUE)/1000000))</f>
        <v>1689.1027258183399</v>
      </c>
      <c r="K10" s="1554">
        <f ca="1">IF($A$4="Select: Calendar Year",(INDIRECT(CONCATENATE("'CY Q&amp;V 2004-Now'!",ADDRESS(MATCH("Natural Gas",'CY Q&amp;V 2004-Now'!$A$1:$A$107,0),MATCH(CONCATENATE(K$5," Value"),'CY Q&amp;V 2004-Now'!$A$8:$CP$8,0))),TRUE)/1000000)+(INDIRECT(CONCATENATE("'CY Q&amp;V 2004-Now'!",ADDRESS(MATCH("LPG - Butane and Propane",'CY Q&amp;V 2004-Now'!$A$1:$A$107,0),MATCH(CONCATENATE(K$5," Value"),'CY Q&amp;V 2004-Now'!$A$8:$CP$8,0))),TRUE)/1000000),(INDIRECT(CONCATENATE("'FY Q&amp;V 2003-04 to Now'!",ADDRESS(MATCH("Natural Gas",'FY Q&amp;V 2003-04 to Now'!$A$1:$A$105,0),MATCH(CONCATENATE(K$5," Value"),'FY Q&amp;V 2003-04 to Now'!$A$8:$CN$8,0))),TRUE)/1000000)+(INDIRECT(CONCATENATE("'FY Q&amp;V 2003-04 to Now'!",ADDRESS(MATCH("LPG - Butane and Propane",'FY Q&amp;V 2003-04 to Now'!$A$1:$A$105,0),MATCH(CONCATENATE(K$5," Value"),'FY Q&amp;V 2003-04 to Now'!$A$8:$CN$8,0))),TRUE)/1000000))</f>
        <v>1945.7831761962941</v>
      </c>
      <c r="L10" s="1554">
        <f ca="1">IF($A$4="Select: Calendar Year",(INDIRECT(CONCATENATE("'CY Q&amp;V 2004-Now'!",ADDRESS(MATCH("Natural Gas",'CY Q&amp;V 2004-Now'!$A$1:$A$107,0),MATCH(CONCATENATE(L$5," Value"),'CY Q&amp;V 2004-Now'!$A$8:$CP$8,0))),TRUE)/1000000)+(INDIRECT(CONCATENATE("'CY Q&amp;V 2004-Now'!",ADDRESS(MATCH("LPG - Butane and Propane",'CY Q&amp;V 2004-Now'!$A$1:$A$107,0),MATCH(CONCATENATE(L$5," Value"),'CY Q&amp;V 2004-Now'!$A$8:$CP$8,0))),TRUE)/1000000),(INDIRECT(CONCATENATE("'FY Q&amp;V 2003-04 to Now'!",ADDRESS(MATCH("Natural Gas",'FY Q&amp;V 2003-04 to Now'!$A$1:$A$105,0),MATCH(CONCATENATE(L$5," Value"),'FY Q&amp;V 2003-04 to Now'!$A$8:$CN$8,0))),TRUE)/1000000)+(INDIRECT(CONCATENATE("'FY Q&amp;V 2003-04 to Now'!",ADDRESS(MATCH("LPG - Butane and Propane",'FY Q&amp;V 2003-04 to Now'!$A$1:$A$105,0),MATCH(CONCATENATE(L$5," Value"),'FY Q&amp;V 2003-04 to Now'!$A$8:$CN$8,0))),TRUE)/1000000))</f>
        <v>1769.0123081391653</v>
      </c>
      <c r="M10" s="1554">
        <f ca="1">IF($A$4="Select: Calendar Year",(INDIRECT(CONCATENATE("'CY Q&amp;V 2004-Now'!",ADDRESS(MATCH("Natural Gas",'CY Q&amp;V 2004-Now'!$A$1:$A$107,0),MATCH(CONCATENATE(M$5," Value"),'CY Q&amp;V 2004-Now'!$A$8:$CP$8,0))),TRUE)/1000000)+(INDIRECT(CONCATENATE("'CY Q&amp;V 2004-Now'!",ADDRESS(MATCH("LPG - Butane and Propane",'CY Q&amp;V 2004-Now'!$A$1:$A$107,0),MATCH(CONCATENATE(M$5," Value"),'CY Q&amp;V 2004-Now'!$A$8:$CP$8,0))),TRUE)/1000000),(INDIRECT(CONCATENATE("'FY Q&amp;V 2003-04 to Now'!",ADDRESS(MATCH("Natural Gas",'FY Q&amp;V 2003-04 to Now'!$A$1:$A$105,0),MATCH(CONCATENATE(M$5," Value"),'FY Q&amp;V 2003-04 to Now'!$A$8:$CN$8,0))),TRUE)/1000000)+(INDIRECT(CONCATENATE("'FY Q&amp;V 2003-04 to Now'!",ADDRESS(MATCH("LPG - Butane and Propane",'FY Q&amp;V 2003-04 to Now'!$A$1:$A$105,0),MATCH(CONCATENATE(M$5," Value"),'FY Q&amp;V 2003-04 to Now'!$A$8:$CN$8,0))),TRUE)/1000000))</f>
        <v>2154.4981140157179</v>
      </c>
      <c r="N10" s="1554">
        <f ca="1">IF($A$4="Select: Calendar Year",(INDIRECT(CONCATENATE("'CY Q&amp;V 2004-Now'!",ADDRESS(MATCH("Natural Gas",'CY Q&amp;V 2004-Now'!$A$1:$A$107,0),MATCH(CONCATENATE(N$5," Value"),'CY Q&amp;V 2004-Now'!$A$8:$CP$8,0))),TRUE)/1000000)+(INDIRECT(CONCATENATE("'CY Q&amp;V 2004-Now'!",ADDRESS(MATCH("LPG - Butane and Propane",'CY Q&amp;V 2004-Now'!$A$1:$A$107,0),MATCH(CONCATENATE(N$5," Value"),'CY Q&amp;V 2004-Now'!$A$8:$CP$8,0))),TRUE)/1000000),(INDIRECT(CONCATENATE("'FY Q&amp;V 2003-04 to Now'!",ADDRESS(MATCH("Natural Gas",'FY Q&amp;V 2003-04 to Now'!$A$1:$A$105,0),MATCH(CONCATENATE(N$5," Value"),'FY Q&amp;V 2003-04 to Now'!$A$8:$CN$8,0))),TRUE)/1000000)+(INDIRECT(CONCATENATE("'FY Q&amp;V 2003-04 to Now'!",ADDRESS(MATCH("LPG - Butane and Propane",'FY Q&amp;V 2003-04 to Now'!$A$1:$A$105,0),MATCH(CONCATENATE(N$5," Value"),'FY Q&amp;V 2003-04 to Now'!$A$8:$CN$8,0))),TRUE)/1000000))</f>
        <v>2167.006065945493</v>
      </c>
      <c r="O10" s="1554">
        <f ca="1">IF($A$4="Select: Calendar Year",(INDIRECT(CONCATENATE("'CY Q&amp;V 2004-Now'!",ADDRESS(MATCH("Natural Gas",'CY Q&amp;V 2004-Now'!$A$1:$A$107,0),MATCH(CONCATENATE(O$5," Value"),'CY Q&amp;V 2004-Now'!$A$8:$CP$8,0))),TRUE)/1000000)+(INDIRECT(CONCATENATE("'CY Q&amp;V 2004-Now'!",ADDRESS(MATCH("LPG - Butane and Propane",'CY Q&amp;V 2004-Now'!$A$1:$A$107,0),MATCH(CONCATENATE(O$5," Value"),'CY Q&amp;V 2004-Now'!$A$8:$CP$8,0))),TRUE)/1000000),(INDIRECT(CONCATENATE("'FY Q&amp;V 2003-04 to Now'!",ADDRESS(MATCH("Natural Gas",'FY Q&amp;V 2003-04 to Now'!$A$1:$A$105,0),MATCH(CONCATENATE(O$5," Value"),'FY Q&amp;V 2003-04 to Now'!$A$8:$CN$8,0))),TRUE)/1000000)+(INDIRECT(CONCATENATE("'FY Q&amp;V 2003-04 to Now'!",ADDRESS(MATCH("LPG - Butane and Propane",'FY Q&amp;V 2003-04 to Now'!$A$1:$A$105,0),MATCH(CONCATENATE(O$5," Value"),'FY Q&amp;V 2003-04 to Now'!$A$8:$CN$8,0))),TRUE)/1000000))</f>
        <v>2199.6976601907572</v>
      </c>
      <c r="P10" s="1554">
        <f ca="1">IF($A$4="Select: Calendar Year",(INDIRECT(CONCATENATE("'CY Q&amp;V 2004-Now'!",ADDRESS(MATCH("Natural Gas",'CY Q&amp;V 2004-Now'!$A$1:$A$107,0),MATCH(CONCATENATE(P$5," Value"),'CY Q&amp;V 2004-Now'!$A$8:$CP$8,0))),TRUE)/1000000)+(INDIRECT(CONCATENATE("'CY Q&amp;V 2004-Now'!",ADDRESS(MATCH("LPG - Butane and Propane",'CY Q&amp;V 2004-Now'!$A$1:$A$107,0),MATCH(CONCATENATE(P$5," Value"),'CY Q&amp;V 2004-Now'!$A$8:$CP$8,0))),TRUE)/1000000),(INDIRECT(CONCATENATE("'FY Q&amp;V 2003-04 to Now'!",ADDRESS(MATCH("Natural Gas",'FY Q&amp;V 2003-04 to Now'!$A$1:$A$105,0),MATCH(CONCATENATE(P$5," Value"),'FY Q&amp;V 2003-04 to Now'!$A$8:$CN$8,0))),TRUE)/1000000)+(INDIRECT(CONCATENATE("'FY Q&amp;V 2003-04 to Now'!",ADDRESS(MATCH("LPG - Butane and Propane",'FY Q&amp;V 2003-04 to Now'!$A$1:$A$105,0),MATCH(CONCATENATE(P$5," Value"),'FY Q&amp;V 2003-04 to Now'!$A$8:$CN$8,0))),TRUE)/1000000))</f>
        <v>2159.5916312923355</v>
      </c>
      <c r="Q10" s="1554">
        <f ca="1">IF($A$4="Select: Calendar Year",(INDIRECT(CONCATENATE("'CY Q&amp;V 2004-Now'!",ADDRESS(MATCH("Natural Gas",'CY Q&amp;V 2004-Now'!$A$1:$A$107,0),MATCH(CONCATENATE(Q$5," Value"),'CY Q&amp;V 2004-Now'!$A$8:$CP$8,0))),TRUE)/1000000)+(INDIRECT(CONCATENATE("'CY Q&amp;V 2004-Now'!",ADDRESS(MATCH("LPG - Butane and Propane",'CY Q&amp;V 2004-Now'!$A$1:$A$107,0),MATCH(CONCATENATE(Q$5," Value"),'CY Q&amp;V 2004-Now'!$A$8:$CP$8,0))),TRUE)/1000000),(INDIRECT(CONCATENATE("'FY Q&amp;V 2003-04 to Now'!",ADDRESS(MATCH("Natural Gas",'FY Q&amp;V 2003-04 to Now'!$A$1:$A$105,0),MATCH(CONCATENATE(Q$5," Value"),'FY Q&amp;V 2003-04 to Now'!$A$8:$CN$8,0))),TRUE)/1000000)+(INDIRECT(CONCATENATE("'FY Q&amp;V 2003-04 to Now'!",ADDRESS(MATCH("LPG - Butane and Propane",'FY Q&amp;V 2003-04 to Now'!$A$1:$A$105,0),MATCH(CONCATENATE(Q$5," Value"),'FY Q&amp;V 2003-04 to Now'!$A$8:$CN$8,0))),TRUE)/1000000))</f>
        <v>1800.2671767128513</v>
      </c>
      <c r="R10" s="1554">
        <f ca="1">IF($A$4="Select: Calendar Year",(INDIRECT(CONCATENATE("'CY Q&amp;V 2004-Now'!",ADDRESS(MATCH("Natural Gas",'CY Q&amp;V 2004-Now'!$A$1:$A$107,0),MATCH(CONCATENATE(R$5," Value"),'CY Q&amp;V 2004-Now'!$A$8:$CP$8,0))),TRUE)/1000000)+(INDIRECT(CONCATENATE("'CY Q&amp;V 2004-Now'!",ADDRESS(MATCH("LPG - Butane and Propane",'CY Q&amp;V 2004-Now'!$A$1:$A$107,0),MATCH(CONCATENATE(R$5," Value"),'CY Q&amp;V 2004-Now'!$A$8:$CP$8,0))),TRUE)/1000000),(INDIRECT(CONCATENATE("'FY Q&amp;V 2003-04 to Now'!",ADDRESS(MATCH("Natural Gas",'FY Q&amp;V 2003-04 to Now'!$A$1:$A$105,0),MATCH(CONCATENATE(R$5," Value"),'FY Q&amp;V 2003-04 to Now'!$A$8:$CN$8,0))),TRUE)/1000000)+(INDIRECT(CONCATENATE("'FY Q&amp;V 2003-04 to Now'!",ADDRESS(MATCH("LPG - Butane and Propane",'FY Q&amp;V 2003-04 to Now'!$A$1:$A$105,0),MATCH(CONCATENATE(R$5," Value"),'FY Q&amp;V 2003-04 to Now'!$A$8:$CN$8,0))),TRUE)/1000000))</f>
        <v>2115.6317266012284</v>
      </c>
      <c r="S10" s="1554">
        <f ca="1">IF($A$4="Select: Calendar Year",(INDIRECT(CONCATENATE("'CY Q&amp;V 2004-Now'!",ADDRESS(MATCH("Natural Gas",'CY Q&amp;V 2004-Now'!$A$1:$A$107,0),MATCH(CONCATENATE(S$5," Value"),'CY Q&amp;V 2004-Now'!$A$8:$CP$8,0))),TRUE)/1000000)+(INDIRECT(CONCATENATE("'CY Q&amp;V 2004-Now'!",ADDRESS(MATCH("LPG - Butane and Propane",'CY Q&amp;V 2004-Now'!$A$1:$A$107,0),MATCH(CONCATENATE(S$5," Value"),'CY Q&amp;V 2004-Now'!$A$8:$CP$8,0))),TRUE)/1000000),(INDIRECT(CONCATENATE("'FY Q&amp;V 2003-04 to Now'!",ADDRESS(MATCH("Natural Gas",'FY Q&amp;V 2003-04 to Now'!$A$1:$A$105,0),MATCH(CONCATENATE(S$5," Value"),'FY Q&amp;V 2003-04 to Now'!$A$8:$CN$8,0))),TRUE)/1000000)+(INDIRECT(CONCATENATE("'FY Q&amp;V 2003-04 to Now'!",ADDRESS(MATCH("LPG - Butane and Propane",'FY Q&amp;V 2003-04 to Now'!$A$1:$A$105,0),MATCH(CONCATENATE(S$5," Value"),'FY Q&amp;V 2003-04 to Now'!$A$8:$CN$8,0))),TRUE)/1000000))</f>
        <v>2204.2453767012025</v>
      </c>
      <c r="T10" s="1554">
        <f ca="1">IF($A$4="Select: Calendar Year",(INDIRECT(CONCATENATE("'CY Q&amp;V 2004-Now'!",ADDRESS(MATCH("Natural Gas",'CY Q&amp;V 2004-Now'!$A$1:$A$107,0),MATCH(CONCATENATE(T$5," Value"),'CY Q&amp;V 2004-Now'!$A$8:$CP$8,0))),TRUE)/1000000)+(INDIRECT(CONCATENATE("'CY Q&amp;V 2004-Now'!",ADDRESS(MATCH("LPG - Butane and Propane",'CY Q&amp;V 2004-Now'!$A$1:$A$107,0),MATCH(CONCATENATE(T$5," Value"),'CY Q&amp;V 2004-Now'!$A$8:$CP$8,0))),TRUE)/1000000),(INDIRECT(CONCATENATE("'FY Q&amp;V 2003-04 to Now'!",ADDRESS(MATCH("Natural Gas",'FY Q&amp;V 2003-04 to Now'!$A$1:$A$105,0),MATCH(CONCATENATE(T$5," Value"),'FY Q&amp;V 2003-04 to Now'!$A$8:$CN$8,0))),TRUE)/1000000)+(INDIRECT(CONCATENATE("'FY Q&amp;V 2003-04 to Now'!",ADDRESS(MATCH("LPG - Butane and Propane",'FY Q&amp;V 2003-04 to Now'!$A$1:$A$105,0),MATCH(CONCATENATE(T$5," Value"),'FY Q&amp;V 2003-04 to Now'!$A$8:$CN$8,0))),TRUE)/1000000))</f>
        <v>2034.3022590324654</v>
      </c>
      <c r="U10" s="1554">
        <f ca="1">IF($A$4="Select: Calendar Year",(INDIRECT(CONCATENATE("'CY Q&amp;V 2004-Now'!",ADDRESS(MATCH("Natural Gas",'CY Q&amp;V 2004-Now'!$A$1:$A$107,0),MATCH(CONCATENATE(U$5," Value"),'CY Q&amp;V 2004-Now'!$A$8:$CP$8,0))),TRUE)/1000000)+(INDIRECT(CONCATENATE("'CY Q&amp;V 2004-Now'!",ADDRESS(MATCH("LPG - Butane and Propane",'CY Q&amp;V 2004-Now'!$A$1:$A$107,0),MATCH(CONCATENATE(U$5," Value"),'CY Q&amp;V 2004-Now'!$A$8:$CP$8,0))),TRUE)/1000000),(INDIRECT(CONCATENATE("'FY Q&amp;V 2003-04 to Now'!",ADDRESS(MATCH("Natural Gas",'FY Q&amp;V 2003-04 to Now'!$A$1:$A$105,0),MATCH(CONCATENATE(U$5," Value"),'FY Q&amp;V 2003-04 to Now'!$A$8:$CN$8,0))),TRUE)/1000000)+(INDIRECT(CONCATENATE("'FY Q&amp;V 2003-04 to Now'!",ADDRESS(MATCH("LPG - Butane and Propane",'FY Q&amp;V 2003-04 to Now'!$A$1:$A$105,0),MATCH(CONCATENATE(U$5," Value"),'FY Q&amp;V 2003-04 to Now'!$A$8:$CN$8,0))),TRUE)/1000000))</f>
        <v>1933.8924281366226</v>
      </c>
      <c r="V10" s="1554">
        <f ca="1">IF($A$4="Select: Calendar Year",(INDIRECT(CONCATENATE("'CY Q&amp;V 2004-Now'!",ADDRESS(MATCH("Natural Gas",'CY Q&amp;V 2004-Now'!$A$1:$A$107,0),MATCH(CONCATENATE(V$5," Value"),'CY Q&amp;V 2004-Now'!$A$8:$CP$8,0))),TRUE)/1000000)+(INDIRECT(CONCATENATE("'CY Q&amp;V 2004-Now'!",ADDRESS(MATCH("LPG - Butane and Propane",'CY Q&amp;V 2004-Now'!$A$1:$A$107,0),MATCH(CONCATENATE(V$5," Value"),'CY Q&amp;V 2004-Now'!$A$8:$CP$8,0))),TRUE)/1000000),(INDIRECT(CONCATENATE("'FY Q&amp;V 2003-04 to Now'!",ADDRESS(MATCH("Natural Gas",'FY Q&amp;V 2003-04 to Now'!$A$1:$A$105,0),MATCH(CONCATENATE(V$5," Value"),'FY Q&amp;V 2003-04 to Now'!$A$8:$CN$8,0))),TRUE)/1000000)+(INDIRECT(CONCATENATE("'FY Q&amp;V 2003-04 to Now'!",ADDRESS(MATCH("LPG - Butane and Propane",'FY Q&amp;V 2003-04 to Now'!$A$1:$A$105,0),MATCH(CONCATENATE(V$5," Value"),'FY Q&amp;V 2003-04 to Now'!$A$8:$CN$8,0))),TRUE)/1000000))</f>
        <v>1972.2443453218998</v>
      </c>
    </row>
    <row r="11" spans="1:48">
      <c r="A11" s="434" t="s">
        <v>352</v>
      </c>
      <c r="B11" s="1553">
        <f ca="1">IF($A$4="Select: Calendar Year",INDIRECT(CONCATENATE("'CY Q&amp;V 1886-2003'!",ADDRESS(MATCH("TOTAL NICKEL INDUSTRY",'CY Q&amp;V 1886-2003'!$A$1:$A$230,0),MATCH(CONCATENATE(B$5," Value"),'CY Q&amp;V 1886-2003'!$A$8:$BH$8,0))),TRUE)/1000000,INDIRECT(CONCATENATE("'FY Q&amp;V 1984-85 to 2002-03'!",ADDRESS(MATCH("TOTAL NICKEL INDUSTRY",'FY Q&amp;V 1984-85 to 2002-03'!$A$1:$A$228,0),MATCH(CONCATENATE(B$5," Value"),'FY Q&amp;V 1984-85 to 2002-03'!$A$8:$BS$8,0))),TRUE)/1000000)</f>
        <v>1134.9077499146952</v>
      </c>
      <c r="C11" s="1553">
        <f ca="1">IF($A$4="Select: Calendar Year",INDIRECT(CONCATENATE("'CY Q&amp;V 1886-2003'!",ADDRESS(MATCH("TOTAL NICKEL INDUSTRY",'CY Q&amp;V 1886-2003'!$A$1:$A$230,0),MATCH(CONCATENATE(C$5," Value"),'CY Q&amp;V 1886-2003'!$A$8:$BH$8,0))),TRUE)/1000000,INDIRECT(CONCATENATE("'FY Q&amp;V 1984-85 to 2002-03'!",ADDRESS(MATCH("TOTAL NICKEL INDUSTRY",'FY Q&amp;V 1984-85 to 2002-03'!$A$1:$A$228,0),MATCH(CONCATENATE(C$5," Value"),'FY Q&amp;V 1984-85 to 2002-03'!$A$8:$BS$8,0))),TRUE)/1000000)</f>
        <v>2442.58878</v>
      </c>
      <c r="D11" s="1553">
        <f ca="1">IF($A$4="Select: Calendar Year",INDIRECT(CONCATENATE("'CY Q&amp;V 1886-2003'!",ADDRESS(MATCH("TOTAL NICKEL INDUSTRY",'CY Q&amp;V 1886-2003'!$A$1:$A$230,0),MATCH(CONCATENATE(D$5," Value"),'CY Q&amp;V 1886-2003'!$A$8:$BH$8,0))),TRUE)/1000000,INDIRECT(CONCATENATE("'FY Q&amp;V 1984-85 to 2002-03'!",ADDRESS(MATCH("TOTAL NICKEL INDUSTRY",'FY Q&amp;V 1984-85 to 2002-03'!$A$1:$A$228,0),MATCH(CONCATENATE(D$5," Value"),'FY Q&amp;V 1984-85 to 2002-03'!$A$8:$BS$8,0))),TRUE)/1000000)</f>
        <v>2258.324306</v>
      </c>
      <c r="E11" s="1553">
        <f ca="1">IF($A$4="Select: Calendar Year",INDIRECT(CONCATENATE("'CY Q&amp;V 1886-2003'!",ADDRESS(MATCH("TOTAL NICKEL INDUSTRY",'CY Q&amp;V 1886-2003'!$A$1:$A$230,0),MATCH(CONCATENATE(E$5," Value"),'CY Q&amp;V 1886-2003'!$A$8:$BH$8,0))),TRUE)/1000000,INDIRECT(CONCATENATE("'FY Q&amp;V 1984-85 to 2002-03'!",ADDRESS(MATCH("TOTAL NICKEL INDUSTRY",'FY Q&amp;V 1984-85 to 2002-03'!$A$1:$A$228,0),MATCH(CONCATENATE(E$5," Value"),'FY Q&amp;V 1984-85 to 2002-03'!$A$8:$BS$8,0))),TRUE)/1000000)</f>
        <v>2380.593942</v>
      </c>
      <c r="F11" s="1553">
        <f ca="1">IF($A$4="Select: Calendar Year",INDIRECT(CONCATENATE("'CY Q&amp;V 1886-2003'!",ADDRESS(MATCH("TOTAL NICKEL INDUSTRY",'CY Q&amp;V 1886-2003'!$A$1:$A$230,0),MATCH(CONCATENATE(F$5," Value"),'CY Q&amp;V 1886-2003'!$A$8:$BH$8,0))),TRUE)/1000000,INDIRECT(CONCATENATE("'FY Q&amp;V 1984-85 to 2002-03'!",ADDRESS(MATCH("TOTAL NICKEL INDUSTRY",'FY Q&amp;V 1984-85 to 2002-03'!$A$1:$A$228,0),MATCH(CONCATENATE(F$5," Value"),'FY Q&amp;V 1984-85 to 2002-03'!$A$8:$BS$8,0))),TRUE)/1000000)</f>
        <v>2833.5915049999999</v>
      </c>
      <c r="G11" s="1553">
        <f ca="1">IF($A$4="Select: Calendar Year",INDIRECT(CONCATENATE("'CY Q&amp;V 2004-Now'!",ADDRESS(MATCH("TOTAL NICKEL INDUSTRY",'CY Q&amp;V 2004-Now'!$A$1:$A$107,0),MATCH(CONCATENATE(G$5," Value"),'CY Q&amp;V 2004-Now'!$A$8:$CP$8,0))),TRUE)/1000000,INDIRECT(CONCATENATE("'FY Q&amp;V 2003-04 to Now'!",ADDRESS(MATCH("TOTAL NICKEL INDUSTRY",'FY Q&amp;V 2003-04 to Now'!$A$1:$A$105,0),MATCH(CONCATENATE(G$5," Value"),'FY Q&amp;V 2003-04 to Now'!$A$8:$CN$8,0))),TRUE)/1000000)</f>
        <v>3541.9631450000002</v>
      </c>
      <c r="H11" s="1553">
        <f ca="1">IF($A$4="Select: Calendar Year",INDIRECT(CONCATENATE("'CY Q&amp;V 2004-Now'!",ADDRESS(MATCH("TOTAL NICKEL INDUSTRY",'CY Q&amp;V 2004-Now'!$A$1:$A$107,0),MATCH(CONCATENATE(H$5," Value"),'CY Q&amp;V 2004-Now'!$A$8:$CP$8,0))),TRUE)/1000000,INDIRECT(CONCATENATE("'FY Q&amp;V 2003-04 to Now'!",ADDRESS(MATCH("TOTAL NICKEL INDUSTRY",'FY Q&amp;V 2003-04 to Now'!$A$1:$A$105,0),MATCH(CONCATENATE(H$5," Value"),'FY Q&amp;V 2003-04 to Now'!$A$8:$CN$8,0))),TRUE)/1000000)</f>
        <v>3663.6913810000001</v>
      </c>
      <c r="I11" s="1553">
        <f ca="1">IF($A$4="Select: Calendar Year",INDIRECT(CONCATENATE("'CY Q&amp;V 2004-Now'!",ADDRESS(MATCH("TOTAL NICKEL INDUSTRY",'CY Q&amp;V 2004-Now'!$A$1:$A$107,0),MATCH(CONCATENATE(I$5," Value"),'CY Q&amp;V 2004-Now'!$A$8:$CP$8,0))),TRUE)/1000000,INDIRECT(CONCATENATE("'FY Q&amp;V 2003-04 to Now'!",ADDRESS(MATCH("TOTAL NICKEL INDUSTRY",'FY Q&amp;V 2003-04 to Now'!$A$1:$A$105,0),MATCH(CONCATENATE(I$5," Value"),'FY Q&amp;V 2003-04 to Now'!$A$8:$CN$8,0))),TRUE)/1000000)</f>
        <v>6077.1039019999998</v>
      </c>
      <c r="J11" s="1553">
        <f ca="1">IF($A$4="Select: Calendar Year",INDIRECT(CONCATENATE("'CY Q&amp;V 2004-Now'!",ADDRESS(MATCH("TOTAL NICKEL INDUSTRY",'CY Q&amp;V 2004-Now'!$A$1:$A$107,0),MATCH(CONCATENATE(J$5," Value"),'CY Q&amp;V 2004-Now'!$A$8:$CP$8,0))),TRUE)/1000000,INDIRECT(CONCATENATE("'FY Q&amp;V 2003-04 to Now'!",ADDRESS(MATCH("TOTAL NICKEL INDUSTRY",'FY Q&amp;V 2003-04 to Now'!$A$1:$A$105,0),MATCH(CONCATENATE(J$5," Value"),'FY Q&amp;V 2003-04 to Now'!$A$8:$CN$8,0))),TRUE)/1000000)</f>
        <v>7261.0100490000004</v>
      </c>
      <c r="K11" s="1553">
        <f ca="1">IF($A$4="Select: Calendar Year",INDIRECT(CONCATENATE("'CY Q&amp;V 2004-Now'!",ADDRESS(MATCH("TOTAL NICKEL INDUSTRY",'CY Q&amp;V 2004-Now'!$A$1:$A$107,0),MATCH(CONCATENATE(K$5," Value"),'CY Q&amp;V 2004-Now'!$A$8:$CP$8,0))),TRUE)/1000000,INDIRECT(CONCATENATE("'FY Q&amp;V 2003-04 to Now'!",ADDRESS(MATCH("TOTAL NICKEL INDUSTRY",'FY Q&amp;V 2003-04 to Now'!$A$1:$A$105,0),MATCH(CONCATENATE(K$5," Value"),'FY Q&amp;V 2003-04 to Now'!$A$8:$CN$8,0))),TRUE)/1000000)</f>
        <v>4445.5692310000004</v>
      </c>
      <c r="L11" s="1553">
        <f ca="1">IF($A$4="Select: Calendar Year",INDIRECT(CONCATENATE("'CY Q&amp;V 2004-Now'!",ADDRESS(MATCH("TOTAL NICKEL INDUSTRY",'CY Q&amp;V 2004-Now'!$A$1:$A$107,0),MATCH(CONCATENATE(L$5," Value"),'CY Q&amp;V 2004-Now'!$A$8:$CP$8,0))),TRUE)/1000000,INDIRECT(CONCATENATE("'FY Q&amp;V 2003-04 to Now'!",ADDRESS(MATCH("TOTAL NICKEL INDUSTRY",'FY Q&amp;V 2003-04 to Now'!$A$1:$A$105,0),MATCH(CONCATENATE(L$5," Value"),'FY Q&amp;V 2003-04 to Now'!$A$8:$CN$8,0))),TRUE)/1000000)</f>
        <v>3546.815067</v>
      </c>
      <c r="M11" s="1553">
        <f ca="1">IF($A$4="Select: Calendar Year",INDIRECT(CONCATENATE("'CY Q&amp;V 2004-Now'!",ADDRESS(MATCH("TOTAL NICKEL INDUSTRY",'CY Q&amp;V 2004-Now'!$A$1:$A$107,0),MATCH(CONCATENATE(M$5," Value"),'CY Q&amp;V 2004-Now'!$A$8:$CP$8,0))),TRUE)/1000000,INDIRECT(CONCATENATE("'FY Q&amp;V 2003-04 to Now'!",ADDRESS(MATCH("TOTAL NICKEL INDUSTRY",'FY Q&amp;V 2003-04 to Now'!$A$1:$A$105,0),MATCH(CONCATENATE(M$5," Value"),'FY Q&amp;V 2003-04 to Now'!$A$8:$CN$8,0))),TRUE)/1000000)</f>
        <v>4732.3475070000004</v>
      </c>
      <c r="N11" s="1553">
        <f ca="1">IF($A$4="Select: Calendar Year",INDIRECT(CONCATENATE("'CY Q&amp;V 2004-Now'!",ADDRESS(MATCH("TOTAL NICKEL INDUSTRY",'CY Q&amp;V 2004-Now'!$A$1:$A$107,0),MATCH(CONCATENATE(N$5," Value"),'CY Q&amp;V 2004-Now'!$A$8:$CP$8,0))),TRUE)/1000000,INDIRECT(CONCATENATE("'FY Q&amp;V 2003-04 to Now'!",ADDRESS(MATCH("TOTAL NICKEL INDUSTRY",'FY Q&amp;V 2003-04 to Now'!$A$1:$A$105,0),MATCH(CONCATENATE(N$5," Value"),'FY Q&amp;V 2003-04 to Now'!$A$8:$CN$8,0))),TRUE)/1000000)</f>
        <v>4090.1816960000001</v>
      </c>
      <c r="O11" s="1553">
        <f ca="1">IF($A$4="Select: Calendar Year",INDIRECT(CONCATENATE("'CY Q&amp;V 2004-Now'!",ADDRESS(MATCH("TOTAL NICKEL INDUSTRY",'CY Q&amp;V 2004-Now'!$A$1:$A$107,0),MATCH(CONCATENATE(O$5," Value"),'CY Q&amp;V 2004-Now'!$A$8:$CP$8,0))),TRUE)/1000000,INDIRECT(CONCATENATE("'FY Q&amp;V 2003-04 to Now'!",ADDRESS(MATCH("TOTAL NICKEL INDUSTRY",'FY Q&amp;V 2003-04 to Now'!$A$1:$A$105,0),MATCH(CONCATENATE(O$5," Value"),'FY Q&amp;V 2003-04 to Now'!$A$8:$CN$8,0))),TRUE)/1000000)</f>
        <v>3972.3238646999998</v>
      </c>
      <c r="P11" s="1553">
        <f ca="1">IF($A$4="Select: Calendar Year",INDIRECT(CONCATENATE("'CY Q&amp;V 2004-Now'!",ADDRESS(MATCH("TOTAL NICKEL INDUSTRY",'CY Q&amp;V 2004-Now'!$A$1:$A$107,0),MATCH(CONCATENATE(P$5," Value"),'CY Q&amp;V 2004-Now'!$A$8:$CP$8,0))),TRUE)/1000000,INDIRECT(CONCATENATE("'FY Q&amp;V 2003-04 to Now'!",ADDRESS(MATCH("TOTAL NICKEL INDUSTRY",'FY Q&amp;V 2003-04 to Now'!$A$1:$A$105,0),MATCH(CONCATENATE(P$5," Value"),'FY Q&amp;V 2003-04 to Now'!$A$8:$CN$8,0))),TRUE)/1000000)</f>
        <v>3572.7518341</v>
      </c>
      <c r="Q11" s="1553">
        <f ca="1">IF($A$4="Select: Calendar Year",INDIRECT(CONCATENATE("'CY Q&amp;V 2004-Now'!",ADDRESS(MATCH("TOTAL NICKEL INDUSTRY",'CY Q&amp;V 2004-Now'!$A$1:$A$107,0),MATCH(CONCATENATE(Q$5," Value"),'CY Q&amp;V 2004-Now'!$A$8:$CP$8,0))),TRUE)/1000000,INDIRECT(CONCATENATE("'FY Q&amp;V 2003-04 to Now'!",ADDRESS(MATCH("TOTAL NICKEL INDUSTRY",'FY Q&amp;V 2003-04 to Now'!$A$1:$A$105,0),MATCH(CONCATENATE(Q$5," Value"),'FY Q&amp;V 2003-04 to Now'!$A$8:$CN$8,0))),TRUE)/1000000)</f>
        <v>3792.2851679999999</v>
      </c>
      <c r="R11" s="1553">
        <f ca="1">IF($A$4="Select: Calendar Year",INDIRECT(CONCATENATE("'CY Q&amp;V 2004-Now'!",ADDRESS(MATCH("TOTAL NICKEL INDUSTRY",'CY Q&amp;V 2004-Now'!$A$1:$A$107,0),MATCH(CONCATENATE(R$5," Value"),'CY Q&amp;V 2004-Now'!$A$8:$CP$8,0))),TRUE)/1000000,INDIRECT(CONCATENATE("'FY Q&amp;V 2003-04 to Now'!",ADDRESS(MATCH("TOTAL NICKEL INDUSTRY",'FY Q&amp;V 2003-04 to Now'!$A$1:$A$105,0),MATCH(CONCATENATE(R$5," Value"),'FY Q&amp;V 2003-04 to Now'!$A$8:$CN$8,0))),TRUE)/1000000)</f>
        <v>2771.3924899999997</v>
      </c>
      <c r="S11" s="1553">
        <f ca="1">IF($A$4="Select: Calendar Year",INDIRECT(CONCATENATE("'CY Q&amp;V 2004-Now'!",ADDRESS(MATCH("TOTAL NICKEL INDUSTRY",'CY Q&amp;V 2004-Now'!$A$1:$A$107,0),MATCH(CONCATENATE(S$5," Value"),'CY Q&amp;V 2004-Now'!$A$8:$CP$8,0))),TRUE)/1000000,INDIRECT(CONCATENATE("'FY Q&amp;V 2003-04 to Now'!",ADDRESS(MATCH("TOTAL NICKEL INDUSTRY",'FY Q&amp;V 2003-04 to Now'!$A$1:$A$105,0),MATCH(CONCATENATE(S$5," Value"),'FY Q&amp;V 2003-04 to Now'!$A$8:$CN$8,0))),TRUE)/1000000)</f>
        <v>2310.2483969999998</v>
      </c>
      <c r="T11" s="1553">
        <f ca="1">IF($A$4="Select: Calendar Year",INDIRECT(CONCATENATE("'CY Q&amp;V 2004-Now'!",ADDRESS(MATCH("TOTAL NICKEL INDUSTRY",'CY Q&amp;V 2004-Now'!$A$1:$A$107,0),MATCH(CONCATENATE(T$5," Value"),'CY Q&amp;V 2004-Now'!$A$8:$CP$8,0))),TRUE)/1000000,INDIRECT(CONCATENATE("'FY Q&amp;V 2003-04 to Now'!",ADDRESS(MATCH("TOTAL NICKEL INDUSTRY",'FY Q&amp;V 2003-04 to Now'!$A$1:$A$105,0),MATCH(CONCATENATE(T$5," Value"),'FY Q&amp;V 2003-04 to Now'!$A$8:$CN$8,0))),TRUE)/1000000)</f>
        <v>2665.4837330000005</v>
      </c>
      <c r="U11" s="1553">
        <f ca="1">IF($A$4="Select: Calendar Year",INDIRECT(CONCATENATE("'CY Q&amp;V 2004-Now'!",ADDRESS(MATCH("TOTAL NICKEL INDUSTRY",'CY Q&amp;V 2004-Now'!$A$1:$A$107,0),MATCH(CONCATENATE(U$5," Value"),'CY Q&amp;V 2004-Now'!$A$8:$CP$8,0))),TRUE)/1000000,INDIRECT(CONCATENATE("'FY Q&amp;V 2003-04 to Now'!",ADDRESS(MATCH("TOTAL NICKEL INDUSTRY",'FY Q&amp;V 2003-04 to Now'!$A$1:$A$105,0),MATCH(CONCATENATE(U$5," Value"),'FY Q&amp;V 2003-04 to Now'!$A$8:$CN$8,0))),TRUE)/1000000)</f>
        <v>3143.3057869999998</v>
      </c>
      <c r="V11" s="1553">
        <f ca="1">IF($A$4="Select: Calendar Year",INDIRECT(CONCATENATE("'CY Q&amp;V 2004-Now'!",ADDRESS(MATCH("TOTAL NICKEL INDUSTRY",'CY Q&amp;V 2004-Now'!$A$1:$A$107,0),MATCH(CONCATENATE(V$5," Value"),'CY Q&amp;V 2004-Now'!$A$8:$CP$8,0))),TRUE)/1000000,INDIRECT(CONCATENATE("'FY Q&amp;V 2003-04 to Now'!",ADDRESS(MATCH("TOTAL NICKEL INDUSTRY",'FY Q&amp;V 2003-04 to Now'!$A$1:$A$105,0),MATCH(CONCATENATE(V$5," Value"),'FY Q&amp;V 2003-04 to Now'!$A$8:$CN$8,0))),TRUE)/1000000)</f>
        <v>3403.2250650000001</v>
      </c>
    </row>
    <row r="12" spans="1:48">
      <c r="A12" s="434" t="s">
        <v>578</v>
      </c>
      <c r="B12" s="1554">
        <f ca="1">IF($A$4="Select: Calendar Year",INDIRECT(CONCATENATE("'CY Q&amp;V 1886-2003'!",ADDRESS(MATCH("Alumina",'CY Q&amp;V 1886-2003'!$A$1:$A$230,0),MATCH(CONCATENATE(B$5," Value"),'CY Q&amp;V 1886-2003'!$A$8:$BH$8,0))),TRUE)/1000000,INDIRECT(CONCATENATE("'FY Q&amp;V 1984-85 to 2002-03'!",ADDRESS(MATCH("Alumina",'FY Q&amp;V 1984-85 to 2002-03'!$A$1:$A$228,0),MATCH(CONCATENATE(B$5," Value"),'FY Q&amp;V 1984-85 to 2002-03'!$A$8:$BS$8,0))),TRUE)/1000000)</f>
        <v>2311.3771645799998</v>
      </c>
      <c r="C12" s="1554">
        <f ca="1">IF($A$4="Select: Calendar Year",INDIRECT(CONCATENATE("'CY Q&amp;V 1886-2003'!",ADDRESS(MATCH("Alumina",'CY Q&amp;V 1886-2003'!$A$1:$A$230,0),MATCH(CONCATENATE(C$5," Value"),'CY Q&amp;V 1886-2003'!$A$8:$BH$8,0))),TRUE)/1000000,INDIRECT(CONCATENATE("'FY Q&amp;V 1984-85 to 2002-03'!",ADDRESS(MATCH("Alumina",'FY Q&amp;V 1984-85 to 2002-03'!$A$1:$A$228,0),MATCH(CONCATENATE(C$5," Value"),'FY Q&amp;V 1984-85 to 2002-03'!$A$8:$BS$8,0))),TRUE)/1000000)</f>
        <v>3187.4724299999998</v>
      </c>
      <c r="D12" s="1554">
        <f ca="1">IF($A$4="Select: Calendar Year",INDIRECT(CONCATENATE("'CY Q&amp;V 1886-2003'!",ADDRESS(MATCH("Alumina",'CY Q&amp;V 1886-2003'!$A$1:$A$230,0),MATCH(CONCATENATE(D$5," Value"),'CY Q&amp;V 1886-2003'!$A$8:$BH$8,0))),TRUE)/1000000,INDIRECT(CONCATENATE("'FY Q&amp;V 1984-85 to 2002-03'!",ADDRESS(MATCH("Alumina",'FY Q&amp;V 1984-85 to 2002-03'!$A$1:$A$228,0),MATCH(CONCATENATE(D$5," Value"),'FY Q&amp;V 1984-85 to 2002-03'!$A$8:$BS$8,0))),TRUE)/1000000)</f>
        <v>3766.5517340000001</v>
      </c>
      <c r="E12" s="1554">
        <f ca="1">IF($A$4="Select: Calendar Year",INDIRECT(CONCATENATE("'CY Q&amp;V 1886-2003'!",ADDRESS(MATCH("Alumina",'CY Q&amp;V 1886-2003'!$A$1:$A$230,0),MATCH(CONCATENATE(E$5," Value"),'CY Q&amp;V 1886-2003'!$A$8:$BH$8,0))),TRUE)/1000000,INDIRECT(CONCATENATE("'FY Q&amp;V 1984-85 to 2002-03'!",ADDRESS(MATCH("Alumina",'FY Q&amp;V 1984-85 to 2002-03'!$A$1:$A$228,0),MATCH(CONCATENATE(E$5," Value"),'FY Q&amp;V 1984-85 to 2002-03'!$A$8:$BS$8,0))),TRUE)/1000000)</f>
        <v>3339.2477050000002</v>
      </c>
      <c r="F12" s="1554">
        <f ca="1">IF($A$4="Select: Calendar Year",INDIRECT(CONCATENATE("'CY Q&amp;V 1886-2003'!",ADDRESS(MATCH("Alumina",'CY Q&amp;V 1886-2003'!$A$1:$A$230,0),MATCH(CONCATENATE(F$5," Value"),'CY Q&amp;V 1886-2003'!$A$8:$BH$8,0))),TRUE)/1000000,INDIRECT(CONCATENATE("'FY Q&amp;V 1984-85 to 2002-03'!",ADDRESS(MATCH("Alumina",'FY Q&amp;V 1984-85 to 2002-03'!$A$1:$A$228,0),MATCH(CONCATENATE(F$5," Value"),'FY Q&amp;V 1984-85 to 2002-03'!$A$8:$BS$8,0))),TRUE)/1000000)</f>
        <v>3140.4794969999998</v>
      </c>
      <c r="G12" s="1554">
        <f ca="1">IF($A$4="Select: Calendar Year",INDIRECT(CONCATENATE("'CY Q&amp;V 2004-Now'!",ADDRESS(MATCH("TOTAL ALUMINA &amp; BAUXITE",'CY Q&amp;V 2004-Now'!$A$1:$A$107,0),MATCH(CONCATENATE(G$5," Value"),'CY Q&amp;V 2004-Now'!$A$8:$CP$8,0))),TRUE)/1000000,INDIRECT(CONCATENATE("'FY Q&amp;V 2003-04 to Now'!",ADDRESS(MATCH("TOTAL ALUMINA &amp; BAUXITE",'FY Q&amp;V 2003-04 to Now'!$A$1:$A$105,0),MATCH(CONCATENATE(G$5," Value"),'FY Q&amp;V 2003-04 to Now'!$A$8:$CN$8,0))),TRUE)/1000000)</f>
        <v>3178.9524327800004</v>
      </c>
      <c r="H12" s="1554">
        <f ca="1">IF($A$4="Select: Calendar Year",INDIRECT(CONCATENATE("'CY Q&amp;V 2004-Now'!",ADDRESS(MATCH("TOTAL ALUMINA &amp; BAUXITE",'CY Q&amp;V 2004-Now'!$A$1:$A$107,0),MATCH(CONCATENATE(H$5," Value"),'CY Q&amp;V 2004-Now'!$A$8:$CP$8,0))),TRUE)/1000000,INDIRECT(CONCATENATE("'FY Q&amp;V 2003-04 to Now'!",ADDRESS(MATCH("TOTAL ALUMINA &amp; BAUXITE",'FY Q&amp;V 2003-04 to Now'!$A$1:$A$105,0),MATCH(CONCATENATE(H$5," Value"),'FY Q&amp;V 2003-04 to Now'!$A$8:$CN$8,0))),TRUE)/1000000)</f>
        <v>3594.8574879999996</v>
      </c>
      <c r="I12" s="1554">
        <f ca="1">IF($A$4="Select: Calendar Year",INDIRECT(CONCATENATE("'CY Q&amp;V 2004-Now'!",ADDRESS(MATCH("TOTAL ALUMINA &amp; BAUXITE",'CY Q&amp;V 2004-Now'!$A$1:$A$107,0),MATCH(CONCATENATE(I$5," Value"),'CY Q&amp;V 2004-Now'!$A$8:$CP$8,0))),TRUE)/1000000,INDIRECT(CONCATENATE("'FY Q&amp;V 2003-04 to Now'!",ADDRESS(MATCH("TOTAL ALUMINA &amp; BAUXITE",'FY Q&amp;V 2003-04 to Now'!$A$1:$A$105,0),MATCH(CONCATENATE(I$5," Value"),'FY Q&amp;V 2003-04 to Now'!$A$8:$CN$8,0))),TRUE)/1000000)</f>
        <v>4921.7215114199998</v>
      </c>
      <c r="J12" s="1554">
        <f ca="1">IF($A$4="Select: Calendar Year",INDIRECT(CONCATENATE("'CY Q&amp;V 2004-Now'!",ADDRESS(MATCH("TOTAL ALUMINA &amp; BAUXITE",'CY Q&amp;V 2004-Now'!$A$1:$A$107,0),MATCH(CONCATENATE(J$5," Value"),'CY Q&amp;V 2004-Now'!$A$8:$CP$8,0))),TRUE)/1000000,INDIRECT(CONCATENATE("'FY Q&amp;V 2003-04 to Now'!",ADDRESS(MATCH("TOTAL ALUMINA &amp; BAUXITE",'FY Q&amp;V 2003-04 to Now'!$A$1:$A$105,0),MATCH(CONCATENATE(J$5," Value"),'FY Q&amp;V 2003-04 to Now'!$A$8:$CN$8,0))),TRUE)/1000000)</f>
        <v>5048.349872849999</v>
      </c>
      <c r="K12" s="1554">
        <f ca="1">IF($A$4="Select: Calendar Year",INDIRECT(CONCATENATE("'CY Q&amp;V 2004-Now'!",ADDRESS(MATCH("TOTAL ALUMINA &amp; BAUXITE",'CY Q&amp;V 2004-Now'!$A$1:$A$107,0),MATCH(CONCATENATE(K$5," Value"),'CY Q&amp;V 2004-Now'!$A$8:$CP$8,0))),TRUE)/1000000,INDIRECT(CONCATENATE("'FY Q&amp;V 2003-04 to Now'!",ADDRESS(MATCH("TOTAL ALUMINA &amp; BAUXITE",'FY Q&amp;V 2003-04 to Now'!$A$1:$A$105,0),MATCH(CONCATENATE(K$5," Value"),'FY Q&amp;V 2003-04 to Now'!$A$8:$CN$8,0))),TRUE)/1000000)</f>
        <v>4759.5109524</v>
      </c>
      <c r="L12" s="1554">
        <f ca="1">IF($A$4="Select: Calendar Year",INDIRECT(CONCATENATE("'CY Q&amp;V 2004-Now'!",ADDRESS(MATCH("TOTAL ALUMINA &amp; BAUXITE",'CY Q&amp;V 2004-Now'!$A$1:$A$107,0),MATCH(CONCATENATE(L$5," Value"),'CY Q&amp;V 2004-Now'!$A$8:$CP$8,0))),TRUE)/1000000,INDIRECT(CONCATENATE("'FY Q&amp;V 2003-04 to Now'!",ADDRESS(MATCH("TOTAL ALUMINA &amp; BAUXITE",'FY Q&amp;V 2003-04 to Now'!$A$1:$A$105,0),MATCH(CONCATENATE(L$5," Value"),'FY Q&amp;V 2003-04 to Now'!$A$8:$CN$8,0))),TRUE)/1000000)</f>
        <v>3800.77350918</v>
      </c>
      <c r="M12" s="1554">
        <f ca="1">IF($A$4="Select: Calendar Year",INDIRECT(CONCATENATE("'CY Q&amp;V 2004-Now'!",ADDRESS(MATCH("TOTAL ALUMINA &amp; BAUXITE",'CY Q&amp;V 2004-Now'!$A$1:$A$107,0),MATCH(CONCATENATE(M$5," Value"),'CY Q&amp;V 2004-Now'!$A$8:$CP$8,0))),TRUE)/1000000,INDIRECT(CONCATENATE("'FY Q&amp;V 2003-04 to Now'!",ADDRESS(MATCH("TOTAL ALUMINA &amp; BAUXITE",'FY Q&amp;V 2003-04 to Now'!$A$1:$A$105,0),MATCH(CONCATENATE(M$5," Value"),'FY Q&amp;V 2003-04 to Now'!$A$8:$CN$8,0))),TRUE)/1000000)</f>
        <v>3959.4147508300002</v>
      </c>
      <c r="N12" s="1554">
        <f ca="1">IF($A$4="Select: Calendar Year",INDIRECT(CONCATENATE("'CY Q&amp;V 2004-Now'!",ADDRESS(MATCH("TOTAL ALUMINA &amp; BAUXITE",'CY Q&amp;V 2004-Now'!$A$1:$A$107,0),MATCH(CONCATENATE(N$5," Value"),'CY Q&amp;V 2004-Now'!$A$8:$CP$8,0))),TRUE)/1000000,INDIRECT(CONCATENATE("'FY Q&amp;V 2003-04 to Now'!",ADDRESS(MATCH("TOTAL ALUMINA &amp; BAUXITE",'FY Q&amp;V 2003-04 to Now'!$A$1:$A$105,0),MATCH(CONCATENATE(N$5," Value"),'FY Q&amp;V 2003-04 to Now'!$A$8:$CN$8,0))),TRUE)/1000000)</f>
        <v>4189.4656789399996</v>
      </c>
      <c r="O12" s="1554">
        <f ca="1">IF($A$4="Select: Calendar Year",INDIRECT(CONCATENATE("'CY Q&amp;V 2004-Now'!",ADDRESS(MATCH("TOTAL ALUMINA &amp; BAUXITE",'CY Q&amp;V 2004-Now'!$A$1:$A$107,0),MATCH(CONCATENATE(O$5," Value"),'CY Q&amp;V 2004-Now'!$A$8:$CP$8,0))),TRUE)/1000000,INDIRECT(CONCATENATE("'FY Q&amp;V 2003-04 to Now'!",ADDRESS(MATCH("TOTAL ALUMINA &amp; BAUXITE",'FY Q&amp;V 2003-04 to Now'!$A$1:$A$105,0),MATCH(CONCATENATE(O$5," Value"),'FY Q&amp;V 2003-04 to Now'!$A$8:$CN$8,0))),TRUE)/1000000)</f>
        <v>3831.1474728899998</v>
      </c>
      <c r="P12" s="1554">
        <f ca="1">IF($A$4="Select: Calendar Year",INDIRECT(CONCATENATE("'CY Q&amp;V 2004-Now'!",ADDRESS(MATCH("TOTAL ALUMINA &amp; BAUXITE",'CY Q&amp;V 2004-Now'!$A$1:$A$107,0),MATCH(CONCATENATE(P$5," Value"),'CY Q&amp;V 2004-Now'!$A$8:$CP$8,0))),TRUE)/1000000,INDIRECT(CONCATENATE("'FY Q&amp;V 2003-04 to Now'!",ADDRESS(MATCH("TOTAL ALUMINA &amp; BAUXITE",'FY Q&amp;V 2003-04 to Now'!$A$1:$A$105,0),MATCH(CONCATENATE(P$5," Value"),'FY Q&amp;V 2003-04 to Now'!$A$8:$CN$8,0))),TRUE)/1000000)</f>
        <v>4147.0508934999998</v>
      </c>
      <c r="Q12" s="1554">
        <f ca="1">IF($A$4="Select: Calendar Year",INDIRECT(CONCATENATE("'CY Q&amp;V 2004-Now'!",ADDRESS(MATCH("TOTAL ALUMINA &amp; BAUXITE",'CY Q&amp;V 2004-Now'!$A$1:$A$107,0),MATCH(CONCATENATE(Q$5," Value"),'CY Q&amp;V 2004-Now'!$A$8:$CP$8,0))),TRUE)/1000000,INDIRECT(CONCATENATE("'FY Q&amp;V 2003-04 to Now'!",ADDRESS(MATCH("TOTAL ALUMINA &amp; BAUXITE",'FY Q&amp;V 2003-04 to Now'!$A$1:$A$105,0),MATCH(CONCATENATE(Q$5," Value"),'FY Q&amp;V 2003-04 to Now'!$A$8:$CN$8,0))),TRUE)/1000000)</f>
        <v>4561.7391589999997</v>
      </c>
      <c r="R12" s="1554">
        <f ca="1">IF($A$4="Select: Calendar Year",INDIRECT(CONCATENATE("'CY Q&amp;V 2004-Now'!",ADDRESS(MATCH("TOTAL ALUMINA &amp; BAUXITE",'CY Q&amp;V 2004-Now'!$A$1:$A$107,0),MATCH(CONCATENATE(R$5," Value"),'CY Q&amp;V 2004-Now'!$A$8:$CP$8,0))),TRUE)/1000000,INDIRECT(CONCATENATE("'FY Q&amp;V 2003-04 to Now'!",ADDRESS(MATCH("TOTAL ALUMINA &amp; BAUXITE",'FY Q&amp;V 2003-04 to Now'!$A$1:$A$105,0),MATCH(CONCATENATE(R$5," Value"),'FY Q&amp;V 2003-04 to Now'!$A$8:$CN$8,0))),TRUE)/1000000)</f>
        <v>5290.3826120000003</v>
      </c>
      <c r="S12" s="1554">
        <f ca="1">IF($A$4="Select: Calendar Year",INDIRECT(CONCATENATE("'CY Q&amp;V 2004-Now'!",ADDRESS(MATCH("TOTAL ALUMINA &amp; BAUXITE",'CY Q&amp;V 2004-Now'!$A$1:$A$107,0),MATCH(CONCATENATE(S$5," Value"),'CY Q&amp;V 2004-Now'!$A$8:$CP$8,0))),TRUE)/1000000,INDIRECT(CONCATENATE("'FY Q&amp;V 2003-04 to Now'!",ADDRESS(MATCH("TOTAL ALUMINA &amp; BAUXITE",'FY Q&amp;V 2003-04 to Now'!$A$1:$A$105,0),MATCH(CONCATENATE(S$5," Value"),'FY Q&amp;V 2003-04 to Now'!$A$8:$CN$8,0))),TRUE)/1000000)</f>
        <v>4590.6042449999986</v>
      </c>
      <c r="T12" s="1554">
        <f ca="1">IF($A$4="Select: Calendar Year",INDIRECT(CONCATENATE("'CY Q&amp;V 2004-Now'!",ADDRESS(MATCH("TOTAL ALUMINA &amp; BAUXITE",'CY Q&amp;V 2004-Now'!$A$1:$A$107,0),MATCH(CONCATENATE(T$5," Value"),'CY Q&amp;V 2004-Now'!$A$8:$CP$8,0))),TRUE)/1000000,INDIRECT(CONCATENATE("'FY Q&amp;V 2003-04 to Now'!",ADDRESS(MATCH("TOTAL ALUMINA &amp; BAUXITE",'FY Q&amp;V 2003-04 to Now'!$A$1:$A$105,0),MATCH(CONCATENATE(T$5," Value"),'FY Q&amp;V 2003-04 to Now'!$A$8:$CN$8,0))),TRUE)/1000000)</f>
        <v>5878.7310669999997</v>
      </c>
      <c r="U12" s="1554">
        <f ca="1">IF($A$4="Select: Calendar Year",INDIRECT(CONCATENATE("'CY Q&amp;V 2004-Now'!",ADDRESS(MATCH("TOTAL ALUMINA &amp; BAUXITE",'CY Q&amp;V 2004-Now'!$A$1:$A$107,0),MATCH(CONCATENATE(U$5," Value"),'CY Q&amp;V 2004-Now'!$A$8:$CP$8,0))),TRUE)/1000000,INDIRECT(CONCATENATE("'FY Q&amp;V 2003-04 to Now'!",ADDRESS(MATCH("TOTAL ALUMINA &amp; BAUXITE",'FY Q&amp;V 2003-04 to Now'!$A$1:$A$105,0),MATCH(CONCATENATE(U$5," Value"),'FY Q&amp;V 2003-04 to Now'!$A$8:$CN$8,0))),TRUE)/1000000)</f>
        <v>7924.8548730000002</v>
      </c>
      <c r="V12" s="1554">
        <f ca="1">IF($A$4="Select: Calendar Year",INDIRECT(CONCATENATE("'CY Q&amp;V 2004-Now'!",ADDRESS(MATCH("TOTAL ALUMINA &amp; BAUXITE",'CY Q&amp;V 2004-Now'!$A$1:$A$107,0),MATCH(CONCATENATE(V$5," Value"),'CY Q&amp;V 2004-Now'!$A$8:$CP$8,0))),TRUE)/1000000,INDIRECT(CONCATENATE("'FY Q&amp;V 2003-04 to Now'!",ADDRESS(MATCH("TOTAL ALUMINA &amp; BAUXITE",'FY Q&amp;V 2003-04 to Now'!$A$1:$A$105,0),MATCH(CONCATENATE(V$5," Value"),'FY Q&amp;V 2003-04 to Now'!$A$8:$CN$8,0))),TRUE)/1000000)</f>
        <v>7358.9849519999998</v>
      </c>
    </row>
    <row r="13" spans="1:48">
      <c r="A13" s="434" t="s">
        <v>1</v>
      </c>
      <c r="B13" s="1553">
        <f ca="1">IF($A$4="Select: Calendar Year",INDIRECT(CONCATENATE("'CY Q&amp;V 1886-2003'!",ADDRESS(MATCH("Gold",'CY Q&amp;V 1886-2003'!$A$1:$A$230,0),MATCH(CONCATENATE(B$5," Value"),'CY Q&amp;V 1886-2003'!$A$8:$BH$8,0))),TRUE)/1000000,INDIRECT(CONCATENATE("'FY Q&amp;V 1984-85 to 2002-03'!",ADDRESS(MATCH("Gold",'FY Q&amp;V 1984-85 to 2002-03'!$A$1:$A$228,0),MATCH(CONCATENATE(B$5," Value"),'FY Q&amp;V 1984-85 to 2002-03'!$A$8:$BS$8,0))),TRUE)/1000000)</f>
        <v>2942.2747709999999</v>
      </c>
      <c r="C13" s="1553">
        <f ca="1">IF($A$4="Select: Calendar Year",INDIRECT(CONCATENATE("'CY Q&amp;V 1886-2003'!",ADDRESS(MATCH("Gold",'CY Q&amp;V 1886-2003'!$A$1:$A$230,0),MATCH(CONCATENATE(C$5," Value"),'CY Q&amp;V 1886-2003'!$A$8:$BH$8,0))),TRUE)/1000000,INDIRECT(CONCATENATE("'FY Q&amp;V 1984-85 to 2002-03'!",ADDRESS(MATCH("Gold",'FY Q&amp;V 1984-85 to 2002-03'!$A$1:$A$228,0),MATCH(CONCATENATE(C$5," Value"),'FY Q&amp;V 1984-85 to 2002-03'!$A$8:$BS$8,0))),TRUE)/1000000)</f>
        <v>3087.2791569999999</v>
      </c>
      <c r="D13" s="1553">
        <f ca="1">IF($A$4="Select: Calendar Year",INDIRECT(CONCATENATE("'CY Q&amp;V 1886-2003'!",ADDRESS(MATCH("Gold",'CY Q&amp;V 1886-2003'!$A$1:$A$230,0),MATCH(CONCATENATE(D$5," Value"),'CY Q&amp;V 1886-2003'!$A$8:$BH$8,0))),TRUE)/1000000,INDIRECT(CONCATENATE("'FY Q&amp;V 1984-85 to 2002-03'!",ADDRESS(MATCH("Gold",'FY Q&amp;V 1984-85 to 2002-03'!$A$1:$A$228,0),MATCH(CONCATENATE(D$5," Value"),'FY Q&amp;V 1984-85 to 2002-03'!$A$8:$BS$8,0))),TRUE)/1000000)</f>
        <v>3236.1958180000001</v>
      </c>
      <c r="E13" s="1553">
        <f ca="1">IF($A$4="Select: Calendar Year",INDIRECT(CONCATENATE("'CY Q&amp;V 1886-2003'!",ADDRESS(MATCH("Gold",'CY Q&amp;V 1886-2003'!$A$1:$A$230,0),MATCH(CONCATENATE(E$5," Value"),'CY Q&amp;V 1886-2003'!$A$8:$BH$8,0))),TRUE)/1000000,INDIRECT(CONCATENATE("'FY Q&amp;V 1984-85 to 2002-03'!",ADDRESS(MATCH("Gold",'FY Q&amp;V 1984-85 to 2002-03'!$A$1:$A$228,0),MATCH(CONCATENATE(E$5," Value"),'FY Q&amp;V 1984-85 to 2002-03'!$A$8:$BS$8,0))),TRUE)/1000000)</f>
        <v>3460.8723639999998</v>
      </c>
      <c r="F13" s="1553">
        <f ca="1">IF($A$4="Select: Calendar Year",INDIRECT(CONCATENATE("'CY Q&amp;V 1886-2003'!",ADDRESS(MATCH("Gold",'CY Q&amp;V 1886-2003'!$A$1:$A$230,0),MATCH(CONCATENATE(F$5," Value"),'CY Q&amp;V 1886-2003'!$A$8:$BH$8,0))),TRUE)/1000000,INDIRECT(CONCATENATE("'FY Q&amp;V 1984-85 to 2002-03'!",ADDRESS(MATCH("Gold",'FY Q&amp;V 1984-85 to 2002-03'!$A$1:$A$228,0),MATCH(CONCATENATE(F$5," Value"),'FY Q&amp;V 1984-85 to 2002-03'!$A$8:$BS$8,0))),TRUE)/1000000)</f>
        <v>3364.9628550000002</v>
      </c>
      <c r="G13" s="1553">
        <f ca="1">IF($A$4="Select: Calendar Year",INDIRECT(CONCATENATE("'CY Q&amp;V 2004-Now'!",ADDRESS(MATCH("Gold",'CY Q&amp;V 2004-Now'!$A$1:$A$107,0),MATCH(CONCATENATE(G$5," Value"),'CY Q&amp;V 2004-Now'!$A$8:$CP$8,0))),TRUE)/1000000,INDIRECT(CONCATENATE("'FY Q&amp;V 2003-04 to Now'!",ADDRESS(MATCH("Gold",'FY Q&amp;V 2003-04 to Now'!$A$1:$A$105,0),MATCH(CONCATENATE(G$5," Value"),'FY Q&amp;V 2003-04 to Now'!$A$8:$CN$8,0))),TRUE)/1000000)</f>
        <v>3199.913329</v>
      </c>
      <c r="H13" s="1553">
        <f ca="1">IF($A$4="Select: Calendar Year",INDIRECT(CONCATENATE("'CY Q&amp;V 2004-Now'!",ADDRESS(MATCH("Gold",'CY Q&amp;V 2004-Now'!$A$1:$A$107,0),MATCH(CONCATENATE(H$5," Value"),'CY Q&amp;V 2004-Now'!$A$8:$CP$8,0))),TRUE)/1000000,INDIRECT(CONCATENATE("'FY Q&amp;V 2003-04 to Now'!",ADDRESS(MATCH("Gold",'FY Q&amp;V 2003-04 to Now'!$A$1:$A$105,0),MATCH(CONCATENATE(H$5," Value"),'FY Q&amp;V 2003-04 to Now'!$A$8:$CN$8,0))),TRUE)/1000000)</f>
        <v>3144.134798</v>
      </c>
      <c r="I13" s="1553">
        <f ca="1">IF($A$4="Select: Calendar Year",INDIRECT(CONCATENATE("'CY Q&amp;V 2004-Now'!",ADDRESS(MATCH("Gold",'CY Q&amp;V 2004-Now'!$A$1:$A$107,0),MATCH(CONCATENATE(I$5," Value"),'CY Q&amp;V 2004-Now'!$A$8:$CP$8,0))),TRUE)/1000000,INDIRECT(CONCATENATE("'FY Q&amp;V 2003-04 to Now'!",ADDRESS(MATCH("Gold",'FY Q&amp;V 2003-04 to Now'!$A$1:$A$105,0),MATCH(CONCATENATE(I$5," Value"),'FY Q&amp;V 2003-04 to Now'!$A$8:$CN$8,0))),TRUE)/1000000)</f>
        <v>4208.3325700000005</v>
      </c>
      <c r="J13" s="1553">
        <f ca="1">IF($A$4="Select: Calendar Year",INDIRECT(CONCATENATE("'CY Q&amp;V 2004-Now'!",ADDRESS(MATCH("Gold",'CY Q&amp;V 2004-Now'!$A$1:$A$107,0),MATCH(CONCATENATE(J$5," Value"),'CY Q&amp;V 2004-Now'!$A$8:$CP$8,0))),TRUE)/1000000,INDIRECT(CONCATENATE("'FY Q&amp;V 2003-04 to Now'!",ADDRESS(MATCH("Gold",'FY Q&amp;V 2003-04 to Now'!$A$1:$A$105,0),MATCH(CONCATENATE(J$5," Value"),'FY Q&amp;V 2003-04 to Now'!$A$8:$CN$8,0))),TRUE)/1000000)</f>
        <v>4039.0577290000001</v>
      </c>
      <c r="K13" s="1553">
        <f ca="1">IF($A$4="Select: Calendar Year",INDIRECT(CONCATENATE("'CY Q&amp;V 2004-Now'!",ADDRESS(MATCH("Gold",'CY Q&amp;V 2004-Now'!$A$1:$A$107,0),MATCH(CONCATENATE(K$5," Value"),'CY Q&amp;V 2004-Now'!$A$8:$CP$8,0))),TRUE)/1000000,INDIRECT(CONCATENATE("'FY Q&amp;V 2003-04 to Now'!",ADDRESS(MATCH("Gold",'FY Q&amp;V 2003-04 to Now'!$A$1:$A$105,0),MATCH(CONCATENATE(K$5," Value"),'FY Q&amp;V 2003-04 to Now'!$A$8:$CN$8,0))),TRUE)/1000000)</f>
        <v>4399.5130680000002</v>
      </c>
      <c r="L13" s="1553">
        <f ca="1">IF($A$4="Select: Calendar Year",INDIRECT(CONCATENATE("'CY Q&amp;V 2004-Now'!",ADDRESS(MATCH("Gold",'CY Q&amp;V 2004-Now'!$A$1:$A$107,0),MATCH(CONCATENATE(L$5," Value"),'CY Q&amp;V 2004-Now'!$A$8:$CP$8,0))),TRUE)/1000000,INDIRECT(CONCATENATE("'FY Q&amp;V 2003-04 to Now'!",ADDRESS(MATCH("Gold",'FY Q&amp;V 2003-04 to Now'!$A$1:$A$105,0),MATCH(CONCATENATE(L$5," Value"),'FY Q&amp;V 2003-04 to Now'!$A$8:$CN$8,0))),TRUE)/1000000)</f>
        <v>5814.4216130000004</v>
      </c>
      <c r="M13" s="1553">
        <f ca="1">IF($A$4="Select: Calendar Year",INDIRECT(CONCATENATE("'CY Q&amp;V 2004-Now'!",ADDRESS(MATCH("Gold",'CY Q&amp;V 2004-Now'!$A$1:$A$107,0),MATCH(CONCATENATE(M$5," Value"),'CY Q&amp;V 2004-Now'!$A$8:$CP$8,0))),TRUE)/1000000,INDIRECT(CONCATENATE("'FY Q&amp;V 2003-04 to Now'!",ADDRESS(MATCH("Gold",'FY Q&amp;V 2003-04 to Now'!$A$1:$A$105,0),MATCH(CONCATENATE(M$5," Value"),'FY Q&amp;V 2003-04 to Now'!$A$8:$CN$8,0))),TRUE)/1000000)</f>
        <v>7849.1314590000002</v>
      </c>
      <c r="N13" s="1553">
        <f ca="1">IF($A$4="Select: Calendar Year",INDIRECT(CONCATENATE("'CY Q&amp;V 2004-Now'!",ADDRESS(MATCH("Gold",'CY Q&amp;V 2004-Now'!$A$1:$A$107,0),MATCH(CONCATENATE(N$5," Value"),'CY Q&amp;V 2004-Now'!$A$8:$CP$8,0))),TRUE)/1000000,INDIRECT(CONCATENATE("'FY Q&amp;V 2003-04 to Now'!",ADDRESS(MATCH("Gold",'FY Q&amp;V 2003-04 to Now'!$A$1:$A$105,0),MATCH(CONCATENATE(N$5," Value"),'FY Q&amp;V 2003-04 to Now'!$A$8:$CN$8,0))),TRUE)/1000000)</f>
        <v>8793.8925789999994</v>
      </c>
      <c r="O13" s="1553">
        <f ca="1">IF($A$4="Select: Calendar Year",INDIRECT(CONCATENATE("'CY Q&amp;V 2004-Now'!",ADDRESS(MATCH("Gold",'CY Q&amp;V 2004-Now'!$A$1:$A$107,0),MATCH(CONCATENATE(O$5," Value"),'CY Q&amp;V 2004-Now'!$A$8:$CP$8,0))),TRUE)/1000000,INDIRECT(CONCATENATE("'FY Q&amp;V 2003-04 to Now'!",ADDRESS(MATCH("Gold",'FY Q&amp;V 2003-04 to Now'!$A$1:$A$105,0),MATCH(CONCATENATE(O$5," Value"),'FY Q&amp;V 2003-04 to Now'!$A$8:$CN$8,0))),TRUE)/1000000)</f>
        <v>9380.3064720000002</v>
      </c>
      <c r="P13" s="1553">
        <f ca="1">IF($A$4="Select: Calendar Year",INDIRECT(CONCATENATE("'CY Q&amp;V 2004-Now'!",ADDRESS(MATCH("Gold",'CY Q&amp;V 2004-Now'!$A$1:$A$107,0),MATCH(CONCATENATE(P$5," Value"),'CY Q&amp;V 2004-Now'!$A$8:$CP$8,0))),TRUE)/1000000,INDIRECT(CONCATENATE("'FY Q&amp;V 2003-04 to Now'!",ADDRESS(MATCH("Gold",'FY Q&amp;V 2003-04 to Now'!$A$1:$A$105,0),MATCH(CONCATENATE(P$5," Value"),'FY Q&amp;V 2003-04 to Now'!$A$8:$CN$8,0))),TRUE)/1000000)</f>
        <v>8742.6774399999995</v>
      </c>
      <c r="Q13" s="1553">
        <f ca="1">IF($A$4="Select: Calendar Year",INDIRECT(CONCATENATE("'CY Q&amp;V 2004-Now'!",ADDRESS(MATCH("Gold",'CY Q&amp;V 2004-Now'!$A$1:$A$107,0),MATCH(CONCATENATE(Q$5," Value"),'CY Q&amp;V 2004-Now'!$A$8:$CP$8,0))),TRUE)/1000000,INDIRECT(CONCATENATE("'FY Q&amp;V 2003-04 to Now'!",ADDRESS(MATCH("Gold",'FY Q&amp;V 2003-04 to Now'!$A$1:$A$105,0),MATCH(CONCATENATE(Q$5," Value"),'FY Q&amp;V 2003-04 to Now'!$A$8:$CN$8,0))),TRUE)/1000000)</f>
        <v>8786.1091640000013</v>
      </c>
      <c r="R13" s="1553">
        <f ca="1">IF($A$4="Select: Calendar Year",INDIRECT(CONCATENATE("'CY Q&amp;V 2004-Now'!",ADDRESS(MATCH("Gold",'CY Q&amp;V 2004-Now'!$A$1:$A$107,0),MATCH(CONCATENATE(R$5," Value"),'CY Q&amp;V 2004-Now'!$A$8:$CP$8,0))),TRUE)/1000000,INDIRECT(CONCATENATE("'FY Q&amp;V 2003-04 to Now'!",ADDRESS(MATCH("Gold",'FY Q&amp;V 2003-04 to Now'!$A$1:$A$105,0),MATCH(CONCATENATE(R$5," Value"),'FY Q&amp;V 2003-04 to Now'!$A$8:$CN$8,0))),TRUE)/1000000)</f>
        <v>9618.6134880000009</v>
      </c>
      <c r="S13" s="1553">
        <f ca="1">IF($A$4="Select: Calendar Year",INDIRECT(CONCATENATE("'CY Q&amp;V 2004-Now'!",ADDRESS(MATCH("Gold",'CY Q&amp;V 2004-Now'!$A$1:$A$107,0),MATCH(CONCATENATE(S$5," Value"),'CY Q&amp;V 2004-Now'!$A$8:$CP$8,0))),TRUE)/1000000,INDIRECT(CONCATENATE("'FY Q&amp;V 2003-04 to Now'!",ADDRESS(MATCH("Gold",'FY Q&amp;V 2003-04 to Now'!$A$1:$A$105,0),MATCH(CONCATENATE(S$5," Value"),'FY Q&amp;V 2003-04 to Now'!$A$8:$CN$8,0))),TRUE)/1000000)</f>
        <v>10627.038843</v>
      </c>
      <c r="T13" s="1553">
        <f ca="1">IF($A$4="Select: Calendar Year",INDIRECT(CONCATENATE("'CY Q&amp;V 2004-Now'!",ADDRESS(MATCH("Gold",'CY Q&amp;V 2004-Now'!$A$1:$A$107,0),MATCH(CONCATENATE(T$5," Value"),'CY Q&amp;V 2004-Now'!$A$8:$CP$8,0))),TRUE)/1000000,INDIRECT(CONCATENATE("'FY Q&amp;V 2003-04 to Now'!",ADDRESS(MATCH("Gold",'FY Q&amp;V 2003-04 to Now'!$A$1:$A$105,0),MATCH(CONCATENATE(T$5," Value"),'FY Q&amp;V 2003-04 to Now'!$A$8:$CN$8,0))),TRUE)/1000000)</f>
        <v>11144.525042000001</v>
      </c>
      <c r="U13" s="1553">
        <f ca="1">IF($A$4="Select: Calendar Year",INDIRECT(CONCATENATE("'CY Q&amp;V 2004-Now'!",ADDRESS(MATCH("Gold",'CY Q&amp;V 2004-Now'!$A$1:$A$107,0),MATCH(CONCATENATE(U$5," Value"),'CY Q&amp;V 2004-Now'!$A$8:$CP$8,0))),TRUE)/1000000,INDIRECT(CONCATENATE("'FY Q&amp;V 2003-04 to Now'!",ADDRESS(MATCH("Gold",'FY Q&amp;V 2003-04 to Now'!$A$1:$A$105,0),MATCH(CONCATENATE(U$5," Value"),'FY Q&amp;V 2003-04 to Now'!$A$8:$CN$8,0))),TRUE)/1000000)</f>
        <v>11516.482507000001</v>
      </c>
      <c r="V13" s="1553">
        <f ca="1">IF($A$4="Select: Calendar Year",INDIRECT(CONCATENATE("'CY Q&amp;V 2004-Now'!",ADDRESS(MATCH("Gold",'CY Q&amp;V 2004-Now'!$A$1:$A$107,0),MATCH(CONCATENATE(V$5," Value"),'CY Q&amp;V 2004-Now'!$A$8:$CP$8,0))),TRUE)/1000000,INDIRECT(CONCATENATE("'FY Q&amp;V 2003-04 to Now'!",ADDRESS(MATCH("Gold",'FY Q&amp;V 2003-04 to Now'!$A$1:$A$105,0),MATCH(CONCATENATE(V$5," Value"),'FY Q&amp;V 2003-04 to Now'!$A$8:$CN$8,0))),TRUE)/1000000)</f>
        <v>13787.397590999997</v>
      </c>
    </row>
    <row r="14" spans="1:48">
      <c r="A14" s="434" t="s">
        <v>860</v>
      </c>
      <c r="B14" s="1554">
        <f ca="1">IF($A$4="Select: Calendar Year",(INDIRECT(CONCATENATE("'CY Q&amp;V 1886-2003'!",ADDRESS(MATCH("Crude Oil",'CY Q&amp;V 1886-2003'!$A$1:$A$230,0),MATCH(CONCATENATE(B$5," Value"),'CY Q&amp;V 1886-2003'!$A$8:$BH$8,0))),TRUE)/1000000)+(INDIRECT(CONCATENATE("'CY Q&amp;V 1886-2003'!",ADDRESS(MATCH("Condensate",'CY Q&amp;V 1886-2003'!$A$1:$A$230,0),MATCH(CONCATENATE(B$5," Value"),'CY Q&amp;V 1886-2003'!$A$8:$BH$8,0))),TRUE)/1000000),(INDIRECT(CONCATENATE("'FY Q&amp;V 1984-85 to 2002-03'!",ADDRESS(MATCH("Crude Oil",'FY Q&amp;V 1984-85 to 2002-03'!$A$1:$A$228,0),MATCH(CONCATENATE(B$5," Value"),'FY Q&amp;V 1984-85 to 2002-03'!$A$8:$BS$8,0))),TRUE)/1000000)+(INDIRECT(CONCATENATE("'FY Q&amp;V 1984-85 to 2002-03'!",ADDRESS(MATCH("Condensate",'FY Q&amp;V 1984-85 to 2002-03'!$A$1:$A$228,0),MATCH(CONCATENATE(B$5," Value"),'FY Q&amp;V 1984-85 to 2002-03'!$A$8:$BS$8,0))),TRUE)/1000000))</f>
        <v>2572.5886964199999</v>
      </c>
      <c r="C14" s="1554">
        <f ca="1">IF($A$4="Select: Calendar Year",(INDIRECT(CONCATENATE("'CY Q&amp;V 1886-2003'!",ADDRESS(MATCH("Crude Oil",'CY Q&amp;V 1886-2003'!$A$1:$A$230,0),MATCH(CONCATENATE(C$5," Value"),'CY Q&amp;V 1886-2003'!$A$8:$BH$8,0))),TRUE)/1000000)+(INDIRECT(CONCATENATE("'CY Q&amp;V 1886-2003'!",ADDRESS(MATCH("Condensate",'CY Q&amp;V 1886-2003'!$A$1:$A$230,0),MATCH(CONCATENATE(C$5," Value"),'CY Q&amp;V 1886-2003'!$A$8:$BH$8,0))),TRUE)/1000000),(INDIRECT(CONCATENATE("'FY Q&amp;V 1984-85 to 2002-03'!",ADDRESS(MATCH("Crude Oil",'FY Q&amp;V 1984-85 to 2002-03'!$A$1:$A$228,0),MATCH(CONCATENATE(C$5," Value"),'FY Q&amp;V 1984-85 to 2002-03'!$A$8:$BS$8,0))),TRUE)/1000000)+(INDIRECT(CONCATENATE("'FY Q&amp;V 1984-85 to 2002-03'!",ADDRESS(MATCH("Condensate",'FY Q&amp;V 1984-85 to 2002-03'!$A$1:$A$228,0),MATCH(CONCATENATE(C$5," Value"),'FY Q&amp;V 1984-85 to 2002-03'!$A$8:$BS$8,0))),TRUE)/1000000))</f>
        <v>6418.7871341800001</v>
      </c>
      <c r="D14" s="1554">
        <f ca="1">IF($A$4="Select: Calendar Year",(INDIRECT(CONCATENATE("'CY Q&amp;V 1886-2003'!",ADDRESS(MATCH("Crude Oil",'CY Q&amp;V 1886-2003'!$A$1:$A$230,0),MATCH(CONCATENATE(D$5," Value"),'CY Q&amp;V 1886-2003'!$A$8:$BH$8,0))),TRUE)/1000000)+(INDIRECT(CONCATENATE("'CY Q&amp;V 1886-2003'!",ADDRESS(MATCH("Condensate",'CY Q&amp;V 1886-2003'!$A$1:$A$230,0),MATCH(CONCATENATE(D$5," Value"),'CY Q&amp;V 1886-2003'!$A$8:$BH$8,0))),TRUE)/1000000),(INDIRECT(CONCATENATE("'FY Q&amp;V 1984-85 to 2002-03'!",ADDRESS(MATCH("Crude Oil",'FY Q&amp;V 1984-85 to 2002-03'!$A$1:$A$228,0),MATCH(CONCATENATE(D$5," Value"),'FY Q&amp;V 1984-85 to 2002-03'!$A$8:$BS$8,0))),TRUE)/1000000)+(INDIRECT(CONCATENATE("'FY Q&amp;V 1984-85 to 2002-03'!",ADDRESS(MATCH("Condensate",'FY Q&amp;V 1984-85 to 2002-03'!$A$1:$A$228,0),MATCH(CONCATENATE(D$5," Value"),'FY Q&amp;V 1984-85 to 2002-03'!$A$8:$BS$8,0))),TRUE)/1000000))</f>
        <v>6034.561436</v>
      </c>
      <c r="E14" s="1554">
        <f ca="1">IF($A$4="Select: Calendar Year",(INDIRECT(CONCATENATE("'CY Q&amp;V 1886-2003'!",ADDRESS(MATCH("Crude Oil",'CY Q&amp;V 1886-2003'!$A$1:$A$230,0),MATCH(CONCATENATE(E$5," Value"),'CY Q&amp;V 1886-2003'!$A$8:$BH$8,0))),TRUE)/1000000)+(INDIRECT(CONCATENATE("'CY Q&amp;V 1886-2003'!",ADDRESS(MATCH("Condensate",'CY Q&amp;V 1886-2003'!$A$1:$A$230,0),MATCH(CONCATENATE(E$5," Value"),'CY Q&amp;V 1886-2003'!$A$8:$BH$8,0))),TRUE)/1000000),(INDIRECT(CONCATENATE("'FY Q&amp;V 1984-85 to 2002-03'!",ADDRESS(MATCH("Crude Oil",'FY Q&amp;V 1984-85 to 2002-03'!$A$1:$A$228,0),MATCH(CONCATENATE(E$5," Value"),'FY Q&amp;V 1984-85 to 2002-03'!$A$8:$BS$8,0))),TRUE)/1000000)+(INDIRECT(CONCATENATE("'FY Q&amp;V 1984-85 to 2002-03'!",ADDRESS(MATCH("Condensate",'FY Q&amp;V 1984-85 to 2002-03'!$A$1:$A$228,0),MATCH(CONCATENATE(E$5," Value"),'FY Q&amp;V 1984-85 to 2002-03'!$A$8:$BS$8,0))),TRUE)/1000000))</f>
        <v>6385.6015849999994</v>
      </c>
      <c r="F14" s="1554">
        <f ca="1">IF($A$4="Select: Calendar Year",(INDIRECT(CONCATENATE("'CY Q&amp;V 1886-2003'!",ADDRESS(MATCH("Crude Oil",'CY Q&amp;V 1886-2003'!$A$1:$A$230,0),MATCH(CONCATENATE(F$5," Value"),'CY Q&amp;V 1886-2003'!$A$8:$BH$8,0))),TRUE)/1000000)+(INDIRECT(CONCATENATE("'CY Q&amp;V 1886-2003'!",ADDRESS(MATCH("Condensate",'CY Q&amp;V 1886-2003'!$A$1:$A$230,0),MATCH(CONCATENATE(F$5," Value"),'CY Q&amp;V 1886-2003'!$A$8:$BH$8,0))),TRUE)/1000000),(INDIRECT(CONCATENATE("'FY Q&amp;V 1984-85 to 2002-03'!",ADDRESS(MATCH("Crude Oil",'FY Q&amp;V 1984-85 to 2002-03'!$A$1:$A$228,0),MATCH(CONCATENATE(F$5," Value"),'FY Q&amp;V 1984-85 to 2002-03'!$A$8:$BS$8,0))),TRUE)/1000000)+(INDIRECT(CONCATENATE("'FY Q&amp;V 1984-85 to 2002-03'!",ADDRESS(MATCH("Condensate",'FY Q&amp;V 1984-85 to 2002-03'!$A$1:$A$228,0),MATCH(CONCATENATE(F$5," Value"),'FY Q&amp;V 1984-85 to 2002-03'!$A$8:$BS$8,0))),TRUE)/1000000))</f>
        <v>5800.0943969999998</v>
      </c>
      <c r="G14" s="1554">
        <f ca="1">IF($A$4="Select: Calendar Year",(INDIRECT(CONCATENATE("'CY Q&amp;V 2004-Now'!",ADDRESS(MATCH("Crude Oil",'CY Q&amp;V 2004-Now'!$A$1:$A$107,0),MATCH(CONCATENATE(G$5," Value"),'CY Q&amp;V 2004-Now'!$A$8:$CP$8,0))),TRUE)/1000000)+(INDIRECT(CONCATENATE("'CY Q&amp;V 2004-Now'!",ADDRESS(MATCH("Condensate",'CY Q&amp;V 2004-Now'!$A$1:$A$107,0),MATCH(CONCATENATE(G$5," Value"),'CY Q&amp;V 2004-Now'!$A$8:$CP$8,0))),TRUE)/1000000),(INDIRECT(CONCATENATE("'FY Q&amp;V 2003-04 to Now'!",ADDRESS(MATCH("Crude Oil",'FY Q&amp;V 2003-04 to Now'!$A$1:$A$105,0),MATCH(CONCATENATE(G$5," Value"),'FY Q&amp;V 2003-04 to Now'!$A$8:$CN$8,0))),TRUE)/1000000)+(INDIRECT(CONCATENATE("'FY Q&amp;V 2003-04 to Now'!",ADDRESS(MATCH("Condensate",'FY Q&amp;V 2003-04 to Now'!$A$1:$A$105,0),MATCH(CONCATENATE(G$5," Value"),'FY Q&amp;V 2003-04 to Now'!$A$8:$CN$8,0))),TRUE)/1000000))</f>
        <v>6232.2821860000004</v>
      </c>
      <c r="H14" s="1554">
        <f ca="1">IF($A$4="Select: Calendar Year",(INDIRECT(CONCATENATE("'CY Q&amp;V 2004-Now'!",ADDRESS(MATCH("Crude Oil",'CY Q&amp;V 2004-Now'!$A$1:$A$107,0),MATCH(CONCATENATE(H$5," Value"),'CY Q&amp;V 2004-Now'!$A$8:$CP$8,0))),TRUE)/1000000)+(INDIRECT(CONCATENATE("'CY Q&amp;V 2004-Now'!",ADDRESS(MATCH("Condensate",'CY Q&amp;V 2004-Now'!$A$1:$A$107,0),MATCH(CONCATENATE(H$5," Value"),'CY Q&amp;V 2004-Now'!$A$8:$CP$8,0))),TRUE)/1000000),(INDIRECT(CONCATENATE("'FY Q&amp;V 2003-04 to Now'!",ADDRESS(MATCH("Crude Oil",'FY Q&amp;V 2003-04 to Now'!$A$1:$A$105,0),MATCH(CONCATENATE(H$5," Value"),'FY Q&amp;V 2003-04 to Now'!$A$8:$CN$8,0))),TRUE)/1000000)+(INDIRECT(CONCATENATE("'FY Q&amp;V 2003-04 to Now'!",ADDRESS(MATCH("Condensate",'FY Q&amp;V 2003-04 to Now'!$A$1:$A$105,0),MATCH(CONCATENATE(H$5," Value"),'FY Q&amp;V 2003-04 to Now'!$A$8:$CN$8,0))),TRUE)/1000000))</f>
        <v>8739.1699690000005</v>
      </c>
      <c r="I14" s="1554">
        <f ca="1">IF($A$4="Select: Calendar Year",(INDIRECT(CONCATENATE("'CY Q&amp;V 2004-Now'!",ADDRESS(MATCH("Crude Oil",'CY Q&amp;V 2004-Now'!$A$1:$A$107,0),MATCH(CONCATENATE(I$5," Value"),'CY Q&amp;V 2004-Now'!$A$8:$CP$8,0))),TRUE)/1000000)+(INDIRECT(CONCATENATE("'CY Q&amp;V 2004-Now'!",ADDRESS(MATCH("Condensate",'CY Q&amp;V 2004-Now'!$A$1:$A$107,0),MATCH(CONCATENATE(I$5," Value"),'CY Q&amp;V 2004-Now'!$A$8:$CP$8,0))),TRUE)/1000000),(INDIRECT(CONCATENATE("'FY Q&amp;V 2003-04 to Now'!",ADDRESS(MATCH("Crude Oil",'FY Q&amp;V 2003-04 to Now'!$A$1:$A$105,0),MATCH(CONCATENATE(I$5," Value"),'FY Q&amp;V 2003-04 to Now'!$A$8:$CN$8,0))),TRUE)/1000000)+(INDIRECT(CONCATENATE("'FY Q&amp;V 2003-04 to Now'!",ADDRESS(MATCH("Condensate",'FY Q&amp;V 2003-04 to Now'!$A$1:$A$105,0),MATCH(CONCATENATE(I$5," Value"),'FY Q&amp;V 2003-04 to Now'!$A$8:$CN$8,0))),TRUE)/1000000))</f>
        <v>9542.9867329999997</v>
      </c>
      <c r="J14" s="1554">
        <f ca="1">IF($A$4="Select: Calendar Year",(INDIRECT(CONCATENATE("'CY Q&amp;V 2004-Now'!",ADDRESS(MATCH("Crude Oil",'CY Q&amp;V 2004-Now'!$A$1:$A$107,0),MATCH(CONCATENATE(J$5," Value"),'CY Q&amp;V 2004-Now'!$A$8:$CP$8,0))),TRUE)/1000000)+(INDIRECT(CONCATENATE("'CY Q&amp;V 2004-Now'!",ADDRESS(MATCH("Condensate",'CY Q&amp;V 2004-Now'!$A$1:$A$107,0),MATCH(CONCATENATE(J$5," Value"),'CY Q&amp;V 2004-Now'!$A$8:$CP$8,0))),TRUE)/1000000),(INDIRECT(CONCATENATE("'FY Q&amp;V 2003-04 to Now'!",ADDRESS(MATCH("Crude Oil",'FY Q&amp;V 2003-04 to Now'!$A$1:$A$105,0),MATCH(CONCATENATE(J$5," Value"),'FY Q&amp;V 2003-04 to Now'!$A$8:$CN$8,0))),TRUE)/1000000)+(INDIRECT(CONCATENATE("'FY Q&amp;V 2003-04 to Now'!",ADDRESS(MATCH("Condensate",'FY Q&amp;V 2003-04 to Now'!$A$1:$A$105,0),MATCH(CONCATENATE(J$5," Value"),'FY Q&amp;V 2003-04 to Now'!$A$8:$CN$8,0))),TRUE)/1000000))</f>
        <v>10621.047268</v>
      </c>
      <c r="K14" s="1554">
        <f ca="1">IF($A$4="Select: Calendar Year",(INDIRECT(CONCATENATE("'CY Q&amp;V 2004-Now'!",ADDRESS(MATCH("Crude Oil",'CY Q&amp;V 2004-Now'!$A$1:$A$107,0),MATCH(CONCATENATE(K$5," Value"),'CY Q&amp;V 2004-Now'!$A$8:$CP$8,0))),TRUE)/1000000)+(INDIRECT(CONCATENATE("'CY Q&amp;V 2004-Now'!",ADDRESS(MATCH("Condensate",'CY Q&amp;V 2004-Now'!$A$1:$A$107,0),MATCH(CONCATENATE(K$5," Value"),'CY Q&amp;V 2004-Now'!$A$8:$CP$8,0))),TRUE)/1000000),(INDIRECT(CONCATENATE("'FY Q&amp;V 2003-04 to Now'!",ADDRESS(MATCH("Crude Oil",'FY Q&amp;V 2003-04 to Now'!$A$1:$A$105,0),MATCH(CONCATENATE(K$5," Value"),'FY Q&amp;V 2003-04 to Now'!$A$8:$CN$8,0))),TRUE)/1000000)+(INDIRECT(CONCATENATE("'FY Q&amp;V 2003-04 to Now'!",ADDRESS(MATCH("Condensate",'FY Q&amp;V 2003-04 to Now'!$A$1:$A$105,0),MATCH(CONCATENATE(K$5," Value"),'FY Q&amp;V 2003-04 to Now'!$A$8:$CN$8,0))),TRUE)/1000000))</f>
        <v>13250.037224</v>
      </c>
      <c r="L14" s="1554">
        <f ca="1">IF($A$4="Select: Calendar Year",(INDIRECT(CONCATENATE("'CY Q&amp;V 2004-Now'!",ADDRESS(MATCH("Crude Oil",'CY Q&amp;V 2004-Now'!$A$1:$A$107,0),MATCH(CONCATENATE(L$5," Value"),'CY Q&amp;V 2004-Now'!$A$8:$CP$8,0))),TRUE)/1000000)+(INDIRECT(CONCATENATE("'CY Q&amp;V 2004-Now'!",ADDRESS(MATCH("Condensate",'CY Q&amp;V 2004-Now'!$A$1:$A$107,0),MATCH(CONCATENATE(L$5," Value"),'CY Q&amp;V 2004-Now'!$A$8:$CP$8,0))),TRUE)/1000000),(INDIRECT(CONCATENATE("'FY Q&amp;V 2003-04 to Now'!",ADDRESS(MATCH("Crude Oil",'FY Q&amp;V 2003-04 to Now'!$A$1:$A$105,0),MATCH(CONCATENATE(L$5," Value"),'FY Q&amp;V 2003-04 to Now'!$A$8:$CN$8,0))),TRUE)/1000000)+(INDIRECT(CONCATENATE("'FY Q&amp;V 2003-04 to Now'!",ADDRESS(MATCH("Condensate",'FY Q&amp;V 2003-04 to Now'!$A$1:$A$105,0),MATCH(CONCATENATE(L$5," Value"),'FY Q&amp;V 2003-04 to Now'!$A$8:$CN$8,0))),TRUE)/1000000))</f>
        <v>8627.4047559999999</v>
      </c>
      <c r="M14" s="1554">
        <f ca="1">IF($A$4="Select: Calendar Year",(INDIRECT(CONCATENATE("'CY Q&amp;V 2004-Now'!",ADDRESS(MATCH("Crude Oil",'CY Q&amp;V 2004-Now'!$A$1:$A$107,0),MATCH(CONCATENATE(M$5," Value"),'CY Q&amp;V 2004-Now'!$A$8:$CP$8,0))),TRUE)/1000000)+(INDIRECT(CONCATENATE("'CY Q&amp;V 2004-Now'!",ADDRESS(MATCH("Condensate",'CY Q&amp;V 2004-Now'!$A$1:$A$107,0),MATCH(CONCATENATE(M$5," Value"),'CY Q&amp;V 2004-Now'!$A$8:$CP$8,0))),TRUE)/1000000),(INDIRECT(CONCATENATE("'FY Q&amp;V 2003-04 to Now'!",ADDRESS(MATCH("Crude Oil",'FY Q&amp;V 2003-04 to Now'!$A$1:$A$105,0),MATCH(CONCATENATE(M$5," Value"),'FY Q&amp;V 2003-04 to Now'!$A$8:$CN$8,0))),TRUE)/1000000)+(INDIRECT(CONCATENATE("'FY Q&amp;V 2003-04 to Now'!",ADDRESS(MATCH("Condensate",'FY Q&amp;V 2003-04 to Now'!$A$1:$A$105,0),MATCH(CONCATENATE(M$5," Value"),'FY Q&amp;V 2003-04 to Now'!$A$8:$CN$8,0))),TRUE)/1000000))</f>
        <v>11952.743108999999</v>
      </c>
      <c r="N14" s="1554">
        <f ca="1">IF($A$4="Select: Calendar Year",(INDIRECT(CONCATENATE("'CY Q&amp;V 2004-Now'!",ADDRESS(MATCH("Crude Oil",'CY Q&amp;V 2004-Now'!$A$1:$A$107,0),MATCH(CONCATENATE(N$5," Value"),'CY Q&amp;V 2004-Now'!$A$8:$CP$8,0))),TRUE)/1000000)+(INDIRECT(CONCATENATE("'CY Q&amp;V 2004-Now'!",ADDRESS(MATCH("Condensate",'CY Q&amp;V 2004-Now'!$A$1:$A$107,0),MATCH(CONCATENATE(N$5," Value"),'CY Q&amp;V 2004-Now'!$A$8:$CP$8,0))),TRUE)/1000000),(INDIRECT(CONCATENATE("'FY Q&amp;V 2003-04 to Now'!",ADDRESS(MATCH("Crude Oil",'FY Q&amp;V 2003-04 to Now'!$A$1:$A$105,0),MATCH(CONCATENATE(N$5," Value"),'FY Q&amp;V 2003-04 to Now'!$A$8:$CN$8,0))),TRUE)/1000000)+(INDIRECT(CONCATENATE("'FY Q&amp;V 2003-04 to Now'!",ADDRESS(MATCH("Condensate",'FY Q&amp;V 2003-04 to Now'!$A$1:$A$105,0),MATCH(CONCATENATE(N$5," Value"),'FY Q&amp;V 2003-04 to Now'!$A$8:$CN$8,0))),TRUE)/1000000))</f>
        <v>12119.3411</v>
      </c>
      <c r="O14" s="1554">
        <f ca="1">IF($A$4="Select: Calendar Year",(INDIRECT(CONCATENATE("'CY Q&amp;V 2004-Now'!",ADDRESS(MATCH("Crude Oil",'CY Q&amp;V 2004-Now'!$A$1:$A$107,0),MATCH(CONCATENATE(O$5," Value"),'CY Q&amp;V 2004-Now'!$A$8:$CP$8,0))),TRUE)/1000000)+(INDIRECT(CONCATENATE("'CY Q&amp;V 2004-Now'!",ADDRESS(MATCH("Condensate",'CY Q&amp;V 2004-Now'!$A$1:$A$107,0),MATCH(CONCATENATE(O$5," Value"),'CY Q&amp;V 2004-Now'!$A$8:$CP$8,0))),TRUE)/1000000),(INDIRECT(CONCATENATE("'FY Q&amp;V 2003-04 to Now'!",ADDRESS(MATCH("Crude Oil",'FY Q&amp;V 2003-04 to Now'!$A$1:$A$105,0),MATCH(CONCATENATE(O$5," Value"),'FY Q&amp;V 2003-04 to Now'!$A$8:$CN$8,0))),TRUE)/1000000)+(INDIRECT(CONCATENATE("'FY Q&amp;V 2003-04 to Now'!",ADDRESS(MATCH("Condensate",'FY Q&amp;V 2003-04 to Now'!$A$1:$A$105,0),MATCH(CONCATENATE(O$5," Value"),'FY Q&amp;V 2003-04 to Now'!$A$8:$CN$8,0))),TRUE)/1000000))</f>
        <v>10961.89465</v>
      </c>
      <c r="P14" s="1554">
        <f ca="1">IF($A$4="Select: Calendar Year",(INDIRECT(CONCATENATE("'CY Q&amp;V 2004-Now'!",ADDRESS(MATCH("Crude Oil",'CY Q&amp;V 2004-Now'!$A$1:$A$107,0),MATCH(CONCATENATE(P$5," Value"),'CY Q&amp;V 2004-Now'!$A$8:$CP$8,0))),TRUE)/1000000)+(INDIRECT(CONCATENATE("'CY Q&amp;V 2004-Now'!",ADDRESS(MATCH("Condensate",'CY Q&amp;V 2004-Now'!$A$1:$A$107,0),MATCH(CONCATENATE(P$5," Value"),'CY Q&amp;V 2004-Now'!$A$8:$CP$8,0))),TRUE)/1000000),(INDIRECT(CONCATENATE("'FY Q&amp;V 2003-04 to Now'!",ADDRESS(MATCH("Crude Oil",'FY Q&amp;V 2003-04 to Now'!$A$1:$A$105,0),MATCH(CONCATENATE(P$5," Value"),'FY Q&amp;V 2003-04 to Now'!$A$8:$CN$8,0))),TRUE)/1000000)+(INDIRECT(CONCATENATE("'FY Q&amp;V 2003-04 to Now'!",ADDRESS(MATCH("Condensate",'FY Q&amp;V 2003-04 to Now'!$A$1:$A$105,0),MATCH(CONCATENATE(P$5," Value"),'FY Q&amp;V 2003-04 to Now'!$A$8:$CN$8,0))),TRUE)/1000000))</f>
        <v>9228.0147099999995</v>
      </c>
      <c r="Q14" s="1554">
        <f ca="1">IF($A$4="Select: Calendar Year",(INDIRECT(CONCATENATE("'CY Q&amp;V 2004-Now'!",ADDRESS(MATCH("Crude Oil",'CY Q&amp;V 2004-Now'!$A$1:$A$107,0),MATCH(CONCATENATE(Q$5," Value"),'CY Q&amp;V 2004-Now'!$A$8:$CP$8,0))),TRUE)/1000000)+(INDIRECT(CONCATENATE("'CY Q&amp;V 2004-Now'!",ADDRESS(MATCH("Condensate",'CY Q&amp;V 2004-Now'!$A$1:$A$107,0),MATCH(CONCATENATE(Q$5," Value"),'CY Q&amp;V 2004-Now'!$A$8:$CP$8,0))),TRUE)/1000000),(INDIRECT(CONCATENATE("'FY Q&amp;V 2003-04 to Now'!",ADDRESS(MATCH("Crude Oil",'FY Q&amp;V 2003-04 to Now'!$A$1:$A$105,0),MATCH(CONCATENATE(Q$5," Value"),'FY Q&amp;V 2003-04 to Now'!$A$8:$CN$8,0))),TRUE)/1000000)+(INDIRECT(CONCATENATE("'FY Q&amp;V 2003-04 to Now'!",ADDRESS(MATCH("Condensate",'FY Q&amp;V 2003-04 to Now'!$A$1:$A$105,0),MATCH(CONCATENATE(Q$5," Value"),'FY Q&amp;V 2003-04 to Now'!$A$8:$CN$8,0))),TRUE)/1000000))</f>
        <v>8573.8743172239065</v>
      </c>
      <c r="R14" s="1554">
        <f ca="1">IF($A$4="Select: Calendar Year",(INDIRECT(CONCATENATE("'CY Q&amp;V 2004-Now'!",ADDRESS(MATCH("Crude Oil",'CY Q&amp;V 2004-Now'!$A$1:$A$107,0),MATCH(CONCATENATE(R$5," Value"),'CY Q&amp;V 2004-Now'!$A$8:$CP$8,0))),TRUE)/1000000)+(INDIRECT(CONCATENATE("'CY Q&amp;V 2004-Now'!",ADDRESS(MATCH("Condensate",'CY Q&amp;V 2004-Now'!$A$1:$A$107,0),MATCH(CONCATENATE(R$5," Value"),'CY Q&amp;V 2004-Now'!$A$8:$CP$8,0))),TRUE)/1000000),(INDIRECT(CONCATENATE("'FY Q&amp;V 2003-04 to Now'!",ADDRESS(MATCH("Crude Oil",'FY Q&amp;V 2003-04 to Now'!$A$1:$A$105,0),MATCH(CONCATENATE(R$5," Value"),'FY Q&amp;V 2003-04 to Now'!$A$8:$CN$8,0))),TRUE)/1000000)+(INDIRECT(CONCATENATE("'FY Q&amp;V 2003-04 to Now'!",ADDRESS(MATCH("Condensate",'FY Q&amp;V 2003-04 to Now'!$A$1:$A$105,0),MATCH(CONCATENATE(R$5," Value"),'FY Q&amp;V 2003-04 to Now'!$A$8:$CN$8,0))),TRUE)/1000000))</f>
        <v>6237.2813595666757</v>
      </c>
      <c r="S14" s="1554">
        <f ca="1">IF($A$4="Select: Calendar Year",(INDIRECT(CONCATENATE("'CY Q&amp;V 2004-Now'!",ADDRESS(MATCH("Crude Oil",'CY Q&amp;V 2004-Now'!$A$1:$A$107,0),MATCH(CONCATENATE(S$5," Value"),'CY Q&amp;V 2004-Now'!$A$8:$CP$8,0))),TRUE)/1000000)+(INDIRECT(CONCATENATE("'CY Q&amp;V 2004-Now'!",ADDRESS(MATCH("Condensate",'CY Q&amp;V 2004-Now'!$A$1:$A$107,0),MATCH(CONCATENATE(S$5," Value"),'CY Q&amp;V 2004-Now'!$A$8:$CP$8,0))),TRUE)/1000000),(INDIRECT(CONCATENATE("'FY Q&amp;V 2003-04 to Now'!",ADDRESS(MATCH("Crude Oil",'FY Q&amp;V 2003-04 to Now'!$A$1:$A$105,0),MATCH(CONCATENATE(S$5," Value"),'FY Q&amp;V 2003-04 to Now'!$A$8:$CN$8,0))),TRUE)/1000000)+(INDIRECT(CONCATENATE("'FY Q&amp;V 2003-04 to Now'!",ADDRESS(MATCH("Condensate",'FY Q&amp;V 2003-04 to Now'!$A$1:$A$105,0),MATCH(CONCATENATE(S$5," Value"),'FY Q&amp;V 2003-04 to Now'!$A$8:$CN$8,0))),TRUE)/1000000))</f>
        <v>4333.7899959443494</v>
      </c>
      <c r="T14" s="1554">
        <f ca="1">IF($A$4="Select: Calendar Year",(INDIRECT(CONCATENATE("'CY Q&amp;V 2004-Now'!",ADDRESS(MATCH("Crude Oil",'CY Q&amp;V 2004-Now'!$A$1:$A$107,0),MATCH(CONCATENATE(T$5," Value"),'CY Q&amp;V 2004-Now'!$A$8:$CP$8,0))),TRUE)/1000000)+(INDIRECT(CONCATENATE("'CY Q&amp;V 2004-Now'!",ADDRESS(MATCH("Condensate",'CY Q&amp;V 2004-Now'!$A$1:$A$107,0),MATCH(CONCATENATE(T$5," Value"),'CY Q&amp;V 2004-Now'!$A$8:$CP$8,0))),TRUE)/1000000),(INDIRECT(CONCATENATE("'FY Q&amp;V 2003-04 to Now'!",ADDRESS(MATCH("Crude Oil",'FY Q&amp;V 2003-04 to Now'!$A$1:$A$105,0),MATCH(CONCATENATE(T$5," Value"),'FY Q&amp;V 2003-04 to Now'!$A$8:$CN$8,0))),TRUE)/1000000)+(INDIRECT(CONCATENATE("'FY Q&amp;V 2003-04 to Now'!",ADDRESS(MATCH("Condensate",'FY Q&amp;V 2003-04 to Now'!$A$1:$A$105,0),MATCH(CONCATENATE(T$5," Value"),'FY Q&amp;V 2003-04 to Now'!$A$8:$CN$8,0))),TRUE)/1000000))</f>
        <v>4922.6482332484156</v>
      </c>
      <c r="U14" s="1554">
        <f ca="1">IF($A$4="Select: Calendar Year",(INDIRECT(CONCATENATE("'CY Q&amp;V 2004-Now'!",ADDRESS(MATCH("Crude Oil",'CY Q&amp;V 2004-Now'!$A$1:$A$107,0),MATCH(CONCATENATE(U$5," Value"),'CY Q&amp;V 2004-Now'!$A$8:$CP$8,0))),TRUE)/1000000)+(INDIRECT(CONCATENATE("'CY Q&amp;V 2004-Now'!",ADDRESS(MATCH("Condensate",'CY Q&amp;V 2004-Now'!$A$1:$A$107,0),MATCH(CONCATENATE(U$5," Value"),'CY Q&amp;V 2004-Now'!$A$8:$CP$8,0))),TRUE)/1000000),(INDIRECT(CONCATENATE("'FY Q&amp;V 2003-04 to Now'!",ADDRESS(MATCH("Crude Oil",'FY Q&amp;V 2003-04 to Now'!$A$1:$A$105,0),MATCH(CONCATENATE(U$5," Value"),'FY Q&amp;V 2003-04 to Now'!$A$8:$CN$8,0))),TRUE)/1000000)+(INDIRECT(CONCATENATE("'FY Q&amp;V 2003-04 to Now'!",ADDRESS(MATCH("Condensate",'FY Q&amp;V 2003-04 to Now'!$A$1:$A$105,0),MATCH(CONCATENATE(U$5," Value"),'FY Q&amp;V 2003-04 to Now'!$A$8:$CN$8,0))),TRUE)/1000000))</f>
        <v>7447.9883620873643</v>
      </c>
      <c r="V14" s="1554">
        <f ca="1">IF($A$4="Select: Calendar Year",(INDIRECT(CONCATENATE("'CY Q&amp;V 2004-Now'!",ADDRESS(MATCH("Crude Oil",'CY Q&amp;V 2004-Now'!$A$1:$A$107,0),MATCH(CONCATENATE(V$5," Value"),'CY Q&amp;V 2004-Now'!$A$8:$CP$8,0))),TRUE)/1000000)+(INDIRECT(CONCATENATE("'CY Q&amp;V 2004-Now'!",ADDRESS(MATCH("Condensate",'CY Q&amp;V 2004-Now'!$A$1:$A$107,0),MATCH(CONCATENATE(V$5," Value"),'CY Q&amp;V 2004-Now'!$A$8:$CP$8,0))),TRUE)/1000000),(INDIRECT(CONCATENATE("'FY Q&amp;V 2003-04 to Now'!",ADDRESS(MATCH("Crude Oil",'FY Q&amp;V 2003-04 to Now'!$A$1:$A$105,0),MATCH(CONCATENATE(V$5," Value"),'FY Q&amp;V 2003-04 to Now'!$A$8:$CN$8,0))),TRUE)/1000000)+(INDIRECT(CONCATENATE("'FY Q&amp;V 2003-04 to Now'!",ADDRESS(MATCH("Condensate",'FY Q&amp;V 2003-04 to Now'!$A$1:$A$105,0),MATCH(CONCATENATE(V$5," Value"),'FY Q&amp;V 2003-04 to Now'!$A$8:$CN$8,0))),TRUE)/1000000))</f>
        <v>10121.61430694461</v>
      </c>
      <c r="Z14" s="797"/>
    </row>
    <row r="15" spans="1:48">
      <c r="A15" s="434" t="s">
        <v>345</v>
      </c>
      <c r="B15" s="1553">
        <f ca="1">IF($A$4="Select: Calendar Year",INDIRECT(CONCATENATE("'CY Q&amp;V 1886-2003'!",ADDRESS(MATCH("LNG",'CY Q&amp;V 1886-2003'!$A$1:$A$230,0),MATCH(CONCATENATE(B$5," Value"),'CY Q&amp;V 1886-2003'!$A$8:$BH$8,0))),TRUE)/1000000,INDIRECT(CONCATENATE("'FY Q&amp;V 1984-85 to 2002-03'!",ADDRESS(MATCH("LNG",'FY Q&amp;V 1984-85 to 2002-03'!$A$1:$A$228,0),MATCH(CONCATENATE(B$5," Value"),'FY Q&amp;V 1984-85 to 2002-03'!$A$8:$BS$8,0))),TRUE)/1000000)</f>
        <v>1934.4389410000001</v>
      </c>
      <c r="C15" s="1553">
        <f ca="1">IF($A$4="Select: Calendar Year",INDIRECT(CONCATENATE("'CY Q&amp;V 1886-2003'!",ADDRESS(MATCH("LNG",'CY Q&amp;V 1886-2003'!$A$1:$A$230,0),MATCH(CONCATENATE(C$5," Value"),'CY Q&amp;V 1886-2003'!$A$8:$BH$8,0))),TRUE)/1000000,INDIRECT(CONCATENATE("'FY Q&amp;V 1984-85 to 2002-03'!",ADDRESS(MATCH("LNG",'FY Q&amp;V 1984-85 to 2002-03'!$A$1:$A$228,0),MATCH(CONCATENATE(C$5," Value"),'FY Q&amp;V 1984-85 to 2002-03'!$A$8:$BS$8,0))),TRUE)/1000000)</f>
        <v>2986.9749499999998</v>
      </c>
      <c r="D15" s="1553">
        <f ca="1">IF($A$4="Select: Calendar Year",INDIRECT(CONCATENATE("'CY Q&amp;V 1886-2003'!",ADDRESS(MATCH("LNG",'CY Q&amp;V 1886-2003'!$A$1:$A$230,0),MATCH(CONCATENATE(D$5," Value"),'CY Q&amp;V 1886-2003'!$A$8:$BH$8,0))),TRUE)/1000000,INDIRECT(CONCATENATE("'FY Q&amp;V 1984-85 to 2002-03'!",ADDRESS(MATCH("LNG",'FY Q&amp;V 1984-85 to 2002-03'!$A$1:$A$228,0),MATCH(CONCATENATE(D$5," Value"),'FY Q&amp;V 1984-85 to 2002-03'!$A$8:$BS$8,0))),TRUE)/1000000)</f>
        <v>3482.8729669999998</v>
      </c>
      <c r="E15" s="1553">
        <f ca="1">IF($A$4="Select: Calendar Year",INDIRECT(CONCATENATE("'CY Q&amp;V 1886-2003'!",ADDRESS(MATCH("LNG",'CY Q&amp;V 1886-2003'!$A$1:$A$230,0),MATCH(CONCATENATE(E$5," Value"),'CY Q&amp;V 1886-2003'!$A$8:$BH$8,0))),TRUE)/1000000,INDIRECT(CONCATENATE("'FY Q&amp;V 1984-85 to 2002-03'!",ADDRESS(MATCH("LNG",'FY Q&amp;V 1984-85 to 2002-03'!$A$1:$A$228,0),MATCH(CONCATENATE(E$5," Value"),'FY Q&amp;V 1984-85 to 2002-03'!$A$8:$BS$8,0))),TRUE)/1000000)</f>
        <v>2974.4000679999999</v>
      </c>
      <c r="F15" s="1553">
        <f ca="1">IF($A$4="Select: Calendar Year",INDIRECT(CONCATENATE("'CY Q&amp;V 1886-2003'!",ADDRESS(MATCH("LNG",'CY Q&amp;V 1886-2003'!$A$1:$A$230,0),MATCH(CONCATENATE(F$5," Value"),'CY Q&amp;V 1886-2003'!$A$8:$BH$8,0))),TRUE)/1000000,INDIRECT(CONCATENATE("'FY Q&amp;V 1984-85 to 2002-03'!",ADDRESS(MATCH("LNG",'FY Q&amp;V 1984-85 to 2002-03'!$A$1:$A$228,0),MATCH(CONCATENATE(F$5," Value"),'FY Q&amp;V 1984-85 to 2002-03'!$A$8:$BS$8,0))),TRUE)/1000000)</f>
        <v>2874.6141630000002</v>
      </c>
      <c r="G15" s="1553">
        <f ca="1">IF($A$4="Select: Calendar Year",INDIRECT(CONCATENATE("'CY Q&amp;V 2004-Now'!",ADDRESS(MATCH("LNG",'CY Q&amp;V 2004-Now'!$A$1:$A$107,0),MATCH(CONCATENATE(G$5," Value"),'CY Q&amp;V 2004-Now'!$A$8:$CP$8,0))),TRUE)/1000000,INDIRECT(CONCATENATE("'FY Q&amp;V 2003-04 to Now'!",ADDRESS(MATCH("LNG",'FY Q&amp;V 2003-04 to Now'!$A$1:$A$105,0),MATCH(CONCATENATE(G$5," Value"),'FY Q&amp;V 2003-04 to Now'!$A$8:$CN$8,0))),TRUE)/1000000)</f>
        <v>3150.8096300000002</v>
      </c>
      <c r="H15" s="1553">
        <f ca="1">IF($A$4="Select: Calendar Year",INDIRECT(CONCATENATE("'CY Q&amp;V 2004-Now'!",ADDRESS(MATCH("LNG",'CY Q&amp;V 2004-Now'!$A$1:$A$107,0),MATCH(CONCATENATE(H$5," Value"),'CY Q&amp;V 2004-Now'!$A$8:$CP$8,0))),TRUE)/1000000,INDIRECT(CONCATENATE("'FY Q&amp;V 2003-04 to Now'!",ADDRESS(MATCH("LNG",'FY Q&amp;V 2003-04 to Now'!$A$1:$A$105,0),MATCH(CONCATENATE(H$5," Value"),'FY Q&amp;V 2003-04 to Now'!$A$8:$CN$8,0))),TRUE)/1000000)</f>
        <v>4446.3364862084163</v>
      </c>
      <c r="I15" s="1553">
        <f ca="1">IF($A$4="Select: Calendar Year",INDIRECT(CONCATENATE("'CY Q&amp;V 2004-Now'!",ADDRESS(MATCH("LNG",'CY Q&amp;V 2004-Now'!$A$1:$A$107,0),MATCH(CONCATENATE(I$5," Value"),'CY Q&amp;V 2004-Now'!$A$8:$CP$8,0))),TRUE)/1000000,INDIRECT(CONCATENATE("'FY Q&amp;V 2003-04 to Now'!",ADDRESS(MATCH("LNG",'FY Q&amp;V 2003-04 to Now'!$A$1:$A$105,0),MATCH(CONCATENATE(I$5," Value"),'FY Q&amp;V 2003-04 to Now'!$A$8:$CN$8,0))),TRUE)/1000000)</f>
        <v>4550.7623777269846</v>
      </c>
      <c r="J15" s="1553">
        <f ca="1">IF($A$4="Select: Calendar Year",INDIRECT(CONCATENATE("'CY Q&amp;V 2004-Now'!",ADDRESS(MATCH("LNG",'CY Q&amp;V 2004-Now'!$A$1:$A$107,0),MATCH(CONCATENATE(J$5," Value"),'CY Q&amp;V 2004-Now'!$A$8:$CP$8,0))),TRUE)/1000000,INDIRECT(CONCATENATE("'FY Q&amp;V 2003-04 to Now'!",ADDRESS(MATCH("LNG",'FY Q&amp;V 2003-04 to Now'!$A$1:$A$105,0),MATCH(CONCATENATE(J$5," Value"),'FY Q&amp;V 2003-04 to Now'!$A$8:$CN$8,0))),TRUE)/1000000)</f>
        <v>4448.5751194258501</v>
      </c>
      <c r="K15" s="1553">
        <f ca="1">IF($A$4="Select: Calendar Year",INDIRECT(CONCATENATE("'CY Q&amp;V 2004-Now'!",ADDRESS(MATCH("LNG",'CY Q&amp;V 2004-Now'!$A$1:$A$107,0),MATCH(CONCATENATE(K$5," Value"),'CY Q&amp;V 2004-Now'!$A$8:$CP$8,0))),TRUE)/1000000,INDIRECT(CONCATENATE("'FY Q&amp;V 2003-04 to Now'!",ADDRESS(MATCH("LNG",'FY Q&amp;V 2003-04 to Now'!$A$1:$A$105,0),MATCH(CONCATENATE(K$5," Value"),'FY Q&amp;V 2003-04 to Now'!$A$8:$CN$8,0))),TRUE)/1000000)</f>
        <v>8157.4775156968399</v>
      </c>
      <c r="L15" s="1553">
        <f ca="1">IF($A$4="Select: Calendar Year",INDIRECT(CONCATENATE("'CY Q&amp;V 2004-Now'!",ADDRESS(MATCH("LNG",'CY Q&amp;V 2004-Now'!$A$1:$A$107,0),MATCH(CONCATENATE(L$5," Value"),'CY Q&amp;V 2004-Now'!$A$8:$CP$8,0))),TRUE)/1000000,INDIRECT(CONCATENATE("'FY Q&amp;V 2003-04 to Now'!",ADDRESS(MATCH("LNG",'FY Q&amp;V 2003-04 to Now'!$A$1:$A$105,0),MATCH(CONCATENATE(L$5," Value"),'FY Q&amp;V 2003-04 to Now'!$A$8:$CN$8,0))),TRUE)/1000000)</f>
        <v>6320.7449907749478</v>
      </c>
      <c r="M15" s="1553">
        <f ca="1">IF($A$4="Select: Calendar Year",INDIRECT(CONCATENATE("'CY Q&amp;V 2004-Now'!",ADDRESS(MATCH("LNG",'CY Q&amp;V 2004-Now'!$A$1:$A$107,0),MATCH(CONCATENATE(M$5," Value"),'CY Q&amp;V 2004-Now'!$A$8:$CP$8,0))),TRUE)/1000000,INDIRECT(CONCATENATE("'FY Q&amp;V 2003-04 to Now'!",ADDRESS(MATCH("LNG",'FY Q&amp;V 2003-04 to Now'!$A$1:$A$105,0),MATCH(CONCATENATE(M$5," Value"),'FY Q&amp;V 2003-04 to Now'!$A$8:$CN$8,0))),TRUE)/1000000)</f>
        <v>8754.6824736822291</v>
      </c>
      <c r="N15" s="1553">
        <f ca="1">IF($A$4="Select: Calendar Year",INDIRECT(CONCATENATE("'CY Q&amp;V 2004-Now'!",ADDRESS(MATCH("LNG",'CY Q&amp;V 2004-Now'!$A$1:$A$107,0),MATCH(CONCATENATE(N$5," Value"),'CY Q&amp;V 2004-Now'!$A$8:$CP$8,0))),TRUE)/1000000,INDIRECT(CONCATENATE("'FY Q&amp;V 2003-04 to Now'!",ADDRESS(MATCH("LNG",'FY Q&amp;V 2003-04 to Now'!$A$1:$A$105,0),MATCH(CONCATENATE(N$5," Value"),'FY Q&amp;V 2003-04 to Now'!$A$8:$CN$8,0))),TRUE)/1000000)</f>
        <v>8552.0712839999997</v>
      </c>
      <c r="O15" s="1553">
        <f ca="1">IF($A$4="Select: Calendar Year",INDIRECT(CONCATENATE("'CY Q&amp;V 2004-Now'!",ADDRESS(MATCH("LNG",'CY Q&amp;V 2004-Now'!$A$1:$A$107,0),MATCH(CONCATENATE(O$5," Value"),'CY Q&amp;V 2004-Now'!$A$8:$CP$8,0))),TRUE)/1000000,INDIRECT(CONCATENATE("'FY Q&amp;V 2003-04 to Now'!",ADDRESS(MATCH("LNG",'FY Q&amp;V 2003-04 to Now'!$A$1:$A$105,0),MATCH(CONCATENATE(O$5," Value"),'FY Q&amp;V 2003-04 to Now'!$A$8:$CN$8,0))),TRUE)/1000000)</f>
        <v>11271.620675400678</v>
      </c>
      <c r="P15" s="1553">
        <f ca="1">IF($A$4="Select: Calendar Year",INDIRECT(CONCATENATE("'CY Q&amp;V 2004-Now'!",ADDRESS(MATCH("LNG",'CY Q&amp;V 2004-Now'!$A$1:$A$107,0),MATCH(CONCATENATE(P$5," Value"),'CY Q&amp;V 2004-Now'!$A$8:$CP$8,0))),TRUE)/1000000,INDIRECT(CONCATENATE("'FY Q&amp;V 2003-04 to Now'!",ADDRESS(MATCH("LNG",'FY Q&amp;V 2003-04 to Now'!$A$1:$A$105,0),MATCH(CONCATENATE(P$5," Value"),'FY Q&amp;V 2003-04 to Now'!$A$8:$CN$8,0))),TRUE)/1000000)</f>
        <v>13287.960818379126</v>
      </c>
      <c r="Q15" s="1553">
        <f ca="1">IF($A$4="Select: Calendar Year",INDIRECT(CONCATENATE("'CY Q&amp;V 2004-Now'!",ADDRESS(MATCH("LNG",'CY Q&amp;V 2004-Now'!$A$1:$A$107,0),MATCH(CONCATENATE(Q$5," Value"),'CY Q&amp;V 2004-Now'!$A$8:$CP$8,0))),TRUE)/1000000,INDIRECT(CONCATENATE("'FY Q&amp;V 2003-04 to Now'!",ADDRESS(MATCH("LNG",'FY Q&amp;V 2003-04 to Now'!$A$1:$A$105,0),MATCH(CONCATENATE(Q$5," Value"),'FY Q&amp;V 2003-04 to Now'!$A$8:$CN$8,0))),TRUE)/1000000)</f>
        <v>15487.317250651384</v>
      </c>
      <c r="R15" s="1553">
        <f ca="1">IF($A$4="Select: Calendar Year",INDIRECT(CONCATENATE("'CY Q&amp;V 2004-Now'!",ADDRESS(MATCH("LNG",'CY Q&amp;V 2004-Now'!$A$1:$A$107,0),MATCH(CONCATENATE(R$5," Value"),'CY Q&amp;V 2004-Now'!$A$8:$CP$8,0))),TRUE)/1000000,INDIRECT(CONCATENATE("'FY Q&amp;V 2003-04 to Now'!",ADDRESS(MATCH("LNG",'FY Q&amp;V 2003-04 to Now'!$A$1:$A$105,0),MATCH(CONCATENATE(R$5," Value"),'FY Q&amp;V 2003-04 to Now'!$A$8:$CN$8,0))),TRUE)/1000000)</f>
        <v>11554.349752904898</v>
      </c>
      <c r="S15" s="1553">
        <f ca="1">IF($A$4="Select: Calendar Year",INDIRECT(CONCATENATE("'CY Q&amp;V 2004-Now'!",ADDRESS(MATCH("LNG",'CY Q&amp;V 2004-Now'!$A$1:$A$107,0),MATCH(CONCATENATE(S$5," Value"),'CY Q&amp;V 2004-Now'!$A$8:$CP$8,0))),TRUE)/1000000,INDIRECT(CONCATENATE("'FY Q&amp;V 2003-04 to Now'!",ADDRESS(MATCH("LNG",'FY Q&amp;V 2003-04 to Now'!$A$1:$A$105,0),MATCH(CONCATENATE(S$5," Value"),'FY Q&amp;V 2003-04 to Now'!$A$8:$CN$8,0))),TRUE)/1000000)</f>
        <v>10620.614121943227</v>
      </c>
      <c r="T15" s="1553">
        <f ca="1">IF($A$4="Select: Calendar Year",INDIRECT(CONCATENATE("'CY Q&amp;V 2004-Now'!",ADDRESS(MATCH("LNG",'CY Q&amp;V 2004-Now'!$A$1:$A$107,0),MATCH(CONCATENATE(T$5," Value"),'CY Q&amp;V 2004-Now'!$A$8:$CP$8,0))),TRUE)/1000000,INDIRECT(CONCATENATE("'FY Q&amp;V 2003-04 to Now'!",ADDRESS(MATCH("LNG",'FY Q&amp;V 2003-04 to Now'!$A$1:$A$105,0),MATCH(CONCATENATE(T$5," Value"),'FY Q&amp;V 2003-04 to Now'!$A$8:$CN$8,0))),TRUE)/1000000)</f>
        <v>14921.887350350875</v>
      </c>
      <c r="U15" s="1553">
        <f ca="1">IF($A$4="Select: Calendar Year",INDIRECT(CONCATENATE("'CY Q&amp;V 2004-Now'!",ADDRESS(MATCH("LNG",'CY Q&amp;V 2004-Now'!$A$1:$A$107,0),MATCH(CONCATENATE(U$5," Value"),'CY Q&amp;V 2004-Now'!$A$8:$CP$8,0))),TRUE)/1000000,INDIRECT(CONCATENATE("'FY Q&amp;V 2003-04 to Now'!",ADDRESS(MATCH("LNG",'FY Q&amp;V 2003-04 to Now'!$A$1:$A$105,0),MATCH(CONCATENATE(U$5," Value"),'FY Q&amp;V 2003-04 to Now'!$A$8:$CN$8,0))),TRUE)/1000000)</f>
        <v>26978.126958992532</v>
      </c>
      <c r="V15" s="1553">
        <f ca="1">IF($A$4="Select: Calendar Year",INDIRECT(CONCATENATE("'CY Q&amp;V 2004-Now'!",ADDRESS(MATCH("LNG",'CY Q&amp;V 2004-Now'!$A$1:$A$107,0),MATCH(CONCATENATE(V$5," Value"),'CY Q&amp;V 2004-Now'!$A$8:$CP$8,0))),TRUE)/1000000,INDIRECT(CONCATENATE("'FY Q&amp;V 2003-04 to Now'!",ADDRESS(MATCH("LNG",'FY Q&amp;V 2003-04 to Now'!$A$1:$A$105,0),MATCH(CONCATENATE(V$5," Value"),'FY Q&amp;V 2003-04 to Now'!$A$8:$CN$8,0))),TRUE)/1000000)</f>
        <v>27394.793066075847</v>
      </c>
      <c r="Z15" s="797"/>
    </row>
    <row r="16" spans="1:48">
      <c r="A16" s="434" t="s">
        <v>2</v>
      </c>
      <c r="B16" s="1554">
        <f ca="1">IF($A$4="Select: Calendar Year",INDIRECT(CONCATENATE("'CY Q&amp;V 1886-2003'!",ADDRESS(MATCH("Total Iron Ore",'CY Q&amp;V 1886-2003'!$A$1:$A$230,0),MATCH(CONCATENATE(B$5," Value"),'CY Q&amp;V 1886-2003'!$A$8:$BH$8,0))),TRUE)/1000000,INDIRECT(CONCATENATE("'FY Q&amp;V 1984-85 to 2002-03'!",ADDRESS(MATCH("Total Iron Ore",'FY Q&amp;V 1984-85 to 2002-03'!$A$1:$A$228,0),MATCH(CONCATENATE(B$5," Value"),'FY Q&amp;V 1984-85 to 2002-03'!$A$8:$BS$8,0))),TRUE)/1000000)</f>
        <v>3517.1671099999999</v>
      </c>
      <c r="C16" s="1554">
        <f ca="1">IF($A$4="Select: Calendar Year",INDIRECT(CONCATENATE("'CY Q&amp;V 1886-2003'!",ADDRESS(MATCH("Total Iron Ore",'CY Q&amp;V 1886-2003'!$A$1:$A$230,0),MATCH(CONCATENATE(C$5," Value"),'CY Q&amp;V 1886-2003'!$A$8:$BH$8,0))),TRUE)/1000000,INDIRECT(CONCATENATE("'FY Q&amp;V 1984-85 to 2002-03'!",ADDRESS(MATCH("Total Iron Ore",'FY Q&amp;V 1984-85 to 2002-03'!$A$1:$A$228,0),MATCH(CONCATENATE(C$5," Value"),'FY Q&amp;V 1984-85 to 2002-03'!$A$8:$BS$8,0))),TRUE)/1000000)</f>
        <v>4365.1875129999999</v>
      </c>
      <c r="D16" s="1554">
        <f ca="1">IF($A$4="Select: Calendar Year",INDIRECT(CONCATENATE("'CY Q&amp;V 1886-2003'!",ADDRESS(MATCH("Total Iron Ore",'CY Q&amp;V 1886-2003'!$A$1:$A$230,0),MATCH(CONCATENATE(D$5," Value"),'CY Q&amp;V 1886-2003'!$A$8:$BH$8,0))),TRUE)/1000000,INDIRECT(CONCATENATE("'FY Q&amp;V 1984-85 to 2002-03'!",ADDRESS(MATCH("Total Iron Ore",'FY Q&amp;V 1984-85 to 2002-03'!$A$1:$A$228,0),MATCH(CONCATENATE(D$5," Value"),'FY Q&amp;V 1984-85 to 2002-03'!$A$8:$BS$8,0))),TRUE)/1000000)</f>
        <v>5369.7121690000004</v>
      </c>
      <c r="E16" s="1554">
        <f ca="1">IF($A$4="Select: Calendar Year",INDIRECT(CONCATENATE("'CY Q&amp;V 1886-2003'!",ADDRESS(MATCH("Total Iron Ore",'CY Q&amp;V 1886-2003'!$A$1:$A$230,0),MATCH(CONCATENATE(E$5," Value"),'CY Q&amp;V 1886-2003'!$A$8:$BH$8,0))),TRUE)/1000000,INDIRECT(CONCATENATE("'FY Q&amp;V 1984-85 to 2002-03'!",ADDRESS(MATCH("Total Iron Ore",'FY Q&amp;V 1984-85 to 2002-03'!$A$1:$A$228,0),MATCH(CONCATENATE(E$5," Value"),'FY Q&amp;V 1984-85 to 2002-03'!$A$8:$BS$8,0))),TRUE)/1000000)</f>
        <v>5064.6162949999998</v>
      </c>
      <c r="F16" s="1554">
        <f ca="1">IF($A$4="Select: Calendar Year",INDIRECT(CONCATENATE("'CY Q&amp;V 1886-2003'!",ADDRESS(MATCH("Total Iron Ore",'CY Q&amp;V 1886-2003'!$A$1:$A$230,0),MATCH(CONCATENATE(F$5," Value"),'CY Q&amp;V 1886-2003'!$A$8:$BH$8,0))),TRUE)/1000000,INDIRECT(CONCATENATE("'FY Q&amp;V 1984-85 to 2002-03'!",ADDRESS(MATCH("Total Iron Ore",'FY Q&amp;V 1984-85 to 2002-03'!$A$1:$A$228,0),MATCH(CONCATENATE(F$5," Value"),'FY Q&amp;V 1984-85 to 2002-03'!$A$8:$BS$8,0))),TRUE)/1000000)</f>
        <v>5061.0572099999999</v>
      </c>
      <c r="G16" s="1554">
        <f ca="1">IF($A$4="Select: Calendar Year",INDIRECT(CONCATENATE("'CY Q&amp;V 2004-Now'!",ADDRESS(MATCH("Iron Ore",'CY Q&amp;V 2004-Now'!$A$1:$A$107,0),MATCH(CONCATENATE(G$5," Value"),'CY Q&amp;V 2004-Now'!$A$8:$CP$8,0))),TRUE)/1000000,INDIRECT(CONCATENATE("'FY Q&amp;V 2003-04 to Now'!",ADDRESS(MATCH("Iron Ore",'FY Q&amp;V 2003-04 to Now'!$A$1:$A$105,0),MATCH(CONCATENATE(G$5," Value"),'FY Q&amp;V 2003-04 to Now'!$A$8:$CN$8,0))),TRUE)/1000000)</f>
        <v>6192.9763191399998</v>
      </c>
      <c r="H16" s="1554">
        <f ca="1">IF($A$4="Select: Calendar Year",INDIRECT(CONCATENATE("'CY Q&amp;V 2004-Now'!",ADDRESS(MATCH("Iron Ore",'CY Q&amp;V 2004-Now'!$A$1:$A$107,0),MATCH(CONCATENATE(H$5," Value"),'CY Q&amp;V 2004-Now'!$A$8:$CP$8,0))),TRUE)/1000000,INDIRECT(CONCATENATE("'FY Q&amp;V 2003-04 to Now'!",ADDRESS(MATCH("Iron Ore",'FY Q&amp;V 2003-04 to Now'!$A$1:$A$105,0),MATCH(CONCATENATE(H$5," Value"),'FY Q&amp;V 2003-04 to Now'!$A$8:$CN$8,0))),TRUE)/1000000)</f>
        <v>11308.71794499</v>
      </c>
      <c r="I16" s="1554">
        <f ca="1">IF($A$4="Select: Calendar Year",INDIRECT(CONCATENATE("'CY Q&amp;V 2004-Now'!",ADDRESS(MATCH("Iron Ore",'CY Q&amp;V 2004-Now'!$A$1:$A$107,0),MATCH(CONCATENATE(I$5," Value"),'CY Q&amp;V 2004-Now'!$A$8:$CP$8,0))),TRUE)/1000000,INDIRECT(CONCATENATE("'FY Q&amp;V 2003-04 to Now'!",ADDRESS(MATCH("Iron Ore",'FY Q&amp;V 2003-04 to Now'!$A$1:$A$105,0),MATCH(CONCATENATE(I$5," Value"),'FY Q&amp;V 2003-04 to Now'!$A$8:$CN$8,0))),TRUE)/1000000)</f>
        <v>14780.092745669999</v>
      </c>
      <c r="J16" s="1554">
        <f ca="1">IF($A$4="Select: Calendar Year",INDIRECT(CONCATENATE("'CY Q&amp;V 2004-Now'!",ADDRESS(MATCH("Iron Ore",'CY Q&amp;V 2004-Now'!$A$1:$A$107,0),MATCH(CONCATENATE(J$5," Value"),'CY Q&amp;V 2004-Now'!$A$8:$CP$8,0))),TRUE)/1000000,INDIRECT(CONCATENATE("'FY Q&amp;V 2003-04 to Now'!",ADDRESS(MATCH("Iron Ore",'FY Q&amp;V 2003-04 to Now'!$A$1:$A$105,0),MATCH(CONCATENATE(J$5," Value"),'FY Q&amp;V 2003-04 to Now'!$A$8:$CN$8,0))),TRUE)/1000000)</f>
        <v>16135.90395344</v>
      </c>
      <c r="K16" s="1554">
        <f ca="1">IF($A$4="Select: Calendar Year",INDIRECT(CONCATENATE("'CY Q&amp;V 2004-Now'!",ADDRESS(MATCH("Iron Ore",'CY Q&amp;V 2004-Now'!$A$1:$A$107,0),MATCH(CONCATENATE(K$5," Value"),'CY Q&amp;V 2004-Now'!$A$8:$CP$8,0))),TRUE)/1000000,INDIRECT(CONCATENATE("'FY Q&amp;V 2003-04 to Now'!",ADDRESS(MATCH("Iron Ore",'FY Q&amp;V 2003-04 to Now'!$A$1:$A$105,0),MATCH(CONCATENATE(K$5," Value"),'FY Q&amp;V 2003-04 to Now'!$A$8:$CN$8,0))),TRUE)/1000000)</f>
        <v>31909.855018219998</v>
      </c>
      <c r="L16" s="1554">
        <f ca="1">IF($A$4="Select: Calendar Year",INDIRECT(CONCATENATE("'CY Q&amp;V 2004-Now'!",ADDRESS(MATCH("Iron Ore",'CY Q&amp;V 2004-Now'!$A$1:$A$107,0),MATCH(CONCATENATE(L$5," Value"),'CY Q&amp;V 2004-Now'!$A$8:$CP$8,0))),TRUE)/1000000,INDIRECT(CONCATENATE("'FY Q&amp;V 2003-04 to Now'!",ADDRESS(MATCH("Iron Ore",'FY Q&amp;V 2003-04 to Now'!$A$1:$A$105,0),MATCH(CONCATENATE(L$5," Value"),'FY Q&amp;V 2003-04 to Now'!$A$8:$CN$8,0))),TRUE)/1000000)</f>
        <v>28133.427135669997</v>
      </c>
      <c r="M16" s="1554">
        <f ca="1">IF($A$4="Select: Calendar Year",INDIRECT(CONCATENATE("'CY Q&amp;V 2004-Now'!",ADDRESS(MATCH("Iron Ore",'CY Q&amp;V 2004-Now'!$A$1:$A$107,0),MATCH(CONCATENATE(M$5," Value"),'CY Q&amp;V 2004-Now'!$A$8:$CP$8,0))),TRUE)/1000000,INDIRECT(CONCATENATE("'FY Q&amp;V 2003-04 to Now'!",ADDRESS(MATCH("Iron Ore",'FY Q&amp;V 2003-04 to Now'!$A$1:$A$105,0),MATCH(CONCATENATE(M$5," Value"),'FY Q&amp;V 2003-04 to Now'!$A$8:$CN$8,0))),TRUE)/1000000)</f>
        <v>50262.149327229992</v>
      </c>
      <c r="N16" s="1554">
        <f ca="1">IF($A$4="Select: Calendar Year",INDIRECT(CONCATENATE("'CY Q&amp;V 2004-Now'!",ADDRESS(MATCH("Iron Ore",'CY Q&amp;V 2004-Now'!$A$1:$A$107,0),MATCH(CONCATENATE(N$5," Value"),'CY Q&amp;V 2004-Now'!$A$8:$CP$8,0))),TRUE)/1000000,INDIRECT(CONCATENATE("'FY Q&amp;V 2003-04 to Now'!",ADDRESS(MATCH("Iron Ore",'FY Q&amp;V 2003-04 to Now'!$A$1:$A$105,0),MATCH(CONCATENATE(N$5," Value"),'FY Q&amp;V 2003-04 to Now'!$A$8:$CN$8,0))),TRUE)/1000000)</f>
        <v>62863.290517729998</v>
      </c>
      <c r="O16" s="1554">
        <f ca="1">IF($A$4="Select: Calendar Year",INDIRECT(CONCATENATE("'CY Q&amp;V 2004-Now'!",ADDRESS(MATCH("Iron Ore",'CY Q&amp;V 2004-Now'!$A$1:$A$107,0),MATCH(CONCATENATE(O$5," Value"),'CY Q&amp;V 2004-Now'!$A$8:$CP$8,0))),TRUE)/1000000,INDIRECT(CONCATENATE("'FY Q&amp;V 2003-04 to Now'!",ADDRESS(MATCH("Iron Ore",'FY Q&amp;V 2003-04 to Now'!$A$1:$A$105,0),MATCH(CONCATENATE(O$5," Value"),'FY Q&amp;V 2003-04 to Now'!$A$8:$CN$8,0))),TRUE)/1000000)</f>
        <v>52823.916640019997</v>
      </c>
      <c r="P16" s="1554">
        <f ca="1">IF($A$4="Select: Calendar Year",INDIRECT(CONCATENATE("'CY Q&amp;V 2004-Now'!",ADDRESS(MATCH("Iron Ore",'CY Q&amp;V 2004-Now'!$A$1:$A$107,0),MATCH(CONCATENATE(P$5," Value"),'CY Q&amp;V 2004-Now'!$A$8:$CP$8,0))),TRUE)/1000000,INDIRECT(CONCATENATE("'FY Q&amp;V 2003-04 to Now'!",ADDRESS(MATCH("Iron Ore",'FY Q&amp;V 2003-04 to Now'!$A$1:$A$105,0),MATCH(CONCATENATE(P$5," Value"),'FY Q&amp;V 2003-04 to Now'!$A$8:$CN$8,0))),TRUE)/1000000)</f>
        <v>70384.424735240013</v>
      </c>
      <c r="Q16" s="1554">
        <f ca="1">IF($A$4="Select: Calendar Year",INDIRECT(CONCATENATE("'CY Q&amp;V 2004-Now'!",ADDRESS(MATCH("Iron Ore",'CY Q&amp;V 2004-Now'!$A$1:$A$107,0),MATCH(CONCATENATE(Q$5," Value"),'CY Q&amp;V 2004-Now'!$A$8:$CP$8,0))),TRUE)/1000000,INDIRECT(CONCATENATE("'FY Q&amp;V 2003-04 to Now'!",ADDRESS(MATCH("Iron Ore",'FY Q&amp;V 2003-04 to Now'!$A$1:$A$105,0),MATCH(CONCATENATE(Q$5," Value"),'FY Q&amp;V 2003-04 to Now'!$A$8:$CN$8,0))),TRUE)/1000000)</f>
        <v>65053.440010000006</v>
      </c>
      <c r="R16" s="1554">
        <f ca="1">IF($A$4="Select: Calendar Year",INDIRECT(CONCATENATE("'CY Q&amp;V 2004-Now'!",ADDRESS(MATCH("Iron Ore",'CY Q&amp;V 2004-Now'!$A$1:$A$107,0),MATCH(CONCATENATE(R$5," Value"),'CY Q&amp;V 2004-Now'!$A$8:$CP$8,0))),TRUE)/1000000,INDIRECT(CONCATENATE("'FY Q&amp;V 2003-04 to Now'!",ADDRESS(MATCH("Iron Ore",'FY Q&amp;V 2003-04 to Now'!$A$1:$A$105,0),MATCH(CONCATENATE(R$5," Value"),'FY Q&amp;V 2003-04 to Now'!$A$8:$CN$8,0))),TRUE)/1000000)</f>
        <v>49630.774950999999</v>
      </c>
      <c r="S16" s="1554">
        <f ca="1">IF($A$4="Select: Calendar Year",INDIRECT(CONCATENATE("'CY Q&amp;V 2004-Now'!",ADDRESS(MATCH("Iron Ore",'CY Q&amp;V 2004-Now'!$A$1:$A$107,0),MATCH(CONCATENATE(S$5," Value"),'CY Q&amp;V 2004-Now'!$A$8:$CP$8,0))),TRUE)/1000000,INDIRECT(CONCATENATE("'FY Q&amp;V 2003-04 to Now'!",ADDRESS(MATCH("Iron Ore",'FY Q&amp;V 2003-04 to Now'!$A$1:$A$105,0),MATCH(CONCATENATE(S$5," Value"),'FY Q&amp;V 2003-04 to Now'!$A$8:$CN$8,0))),TRUE)/1000000)</f>
        <v>55609.172696999995</v>
      </c>
      <c r="T16" s="1554">
        <f ca="1">IF($A$4="Select: Calendar Year",INDIRECT(CONCATENATE("'CY Q&amp;V 2004-Now'!",ADDRESS(MATCH("Iron Ore",'CY Q&amp;V 2004-Now'!$A$1:$A$107,0),MATCH(CONCATENATE(T$5," Value"),'CY Q&amp;V 2004-Now'!$A$8:$CP$8,0))),TRUE)/1000000,INDIRECT(CONCATENATE("'FY Q&amp;V 2003-04 to Now'!",ADDRESS(MATCH("Iron Ore",'FY Q&amp;V 2003-04 to Now'!$A$1:$A$105,0),MATCH(CONCATENATE(T$5," Value"),'FY Q&amp;V 2003-04 to Now'!$A$8:$CN$8,0))),TRUE)/1000000)</f>
        <v>63829.415271999998</v>
      </c>
      <c r="U16" s="1554">
        <f ca="1">IF($A$4="Select: Calendar Year",INDIRECT(CONCATENATE("'CY Q&amp;V 2004-Now'!",ADDRESS(MATCH("Iron Ore",'CY Q&amp;V 2004-Now'!$A$1:$A$107,0),MATCH(CONCATENATE(U$5," Value"),'CY Q&amp;V 2004-Now'!$A$8:$CP$8,0))),TRUE)/1000000,INDIRECT(CONCATENATE("'FY Q&amp;V 2003-04 to Now'!",ADDRESS(MATCH("Iron Ore",'FY Q&amp;V 2003-04 to Now'!$A$1:$A$105,0),MATCH(CONCATENATE(U$5," Value"),'FY Q&amp;V 2003-04 to Now'!$A$8:$CN$8,0))),TRUE)/1000000)</f>
        <v>65236.000407999993</v>
      </c>
      <c r="V16" s="1554">
        <f ca="1">IF($A$4="Select: Calendar Year",INDIRECT(CONCATENATE("'CY Q&amp;V 2004-Now'!",ADDRESS(MATCH("Iron Ore",'CY Q&amp;V 2004-Now'!$A$1:$A$107,0),MATCH(CONCATENATE(V$5," Value"),'CY Q&amp;V 2004-Now'!$A$8:$CP$8,0))),TRUE)/1000000,INDIRECT(CONCATENATE("'FY Q&amp;V 2003-04 to Now'!",ADDRESS(MATCH("Iron Ore",'FY Q&amp;V 2003-04 to Now'!$A$1:$A$105,0),MATCH(CONCATENATE(V$5," Value"),'FY Q&amp;V 2003-04 to Now'!$A$8:$CN$8,0))),TRUE)/1000000)</f>
        <v>97675.628391999999</v>
      </c>
      <c r="Z16" s="797"/>
    </row>
    <row r="17" spans="1:26" ht="15.75" thickBot="1">
      <c r="A17" s="435" t="s">
        <v>450</v>
      </c>
      <c r="B17" s="1555">
        <f ca="1">IF($A$4="Select: Calendar Year",INDIRECT(CONCATENATE("'CY Q&amp;V 1886-2003'!",ADDRESS(MATCH("TOTAL VALUE",'CY Q&amp;V 1886-2003'!$A$1:$A$230,0),MATCH(CONCATENATE(B$5," Value"),'CY Q&amp;V 1886-2003'!$A$8:$BH$8,0))),TRUE)/1000000,INDIRECT(CONCATENATE("'FY Q&amp;V 1984-85 to 2002-03'!",ADDRESS(MATCH("TOTAL VALUE",'FY Q&amp;V 1984-85 to 2002-03'!$A$1:$A$228,0),MATCH(CONCATENATE(B$5," Value"),'FY Q&amp;V 1984-85 to 2002-03'!$A$8:$BS$8,0))),TRUE)/1000000)</f>
        <v>17466.533637446515</v>
      </c>
      <c r="C17" s="1555">
        <f ca="1">IF($A$4="Select: Calendar Year",INDIRECT(CONCATENATE("'CY Q&amp;V 1886-2003'!",ADDRESS(MATCH("TOTAL VALUE",'CY Q&amp;V 1886-2003'!$A$1:$A$230,0),MATCH(CONCATENATE(C$5," Value"),'CY Q&amp;V 1886-2003'!$A$8:$BH$8,0))),TRUE)/1000000,INDIRECT(CONCATENATE("'FY Q&amp;V 1984-85 to 2002-03'!",ADDRESS(MATCH("TOTAL VALUE",'FY Q&amp;V 1984-85 to 2002-03'!$A$1:$A$228,0),MATCH(CONCATENATE(C$5," Value"),'FY Q&amp;V 1984-85 to 2002-03'!$A$8:$BS$8,0))),TRUE)/1000000)</f>
        <v>26216.137904155068</v>
      </c>
      <c r="D17" s="1555">
        <f ca="1">IF($A$4="Select: Calendar Year",INDIRECT(CONCATENATE("'CY Q&amp;V 1886-2003'!",ADDRESS(MATCH("TOTAL VALUE",'CY Q&amp;V 1886-2003'!$A$1:$A$230,0),MATCH(CONCATENATE(D$5," Value"),'CY Q&amp;V 1886-2003'!$A$8:$BH$8,0))),TRUE)/1000000,INDIRECT(CONCATENATE("'FY Q&amp;V 1984-85 to 2002-03'!",ADDRESS(MATCH("TOTAL VALUE",'FY Q&amp;V 1984-85 to 2002-03'!$A$1:$A$228,0),MATCH(CONCATENATE(D$5," Value"),'FY Q&amp;V 1984-85 to 2002-03'!$A$8:$BS$8,0))),TRUE)/1000000)</f>
        <v>27893.967339368341</v>
      </c>
      <c r="E17" s="1555">
        <f ca="1">IF($A$4="Select: Calendar Year",INDIRECT(CONCATENATE("'CY Q&amp;V 1886-2003'!",ADDRESS(MATCH("TOTAL VALUE",'CY Q&amp;V 1886-2003'!$A$1:$A$230,0),MATCH(CONCATENATE(E$5," Value"),'CY Q&amp;V 1886-2003'!$A$8:$BH$8,0))),TRUE)/1000000,INDIRECT(CONCATENATE("'FY Q&amp;V 1984-85 to 2002-03'!",ADDRESS(MATCH("TOTAL VALUE",'FY Q&amp;V 1984-85 to 2002-03'!$A$1:$A$228,0),MATCH(CONCATENATE(E$5," Value"),'FY Q&amp;V 1984-85 to 2002-03'!$A$8:$BS$8,0))),TRUE)/1000000)</f>
        <v>27484.757977000001</v>
      </c>
      <c r="F17" s="1555">
        <f ca="1">IF($A$4="Select: Calendar Year",INDIRECT(CONCATENATE("'CY Q&amp;V 1886-2003'!",ADDRESS(MATCH("TOTAL VALUE",'CY Q&amp;V 1886-2003'!$A$1:$A$230,0),MATCH(CONCATENATE(F$5," Value"),'CY Q&amp;V 1886-2003'!$A$8:$BH$8,0))),TRUE)/1000000,INDIRECT(CONCATENATE("'FY Q&amp;V 1984-85 to 2002-03'!",ADDRESS(MATCH("TOTAL VALUE",'FY Q&amp;V 1984-85 to 2002-03'!$A$1:$A$228,0),MATCH(CONCATENATE(F$5," Value"),'FY Q&amp;V 1984-85 to 2002-03'!$A$8:$BS$8,0))),TRUE)/1000000)</f>
        <v>26685.92573033</v>
      </c>
      <c r="G17" s="1555">
        <f ca="1">IF($A$4="Select: Calendar Year",INDIRECT(CONCATENATE("'CY Q&amp;V 2004-Now'!",ADDRESS(MATCH("TOTAL VALUE",'CY Q&amp;V 2004-Now'!$A$1:$A$107,0),MATCH(CONCATENATE(G$5," Value"),'CY Q&amp;V 2004-Now'!$A$8:$CP$8,0))),TRUE)/1000000,INDIRECT(CONCATENATE("'FY Q&amp;V 2003-04 to Now'!",ADDRESS(MATCH("TOTAL VALUE",'FY Q&amp;V 2003-04 to Now'!$A$1:$A$105,0),MATCH(CONCATENATE(G$5," Value"),'FY Q&amp;V 2003-04 to Now'!$A$8:$CN$8,0))),TRUE)/1000000)</f>
        <v>28758.745770842121</v>
      </c>
      <c r="H17" s="1555">
        <f ca="1">IF($A$4="Select: Calendar Year",INDIRECT(CONCATENATE("'CY Q&amp;V 2004-Now'!",ADDRESS(MATCH("TOTAL VALUE",'CY Q&amp;V 2004-Now'!$A$1:$A$107,0),MATCH(CONCATENATE(H$5," Value"),'CY Q&amp;V 2004-Now'!$A$8:$CP$8,0))),TRUE)/1000000,INDIRECT(CONCATENATE("'FY Q&amp;V 2003-04 to Now'!",ADDRESS(MATCH("TOTAL VALUE",'FY Q&amp;V 2003-04 to Now'!$A$1:$A$105,0),MATCH(CONCATENATE(H$5," Value"),'FY Q&amp;V 2003-04 to Now'!$A$8:$CN$8,0))),TRUE)/1000000)</f>
        <v>39219.936234244131</v>
      </c>
      <c r="I17" s="1555">
        <f ca="1">IF($A$4="Select: Calendar Year",INDIRECT(CONCATENATE("'CY Q&amp;V 2004-Now'!",ADDRESS(MATCH("TOTAL VALUE",'CY Q&amp;V 2004-Now'!$A$1:$A$107,0),MATCH(CONCATENATE(I$5," Value"),'CY Q&amp;V 2004-Now'!$A$8:$CP$8,0))),TRUE)/1000000,INDIRECT(CONCATENATE("'FY Q&amp;V 2003-04 to Now'!",ADDRESS(MATCH("TOTAL VALUE",'FY Q&amp;V 2003-04 to Now'!$A$1:$A$105,0),MATCH(CONCATENATE(I$5," Value"),'FY Q&amp;V 2003-04 to Now'!$A$8:$CN$8,0))),TRUE)/1000000)</f>
        <v>49274.304821548278</v>
      </c>
      <c r="J17" s="1555">
        <f ca="1">IF($A$4="Select: Calendar Year",INDIRECT(CONCATENATE("'CY Q&amp;V 2004-Now'!",ADDRESS(MATCH("TOTAL VALUE",'CY Q&amp;V 2004-Now'!$A$1:$A$107,0),MATCH(CONCATENATE(J$5," Value"),'CY Q&amp;V 2004-Now'!$A$8:$CP$8,0))),TRUE)/1000000,INDIRECT(CONCATENATE("'FY Q&amp;V 2003-04 to Now'!",ADDRESS(MATCH("TOTAL VALUE",'FY Q&amp;V 2003-04 to Now'!$A$1:$A$105,0),MATCH(CONCATENATE(J$5," Value"),'FY Q&amp;V 2003-04 to Now'!$A$8:$CN$8,0))),TRUE)/1000000)</f>
        <v>52899.857495248492</v>
      </c>
      <c r="K17" s="1555">
        <f ca="1">IF($A$4="Select: Calendar Year",INDIRECT(CONCATENATE("'CY Q&amp;V 2004-Now'!",ADDRESS(MATCH("TOTAL VALUE",'CY Q&amp;V 2004-Now'!$A$1:$A$107,0),MATCH(CONCATENATE(K$5," Value"),'CY Q&amp;V 2004-Now'!$A$8:$CP$8,0))),TRUE)/1000000,INDIRECT(CONCATENATE("'FY Q&amp;V 2003-04 to Now'!",ADDRESS(MATCH("TOTAL VALUE",'FY Q&amp;V 2003-04 to Now'!$A$1:$A$105,0),MATCH(CONCATENATE(K$5," Value"),'FY Q&amp;V 2003-04 to Now'!$A$8:$CN$8,0))),TRUE)/1000000)</f>
        <v>72376.100405714373</v>
      </c>
      <c r="L17" s="1555">
        <f ca="1">IF($A$4="Select: Calendar Year",INDIRECT(CONCATENATE("'CY Q&amp;V 2004-Now'!",ADDRESS(MATCH("TOTAL VALUE",'CY Q&amp;V 2004-Now'!$A$1:$A$107,0),MATCH(CONCATENATE(L$5," Value"),'CY Q&amp;V 2004-Now'!$A$8:$CP$8,0))),TRUE)/1000000,INDIRECT(CONCATENATE("'FY Q&amp;V 2003-04 to Now'!",ADDRESS(MATCH("TOTAL VALUE",'FY Q&amp;V 2003-04 to Now'!$A$1:$A$105,0),MATCH(CONCATENATE(L$5," Value"),'FY Q&amp;V 2003-04 to Now'!$A$8:$CN$8,0))),TRUE)/1000000)</f>
        <v>61248.279456531993</v>
      </c>
      <c r="M17" s="1555">
        <f ca="1">IF($A$4="Select: Calendar Year",INDIRECT(CONCATENATE("'CY Q&amp;V 2004-Now'!",ADDRESS(MATCH("TOTAL VALUE",'CY Q&amp;V 2004-Now'!$A$1:$A$107,0),MATCH(CONCATENATE(M$5," Value"),'CY Q&amp;V 2004-Now'!$A$8:$CP$8,0))),TRUE)/1000000,INDIRECT(CONCATENATE("'FY Q&amp;V 2003-04 to Now'!",ADDRESS(MATCH("TOTAL VALUE",'FY Q&amp;V 2003-04 to Now'!$A$1:$A$105,0),MATCH(CONCATENATE(M$5," Value"),'FY Q&amp;V 2003-04 to Now'!$A$8:$CN$8,0))),TRUE)/1000000)</f>
        <v>93229.98781862804</v>
      </c>
      <c r="N17" s="1555">
        <f ca="1">IF($A$4="Select: Calendar Year",INDIRECT(CONCATENATE("'CY Q&amp;V 2004-Now'!",ADDRESS(MATCH("TOTAL VALUE",'CY Q&amp;V 2004-Now'!$A$1:$A$107,0),MATCH(CONCATENATE(N$5," Value"),'CY Q&amp;V 2004-Now'!$A$8:$CP$8,0))),TRUE)/1000000,INDIRECT(CONCATENATE("'FY Q&amp;V 2003-04 to Now'!",ADDRESS(MATCH("TOTAL VALUE",'FY Q&amp;V 2003-04 to Now'!$A$1:$A$105,0),MATCH(CONCATENATE(N$5," Value"),'FY Q&amp;V 2003-04 to Now'!$A$8:$CN$8,0))),TRUE)/1000000)</f>
        <v>106574.49032550663</v>
      </c>
      <c r="O17" s="1555">
        <f ca="1">IF($A$4="Select: Calendar Year",INDIRECT(CONCATENATE("'CY Q&amp;V 2004-Now'!",ADDRESS(MATCH("TOTAL VALUE",'CY Q&amp;V 2004-Now'!$A$1:$A$107,0),MATCH(CONCATENATE(O$5," Value"),'CY Q&amp;V 2004-Now'!$A$8:$CP$8,0))),TRUE)/1000000,INDIRECT(CONCATENATE("'FY Q&amp;V 2003-04 to Now'!",ADDRESS(MATCH("TOTAL VALUE",'FY Q&amp;V 2003-04 to Now'!$A$1:$A$105,0),MATCH(CONCATENATE(O$5," Value"),'FY Q&amp;V 2003-04 to Now'!$A$8:$CN$8,0))),TRUE)/1000000)</f>
        <v>98910.14976333805</v>
      </c>
      <c r="P17" s="1555">
        <f ca="1">IF($A$4="Select: Calendar Year",INDIRECT(CONCATENATE("'CY Q&amp;V 2004-Now'!",ADDRESS(MATCH("TOTAL VALUE",'CY Q&amp;V 2004-Now'!$A$1:$A$107,0),MATCH(CONCATENATE(P$5," Value"),'CY Q&amp;V 2004-Now'!$A$8:$CP$8,0))),TRUE)/1000000,INDIRECT(CONCATENATE("'FY Q&amp;V 2003-04 to Now'!",ADDRESS(MATCH("TOTAL VALUE",'FY Q&amp;V 2003-04 to Now'!$A$1:$A$105,0),MATCH(CONCATENATE(P$5," Value"),'FY Q&amp;V 2003-04 to Now'!$A$8:$CN$8,0))),TRUE)/1000000)</f>
        <v>116125.37714316099</v>
      </c>
      <c r="Q17" s="1555">
        <f ca="1">IF($A$4="Select: Calendar Year",INDIRECT(CONCATENATE("'CY Q&amp;V 2004-Now'!",ADDRESS(MATCH("TOTAL VALUE",'CY Q&amp;V 2004-Now'!$A$1:$A$107,0),MATCH(CONCATENATE(Q$5," Value"),'CY Q&amp;V 2004-Now'!$A$8:$CP$8,0))),TRUE)/1000000,INDIRECT(CONCATENATE("'FY Q&amp;V 2003-04 to Now'!",ADDRESS(MATCH("TOTAL VALUE",'FY Q&amp;V 2003-04 to Now'!$A$1:$A$105,0),MATCH(CONCATENATE(Q$5," Value"),'FY Q&amp;V 2003-04 to Now'!$A$8:$CN$8,0))),TRUE)/1000000)</f>
        <v>112409.62867555481</v>
      </c>
      <c r="R17" s="1555">
        <f ca="1">IF($A$4="Select: Calendar Year",INDIRECT(CONCATENATE("'CY Q&amp;V 2004-Now'!",ADDRESS(MATCH("TOTAL VALUE",'CY Q&amp;V 2004-Now'!$A$1:$A$107,0),MATCH(CONCATENATE(R$5," Value"),'CY Q&amp;V 2004-Now'!$A$8:$CP$8,0))),TRUE)/1000000,INDIRECT(CONCATENATE("'FY Q&amp;V 2003-04 to Now'!",ADDRESS(MATCH("TOTAL VALUE",'FY Q&amp;V 2003-04 to Now'!$A$1:$A$105,0),MATCH(CONCATENATE(R$5," Value"),'FY Q&amp;V 2003-04 to Now'!$A$8:$CN$8,0))),TRUE)/1000000)</f>
        <v>91294.792426738451</v>
      </c>
      <c r="S17" s="1555">
        <f ca="1">IF($A$4="Select: Calendar Year",INDIRECT(CONCATENATE("'CY Q&amp;V 2004-Now'!",ADDRESS(MATCH("TOTAL VALUE",'CY Q&amp;V 2004-Now'!$A$1:$A$107,0),MATCH(CONCATENATE(S$5," Value"),'CY Q&amp;V 2004-Now'!$A$8:$CP$8,0))),TRUE)/1000000,INDIRECT(CONCATENATE("'FY Q&amp;V 2003-04 to Now'!",ADDRESS(MATCH("TOTAL VALUE",'FY Q&amp;V 2003-04 to Now'!$A$1:$A$105,0),MATCH(CONCATENATE(S$5," Value"),'FY Q&amp;V 2003-04 to Now'!$A$8:$CN$8,0))),TRUE)/1000000)</f>
        <v>94068.064353575101</v>
      </c>
      <c r="T17" s="1555">
        <f ca="1">IF($A$4="Select: Calendar Year",INDIRECT(CONCATENATE("'CY Q&amp;V 2004-Now'!",ADDRESS(MATCH("TOTAL VALUE",'CY Q&amp;V 2004-Now'!$A$1:$A$107,0),MATCH(CONCATENATE(T$5," Value"),'CY Q&amp;V 2004-Now'!$A$8:$CP$8,0))),TRUE)/1000000,INDIRECT(CONCATENATE("'FY Q&amp;V 2003-04 to Now'!",ADDRESS(MATCH("TOTAL VALUE",'FY Q&amp;V 2003-04 to Now'!$A$1:$A$105,0),MATCH(CONCATENATE(T$5," Value"),'FY Q&amp;V 2003-04 to Now'!$A$8:$CN$8,0))),TRUE)/1000000)</f>
        <v>110215.7246540684</v>
      </c>
      <c r="U17" s="1555">
        <f ca="1">IF($A$4="Select: Calendar Year",INDIRECT(CONCATENATE("'CY Q&amp;V 2004-Now'!",ADDRESS(MATCH("TOTAL VALUE",'CY Q&amp;V 2004-Now'!$A$1:$A$107,0),MATCH(CONCATENATE(U$5," Value"),'CY Q&amp;V 2004-Now'!$A$8:$CP$8,0))),TRUE)/1000000,INDIRECT(CONCATENATE("'FY Q&amp;V 2003-04 to Now'!",ADDRESS(MATCH("TOTAL VALUE",'FY Q&amp;V 2003-04 to Now'!$A$1:$A$105,0),MATCH(CONCATENATE(U$5," Value"),'FY Q&amp;V 2003-04 to Now'!$A$8:$CN$8,0))),TRUE)/1000000)</f>
        <v>130297.37552949975</v>
      </c>
      <c r="V17" s="1555">
        <f ca="1">IF($A$4="Select: Calendar Year",INDIRECT(CONCATENATE("'CY Q&amp;V 2004-Now'!",ADDRESS(MATCH("TOTAL VALUE",'CY Q&amp;V 2004-Now'!$A$1:$A$107,0),MATCH(CONCATENATE(V$5," Value"),'CY Q&amp;V 2004-Now'!$A$8:$CP$8,0))),TRUE)/1000000,INDIRECT(CONCATENATE("'FY Q&amp;V 2003-04 to Now'!",ADDRESS(MATCH("TOTAL VALUE",'FY Q&amp;V 2003-04 to Now'!$A$1:$A$105,0),MATCH(CONCATENATE(V$5," Value"),'FY Q&amp;V 2003-04 to Now'!$A$8:$CN$8,0))),TRUE)/1000000)</f>
        <v>167346.46777982087</v>
      </c>
      <c r="Z17" s="797"/>
    </row>
    <row r="18" spans="1:26">
      <c r="A18" s="428"/>
      <c r="B18" s="429"/>
      <c r="C18" s="797"/>
      <c r="J18" s="1378">
        <f ca="1">(56.1-41.8)/(((S17-J17)-(S13-K13))/1000)</f>
        <v>0.40926506171695204</v>
      </c>
      <c r="R18" s="797"/>
      <c r="Z18" s="797"/>
    </row>
    <row r="19" spans="1:26">
      <c r="Z19" s="797"/>
    </row>
    <row r="20" spans="1:26">
      <c r="Z20" s="797"/>
    </row>
    <row r="23" spans="1:26">
      <c r="Z23" s="797"/>
    </row>
    <row r="33" spans="4:4">
      <c r="D33" s="430"/>
    </row>
    <row r="59" spans="9:22">
      <c r="I59" s="537"/>
      <c r="J59" s="537"/>
      <c r="K59" s="537"/>
      <c r="L59" s="537"/>
      <c r="M59" s="537"/>
      <c r="N59" s="537"/>
      <c r="O59" s="537"/>
      <c r="P59" s="537"/>
      <c r="Q59" s="537"/>
      <c r="R59" s="537"/>
      <c r="S59" s="537"/>
      <c r="T59" s="537"/>
      <c r="U59" s="537"/>
      <c r="V59" s="537"/>
    </row>
    <row r="60" spans="9:22">
      <c r="I60" s="537"/>
      <c r="J60" s="537"/>
      <c r="K60" s="537"/>
      <c r="L60" s="537"/>
      <c r="M60" s="537"/>
      <c r="N60" s="537"/>
      <c r="O60" s="537"/>
      <c r="P60" s="537"/>
      <c r="Q60" s="537"/>
      <c r="R60" s="537"/>
      <c r="S60" s="537"/>
      <c r="T60" s="537"/>
      <c r="U60" s="537"/>
      <c r="V60" s="537"/>
    </row>
    <row r="61" spans="9:22">
      <c r="I61" s="537"/>
      <c r="J61" s="537"/>
      <c r="K61" s="537"/>
      <c r="L61" s="537"/>
      <c r="M61" s="537"/>
      <c r="N61" s="537"/>
      <c r="O61" s="537"/>
      <c r="P61" s="537"/>
      <c r="Q61" s="537"/>
      <c r="R61" s="537"/>
      <c r="S61" s="537"/>
      <c r="T61" s="537"/>
      <c r="U61" s="537"/>
      <c r="V61" s="537"/>
    </row>
    <row r="62" spans="9:22">
      <c r="I62" s="537"/>
      <c r="J62" s="537"/>
      <c r="K62" s="537"/>
      <c r="L62" s="537"/>
      <c r="M62" s="537"/>
      <c r="N62" s="537"/>
      <c r="O62" s="537"/>
      <c r="P62" s="537"/>
      <c r="Q62" s="537"/>
      <c r="R62" s="537"/>
      <c r="S62" s="537"/>
      <c r="T62" s="537"/>
      <c r="U62" s="537"/>
      <c r="V62" s="537"/>
    </row>
    <row r="63" spans="9:22">
      <c r="I63" s="537"/>
      <c r="J63" s="537"/>
      <c r="K63" s="537"/>
      <c r="L63" s="537"/>
      <c r="M63" s="537"/>
      <c r="N63" s="537"/>
      <c r="O63" s="537"/>
      <c r="P63" s="537"/>
      <c r="Q63" s="537"/>
      <c r="R63" s="537"/>
      <c r="S63" s="537"/>
      <c r="T63" s="537"/>
      <c r="U63" s="537"/>
      <c r="V63" s="537"/>
    </row>
    <row r="64" spans="9:22">
      <c r="I64" s="537"/>
      <c r="J64" s="537"/>
      <c r="K64" s="537"/>
      <c r="L64" s="537"/>
      <c r="M64" s="537"/>
      <c r="N64" s="537"/>
      <c r="O64" s="537"/>
      <c r="P64" s="537"/>
      <c r="Q64" s="537"/>
      <c r="R64" s="537"/>
      <c r="S64" s="537"/>
      <c r="T64" s="537"/>
      <c r="U64" s="537"/>
      <c r="V64" s="537"/>
    </row>
    <row r="65" spans="1:25">
      <c r="I65" s="537"/>
      <c r="J65" s="537"/>
      <c r="K65" s="537"/>
      <c r="L65" s="537"/>
      <c r="M65" s="537"/>
      <c r="N65" s="537"/>
      <c r="O65" s="537"/>
      <c r="P65" s="537"/>
      <c r="Q65" s="537"/>
      <c r="R65" s="537"/>
      <c r="S65" s="537"/>
      <c r="T65" s="537"/>
      <c r="U65" s="537"/>
      <c r="V65" s="537"/>
    </row>
    <row r="66" spans="1:25">
      <c r="I66" s="537"/>
      <c r="J66" s="537"/>
      <c r="K66" s="537"/>
      <c r="L66" s="537"/>
      <c r="M66" s="537"/>
      <c r="N66" s="537"/>
      <c r="O66" s="537"/>
      <c r="P66" s="537"/>
      <c r="Q66" s="537"/>
      <c r="R66" s="537"/>
      <c r="S66" s="537"/>
      <c r="T66" s="537"/>
      <c r="U66" s="537"/>
      <c r="V66" s="537"/>
    </row>
    <row r="67" spans="1:25">
      <c r="H67" s="431"/>
      <c r="I67" s="431"/>
      <c r="J67" s="431"/>
      <c r="K67" s="431"/>
      <c r="L67" s="431"/>
      <c r="M67" s="431"/>
      <c r="N67" s="431"/>
      <c r="O67" s="431"/>
      <c r="P67" s="431"/>
      <c r="Q67" s="431"/>
      <c r="R67" s="431"/>
      <c r="S67" s="431"/>
      <c r="T67" s="431"/>
      <c r="U67" s="431"/>
      <c r="V67" s="431"/>
      <c r="W67" s="431"/>
    </row>
    <row r="68" spans="1:25">
      <c r="H68" s="431"/>
      <c r="I68" s="431"/>
      <c r="J68" s="431"/>
      <c r="K68" s="431"/>
      <c r="L68" s="431"/>
      <c r="M68" s="431"/>
      <c r="N68" s="431"/>
      <c r="O68" s="431"/>
      <c r="P68" s="431"/>
      <c r="Q68" s="431"/>
      <c r="R68" s="431"/>
      <c r="S68" s="431"/>
      <c r="T68" s="431"/>
      <c r="U68" s="431"/>
      <c r="V68" s="431"/>
      <c r="W68" s="431"/>
    </row>
    <row r="69" spans="1:25">
      <c r="H69" s="431"/>
      <c r="I69" s="431"/>
      <c r="J69" s="431"/>
      <c r="K69" s="431"/>
      <c r="L69" s="431"/>
      <c r="M69" s="431"/>
      <c r="N69" s="431"/>
      <c r="O69" s="431"/>
      <c r="P69" s="431"/>
      <c r="Q69" s="431"/>
      <c r="R69" s="431"/>
      <c r="S69" s="431"/>
      <c r="T69" s="431"/>
      <c r="U69" s="431"/>
      <c r="V69" s="431"/>
      <c r="W69" s="431"/>
    </row>
    <row r="70" spans="1:25">
      <c r="H70" s="431"/>
      <c r="I70" s="431"/>
      <c r="J70" s="431"/>
      <c r="K70" s="431"/>
      <c r="L70" s="431"/>
      <c r="M70" s="431"/>
      <c r="N70" s="431"/>
      <c r="O70" s="431"/>
      <c r="P70" s="431"/>
      <c r="Q70" s="431"/>
      <c r="R70" s="431"/>
      <c r="S70" s="431"/>
      <c r="T70" s="431"/>
      <c r="U70" s="431"/>
      <c r="V70" s="431"/>
      <c r="W70" s="431"/>
    </row>
    <row r="71" spans="1:25">
      <c r="H71" s="431"/>
      <c r="I71" s="431"/>
      <c r="J71" s="431"/>
      <c r="K71" s="431"/>
      <c r="L71" s="431"/>
      <c r="M71" s="431"/>
      <c r="N71" s="431"/>
      <c r="O71" s="431"/>
      <c r="P71" s="431"/>
      <c r="Q71" s="431"/>
      <c r="R71" s="431"/>
      <c r="S71" s="431"/>
      <c r="T71" s="431"/>
      <c r="U71" s="431"/>
      <c r="V71" s="431"/>
      <c r="W71" s="431"/>
    </row>
    <row r="72" spans="1:25">
      <c r="A72" s="630"/>
      <c r="B72" s="630"/>
      <c r="C72" s="630"/>
      <c r="D72" s="630"/>
      <c r="E72" s="630"/>
      <c r="F72" s="630"/>
      <c r="G72" s="630"/>
      <c r="H72" s="431"/>
      <c r="I72" s="431"/>
      <c r="J72" s="431"/>
      <c r="K72" s="431"/>
      <c r="L72" s="431"/>
      <c r="M72" s="431"/>
      <c r="N72" s="431"/>
      <c r="O72" s="431"/>
      <c r="P72" s="431"/>
      <c r="Q72" s="431"/>
      <c r="R72" s="431"/>
      <c r="S72" s="431"/>
      <c r="T72" s="431"/>
      <c r="U72" s="431"/>
      <c r="V72" s="431"/>
      <c r="W72" s="431"/>
      <c r="X72" s="630"/>
      <c r="Y72" s="630"/>
    </row>
    <row r="73" spans="1:25">
      <c r="A73" s="630"/>
      <c r="B73" s="630"/>
      <c r="C73" s="630"/>
      <c r="D73" s="630"/>
      <c r="E73" s="875" t="s">
        <v>548</v>
      </c>
      <c r="F73" s="431"/>
      <c r="G73" s="431"/>
      <c r="H73" s="431"/>
      <c r="I73" s="431"/>
      <c r="J73" s="431">
        <f ca="1">IF($E$75="FY",IF($A$4="Select: Calendar Year",INDIRECT(CONCATENATE("R5C",MATCH(MAX($B$4:$EL$4),$A$4:$EL$4,0)),FALSE)-10,INDIRECT(CONCATENATE("R5C",MATCH(MAX($B$4:$EL$4)-9,$A$4:$EL$4,0)),FALSE)),INDIRECT(CONCATENATE("R5C",MATCH(MAX($B$4:$EL$4)-9,$A$4:$EL$4,0)),FALSE))</f>
        <v>2010</v>
      </c>
      <c r="K73" s="431">
        <f ca="1">IF($E$75="FY",IF($A$4="Select: Calendar Year",INDIRECT(CONCATENATE("R5C",MATCH(MAX($B$4:$EL$4),$A$4:$EL$4,0)),FALSE)-9,INDIRECT(CONCATENATE("R5C",MATCH(MAX($B$4:$EL$4)-8,$A$4:$EL$4,0)),FALSE)),INDIRECT(CONCATENATE("R5C",MATCH(MAX($B$4:$EL$4)-8,$A$4:$EL$4,0)),FALSE))</f>
        <v>2011</v>
      </c>
      <c r="L73" s="431">
        <f ca="1">IF($E$75="FY",IF($A$4="Select: Calendar Year",INDIRECT(CONCATENATE("R5C",MATCH(MAX($B$4:$EL$4),$A$4:$EL$4,0)),FALSE)-8,INDIRECT(CONCATENATE("R5C",MATCH(MAX($B$4:$EL$4)-7,$A$4:$EL$4,0)),FALSE)),INDIRECT(CONCATENATE("R5C",MATCH(MAX($B$4:$EL$4)-7,$A$4:$EL$4,0)),FALSE))</f>
        <v>2012</v>
      </c>
      <c r="M73" s="431">
        <f ca="1">IF($E$75="FY",IF($A$4="Select: Calendar Year",INDIRECT(CONCATENATE("R5C",MATCH(MAX($B$4:$EL$4),$A$4:$EL$4,0)),FALSE)-7,INDIRECT(CONCATENATE("R5C",MATCH(MAX($B$4:$EL$4)-6,$A$4:$EL$4,0)),FALSE)),INDIRECT(CONCATENATE("R5C",MATCH(MAX($B$4:$EL$4)-6,$A$4:$EL$4,0)),FALSE))</f>
        <v>2013</v>
      </c>
      <c r="N73" s="431">
        <f ca="1">IF($E$75="FY",IF($A$4="Select: Calendar Year",INDIRECT(CONCATENATE("R5C",MATCH(MAX($B$4:$EL$4),$A$4:$EL$4,0)),FALSE)-6,INDIRECT(CONCATENATE("R5C",MATCH(MAX($B$4:$EL$4)-5,$A$4:$EL$4,0)),FALSE)),INDIRECT(CONCATENATE("R5C",MATCH(MAX($B$4:$EL$4)-5,$A$4:$EL$4,0)),FALSE))</f>
        <v>2014</v>
      </c>
      <c r="O73" s="431">
        <f ca="1">IF($E$75="FY",IF($A$4="Select: Calendar Year",INDIRECT(CONCATENATE("R5C",MATCH(MAX($B$4:$EL$4),$A$4:$EL$4,0)),FALSE)-5,INDIRECT(CONCATENATE("R5C",MATCH(MAX($B$4:$EL$4)-4,$A$4:$EL$4,0)),FALSE)),INDIRECT(CONCATENATE("R5C",MATCH(MAX($B$4:$EL$4)-4,$A$4:$EL$4,0)),FALSE))</f>
        <v>2015</v>
      </c>
      <c r="P73" s="431">
        <f ca="1">IF($E$75="FY",IF($A$4="Select: Calendar Year",INDIRECT(CONCATENATE("R5C",MATCH(MAX($B$4:$EL$4),$A$4:$EL$4,0)),FALSE)-4,INDIRECT(CONCATENATE("R5C",MATCH(MAX($B$4:$EL$4)-3,$A$4:$EL$4,0)),FALSE)),INDIRECT(CONCATENATE("R5C",MATCH(MAX($B$4:$EL$4)-3,$A$4:$EL$4,0)),FALSE))</f>
        <v>2016</v>
      </c>
      <c r="Q73" s="431">
        <f ca="1">IF($E$75="FY",IF($A$4="Select: Calendar Year",INDIRECT(CONCATENATE("R5C",MATCH(MAX($B$4:$EL$4),$A$4:$EL$4,0)),FALSE)-3,INDIRECT(CONCATENATE("R5C",MATCH(MAX($B$4:$EL$4)-2,$A$4:$EL$4,0)),FALSE)),INDIRECT(CONCATENATE("R5C",MATCH(MAX($B$4:$EL$4)-2,$A$4:$EL$4,0)),FALSE))</f>
        <v>2017</v>
      </c>
      <c r="R73" s="431">
        <f ca="1">IF($E$75="FY",IF($A$4="Select: Calendar Year",INDIRECT(CONCATENATE("R5C",MATCH(MAX($B$4:$EL$4),$A$4:$EL$4,0)),FALSE)-2,INDIRECT(CONCATENATE("R5C",MATCH(MAX($B$4:$EL$4)-1,$A$4:$EL$4,0)),FALSE)),INDIRECT(CONCATENATE("R5C",MATCH(MAX($B$4:$EL$4)-1,$A$4:$EL$4,0)),FALSE))</f>
        <v>2018</v>
      </c>
      <c r="S73" s="431">
        <f ca="1">IF($E$75="FY",IF($A$4="Select: Calendar Year",INDIRECT(CONCATENATE("R5C",MATCH(MAX($B$4:$EL$4),$A$4:$EL$4,0)),FALSE)-1,INDIRECT(CONCATENATE("R5C",MATCH(MAX($B$4:$EL$4),$A$4:$EL$4,0)),FALSE)),INDIRECT(CONCATENATE("R5C",MATCH(MAX($B$4:$EL$4),$A$4:$EL$4,0)),FALSE))</f>
        <v>2019</v>
      </c>
      <c r="T73" s="431"/>
      <c r="U73" s="431"/>
      <c r="V73" s="431"/>
      <c r="W73" s="431"/>
      <c r="X73" s="630"/>
      <c r="Y73" s="630"/>
    </row>
    <row r="74" spans="1:25">
      <c r="A74" s="630"/>
      <c r="B74" s="630"/>
      <c r="C74" s="630"/>
      <c r="D74" s="630"/>
      <c r="E74" s="875" t="s">
        <v>549</v>
      </c>
      <c r="F74" s="431"/>
      <c r="G74" s="431"/>
      <c r="H74" s="431"/>
      <c r="I74" s="431"/>
      <c r="J74" s="431">
        <f t="shared" ref="J74:Q74" ca="1" si="2">HLOOKUP(J73,$B$5:$AT$17,3)</f>
        <v>92.182259810000005</v>
      </c>
      <c r="K74" s="431">
        <f t="shared" ca="1" si="2"/>
        <v>117.3272889</v>
      </c>
      <c r="L74" s="431">
        <f t="shared" ca="1" si="2"/>
        <v>162.18938188999999</v>
      </c>
      <c r="M74" s="431">
        <f t="shared" ca="1" si="2"/>
        <v>169.28654441999998</v>
      </c>
      <c r="N74" s="431">
        <f t="shared" ca="1" si="2"/>
        <v>201.517762</v>
      </c>
      <c r="O74" s="431">
        <f t="shared" ca="1" si="2"/>
        <v>240.17827200000002</v>
      </c>
      <c r="P74" s="431">
        <f t="shared" ca="1" si="2"/>
        <v>293.85964200000001</v>
      </c>
      <c r="Q74" s="431">
        <f t="shared" ca="1" si="2"/>
        <v>1198.5285669999998</v>
      </c>
      <c r="R74" s="431">
        <f ca="1">HLOOKUP(R73,$B$5:$AT$17,3)</f>
        <v>1862.9575689999999</v>
      </c>
      <c r="S74" s="431">
        <f ca="1">HLOOKUP($S$73,$B$5:$AT$17,3)</f>
        <v>1345.7890170000001</v>
      </c>
      <c r="T74" s="432" t="s">
        <v>732</v>
      </c>
      <c r="U74" s="431"/>
      <c r="V74" s="431"/>
      <c r="W74" s="431"/>
      <c r="X74" s="630"/>
      <c r="Y74" s="630"/>
    </row>
    <row r="75" spans="1:25">
      <c r="A75" s="630"/>
      <c r="B75" s="630"/>
      <c r="C75" s="630"/>
      <c r="D75" s="630"/>
      <c r="E75" s="875" t="str">
        <f ca="1">IF(INDIRECT(CONCATENATE("'Alumina - Q&amp;V'!$E$",MATCH(MAX('Alumina - Q&amp;V'!$A$8:$A$251),'Alumina - Q&amp;V'!$A$1:$A$251,0)))="2","FY","CY")</f>
        <v>CY</v>
      </c>
      <c r="F75" s="431"/>
      <c r="G75" s="431"/>
      <c r="H75" s="431"/>
      <c r="I75" s="431"/>
      <c r="J75" s="431">
        <f t="shared" ref="J75:Q75" ca="1" si="3">HLOOKUP(J73,$B$5:$AT$17,4)</f>
        <v>526.47051544375756</v>
      </c>
      <c r="K75" s="431">
        <f t="shared" ca="1" si="3"/>
        <v>591.6221046056703</v>
      </c>
      <c r="L75" s="431">
        <f t="shared" ca="1" si="3"/>
        <v>970.8070320666061</v>
      </c>
      <c r="M75" s="431">
        <f t="shared" ca="1" si="3"/>
        <v>645.16523759951519</v>
      </c>
      <c r="N75" s="431">
        <f t="shared" ca="1" si="3"/>
        <v>405.23803386666663</v>
      </c>
      <c r="O75" s="431">
        <f t="shared" ca="1" si="3"/>
        <v>586.41359736441711</v>
      </c>
      <c r="P75" s="431">
        <f t="shared" ca="1" si="3"/>
        <v>612.46402801084832</v>
      </c>
      <c r="Q75" s="431">
        <f t="shared" ca="1" si="3"/>
        <v>513.50916281765262</v>
      </c>
      <c r="R75" s="431">
        <f ca="1">HLOOKUP(R73,$B$5:$AT$17,4)</f>
        <v>628.09778739685089</v>
      </c>
      <c r="S75" s="431">
        <f ca="1">HLOOKUP($S$73,$B$5:$AT$17,4)</f>
        <v>668.67931226340795</v>
      </c>
      <c r="T75" s="432" t="s">
        <v>538</v>
      </c>
      <c r="U75" s="431"/>
      <c r="V75" s="431"/>
      <c r="W75" s="431"/>
      <c r="X75" s="630"/>
      <c r="Y75" s="630"/>
    </row>
    <row r="76" spans="1:25">
      <c r="A76" s="630"/>
      <c r="B76" s="630"/>
      <c r="C76" s="630"/>
      <c r="D76" s="630"/>
      <c r="E76" s="431"/>
      <c r="F76" s="431"/>
      <c r="G76" s="431"/>
      <c r="H76" s="431"/>
      <c r="I76" s="431"/>
      <c r="J76" s="431">
        <f t="shared" ref="J76:Q76" ca="1" si="4">HLOOKUP(J73,$B$5:$AT$17,5)</f>
        <v>1620.6769831199999</v>
      </c>
      <c r="K76" s="431">
        <f t="shared" ca="1" si="4"/>
        <v>1367.8412058399999</v>
      </c>
      <c r="L76" s="431">
        <f t="shared" ca="1" si="4"/>
        <v>1494.2869990700001</v>
      </c>
      <c r="M76" s="431">
        <f t="shared" ca="1" si="4"/>
        <v>1705.1024500199999</v>
      </c>
      <c r="N76" s="431">
        <f t="shared" ca="1" si="4"/>
        <v>1759.2699549999998</v>
      </c>
      <c r="O76" s="431">
        <f t="shared" ca="1" si="4"/>
        <v>1478.4855849999999</v>
      </c>
      <c r="P76" s="431">
        <f t="shared" ca="1" si="4"/>
        <v>1405.7598539999999</v>
      </c>
      <c r="Q76" s="431">
        <f t="shared" ca="1" si="4"/>
        <v>1566.3109159999999</v>
      </c>
      <c r="R76" s="431">
        <f ca="1">HLOOKUP(R73,$B$5:$AT$17,5)</f>
        <v>1623.7904109999999</v>
      </c>
      <c r="S76" s="431">
        <f ca="1">HLOOKUP($S$73,$B$5:$AT$17,5)</f>
        <v>1661.8022630000003</v>
      </c>
      <c r="T76" s="432" t="s">
        <v>350</v>
      </c>
      <c r="U76" s="431"/>
      <c r="V76" s="431"/>
      <c r="W76" s="431"/>
      <c r="X76" s="630"/>
      <c r="Y76" s="630"/>
    </row>
    <row r="77" spans="1:25">
      <c r="A77" s="630"/>
      <c r="B77" s="630"/>
      <c r="C77" s="630"/>
      <c r="D77" s="630"/>
      <c r="E77" s="431"/>
      <c r="F77" s="431"/>
      <c r="G77" s="431"/>
      <c r="H77" s="431"/>
      <c r="I77" s="431"/>
      <c r="J77" s="431">
        <f t="shared" ref="J77:Q77" ca="1" si="5">HLOOKUP(J73,$B$5:$AT$17,6)</f>
        <v>2154.4981140157179</v>
      </c>
      <c r="K77" s="431">
        <f t="shared" ca="1" si="5"/>
        <v>2167.006065945493</v>
      </c>
      <c r="L77" s="431">
        <f t="shared" ca="1" si="5"/>
        <v>2199.6976601907572</v>
      </c>
      <c r="M77" s="431">
        <f t="shared" ca="1" si="5"/>
        <v>2159.5916312923355</v>
      </c>
      <c r="N77" s="431">
        <f t="shared" ca="1" si="5"/>
        <v>1800.2671767128513</v>
      </c>
      <c r="O77" s="431">
        <f t="shared" ca="1" si="5"/>
        <v>2115.6317266012284</v>
      </c>
      <c r="P77" s="431">
        <f t="shared" ca="1" si="5"/>
        <v>2204.2453767012025</v>
      </c>
      <c r="Q77" s="431">
        <f t="shared" ca="1" si="5"/>
        <v>2034.3022590324654</v>
      </c>
      <c r="R77" s="431">
        <f ca="1">HLOOKUP(R73,$B$5:$AT$17,6)</f>
        <v>1933.8924281366226</v>
      </c>
      <c r="S77" s="431">
        <f ca="1">HLOOKUP($S$73,$B$5:$AT$17,6)</f>
        <v>1972.2443453218998</v>
      </c>
      <c r="T77" s="432" t="s">
        <v>351</v>
      </c>
      <c r="U77" s="431"/>
      <c r="V77" s="431"/>
      <c r="W77" s="431"/>
      <c r="X77" s="630"/>
      <c r="Y77" s="630"/>
    </row>
    <row r="78" spans="1:25">
      <c r="A78" s="630"/>
      <c r="B78" s="630"/>
      <c r="C78" s="630"/>
      <c r="D78" s="630"/>
      <c r="E78" s="431"/>
      <c r="F78" s="431"/>
      <c r="G78" s="431"/>
      <c r="H78" s="431"/>
      <c r="I78" s="431"/>
      <c r="J78" s="431">
        <f t="shared" ref="J78:Q78" ca="1" si="6">HLOOKUP(J73,$B$5:$AT$17,7)</f>
        <v>4732.3475070000004</v>
      </c>
      <c r="K78" s="431">
        <f t="shared" ca="1" si="6"/>
        <v>4090.1816960000001</v>
      </c>
      <c r="L78" s="431">
        <f t="shared" ca="1" si="6"/>
        <v>3972.3238646999998</v>
      </c>
      <c r="M78" s="431">
        <f t="shared" ca="1" si="6"/>
        <v>3572.7518341</v>
      </c>
      <c r="N78" s="431">
        <f t="shared" ca="1" si="6"/>
        <v>3792.2851679999999</v>
      </c>
      <c r="O78" s="431">
        <f t="shared" ca="1" si="6"/>
        <v>2771.3924899999997</v>
      </c>
      <c r="P78" s="431">
        <f t="shared" ca="1" si="6"/>
        <v>2310.2483969999998</v>
      </c>
      <c r="Q78" s="431">
        <f t="shared" ca="1" si="6"/>
        <v>2665.4837330000005</v>
      </c>
      <c r="R78" s="431">
        <f ca="1">HLOOKUP(R73,$B$5:$AT$17,7)</f>
        <v>3143.3057869999998</v>
      </c>
      <c r="S78" s="431">
        <f ca="1">HLOOKUP($S$73,$B$5:$AT$17,7)</f>
        <v>3403.2250650000001</v>
      </c>
      <c r="T78" s="432" t="s">
        <v>352</v>
      </c>
      <c r="U78" s="431"/>
      <c r="V78" s="431"/>
      <c r="W78" s="431"/>
      <c r="X78" s="630"/>
      <c r="Y78" s="630"/>
    </row>
    <row r="79" spans="1:25">
      <c r="A79" s="630"/>
      <c r="B79" s="630"/>
      <c r="C79" s="630"/>
      <c r="D79" s="630"/>
      <c r="E79" s="431"/>
      <c r="F79" s="431"/>
      <c r="G79" s="431"/>
      <c r="H79" s="431"/>
      <c r="I79" s="431"/>
      <c r="J79" s="431">
        <f t="shared" ref="J79:Q79" ca="1" si="7">HLOOKUP(J73,$B$5:$AT$17,8)</f>
        <v>3959.4147508300002</v>
      </c>
      <c r="K79" s="431">
        <f t="shared" ca="1" si="7"/>
        <v>4189.4656789399996</v>
      </c>
      <c r="L79" s="431">
        <f t="shared" ca="1" si="7"/>
        <v>3831.1474728899998</v>
      </c>
      <c r="M79" s="431">
        <f t="shared" ca="1" si="7"/>
        <v>4147.0508934999998</v>
      </c>
      <c r="N79" s="431">
        <f t="shared" ca="1" si="7"/>
        <v>4561.7391589999997</v>
      </c>
      <c r="O79" s="431">
        <f t="shared" ca="1" si="7"/>
        <v>5290.3826120000003</v>
      </c>
      <c r="P79" s="431">
        <f t="shared" ca="1" si="7"/>
        <v>4590.6042449999986</v>
      </c>
      <c r="Q79" s="431">
        <f t="shared" ca="1" si="7"/>
        <v>5878.7310669999997</v>
      </c>
      <c r="R79" s="431">
        <f ca="1">HLOOKUP(R73,$B$5:$AT$17,8)</f>
        <v>7924.8548730000002</v>
      </c>
      <c r="S79" s="431">
        <f ca="1">HLOOKUP($S$73,$B$5:$AT$17,8)</f>
        <v>7358.9849519999998</v>
      </c>
      <c r="T79" s="432" t="s">
        <v>578</v>
      </c>
      <c r="U79" s="431"/>
      <c r="V79" s="431"/>
      <c r="W79" s="431"/>
      <c r="X79" s="630"/>
      <c r="Y79" s="630"/>
    </row>
    <row r="80" spans="1:25">
      <c r="A80" s="630"/>
      <c r="B80" s="630"/>
      <c r="C80" s="630"/>
      <c r="D80" s="630"/>
      <c r="E80" s="431"/>
      <c r="F80" s="431"/>
      <c r="G80" s="431"/>
      <c r="H80" s="431"/>
      <c r="I80" s="431"/>
      <c r="J80" s="431">
        <f t="shared" ref="J80:Q80" ca="1" si="8">HLOOKUP(J73,$B$5:$AT$17,9)</f>
        <v>7849.1314590000002</v>
      </c>
      <c r="K80" s="431">
        <f t="shared" ca="1" si="8"/>
        <v>8793.8925789999994</v>
      </c>
      <c r="L80" s="431">
        <f t="shared" ca="1" si="8"/>
        <v>9380.3064720000002</v>
      </c>
      <c r="M80" s="431">
        <f t="shared" ca="1" si="8"/>
        <v>8742.6774399999995</v>
      </c>
      <c r="N80" s="431">
        <f t="shared" ca="1" si="8"/>
        <v>8786.1091640000013</v>
      </c>
      <c r="O80" s="431">
        <f t="shared" ca="1" si="8"/>
        <v>9618.6134880000009</v>
      </c>
      <c r="P80" s="431">
        <f t="shared" ca="1" si="8"/>
        <v>10627.038843</v>
      </c>
      <c r="Q80" s="431">
        <f t="shared" ca="1" si="8"/>
        <v>11144.525042000001</v>
      </c>
      <c r="R80" s="431">
        <f ca="1">HLOOKUP(R73,$B$5:$AT$17,9)</f>
        <v>11516.482507000001</v>
      </c>
      <c r="S80" s="431">
        <f ca="1">HLOOKUP($S$73,$B$5:$AT$17,9)</f>
        <v>13787.397590999997</v>
      </c>
      <c r="T80" s="432" t="s">
        <v>1</v>
      </c>
      <c r="U80" s="431"/>
      <c r="V80" s="431"/>
      <c r="W80" s="431"/>
      <c r="X80" s="630"/>
      <c r="Y80" s="630"/>
    </row>
    <row r="81" spans="1:25">
      <c r="A81" s="630"/>
      <c r="B81" s="630"/>
      <c r="C81" s="630"/>
      <c r="D81" s="630"/>
      <c r="E81" s="431"/>
      <c r="F81" s="431"/>
      <c r="G81" s="431"/>
      <c r="H81" s="431"/>
      <c r="I81" s="431"/>
      <c r="J81" s="431">
        <f t="shared" ref="J81:Q81" ca="1" si="9">HLOOKUP(J73,$B$5:$AT$17,10)</f>
        <v>11952.743108999999</v>
      </c>
      <c r="K81" s="431">
        <f t="shared" ca="1" si="9"/>
        <v>12119.3411</v>
      </c>
      <c r="L81" s="431">
        <f t="shared" ca="1" si="9"/>
        <v>10961.89465</v>
      </c>
      <c r="M81" s="431">
        <f t="shared" ca="1" si="9"/>
        <v>9228.0147099999995</v>
      </c>
      <c r="N81" s="431">
        <f t="shared" ca="1" si="9"/>
        <v>8573.8743172239065</v>
      </c>
      <c r="O81" s="431">
        <f t="shared" ca="1" si="9"/>
        <v>6237.2813595666757</v>
      </c>
      <c r="P81" s="431">
        <f t="shared" ca="1" si="9"/>
        <v>4333.7899959443494</v>
      </c>
      <c r="Q81" s="431">
        <f t="shared" ca="1" si="9"/>
        <v>4922.6482332484156</v>
      </c>
      <c r="R81" s="431">
        <f ca="1">HLOOKUP(R73,$B$5:$AT$17,10)</f>
        <v>7447.9883620873643</v>
      </c>
      <c r="S81" s="431">
        <f ca="1">HLOOKUP($S$73,$B$5:$AT$17,10)</f>
        <v>10121.61430694461</v>
      </c>
      <c r="T81" s="432" t="s">
        <v>860</v>
      </c>
      <c r="U81" s="431"/>
      <c r="V81" s="431"/>
      <c r="W81" s="431"/>
      <c r="X81" s="630"/>
      <c r="Y81" s="630"/>
    </row>
    <row r="82" spans="1:25">
      <c r="A82" s="630"/>
      <c r="B82" s="630"/>
      <c r="C82" s="630"/>
      <c r="D82" s="630"/>
      <c r="E82" s="431"/>
      <c r="F82" s="431"/>
      <c r="G82" s="431"/>
      <c r="H82" s="431"/>
      <c r="I82" s="431"/>
      <c r="J82" s="431">
        <f t="shared" ref="J82:Q82" ca="1" si="10">HLOOKUP(J73,$B$5:$AT$17,11)</f>
        <v>8754.6824736822291</v>
      </c>
      <c r="K82" s="431">
        <f t="shared" ca="1" si="10"/>
        <v>8552.0712839999997</v>
      </c>
      <c r="L82" s="431">
        <f t="shared" ca="1" si="10"/>
        <v>11271.620675400678</v>
      </c>
      <c r="M82" s="431">
        <f t="shared" ca="1" si="10"/>
        <v>13287.960818379126</v>
      </c>
      <c r="N82" s="431">
        <f t="shared" ca="1" si="10"/>
        <v>15487.317250651384</v>
      </c>
      <c r="O82" s="431">
        <f t="shared" ca="1" si="10"/>
        <v>11554.349752904898</v>
      </c>
      <c r="P82" s="431">
        <f t="shared" ca="1" si="10"/>
        <v>10620.614121943227</v>
      </c>
      <c r="Q82" s="431">
        <f t="shared" ca="1" si="10"/>
        <v>14921.887350350875</v>
      </c>
      <c r="R82" s="431">
        <f ca="1">HLOOKUP(R73,$B$5:$AT$17,11)</f>
        <v>26978.126958992532</v>
      </c>
      <c r="S82" s="431">
        <f ca="1">HLOOKUP($S$73,$B$5:$AT$17,11)</f>
        <v>27394.793066075847</v>
      </c>
      <c r="T82" s="432" t="s">
        <v>345</v>
      </c>
      <c r="U82" s="431"/>
      <c r="V82" s="431"/>
      <c r="W82" s="431"/>
      <c r="X82" s="630"/>
      <c r="Y82" s="630"/>
    </row>
    <row r="83" spans="1:25">
      <c r="A83" s="630"/>
      <c r="B83" s="630"/>
      <c r="C83" s="630"/>
      <c r="D83" s="630"/>
      <c r="E83" s="431"/>
      <c r="F83" s="431"/>
      <c r="G83" s="431"/>
      <c r="H83" s="431"/>
      <c r="I83" s="431"/>
      <c r="J83" s="431">
        <f t="shared" ref="J83:Q83" ca="1" si="11">HLOOKUP(J73,$B$5:$AT$17,12)</f>
        <v>50262.149327229992</v>
      </c>
      <c r="K83" s="431">
        <f t="shared" ca="1" si="11"/>
        <v>62863.290517729998</v>
      </c>
      <c r="L83" s="431">
        <f t="shared" ca="1" si="11"/>
        <v>52823.916640019997</v>
      </c>
      <c r="M83" s="431">
        <f t="shared" ca="1" si="11"/>
        <v>70384.424735240013</v>
      </c>
      <c r="N83" s="431">
        <f t="shared" ca="1" si="11"/>
        <v>65053.440010000006</v>
      </c>
      <c r="O83" s="431">
        <f t="shared" ca="1" si="11"/>
        <v>49630.774950999999</v>
      </c>
      <c r="P83" s="431">
        <f t="shared" ca="1" si="11"/>
        <v>55609.172696999995</v>
      </c>
      <c r="Q83" s="431">
        <f t="shared" ca="1" si="11"/>
        <v>63829.415271999998</v>
      </c>
      <c r="R83" s="431">
        <f ca="1">HLOOKUP(R73,$B$5:$AT$17,12)</f>
        <v>65236.000407999993</v>
      </c>
      <c r="S83" s="431">
        <f ca="1">HLOOKUP($S$73,$B$5:$AT$17,12)</f>
        <v>97675.628391999999</v>
      </c>
      <c r="T83" s="432" t="s">
        <v>2</v>
      </c>
      <c r="U83" s="431"/>
      <c r="V83" s="431"/>
      <c r="W83" s="431"/>
      <c r="X83" s="630"/>
      <c r="Y83" s="630"/>
    </row>
    <row r="84" spans="1:25">
      <c r="A84" s="630"/>
      <c r="B84" s="630"/>
      <c r="C84" s="630"/>
      <c r="D84" s="630"/>
      <c r="E84" s="630"/>
      <c r="F84" s="630"/>
      <c r="G84" s="630"/>
      <c r="H84" s="431"/>
      <c r="I84" s="431"/>
      <c r="J84" s="431"/>
      <c r="K84" s="431"/>
      <c r="L84" s="431"/>
      <c r="M84" s="431"/>
      <c r="N84" s="431"/>
      <c r="O84" s="431"/>
      <c r="P84" s="431"/>
      <c r="Q84" s="431"/>
      <c r="R84" s="431"/>
      <c r="S84" s="431"/>
      <c r="T84" s="431"/>
      <c r="U84" s="431"/>
      <c r="V84" s="431"/>
      <c r="W84" s="431"/>
      <c r="X84" s="630"/>
      <c r="Y84" s="630"/>
    </row>
    <row r="85" spans="1:25">
      <c r="A85" s="630"/>
      <c r="B85" s="630"/>
      <c r="C85" s="630"/>
      <c r="D85" s="630"/>
      <c r="E85" s="630"/>
      <c r="F85" s="630"/>
      <c r="G85" s="630"/>
      <c r="H85" s="431"/>
      <c r="I85" s="431"/>
      <c r="J85" s="431"/>
      <c r="K85" s="431"/>
      <c r="L85" s="431"/>
      <c r="M85" s="431"/>
      <c r="N85" s="431"/>
      <c r="O85" s="431"/>
      <c r="P85" s="431"/>
      <c r="Q85" s="431"/>
      <c r="R85" s="431"/>
      <c r="S85" s="431"/>
      <c r="T85" s="431"/>
      <c r="U85" s="431"/>
      <c r="V85" s="431"/>
      <c r="W85" s="431"/>
      <c r="X85" s="630"/>
      <c r="Y85" s="630"/>
    </row>
    <row r="86" spans="1:25">
      <c r="A86" s="630"/>
      <c r="B86" s="630"/>
      <c r="C86" s="630"/>
      <c r="D86" s="630"/>
      <c r="E86" s="630"/>
      <c r="F86" s="630"/>
      <c r="G86" s="630"/>
      <c r="H86" s="431"/>
      <c r="I86" s="431"/>
      <c r="J86" s="431"/>
      <c r="K86" s="431"/>
      <c r="L86" s="431"/>
      <c r="M86" s="431"/>
      <c r="N86" s="431"/>
      <c r="O86" s="431"/>
      <c r="P86" s="431"/>
      <c r="Q86" s="431"/>
      <c r="R86" s="431"/>
      <c r="S86" s="431"/>
      <c r="T86" s="431"/>
      <c r="U86" s="431"/>
      <c r="V86" s="431"/>
      <c r="W86" s="431"/>
      <c r="X86" s="630"/>
      <c r="Y86" s="630"/>
    </row>
    <row r="87" spans="1:25">
      <c r="A87" s="630"/>
      <c r="B87" s="630"/>
      <c r="C87" s="630"/>
      <c r="D87" s="630"/>
      <c r="E87" s="630"/>
      <c r="F87" s="630"/>
      <c r="G87" s="630"/>
      <c r="H87" s="431"/>
      <c r="I87" s="431"/>
      <c r="J87" s="431"/>
      <c r="K87" s="431"/>
      <c r="L87" s="431"/>
      <c r="M87" s="431"/>
      <c r="N87" s="431"/>
      <c r="O87" s="431"/>
      <c r="P87" s="431"/>
      <c r="Q87" s="431"/>
      <c r="R87" s="431"/>
      <c r="S87" s="431"/>
      <c r="T87" s="431"/>
      <c r="U87" s="431"/>
      <c r="V87" s="431"/>
      <c r="W87" s="431"/>
      <c r="X87" s="630"/>
      <c r="Y87" s="630"/>
    </row>
    <row r="88" spans="1:25">
      <c r="A88" s="630"/>
      <c r="B88" s="630"/>
      <c r="C88" s="630"/>
      <c r="D88" s="630"/>
      <c r="E88" s="630"/>
      <c r="F88" s="630"/>
      <c r="G88" s="630"/>
      <c r="H88" s="431"/>
      <c r="I88" s="431"/>
      <c r="J88" s="431"/>
      <c r="K88" s="431"/>
      <c r="L88" s="431"/>
      <c r="M88" s="431"/>
      <c r="N88" s="431"/>
      <c r="O88" s="431"/>
      <c r="P88" s="431"/>
      <c r="Q88" s="431"/>
      <c r="R88" s="431"/>
      <c r="S88" s="431"/>
      <c r="T88" s="431"/>
      <c r="U88" s="431"/>
      <c r="V88" s="431"/>
      <c r="W88" s="431"/>
      <c r="X88" s="630"/>
      <c r="Y88" s="630"/>
    </row>
    <row r="89" spans="1:25">
      <c r="A89" s="630"/>
      <c r="B89" s="630"/>
      <c r="C89" s="630"/>
      <c r="D89" s="630"/>
      <c r="E89" s="630"/>
      <c r="F89" s="630"/>
      <c r="G89" s="630"/>
      <c r="H89" s="630"/>
      <c r="I89" s="630"/>
      <c r="J89" s="630"/>
      <c r="K89" s="630"/>
      <c r="L89" s="630"/>
      <c r="M89" s="630"/>
      <c r="N89" s="630"/>
      <c r="O89" s="630"/>
      <c r="P89" s="630"/>
      <c r="Q89" s="630"/>
      <c r="R89" s="630"/>
      <c r="S89" s="630"/>
      <c r="T89" s="630"/>
      <c r="U89" s="630"/>
      <c r="V89" s="630"/>
      <c r="W89" s="630"/>
      <c r="X89" s="630"/>
      <c r="Y89" s="630"/>
    </row>
    <row r="90" spans="1:25">
      <c r="A90" s="630"/>
      <c r="B90" s="630"/>
      <c r="C90" s="630"/>
      <c r="D90" s="630"/>
      <c r="E90" s="630"/>
      <c r="F90" s="630"/>
      <c r="G90" s="630"/>
      <c r="H90" s="630"/>
      <c r="I90" s="630"/>
      <c r="J90" s="630"/>
      <c r="K90" s="630"/>
      <c r="L90" s="630"/>
      <c r="M90" s="630"/>
      <c r="N90" s="630"/>
      <c r="O90" s="630"/>
      <c r="P90" s="630"/>
      <c r="Q90" s="630"/>
      <c r="R90" s="630"/>
      <c r="S90" s="630"/>
      <c r="T90" s="630"/>
      <c r="U90" s="630"/>
      <c r="V90" s="630"/>
      <c r="W90" s="630"/>
      <c r="X90" s="630"/>
      <c r="Y90" s="630"/>
    </row>
    <row r="91" spans="1:25">
      <c r="A91" s="630"/>
      <c r="B91" s="630"/>
      <c r="C91" s="630"/>
      <c r="D91" s="630"/>
      <c r="E91" s="630"/>
      <c r="F91" s="630"/>
      <c r="G91" s="630"/>
      <c r="H91" s="630"/>
      <c r="I91" s="630"/>
      <c r="J91" s="630"/>
      <c r="K91" s="630"/>
      <c r="L91" s="630"/>
      <c r="M91" s="630"/>
      <c r="N91" s="630"/>
      <c r="O91" s="630"/>
      <c r="P91" s="630"/>
      <c r="Q91" s="630"/>
      <c r="R91" s="630"/>
      <c r="S91" s="630"/>
      <c r="T91" s="630"/>
      <c r="U91" s="630"/>
      <c r="V91" s="630"/>
      <c r="W91" s="630"/>
      <c r="X91" s="630"/>
      <c r="Y91" s="630"/>
    </row>
    <row r="92" spans="1:25">
      <c r="A92" s="630"/>
      <c r="B92" s="630"/>
      <c r="C92" s="630"/>
      <c r="D92" s="630"/>
      <c r="E92" s="630"/>
      <c r="F92" s="630"/>
      <c r="G92" s="630"/>
      <c r="H92" s="630"/>
      <c r="I92" s="630"/>
      <c r="J92" s="630"/>
      <c r="K92" s="630"/>
      <c r="L92" s="630"/>
      <c r="M92" s="630"/>
      <c r="N92" s="630"/>
      <c r="O92" s="630"/>
      <c r="P92" s="630"/>
      <c r="Q92" s="630"/>
      <c r="R92" s="630"/>
      <c r="S92" s="630"/>
      <c r="T92" s="630"/>
      <c r="U92" s="630"/>
      <c r="V92" s="630"/>
      <c r="W92" s="630"/>
      <c r="X92" s="630"/>
      <c r="Y92" s="630"/>
    </row>
  </sheetData>
  <dataValidations count="1">
    <dataValidation type="list" allowBlank="1" showInputMessage="1" showErrorMessage="1" sqref="A4">
      <formula1>$E$73:$E$74</formula1>
    </dataValidation>
  </dataValidations>
  <pageMargins left="0.39370078740157483" right="0.43307086614173229" top="0.27559055118110237" bottom="0.55118110236220474" header="0.51181102362204722" footer="0.23622047244094491"/>
  <pageSetup paperSize="9" scale="8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RU832"/>
  <sheetViews>
    <sheetView showGridLines="0" zoomScaleNormal="100" workbookViewId="0">
      <pane xSplit="2" ySplit="8" topLeftCell="AN9" activePane="bottomRight" state="frozenSplit"/>
      <selection activeCell="N6" sqref="N6"/>
      <selection pane="topRight" activeCell="N6" sqref="N6"/>
      <selection pane="bottomLeft" activeCell="N6" sqref="N6"/>
      <selection pane="bottomRight"/>
    </sheetView>
  </sheetViews>
  <sheetFormatPr defaultColWidth="9.140625" defaultRowHeight="15"/>
  <cols>
    <col min="1" max="1" width="36.140625" style="423" customWidth="1"/>
    <col min="2" max="2" width="6.85546875" style="423" customWidth="1"/>
    <col min="3" max="3" width="11.7109375" style="627" bestFit="1" customWidth="1"/>
    <col min="4" max="4" width="13.85546875" style="627" bestFit="1" customWidth="1"/>
    <col min="5" max="5" width="14.85546875" style="423" bestFit="1" customWidth="1"/>
    <col min="6" max="6" width="12.7109375" style="423" bestFit="1" customWidth="1"/>
    <col min="7" max="7" width="14.85546875" style="423" bestFit="1" customWidth="1"/>
    <col min="8" max="8" width="12.7109375" style="423" bestFit="1" customWidth="1"/>
    <col min="9" max="9" width="14.85546875" style="423" bestFit="1" customWidth="1"/>
    <col min="10" max="10" width="12.7109375" style="423" bestFit="1" customWidth="1"/>
    <col min="11" max="11" width="14.85546875" style="423" bestFit="1" customWidth="1"/>
    <col min="12" max="12" width="12.7109375" style="423" bestFit="1" customWidth="1"/>
    <col min="13" max="13" width="14.85546875" style="423" bestFit="1" customWidth="1"/>
    <col min="14" max="14" width="12.7109375" style="423" bestFit="1" customWidth="1"/>
    <col min="15" max="15" width="14.85546875" style="423" bestFit="1" customWidth="1"/>
    <col min="16" max="16" width="12.7109375" style="423" bestFit="1" customWidth="1"/>
    <col min="17" max="17" width="14.85546875" style="423" bestFit="1" customWidth="1"/>
    <col min="18" max="18" width="12.7109375" style="423" bestFit="1" customWidth="1"/>
    <col min="19" max="19" width="14.85546875" style="423" bestFit="1" customWidth="1"/>
    <col min="20" max="20" width="12.7109375" style="423" bestFit="1" customWidth="1"/>
    <col min="21" max="21" width="14.85546875" style="423" bestFit="1" customWidth="1"/>
    <col min="22" max="22" width="12.7109375" style="423" bestFit="1" customWidth="1"/>
    <col min="23" max="23" width="14.85546875" style="423" bestFit="1" customWidth="1"/>
    <col min="24" max="24" width="12.7109375" style="423" bestFit="1" customWidth="1"/>
    <col min="25" max="25" width="14.85546875" style="423" bestFit="1" customWidth="1"/>
    <col min="26" max="26" width="13.85546875" style="423" bestFit="1" customWidth="1"/>
    <col min="27" max="27" width="14.85546875" style="423" bestFit="1" customWidth="1"/>
    <col min="28" max="28" width="13.85546875" style="423" bestFit="1" customWidth="1"/>
    <col min="29" max="29" width="14.85546875" style="423" bestFit="1" customWidth="1"/>
    <col min="30" max="30" width="13.85546875" style="423" bestFit="1" customWidth="1"/>
    <col min="31" max="31" width="14.85546875" style="628" bestFit="1" customWidth="1"/>
    <col min="32" max="32" width="13.85546875" style="628" bestFit="1" customWidth="1"/>
    <col min="33" max="33" width="14.85546875" style="423" bestFit="1" customWidth="1"/>
    <col min="34" max="34" width="13.85546875" style="423" bestFit="1" customWidth="1"/>
    <col min="35" max="35" width="14.85546875" style="423" bestFit="1" customWidth="1"/>
    <col min="36" max="36" width="13.85546875" style="423" bestFit="1" customWidth="1"/>
    <col min="37" max="37" width="14.85546875" style="428" bestFit="1" customWidth="1"/>
    <col min="38" max="38" width="13.85546875" style="428" bestFit="1" customWidth="1"/>
    <col min="39" max="39" width="14.85546875" style="423" bestFit="1" customWidth="1"/>
    <col min="40" max="40" width="13.85546875" style="423" bestFit="1" customWidth="1"/>
    <col min="41" max="41" width="14.85546875" style="622" bestFit="1" customWidth="1"/>
    <col min="42" max="42" width="13.85546875" style="622" bestFit="1" customWidth="1"/>
    <col min="43" max="43" width="14.85546875" style="423" bestFit="1" customWidth="1"/>
    <col min="44" max="44" width="13.85546875" style="423" bestFit="1" customWidth="1"/>
    <col min="45" max="45" width="14.85546875" style="423" bestFit="1" customWidth="1"/>
    <col min="46" max="46" width="13.85546875" style="423" bestFit="1" customWidth="1"/>
    <col min="47" max="47" width="14.85546875" style="423" bestFit="1" customWidth="1"/>
    <col min="48" max="48" width="13.85546875" style="423" bestFit="1" customWidth="1"/>
    <col min="49" max="49" width="14.85546875" style="423" bestFit="1" customWidth="1"/>
    <col min="50" max="50" width="13.85546875" style="423" bestFit="1" customWidth="1"/>
    <col min="51" max="51" width="14.85546875" style="629" bestFit="1" customWidth="1"/>
    <col min="52" max="52" width="13.85546875" style="629" bestFit="1" customWidth="1"/>
    <col min="53" max="53" width="3" style="423" hidden="1" customWidth="1"/>
    <col min="54" max="54" width="11.140625" style="423" hidden="1" customWidth="1"/>
    <col min="55" max="55" width="3.140625" style="423" hidden="1" customWidth="1"/>
    <col min="56" max="56" width="13.85546875" style="423" hidden="1" customWidth="1"/>
    <col min="57" max="57" width="3.140625" style="423" hidden="1" customWidth="1"/>
    <col min="58" max="58" width="11.140625" style="423" hidden="1" customWidth="1"/>
    <col min="59" max="59" width="3.140625" style="423" hidden="1" customWidth="1"/>
    <col min="60" max="60" width="13.85546875" style="423" hidden="1" customWidth="1"/>
    <col min="61" max="61" width="3.140625" style="423" hidden="1" customWidth="1"/>
    <col min="62" max="62" width="16.140625" style="423" bestFit="1" customWidth="1"/>
    <col min="63" max="63" width="16.28515625" style="423" bestFit="1" customWidth="1"/>
    <col min="64" max="64" width="16.7109375" style="423" bestFit="1" customWidth="1"/>
    <col min="65" max="65" width="12" style="541" bestFit="1" customWidth="1"/>
    <col min="66" max="66" width="4" style="541" customWidth="1"/>
    <col min="67" max="67" width="13.85546875" style="541" bestFit="1" customWidth="1"/>
    <col min="68" max="166" width="9.140625" style="541"/>
    <col min="167" max="167" width="11.140625" style="541" bestFit="1" customWidth="1"/>
    <col min="168" max="16384" width="9.140625" style="541"/>
  </cols>
  <sheetData>
    <row r="1" spans="1:1165" ht="18" customHeight="1">
      <c r="BL1" s="541"/>
    </row>
    <row r="2" spans="1:1165" ht="18" customHeight="1">
      <c r="W2" s="631"/>
      <c r="BL2" s="541"/>
    </row>
    <row r="3" spans="1:1165" ht="18" customHeight="1">
      <c r="W3" s="631"/>
      <c r="AS3" s="630"/>
      <c r="BL3" s="541"/>
    </row>
    <row r="4" spans="1:1165" ht="18" customHeight="1">
      <c r="O4" s="632"/>
      <c r="BL4" s="541"/>
    </row>
    <row r="5" spans="1:1165" ht="12.75" customHeight="1">
      <c r="A5" s="1107" t="s">
        <v>683</v>
      </c>
      <c r="B5" s="541"/>
      <c r="C5" s="633"/>
      <c r="D5" s="633"/>
      <c r="E5" s="541"/>
      <c r="F5" s="541"/>
      <c r="G5" s="541"/>
      <c r="H5" s="541"/>
      <c r="I5" s="541"/>
      <c r="J5" s="541"/>
      <c r="K5" s="541"/>
      <c r="L5" s="541"/>
      <c r="M5" s="541"/>
      <c r="N5" s="541"/>
      <c r="O5" s="634"/>
      <c r="P5" s="541"/>
      <c r="Q5" s="541"/>
      <c r="R5" s="541"/>
      <c r="S5" s="541"/>
      <c r="T5" s="541"/>
      <c r="U5" s="541"/>
      <c r="V5" s="541"/>
      <c r="W5" s="541"/>
      <c r="X5" s="541"/>
      <c r="Y5" s="541"/>
      <c r="Z5" s="541"/>
      <c r="AA5" s="541"/>
      <c r="AB5" s="541"/>
      <c r="AC5" s="541"/>
      <c r="AD5" s="541"/>
      <c r="AE5" s="635"/>
      <c r="AF5" s="635"/>
      <c r="AG5" s="541"/>
      <c r="AH5" s="541"/>
      <c r="AI5" s="541"/>
      <c r="AJ5" s="541"/>
      <c r="AK5" s="430"/>
      <c r="AL5" s="430"/>
      <c r="AM5" s="541"/>
      <c r="AN5" s="541"/>
      <c r="AO5" s="624"/>
      <c r="AP5" s="624"/>
      <c r="AS5" s="541"/>
      <c r="AT5" s="541"/>
      <c r="AU5" s="541"/>
      <c r="AV5" s="541"/>
      <c r="AW5" s="541"/>
      <c r="AX5" s="541"/>
      <c r="AY5" s="636"/>
      <c r="AZ5" s="636"/>
      <c r="BA5" s="541"/>
      <c r="BB5" s="541"/>
      <c r="BC5" s="541"/>
      <c r="BD5" s="541"/>
      <c r="BE5" s="541"/>
      <c r="BF5" s="541"/>
      <c r="BG5" s="541"/>
      <c r="BH5" s="541"/>
      <c r="BI5" s="541"/>
      <c r="BL5" s="541"/>
    </row>
    <row r="6" spans="1:1165" ht="9.75" customHeight="1">
      <c r="A6" s="541"/>
      <c r="B6" s="541"/>
      <c r="C6" s="633"/>
      <c r="D6" s="633"/>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635"/>
      <c r="AF6" s="635"/>
      <c r="AG6" s="541"/>
      <c r="AH6" s="541"/>
      <c r="AI6" s="541"/>
      <c r="AJ6" s="541"/>
      <c r="AK6" s="430"/>
      <c r="AL6" s="430"/>
      <c r="AM6" s="541"/>
      <c r="AN6" s="541"/>
      <c r="AO6" s="624"/>
      <c r="AP6" s="624"/>
      <c r="AS6" s="541"/>
      <c r="AT6" s="541"/>
      <c r="AU6" s="541"/>
      <c r="AV6" s="541"/>
      <c r="AW6" s="541"/>
      <c r="AX6" s="541"/>
      <c r="AY6" s="636"/>
      <c r="AZ6" s="636"/>
      <c r="BA6" s="541"/>
      <c r="BB6" s="541"/>
      <c r="BC6" s="541"/>
      <c r="BD6" s="541"/>
      <c r="BE6" s="541"/>
      <c r="BF6" s="541"/>
      <c r="BG6" s="541"/>
      <c r="BH6" s="541"/>
      <c r="BI6" s="541"/>
      <c r="BL6" s="541"/>
    </row>
    <row r="7" spans="1:1165">
      <c r="A7" s="430"/>
      <c r="B7" s="430"/>
      <c r="C7" s="1950" t="s">
        <v>189</v>
      </c>
      <c r="D7" s="1950"/>
      <c r="E7" s="1948">
        <v>1980</v>
      </c>
      <c r="F7" s="1948"/>
      <c r="G7" s="1949">
        <v>1981</v>
      </c>
      <c r="H7" s="1949"/>
      <c r="I7" s="1949">
        <v>1982</v>
      </c>
      <c r="J7" s="1949"/>
      <c r="K7" s="1949">
        <v>1983</v>
      </c>
      <c r="L7" s="1949"/>
      <c r="M7" s="1949">
        <v>1984</v>
      </c>
      <c r="N7" s="1949"/>
      <c r="O7" s="1949">
        <v>1985</v>
      </c>
      <c r="P7" s="1949"/>
      <c r="Q7" s="1949">
        <v>1986</v>
      </c>
      <c r="R7" s="1949"/>
      <c r="S7" s="1949">
        <v>1987</v>
      </c>
      <c r="T7" s="1949"/>
      <c r="U7" s="1949">
        <v>1988</v>
      </c>
      <c r="V7" s="1949"/>
      <c r="W7" s="1949">
        <v>1989</v>
      </c>
      <c r="X7" s="1949"/>
      <c r="Y7" s="1949">
        <v>1990</v>
      </c>
      <c r="Z7" s="1949"/>
      <c r="AA7" s="1949">
        <v>1991</v>
      </c>
      <c r="AB7" s="1949"/>
      <c r="AC7" s="1949">
        <v>1992</v>
      </c>
      <c r="AD7" s="1949"/>
      <c r="AE7" s="1949">
        <v>1993</v>
      </c>
      <c r="AF7" s="1949"/>
      <c r="AG7" s="1948">
        <v>1994</v>
      </c>
      <c r="AH7" s="1948"/>
      <c r="AI7" s="1948">
        <v>1995</v>
      </c>
      <c r="AJ7" s="1948"/>
      <c r="AK7" s="1948">
        <v>1996</v>
      </c>
      <c r="AL7" s="1948"/>
      <c r="AM7" s="1948">
        <v>1997</v>
      </c>
      <c r="AN7" s="1948"/>
      <c r="AO7" s="1949">
        <v>1998</v>
      </c>
      <c r="AP7" s="1949"/>
      <c r="AQ7" s="637">
        <v>1999</v>
      </c>
      <c r="AR7" s="638"/>
      <c r="AS7" s="1947">
        <v>2000</v>
      </c>
      <c r="AT7" s="1947"/>
      <c r="AU7" s="1947">
        <v>2001</v>
      </c>
      <c r="AV7" s="1947"/>
      <c r="AW7" s="1947">
        <v>2002</v>
      </c>
      <c r="AX7" s="1947"/>
      <c r="AY7" s="1947">
        <v>2003</v>
      </c>
      <c r="AZ7" s="1947"/>
      <c r="BB7" s="1947"/>
      <c r="BC7" s="1947"/>
      <c r="BD7" s="1947"/>
      <c r="BE7" s="640"/>
      <c r="BF7" s="1947"/>
      <c r="BG7" s="1947"/>
      <c r="BH7" s="1947"/>
      <c r="BJ7" s="637" t="s">
        <v>115</v>
      </c>
      <c r="BK7" s="639"/>
      <c r="BL7" s="541"/>
    </row>
    <row r="8" spans="1:1165">
      <c r="A8" s="641" t="s">
        <v>190</v>
      </c>
      <c r="B8" s="637" t="s">
        <v>191</v>
      </c>
      <c r="C8" s="642" t="s">
        <v>192</v>
      </c>
      <c r="D8" s="644" t="s">
        <v>331</v>
      </c>
      <c r="E8" s="813" t="str">
        <f>CONCATENATE(E7," QUANTITY")</f>
        <v>1980 QUANTITY</v>
      </c>
      <c r="F8" s="637" t="str">
        <f>CONCATENATE(E7," VALUE")</f>
        <v>1980 VALUE</v>
      </c>
      <c r="G8" s="813" t="str">
        <f>CONCATENATE(G7," QUANTITY")</f>
        <v>1981 QUANTITY</v>
      </c>
      <c r="H8" s="637" t="str">
        <f>CONCATENATE(G7," VALUE")</f>
        <v>1981 VALUE</v>
      </c>
      <c r="I8" s="813" t="str">
        <f>CONCATENATE(I7," QUANTITY")</f>
        <v>1982 QUANTITY</v>
      </c>
      <c r="J8" s="637" t="str">
        <f>CONCATENATE(I7," VALUE")</f>
        <v>1982 VALUE</v>
      </c>
      <c r="K8" s="813" t="str">
        <f>CONCATENATE(K7," QUANTITY")</f>
        <v>1983 QUANTITY</v>
      </c>
      <c r="L8" s="637" t="str">
        <f>CONCATENATE(K7," VALUE")</f>
        <v>1983 VALUE</v>
      </c>
      <c r="M8" s="813" t="str">
        <f>CONCATENATE(M7," QUANTITY")</f>
        <v>1984 QUANTITY</v>
      </c>
      <c r="N8" s="637" t="str">
        <f>CONCATENATE(M7," VALUE")</f>
        <v>1984 VALUE</v>
      </c>
      <c r="O8" s="813" t="str">
        <f>CONCATENATE(O7," QUANTITY")</f>
        <v>1985 QUANTITY</v>
      </c>
      <c r="P8" s="637" t="str">
        <f>CONCATENATE(O7," VALUE")</f>
        <v>1985 VALUE</v>
      </c>
      <c r="Q8" s="813" t="str">
        <f>CONCATENATE(Q7," QUANTITY")</f>
        <v>1986 QUANTITY</v>
      </c>
      <c r="R8" s="637" t="str">
        <f>CONCATENATE(Q7," VALUE")</f>
        <v>1986 VALUE</v>
      </c>
      <c r="S8" s="813" t="str">
        <f>CONCATENATE(S7," QUANTITY")</f>
        <v>1987 QUANTITY</v>
      </c>
      <c r="T8" s="637" t="str">
        <f>CONCATENATE(S7," VALUE")</f>
        <v>1987 VALUE</v>
      </c>
      <c r="U8" s="813" t="str">
        <f>CONCATENATE(U7," QUANTITY")</f>
        <v>1988 QUANTITY</v>
      </c>
      <c r="V8" s="637" t="str">
        <f>CONCATENATE(U7," VALUE")</f>
        <v>1988 VALUE</v>
      </c>
      <c r="W8" s="813" t="str">
        <f>CONCATENATE(W7," QUANTITY")</f>
        <v>1989 QUANTITY</v>
      </c>
      <c r="X8" s="637" t="str">
        <f>CONCATENATE(W7," VALUE")</f>
        <v>1989 VALUE</v>
      </c>
      <c r="Y8" s="813" t="str">
        <f>CONCATENATE(Y7," QUANTITY")</f>
        <v>1990 QUANTITY</v>
      </c>
      <c r="Z8" s="637" t="str">
        <f>CONCATENATE(Y7," VALUE")</f>
        <v>1990 VALUE</v>
      </c>
      <c r="AA8" s="813" t="str">
        <f>CONCATENATE(AA7," QUANTITY")</f>
        <v>1991 QUANTITY</v>
      </c>
      <c r="AB8" s="637" t="str">
        <f>CONCATENATE(AA7," VALUE")</f>
        <v>1991 VALUE</v>
      </c>
      <c r="AC8" s="813" t="str">
        <f>CONCATENATE(AC7," QUANTITY")</f>
        <v>1992 QUANTITY</v>
      </c>
      <c r="AD8" s="637" t="str">
        <f>CONCATENATE(AC7," VALUE")</f>
        <v>1992 VALUE</v>
      </c>
      <c r="AE8" s="813" t="str">
        <f>CONCATENATE(AE7," QUANTITY")</f>
        <v>1993 QUANTITY</v>
      </c>
      <c r="AF8" s="637" t="str">
        <f>CONCATENATE(AE7," VALUE")</f>
        <v>1993 VALUE</v>
      </c>
      <c r="AG8" s="813" t="str">
        <f>CONCATENATE(AG7," QUANTITY")</f>
        <v>1994 QUANTITY</v>
      </c>
      <c r="AH8" s="637" t="str">
        <f>CONCATENATE(AG7," VALUE")</f>
        <v>1994 VALUE</v>
      </c>
      <c r="AI8" s="813" t="str">
        <f>CONCATENATE(AI7," QUANTITY")</f>
        <v>1995 QUANTITY</v>
      </c>
      <c r="AJ8" s="637" t="str">
        <f>CONCATENATE(AI7," VALUE")</f>
        <v>1995 VALUE</v>
      </c>
      <c r="AK8" s="813" t="str">
        <f>CONCATENATE(AK7," QUANTITY")</f>
        <v>1996 QUANTITY</v>
      </c>
      <c r="AL8" s="637" t="str">
        <f>CONCATENATE(AK7," VALUE")</f>
        <v>1996 VALUE</v>
      </c>
      <c r="AM8" s="813" t="str">
        <f>CONCATENATE(AM7," QUANTITY")</f>
        <v>1997 QUANTITY</v>
      </c>
      <c r="AN8" s="637" t="str">
        <f>CONCATENATE(AM7," VALUE")</f>
        <v>1997 VALUE</v>
      </c>
      <c r="AO8" s="813" t="str">
        <f>CONCATENATE(AO7," QUANTITY")</f>
        <v>1998 QUANTITY</v>
      </c>
      <c r="AP8" s="637" t="str">
        <f>CONCATENATE(AO7," VALUE")</f>
        <v>1998 VALUE</v>
      </c>
      <c r="AQ8" s="813" t="str">
        <f>CONCATENATE(AQ7," QUANTITY")</f>
        <v>1999 QUANTITY</v>
      </c>
      <c r="AR8" s="637" t="str">
        <f>CONCATENATE(AQ7," VALUE")</f>
        <v>1999 VALUE</v>
      </c>
      <c r="AS8" s="640" t="str">
        <f>CONCATENATE(AS7," QUANTITY")</f>
        <v>2000 QUANTITY</v>
      </c>
      <c r="AT8" s="637" t="str">
        <f>CONCATENATE(AS7," VALUE")</f>
        <v>2000 VALUE</v>
      </c>
      <c r="AU8" s="813" t="str">
        <f>CONCATENATE(AU7," QUANTITY")</f>
        <v>2001 QUANTITY</v>
      </c>
      <c r="AV8" s="637" t="str">
        <f>CONCATENATE(AU7," VALUE")</f>
        <v>2001 VALUE</v>
      </c>
      <c r="AW8" s="813" t="str">
        <f>CONCATENATE(AW7," QUANTITY")</f>
        <v>2002 QUANTITY</v>
      </c>
      <c r="AX8" s="637" t="str">
        <f>CONCATENATE(AW7," VALUE")</f>
        <v>2002 VALUE</v>
      </c>
      <c r="AY8" s="813" t="str">
        <f>CONCATENATE(AY7," QUANTITY")</f>
        <v>2003 QUANTITY</v>
      </c>
      <c r="AZ8" s="637" t="str">
        <f>CONCATENATE(AY7," VALUE")</f>
        <v>2003 VALUE</v>
      </c>
      <c r="BA8" s="592"/>
      <c r="BB8" s="813"/>
      <c r="BC8" s="638"/>
      <c r="BD8" s="637"/>
      <c r="BE8" s="592"/>
      <c r="BF8" s="813"/>
      <c r="BG8" s="638"/>
      <c r="BH8" s="637"/>
      <c r="BI8" s="592"/>
      <c r="BJ8" s="640" t="s">
        <v>192</v>
      </c>
      <c r="BK8" s="637" t="s">
        <v>331</v>
      </c>
      <c r="BL8" s="541"/>
    </row>
    <row r="9" spans="1:1165">
      <c r="A9" s="637"/>
      <c r="B9" s="637"/>
      <c r="C9" s="644"/>
      <c r="D9" s="644"/>
      <c r="E9" s="637"/>
      <c r="F9" s="637"/>
      <c r="G9" s="646"/>
      <c r="H9" s="646"/>
      <c r="I9" s="645"/>
      <c r="J9" s="645"/>
      <c r="K9" s="645"/>
      <c r="L9" s="645"/>
      <c r="M9" s="646"/>
      <c r="N9" s="646"/>
      <c r="O9" s="646"/>
      <c r="P9" s="646"/>
      <c r="Q9" s="646"/>
      <c r="R9" s="646"/>
      <c r="S9" s="646"/>
      <c r="T9" s="646"/>
      <c r="U9" s="646"/>
      <c r="V9" s="646"/>
      <c r="W9" s="646"/>
      <c r="X9" s="646"/>
      <c r="Y9" s="646"/>
      <c r="Z9" s="646"/>
      <c r="AA9" s="646"/>
      <c r="AB9" s="646"/>
      <c r="AC9" s="646"/>
      <c r="AD9" s="646"/>
      <c r="AE9" s="645"/>
      <c r="AF9" s="645"/>
      <c r="AG9" s="646"/>
      <c r="AH9" s="646"/>
      <c r="AI9" s="646"/>
      <c r="AJ9" s="646"/>
      <c r="AK9" s="646"/>
      <c r="AL9" s="646"/>
      <c r="AM9" s="646"/>
      <c r="AN9" s="646"/>
      <c r="AO9" s="646"/>
      <c r="AP9" s="646"/>
      <c r="AQ9" s="586"/>
      <c r="AR9" s="647"/>
      <c r="AS9" s="646"/>
      <c r="AT9" s="646"/>
      <c r="AU9" s="646"/>
      <c r="AV9" s="646"/>
      <c r="AW9" s="647"/>
      <c r="AX9" s="647"/>
      <c r="AY9" s="648"/>
      <c r="AZ9" s="648"/>
      <c r="BA9" s="649"/>
      <c r="BB9" s="650"/>
      <c r="BC9" s="650"/>
      <c r="BD9" s="650"/>
      <c r="BE9" s="650"/>
      <c r="BF9" s="650"/>
      <c r="BG9" s="650"/>
      <c r="BH9" s="650"/>
      <c r="BI9" s="649"/>
      <c r="BJ9" s="622"/>
      <c r="BK9" s="622"/>
      <c r="BL9" s="541"/>
      <c r="BM9" s="624"/>
      <c r="BN9" s="624"/>
      <c r="BO9" s="624"/>
      <c r="BP9" s="624"/>
    </row>
    <row r="10" spans="1:1165" s="658" customFormat="1">
      <c r="A10" s="577" t="s">
        <v>193</v>
      </c>
      <c r="B10" s="578"/>
      <c r="C10" s="651"/>
      <c r="D10" s="651"/>
      <c r="E10" s="578"/>
      <c r="F10" s="578"/>
      <c r="G10" s="581"/>
      <c r="H10" s="581"/>
      <c r="I10" s="581"/>
      <c r="J10" s="581"/>
      <c r="K10" s="581"/>
      <c r="L10" s="581"/>
      <c r="M10" s="581"/>
      <c r="N10" s="581"/>
      <c r="O10" s="581"/>
      <c r="P10" s="581"/>
      <c r="Q10" s="581"/>
      <c r="R10" s="581"/>
      <c r="S10" s="581"/>
      <c r="T10" s="581"/>
      <c r="U10" s="620"/>
      <c r="V10" s="620"/>
      <c r="W10" s="620"/>
      <c r="X10" s="620"/>
      <c r="Y10" s="620"/>
      <c r="Z10" s="620"/>
      <c r="AA10" s="620"/>
      <c r="AB10" s="620"/>
      <c r="AC10" s="620"/>
      <c r="AD10" s="620"/>
      <c r="AE10" s="581"/>
      <c r="AF10" s="581"/>
      <c r="AG10" s="620"/>
      <c r="AH10" s="620"/>
      <c r="AI10" s="620"/>
      <c r="AJ10" s="620"/>
      <c r="AK10" s="620"/>
      <c r="AL10" s="620"/>
      <c r="AM10" s="652"/>
      <c r="AN10" s="652"/>
      <c r="AO10" s="652"/>
      <c r="AP10" s="652"/>
      <c r="AQ10" s="579"/>
      <c r="AR10" s="653"/>
      <c r="AS10" s="654"/>
      <c r="AT10" s="652"/>
      <c r="AU10" s="654"/>
      <c r="AV10" s="652"/>
      <c r="AW10" s="655"/>
      <c r="AX10" s="655"/>
      <c r="AY10" s="656"/>
      <c r="AZ10" s="656"/>
      <c r="BA10" s="655"/>
      <c r="BB10" s="657"/>
      <c r="BC10" s="657"/>
      <c r="BD10" s="657"/>
      <c r="BE10" s="657"/>
      <c r="BF10" s="657"/>
      <c r="BG10" s="657"/>
      <c r="BH10" s="657"/>
      <c r="BI10" s="655"/>
      <c r="BJ10" s="657"/>
      <c r="BK10" s="657"/>
      <c r="BL10" s="541"/>
      <c r="BM10" s="541"/>
      <c r="BN10" s="541"/>
      <c r="BO10" s="541"/>
      <c r="BP10" s="624"/>
      <c r="BQ10" s="541"/>
      <c r="BR10" s="541"/>
      <c r="BS10" s="541"/>
      <c r="BT10" s="541"/>
      <c r="BU10" s="541"/>
      <c r="BV10" s="541"/>
      <c r="BW10" s="541"/>
      <c r="BX10" s="541"/>
      <c r="BY10" s="541"/>
      <c r="BZ10" s="541"/>
      <c r="CA10" s="541"/>
      <c r="CB10" s="541"/>
      <c r="CC10" s="541"/>
      <c r="CD10" s="541"/>
      <c r="CE10" s="541"/>
      <c r="CF10" s="541"/>
      <c r="CG10" s="541"/>
      <c r="CH10" s="541"/>
      <c r="CI10" s="541"/>
      <c r="CJ10" s="541"/>
      <c r="CK10" s="541"/>
      <c r="CL10" s="541"/>
      <c r="CM10" s="541"/>
      <c r="CN10" s="541"/>
      <c r="CO10" s="541"/>
      <c r="CP10" s="541"/>
      <c r="CQ10" s="541"/>
      <c r="CR10" s="541"/>
      <c r="CS10" s="541"/>
      <c r="CT10" s="541"/>
      <c r="CU10" s="541"/>
      <c r="CV10" s="541"/>
      <c r="CW10" s="541"/>
      <c r="CX10" s="541"/>
      <c r="CY10" s="541"/>
      <c r="CZ10" s="541"/>
      <c r="DA10" s="541"/>
      <c r="DB10" s="541"/>
      <c r="DC10" s="541"/>
      <c r="DD10" s="541"/>
      <c r="DE10" s="541"/>
      <c r="DF10" s="541"/>
      <c r="DG10" s="541"/>
      <c r="DH10" s="541"/>
      <c r="DI10" s="541"/>
      <c r="DJ10" s="541"/>
      <c r="DK10" s="541"/>
      <c r="DL10" s="541"/>
      <c r="DM10" s="541"/>
      <c r="DN10" s="541"/>
      <c r="DO10" s="541"/>
      <c r="DP10" s="541"/>
      <c r="DQ10" s="541"/>
      <c r="DR10" s="541"/>
      <c r="DS10" s="541"/>
      <c r="DT10" s="541"/>
      <c r="DU10" s="541"/>
      <c r="DV10" s="541"/>
      <c r="DW10" s="541"/>
      <c r="DX10" s="541"/>
      <c r="DY10" s="541"/>
      <c r="DZ10" s="541"/>
      <c r="EA10" s="541"/>
      <c r="EB10" s="541"/>
      <c r="EC10" s="541"/>
      <c r="ED10" s="541"/>
      <c r="EE10" s="541"/>
      <c r="EF10" s="541"/>
      <c r="EG10" s="541"/>
      <c r="EH10" s="541"/>
      <c r="EI10" s="541"/>
      <c r="EJ10" s="541"/>
      <c r="EK10" s="541"/>
      <c r="EL10" s="541"/>
      <c r="EM10" s="541"/>
      <c r="EN10" s="541"/>
      <c r="EO10" s="541"/>
      <c r="EP10" s="541"/>
      <c r="EQ10" s="541"/>
      <c r="ER10" s="541"/>
      <c r="ES10" s="541"/>
      <c r="ET10" s="541"/>
      <c r="EU10" s="541"/>
      <c r="EV10" s="541"/>
      <c r="EW10" s="541"/>
      <c r="EX10" s="541"/>
      <c r="EY10" s="541"/>
      <c r="EZ10" s="541"/>
      <c r="FA10" s="541"/>
      <c r="FB10" s="541"/>
      <c r="FC10" s="541"/>
      <c r="FD10" s="541"/>
      <c r="FE10" s="541"/>
      <c r="FF10" s="541"/>
      <c r="FG10" s="541"/>
      <c r="FH10" s="541"/>
      <c r="FI10" s="541"/>
      <c r="FJ10" s="541"/>
      <c r="FK10" s="541"/>
      <c r="FL10" s="541"/>
      <c r="FM10" s="541"/>
      <c r="FN10" s="541"/>
      <c r="FO10" s="541"/>
      <c r="FP10" s="541"/>
      <c r="FQ10" s="541"/>
      <c r="FR10" s="541"/>
      <c r="FS10" s="541"/>
      <c r="FT10" s="541"/>
      <c r="FU10" s="541"/>
      <c r="FV10" s="541"/>
      <c r="FW10" s="541"/>
      <c r="FX10" s="541"/>
      <c r="FY10" s="541"/>
      <c r="FZ10" s="541"/>
      <c r="GA10" s="541"/>
      <c r="GB10" s="541"/>
      <c r="GC10" s="541"/>
      <c r="GD10" s="541"/>
      <c r="GE10" s="541"/>
      <c r="GF10" s="541"/>
      <c r="GG10" s="541"/>
      <c r="GH10" s="541"/>
      <c r="GI10" s="541"/>
      <c r="GJ10" s="541"/>
      <c r="GK10" s="541"/>
      <c r="GL10" s="541"/>
      <c r="GM10" s="541"/>
      <c r="GN10" s="541"/>
      <c r="GO10" s="541"/>
      <c r="GP10" s="541"/>
      <c r="GQ10" s="541"/>
      <c r="GR10" s="541"/>
      <c r="GS10" s="541"/>
      <c r="GT10" s="541"/>
      <c r="GU10" s="541"/>
      <c r="GV10" s="541"/>
      <c r="GW10" s="541"/>
      <c r="GX10" s="541"/>
      <c r="GY10" s="541"/>
      <c r="GZ10" s="541"/>
      <c r="HA10" s="541"/>
      <c r="HB10" s="541"/>
      <c r="HC10" s="541"/>
      <c r="HD10" s="541"/>
      <c r="HE10" s="541"/>
      <c r="HF10" s="541"/>
      <c r="HG10" s="541"/>
      <c r="HH10" s="541"/>
      <c r="HI10" s="541"/>
      <c r="HJ10" s="541"/>
      <c r="HK10" s="541"/>
      <c r="HL10" s="541"/>
      <c r="HM10" s="541"/>
      <c r="HN10" s="541"/>
      <c r="HO10" s="541"/>
      <c r="HP10" s="541"/>
      <c r="HQ10" s="541"/>
      <c r="HR10" s="541"/>
      <c r="HS10" s="541"/>
      <c r="HT10" s="541"/>
      <c r="HU10" s="541"/>
      <c r="HV10" s="541"/>
      <c r="HW10" s="541"/>
      <c r="HX10" s="541"/>
      <c r="HY10" s="541"/>
      <c r="HZ10" s="541"/>
      <c r="IA10" s="541"/>
      <c r="IB10" s="541"/>
      <c r="IC10" s="541"/>
      <c r="ID10" s="541"/>
      <c r="IE10" s="541"/>
      <c r="IF10" s="541"/>
      <c r="IG10" s="541"/>
      <c r="IH10" s="541"/>
      <c r="II10" s="541"/>
      <c r="IJ10" s="541"/>
      <c r="IK10" s="541"/>
      <c r="IL10" s="541"/>
      <c r="IM10" s="541"/>
      <c r="IN10" s="541"/>
      <c r="IO10" s="541"/>
      <c r="IP10" s="541"/>
      <c r="IQ10" s="541"/>
      <c r="IR10" s="541"/>
      <c r="IS10" s="541"/>
      <c r="IT10" s="541"/>
      <c r="IU10" s="541"/>
      <c r="IV10" s="541"/>
      <c r="IW10" s="541"/>
      <c r="IX10" s="541"/>
      <c r="IY10" s="541"/>
      <c r="IZ10" s="541"/>
      <c r="JA10" s="541"/>
      <c r="JB10" s="541"/>
      <c r="JC10" s="541"/>
      <c r="JD10" s="541"/>
      <c r="JE10" s="541"/>
      <c r="JF10" s="541"/>
      <c r="JG10" s="541"/>
      <c r="JH10" s="541"/>
      <c r="JI10" s="541"/>
      <c r="JJ10" s="541"/>
      <c r="JK10" s="541"/>
      <c r="JL10" s="541"/>
      <c r="JM10" s="541"/>
      <c r="JN10" s="541"/>
      <c r="JO10" s="541"/>
      <c r="JP10" s="541"/>
      <c r="JQ10" s="541"/>
      <c r="JR10" s="541"/>
      <c r="JS10" s="541"/>
      <c r="JT10" s="541"/>
      <c r="JU10" s="541"/>
      <c r="JV10" s="541"/>
      <c r="JW10" s="541"/>
      <c r="JX10" s="541"/>
      <c r="JY10" s="541"/>
      <c r="JZ10" s="541"/>
      <c r="KA10" s="541"/>
      <c r="KB10" s="541"/>
      <c r="KC10" s="541"/>
      <c r="KD10" s="541"/>
      <c r="KE10" s="541"/>
      <c r="KF10" s="541"/>
      <c r="KG10" s="541"/>
      <c r="KH10" s="541"/>
      <c r="KI10" s="541"/>
      <c r="KJ10" s="541"/>
      <c r="KK10" s="541"/>
      <c r="KL10" s="541"/>
      <c r="KM10" s="541"/>
      <c r="KN10" s="541"/>
      <c r="KO10" s="541"/>
      <c r="KP10" s="541"/>
      <c r="KQ10" s="541"/>
      <c r="KR10" s="541"/>
      <c r="KS10" s="541"/>
      <c r="KT10" s="541"/>
      <c r="KU10" s="541"/>
      <c r="KV10" s="541"/>
      <c r="KW10" s="541"/>
      <c r="KX10" s="541"/>
      <c r="KY10" s="541"/>
      <c r="KZ10" s="541"/>
      <c r="LA10" s="541"/>
      <c r="LB10" s="541"/>
      <c r="LC10" s="541"/>
      <c r="LD10" s="541"/>
      <c r="LE10" s="541"/>
      <c r="LF10" s="541"/>
      <c r="LG10" s="541"/>
      <c r="LH10" s="541"/>
      <c r="LI10" s="541"/>
      <c r="LJ10" s="541"/>
      <c r="LK10" s="541"/>
      <c r="LL10" s="541"/>
      <c r="LM10" s="541"/>
      <c r="LN10" s="541"/>
      <c r="LO10" s="541"/>
      <c r="LP10" s="541"/>
      <c r="LQ10" s="541"/>
      <c r="LR10" s="541"/>
      <c r="LS10" s="541"/>
      <c r="LT10" s="541"/>
      <c r="LU10" s="541"/>
      <c r="LV10" s="541"/>
      <c r="LW10" s="541"/>
      <c r="LX10" s="541"/>
      <c r="LY10" s="541"/>
      <c r="LZ10" s="541"/>
      <c r="MA10" s="541"/>
      <c r="MB10" s="541"/>
      <c r="MC10" s="541"/>
      <c r="MD10" s="541"/>
      <c r="ME10" s="541"/>
      <c r="MF10" s="541"/>
      <c r="MG10" s="541"/>
      <c r="MH10" s="541"/>
      <c r="MI10" s="541"/>
      <c r="MJ10" s="541"/>
      <c r="MK10" s="541"/>
      <c r="ML10" s="541"/>
      <c r="MM10" s="541"/>
      <c r="MN10" s="541"/>
      <c r="MO10" s="541"/>
      <c r="MP10" s="541"/>
      <c r="MQ10" s="541"/>
      <c r="MR10" s="541"/>
      <c r="MS10" s="541"/>
      <c r="MT10" s="541"/>
      <c r="MU10" s="541"/>
      <c r="MV10" s="541"/>
      <c r="MW10" s="541"/>
      <c r="MX10" s="541"/>
      <c r="MY10" s="541"/>
      <c r="MZ10" s="541"/>
      <c r="NA10" s="541"/>
      <c r="NB10" s="541"/>
      <c r="NC10" s="541"/>
      <c r="ND10" s="541"/>
      <c r="NE10" s="541"/>
      <c r="NF10" s="541"/>
      <c r="NG10" s="541"/>
      <c r="NH10" s="541"/>
      <c r="NI10" s="541"/>
      <c r="NJ10" s="541"/>
      <c r="NK10" s="541"/>
      <c r="NL10" s="541"/>
      <c r="NM10" s="541"/>
      <c r="NN10" s="541"/>
      <c r="NO10" s="541"/>
      <c r="NP10" s="541"/>
      <c r="NQ10" s="541"/>
      <c r="NR10" s="541"/>
      <c r="NS10" s="541"/>
      <c r="NT10" s="541"/>
      <c r="NU10" s="541"/>
      <c r="NV10" s="541"/>
      <c r="NW10" s="541"/>
      <c r="NX10" s="541"/>
      <c r="NY10" s="541"/>
      <c r="NZ10" s="541"/>
      <c r="OA10" s="541"/>
      <c r="OB10" s="541"/>
      <c r="OC10" s="541"/>
      <c r="OD10" s="541"/>
      <c r="OE10" s="541"/>
      <c r="OF10" s="541"/>
      <c r="OG10" s="541"/>
      <c r="OH10" s="541"/>
      <c r="OI10" s="541"/>
      <c r="OJ10" s="541"/>
      <c r="OK10" s="541"/>
      <c r="OL10" s="541"/>
      <c r="OM10" s="541"/>
      <c r="ON10" s="541"/>
      <c r="OO10" s="541"/>
      <c r="OP10" s="541"/>
      <c r="OQ10" s="541"/>
      <c r="OR10" s="541"/>
      <c r="OS10" s="541"/>
      <c r="OT10" s="541"/>
      <c r="OU10" s="541"/>
      <c r="OV10" s="541"/>
      <c r="OW10" s="541"/>
      <c r="OX10" s="541"/>
      <c r="OY10" s="541"/>
      <c r="OZ10" s="541"/>
      <c r="PA10" s="541"/>
      <c r="PB10" s="541"/>
      <c r="PC10" s="541"/>
      <c r="PD10" s="541"/>
      <c r="PE10" s="541"/>
      <c r="PF10" s="541"/>
      <c r="PG10" s="541"/>
      <c r="PH10" s="541"/>
      <c r="PI10" s="541"/>
      <c r="PJ10" s="541"/>
      <c r="PK10" s="541"/>
      <c r="PL10" s="541"/>
      <c r="PM10" s="541"/>
      <c r="PN10" s="541"/>
      <c r="PO10" s="541"/>
      <c r="PP10" s="541"/>
      <c r="PQ10" s="541"/>
      <c r="PR10" s="541"/>
      <c r="PS10" s="541"/>
      <c r="PT10" s="541"/>
      <c r="PU10" s="541"/>
      <c r="PV10" s="541"/>
      <c r="PW10" s="541"/>
      <c r="PX10" s="541"/>
      <c r="PY10" s="541"/>
      <c r="PZ10" s="541"/>
      <c r="QA10" s="541"/>
      <c r="QB10" s="541"/>
      <c r="QC10" s="541"/>
      <c r="QD10" s="541"/>
      <c r="QE10" s="541"/>
      <c r="QF10" s="541"/>
      <c r="QG10" s="541"/>
      <c r="QH10" s="541"/>
      <c r="QI10" s="541"/>
      <c r="QJ10" s="541"/>
      <c r="QK10" s="541"/>
      <c r="QL10" s="541"/>
      <c r="QM10" s="541"/>
      <c r="QN10" s="541"/>
      <c r="QO10" s="541"/>
      <c r="QP10" s="541"/>
      <c r="QQ10" s="541"/>
      <c r="QR10" s="541"/>
      <c r="QS10" s="541"/>
      <c r="QT10" s="541"/>
      <c r="QU10" s="541"/>
      <c r="QV10" s="541"/>
      <c r="QW10" s="541"/>
      <c r="QX10" s="541"/>
      <c r="QY10" s="541"/>
      <c r="QZ10" s="541"/>
      <c r="RA10" s="541"/>
      <c r="RB10" s="541"/>
      <c r="RC10" s="541"/>
      <c r="RD10" s="541"/>
      <c r="RE10" s="541"/>
      <c r="RF10" s="541"/>
      <c r="RG10" s="541"/>
      <c r="RH10" s="541"/>
      <c r="RI10" s="541"/>
      <c r="RJ10" s="541"/>
      <c r="RK10" s="541"/>
      <c r="RL10" s="541"/>
      <c r="RM10" s="541"/>
      <c r="RN10" s="541"/>
      <c r="RO10" s="541"/>
      <c r="RP10" s="541"/>
      <c r="RQ10" s="541"/>
      <c r="RR10" s="541"/>
      <c r="RS10" s="541"/>
      <c r="RT10" s="541"/>
      <c r="RU10" s="541"/>
      <c r="RV10" s="541"/>
      <c r="RW10" s="541"/>
      <c r="RX10" s="541"/>
      <c r="RY10" s="541"/>
      <c r="RZ10" s="541"/>
      <c r="SA10" s="541"/>
      <c r="SB10" s="541"/>
      <c r="SC10" s="541"/>
      <c r="SD10" s="541"/>
      <c r="SE10" s="541"/>
      <c r="SF10" s="541"/>
      <c r="SG10" s="541"/>
      <c r="SH10" s="541"/>
      <c r="SI10" s="541"/>
      <c r="SJ10" s="541"/>
      <c r="SK10" s="541"/>
      <c r="SL10" s="541"/>
      <c r="SM10" s="541"/>
      <c r="SN10" s="541"/>
      <c r="SO10" s="541"/>
      <c r="SP10" s="541"/>
      <c r="SQ10" s="541"/>
      <c r="SR10" s="541"/>
      <c r="SS10" s="541"/>
      <c r="ST10" s="541"/>
      <c r="SU10" s="541"/>
      <c r="SV10" s="541"/>
      <c r="SW10" s="541"/>
      <c r="SX10" s="541"/>
      <c r="SY10" s="541"/>
      <c r="SZ10" s="541"/>
      <c r="TA10" s="541"/>
      <c r="TB10" s="541"/>
      <c r="TC10" s="541"/>
      <c r="TD10" s="541"/>
      <c r="TE10" s="541"/>
      <c r="TF10" s="541"/>
      <c r="TG10" s="541"/>
      <c r="TH10" s="541"/>
      <c r="TI10" s="541"/>
      <c r="TJ10" s="541"/>
      <c r="TK10" s="541"/>
      <c r="TL10" s="541"/>
      <c r="TM10" s="541"/>
      <c r="TN10" s="541"/>
      <c r="TO10" s="541"/>
      <c r="TP10" s="541"/>
      <c r="TQ10" s="541"/>
      <c r="TR10" s="541"/>
      <c r="TS10" s="541"/>
      <c r="TT10" s="541"/>
      <c r="TU10" s="541"/>
      <c r="TV10" s="541"/>
      <c r="TW10" s="541"/>
      <c r="TX10" s="541"/>
      <c r="TY10" s="541"/>
      <c r="TZ10" s="541"/>
      <c r="UA10" s="541"/>
      <c r="UB10" s="541"/>
      <c r="UC10" s="541"/>
      <c r="UD10" s="541"/>
      <c r="UE10" s="541"/>
      <c r="UF10" s="541"/>
      <c r="UG10" s="541"/>
      <c r="UH10" s="541"/>
      <c r="UI10" s="541"/>
      <c r="UJ10" s="541"/>
      <c r="UK10" s="541"/>
      <c r="UL10" s="541"/>
      <c r="UM10" s="541"/>
      <c r="UN10" s="541"/>
      <c r="UO10" s="541"/>
      <c r="UP10" s="541"/>
      <c r="UQ10" s="541"/>
      <c r="UR10" s="541"/>
      <c r="US10" s="541"/>
      <c r="UT10" s="541"/>
      <c r="UU10" s="541"/>
      <c r="UV10" s="541"/>
      <c r="UW10" s="541"/>
      <c r="UX10" s="541"/>
      <c r="UY10" s="541"/>
      <c r="UZ10" s="541"/>
      <c r="VA10" s="541"/>
      <c r="VB10" s="541"/>
      <c r="VC10" s="541"/>
      <c r="VD10" s="541"/>
      <c r="VE10" s="541"/>
      <c r="VF10" s="541"/>
      <c r="VG10" s="541"/>
      <c r="VH10" s="541"/>
      <c r="VI10" s="541"/>
      <c r="VJ10" s="541"/>
      <c r="VK10" s="541"/>
      <c r="VL10" s="541"/>
      <c r="VM10" s="541"/>
      <c r="VN10" s="541"/>
      <c r="VO10" s="541"/>
      <c r="VP10" s="541"/>
      <c r="VQ10" s="541"/>
      <c r="VR10" s="541"/>
      <c r="VS10" s="541"/>
      <c r="VT10" s="541"/>
      <c r="VU10" s="541"/>
      <c r="VV10" s="541"/>
      <c r="VW10" s="541"/>
      <c r="VX10" s="541"/>
      <c r="VY10" s="541"/>
      <c r="VZ10" s="541"/>
      <c r="WA10" s="541"/>
      <c r="WB10" s="541"/>
      <c r="WC10" s="541"/>
      <c r="WD10" s="541"/>
      <c r="WE10" s="541"/>
      <c r="WF10" s="541"/>
      <c r="WG10" s="541"/>
      <c r="WH10" s="541"/>
      <c r="WI10" s="541"/>
      <c r="WJ10" s="541"/>
      <c r="WK10" s="541"/>
      <c r="WL10" s="541"/>
      <c r="WM10" s="541"/>
      <c r="WN10" s="541"/>
      <c r="WO10" s="541"/>
      <c r="WP10" s="541"/>
      <c r="WQ10" s="541"/>
      <c r="WR10" s="541"/>
      <c r="WS10" s="541"/>
      <c r="WT10" s="541"/>
      <c r="WU10" s="541"/>
      <c r="WV10" s="541"/>
      <c r="WW10" s="541"/>
      <c r="WX10" s="541"/>
      <c r="WY10" s="541"/>
      <c r="WZ10" s="541"/>
      <c r="XA10" s="541"/>
      <c r="XB10" s="541"/>
      <c r="XC10" s="541"/>
      <c r="XD10" s="541"/>
      <c r="XE10" s="541"/>
      <c r="XF10" s="541"/>
      <c r="XG10" s="541"/>
      <c r="XH10" s="541"/>
      <c r="XI10" s="541"/>
      <c r="XJ10" s="541"/>
      <c r="XK10" s="541"/>
      <c r="XL10" s="541"/>
      <c r="XM10" s="541"/>
      <c r="XN10" s="541"/>
      <c r="XO10" s="541"/>
      <c r="XP10" s="541"/>
      <c r="XQ10" s="541"/>
      <c r="XR10" s="541"/>
      <c r="XS10" s="541"/>
      <c r="XT10" s="541"/>
      <c r="XU10" s="541"/>
      <c r="XV10" s="541"/>
      <c r="XW10" s="541"/>
      <c r="XX10" s="541"/>
      <c r="XY10" s="541"/>
      <c r="XZ10" s="541"/>
      <c r="YA10" s="541"/>
      <c r="YB10" s="541"/>
      <c r="YC10" s="541"/>
      <c r="YD10" s="541"/>
      <c r="YE10" s="541"/>
      <c r="YF10" s="541"/>
      <c r="YG10" s="541"/>
      <c r="YH10" s="541"/>
      <c r="YI10" s="541"/>
      <c r="YJ10" s="541"/>
      <c r="YK10" s="541"/>
      <c r="YL10" s="541"/>
      <c r="YM10" s="541"/>
      <c r="YN10" s="541"/>
      <c r="YO10" s="541"/>
      <c r="YP10" s="541"/>
      <c r="YQ10" s="541"/>
      <c r="YR10" s="541"/>
      <c r="YS10" s="541"/>
      <c r="YT10" s="541"/>
      <c r="YU10" s="541"/>
      <c r="YV10" s="541"/>
      <c r="YW10" s="541"/>
      <c r="YX10" s="541"/>
      <c r="YY10" s="541"/>
      <c r="YZ10" s="541"/>
      <c r="ZA10" s="541"/>
      <c r="ZB10" s="541"/>
      <c r="ZC10" s="541"/>
      <c r="ZD10" s="541"/>
      <c r="ZE10" s="541"/>
      <c r="ZF10" s="541"/>
      <c r="ZG10" s="541"/>
      <c r="ZH10" s="541"/>
      <c r="ZI10" s="541"/>
      <c r="ZJ10" s="541"/>
      <c r="ZK10" s="541"/>
      <c r="ZL10" s="541"/>
      <c r="ZM10" s="541"/>
      <c r="ZN10" s="541"/>
      <c r="ZO10" s="541"/>
      <c r="ZP10" s="541"/>
      <c r="ZQ10" s="541"/>
      <c r="ZR10" s="541"/>
      <c r="ZS10" s="541"/>
      <c r="ZT10" s="541"/>
      <c r="ZU10" s="541"/>
      <c r="ZV10" s="541"/>
      <c r="ZW10" s="541"/>
      <c r="ZX10" s="541"/>
      <c r="ZY10" s="541"/>
      <c r="ZZ10" s="541"/>
      <c r="AAA10" s="541"/>
      <c r="AAB10" s="541"/>
      <c r="AAC10" s="541"/>
      <c r="AAD10" s="541"/>
      <c r="AAE10" s="541"/>
      <c r="AAF10" s="541"/>
      <c r="AAG10" s="541"/>
      <c r="AAH10" s="541"/>
      <c r="AAI10" s="541"/>
      <c r="AAJ10" s="541"/>
      <c r="AAK10" s="541"/>
      <c r="AAL10" s="541"/>
      <c r="AAM10" s="541"/>
      <c r="AAN10" s="541"/>
      <c r="AAO10" s="541"/>
      <c r="AAP10" s="541"/>
      <c r="AAQ10" s="541"/>
      <c r="AAR10" s="541"/>
      <c r="AAS10" s="541"/>
      <c r="AAT10" s="541"/>
      <c r="AAU10" s="541"/>
      <c r="AAV10" s="541"/>
      <c r="AAW10" s="541"/>
      <c r="AAX10" s="541"/>
      <c r="AAY10" s="541"/>
      <c r="AAZ10" s="541"/>
      <c r="ABA10" s="541"/>
      <c r="ABB10" s="541"/>
      <c r="ABC10" s="541"/>
      <c r="ABD10" s="541"/>
      <c r="ABE10" s="541"/>
      <c r="ABF10" s="541"/>
      <c r="ABG10" s="541"/>
      <c r="ABH10" s="541"/>
      <c r="ABI10" s="541"/>
      <c r="ABJ10" s="541"/>
      <c r="ABK10" s="541"/>
      <c r="ABL10" s="541"/>
      <c r="ABM10" s="541"/>
      <c r="ABN10" s="541"/>
      <c r="ABO10" s="541"/>
      <c r="ABP10" s="541"/>
      <c r="ABQ10" s="541"/>
      <c r="ABR10" s="541"/>
      <c r="ABS10" s="541"/>
      <c r="ABT10" s="541"/>
      <c r="ABU10" s="541"/>
      <c r="ABV10" s="541"/>
      <c r="ABW10" s="541"/>
      <c r="ABX10" s="541"/>
      <c r="ABY10" s="541"/>
      <c r="ABZ10" s="541"/>
      <c r="ACA10" s="541"/>
      <c r="ACB10" s="541"/>
      <c r="ACC10" s="541"/>
      <c r="ACD10" s="541"/>
      <c r="ACE10" s="541"/>
      <c r="ACF10" s="541"/>
      <c r="ACG10" s="541"/>
      <c r="ACH10" s="541"/>
      <c r="ACI10" s="541"/>
      <c r="ACJ10" s="541"/>
      <c r="ACK10" s="541"/>
      <c r="ACL10" s="541"/>
      <c r="ACM10" s="541"/>
      <c r="ACN10" s="541"/>
      <c r="ACO10" s="541"/>
      <c r="ACP10" s="541"/>
      <c r="ACQ10" s="541"/>
      <c r="ACR10" s="541"/>
      <c r="ACS10" s="541"/>
      <c r="ACT10" s="541"/>
      <c r="ACU10" s="541"/>
      <c r="ACV10" s="541"/>
      <c r="ACW10" s="541"/>
      <c r="ACX10" s="541"/>
      <c r="ACY10" s="541"/>
      <c r="ACZ10" s="541"/>
      <c r="ADA10" s="541"/>
      <c r="ADB10" s="541"/>
      <c r="ADC10" s="541"/>
      <c r="ADD10" s="541"/>
      <c r="ADE10" s="541"/>
      <c r="ADF10" s="541"/>
      <c r="ADG10" s="541"/>
      <c r="ADH10" s="541"/>
      <c r="ADI10" s="541"/>
      <c r="ADJ10" s="541"/>
      <c r="ADK10" s="541"/>
      <c r="ADL10" s="541"/>
      <c r="ADM10" s="541"/>
      <c r="ADN10" s="541"/>
      <c r="ADO10" s="541"/>
      <c r="ADP10" s="541"/>
      <c r="ADQ10" s="541"/>
      <c r="ADR10" s="541"/>
      <c r="ADS10" s="541"/>
      <c r="ADT10" s="541"/>
      <c r="ADU10" s="541"/>
      <c r="ADV10" s="541"/>
      <c r="ADW10" s="541"/>
      <c r="ADX10" s="541"/>
      <c r="ADY10" s="541"/>
      <c r="ADZ10" s="541"/>
      <c r="AEA10" s="541"/>
      <c r="AEB10" s="541"/>
      <c r="AEC10" s="541"/>
      <c r="AED10" s="541"/>
      <c r="AEE10" s="541"/>
      <c r="AEF10" s="541"/>
      <c r="AEG10" s="541"/>
      <c r="AEH10" s="541"/>
      <c r="AEI10" s="541"/>
      <c r="AEJ10" s="541"/>
      <c r="AEK10" s="541"/>
      <c r="AEL10" s="541"/>
      <c r="AEM10" s="541"/>
      <c r="AEN10" s="541"/>
      <c r="AEO10" s="541"/>
      <c r="AEP10" s="541"/>
      <c r="AEQ10" s="541"/>
      <c r="AER10" s="541"/>
      <c r="AES10" s="541"/>
      <c r="AET10" s="541"/>
      <c r="AEU10" s="541"/>
      <c r="AEV10" s="541"/>
      <c r="AEW10" s="541"/>
      <c r="AEX10" s="541"/>
      <c r="AEY10" s="541"/>
      <c r="AEZ10" s="541"/>
      <c r="AFA10" s="541"/>
      <c r="AFB10" s="541"/>
      <c r="AFC10" s="541"/>
      <c r="AFD10" s="541"/>
      <c r="AFE10" s="541"/>
      <c r="AFF10" s="541"/>
      <c r="AFG10" s="541"/>
      <c r="AFH10" s="541"/>
      <c r="AFI10" s="541"/>
      <c r="AFJ10" s="541"/>
      <c r="AFK10" s="541"/>
      <c r="AFL10" s="541"/>
      <c r="AFM10" s="541"/>
      <c r="AFN10" s="541"/>
      <c r="AFO10" s="541"/>
      <c r="AFP10" s="541"/>
      <c r="AFQ10" s="541"/>
      <c r="AFR10" s="541"/>
      <c r="AFS10" s="541"/>
      <c r="AFT10" s="541"/>
      <c r="AFU10" s="541"/>
      <c r="AFV10" s="541"/>
      <c r="AFW10" s="541"/>
      <c r="AFX10" s="541"/>
      <c r="AFY10" s="541"/>
      <c r="AFZ10" s="541"/>
      <c r="AGA10" s="541"/>
      <c r="AGB10" s="541"/>
      <c r="AGC10" s="541"/>
      <c r="AGD10" s="541"/>
      <c r="AGE10" s="541"/>
      <c r="AGF10" s="541"/>
      <c r="AGG10" s="541"/>
      <c r="AGH10" s="541"/>
      <c r="AGI10" s="541"/>
      <c r="AGJ10" s="541"/>
      <c r="AGK10" s="541"/>
      <c r="AGL10" s="541"/>
      <c r="AGM10" s="541"/>
      <c r="AGN10" s="541"/>
      <c r="AGO10" s="541"/>
      <c r="AGP10" s="541"/>
      <c r="AGQ10" s="541"/>
      <c r="AGR10" s="541"/>
      <c r="AGS10" s="541"/>
      <c r="AGT10" s="541"/>
      <c r="AGU10" s="541"/>
      <c r="AGV10" s="541"/>
      <c r="AGW10" s="541"/>
      <c r="AGX10" s="541"/>
      <c r="AGY10" s="541"/>
      <c r="AGZ10" s="541"/>
      <c r="AHA10" s="541"/>
      <c r="AHB10" s="541"/>
      <c r="AHC10" s="541"/>
      <c r="AHD10" s="541"/>
      <c r="AHE10" s="541"/>
      <c r="AHF10" s="541"/>
      <c r="AHG10" s="541"/>
      <c r="AHH10" s="541"/>
      <c r="AHI10" s="541"/>
      <c r="AHJ10" s="541"/>
      <c r="AHK10" s="541"/>
      <c r="AHL10" s="541"/>
      <c r="AHM10" s="541"/>
      <c r="AHN10" s="541"/>
      <c r="AHO10" s="541"/>
      <c r="AHP10" s="541"/>
      <c r="AHQ10" s="541"/>
      <c r="AHR10" s="541"/>
      <c r="AHS10" s="541"/>
      <c r="AHT10" s="541"/>
      <c r="AHU10" s="541"/>
      <c r="AHV10" s="541"/>
      <c r="AHW10" s="541"/>
      <c r="AHX10" s="541"/>
      <c r="AHY10" s="541"/>
      <c r="AHZ10" s="541"/>
      <c r="AIA10" s="541"/>
      <c r="AIB10" s="541"/>
      <c r="AIC10" s="541"/>
      <c r="AID10" s="541"/>
      <c r="AIE10" s="541"/>
      <c r="AIF10" s="541"/>
      <c r="AIG10" s="541"/>
      <c r="AIH10" s="541"/>
      <c r="AII10" s="541"/>
      <c r="AIJ10" s="541"/>
      <c r="AIK10" s="541"/>
      <c r="AIL10" s="541"/>
      <c r="AIM10" s="541"/>
      <c r="AIN10" s="541"/>
      <c r="AIO10" s="541"/>
      <c r="AIP10" s="541"/>
      <c r="AIQ10" s="541"/>
      <c r="AIR10" s="541"/>
      <c r="AIS10" s="541"/>
      <c r="AIT10" s="541"/>
      <c r="AIU10" s="541"/>
      <c r="AIV10" s="541"/>
      <c r="AIW10" s="541"/>
      <c r="AIX10" s="541"/>
      <c r="AIY10" s="541"/>
      <c r="AIZ10" s="541"/>
      <c r="AJA10" s="541"/>
      <c r="AJB10" s="541"/>
      <c r="AJC10" s="541"/>
      <c r="AJD10" s="541"/>
      <c r="AJE10" s="541"/>
      <c r="AJF10" s="541"/>
      <c r="AJG10" s="541"/>
      <c r="AJH10" s="541"/>
      <c r="AJI10" s="541"/>
      <c r="AJJ10" s="541"/>
      <c r="AJK10" s="541"/>
      <c r="AJL10" s="541"/>
      <c r="AJM10" s="541"/>
      <c r="AJN10" s="541"/>
      <c r="AJO10" s="541"/>
      <c r="AJP10" s="541"/>
      <c r="AJQ10" s="541"/>
      <c r="AJR10" s="541"/>
      <c r="AJS10" s="541"/>
      <c r="AJT10" s="541"/>
      <c r="AJU10" s="541"/>
      <c r="AJV10" s="541"/>
      <c r="AJW10" s="541"/>
      <c r="AJX10" s="541"/>
      <c r="AJY10" s="541"/>
      <c r="AJZ10" s="541"/>
      <c r="AKA10" s="541"/>
      <c r="AKB10" s="541"/>
      <c r="AKC10" s="541"/>
      <c r="AKD10" s="541"/>
      <c r="AKE10" s="541"/>
      <c r="AKF10" s="541"/>
      <c r="AKG10" s="541"/>
      <c r="AKH10" s="541"/>
      <c r="AKI10" s="541"/>
      <c r="AKJ10" s="541"/>
      <c r="AKK10" s="541"/>
      <c r="AKL10" s="541"/>
      <c r="AKM10" s="541"/>
      <c r="AKN10" s="541"/>
      <c r="AKO10" s="541"/>
      <c r="AKP10" s="541"/>
      <c r="AKQ10" s="541"/>
      <c r="AKR10" s="541"/>
      <c r="AKS10" s="541"/>
      <c r="AKT10" s="541"/>
      <c r="AKU10" s="541"/>
      <c r="AKV10" s="541"/>
      <c r="AKW10" s="541"/>
      <c r="AKX10" s="541"/>
      <c r="AKY10" s="541"/>
      <c r="AKZ10" s="541"/>
      <c r="ALA10" s="541"/>
      <c r="ALB10" s="541"/>
      <c r="ALC10" s="541"/>
      <c r="ALD10" s="541"/>
      <c r="ALE10" s="541"/>
      <c r="ALF10" s="541"/>
      <c r="ALG10" s="541"/>
      <c r="ALH10" s="541"/>
      <c r="ALI10" s="541"/>
      <c r="ALJ10" s="541"/>
      <c r="ALK10" s="541"/>
      <c r="ALL10" s="541"/>
      <c r="ALM10" s="541"/>
      <c r="ALN10" s="541"/>
      <c r="ALO10" s="541"/>
      <c r="ALP10" s="541"/>
      <c r="ALQ10" s="541"/>
      <c r="ALR10" s="541"/>
      <c r="ALS10" s="541"/>
      <c r="ALT10" s="541"/>
      <c r="ALU10" s="541"/>
      <c r="ALV10" s="541"/>
      <c r="ALW10" s="541"/>
      <c r="ALX10" s="541"/>
      <c r="ALY10" s="541"/>
      <c r="ALZ10" s="541"/>
      <c r="AMA10" s="541"/>
      <c r="AMB10" s="541"/>
      <c r="AMC10" s="541"/>
      <c r="AMD10" s="541"/>
      <c r="AME10" s="541"/>
      <c r="AMF10" s="541"/>
      <c r="AMG10" s="541"/>
      <c r="AMH10" s="541"/>
      <c r="AMI10" s="541"/>
      <c r="AMJ10" s="541"/>
      <c r="AMK10" s="541"/>
      <c r="AML10" s="541"/>
      <c r="AMM10" s="541"/>
      <c r="AMN10" s="541"/>
      <c r="AMO10" s="541"/>
      <c r="AMP10" s="541"/>
      <c r="AMQ10" s="541"/>
      <c r="AMR10" s="541"/>
      <c r="AMS10" s="541"/>
      <c r="AMT10" s="541"/>
      <c r="AMU10" s="541"/>
      <c r="AMV10" s="541"/>
      <c r="AMW10" s="541"/>
      <c r="AMX10" s="541"/>
      <c r="AMY10" s="541"/>
      <c r="AMZ10" s="541"/>
      <c r="ANA10" s="541"/>
      <c r="ANB10" s="541"/>
      <c r="ANC10" s="541"/>
      <c r="AND10" s="541"/>
      <c r="ANE10" s="541"/>
      <c r="ANF10" s="541"/>
      <c r="ANG10" s="541"/>
      <c r="ANH10" s="541"/>
      <c r="ANI10" s="541"/>
      <c r="ANJ10" s="541"/>
      <c r="ANK10" s="541"/>
      <c r="ANL10" s="541"/>
      <c r="ANM10" s="541"/>
      <c r="ANN10" s="541"/>
      <c r="ANO10" s="541"/>
      <c r="ANP10" s="541"/>
      <c r="ANQ10" s="541"/>
      <c r="ANR10" s="541"/>
      <c r="ANS10" s="541"/>
      <c r="ANT10" s="541"/>
      <c r="ANU10" s="541"/>
      <c r="ANV10" s="541"/>
      <c r="ANW10" s="541"/>
      <c r="ANX10" s="541"/>
      <c r="ANY10" s="541"/>
      <c r="ANZ10" s="541"/>
      <c r="AOA10" s="541"/>
      <c r="AOB10" s="541"/>
      <c r="AOC10" s="541"/>
      <c r="AOD10" s="541"/>
      <c r="AOE10" s="541"/>
      <c r="AOF10" s="541"/>
      <c r="AOG10" s="541"/>
      <c r="AOH10" s="541"/>
      <c r="AOI10" s="541"/>
      <c r="AOJ10" s="541"/>
      <c r="AOK10" s="541"/>
      <c r="AOL10" s="541"/>
      <c r="AOM10" s="541"/>
      <c r="AON10" s="541"/>
      <c r="AOO10" s="541"/>
      <c r="AOP10" s="541"/>
      <c r="AOQ10" s="541"/>
      <c r="AOR10" s="541"/>
      <c r="AOS10" s="541"/>
      <c r="AOT10" s="541"/>
      <c r="AOU10" s="541"/>
      <c r="AOV10" s="541"/>
      <c r="AOW10" s="541"/>
      <c r="AOX10" s="541"/>
      <c r="AOY10" s="541"/>
      <c r="AOZ10" s="541"/>
      <c r="APA10" s="541"/>
      <c r="APB10" s="541"/>
      <c r="APC10" s="541"/>
      <c r="APD10" s="541"/>
      <c r="APE10" s="541"/>
      <c r="APF10" s="541"/>
      <c r="APG10" s="541"/>
      <c r="APH10" s="541"/>
      <c r="API10" s="541"/>
      <c r="APJ10" s="541"/>
      <c r="APK10" s="541"/>
      <c r="APL10" s="541"/>
      <c r="APM10" s="541"/>
      <c r="APN10" s="541"/>
      <c r="APO10" s="541"/>
      <c r="APP10" s="541"/>
      <c r="APQ10" s="541"/>
      <c r="APR10" s="541"/>
      <c r="APS10" s="541"/>
      <c r="APT10" s="541"/>
      <c r="APU10" s="541"/>
      <c r="APV10" s="541"/>
      <c r="APW10" s="541"/>
      <c r="APX10" s="541"/>
      <c r="APY10" s="541"/>
      <c r="APZ10" s="541"/>
      <c r="AQA10" s="541"/>
      <c r="AQB10" s="541"/>
      <c r="AQC10" s="541"/>
      <c r="AQD10" s="541"/>
      <c r="AQE10" s="541"/>
      <c r="AQF10" s="541"/>
      <c r="AQG10" s="541"/>
      <c r="AQH10" s="541"/>
      <c r="AQI10" s="541"/>
      <c r="AQJ10" s="541"/>
      <c r="AQK10" s="541"/>
      <c r="AQL10" s="541"/>
      <c r="AQM10" s="541"/>
      <c r="AQN10" s="541"/>
      <c r="AQO10" s="541"/>
      <c r="AQP10" s="541"/>
      <c r="AQQ10" s="541"/>
      <c r="AQR10" s="541"/>
      <c r="AQS10" s="541"/>
      <c r="AQT10" s="541"/>
      <c r="AQU10" s="541"/>
      <c r="AQV10" s="541"/>
      <c r="AQW10" s="541"/>
      <c r="AQX10" s="541"/>
      <c r="AQY10" s="541"/>
      <c r="AQZ10" s="541"/>
      <c r="ARA10" s="541"/>
      <c r="ARB10" s="541"/>
      <c r="ARC10" s="541"/>
      <c r="ARD10" s="541"/>
      <c r="ARE10" s="541"/>
      <c r="ARF10" s="541"/>
      <c r="ARG10" s="541"/>
      <c r="ARH10" s="541"/>
      <c r="ARI10" s="541"/>
      <c r="ARJ10" s="541"/>
      <c r="ARK10" s="541"/>
      <c r="ARL10" s="541"/>
      <c r="ARM10" s="541"/>
      <c r="ARN10" s="541"/>
      <c r="ARO10" s="541"/>
      <c r="ARP10" s="541"/>
      <c r="ARQ10" s="541"/>
      <c r="ARR10" s="541"/>
      <c r="ARS10" s="541"/>
      <c r="ART10" s="541"/>
      <c r="ARU10" s="541"/>
    </row>
    <row r="11" spans="1:1165" s="658" customFormat="1">
      <c r="A11" s="613" t="s">
        <v>0</v>
      </c>
      <c r="B11" s="578" t="s">
        <v>110</v>
      </c>
      <c r="C11" s="659">
        <v>25517415</v>
      </c>
      <c r="D11" s="659">
        <v>2422962046</v>
      </c>
      <c r="E11" s="581">
        <v>3663689</v>
      </c>
      <c r="F11" s="581">
        <v>436014691</v>
      </c>
      <c r="G11" s="581">
        <v>3678480</v>
      </c>
      <c r="H11" s="581">
        <v>548093520</v>
      </c>
      <c r="I11" s="581">
        <v>3676385</v>
      </c>
      <c r="J11" s="581">
        <v>647822717</v>
      </c>
      <c r="K11" s="581">
        <v>3983098</v>
      </c>
      <c r="L11" s="581">
        <v>745084355</v>
      </c>
      <c r="M11" s="581">
        <v>5004998</v>
      </c>
      <c r="N11" s="581">
        <v>940855670</v>
      </c>
      <c r="O11" s="581">
        <v>5419623</v>
      </c>
      <c r="P11" s="581">
        <v>1098152135</v>
      </c>
      <c r="Q11" s="581">
        <v>5442790</v>
      </c>
      <c r="R11" s="581">
        <v>1015172246</v>
      </c>
      <c r="S11" s="581">
        <v>5928763</v>
      </c>
      <c r="T11" s="581">
        <v>1104313745</v>
      </c>
      <c r="U11" s="598">
        <v>6176414</v>
      </c>
      <c r="V11" s="598">
        <v>1301425700</v>
      </c>
      <c r="W11" s="598">
        <v>6384796</v>
      </c>
      <c r="X11" s="598">
        <v>2096790010</v>
      </c>
      <c r="Y11" s="660">
        <v>6722292</v>
      </c>
      <c r="Z11" s="660">
        <v>2358954531</v>
      </c>
      <c r="AA11" s="619">
        <v>7009184</v>
      </c>
      <c r="AB11" s="619">
        <v>1844032647</v>
      </c>
      <c r="AC11" s="620">
        <v>7082757</v>
      </c>
      <c r="AD11" s="620">
        <v>1689720803</v>
      </c>
      <c r="AE11" s="581">
        <v>7801274</v>
      </c>
      <c r="AF11" s="581">
        <v>1891855796</v>
      </c>
      <c r="AG11" s="619">
        <v>7933321</v>
      </c>
      <c r="AH11" s="619">
        <v>1684580839</v>
      </c>
      <c r="AI11" s="619">
        <v>8067380</v>
      </c>
      <c r="AJ11" s="619">
        <v>1757356480</v>
      </c>
      <c r="AK11" s="661">
        <v>8249660</v>
      </c>
      <c r="AL11" s="661">
        <v>1967808060.25</v>
      </c>
      <c r="AM11" s="662">
        <v>8481895</v>
      </c>
      <c r="AN11" s="662">
        <v>2084713647</v>
      </c>
      <c r="AO11" s="579">
        <v>8748182</v>
      </c>
      <c r="AP11" s="579">
        <v>2429704528</v>
      </c>
      <c r="AQ11" s="579">
        <v>8930010</v>
      </c>
      <c r="AR11" s="579">
        <v>2311377164.5799999</v>
      </c>
      <c r="AS11" s="579">
        <v>10003058</v>
      </c>
      <c r="AT11" s="579">
        <v>3187472430</v>
      </c>
      <c r="AU11" s="619">
        <v>10748039</v>
      </c>
      <c r="AV11" s="619">
        <v>3766551734</v>
      </c>
      <c r="AW11" s="619">
        <v>11000041</v>
      </c>
      <c r="AX11" s="619">
        <v>3339247705</v>
      </c>
      <c r="AY11" s="581">
        <v>11228615</v>
      </c>
      <c r="AZ11" s="581">
        <v>3140479497</v>
      </c>
      <c r="BA11" s="664"/>
      <c r="BB11" s="581"/>
      <c r="BC11" s="581"/>
      <c r="BD11" s="581"/>
      <c r="BE11" s="581"/>
      <c r="BF11" s="581"/>
      <c r="BG11" s="581"/>
      <c r="BH11" s="581"/>
      <c r="BI11" s="664"/>
      <c r="BJ11" s="581">
        <f>C11+G11+I11+K11+M11+O11+Q11+S11+U11+W11+Y11+AA11+AC11+AE11+AG11+AI11+AK11+AM11+AO11+AQ11+AS11+AU11+AW11+AY11+BB11+BF11</f>
        <v>193218470</v>
      </c>
      <c r="BK11" s="581">
        <f>D11+H11+J11+L11+N11+P11+R11+T11+V11+X11+Z11+AB11+AD11+AF11+AH11+AJ11+AL11+AN11+AP11+AR11+AT11+AV11+AX11+AZ11+BD11+BH11</f>
        <v>45374528005.830002</v>
      </c>
      <c r="BL11" s="541"/>
      <c r="BM11" s="624"/>
      <c r="BN11" s="624"/>
      <c r="BO11" s="624"/>
      <c r="BP11" s="624"/>
      <c r="BQ11" s="541"/>
      <c r="BR11" s="541"/>
      <c r="BS11" s="541"/>
      <c r="BT11" s="541"/>
      <c r="BU11" s="541"/>
      <c r="BV11" s="541"/>
      <c r="BW11" s="541"/>
      <c r="BX11" s="541"/>
      <c r="BY11" s="541"/>
      <c r="BZ11" s="541"/>
      <c r="CA11" s="541"/>
      <c r="CB11" s="541"/>
      <c r="CC11" s="541"/>
      <c r="CD11" s="541"/>
      <c r="CE11" s="541"/>
      <c r="CF11" s="541"/>
      <c r="CG11" s="541"/>
      <c r="CH11" s="541"/>
      <c r="CI11" s="541"/>
      <c r="CJ11" s="541"/>
      <c r="CK11" s="541"/>
      <c r="CL11" s="541"/>
      <c r="CM11" s="541"/>
      <c r="CN11" s="541"/>
      <c r="CO11" s="541"/>
      <c r="CP11" s="541"/>
      <c r="CQ11" s="541"/>
      <c r="CR11" s="541"/>
      <c r="CS11" s="541"/>
      <c r="CT11" s="541"/>
      <c r="CU11" s="541"/>
      <c r="CV11" s="541"/>
      <c r="CW11" s="541"/>
      <c r="CX11" s="541"/>
      <c r="CY11" s="541"/>
      <c r="CZ11" s="541"/>
      <c r="DA11" s="541"/>
      <c r="DB11" s="541"/>
      <c r="DC11" s="541"/>
      <c r="DD11" s="541"/>
      <c r="DE11" s="541"/>
      <c r="DF11" s="541"/>
      <c r="DG11" s="541"/>
      <c r="DH11" s="541"/>
      <c r="DI11" s="541"/>
      <c r="DJ11" s="541"/>
      <c r="DK11" s="541"/>
      <c r="DL11" s="541"/>
      <c r="DM11" s="541"/>
      <c r="DN11" s="541"/>
      <c r="DO11" s="541"/>
      <c r="DP11" s="541"/>
      <c r="DQ11" s="541"/>
      <c r="DR11" s="541"/>
      <c r="DS11" s="541"/>
      <c r="DT11" s="541"/>
      <c r="DU11" s="541"/>
      <c r="DV11" s="541"/>
      <c r="DW11" s="541"/>
      <c r="DX11" s="541"/>
      <c r="DY11" s="541"/>
      <c r="DZ11" s="541"/>
      <c r="EA11" s="541"/>
      <c r="EB11" s="541"/>
      <c r="EC11" s="541"/>
      <c r="ED11" s="541"/>
      <c r="EE11" s="541"/>
      <c r="EF11" s="541"/>
      <c r="EG11" s="541"/>
      <c r="EH11" s="541"/>
      <c r="EI11" s="541"/>
      <c r="EJ11" s="541"/>
      <c r="EK11" s="541"/>
      <c r="EL11" s="541"/>
      <c r="EM11" s="541"/>
      <c r="EN11" s="541"/>
      <c r="EO11" s="541"/>
      <c r="EP11" s="541"/>
      <c r="EQ11" s="541"/>
      <c r="ER11" s="541"/>
      <c r="ES11" s="541"/>
      <c r="ET11" s="541"/>
      <c r="EU11" s="541"/>
      <c r="EV11" s="541"/>
      <c r="EW11" s="541"/>
      <c r="EX11" s="541"/>
      <c r="EY11" s="541"/>
      <c r="EZ11" s="541"/>
      <c r="FA11" s="541"/>
      <c r="FB11" s="541"/>
      <c r="FC11" s="541"/>
      <c r="FD11" s="541"/>
      <c r="FE11" s="541"/>
      <c r="FF11" s="541"/>
      <c r="FG11" s="541"/>
      <c r="FH11" s="541"/>
      <c r="FI11" s="541"/>
      <c r="FJ11" s="541"/>
      <c r="FK11" s="541"/>
      <c r="FL11" s="541"/>
      <c r="FM11" s="541"/>
      <c r="FN11" s="541"/>
      <c r="FO11" s="541"/>
      <c r="FP11" s="541"/>
      <c r="FQ11" s="541"/>
      <c r="FR11" s="541"/>
      <c r="FS11" s="541"/>
      <c r="FT11" s="541"/>
      <c r="FU11" s="541"/>
      <c r="FV11" s="541"/>
      <c r="FW11" s="541"/>
      <c r="FX11" s="541"/>
      <c r="FY11" s="541"/>
      <c r="FZ11" s="541"/>
      <c r="GA11" s="541"/>
      <c r="GB11" s="541"/>
      <c r="GC11" s="541"/>
      <c r="GD11" s="541"/>
      <c r="GE11" s="541"/>
      <c r="GF11" s="541"/>
      <c r="GG11" s="541"/>
      <c r="GH11" s="541"/>
      <c r="GI11" s="541"/>
      <c r="GJ11" s="541"/>
      <c r="GK11" s="541"/>
      <c r="GL11" s="541"/>
      <c r="GM11" s="541"/>
      <c r="GN11" s="541"/>
      <c r="GO11" s="541"/>
      <c r="GP11" s="541"/>
      <c r="GQ11" s="541"/>
      <c r="GR11" s="541"/>
      <c r="GS11" s="541"/>
      <c r="GT11" s="541"/>
      <c r="GU11" s="541"/>
      <c r="GV11" s="541"/>
      <c r="GW11" s="541"/>
      <c r="GX11" s="541"/>
      <c r="GY11" s="541"/>
      <c r="GZ11" s="541"/>
      <c r="HA11" s="541"/>
      <c r="HB11" s="541"/>
      <c r="HC11" s="541"/>
      <c r="HD11" s="541"/>
      <c r="HE11" s="541"/>
      <c r="HF11" s="541"/>
      <c r="HG11" s="541"/>
      <c r="HH11" s="541"/>
      <c r="HI11" s="541"/>
      <c r="HJ11" s="541"/>
      <c r="HK11" s="541"/>
      <c r="HL11" s="541"/>
      <c r="HM11" s="541"/>
      <c r="HN11" s="541"/>
      <c r="HO11" s="541"/>
      <c r="HP11" s="541"/>
      <c r="HQ11" s="541"/>
      <c r="HR11" s="541"/>
      <c r="HS11" s="541"/>
      <c r="HT11" s="541"/>
      <c r="HU11" s="541"/>
      <c r="HV11" s="541"/>
      <c r="HW11" s="541"/>
      <c r="HX11" s="541"/>
      <c r="HY11" s="541"/>
      <c r="HZ11" s="541"/>
      <c r="IA11" s="541"/>
      <c r="IB11" s="541"/>
      <c r="IC11" s="541"/>
      <c r="ID11" s="541"/>
      <c r="IE11" s="541"/>
      <c r="IF11" s="541"/>
      <c r="IG11" s="541"/>
      <c r="IH11" s="541"/>
      <c r="II11" s="541"/>
      <c r="IJ11" s="541"/>
      <c r="IK11" s="541"/>
      <c r="IL11" s="541"/>
      <c r="IM11" s="541"/>
      <c r="IN11" s="541"/>
      <c r="IO11" s="541"/>
      <c r="IP11" s="541"/>
      <c r="IQ11" s="541"/>
      <c r="IR11" s="541"/>
      <c r="IS11" s="541"/>
      <c r="IT11" s="541"/>
      <c r="IU11" s="541"/>
      <c r="IV11" s="541"/>
      <c r="IW11" s="541"/>
      <c r="IX11" s="541"/>
      <c r="IY11" s="541"/>
      <c r="IZ11" s="541"/>
      <c r="JA11" s="541"/>
      <c r="JB11" s="541"/>
      <c r="JC11" s="541"/>
      <c r="JD11" s="541"/>
      <c r="JE11" s="541"/>
      <c r="JF11" s="541"/>
      <c r="JG11" s="541"/>
      <c r="JH11" s="541"/>
      <c r="JI11" s="541"/>
      <c r="JJ11" s="541"/>
      <c r="JK11" s="541"/>
      <c r="JL11" s="541"/>
      <c r="JM11" s="541"/>
      <c r="JN11" s="541"/>
      <c r="JO11" s="541"/>
      <c r="JP11" s="541"/>
      <c r="JQ11" s="541"/>
      <c r="JR11" s="541"/>
      <c r="JS11" s="541"/>
      <c r="JT11" s="541"/>
      <c r="JU11" s="541"/>
      <c r="JV11" s="541"/>
      <c r="JW11" s="541"/>
      <c r="JX11" s="541"/>
      <c r="JY11" s="541"/>
      <c r="JZ11" s="541"/>
      <c r="KA11" s="541"/>
      <c r="KB11" s="541"/>
      <c r="KC11" s="541"/>
      <c r="KD11" s="541"/>
      <c r="KE11" s="541"/>
      <c r="KF11" s="541"/>
      <c r="KG11" s="541"/>
      <c r="KH11" s="541"/>
      <c r="KI11" s="541"/>
      <c r="KJ11" s="541"/>
      <c r="KK11" s="541"/>
      <c r="KL11" s="541"/>
      <c r="KM11" s="541"/>
      <c r="KN11" s="541"/>
      <c r="KO11" s="541"/>
      <c r="KP11" s="541"/>
      <c r="KQ11" s="541"/>
      <c r="KR11" s="541"/>
      <c r="KS11" s="541"/>
      <c r="KT11" s="541"/>
      <c r="KU11" s="541"/>
      <c r="KV11" s="541"/>
      <c r="KW11" s="541"/>
      <c r="KX11" s="541"/>
      <c r="KY11" s="541"/>
      <c r="KZ11" s="541"/>
      <c r="LA11" s="541"/>
      <c r="LB11" s="541"/>
      <c r="LC11" s="541"/>
      <c r="LD11" s="541"/>
      <c r="LE11" s="541"/>
      <c r="LF11" s="541"/>
      <c r="LG11" s="541"/>
      <c r="LH11" s="541"/>
      <c r="LI11" s="541"/>
      <c r="LJ11" s="541"/>
      <c r="LK11" s="541"/>
      <c r="LL11" s="541"/>
      <c r="LM11" s="541"/>
      <c r="LN11" s="541"/>
      <c r="LO11" s="541"/>
      <c r="LP11" s="541"/>
      <c r="LQ11" s="541"/>
      <c r="LR11" s="541"/>
      <c r="LS11" s="541"/>
      <c r="LT11" s="541"/>
      <c r="LU11" s="541"/>
      <c r="LV11" s="541"/>
      <c r="LW11" s="541"/>
      <c r="LX11" s="541"/>
      <c r="LY11" s="541"/>
      <c r="LZ11" s="541"/>
      <c r="MA11" s="541"/>
      <c r="MB11" s="541"/>
      <c r="MC11" s="541"/>
      <c r="MD11" s="541"/>
      <c r="ME11" s="541"/>
      <c r="MF11" s="541"/>
      <c r="MG11" s="541"/>
      <c r="MH11" s="541"/>
      <c r="MI11" s="541"/>
      <c r="MJ11" s="541"/>
      <c r="MK11" s="541"/>
      <c r="ML11" s="541"/>
      <c r="MM11" s="541"/>
      <c r="MN11" s="541"/>
      <c r="MO11" s="541"/>
      <c r="MP11" s="541"/>
      <c r="MQ11" s="541"/>
      <c r="MR11" s="541"/>
      <c r="MS11" s="541"/>
      <c r="MT11" s="541"/>
      <c r="MU11" s="541"/>
      <c r="MV11" s="541"/>
      <c r="MW11" s="541"/>
      <c r="MX11" s="541"/>
      <c r="MY11" s="541"/>
      <c r="MZ11" s="541"/>
      <c r="NA11" s="541"/>
      <c r="NB11" s="541"/>
      <c r="NC11" s="541"/>
      <c r="ND11" s="541"/>
      <c r="NE11" s="541"/>
      <c r="NF11" s="541"/>
      <c r="NG11" s="541"/>
      <c r="NH11" s="541"/>
      <c r="NI11" s="541"/>
      <c r="NJ11" s="541"/>
      <c r="NK11" s="541"/>
      <c r="NL11" s="541"/>
      <c r="NM11" s="541"/>
      <c r="NN11" s="541"/>
      <c r="NO11" s="541"/>
      <c r="NP11" s="541"/>
      <c r="NQ11" s="541"/>
      <c r="NR11" s="541"/>
      <c r="NS11" s="541"/>
      <c r="NT11" s="541"/>
      <c r="NU11" s="541"/>
      <c r="NV11" s="541"/>
      <c r="NW11" s="541"/>
      <c r="NX11" s="541"/>
      <c r="NY11" s="541"/>
      <c r="NZ11" s="541"/>
      <c r="OA11" s="541"/>
      <c r="OB11" s="541"/>
      <c r="OC11" s="541"/>
      <c r="OD11" s="541"/>
      <c r="OE11" s="541"/>
      <c r="OF11" s="541"/>
      <c r="OG11" s="541"/>
      <c r="OH11" s="541"/>
      <c r="OI11" s="541"/>
      <c r="OJ11" s="541"/>
      <c r="OK11" s="541"/>
      <c r="OL11" s="541"/>
      <c r="OM11" s="541"/>
      <c r="ON11" s="541"/>
      <c r="OO11" s="541"/>
      <c r="OP11" s="541"/>
      <c r="OQ11" s="541"/>
      <c r="OR11" s="541"/>
      <c r="OS11" s="541"/>
      <c r="OT11" s="541"/>
      <c r="OU11" s="541"/>
      <c r="OV11" s="541"/>
      <c r="OW11" s="541"/>
      <c r="OX11" s="541"/>
      <c r="OY11" s="541"/>
      <c r="OZ11" s="541"/>
      <c r="PA11" s="541"/>
      <c r="PB11" s="541"/>
      <c r="PC11" s="541"/>
      <c r="PD11" s="541"/>
      <c r="PE11" s="541"/>
      <c r="PF11" s="541"/>
      <c r="PG11" s="541"/>
      <c r="PH11" s="541"/>
      <c r="PI11" s="541"/>
      <c r="PJ11" s="541"/>
      <c r="PK11" s="541"/>
      <c r="PL11" s="541"/>
      <c r="PM11" s="541"/>
      <c r="PN11" s="541"/>
      <c r="PO11" s="541"/>
      <c r="PP11" s="541"/>
      <c r="PQ11" s="541"/>
      <c r="PR11" s="541"/>
      <c r="PS11" s="541"/>
      <c r="PT11" s="541"/>
      <c r="PU11" s="541"/>
      <c r="PV11" s="541"/>
      <c r="PW11" s="541"/>
      <c r="PX11" s="541"/>
      <c r="PY11" s="541"/>
      <c r="PZ11" s="541"/>
      <c r="QA11" s="541"/>
      <c r="QB11" s="541"/>
      <c r="QC11" s="541"/>
      <c r="QD11" s="541"/>
      <c r="QE11" s="541"/>
      <c r="QF11" s="541"/>
      <c r="QG11" s="541"/>
      <c r="QH11" s="541"/>
      <c r="QI11" s="541"/>
      <c r="QJ11" s="541"/>
      <c r="QK11" s="541"/>
      <c r="QL11" s="541"/>
      <c r="QM11" s="541"/>
      <c r="QN11" s="541"/>
      <c r="QO11" s="541"/>
      <c r="QP11" s="541"/>
      <c r="QQ11" s="541"/>
      <c r="QR11" s="541"/>
      <c r="QS11" s="541"/>
      <c r="QT11" s="541"/>
      <c r="QU11" s="541"/>
      <c r="QV11" s="541"/>
      <c r="QW11" s="541"/>
      <c r="QX11" s="541"/>
      <c r="QY11" s="541"/>
      <c r="QZ11" s="541"/>
      <c r="RA11" s="541"/>
      <c r="RB11" s="541"/>
      <c r="RC11" s="541"/>
      <c r="RD11" s="541"/>
      <c r="RE11" s="541"/>
      <c r="RF11" s="541"/>
      <c r="RG11" s="541"/>
      <c r="RH11" s="541"/>
      <c r="RI11" s="541"/>
      <c r="RJ11" s="541"/>
      <c r="RK11" s="541"/>
      <c r="RL11" s="541"/>
      <c r="RM11" s="541"/>
      <c r="RN11" s="541"/>
      <c r="RO11" s="541"/>
      <c r="RP11" s="541"/>
      <c r="RQ11" s="541"/>
      <c r="RR11" s="541"/>
      <c r="RS11" s="541"/>
      <c r="RT11" s="541"/>
      <c r="RU11" s="541"/>
      <c r="RV11" s="541"/>
      <c r="RW11" s="541"/>
      <c r="RX11" s="541"/>
      <c r="RY11" s="541"/>
      <c r="RZ11" s="541"/>
      <c r="SA11" s="541"/>
      <c r="SB11" s="541"/>
      <c r="SC11" s="541"/>
      <c r="SD11" s="541"/>
      <c r="SE11" s="541"/>
      <c r="SF11" s="541"/>
      <c r="SG11" s="541"/>
      <c r="SH11" s="541"/>
      <c r="SI11" s="541"/>
      <c r="SJ11" s="541"/>
      <c r="SK11" s="541"/>
      <c r="SL11" s="541"/>
      <c r="SM11" s="541"/>
      <c r="SN11" s="541"/>
      <c r="SO11" s="541"/>
      <c r="SP11" s="541"/>
      <c r="SQ11" s="541"/>
      <c r="SR11" s="541"/>
      <c r="SS11" s="541"/>
      <c r="ST11" s="541"/>
      <c r="SU11" s="541"/>
      <c r="SV11" s="541"/>
      <c r="SW11" s="541"/>
      <c r="SX11" s="541"/>
      <c r="SY11" s="541"/>
      <c r="SZ11" s="541"/>
      <c r="TA11" s="541"/>
      <c r="TB11" s="541"/>
      <c r="TC11" s="541"/>
      <c r="TD11" s="541"/>
      <c r="TE11" s="541"/>
      <c r="TF11" s="541"/>
      <c r="TG11" s="541"/>
      <c r="TH11" s="541"/>
      <c r="TI11" s="541"/>
      <c r="TJ11" s="541"/>
      <c r="TK11" s="541"/>
      <c r="TL11" s="541"/>
      <c r="TM11" s="541"/>
      <c r="TN11" s="541"/>
      <c r="TO11" s="541"/>
      <c r="TP11" s="541"/>
      <c r="TQ11" s="541"/>
      <c r="TR11" s="541"/>
      <c r="TS11" s="541"/>
      <c r="TT11" s="541"/>
      <c r="TU11" s="541"/>
      <c r="TV11" s="541"/>
      <c r="TW11" s="541"/>
      <c r="TX11" s="541"/>
      <c r="TY11" s="541"/>
      <c r="TZ11" s="541"/>
      <c r="UA11" s="541"/>
      <c r="UB11" s="541"/>
      <c r="UC11" s="541"/>
      <c r="UD11" s="541"/>
      <c r="UE11" s="541"/>
      <c r="UF11" s="541"/>
      <c r="UG11" s="541"/>
      <c r="UH11" s="541"/>
      <c r="UI11" s="541"/>
      <c r="UJ11" s="541"/>
      <c r="UK11" s="541"/>
      <c r="UL11" s="541"/>
      <c r="UM11" s="541"/>
      <c r="UN11" s="541"/>
      <c r="UO11" s="541"/>
      <c r="UP11" s="541"/>
      <c r="UQ11" s="541"/>
      <c r="UR11" s="541"/>
      <c r="US11" s="541"/>
      <c r="UT11" s="541"/>
      <c r="UU11" s="541"/>
      <c r="UV11" s="541"/>
      <c r="UW11" s="541"/>
      <c r="UX11" s="541"/>
      <c r="UY11" s="541"/>
      <c r="UZ11" s="541"/>
      <c r="VA11" s="541"/>
      <c r="VB11" s="541"/>
      <c r="VC11" s="541"/>
      <c r="VD11" s="541"/>
      <c r="VE11" s="541"/>
      <c r="VF11" s="541"/>
      <c r="VG11" s="541"/>
      <c r="VH11" s="541"/>
      <c r="VI11" s="541"/>
      <c r="VJ11" s="541"/>
      <c r="VK11" s="541"/>
      <c r="VL11" s="541"/>
      <c r="VM11" s="541"/>
      <c r="VN11" s="541"/>
      <c r="VO11" s="541"/>
      <c r="VP11" s="541"/>
      <c r="VQ11" s="541"/>
      <c r="VR11" s="541"/>
      <c r="VS11" s="541"/>
      <c r="VT11" s="541"/>
      <c r="VU11" s="541"/>
      <c r="VV11" s="541"/>
      <c r="VW11" s="541"/>
      <c r="VX11" s="541"/>
      <c r="VY11" s="541"/>
      <c r="VZ11" s="541"/>
      <c r="WA11" s="541"/>
      <c r="WB11" s="541"/>
      <c r="WC11" s="541"/>
      <c r="WD11" s="541"/>
      <c r="WE11" s="541"/>
      <c r="WF11" s="541"/>
      <c r="WG11" s="541"/>
      <c r="WH11" s="541"/>
      <c r="WI11" s="541"/>
      <c r="WJ11" s="541"/>
      <c r="WK11" s="541"/>
      <c r="WL11" s="541"/>
      <c r="WM11" s="541"/>
      <c r="WN11" s="541"/>
      <c r="WO11" s="541"/>
      <c r="WP11" s="541"/>
      <c r="WQ11" s="541"/>
      <c r="WR11" s="541"/>
      <c r="WS11" s="541"/>
      <c r="WT11" s="541"/>
      <c r="WU11" s="541"/>
      <c r="WV11" s="541"/>
      <c r="WW11" s="541"/>
      <c r="WX11" s="541"/>
      <c r="WY11" s="541"/>
      <c r="WZ11" s="541"/>
      <c r="XA11" s="541"/>
      <c r="XB11" s="541"/>
      <c r="XC11" s="541"/>
      <c r="XD11" s="541"/>
      <c r="XE11" s="541"/>
      <c r="XF11" s="541"/>
      <c r="XG11" s="541"/>
      <c r="XH11" s="541"/>
      <c r="XI11" s="541"/>
      <c r="XJ11" s="541"/>
      <c r="XK11" s="541"/>
      <c r="XL11" s="541"/>
      <c r="XM11" s="541"/>
      <c r="XN11" s="541"/>
      <c r="XO11" s="541"/>
      <c r="XP11" s="541"/>
      <c r="XQ11" s="541"/>
      <c r="XR11" s="541"/>
      <c r="XS11" s="541"/>
      <c r="XT11" s="541"/>
      <c r="XU11" s="541"/>
      <c r="XV11" s="541"/>
      <c r="XW11" s="541"/>
      <c r="XX11" s="541"/>
      <c r="XY11" s="541"/>
      <c r="XZ11" s="541"/>
      <c r="YA11" s="541"/>
      <c r="YB11" s="541"/>
      <c r="YC11" s="541"/>
      <c r="YD11" s="541"/>
      <c r="YE11" s="541"/>
      <c r="YF11" s="541"/>
      <c r="YG11" s="541"/>
      <c r="YH11" s="541"/>
      <c r="YI11" s="541"/>
      <c r="YJ11" s="541"/>
      <c r="YK11" s="541"/>
      <c r="YL11" s="541"/>
      <c r="YM11" s="541"/>
      <c r="YN11" s="541"/>
      <c r="YO11" s="541"/>
      <c r="YP11" s="541"/>
      <c r="YQ11" s="541"/>
      <c r="YR11" s="541"/>
      <c r="YS11" s="541"/>
      <c r="YT11" s="541"/>
      <c r="YU11" s="541"/>
      <c r="YV11" s="541"/>
      <c r="YW11" s="541"/>
      <c r="YX11" s="541"/>
      <c r="YY11" s="541"/>
      <c r="YZ11" s="541"/>
      <c r="ZA11" s="541"/>
      <c r="ZB11" s="541"/>
      <c r="ZC11" s="541"/>
      <c r="ZD11" s="541"/>
      <c r="ZE11" s="541"/>
      <c r="ZF11" s="541"/>
      <c r="ZG11" s="541"/>
      <c r="ZH11" s="541"/>
      <c r="ZI11" s="541"/>
      <c r="ZJ11" s="541"/>
      <c r="ZK11" s="541"/>
      <c r="ZL11" s="541"/>
      <c r="ZM11" s="541"/>
      <c r="ZN11" s="541"/>
      <c r="ZO11" s="541"/>
      <c r="ZP11" s="541"/>
      <c r="ZQ11" s="541"/>
      <c r="ZR11" s="541"/>
      <c r="ZS11" s="541"/>
      <c r="ZT11" s="541"/>
      <c r="ZU11" s="541"/>
      <c r="ZV11" s="541"/>
      <c r="ZW11" s="541"/>
      <c r="ZX11" s="541"/>
      <c r="ZY11" s="541"/>
      <c r="ZZ11" s="541"/>
      <c r="AAA11" s="541"/>
      <c r="AAB11" s="541"/>
      <c r="AAC11" s="541"/>
      <c r="AAD11" s="541"/>
      <c r="AAE11" s="541"/>
      <c r="AAF11" s="541"/>
      <c r="AAG11" s="541"/>
      <c r="AAH11" s="541"/>
      <c r="AAI11" s="541"/>
      <c r="AAJ11" s="541"/>
      <c r="AAK11" s="541"/>
      <c r="AAL11" s="541"/>
      <c r="AAM11" s="541"/>
      <c r="AAN11" s="541"/>
      <c r="AAO11" s="541"/>
      <c r="AAP11" s="541"/>
      <c r="AAQ11" s="541"/>
      <c r="AAR11" s="541"/>
      <c r="AAS11" s="541"/>
      <c r="AAT11" s="541"/>
      <c r="AAU11" s="541"/>
      <c r="AAV11" s="541"/>
      <c r="AAW11" s="541"/>
      <c r="AAX11" s="541"/>
      <c r="AAY11" s="541"/>
      <c r="AAZ11" s="541"/>
      <c r="ABA11" s="541"/>
      <c r="ABB11" s="541"/>
      <c r="ABC11" s="541"/>
      <c r="ABD11" s="541"/>
      <c r="ABE11" s="541"/>
      <c r="ABF11" s="541"/>
      <c r="ABG11" s="541"/>
      <c r="ABH11" s="541"/>
      <c r="ABI11" s="541"/>
      <c r="ABJ11" s="541"/>
      <c r="ABK11" s="541"/>
      <c r="ABL11" s="541"/>
      <c r="ABM11" s="541"/>
      <c r="ABN11" s="541"/>
      <c r="ABO11" s="541"/>
      <c r="ABP11" s="541"/>
      <c r="ABQ11" s="541"/>
      <c r="ABR11" s="541"/>
      <c r="ABS11" s="541"/>
      <c r="ABT11" s="541"/>
      <c r="ABU11" s="541"/>
      <c r="ABV11" s="541"/>
      <c r="ABW11" s="541"/>
      <c r="ABX11" s="541"/>
      <c r="ABY11" s="541"/>
      <c r="ABZ11" s="541"/>
      <c r="ACA11" s="541"/>
      <c r="ACB11" s="541"/>
      <c r="ACC11" s="541"/>
      <c r="ACD11" s="541"/>
      <c r="ACE11" s="541"/>
      <c r="ACF11" s="541"/>
      <c r="ACG11" s="541"/>
      <c r="ACH11" s="541"/>
      <c r="ACI11" s="541"/>
      <c r="ACJ11" s="541"/>
      <c r="ACK11" s="541"/>
      <c r="ACL11" s="541"/>
      <c r="ACM11" s="541"/>
      <c r="ACN11" s="541"/>
      <c r="ACO11" s="541"/>
      <c r="ACP11" s="541"/>
      <c r="ACQ11" s="541"/>
      <c r="ACR11" s="541"/>
      <c r="ACS11" s="541"/>
      <c r="ACT11" s="541"/>
      <c r="ACU11" s="541"/>
      <c r="ACV11" s="541"/>
      <c r="ACW11" s="541"/>
      <c r="ACX11" s="541"/>
      <c r="ACY11" s="541"/>
      <c r="ACZ11" s="541"/>
      <c r="ADA11" s="541"/>
      <c r="ADB11" s="541"/>
      <c r="ADC11" s="541"/>
      <c r="ADD11" s="541"/>
      <c r="ADE11" s="541"/>
      <c r="ADF11" s="541"/>
      <c r="ADG11" s="541"/>
      <c r="ADH11" s="541"/>
      <c r="ADI11" s="541"/>
      <c r="ADJ11" s="541"/>
      <c r="ADK11" s="541"/>
      <c r="ADL11" s="541"/>
      <c r="ADM11" s="541"/>
      <c r="ADN11" s="541"/>
      <c r="ADO11" s="541"/>
      <c r="ADP11" s="541"/>
      <c r="ADQ11" s="541"/>
      <c r="ADR11" s="541"/>
      <c r="ADS11" s="541"/>
      <c r="ADT11" s="541"/>
      <c r="ADU11" s="541"/>
      <c r="ADV11" s="541"/>
      <c r="ADW11" s="541"/>
      <c r="ADX11" s="541"/>
      <c r="ADY11" s="541"/>
      <c r="ADZ11" s="541"/>
      <c r="AEA11" s="541"/>
      <c r="AEB11" s="541"/>
      <c r="AEC11" s="541"/>
      <c r="AED11" s="541"/>
      <c r="AEE11" s="541"/>
      <c r="AEF11" s="541"/>
      <c r="AEG11" s="541"/>
      <c r="AEH11" s="541"/>
      <c r="AEI11" s="541"/>
      <c r="AEJ11" s="541"/>
      <c r="AEK11" s="541"/>
      <c r="AEL11" s="541"/>
      <c r="AEM11" s="541"/>
      <c r="AEN11" s="541"/>
      <c r="AEO11" s="541"/>
      <c r="AEP11" s="541"/>
      <c r="AEQ11" s="541"/>
      <c r="AER11" s="541"/>
      <c r="AES11" s="541"/>
      <c r="AET11" s="541"/>
      <c r="AEU11" s="541"/>
      <c r="AEV11" s="541"/>
      <c r="AEW11" s="541"/>
      <c r="AEX11" s="541"/>
      <c r="AEY11" s="541"/>
      <c r="AEZ11" s="541"/>
      <c r="AFA11" s="541"/>
      <c r="AFB11" s="541"/>
      <c r="AFC11" s="541"/>
      <c r="AFD11" s="541"/>
      <c r="AFE11" s="541"/>
      <c r="AFF11" s="541"/>
      <c r="AFG11" s="541"/>
      <c r="AFH11" s="541"/>
      <c r="AFI11" s="541"/>
      <c r="AFJ11" s="541"/>
      <c r="AFK11" s="541"/>
      <c r="AFL11" s="541"/>
      <c r="AFM11" s="541"/>
      <c r="AFN11" s="541"/>
      <c r="AFO11" s="541"/>
      <c r="AFP11" s="541"/>
      <c r="AFQ11" s="541"/>
      <c r="AFR11" s="541"/>
      <c r="AFS11" s="541"/>
      <c r="AFT11" s="541"/>
      <c r="AFU11" s="541"/>
      <c r="AFV11" s="541"/>
      <c r="AFW11" s="541"/>
      <c r="AFX11" s="541"/>
      <c r="AFY11" s="541"/>
      <c r="AFZ11" s="541"/>
      <c r="AGA11" s="541"/>
      <c r="AGB11" s="541"/>
      <c r="AGC11" s="541"/>
      <c r="AGD11" s="541"/>
      <c r="AGE11" s="541"/>
      <c r="AGF11" s="541"/>
      <c r="AGG11" s="541"/>
      <c r="AGH11" s="541"/>
      <c r="AGI11" s="541"/>
      <c r="AGJ11" s="541"/>
      <c r="AGK11" s="541"/>
      <c r="AGL11" s="541"/>
      <c r="AGM11" s="541"/>
      <c r="AGN11" s="541"/>
      <c r="AGO11" s="541"/>
      <c r="AGP11" s="541"/>
      <c r="AGQ11" s="541"/>
      <c r="AGR11" s="541"/>
      <c r="AGS11" s="541"/>
      <c r="AGT11" s="541"/>
      <c r="AGU11" s="541"/>
      <c r="AGV11" s="541"/>
      <c r="AGW11" s="541"/>
      <c r="AGX11" s="541"/>
      <c r="AGY11" s="541"/>
      <c r="AGZ11" s="541"/>
      <c r="AHA11" s="541"/>
      <c r="AHB11" s="541"/>
      <c r="AHC11" s="541"/>
      <c r="AHD11" s="541"/>
      <c r="AHE11" s="541"/>
      <c r="AHF11" s="541"/>
      <c r="AHG11" s="541"/>
      <c r="AHH11" s="541"/>
      <c r="AHI11" s="541"/>
      <c r="AHJ11" s="541"/>
      <c r="AHK11" s="541"/>
      <c r="AHL11" s="541"/>
      <c r="AHM11" s="541"/>
      <c r="AHN11" s="541"/>
      <c r="AHO11" s="541"/>
      <c r="AHP11" s="541"/>
      <c r="AHQ11" s="541"/>
      <c r="AHR11" s="541"/>
      <c r="AHS11" s="541"/>
      <c r="AHT11" s="541"/>
      <c r="AHU11" s="541"/>
      <c r="AHV11" s="541"/>
      <c r="AHW11" s="541"/>
      <c r="AHX11" s="541"/>
      <c r="AHY11" s="541"/>
      <c r="AHZ11" s="541"/>
      <c r="AIA11" s="541"/>
      <c r="AIB11" s="541"/>
      <c r="AIC11" s="541"/>
      <c r="AID11" s="541"/>
      <c r="AIE11" s="541"/>
      <c r="AIF11" s="541"/>
      <c r="AIG11" s="541"/>
      <c r="AIH11" s="541"/>
      <c r="AII11" s="541"/>
      <c r="AIJ11" s="541"/>
      <c r="AIK11" s="541"/>
      <c r="AIL11" s="541"/>
      <c r="AIM11" s="541"/>
      <c r="AIN11" s="541"/>
      <c r="AIO11" s="541"/>
      <c r="AIP11" s="541"/>
      <c r="AIQ11" s="541"/>
      <c r="AIR11" s="541"/>
      <c r="AIS11" s="541"/>
      <c r="AIT11" s="541"/>
      <c r="AIU11" s="541"/>
      <c r="AIV11" s="541"/>
      <c r="AIW11" s="541"/>
      <c r="AIX11" s="541"/>
      <c r="AIY11" s="541"/>
      <c r="AIZ11" s="541"/>
      <c r="AJA11" s="541"/>
      <c r="AJB11" s="541"/>
      <c r="AJC11" s="541"/>
      <c r="AJD11" s="541"/>
      <c r="AJE11" s="541"/>
      <c r="AJF11" s="541"/>
      <c r="AJG11" s="541"/>
      <c r="AJH11" s="541"/>
      <c r="AJI11" s="541"/>
      <c r="AJJ11" s="541"/>
      <c r="AJK11" s="541"/>
      <c r="AJL11" s="541"/>
      <c r="AJM11" s="541"/>
      <c r="AJN11" s="541"/>
      <c r="AJO11" s="541"/>
      <c r="AJP11" s="541"/>
      <c r="AJQ11" s="541"/>
      <c r="AJR11" s="541"/>
      <c r="AJS11" s="541"/>
      <c r="AJT11" s="541"/>
      <c r="AJU11" s="541"/>
      <c r="AJV11" s="541"/>
      <c r="AJW11" s="541"/>
      <c r="AJX11" s="541"/>
      <c r="AJY11" s="541"/>
      <c r="AJZ11" s="541"/>
      <c r="AKA11" s="541"/>
      <c r="AKB11" s="541"/>
      <c r="AKC11" s="541"/>
      <c r="AKD11" s="541"/>
      <c r="AKE11" s="541"/>
      <c r="AKF11" s="541"/>
      <c r="AKG11" s="541"/>
      <c r="AKH11" s="541"/>
      <c r="AKI11" s="541"/>
      <c r="AKJ11" s="541"/>
      <c r="AKK11" s="541"/>
      <c r="AKL11" s="541"/>
      <c r="AKM11" s="541"/>
      <c r="AKN11" s="541"/>
      <c r="AKO11" s="541"/>
      <c r="AKP11" s="541"/>
      <c r="AKQ11" s="541"/>
      <c r="AKR11" s="541"/>
      <c r="AKS11" s="541"/>
      <c r="AKT11" s="541"/>
      <c r="AKU11" s="541"/>
      <c r="AKV11" s="541"/>
      <c r="AKW11" s="541"/>
      <c r="AKX11" s="541"/>
      <c r="AKY11" s="541"/>
      <c r="AKZ11" s="541"/>
      <c r="ALA11" s="541"/>
      <c r="ALB11" s="541"/>
      <c r="ALC11" s="541"/>
      <c r="ALD11" s="541"/>
      <c r="ALE11" s="541"/>
      <c r="ALF11" s="541"/>
      <c r="ALG11" s="541"/>
      <c r="ALH11" s="541"/>
      <c r="ALI11" s="541"/>
      <c r="ALJ11" s="541"/>
      <c r="ALK11" s="541"/>
      <c r="ALL11" s="541"/>
      <c r="ALM11" s="541"/>
      <c r="ALN11" s="541"/>
      <c r="ALO11" s="541"/>
      <c r="ALP11" s="541"/>
      <c r="ALQ11" s="541"/>
      <c r="ALR11" s="541"/>
      <c r="ALS11" s="541"/>
      <c r="ALT11" s="541"/>
      <c r="ALU11" s="541"/>
      <c r="ALV11" s="541"/>
      <c r="ALW11" s="541"/>
      <c r="ALX11" s="541"/>
      <c r="ALY11" s="541"/>
      <c r="ALZ11" s="541"/>
      <c r="AMA11" s="541"/>
      <c r="AMB11" s="541"/>
      <c r="AMC11" s="541"/>
      <c r="AMD11" s="541"/>
      <c r="AME11" s="541"/>
      <c r="AMF11" s="541"/>
      <c r="AMG11" s="541"/>
      <c r="AMH11" s="541"/>
      <c r="AMI11" s="541"/>
      <c r="AMJ11" s="541"/>
      <c r="AMK11" s="541"/>
      <c r="AML11" s="541"/>
      <c r="AMM11" s="541"/>
      <c r="AMN11" s="541"/>
      <c r="AMO11" s="541"/>
      <c r="AMP11" s="541"/>
      <c r="AMQ11" s="541"/>
      <c r="AMR11" s="541"/>
      <c r="AMS11" s="541"/>
      <c r="AMT11" s="541"/>
      <c r="AMU11" s="541"/>
      <c r="AMV11" s="541"/>
      <c r="AMW11" s="541"/>
      <c r="AMX11" s="541"/>
      <c r="AMY11" s="541"/>
      <c r="AMZ11" s="541"/>
      <c r="ANA11" s="541"/>
      <c r="ANB11" s="541"/>
      <c r="ANC11" s="541"/>
      <c r="AND11" s="541"/>
      <c r="ANE11" s="541"/>
      <c r="ANF11" s="541"/>
      <c r="ANG11" s="541"/>
      <c r="ANH11" s="541"/>
      <c r="ANI11" s="541"/>
      <c r="ANJ11" s="541"/>
      <c r="ANK11" s="541"/>
      <c r="ANL11" s="541"/>
      <c r="ANM11" s="541"/>
      <c r="ANN11" s="541"/>
      <c r="ANO11" s="541"/>
      <c r="ANP11" s="541"/>
      <c r="ANQ11" s="541"/>
      <c r="ANR11" s="541"/>
      <c r="ANS11" s="541"/>
      <c r="ANT11" s="541"/>
      <c r="ANU11" s="541"/>
      <c r="ANV11" s="541"/>
      <c r="ANW11" s="541"/>
      <c r="ANX11" s="541"/>
      <c r="ANY11" s="541"/>
      <c r="ANZ11" s="541"/>
      <c r="AOA11" s="541"/>
      <c r="AOB11" s="541"/>
      <c r="AOC11" s="541"/>
      <c r="AOD11" s="541"/>
      <c r="AOE11" s="541"/>
      <c r="AOF11" s="541"/>
      <c r="AOG11" s="541"/>
      <c r="AOH11" s="541"/>
      <c r="AOI11" s="541"/>
      <c r="AOJ11" s="541"/>
      <c r="AOK11" s="541"/>
      <c r="AOL11" s="541"/>
      <c r="AOM11" s="541"/>
      <c r="AON11" s="541"/>
      <c r="AOO11" s="541"/>
      <c r="AOP11" s="541"/>
      <c r="AOQ11" s="541"/>
      <c r="AOR11" s="541"/>
      <c r="AOS11" s="541"/>
      <c r="AOT11" s="541"/>
      <c r="AOU11" s="541"/>
      <c r="AOV11" s="541"/>
      <c r="AOW11" s="541"/>
      <c r="AOX11" s="541"/>
      <c r="AOY11" s="541"/>
      <c r="AOZ11" s="541"/>
      <c r="APA11" s="541"/>
      <c r="APB11" s="541"/>
      <c r="APC11" s="541"/>
      <c r="APD11" s="541"/>
      <c r="APE11" s="541"/>
      <c r="APF11" s="541"/>
      <c r="APG11" s="541"/>
      <c r="APH11" s="541"/>
      <c r="API11" s="541"/>
      <c r="APJ11" s="541"/>
      <c r="APK11" s="541"/>
      <c r="APL11" s="541"/>
      <c r="APM11" s="541"/>
      <c r="APN11" s="541"/>
      <c r="APO11" s="541"/>
      <c r="APP11" s="541"/>
      <c r="APQ11" s="541"/>
      <c r="APR11" s="541"/>
      <c r="APS11" s="541"/>
      <c r="APT11" s="541"/>
      <c r="APU11" s="541"/>
      <c r="APV11" s="541"/>
      <c r="APW11" s="541"/>
      <c r="APX11" s="541"/>
      <c r="APY11" s="541"/>
      <c r="APZ11" s="541"/>
      <c r="AQA11" s="541"/>
      <c r="AQB11" s="541"/>
      <c r="AQC11" s="541"/>
      <c r="AQD11" s="541"/>
      <c r="AQE11" s="541"/>
      <c r="AQF11" s="541"/>
      <c r="AQG11" s="541"/>
      <c r="AQH11" s="541"/>
      <c r="AQI11" s="541"/>
      <c r="AQJ11" s="541"/>
      <c r="AQK11" s="541"/>
      <c r="AQL11" s="541"/>
      <c r="AQM11" s="541"/>
      <c r="AQN11" s="541"/>
      <c r="AQO11" s="541"/>
      <c r="AQP11" s="541"/>
      <c r="AQQ11" s="541"/>
      <c r="AQR11" s="541"/>
      <c r="AQS11" s="541"/>
      <c r="AQT11" s="541"/>
      <c r="AQU11" s="541"/>
      <c r="AQV11" s="541"/>
      <c r="AQW11" s="541"/>
      <c r="AQX11" s="541"/>
      <c r="AQY11" s="541"/>
      <c r="AQZ11" s="541"/>
      <c r="ARA11" s="541"/>
      <c r="ARB11" s="541"/>
      <c r="ARC11" s="541"/>
      <c r="ARD11" s="541"/>
      <c r="ARE11" s="541"/>
      <c r="ARF11" s="541"/>
      <c r="ARG11" s="541"/>
      <c r="ARH11" s="541"/>
      <c r="ARI11" s="541"/>
      <c r="ARJ11" s="541"/>
      <c r="ARK11" s="541"/>
      <c r="ARL11" s="541"/>
      <c r="ARM11" s="541"/>
      <c r="ARN11" s="541"/>
      <c r="ARO11" s="541"/>
      <c r="ARP11" s="541"/>
      <c r="ARQ11" s="541"/>
      <c r="ARR11" s="541"/>
      <c r="ARS11" s="541"/>
      <c r="ART11" s="541"/>
      <c r="ARU11" s="541"/>
    </row>
    <row r="12" spans="1:1165" s="658" customFormat="1">
      <c r="A12" s="613" t="s">
        <v>194</v>
      </c>
      <c r="B12" s="578" t="s">
        <v>110</v>
      </c>
      <c r="C12" s="659">
        <v>37331</v>
      </c>
      <c r="D12" s="659">
        <v>187070</v>
      </c>
      <c r="E12" s="581">
        <v>0</v>
      </c>
      <c r="F12" s="581">
        <v>0</v>
      </c>
      <c r="G12" s="581">
        <v>0</v>
      </c>
      <c r="H12" s="581">
        <v>0</v>
      </c>
      <c r="I12" s="581">
        <v>0</v>
      </c>
      <c r="J12" s="581">
        <v>0</v>
      </c>
      <c r="K12" s="581">
        <v>0</v>
      </c>
      <c r="L12" s="581">
        <v>0</v>
      </c>
      <c r="M12" s="581">
        <v>0</v>
      </c>
      <c r="N12" s="581">
        <v>0</v>
      </c>
      <c r="O12" s="581">
        <v>0</v>
      </c>
      <c r="P12" s="581">
        <v>0</v>
      </c>
      <c r="Q12" s="581">
        <v>0</v>
      </c>
      <c r="R12" s="581">
        <v>0</v>
      </c>
      <c r="S12" s="581">
        <v>0</v>
      </c>
      <c r="T12" s="581">
        <v>0</v>
      </c>
      <c r="U12" s="581">
        <v>0</v>
      </c>
      <c r="V12" s="581">
        <v>0</v>
      </c>
      <c r="W12" s="581">
        <v>0</v>
      </c>
      <c r="X12" s="581">
        <v>0</v>
      </c>
      <c r="Y12" s="581">
        <v>0</v>
      </c>
      <c r="Z12" s="581">
        <v>0</v>
      </c>
      <c r="AA12" s="581">
        <v>0</v>
      </c>
      <c r="AB12" s="581">
        <v>0</v>
      </c>
      <c r="AC12" s="581">
        <v>0</v>
      </c>
      <c r="AD12" s="581">
        <v>0</v>
      </c>
      <c r="AE12" s="581">
        <v>0</v>
      </c>
      <c r="AF12" s="581">
        <v>0</v>
      </c>
      <c r="AG12" s="581">
        <v>0</v>
      </c>
      <c r="AH12" s="581">
        <v>0</v>
      </c>
      <c r="AI12" s="581">
        <v>0</v>
      </c>
      <c r="AJ12" s="581">
        <v>0</v>
      </c>
      <c r="AK12" s="581">
        <v>0</v>
      </c>
      <c r="AL12" s="581">
        <v>0</v>
      </c>
      <c r="AM12" s="581">
        <v>0</v>
      </c>
      <c r="AN12" s="581">
        <v>0</v>
      </c>
      <c r="AO12" s="581">
        <v>0</v>
      </c>
      <c r="AP12" s="581">
        <v>0</v>
      </c>
      <c r="AQ12" s="581">
        <v>0</v>
      </c>
      <c r="AR12" s="581">
        <v>0</v>
      </c>
      <c r="AS12" s="581">
        <v>0</v>
      </c>
      <c r="AT12" s="581">
        <v>0</v>
      </c>
      <c r="AU12" s="581">
        <v>0</v>
      </c>
      <c r="AV12" s="581">
        <v>0</v>
      </c>
      <c r="AW12" s="581">
        <v>0</v>
      </c>
      <c r="AX12" s="581">
        <v>0</v>
      </c>
      <c r="AY12" s="581">
        <v>0</v>
      </c>
      <c r="AZ12" s="581">
        <v>0</v>
      </c>
      <c r="BA12" s="663"/>
      <c r="BB12" s="581"/>
      <c r="BC12" s="581"/>
      <c r="BD12" s="581"/>
      <c r="BE12" s="581"/>
      <c r="BF12" s="581"/>
      <c r="BG12" s="581"/>
      <c r="BH12" s="581"/>
      <c r="BI12" s="663"/>
      <c r="BJ12" s="659">
        <f t="shared" ref="BJ12:BJ13" si="0">C12+G12+I12+K12+M12+O12+Q12+S12+U12+W12+Y12+AA12+AC12+AE12+AG12+AI12+AK12+AM12+AO12+AQ12+AS12+AU12+AW12+AY12+BB12+BF12</f>
        <v>37331</v>
      </c>
      <c r="BK12" s="581">
        <f>D12+H12+J12+L12+N12+P12+R12+T12+V12+X12+Z12+AB12+AD12+AF12+AH12+AJ12+AL12+AN12+AP12+AR12+AT12+AV12+AX12+AZ12+BD12+BH12</f>
        <v>187070</v>
      </c>
      <c r="BL12" s="541"/>
      <c r="BM12" s="624"/>
      <c r="BN12" s="624"/>
      <c r="BO12" s="624"/>
      <c r="BP12" s="624"/>
      <c r="BQ12" s="541"/>
      <c r="BR12" s="541"/>
      <c r="BS12" s="541"/>
      <c r="BT12" s="541"/>
      <c r="BU12" s="541"/>
      <c r="BV12" s="541"/>
      <c r="BW12" s="541"/>
      <c r="BX12" s="541"/>
      <c r="BY12" s="541"/>
      <c r="BZ12" s="541"/>
      <c r="CA12" s="541"/>
      <c r="CB12" s="541"/>
      <c r="CC12" s="541"/>
      <c r="CD12" s="541"/>
      <c r="CE12" s="541"/>
      <c r="CF12" s="541"/>
      <c r="CG12" s="541"/>
      <c r="CH12" s="541"/>
      <c r="CI12" s="541"/>
      <c r="CJ12" s="541"/>
      <c r="CK12" s="541"/>
      <c r="CL12" s="541"/>
      <c r="CM12" s="541"/>
      <c r="CN12" s="541"/>
      <c r="CO12" s="541"/>
      <c r="CP12" s="541"/>
      <c r="CQ12" s="541"/>
      <c r="CR12" s="541"/>
      <c r="CS12" s="541"/>
      <c r="CT12" s="541"/>
      <c r="CU12" s="541"/>
      <c r="CV12" s="541"/>
      <c r="CW12" s="541"/>
      <c r="CX12" s="541"/>
      <c r="CY12" s="541"/>
      <c r="CZ12" s="541"/>
      <c r="DA12" s="541"/>
      <c r="DB12" s="541"/>
      <c r="DC12" s="541"/>
      <c r="DD12" s="541"/>
      <c r="DE12" s="541"/>
      <c r="DF12" s="541"/>
      <c r="DG12" s="541"/>
      <c r="DH12" s="541"/>
      <c r="DI12" s="541"/>
      <c r="DJ12" s="541"/>
      <c r="DK12" s="541"/>
      <c r="DL12" s="541"/>
      <c r="DM12" s="541"/>
      <c r="DN12" s="541"/>
      <c r="DO12" s="541"/>
      <c r="DP12" s="541"/>
      <c r="DQ12" s="541"/>
      <c r="DR12" s="541"/>
      <c r="DS12" s="541"/>
      <c r="DT12" s="541"/>
      <c r="DU12" s="541"/>
      <c r="DV12" s="541"/>
      <c r="DW12" s="541"/>
      <c r="DX12" s="541"/>
      <c r="DY12" s="541"/>
      <c r="DZ12" s="541"/>
      <c r="EA12" s="541"/>
      <c r="EB12" s="541"/>
      <c r="EC12" s="541"/>
      <c r="ED12" s="541"/>
      <c r="EE12" s="541"/>
      <c r="EF12" s="541"/>
      <c r="EG12" s="541"/>
      <c r="EH12" s="541"/>
      <c r="EI12" s="541"/>
      <c r="EJ12" s="541"/>
      <c r="EK12" s="541"/>
      <c r="EL12" s="541"/>
      <c r="EM12" s="541"/>
      <c r="EN12" s="541"/>
      <c r="EO12" s="541"/>
      <c r="EP12" s="541"/>
      <c r="EQ12" s="541"/>
      <c r="ER12" s="541"/>
      <c r="ES12" s="541"/>
      <c r="ET12" s="541"/>
      <c r="EU12" s="541"/>
      <c r="EV12" s="541"/>
      <c r="EW12" s="541"/>
      <c r="EX12" s="541"/>
      <c r="EY12" s="541"/>
      <c r="EZ12" s="541"/>
      <c r="FA12" s="541"/>
      <c r="FB12" s="541"/>
      <c r="FC12" s="541"/>
      <c r="FD12" s="541"/>
      <c r="FE12" s="541"/>
      <c r="FF12" s="541"/>
      <c r="FG12" s="541"/>
      <c r="FH12" s="541"/>
      <c r="FI12" s="541"/>
      <c r="FJ12" s="541"/>
      <c r="FK12" s="541"/>
      <c r="FL12" s="541"/>
      <c r="FM12" s="541"/>
      <c r="FN12" s="541"/>
      <c r="FO12" s="541"/>
      <c r="FP12" s="541"/>
      <c r="FQ12" s="541"/>
      <c r="FR12" s="541"/>
      <c r="FS12" s="541"/>
      <c r="FT12" s="541"/>
      <c r="FU12" s="541"/>
      <c r="FV12" s="541"/>
      <c r="FW12" s="541"/>
      <c r="FX12" s="541"/>
      <c r="FY12" s="541"/>
      <c r="FZ12" s="541"/>
      <c r="GA12" s="541"/>
      <c r="GB12" s="541"/>
      <c r="GC12" s="541"/>
      <c r="GD12" s="541"/>
      <c r="GE12" s="541"/>
      <c r="GF12" s="541"/>
      <c r="GG12" s="541"/>
      <c r="GH12" s="541"/>
      <c r="GI12" s="541"/>
      <c r="GJ12" s="541"/>
      <c r="GK12" s="541"/>
      <c r="GL12" s="541"/>
      <c r="GM12" s="541"/>
      <c r="GN12" s="541"/>
      <c r="GO12" s="541"/>
      <c r="GP12" s="541"/>
      <c r="GQ12" s="541"/>
      <c r="GR12" s="541"/>
      <c r="GS12" s="541"/>
      <c r="GT12" s="541"/>
      <c r="GU12" s="541"/>
      <c r="GV12" s="541"/>
      <c r="GW12" s="541"/>
      <c r="GX12" s="541"/>
      <c r="GY12" s="541"/>
      <c r="GZ12" s="541"/>
      <c r="HA12" s="541"/>
      <c r="HB12" s="541"/>
      <c r="HC12" s="541"/>
      <c r="HD12" s="541"/>
      <c r="HE12" s="541"/>
      <c r="HF12" s="541"/>
      <c r="HG12" s="541"/>
      <c r="HH12" s="541"/>
      <c r="HI12" s="541"/>
      <c r="HJ12" s="541"/>
      <c r="HK12" s="541"/>
      <c r="HL12" s="541"/>
      <c r="HM12" s="541"/>
      <c r="HN12" s="541"/>
      <c r="HO12" s="541"/>
      <c r="HP12" s="541"/>
      <c r="HQ12" s="541"/>
      <c r="HR12" s="541"/>
      <c r="HS12" s="541"/>
      <c r="HT12" s="541"/>
      <c r="HU12" s="541"/>
      <c r="HV12" s="541"/>
      <c r="HW12" s="541"/>
      <c r="HX12" s="541"/>
      <c r="HY12" s="541"/>
      <c r="HZ12" s="541"/>
      <c r="IA12" s="541"/>
      <c r="IB12" s="541"/>
      <c r="IC12" s="541"/>
      <c r="ID12" s="541"/>
      <c r="IE12" s="541"/>
      <c r="IF12" s="541"/>
      <c r="IG12" s="541"/>
      <c r="IH12" s="541"/>
      <c r="II12" s="541"/>
      <c r="IJ12" s="541"/>
      <c r="IK12" s="541"/>
      <c r="IL12" s="541"/>
      <c r="IM12" s="541"/>
      <c r="IN12" s="541"/>
      <c r="IO12" s="541"/>
      <c r="IP12" s="541"/>
      <c r="IQ12" s="541"/>
      <c r="IR12" s="541"/>
      <c r="IS12" s="541"/>
      <c r="IT12" s="541"/>
      <c r="IU12" s="541"/>
      <c r="IV12" s="541"/>
      <c r="IW12" s="541"/>
      <c r="IX12" s="541"/>
      <c r="IY12" s="541"/>
      <c r="IZ12" s="541"/>
      <c r="JA12" s="541"/>
      <c r="JB12" s="541"/>
      <c r="JC12" s="541"/>
      <c r="JD12" s="541"/>
      <c r="JE12" s="541"/>
      <c r="JF12" s="541"/>
      <c r="JG12" s="541"/>
      <c r="JH12" s="541"/>
      <c r="JI12" s="541"/>
      <c r="JJ12" s="541"/>
      <c r="JK12" s="541"/>
      <c r="JL12" s="541"/>
      <c r="JM12" s="541"/>
      <c r="JN12" s="541"/>
      <c r="JO12" s="541"/>
      <c r="JP12" s="541"/>
      <c r="JQ12" s="541"/>
      <c r="JR12" s="541"/>
      <c r="JS12" s="541"/>
      <c r="JT12" s="541"/>
      <c r="JU12" s="541"/>
      <c r="JV12" s="541"/>
      <c r="JW12" s="541"/>
      <c r="JX12" s="541"/>
      <c r="JY12" s="541"/>
      <c r="JZ12" s="541"/>
      <c r="KA12" s="541"/>
      <c r="KB12" s="541"/>
      <c r="KC12" s="541"/>
      <c r="KD12" s="541"/>
      <c r="KE12" s="541"/>
      <c r="KF12" s="541"/>
      <c r="KG12" s="541"/>
      <c r="KH12" s="541"/>
      <c r="KI12" s="541"/>
      <c r="KJ12" s="541"/>
      <c r="KK12" s="541"/>
      <c r="KL12" s="541"/>
      <c r="KM12" s="541"/>
      <c r="KN12" s="541"/>
      <c r="KO12" s="541"/>
      <c r="KP12" s="541"/>
      <c r="KQ12" s="541"/>
      <c r="KR12" s="541"/>
      <c r="KS12" s="541"/>
      <c r="KT12" s="541"/>
      <c r="KU12" s="541"/>
      <c r="KV12" s="541"/>
      <c r="KW12" s="541"/>
      <c r="KX12" s="541"/>
      <c r="KY12" s="541"/>
      <c r="KZ12" s="541"/>
      <c r="LA12" s="541"/>
      <c r="LB12" s="541"/>
      <c r="LC12" s="541"/>
      <c r="LD12" s="541"/>
      <c r="LE12" s="541"/>
      <c r="LF12" s="541"/>
      <c r="LG12" s="541"/>
      <c r="LH12" s="541"/>
      <c r="LI12" s="541"/>
      <c r="LJ12" s="541"/>
      <c r="LK12" s="541"/>
      <c r="LL12" s="541"/>
      <c r="LM12" s="541"/>
      <c r="LN12" s="541"/>
      <c r="LO12" s="541"/>
      <c r="LP12" s="541"/>
      <c r="LQ12" s="541"/>
      <c r="LR12" s="541"/>
      <c r="LS12" s="541"/>
      <c r="LT12" s="541"/>
      <c r="LU12" s="541"/>
      <c r="LV12" s="541"/>
      <c r="LW12" s="541"/>
      <c r="LX12" s="541"/>
      <c r="LY12" s="541"/>
      <c r="LZ12" s="541"/>
      <c r="MA12" s="541"/>
      <c r="MB12" s="541"/>
      <c r="MC12" s="541"/>
      <c r="MD12" s="541"/>
      <c r="ME12" s="541"/>
      <c r="MF12" s="541"/>
      <c r="MG12" s="541"/>
      <c r="MH12" s="541"/>
      <c r="MI12" s="541"/>
      <c r="MJ12" s="541"/>
      <c r="MK12" s="541"/>
      <c r="ML12" s="541"/>
      <c r="MM12" s="541"/>
      <c r="MN12" s="541"/>
      <c r="MO12" s="541"/>
      <c r="MP12" s="541"/>
      <c r="MQ12" s="541"/>
      <c r="MR12" s="541"/>
      <c r="MS12" s="541"/>
      <c r="MT12" s="541"/>
      <c r="MU12" s="541"/>
      <c r="MV12" s="541"/>
      <c r="MW12" s="541"/>
      <c r="MX12" s="541"/>
      <c r="MY12" s="541"/>
      <c r="MZ12" s="541"/>
      <c r="NA12" s="541"/>
      <c r="NB12" s="541"/>
      <c r="NC12" s="541"/>
      <c r="ND12" s="541"/>
      <c r="NE12" s="541"/>
      <c r="NF12" s="541"/>
      <c r="NG12" s="541"/>
      <c r="NH12" s="541"/>
      <c r="NI12" s="541"/>
      <c r="NJ12" s="541"/>
      <c r="NK12" s="541"/>
      <c r="NL12" s="541"/>
      <c r="NM12" s="541"/>
      <c r="NN12" s="541"/>
      <c r="NO12" s="541"/>
      <c r="NP12" s="541"/>
      <c r="NQ12" s="541"/>
      <c r="NR12" s="541"/>
      <c r="NS12" s="541"/>
      <c r="NT12" s="541"/>
      <c r="NU12" s="541"/>
      <c r="NV12" s="541"/>
      <c r="NW12" s="541"/>
      <c r="NX12" s="541"/>
      <c r="NY12" s="541"/>
      <c r="NZ12" s="541"/>
      <c r="OA12" s="541"/>
      <c r="OB12" s="541"/>
      <c r="OC12" s="541"/>
      <c r="OD12" s="541"/>
      <c r="OE12" s="541"/>
      <c r="OF12" s="541"/>
      <c r="OG12" s="541"/>
      <c r="OH12" s="541"/>
      <c r="OI12" s="541"/>
      <c r="OJ12" s="541"/>
      <c r="OK12" s="541"/>
      <c r="OL12" s="541"/>
      <c r="OM12" s="541"/>
      <c r="ON12" s="541"/>
      <c r="OO12" s="541"/>
      <c r="OP12" s="541"/>
      <c r="OQ12" s="541"/>
      <c r="OR12" s="541"/>
      <c r="OS12" s="541"/>
      <c r="OT12" s="541"/>
      <c r="OU12" s="541"/>
      <c r="OV12" s="541"/>
      <c r="OW12" s="541"/>
      <c r="OX12" s="541"/>
      <c r="OY12" s="541"/>
      <c r="OZ12" s="541"/>
      <c r="PA12" s="541"/>
      <c r="PB12" s="541"/>
      <c r="PC12" s="541"/>
      <c r="PD12" s="541"/>
      <c r="PE12" s="541"/>
      <c r="PF12" s="541"/>
      <c r="PG12" s="541"/>
      <c r="PH12" s="541"/>
      <c r="PI12" s="541"/>
      <c r="PJ12" s="541"/>
      <c r="PK12" s="541"/>
      <c r="PL12" s="541"/>
      <c r="PM12" s="541"/>
      <c r="PN12" s="541"/>
      <c r="PO12" s="541"/>
      <c r="PP12" s="541"/>
      <c r="PQ12" s="541"/>
      <c r="PR12" s="541"/>
      <c r="PS12" s="541"/>
      <c r="PT12" s="541"/>
      <c r="PU12" s="541"/>
      <c r="PV12" s="541"/>
      <c r="PW12" s="541"/>
      <c r="PX12" s="541"/>
      <c r="PY12" s="541"/>
      <c r="PZ12" s="541"/>
      <c r="QA12" s="541"/>
      <c r="QB12" s="541"/>
      <c r="QC12" s="541"/>
      <c r="QD12" s="541"/>
      <c r="QE12" s="541"/>
      <c r="QF12" s="541"/>
      <c r="QG12" s="541"/>
      <c r="QH12" s="541"/>
      <c r="QI12" s="541"/>
      <c r="QJ12" s="541"/>
      <c r="QK12" s="541"/>
      <c r="QL12" s="541"/>
      <c r="QM12" s="541"/>
      <c r="QN12" s="541"/>
      <c r="QO12" s="541"/>
      <c r="QP12" s="541"/>
      <c r="QQ12" s="541"/>
      <c r="QR12" s="541"/>
      <c r="QS12" s="541"/>
      <c r="QT12" s="541"/>
      <c r="QU12" s="541"/>
      <c r="QV12" s="541"/>
      <c r="QW12" s="541"/>
      <c r="QX12" s="541"/>
      <c r="QY12" s="541"/>
      <c r="QZ12" s="541"/>
      <c r="RA12" s="541"/>
      <c r="RB12" s="541"/>
      <c r="RC12" s="541"/>
      <c r="RD12" s="541"/>
      <c r="RE12" s="541"/>
      <c r="RF12" s="541"/>
      <c r="RG12" s="541"/>
      <c r="RH12" s="541"/>
      <c r="RI12" s="541"/>
      <c r="RJ12" s="541"/>
      <c r="RK12" s="541"/>
      <c r="RL12" s="541"/>
      <c r="RM12" s="541"/>
      <c r="RN12" s="541"/>
      <c r="RO12" s="541"/>
      <c r="RP12" s="541"/>
      <c r="RQ12" s="541"/>
      <c r="RR12" s="541"/>
      <c r="RS12" s="541"/>
      <c r="RT12" s="541"/>
      <c r="RU12" s="541"/>
      <c r="RV12" s="541"/>
      <c r="RW12" s="541"/>
      <c r="RX12" s="541"/>
      <c r="RY12" s="541"/>
      <c r="RZ12" s="541"/>
      <c r="SA12" s="541"/>
      <c r="SB12" s="541"/>
      <c r="SC12" s="541"/>
      <c r="SD12" s="541"/>
      <c r="SE12" s="541"/>
      <c r="SF12" s="541"/>
      <c r="SG12" s="541"/>
      <c r="SH12" s="541"/>
      <c r="SI12" s="541"/>
      <c r="SJ12" s="541"/>
      <c r="SK12" s="541"/>
      <c r="SL12" s="541"/>
      <c r="SM12" s="541"/>
      <c r="SN12" s="541"/>
      <c r="SO12" s="541"/>
      <c r="SP12" s="541"/>
      <c r="SQ12" s="541"/>
      <c r="SR12" s="541"/>
      <c r="SS12" s="541"/>
      <c r="ST12" s="541"/>
      <c r="SU12" s="541"/>
      <c r="SV12" s="541"/>
      <c r="SW12" s="541"/>
      <c r="SX12" s="541"/>
      <c r="SY12" s="541"/>
      <c r="SZ12" s="541"/>
      <c r="TA12" s="541"/>
      <c r="TB12" s="541"/>
      <c r="TC12" s="541"/>
      <c r="TD12" s="541"/>
      <c r="TE12" s="541"/>
      <c r="TF12" s="541"/>
      <c r="TG12" s="541"/>
      <c r="TH12" s="541"/>
      <c r="TI12" s="541"/>
      <c r="TJ12" s="541"/>
      <c r="TK12" s="541"/>
      <c r="TL12" s="541"/>
      <c r="TM12" s="541"/>
      <c r="TN12" s="541"/>
      <c r="TO12" s="541"/>
      <c r="TP12" s="541"/>
      <c r="TQ12" s="541"/>
      <c r="TR12" s="541"/>
      <c r="TS12" s="541"/>
      <c r="TT12" s="541"/>
      <c r="TU12" s="541"/>
      <c r="TV12" s="541"/>
      <c r="TW12" s="541"/>
      <c r="TX12" s="541"/>
      <c r="TY12" s="541"/>
      <c r="TZ12" s="541"/>
      <c r="UA12" s="541"/>
      <c r="UB12" s="541"/>
      <c r="UC12" s="541"/>
      <c r="UD12" s="541"/>
      <c r="UE12" s="541"/>
      <c r="UF12" s="541"/>
      <c r="UG12" s="541"/>
      <c r="UH12" s="541"/>
      <c r="UI12" s="541"/>
      <c r="UJ12" s="541"/>
      <c r="UK12" s="541"/>
      <c r="UL12" s="541"/>
      <c r="UM12" s="541"/>
      <c r="UN12" s="541"/>
      <c r="UO12" s="541"/>
      <c r="UP12" s="541"/>
      <c r="UQ12" s="541"/>
      <c r="UR12" s="541"/>
      <c r="US12" s="541"/>
      <c r="UT12" s="541"/>
      <c r="UU12" s="541"/>
      <c r="UV12" s="541"/>
      <c r="UW12" s="541"/>
      <c r="UX12" s="541"/>
      <c r="UY12" s="541"/>
      <c r="UZ12" s="541"/>
      <c r="VA12" s="541"/>
      <c r="VB12" s="541"/>
      <c r="VC12" s="541"/>
      <c r="VD12" s="541"/>
      <c r="VE12" s="541"/>
      <c r="VF12" s="541"/>
      <c r="VG12" s="541"/>
      <c r="VH12" s="541"/>
      <c r="VI12" s="541"/>
      <c r="VJ12" s="541"/>
      <c r="VK12" s="541"/>
      <c r="VL12" s="541"/>
      <c r="VM12" s="541"/>
      <c r="VN12" s="541"/>
      <c r="VO12" s="541"/>
      <c r="VP12" s="541"/>
      <c r="VQ12" s="541"/>
      <c r="VR12" s="541"/>
      <c r="VS12" s="541"/>
      <c r="VT12" s="541"/>
      <c r="VU12" s="541"/>
      <c r="VV12" s="541"/>
      <c r="VW12" s="541"/>
      <c r="VX12" s="541"/>
      <c r="VY12" s="541"/>
      <c r="VZ12" s="541"/>
      <c r="WA12" s="541"/>
      <c r="WB12" s="541"/>
      <c r="WC12" s="541"/>
      <c r="WD12" s="541"/>
      <c r="WE12" s="541"/>
      <c r="WF12" s="541"/>
      <c r="WG12" s="541"/>
      <c r="WH12" s="541"/>
      <c r="WI12" s="541"/>
      <c r="WJ12" s="541"/>
      <c r="WK12" s="541"/>
      <c r="WL12" s="541"/>
      <c r="WM12" s="541"/>
      <c r="WN12" s="541"/>
      <c r="WO12" s="541"/>
      <c r="WP12" s="541"/>
      <c r="WQ12" s="541"/>
      <c r="WR12" s="541"/>
      <c r="WS12" s="541"/>
      <c r="WT12" s="541"/>
      <c r="WU12" s="541"/>
      <c r="WV12" s="541"/>
      <c r="WW12" s="541"/>
      <c r="WX12" s="541"/>
      <c r="WY12" s="541"/>
      <c r="WZ12" s="541"/>
      <c r="XA12" s="541"/>
      <c r="XB12" s="541"/>
      <c r="XC12" s="541"/>
      <c r="XD12" s="541"/>
      <c r="XE12" s="541"/>
      <c r="XF12" s="541"/>
      <c r="XG12" s="541"/>
      <c r="XH12" s="541"/>
      <c r="XI12" s="541"/>
      <c r="XJ12" s="541"/>
      <c r="XK12" s="541"/>
      <c r="XL12" s="541"/>
      <c r="XM12" s="541"/>
      <c r="XN12" s="541"/>
      <c r="XO12" s="541"/>
      <c r="XP12" s="541"/>
      <c r="XQ12" s="541"/>
      <c r="XR12" s="541"/>
      <c r="XS12" s="541"/>
      <c r="XT12" s="541"/>
      <c r="XU12" s="541"/>
      <c r="XV12" s="541"/>
      <c r="XW12" s="541"/>
      <c r="XX12" s="541"/>
      <c r="XY12" s="541"/>
      <c r="XZ12" s="541"/>
      <c r="YA12" s="541"/>
      <c r="YB12" s="541"/>
      <c r="YC12" s="541"/>
      <c r="YD12" s="541"/>
      <c r="YE12" s="541"/>
      <c r="YF12" s="541"/>
      <c r="YG12" s="541"/>
      <c r="YH12" s="541"/>
      <c r="YI12" s="541"/>
      <c r="YJ12" s="541"/>
      <c r="YK12" s="541"/>
      <c r="YL12" s="541"/>
      <c r="YM12" s="541"/>
      <c r="YN12" s="541"/>
      <c r="YO12" s="541"/>
      <c r="YP12" s="541"/>
      <c r="YQ12" s="541"/>
      <c r="YR12" s="541"/>
      <c r="YS12" s="541"/>
      <c r="YT12" s="541"/>
      <c r="YU12" s="541"/>
      <c r="YV12" s="541"/>
      <c r="YW12" s="541"/>
      <c r="YX12" s="541"/>
      <c r="YY12" s="541"/>
      <c r="YZ12" s="541"/>
      <c r="ZA12" s="541"/>
      <c r="ZB12" s="541"/>
      <c r="ZC12" s="541"/>
      <c r="ZD12" s="541"/>
      <c r="ZE12" s="541"/>
      <c r="ZF12" s="541"/>
      <c r="ZG12" s="541"/>
      <c r="ZH12" s="541"/>
      <c r="ZI12" s="541"/>
      <c r="ZJ12" s="541"/>
      <c r="ZK12" s="541"/>
      <c r="ZL12" s="541"/>
      <c r="ZM12" s="541"/>
      <c r="ZN12" s="541"/>
      <c r="ZO12" s="541"/>
      <c r="ZP12" s="541"/>
      <c r="ZQ12" s="541"/>
      <c r="ZR12" s="541"/>
      <c r="ZS12" s="541"/>
      <c r="ZT12" s="541"/>
      <c r="ZU12" s="541"/>
      <c r="ZV12" s="541"/>
      <c r="ZW12" s="541"/>
      <c r="ZX12" s="541"/>
      <c r="ZY12" s="541"/>
      <c r="ZZ12" s="541"/>
      <c r="AAA12" s="541"/>
      <c r="AAB12" s="541"/>
      <c r="AAC12" s="541"/>
      <c r="AAD12" s="541"/>
      <c r="AAE12" s="541"/>
      <c r="AAF12" s="541"/>
      <c r="AAG12" s="541"/>
      <c r="AAH12" s="541"/>
      <c r="AAI12" s="541"/>
      <c r="AAJ12" s="541"/>
      <c r="AAK12" s="541"/>
      <c r="AAL12" s="541"/>
      <c r="AAM12" s="541"/>
      <c r="AAN12" s="541"/>
      <c r="AAO12" s="541"/>
      <c r="AAP12" s="541"/>
      <c r="AAQ12" s="541"/>
      <c r="AAR12" s="541"/>
      <c r="AAS12" s="541"/>
      <c r="AAT12" s="541"/>
      <c r="AAU12" s="541"/>
      <c r="AAV12" s="541"/>
      <c r="AAW12" s="541"/>
      <c r="AAX12" s="541"/>
      <c r="AAY12" s="541"/>
      <c r="AAZ12" s="541"/>
      <c r="ABA12" s="541"/>
      <c r="ABB12" s="541"/>
      <c r="ABC12" s="541"/>
      <c r="ABD12" s="541"/>
      <c r="ABE12" s="541"/>
      <c r="ABF12" s="541"/>
      <c r="ABG12" s="541"/>
      <c r="ABH12" s="541"/>
      <c r="ABI12" s="541"/>
      <c r="ABJ12" s="541"/>
      <c r="ABK12" s="541"/>
      <c r="ABL12" s="541"/>
      <c r="ABM12" s="541"/>
      <c r="ABN12" s="541"/>
      <c r="ABO12" s="541"/>
      <c r="ABP12" s="541"/>
      <c r="ABQ12" s="541"/>
      <c r="ABR12" s="541"/>
      <c r="ABS12" s="541"/>
      <c r="ABT12" s="541"/>
      <c r="ABU12" s="541"/>
      <c r="ABV12" s="541"/>
      <c r="ABW12" s="541"/>
      <c r="ABX12" s="541"/>
      <c r="ABY12" s="541"/>
      <c r="ABZ12" s="541"/>
      <c r="ACA12" s="541"/>
      <c r="ACB12" s="541"/>
      <c r="ACC12" s="541"/>
      <c r="ACD12" s="541"/>
      <c r="ACE12" s="541"/>
      <c r="ACF12" s="541"/>
      <c r="ACG12" s="541"/>
      <c r="ACH12" s="541"/>
      <c r="ACI12" s="541"/>
      <c r="ACJ12" s="541"/>
      <c r="ACK12" s="541"/>
      <c r="ACL12" s="541"/>
      <c r="ACM12" s="541"/>
      <c r="ACN12" s="541"/>
      <c r="ACO12" s="541"/>
      <c r="ACP12" s="541"/>
      <c r="ACQ12" s="541"/>
      <c r="ACR12" s="541"/>
      <c r="ACS12" s="541"/>
      <c r="ACT12" s="541"/>
      <c r="ACU12" s="541"/>
      <c r="ACV12" s="541"/>
      <c r="ACW12" s="541"/>
      <c r="ACX12" s="541"/>
      <c r="ACY12" s="541"/>
      <c r="ACZ12" s="541"/>
      <c r="ADA12" s="541"/>
      <c r="ADB12" s="541"/>
      <c r="ADC12" s="541"/>
      <c r="ADD12" s="541"/>
      <c r="ADE12" s="541"/>
      <c r="ADF12" s="541"/>
      <c r="ADG12" s="541"/>
      <c r="ADH12" s="541"/>
      <c r="ADI12" s="541"/>
      <c r="ADJ12" s="541"/>
      <c r="ADK12" s="541"/>
      <c r="ADL12" s="541"/>
      <c r="ADM12" s="541"/>
      <c r="ADN12" s="541"/>
      <c r="ADO12" s="541"/>
      <c r="ADP12" s="541"/>
      <c r="ADQ12" s="541"/>
      <c r="ADR12" s="541"/>
      <c r="ADS12" s="541"/>
      <c r="ADT12" s="541"/>
      <c r="ADU12" s="541"/>
      <c r="ADV12" s="541"/>
      <c r="ADW12" s="541"/>
      <c r="ADX12" s="541"/>
      <c r="ADY12" s="541"/>
      <c r="ADZ12" s="541"/>
      <c r="AEA12" s="541"/>
      <c r="AEB12" s="541"/>
      <c r="AEC12" s="541"/>
      <c r="AED12" s="541"/>
      <c r="AEE12" s="541"/>
      <c r="AEF12" s="541"/>
      <c r="AEG12" s="541"/>
      <c r="AEH12" s="541"/>
      <c r="AEI12" s="541"/>
      <c r="AEJ12" s="541"/>
      <c r="AEK12" s="541"/>
      <c r="AEL12" s="541"/>
      <c r="AEM12" s="541"/>
      <c r="AEN12" s="541"/>
      <c r="AEO12" s="541"/>
      <c r="AEP12" s="541"/>
      <c r="AEQ12" s="541"/>
      <c r="AER12" s="541"/>
      <c r="AES12" s="541"/>
      <c r="AET12" s="541"/>
      <c r="AEU12" s="541"/>
      <c r="AEV12" s="541"/>
      <c r="AEW12" s="541"/>
      <c r="AEX12" s="541"/>
      <c r="AEY12" s="541"/>
      <c r="AEZ12" s="541"/>
      <c r="AFA12" s="541"/>
      <c r="AFB12" s="541"/>
      <c r="AFC12" s="541"/>
      <c r="AFD12" s="541"/>
      <c r="AFE12" s="541"/>
      <c r="AFF12" s="541"/>
      <c r="AFG12" s="541"/>
      <c r="AFH12" s="541"/>
      <c r="AFI12" s="541"/>
      <c r="AFJ12" s="541"/>
      <c r="AFK12" s="541"/>
      <c r="AFL12" s="541"/>
      <c r="AFM12" s="541"/>
      <c r="AFN12" s="541"/>
      <c r="AFO12" s="541"/>
      <c r="AFP12" s="541"/>
      <c r="AFQ12" s="541"/>
      <c r="AFR12" s="541"/>
      <c r="AFS12" s="541"/>
      <c r="AFT12" s="541"/>
      <c r="AFU12" s="541"/>
      <c r="AFV12" s="541"/>
      <c r="AFW12" s="541"/>
      <c r="AFX12" s="541"/>
      <c r="AFY12" s="541"/>
      <c r="AFZ12" s="541"/>
      <c r="AGA12" s="541"/>
      <c r="AGB12" s="541"/>
      <c r="AGC12" s="541"/>
      <c r="AGD12" s="541"/>
      <c r="AGE12" s="541"/>
      <c r="AGF12" s="541"/>
      <c r="AGG12" s="541"/>
      <c r="AGH12" s="541"/>
      <c r="AGI12" s="541"/>
      <c r="AGJ12" s="541"/>
      <c r="AGK12" s="541"/>
      <c r="AGL12" s="541"/>
      <c r="AGM12" s="541"/>
      <c r="AGN12" s="541"/>
      <c r="AGO12" s="541"/>
      <c r="AGP12" s="541"/>
      <c r="AGQ12" s="541"/>
      <c r="AGR12" s="541"/>
      <c r="AGS12" s="541"/>
      <c r="AGT12" s="541"/>
      <c r="AGU12" s="541"/>
      <c r="AGV12" s="541"/>
      <c r="AGW12" s="541"/>
      <c r="AGX12" s="541"/>
      <c r="AGY12" s="541"/>
      <c r="AGZ12" s="541"/>
      <c r="AHA12" s="541"/>
      <c r="AHB12" s="541"/>
      <c r="AHC12" s="541"/>
      <c r="AHD12" s="541"/>
      <c r="AHE12" s="541"/>
      <c r="AHF12" s="541"/>
      <c r="AHG12" s="541"/>
      <c r="AHH12" s="541"/>
      <c r="AHI12" s="541"/>
      <c r="AHJ12" s="541"/>
      <c r="AHK12" s="541"/>
      <c r="AHL12" s="541"/>
      <c r="AHM12" s="541"/>
      <c r="AHN12" s="541"/>
      <c r="AHO12" s="541"/>
      <c r="AHP12" s="541"/>
      <c r="AHQ12" s="541"/>
      <c r="AHR12" s="541"/>
      <c r="AHS12" s="541"/>
      <c r="AHT12" s="541"/>
      <c r="AHU12" s="541"/>
      <c r="AHV12" s="541"/>
      <c r="AHW12" s="541"/>
      <c r="AHX12" s="541"/>
      <c r="AHY12" s="541"/>
      <c r="AHZ12" s="541"/>
      <c r="AIA12" s="541"/>
      <c r="AIB12" s="541"/>
      <c r="AIC12" s="541"/>
      <c r="AID12" s="541"/>
      <c r="AIE12" s="541"/>
      <c r="AIF12" s="541"/>
      <c r="AIG12" s="541"/>
      <c r="AIH12" s="541"/>
      <c r="AII12" s="541"/>
      <c r="AIJ12" s="541"/>
      <c r="AIK12" s="541"/>
      <c r="AIL12" s="541"/>
      <c r="AIM12" s="541"/>
      <c r="AIN12" s="541"/>
      <c r="AIO12" s="541"/>
      <c r="AIP12" s="541"/>
      <c r="AIQ12" s="541"/>
      <c r="AIR12" s="541"/>
      <c r="AIS12" s="541"/>
      <c r="AIT12" s="541"/>
      <c r="AIU12" s="541"/>
      <c r="AIV12" s="541"/>
      <c r="AIW12" s="541"/>
      <c r="AIX12" s="541"/>
      <c r="AIY12" s="541"/>
      <c r="AIZ12" s="541"/>
      <c r="AJA12" s="541"/>
      <c r="AJB12" s="541"/>
      <c r="AJC12" s="541"/>
      <c r="AJD12" s="541"/>
      <c r="AJE12" s="541"/>
      <c r="AJF12" s="541"/>
      <c r="AJG12" s="541"/>
      <c r="AJH12" s="541"/>
      <c r="AJI12" s="541"/>
      <c r="AJJ12" s="541"/>
      <c r="AJK12" s="541"/>
      <c r="AJL12" s="541"/>
      <c r="AJM12" s="541"/>
      <c r="AJN12" s="541"/>
      <c r="AJO12" s="541"/>
      <c r="AJP12" s="541"/>
      <c r="AJQ12" s="541"/>
      <c r="AJR12" s="541"/>
      <c r="AJS12" s="541"/>
      <c r="AJT12" s="541"/>
      <c r="AJU12" s="541"/>
      <c r="AJV12" s="541"/>
      <c r="AJW12" s="541"/>
      <c r="AJX12" s="541"/>
      <c r="AJY12" s="541"/>
      <c r="AJZ12" s="541"/>
      <c r="AKA12" s="541"/>
      <c r="AKB12" s="541"/>
      <c r="AKC12" s="541"/>
      <c r="AKD12" s="541"/>
      <c r="AKE12" s="541"/>
      <c r="AKF12" s="541"/>
      <c r="AKG12" s="541"/>
      <c r="AKH12" s="541"/>
      <c r="AKI12" s="541"/>
      <c r="AKJ12" s="541"/>
      <c r="AKK12" s="541"/>
      <c r="AKL12" s="541"/>
      <c r="AKM12" s="541"/>
      <c r="AKN12" s="541"/>
      <c r="AKO12" s="541"/>
      <c r="AKP12" s="541"/>
      <c r="AKQ12" s="541"/>
      <c r="AKR12" s="541"/>
      <c r="AKS12" s="541"/>
      <c r="AKT12" s="541"/>
      <c r="AKU12" s="541"/>
      <c r="AKV12" s="541"/>
      <c r="AKW12" s="541"/>
      <c r="AKX12" s="541"/>
      <c r="AKY12" s="541"/>
      <c r="AKZ12" s="541"/>
      <c r="ALA12" s="541"/>
      <c r="ALB12" s="541"/>
      <c r="ALC12" s="541"/>
      <c r="ALD12" s="541"/>
      <c r="ALE12" s="541"/>
      <c r="ALF12" s="541"/>
      <c r="ALG12" s="541"/>
      <c r="ALH12" s="541"/>
      <c r="ALI12" s="541"/>
      <c r="ALJ12" s="541"/>
      <c r="ALK12" s="541"/>
      <c r="ALL12" s="541"/>
      <c r="ALM12" s="541"/>
      <c r="ALN12" s="541"/>
      <c r="ALO12" s="541"/>
      <c r="ALP12" s="541"/>
      <c r="ALQ12" s="541"/>
      <c r="ALR12" s="541"/>
      <c r="ALS12" s="541"/>
      <c r="ALT12" s="541"/>
      <c r="ALU12" s="541"/>
      <c r="ALV12" s="541"/>
      <c r="ALW12" s="541"/>
      <c r="ALX12" s="541"/>
      <c r="ALY12" s="541"/>
      <c r="ALZ12" s="541"/>
      <c r="AMA12" s="541"/>
      <c r="AMB12" s="541"/>
      <c r="AMC12" s="541"/>
      <c r="AMD12" s="541"/>
      <c r="AME12" s="541"/>
      <c r="AMF12" s="541"/>
      <c r="AMG12" s="541"/>
      <c r="AMH12" s="541"/>
      <c r="AMI12" s="541"/>
      <c r="AMJ12" s="541"/>
      <c r="AMK12" s="541"/>
      <c r="AML12" s="541"/>
      <c r="AMM12" s="541"/>
      <c r="AMN12" s="541"/>
      <c r="AMO12" s="541"/>
      <c r="AMP12" s="541"/>
      <c r="AMQ12" s="541"/>
      <c r="AMR12" s="541"/>
      <c r="AMS12" s="541"/>
      <c r="AMT12" s="541"/>
      <c r="AMU12" s="541"/>
      <c r="AMV12" s="541"/>
      <c r="AMW12" s="541"/>
      <c r="AMX12" s="541"/>
      <c r="AMY12" s="541"/>
      <c r="AMZ12" s="541"/>
      <c r="ANA12" s="541"/>
      <c r="ANB12" s="541"/>
      <c r="ANC12" s="541"/>
      <c r="AND12" s="541"/>
      <c r="ANE12" s="541"/>
      <c r="ANF12" s="541"/>
      <c r="ANG12" s="541"/>
      <c r="ANH12" s="541"/>
      <c r="ANI12" s="541"/>
      <c r="ANJ12" s="541"/>
      <c r="ANK12" s="541"/>
      <c r="ANL12" s="541"/>
      <c r="ANM12" s="541"/>
      <c r="ANN12" s="541"/>
      <c r="ANO12" s="541"/>
      <c r="ANP12" s="541"/>
      <c r="ANQ12" s="541"/>
      <c r="ANR12" s="541"/>
      <c r="ANS12" s="541"/>
      <c r="ANT12" s="541"/>
      <c r="ANU12" s="541"/>
      <c r="ANV12" s="541"/>
      <c r="ANW12" s="541"/>
      <c r="ANX12" s="541"/>
      <c r="ANY12" s="541"/>
      <c r="ANZ12" s="541"/>
      <c r="AOA12" s="541"/>
      <c r="AOB12" s="541"/>
      <c r="AOC12" s="541"/>
      <c r="AOD12" s="541"/>
      <c r="AOE12" s="541"/>
      <c r="AOF12" s="541"/>
      <c r="AOG12" s="541"/>
      <c r="AOH12" s="541"/>
      <c r="AOI12" s="541"/>
      <c r="AOJ12" s="541"/>
      <c r="AOK12" s="541"/>
      <c r="AOL12" s="541"/>
      <c r="AOM12" s="541"/>
      <c r="AON12" s="541"/>
      <c r="AOO12" s="541"/>
      <c r="AOP12" s="541"/>
      <c r="AOQ12" s="541"/>
      <c r="AOR12" s="541"/>
      <c r="AOS12" s="541"/>
      <c r="AOT12" s="541"/>
      <c r="AOU12" s="541"/>
      <c r="AOV12" s="541"/>
      <c r="AOW12" s="541"/>
      <c r="AOX12" s="541"/>
      <c r="AOY12" s="541"/>
      <c r="AOZ12" s="541"/>
      <c r="APA12" s="541"/>
      <c r="APB12" s="541"/>
      <c r="APC12" s="541"/>
      <c r="APD12" s="541"/>
      <c r="APE12" s="541"/>
      <c r="APF12" s="541"/>
      <c r="APG12" s="541"/>
      <c r="APH12" s="541"/>
      <c r="API12" s="541"/>
      <c r="APJ12" s="541"/>
      <c r="APK12" s="541"/>
      <c r="APL12" s="541"/>
      <c r="APM12" s="541"/>
      <c r="APN12" s="541"/>
      <c r="APO12" s="541"/>
      <c r="APP12" s="541"/>
      <c r="APQ12" s="541"/>
      <c r="APR12" s="541"/>
      <c r="APS12" s="541"/>
      <c r="APT12" s="541"/>
      <c r="APU12" s="541"/>
      <c r="APV12" s="541"/>
      <c r="APW12" s="541"/>
      <c r="APX12" s="541"/>
      <c r="APY12" s="541"/>
      <c r="APZ12" s="541"/>
      <c r="AQA12" s="541"/>
      <c r="AQB12" s="541"/>
      <c r="AQC12" s="541"/>
      <c r="AQD12" s="541"/>
      <c r="AQE12" s="541"/>
      <c r="AQF12" s="541"/>
      <c r="AQG12" s="541"/>
      <c r="AQH12" s="541"/>
      <c r="AQI12" s="541"/>
      <c r="AQJ12" s="541"/>
      <c r="AQK12" s="541"/>
      <c r="AQL12" s="541"/>
      <c r="AQM12" s="541"/>
      <c r="AQN12" s="541"/>
      <c r="AQO12" s="541"/>
      <c r="AQP12" s="541"/>
      <c r="AQQ12" s="541"/>
      <c r="AQR12" s="541"/>
      <c r="AQS12" s="541"/>
      <c r="AQT12" s="541"/>
      <c r="AQU12" s="541"/>
      <c r="AQV12" s="541"/>
      <c r="AQW12" s="541"/>
      <c r="AQX12" s="541"/>
      <c r="AQY12" s="541"/>
      <c r="AQZ12" s="541"/>
      <c r="ARA12" s="541"/>
      <c r="ARB12" s="541"/>
      <c r="ARC12" s="541"/>
      <c r="ARD12" s="541"/>
      <c r="ARE12" s="541"/>
      <c r="ARF12" s="541"/>
      <c r="ARG12" s="541"/>
      <c r="ARH12" s="541"/>
      <c r="ARI12" s="541"/>
      <c r="ARJ12" s="541"/>
      <c r="ARK12" s="541"/>
      <c r="ARL12" s="541"/>
      <c r="ARM12" s="541"/>
      <c r="ARN12" s="541"/>
      <c r="ARO12" s="541"/>
      <c r="ARP12" s="541"/>
      <c r="ARQ12" s="541"/>
      <c r="ARR12" s="541"/>
      <c r="ARS12" s="541"/>
      <c r="ART12" s="541"/>
      <c r="ARU12" s="541"/>
    </row>
    <row r="13" spans="1:1165" s="658" customFormat="1">
      <c r="A13" s="613" t="s">
        <v>195</v>
      </c>
      <c r="B13" s="578" t="s">
        <v>196</v>
      </c>
      <c r="C13" s="581">
        <v>0</v>
      </c>
      <c r="D13" s="581">
        <v>0</v>
      </c>
      <c r="E13" s="581">
        <v>0</v>
      </c>
      <c r="F13" s="581">
        <v>0</v>
      </c>
      <c r="G13" s="598">
        <v>0</v>
      </c>
      <c r="H13" s="598">
        <v>0</v>
      </c>
      <c r="I13" s="598">
        <v>0</v>
      </c>
      <c r="J13" s="598">
        <v>0</v>
      </c>
      <c r="K13" s="598">
        <v>0</v>
      </c>
      <c r="L13" s="598">
        <v>0</v>
      </c>
      <c r="M13" s="598">
        <v>0</v>
      </c>
      <c r="N13" s="598">
        <v>0</v>
      </c>
      <c r="O13" s="598">
        <v>0</v>
      </c>
      <c r="P13" s="598">
        <v>0</v>
      </c>
      <c r="Q13" s="598">
        <v>0</v>
      </c>
      <c r="R13" s="598">
        <v>0</v>
      </c>
      <c r="S13" s="598">
        <v>0</v>
      </c>
      <c r="T13" s="598">
        <v>0</v>
      </c>
      <c r="U13" s="598">
        <v>0</v>
      </c>
      <c r="V13" s="598">
        <v>0</v>
      </c>
      <c r="W13" s="598">
        <v>21859</v>
      </c>
      <c r="X13" s="598">
        <v>757820</v>
      </c>
      <c r="Y13" s="581">
        <v>31375</v>
      </c>
      <c r="Z13" s="581">
        <v>1025196</v>
      </c>
      <c r="AA13" s="619">
        <v>0</v>
      </c>
      <c r="AB13" s="619">
        <v>0</v>
      </c>
      <c r="AC13" s="581">
        <v>0</v>
      </c>
      <c r="AD13" s="581">
        <v>0</v>
      </c>
      <c r="AE13" s="581">
        <v>0</v>
      </c>
      <c r="AF13" s="581">
        <v>0</v>
      </c>
      <c r="AG13" s="619">
        <v>0</v>
      </c>
      <c r="AH13" s="619">
        <v>0</v>
      </c>
      <c r="AI13" s="619">
        <v>0</v>
      </c>
      <c r="AJ13" s="619">
        <v>0</v>
      </c>
      <c r="AK13" s="661">
        <v>24834.768</v>
      </c>
      <c r="AL13" s="661">
        <v>9841724</v>
      </c>
      <c r="AM13" s="662">
        <v>7299.1380000000008</v>
      </c>
      <c r="AN13" s="662">
        <v>2335724</v>
      </c>
      <c r="AO13" s="579">
        <v>0</v>
      </c>
      <c r="AP13" s="579">
        <v>0</v>
      </c>
      <c r="AQ13" s="579">
        <v>0</v>
      </c>
      <c r="AR13" s="579">
        <v>0</v>
      </c>
      <c r="AS13" s="579">
        <v>0</v>
      </c>
      <c r="AT13" s="579">
        <v>0</v>
      </c>
      <c r="AU13" s="579">
        <v>0</v>
      </c>
      <c r="AV13" s="579">
        <v>0</v>
      </c>
      <c r="AW13" s="579">
        <v>0</v>
      </c>
      <c r="AX13" s="579">
        <v>0</v>
      </c>
      <c r="AY13" s="581">
        <v>0</v>
      </c>
      <c r="AZ13" s="581">
        <v>0</v>
      </c>
      <c r="BA13" s="579"/>
      <c r="BB13" s="581"/>
      <c r="BC13" s="581"/>
      <c r="BD13" s="581"/>
      <c r="BE13" s="581"/>
      <c r="BF13" s="581"/>
      <c r="BG13" s="581"/>
      <c r="BH13" s="581"/>
      <c r="BI13" s="579"/>
      <c r="BJ13" s="659">
        <f t="shared" si="0"/>
        <v>85367.906000000003</v>
      </c>
      <c r="BK13" s="581">
        <f>D13+H13+J13+L13+N13+P13+R13+T13+V13+X13+Z13+AB13+AD13+AF13+AH13+AJ13+AL13+AN13+AP13+AR13+AT13+AV13+AX13+AZ13+BD13+BH13</f>
        <v>13960464</v>
      </c>
      <c r="BL13" s="541"/>
      <c r="BM13" s="624"/>
      <c r="BN13" s="624"/>
      <c r="BO13" s="624"/>
      <c r="BP13" s="624"/>
      <c r="BQ13" s="541"/>
      <c r="BR13" s="541"/>
      <c r="BS13" s="541"/>
      <c r="BT13" s="541"/>
      <c r="BU13" s="541"/>
      <c r="BV13" s="541"/>
      <c r="BW13" s="541"/>
      <c r="BX13" s="541"/>
      <c r="BY13" s="541"/>
      <c r="BZ13" s="541"/>
      <c r="CA13" s="541"/>
      <c r="CB13" s="541"/>
      <c r="CC13" s="541"/>
      <c r="CD13" s="541"/>
      <c r="CE13" s="541"/>
      <c r="CF13" s="541"/>
      <c r="CG13" s="541"/>
      <c r="CH13" s="541"/>
      <c r="CI13" s="541"/>
      <c r="CJ13" s="541"/>
      <c r="CK13" s="541"/>
      <c r="CL13" s="541"/>
      <c r="CM13" s="541"/>
      <c r="CN13" s="541"/>
      <c r="CO13" s="541"/>
      <c r="CP13" s="541"/>
      <c r="CQ13" s="541"/>
      <c r="CR13" s="541"/>
      <c r="CS13" s="541"/>
      <c r="CT13" s="541"/>
      <c r="CU13" s="541"/>
      <c r="CV13" s="541"/>
      <c r="CW13" s="541"/>
      <c r="CX13" s="541"/>
      <c r="CY13" s="541"/>
      <c r="CZ13" s="541"/>
      <c r="DA13" s="541"/>
      <c r="DB13" s="541"/>
      <c r="DC13" s="541"/>
      <c r="DD13" s="541"/>
      <c r="DE13" s="541"/>
      <c r="DF13" s="541"/>
      <c r="DG13" s="541"/>
      <c r="DH13" s="541"/>
      <c r="DI13" s="541"/>
      <c r="DJ13" s="541"/>
      <c r="DK13" s="541"/>
      <c r="DL13" s="541"/>
      <c r="DM13" s="541"/>
      <c r="DN13" s="541"/>
      <c r="DO13" s="541"/>
      <c r="DP13" s="541"/>
      <c r="DQ13" s="541"/>
      <c r="DR13" s="541"/>
      <c r="DS13" s="541"/>
      <c r="DT13" s="541"/>
      <c r="DU13" s="541"/>
      <c r="DV13" s="541"/>
      <c r="DW13" s="541"/>
      <c r="DX13" s="541"/>
      <c r="DY13" s="541"/>
      <c r="DZ13" s="541"/>
      <c r="EA13" s="541"/>
      <c r="EB13" s="541"/>
      <c r="EC13" s="541"/>
      <c r="ED13" s="541"/>
      <c r="EE13" s="541"/>
      <c r="EF13" s="541"/>
      <c r="EG13" s="541"/>
      <c r="EH13" s="541"/>
      <c r="EI13" s="541"/>
      <c r="EJ13" s="541"/>
      <c r="EK13" s="541"/>
      <c r="EL13" s="541"/>
      <c r="EM13" s="541"/>
      <c r="EN13" s="541"/>
      <c r="EO13" s="541"/>
      <c r="EP13" s="541"/>
      <c r="EQ13" s="541"/>
      <c r="ER13" s="541"/>
      <c r="ES13" s="541"/>
      <c r="ET13" s="541"/>
      <c r="EU13" s="541"/>
      <c r="EV13" s="541"/>
      <c r="EW13" s="541"/>
      <c r="EX13" s="541"/>
      <c r="EY13" s="541"/>
      <c r="EZ13" s="541"/>
      <c r="FA13" s="541"/>
      <c r="FB13" s="541"/>
      <c r="FC13" s="541"/>
      <c r="FD13" s="541"/>
      <c r="FE13" s="541"/>
      <c r="FF13" s="541"/>
      <c r="FG13" s="541"/>
      <c r="FH13" s="541"/>
      <c r="FI13" s="541"/>
      <c r="FJ13" s="541"/>
      <c r="FK13" s="541"/>
      <c r="FL13" s="541"/>
      <c r="FM13" s="541"/>
      <c r="FN13" s="541"/>
      <c r="FO13" s="541"/>
      <c r="FP13" s="541"/>
      <c r="FQ13" s="541"/>
      <c r="FR13" s="541"/>
      <c r="FS13" s="541"/>
      <c r="FT13" s="541"/>
      <c r="FU13" s="541"/>
      <c r="FV13" s="541"/>
      <c r="FW13" s="541"/>
      <c r="FX13" s="541"/>
      <c r="FY13" s="541"/>
      <c r="FZ13" s="541"/>
      <c r="GA13" s="541"/>
      <c r="GB13" s="541"/>
      <c r="GC13" s="541"/>
      <c r="GD13" s="541"/>
      <c r="GE13" s="541"/>
      <c r="GF13" s="541"/>
      <c r="GG13" s="541"/>
      <c r="GH13" s="541"/>
      <c r="GI13" s="541"/>
      <c r="GJ13" s="541"/>
      <c r="GK13" s="541"/>
      <c r="GL13" s="541"/>
      <c r="GM13" s="541"/>
      <c r="GN13" s="541"/>
      <c r="GO13" s="541"/>
      <c r="GP13" s="541"/>
      <c r="GQ13" s="541"/>
      <c r="GR13" s="541"/>
      <c r="GS13" s="541"/>
      <c r="GT13" s="541"/>
      <c r="GU13" s="541"/>
      <c r="GV13" s="541"/>
      <c r="GW13" s="541"/>
      <c r="GX13" s="541"/>
      <c r="GY13" s="541"/>
      <c r="GZ13" s="541"/>
      <c r="HA13" s="541"/>
      <c r="HB13" s="541"/>
      <c r="HC13" s="541"/>
      <c r="HD13" s="541"/>
      <c r="HE13" s="541"/>
      <c r="HF13" s="541"/>
      <c r="HG13" s="541"/>
      <c r="HH13" s="541"/>
      <c r="HI13" s="541"/>
      <c r="HJ13" s="541"/>
      <c r="HK13" s="541"/>
      <c r="HL13" s="541"/>
      <c r="HM13" s="541"/>
      <c r="HN13" s="541"/>
      <c r="HO13" s="541"/>
      <c r="HP13" s="541"/>
      <c r="HQ13" s="541"/>
      <c r="HR13" s="541"/>
      <c r="HS13" s="541"/>
      <c r="HT13" s="541"/>
      <c r="HU13" s="541"/>
      <c r="HV13" s="541"/>
      <c r="HW13" s="541"/>
      <c r="HX13" s="541"/>
      <c r="HY13" s="541"/>
      <c r="HZ13" s="541"/>
      <c r="IA13" s="541"/>
      <c r="IB13" s="541"/>
      <c r="IC13" s="541"/>
      <c r="ID13" s="541"/>
      <c r="IE13" s="541"/>
      <c r="IF13" s="541"/>
      <c r="IG13" s="541"/>
      <c r="IH13" s="541"/>
      <c r="II13" s="541"/>
      <c r="IJ13" s="541"/>
      <c r="IK13" s="541"/>
      <c r="IL13" s="541"/>
      <c r="IM13" s="541"/>
      <c r="IN13" s="541"/>
      <c r="IO13" s="541"/>
      <c r="IP13" s="541"/>
      <c r="IQ13" s="541"/>
      <c r="IR13" s="541"/>
      <c r="IS13" s="541"/>
      <c r="IT13" s="541"/>
      <c r="IU13" s="541"/>
      <c r="IV13" s="541"/>
      <c r="IW13" s="541"/>
      <c r="IX13" s="541"/>
      <c r="IY13" s="541"/>
      <c r="IZ13" s="541"/>
      <c r="JA13" s="541"/>
      <c r="JB13" s="541"/>
      <c r="JC13" s="541"/>
      <c r="JD13" s="541"/>
      <c r="JE13" s="541"/>
      <c r="JF13" s="541"/>
      <c r="JG13" s="541"/>
      <c r="JH13" s="541"/>
      <c r="JI13" s="541"/>
      <c r="JJ13" s="541"/>
      <c r="JK13" s="541"/>
      <c r="JL13" s="541"/>
      <c r="JM13" s="541"/>
      <c r="JN13" s="541"/>
      <c r="JO13" s="541"/>
      <c r="JP13" s="541"/>
      <c r="JQ13" s="541"/>
      <c r="JR13" s="541"/>
      <c r="JS13" s="541"/>
      <c r="JT13" s="541"/>
      <c r="JU13" s="541"/>
      <c r="JV13" s="541"/>
      <c r="JW13" s="541"/>
      <c r="JX13" s="541"/>
      <c r="JY13" s="541"/>
      <c r="JZ13" s="541"/>
      <c r="KA13" s="541"/>
      <c r="KB13" s="541"/>
      <c r="KC13" s="541"/>
      <c r="KD13" s="541"/>
      <c r="KE13" s="541"/>
      <c r="KF13" s="541"/>
      <c r="KG13" s="541"/>
      <c r="KH13" s="541"/>
      <c r="KI13" s="541"/>
      <c r="KJ13" s="541"/>
      <c r="KK13" s="541"/>
      <c r="KL13" s="541"/>
      <c r="KM13" s="541"/>
      <c r="KN13" s="541"/>
      <c r="KO13" s="541"/>
      <c r="KP13" s="541"/>
      <c r="KQ13" s="541"/>
      <c r="KR13" s="541"/>
      <c r="KS13" s="541"/>
      <c r="KT13" s="541"/>
      <c r="KU13" s="541"/>
      <c r="KV13" s="541"/>
      <c r="KW13" s="541"/>
      <c r="KX13" s="541"/>
      <c r="KY13" s="541"/>
      <c r="KZ13" s="541"/>
      <c r="LA13" s="541"/>
      <c r="LB13" s="541"/>
      <c r="LC13" s="541"/>
      <c r="LD13" s="541"/>
      <c r="LE13" s="541"/>
      <c r="LF13" s="541"/>
      <c r="LG13" s="541"/>
      <c r="LH13" s="541"/>
      <c r="LI13" s="541"/>
      <c r="LJ13" s="541"/>
      <c r="LK13" s="541"/>
      <c r="LL13" s="541"/>
      <c r="LM13" s="541"/>
      <c r="LN13" s="541"/>
      <c r="LO13" s="541"/>
      <c r="LP13" s="541"/>
      <c r="LQ13" s="541"/>
      <c r="LR13" s="541"/>
      <c r="LS13" s="541"/>
      <c r="LT13" s="541"/>
      <c r="LU13" s="541"/>
      <c r="LV13" s="541"/>
      <c r="LW13" s="541"/>
      <c r="LX13" s="541"/>
      <c r="LY13" s="541"/>
      <c r="LZ13" s="541"/>
      <c r="MA13" s="541"/>
      <c r="MB13" s="541"/>
      <c r="MC13" s="541"/>
      <c r="MD13" s="541"/>
      <c r="ME13" s="541"/>
      <c r="MF13" s="541"/>
      <c r="MG13" s="541"/>
      <c r="MH13" s="541"/>
      <c r="MI13" s="541"/>
      <c r="MJ13" s="541"/>
      <c r="MK13" s="541"/>
      <c r="ML13" s="541"/>
      <c r="MM13" s="541"/>
      <c r="MN13" s="541"/>
      <c r="MO13" s="541"/>
      <c r="MP13" s="541"/>
      <c r="MQ13" s="541"/>
      <c r="MR13" s="541"/>
      <c r="MS13" s="541"/>
      <c r="MT13" s="541"/>
      <c r="MU13" s="541"/>
      <c r="MV13" s="541"/>
      <c r="MW13" s="541"/>
      <c r="MX13" s="541"/>
      <c r="MY13" s="541"/>
      <c r="MZ13" s="541"/>
      <c r="NA13" s="541"/>
      <c r="NB13" s="541"/>
      <c r="NC13" s="541"/>
      <c r="ND13" s="541"/>
      <c r="NE13" s="541"/>
      <c r="NF13" s="541"/>
      <c r="NG13" s="541"/>
      <c r="NH13" s="541"/>
      <c r="NI13" s="541"/>
      <c r="NJ13" s="541"/>
      <c r="NK13" s="541"/>
      <c r="NL13" s="541"/>
      <c r="NM13" s="541"/>
      <c r="NN13" s="541"/>
      <c r="NO13" s="541"/>
      <c r="NP13" s="541"/>
      <c r="NQ13" s="541"/>
      <c r="NR13" s="541"/>
      <c r="NS13" s="541"/>
      <c r="NT13" s="541"/>
      <c r="NU13" s="541"/>
      <c r="NV13" s="541"/>
      <c r="NW13" s="541"/>
      <c r="NX13" s="541"/>
      <c r="NY13" s="541"/>
      <c r="NZ13" s="541"/>
      <c r="OA13" s="541"/>
      <c r="OB13" s="541"/>
      <c r="OC13" s="541"/>
      <c r="OD13" s="541"/>
      <c r="OE13" s="541"/>
      <c r="OF13" s="541"/>
      <c r="OG13" s="541"/>
      <c r="OH13" s="541"/>
      <c r="OI13" s="541"/>
      <c r="OJ13" s="541"/>
      <c r="OK13" s="541"/>
      <c r="OL13" s="541"/>
      <c r="OM13" s="541"/>
      <c r="ON13" s="541"/>
      <c r="OO13" s="541"/>
      <c r="OP13" s="541"/>
      <c r="OQ13" s="541"/>
      <c r="OR13" s="541"/>
      <c r="OS13" s="541"/>
      <c r="OT13" s="541"/>
      <c r="OU13" s="541"/>
      <c r="OV13" s="541"/>
      <c r="OW13" s="541"/>
      <c r="OX13" s="541"/>
      <c r="OY13" s="541"/>
      <c r="OZ13" s="541"/>
      <c r="PA13" s="541"/>
      <c r="PB13" s="541"/>
      <c r="PC13" s="541"/>
      <c r="PD13" s="541"/>
      <c r="PE13" s="541"/>
      <c r="PF13" s="541"/>
      <c r="PG13" s="541"/>
      <c r="PH13" s="541"/>
      <c r="PI13" s="541"/>
      <c r="PJ13" s="541"/>
      <c r="PK13" s="541"/>
      <c r="PL13" s="541"/>
      <c r="PM13" s="541"/>
      <c r="PN13" s="541"/>
      <c r="PO13" s="541"/>
      <c r="PP13" s="541"/>
      <c r="PQ13" s="541"/>
      <c r="PR13" s="541"/>
      <c r="PS13" s="541"/>
      <c r="PT13" s="541"/>
      <c r="PU13" s="541"/>
      <c r="PV13" s="541"/>
      <c r="PW13" s="541"/>
      <c r="PX13" s="541"/>
      <c r="PY13" s="541"/>
      <c r="PZ13" s="541"/>
      <c r="QA13" s="541"/>
      <c r="QB13" s="541"/>
      <c r="QC13" s="541"/>
      <c r="QD13" s="541"/>
      <c r="QE13" s="541"/>
      <c r="QF13" s="541"/>
      <c r="QG13" s="541"/>
      <c r="QH13" s="541"/>
      <c r="QI13" s="541"/>
      <c r="QJ13" s="541"/>
      <c r="QK13" s="541"/>
      <c r="QL13" s="541"/>
      <c r="QM13" s="541"/>
      <c r="QN13" s="541"/>
      <c r="QO13" s="541"/>
      <c r="QP13" s="541"/>
      <c r="QQ13" s="541"/>
      <c r="QR13" s="541"/>
      <c r="QS13" s="541"/>
      <c r="QT13" s="541"/>
      <c r="QU13" s="541"/>
      <c r="QV13" s="541"/>
      <c r="QW13" s="541"/>
      <c r="QX13" s="541"/>
      <c r="QY13" s="541"/>
      <c r="QZ13" s="541"/>
      <c r="RA13" s="541"/>
      <c r="RB13" s="541"/>
      <c r="RC13" s="541"/>
      <c r="RD13" s="541"/>
      <c r="RE13" s="541"/>
      <c r="RF13" s="541"/>
      <c r="RG13" s="541"/>
      <c r="RH13" s="541"/>
      <c r="RI13" s="541"/>
      <c r="RJ13" s="541"/>
      <c r="RK13" s="541"/>
      <c r="RL13" s="541"/>
      <c r="RM13" s="541"/>
      <c r="RN13" s="541"/>
      <c r="RO13" s="541"/>
      <c r="RP13" s="541"/>
      <c r="RQ13" s="541"/>
      <c r="RR13" s="541"/>
      <c r="RS13" s="541"/>
      <c r="RT13" s="541"/>
      <c r="RU13" s="541"/>
      <c r="RV13" s="541"/>
      <c r="RW13" s="541"/>
      <c r="RX13" s="541"/>
      <c r="RY13" s="541"/>
      <c r="RZ13" s="541"/>
      <c r="SA13" s="541"/>
      <c r="SB13" s="541"/>
      <c r="SC13" s="541"/>
      <c r="SD13" s="541"/>
      <c r="SE13" s="541"/>
      <c r="SF13" s="541"/>
      <c r="SG13" s="541"/>
      <c r="SH13" s="541"/>
      <c r="SI13" s="541"/>
      <c r="SJ13" s="541"/>
      <c r="SK13" s="541"/>
      <c r="SL13" s="541"/>
      <c r="SM13" s="541"/>
      <c r="SN13" s="541"/>
      <c r="SO13" s="541"/>
      <c r="SP13" s="541"/>
      <c r="SQ13" s="541"/>
      <c r="SR13" s="541"/>
      <c r="SS13" s="541"/>
      <c r="ST13" s="541"/>
      <c r="SU13" s="541"/>
      <c r="SV13" s="541"/>
      <c r="SW13" s="541"/>
      <c r="SX13" s="541"/>
      <c r="SY13" s="541"/>
      <c r="SZ13" s="541"/>
      <c r="TA13" s="541"/>
      <c r="TB13" s="541"/>
      <c r="TC13" s="541"/>
      <c r="TD13" s="541"/>
      <c r="TE13" s="541"/>
      <c r="TF13" s="541"/>
      <c r="TG13" s="541"/>
      <c r="TH13" s="541"/>
      <c r="TI13" s="541"/>
      <c r="TJ13" s="541"/>
      <c r="TK13" s="541"/>
      <c r="TL13" s="541"/>
      <c r="TM13" s="541"/>
      <c r="TN13" s="541"/>
      <c r="TO13" s="541"/>
      <c r="TP13" s="541"/>
      <c r="TQ13" s="541"/>
      <c r="TR13" s="541"/>
      <c r="TS13" s="541"/>
      <c r="TT13" s="541"/>
      <c r="TU13" s="541"/>
      <c r="TV13" s="541"/>
      <c r="TW13" s="541"/>
      <c r="TX13" s="541"/>
      <c r="TY13" s="541"/>
      <c r="TZ13" s="541"/>
      <c r="UA13" s="541"/>
      <c r="UB13" s="541"/>
      <c r="UC13" s="541"/>
      <c r="UD13" s="541"/>
      <c r="UE13" s="541"/>
      <c r="UF13" s="541"/>
      <c r="UG13" s="541"/>
      <c r="UH13" s="541"/>
      <c r="UI13" s="541"/>
      <c r="UJ13" s="541"/>
      <c r="UK13" s="541"/>
      <c r="UL13" s="541"/>
      <c r="UM13" s="541"/>
      <c r="UN13" s="541"/>
      <c r="UO13" s="541"/>
      <c r="UP13" s="541"/>
      <c r="UQ13" s="541"/>
      <c r="UR13" s="541"/>
      <c r="US13" s="541"/>
      <c r="UT13" s="541"/>
      <c r="UU13" s="541"/>
      <c r="UV13" s="541"/>
      <c r="UW13" s="541"/>
      <c r="UX13" s="541"/>
      <c r="UY13" s="541"/>
      <c r="UZ13" s="541"/>
      <c r="VA13" s="541"/>
      <c r="VB13" s="541"/>
      <c r="VC13" s="541"/>
      <c r="VD13" s="541"/>
      <c r="VE13" s="541"/>
      <c r="VF13" s="541"/>
      <c r="VG13" s="541"/>
      <c r="VH13" s="541"/>
      <c r="VI13" s="541"/>
      <c r="VJ13" s="541"/>
      <c r="VK13" s="541"/>
      <c r="VL13" s="541"/>
      <c r="VM13" s="541"/>
      <c r="VN13" s="541"/>
      <c r="VO13" s="541"/>
      <c r="VP13" s="541"/>
      <c r="VQ13" s="541"/>
      <c r="VR13" s="541"/>
      <c r="VS13" s="541"/>
      <c r="VT13" s="541"/>
      <c r="VU13" s="541"/>
      <c r="VV13" s="541"/>
      <c r="VW13" s="541"/>
      <c r="VX13" s="541"/>
      <c r="VY13" s="541"/>
      <c r="VZ13" s="541"/>
      <c r="WA13" s="541"/>
      <c r="WB13" s="541"/>
      <c r="WC13" s="541"/>
      <c r="WD13" s="541"/>
      <c r="WE13" s="541"/>
      <c r="WF13" s="541"/>
      <c r="WG13" s="541"/>
      <c r="WH13" s="541"/>
      <c r="WI13" s="541"/>
      <c r="WJ13" s="541"/>
      <c r="WK13" s="541"/>
      <c r="WL13" s="541"/>
      <c r="WM13" s="541"/>
      <c r="WN13" s="541"/>
      <c r="WO13" s="541"/>
      <c r="WP13" s="541"/>
      <c r="WQ13" s="541"/>
      <c r="WR13" s="541"/>
      <c r="WS13" s="541"/>
      <c r="WT13" s="541"/>
      <c r="WU13" s="541"/>
      <c r="WV13" s="541"/>
      <c r="WW13" s="541"/>
      <c r="WX13" s="541"/>
      <c r="WY13" s="541"/>
      <c r="WZ13" s="541"/>
      <c r="XA13" s="541"/>
      <c r="XB13" s="541"/>
      <c r="XC13" s="541"/>
      <c r="XD13" s="541"/>
      <c r="XE13" s="541"/>
      <c r="XF13" s="541"/>
      <c r="XG13" s="541"/>
      <c r="XH13" s="541"/>
      <c r="XI13" s="541"/>
      <c r="XJ13" s="541"/>
      <c r="XK13" s="541"/>
      <c r="XL13" s="541"/>
      <c r="XM13" s="541"/>
      <c r="XN13" s="541"/>
      <c r="XO13" s="541"/>
      <c r="XP13" s="541"/>
      <c r="XQ13" s="541"/>
      <c r="XR13" s="541"/>
      <c r="XS13" s="541"/>
      <c r="XT13" s="541"/>
      <c r="XU13" s="541"/>
      <c r="XV13" s="541"/>
      <c r="XW13" s="541"/>
      <c r="XX13" s="541"/>
      <c r="XY13" s="541"/>
      <c r="XZ13" s="541"/>
      <c r="YA13" s="541"/>
      <c r="YB13" s="541"/>
      <c r="YC13" s="541"/>
      <c r="YD13" s="541"/>
      <c r="YE13" s="541"/>
      <c r="YF13" s="541"/>
      <c r="YG13" s="541"/>
      <c r="YH13" s="541"/>
      <c r="YI13" s="541"/>
      <c r="YJ13" s="541"/>
      <c r="YK13" s="541"/>
      <c r="YL13" s="541"/>
      <c r="YM13" s="541"/>
      <c r="YN13" s="541"/>
      <c r="YO13" s="541"/>
      <c r="YP13" s="541"/>
      <c r="YQ13" s="541"/>
      <c r="YR13" s="541"/>
      <c r="YS13" s="541"/>
      <c r="YT13" s="541"/>
      <c r="YU13" s="541"/>
      <c r="YV13" s="541"/>
      <c r="YW13" s="541"/>
      <c r="YX13" s="541"/>
      <c r="YY13" s="541"/>
      <c r="YZ13" s="541"/>
      <c r="ZA13" s="541"/>
      <c r="ZB13" s="541"/>
      <c r="ZC13" s="541"/>
      <c r="ZD13" s="541"/>
      <c r="ZE13" s="541"/>
      <c r="ZF13" s="541"/>
      <c r="ZG13" s="541"/>
      <c r="ZH13" s="541"/>
      <c r="ZI13" s="541"/>
      <c r="ZJ13" s="541"/>
      <c r="ZK13" s="541"/>
      <c r="ZL13" s="541"/>
      <c r="ZM13" s="541"/>
      <c r="ZN13" s="541"/>
      <c r="ZO13" s="541"/>
      <c r="ZP13" s="541"/>
      <c r="ZQ13" s="541"/>
      <c r="ZR13" s="541"/>
      <c r="ZS13" s="541"/>
      <c r="ZT13" s="541"/>
      <c r="ZU13" s="541"/>
      <c r="ZV13" s="541"/>
      <c r="ZW13" s="541"/>
      <c r="ZX13" s="541"/>
      <c r="ZY13" s="541"/>
      <c r="ZZ13" s="541"/>
      <c r="AAA13" s="541"/>
      <c r="AAB13" s="541"/>
      <c r="AAC13" s="541"/>
      <c r="AAD13" s="541"/>
      <c r="AAE13" s="541"/>
      <c r="AAF13" s="541"/>
      <c r="AAG13" s="541"/>
      <c r="AAH13" s="541"/>
      <c r="AAI13" s="541"/>
      <c r="AAJ13" s="541"/>
      <c r="AAK13" s="541"/>
      <c r="AAL13" s="541"/>
      <c r="AAM13" s="541"/>
      <c r="AAN13" s="541"/>
      <c r="AAO13" s="541"/>
      <c r="AAP13" s="541"/>
      <c r="AAQ13" s="541"/>
      <c r="AAR13" s="541"/>
      <c r="AAS13" s="541"/>
      <c r="AAT13" s="541"/>
      <c r="AAU13" s="541"/>
      <c r="AAV13" s="541"/>
      <c r="AAW13" s="541"/>
      <c r="AAX13" s="541"/>
      <c r="AAY13" s="541"/>
      <c r="AAZ13" s="541"/>
      <c r="ABA13" s="541"/>
      <c r="ABB13" s="541"/>
      <c r="ABC13" s="541"/>
      <c r="ABD13" s="541"/>
      <c r="ABE13" s="541"/>
      <c r="ABF13" s="541"/>
      <c r="ABG13" s="541"/>
      <c r="ABH13" s="541"/>
      <c r="ABI13" s="541"/>
      <c r="ABJ13" s="541"/>
      <c r="ABK13" s="541"/>
      <c r="ABL13" s="541"/>
      <c r="ABM13" s="541"/>
      <c r="ABN13" s="541"/>
      <c r="ABO13" s="541"/>
      <c r="ABP13" s="541"/>
      <c r="ABQ13" s="541"/>
      <c r="ABR13" s="541"/>
      <c r="ABS13" s="541"/>
      <c r="ABT13" s="541"/>
      <c r="ABU13" s="541"/>
      <c r="ABV13" s="541"/>
      <c r="ABW13" s="541"/>
      <c r="ABX13" s="541"/>
      <c r="ABY13" s="541"/>
      <c r="ABZ13" s="541"/>
      <c r="ACA13" s="541"/>
      <c r="ACB13" s="541"/>
      <c r="ACC13" s="541"/>
      <c r="ACD13" s="541"/>
      <c r="ACE13" s="541"/>
      <c r="ACF13" s="541"/>
      <c r="ACG13" s="541"/>
      <c r="ACH13" s="541"/>
      <c r="ACI13" s="541"/>
      <c r="ACJ13" s="541"/>
      <c r="ACK13" s="541"/>
      <c r="ACL13" s="541"/>
      <c r="ACM13" s="541"/>
      <c r="ACN13" s="541"/>
      <c r="ACO13" s="541"/>
      <c r="ACP13" s="541"/>
      <c r="ACQ13" s="541"/>
      <c r="ACR13" s="541"/>
      <c r="ACS13" s="541"/>
      <c r="ACT13" s="541"/>
      <c r="ACU13" s="541"/>
      <c r="ACV13" s="541"/>
      <c r="ACW13" s="541"/>
      <c r="ACX13" s="541"/>
      <c r="ACY13" s="541"/>
      <c r="ACZ13" s="541"/>
      <c r="ADA13" s="541"/>
      <c r="ADB13" s="541"/>
      <c r="ADC13" s="541"/>
      <c r="ADD13" s="541"/>
      <c r="ADE13" s="541"/>
      <c r="ADF13" s="541"/>
      <c r="ADG13" s="541"/>
      <c r="ADH13" s="541"/>
      <c r="ADI13" s="541"/>
      <c r="ADJ13" s="541"/>
      <c r="ADK13" s="541"/>
      <c r="ADL13" s="541"/>
      <c r="ADM13" s="541"/>
      <c r="ADN13" s="541"/>
      <c r="ADO13" s="541"/>
      <c r="ADP13" s="541"/>
      <c r="ADQ13" s="541"/>
      <c r="ADR13" s="541"/>
      <c r="ADS13" s="541"/>
      <c r="ADT13" s="541"/>
      <c r="ADU13" s="541"/>
      <c r="ADV13" s="541"/>
      <c r="ADW13" s="541"/>
      <c r="ADX13" s="541"/>
      <c r="ADY13" s="541"/>
      <c r="ADZ13" s="541"/>
      <c r="AEA13" s="541"/>
      <c r="AEB13" s="541"/>
      <c r="AEC13" s="541"/>
      <c r="AED13" s="541"/>
      <c r="AEE13" s="541"/>
      <c r="AEF13" s="541"/>
      <c r="AEG13" s="541"/>
      <c r="AEH13" s="541"/>
      <c r="AEI13" s="541"/>
      <c r="AEJ13" s="541"/>
      <c r="AEK13" s="541"/>
      <c r="AEL13" s="541"/>
      <c r="AEM13" s="541"/>
      <c r="AEN13" s="541"/>
      <c r="AEO13" s="541"/>
      <c r="AEP13" s="541"/>
      <c r="AEQ13" s="541"/>
      <c r="AER13" s="541"/>
      <c r="AES13" s="541"/>
      <c r="AET13" s="541"/>
      <c r="AEU13" s="541"/>
      <c r="AEV13" s="541"/>
      <c r="AEW13" s="541"/>
      <c r="AEX13" s="541"/>
      <c r="AEY13" s="541"/>
      <c r="AEZ13" s="541"/>
      <c r="AFA13" s="541"/>
      <c r="AFB13" s="541"/>
      <c r="AFC13" s="541"/>
      <c r="AFD13" s="541"/>
      <c r="AFE13" s="541"/>
      <c r="AFF13" s="541"/>
      <c r="AFG13" s="541"/>
      <c r="AFH13" s="541"/>
      <c r="AFI13" s="541"/>
      <c r="AFJ13" s="541"/>
      <c r="AFK13" s="541"/>
      <c r="AFL13" s="541"/>
      <c r="AFM13" s="541"/>
      <c r="AFN13" s="541"/>
      <c r="AFO13" s="541"/>
      <c r="AFP13" s="541"/>
      <c r="AFQ13" s="541"/>
      <c r="AFR13" s="541"/>
      <c r="AFS13" s="541"/>
      <c r="AFT13" s="541"/>
      <c r="AFU13" s="541"/>
      <c r="AFV13" s="541"/>
      <c r="AFW13" s="541"/>
      <c r="AFX13" s="541"/>
      <c r="AFY13" s="541"/>
      <c r="AFZ13" s="541"/>
      <c r="AGA13" s="541"/>
      <c r="AGB13" s="541"/>
      <c r="AGC13" s="541"/>
      <c r="AGD13" s="541"/>
      <c r="AGE13" s="541"/>
      <c r="AGF13" s="541"/>
      <c r="AGG13" s="541"/>
      <c r="AGH13" s="541"/>
      <c r="AGI13" s="541"/>
      <c r="AGJ13" s="541"/>
      <c r="AGK13" s="541"/>
      <c r="AGL13" s="541"/>
      <c r="AGM13" s="541"/>
      <c r="AGN13" s="541"/>
      <c r="AGO13" s="541"/>
      <c r="AGP13" s="541"/>
      <c r="AGQ13" s="541"/>
      <c r="AGR13" s="541"/>
      <c r="AGS13" s="541"/>
      <c r="AGT13" s="541"/>
      <c r="AGU13" s="541"/>
      <c r="AGV13" s="541"/>
      <c r="AGW13" s="541"/>
      <c r="AGX13" s="541"/>
      <c r="AGY13" s="541"/>
      <c r="AGZ13" s="541"/>
      <c r="AHA13" s="541"/>
      <c r="AHB13" s="541"/>
      <c r="AHC13" s="541"/>
      <c r="AHD13" s="541"/>
      <c r="AHE13" s="541"/>
      <c r="AHF13" s="541"/>
      <c r="AHG13" s="541"/>
      <c r="AHH13" s="541"/>
      <c r="AHI13" s="541"/>
      <c r="AHJ13" s="541"/>
      <c r="AHK13" s="541"/>
      <c r="AHL13" s="541"/>
      <c r="AHM13" s="541"/>
      <c r="AHN13" s="541"/>
      <c r="AHO13" s="541"/>
      <c r="AHP13" s="541"/>
      <c r="AHQ13" s="541"/>
      <c r="AHR13" s="541"/>
      <c r="AHS13" s="541"/>
      <c r="AHT13" s="541"/>
      <c r="AHU13" s="541"/>
      <c r="AHV13" s="541"/>
      <c r="AHW13" s="541"/>
      <c r="AHX13" s="541"/>
      <c r="AHY13" s="541"/>
      <c r="AHZ13" s="541"/>
      <c r="AIA13" s="541"/>
      <c r="AIB13" s="541"/>
      <c r="AIC13" s="541"/>
      <c r="AID13" s="541"/>
      <c r="AIE13" s="541"/>
      <c r="AIF13" s="541"/>
      <c r="AIG13" s="541"/>
      <c r="AIH13" s="541"/>
      <c r="AII13" s="541"/>
      <c r="AIJ13" s="541"/>
      <c r="AIK13" s="541"/>
      <c r="AIL13" s="541"/>
      <c r="AIM13" s="541"/>
      <c r="AIN13" s="541"/>
      <c r="AIO13" s="541"/>
      <c r="AIP13" s="541"/>
      <c r="AIQ13" s="541"/>
      <c r="AIR13" s="541"/>
      <c r="AIS13" s="541"/>
      <c r="AIT13" s="541"/>
      <c r="AIU13" s="541"/>
      <c r="AIV13" s="541"/>
      <c r="AIW13" s="541"/>
      <c r="AIX13" s="541"/>
      <c r="AIY13" s="541"/>
      <c r="AIZ13" s="541"/>
      <c r="AJA13" s="541"/>
      <c r="AJB13" s="541"/>
      <c r="AJC13" s="541"/>
      <c r="AJD13" s="541"/>
      <c r="AJE13" s="541"/>
      <c r="AJF13" s="541"/>
      <c r="AJG13" s="541"/>
      <c r="AJH13" s="541"/>
      <c r="AJI13" s="541"/>
      <c r="AJJ13" s="541"/>
      <c r="AJK13" s="541"/>
      <c r="AJL13" s="541"/>
      <c r="AJM13" s="541"/>
      <c r="AJN13" s="541"/>
      <c r="AJO13" s="541"/>
      <c r="AJP13" s="541"/>
      <c r="AJQ13" s="541"/>
      <c r="AJR13" s="541"/>
      <c r="AJS13" s="541"/>
      <c r="AJT13" s="541"/>
      <c r="AJU13" s="541"/>
      <c r="AJV13" s="541"/>
      <c r="AJW13" s="541"/>
      <c r="AJX13" s="541"/>
      <c r="AJY13" s="541"/>
      <c r="AJZ13" s="541"/>
      <c r="AKA13" s="541"/>
      <c r="AKB13" s="541"/>
      <c r="AKC13" s="541"/>
      <c r="AKD13" s="541"/>
      <c r="AKE13" s="541"/>
      <c r="AKF13" s="541"/>
      <c r="AKG13" s="541"/>
      <c r="AKH13" s="541"/>
      <c r="AKI13" s="541"/>
      <c r="AKJ13" s="541"/>
      <c r="AKK13" s="541"/>
      <c r="AKL13" s="541"/>
      <c r="AKM13" s="541"/>
      <c r="AKN13" s="541"/>
      <c r="AKO13" s="541"/>
      <c r="AKP13" s="541"/>
      <c r="AKQ13" s="541"/>
      <c r="AKR13" s="541"/>
      <c r="AKS13" s="541"/>
      <c r="AKT13" s="541"/>
      <c r="AKU13" s="541"/>
      <c r="AKV13" s="541"/>
      <c r="AKW13" s="541"/>
      <c r="AKX13" s="541"/>
      <c r="AKY13" s="541"/>
      <c r="AKZ13" s="541"/>
      <c r="ALA13" s="541"/>
      <c r="ALB13" s="541"/>
      <c r="ALC13" s="541"/>
      <c r="ALD13" s="541"/>
      <c r="ALE13" s="541"/>
      <c r="ALF13" s="541"/>
      <c r="ALG13" s="541"/>
      <c r="ALH13" s="541"/>
      <c r="ALI13" s="541"/>
      <c r="ALJ13" s="541"/>
      <c r="ALK13" s="541"/>
      <c r="ALL13" s="541"/>
      <c r="ALM13" s="541"/>
      <c r="ALN13" s="541"/>
      <c r="ALO13" s="541"/>
      <c r="ALP13" s="541"/>
      <c r="ALQ13" s="541"/>
      <c r="ALR13" s="541"/>
      <c r="ALS13" s="541"/>
      <c r="ALT13" s="541"/>
      <c r="ALU13" s="541"/>
      <c r="ALV13" s="541"/>
      <c r="ALW13" s="541"/>
      <c r="ALX13" s="541"/>
      <c r="ALY13" s="541"/>
      <c r="ALZ13" s="541"/>
      <c r="AMA13" s="541"/>
      <c r="AMB13" s="541"/>
      <c r="AMC13" s="541"/>
      <c r="AMD13" s="541"/>
      <c r="AME13" s="541"/>
      <c r="AMF13" s="541"/>
      <c r="AMG13" s="541"/>
      <c r="AMH13" s="541"/>
      <c r="AMI13" s="541"/>
      <c r="AMJ13" s="541"/>
      <c r="AMK13" s="541"/>
      <c r="AML13" s="541"/>
      <c r="AMM13" s="541"/>
      <c r="AMN13" s="541"/>
      <c r="AMO13" s="541"/>
      <c r="AMP13" s="541"/>
      <c r="AMQ13" s="541"/>
      <c r="AMR13" s="541"/>
      <c r="AMS13" s="541"/>
      <c r="AMT13" s="541"/>
      <c r="AMU13" s="541"/>
      <c r="AMV13" s="541"/>
      <c r="AMW13" s="541"/>
      <c r="AMX13" s="541"/>
      <c r="AMY13" s="541"/>
      <c r="AMZ13" s="541"/>
      <c r="ANA13" s="541"/>
      <c r="ANB13" s="541"/>
      <c r="ANC13" s="541"/>
      <c r="AND13" s="541"/>
      <c r="ANE13" s="541"/>
      <c r="ANF13" s="541"/>
      <c r="ANG13" s="541"/>
      <c r="ANH13" s="541"/>
      <c r="ANI13" s="541"/>
      <c r="ANJ13" s="541"/>
      <c r="ANK13" s="541"/>
      <c r="ANL13" s="541"/>
      <c r="ANM13" s="541"/>
      <c r="ANN13" s="541"/>
      <c r="ANO13" s="541"/>
      <c r="ANP13" s="541"/>
      <c r="ANQ13" s="541"/>
      <c r="ANR13" s="541"/>
      <c r="ANS13" s="541"/>
      <c r="ANT13" s="541"/>
      <c r="ANU13" s="541"/>
      <c r="ANV13" s="541"/>
      <c r="ANW13" s="541"/>
      <c r="ANX13" s="541"/>
      <c r="ANY13" s="541"/>
      <c r="ANZ13" s="541"/>
      <c r="AOA13" s="541"/>
      <c r="AOB13" s="541"/>
      <c r="AOC13" s="541"/>
      <c r="AOD13" s="541"/>
      <c r="AOE13" s="541"/>
      <c r="AOF13" s="541"/>
      <c r="AOG13" s="541"/>
      <c r="AOH13" s="541"/>
      <c r="AOI13" s="541"/>
      <c r="AOJ13" s="541"/>
      <c r="AOK13" s="541"/>
      <c r="AOL13" s="541"/>
      <c r="AOM13" s="541"/>
      <c r="AON13" s="541"/>
      <c r="AOO13" s="541"/>
      <c r="AOP13" s="541"/>
      <c r="AOQ13" s="541"/>
      <c r="AOR13" s="541"/>
      <c r="AOS13" s="541"/>
      <c r="AOT13" s="541"/>
      <c r="AOU13" s="541"/>
      <c r="AOV13" s="541"/>
      <c r="AOW13" s="541"/>
      <c r="AOX13" s="541"/>
      <c r="AOY13" s="541"/>
      <c r="AOZ13" s="541"/>
      <c r="APA13" s="541"/>
      <c r="APB13" s="541"/>
      <c r="APC13" s="541"/>
      <c r="APD13" s="541"/>
      <c r="APE13" s="541"/>
      <c r="APF13" s="541"/>
      <c r="APG13" s="541"/>
      <c r="APH13" s="541"/>
      <c r="API13" s="541"/>
      <c r="APJ13" s="541"/>
      <c r="APK13" s="541"/>
      <c r="APL13" s="541"/>
      <c r="APM13" s="541"/>
      <c r="APN13" s="541"/>
      <c r="APO13" s="541"/>
      <c r="APP13" s="541"/>
      <c r="APQ13" s="541"/>
      <c r="APR13" s="541"/>
      <c r="APS13" s="541"/>
      <c r="APT13" s="541"/>
      <c r="APU13" s="541"/>
      <c r="APV13" s="541"/>
      <c r="APW13" s="541"/>
      <c r="APX13" s="541"/>
      <c r="APY13" s="541"/>
      <c r="APZ13" s="541"/>
      <c r="AQA13" s="541"/>
      <c r="AQB13" s="541"/>
      <c r="AQC13" s="541"/>
      <c r="AQD13" s="541"/>
      <c r="AQE13" s="541"/>
      <c r="AQF13" s="541"/>
      <c r="AQG13" s="541"/>
      <c r="AQH13" s="541"/>
      <c r="AQI13" s="541"/>
      <c r="AQJ13" s="541"/>
      <c r="AQK13" s="541"/>
      <c r="AQL13" s="541"/>
      <c r="AQM13" s="541"/>
      <c r="AQN13" s="541"/>
      <c r="AQO13" s="541"/>
      <c r="AQP13" s="541"/>
      <c r="AQQ13" s="541"/>
      <c r="AQR13" s="541"/>
      <c r="AQS13" s="541"/>
      <c r="AQT13" s="541"/>
      <c r="AQU13" s="541"/>
      <c r="AQV13" s="541"/>
      <c r="AQW13" s="541"/>
      <c r="AQX13" s="541"/>
      <c r="AQY13" s="541"/>
      <c r="AQZ13" s="541"/>
      <c r="ARA13" s="541"/>
      <c r="ARB13" s="541"/>
      <c r="ARC13" s="541"/>
      <c r="ARD13" s="541"/>
      <c r="ARE13" s="541"/>
      <c r="ARF13" s="541"/>
      <c r="ARG13" s="541"/>
      <c r="ARH13" s="541"/>
      <c r="ARI13" s="541"/>
      <c r="ARJ13" s="541"/>
      <c r="ARK13" s="541"/>
      <c r="ARL13" s="541"/>
      <c r="ARM13" s="541"/>
      <c r="ARN13" s="541"/>
      <c r="ARO13" s="541"/>
      <c r="ARP13" s="541"/>
      <c r="ARQ13" s="541"/>
      <c r="ARR13" s="541"/>
      <c r="ARS13" s="541"/>
      <c r="ART13" s="541"/>
      <c r="ARU13" s="541"/>
    </row>
    <row r="14" spans="1:1165" s="658" customFormat="1">
      <c r="A14" s="611" t="s">
        <v>197</v>
      </c>
      <c r="B14" s="578"/>
      <c r="C14" s="659">
        <f>SUM(C11:C13)</f>
        <v>25554746</v>
      </c>
      <c r="D14" s="659">
        <f>SUM(D11:D13)</f>
        <v>2423149116</v>
      </c>
      <c r="E14" s="581"/>
      <c r="F14" s="581">
        <f>SUM(F11:F13)</f>
        <v>436014691</v>
      </c>
      <c r="G14" s="581"/>
      <c r="H14" s="581">
        <f>SUM(H11:H13)</f>
        <v>548093520</v>
      </c>
      <c r="I14" s="581"/>
      <c r="J14" s="581">
        <f>SUM(J11:J13)</f>
        <v>647822717</v>
      </c>
      <c r="K14" s="581"/>
      <c r="L14" s="581">
        <f>SUM(L11:L13)</f>
        <v>745084355</v>
      </c>
      <c r="M14" s="581"/>
      <c r="N14" s="581">
        <f>SUM(N11:N13)</f>
        <v>940855670</v>
      </c>
      <c r="O14" s="581"/>
      <c r="P14" s="581">
        <f>SUM(P11:P13)</f>
        <v>1098152135</v>
      </c>
      <c r="Q14" s="581"/>
      <c r="R14" s="581">
        <f>SUM(R11:R13)</f>
        <v>1015172246</v>
      </c>
      <c r="S14" s="581"/>
      <c r="T14" s="581">
        <f>SUM(T11:T13)</f>
        <v>1104313745</v>
      </c>
      <c r="U14" s="620"/>
      <c r="V14" s="581">
        <f>SUM(V11:V13)</f>
        <v>1301425700</v>
      </c>
      <c r="W14" s="620"/>
      <c r="X14" s="581">
        <f>SUM(X11:X13)</f>
        <v>2097547830</v>
      </c>
      <c r="Y14" s="620"/>
      <c r="Z14" s="581">
        <f>SUM(Z11:Z13)</f>
        <v>2359979727</v>
      </c>
      <c r="AA14" s="581"/>
      <c r="AB14" s="581">
        <f>SUM(AB11:AB13)</f>
        <v>1844032647</v>
      </c>
      <c r="AC14" s="581"/>
      <c r="AD14" s="581">
        <f>SUM(AD11:AD13)</f>
        <v>1689720803</v>
      </c>
      <c r="AE14" s="581"/>
      <c r="AF14" s="581">
        <f>SUM(AF11:AF13)</f>
        <v>1891855796</v>
      </c>
      <c r="AG14" s="581"/>
      <c r="AH14" s="581">
        <f>SUM(AH11:AH13)</f>
        <v>1684580839</v>
      </c>
      <c r="AI14" s="581"/>
      <c r="AJ14" s="581">
        <f>SUM(AJ11:AJ13)</f>
        <v>1757356480</v>
      </c>
      <c r="AK14" s="661"/>
      <c r="AL14" s="661">
        <v>1977649784.25</v>
      </c>
      <c r="AM14" s="669"/>
      <c r="AN14" s="662">
        <f>SUM(AN11:AN13)</f>
        <v>2087049371</v>
      </c>
      <c r="AO14" s="581"/>
      <c r="AP14" s="581">
        <f>SUM(AP11:AP13)</f>
        <v>2429704528</v>
      </c>
      <c r="AQ14" s="581"/>
      <c r="AR14" s="581">
        <f>SUM(AR11:AR13)</f>
        <v>2311377164.5799999</v>
      </c>
      <c r="AS14" s="581"/>
      <c r="AT14" s="581">
        <f>SUM(AT11:AT13)</f>
        <v>3187472430</v>
      </c>
      <c r="AU14" s="581"/>
      <c r="AV14" s="581">
        <f>SUM(AV11:AV13)</f>
        <v>3766551734</v>
      </c>
      <c r="AW14" s="620"/>
      <c r="AX14" s="581">
        <f>SUM(AX11:AX13)</f>
        <v>3339247705</v>
      </c>
      <c r="AY14" s="581">
        <f>SUM(AY11:AY13)</f>
        <v>11228615</v>
      </c>
      <c r="AZ14" s="581">
        <f>SUM(AZ11:AZ13)</f>
        <v>3140479497</v>
      </c>
      <c r="BA14" s="666"/>
      <c r="BB14" s="581"/>
      <c r="BC14" s="581"/>
      <c r="BD14" s="581"/>
      <c r="BE14" s="581"/>
      <c r="BF14" s="581"/>
      <c r="BG14" s="581"/>
      <c r="BH14" s="581"/>
      <c r="BI14" s="664"/>
      <c r="BJ14" s="581"/>
      <c r="BK14" s="581">
        <f>D14+H14+J14+L14+N14+P14+R14+T14+V14+X14+Z14+AB14+AD14+AF14+AH14+AJ14+AL14+AN14+AP14+AR14+AT14+AV14+AX14+AZ14+BD14+BH14</f>
        <v>45388675539.830002</v>
      </c>
      <c r="BL14" s="541"/>
      <c r="BM14" s="624"/>
      <c r="BN14" s="624"/>
      <c r="BO14" s="624"/>
      <c r="BP14" s="624"/>
      <c r="BQ14" s="541"/>
      <c r="BR14" s="541"/>
      <c r="BS14" s="541"/>
      <c r="BT14" s="541"/>
      <c r="BU14" s="541"/>
      <c r="BV14" s="541"/>
      <c r="BW14" s="541"/>
      <c r="BX14" s="541"/>
      <c r="BY14" s="541"/>
      <c r="BZ14" s="541"/>
      <c r="CA14" s="541"/>
      <c r="CB14" s="541"/>
      <c r="CC14" s="541"/>
      <c r="CD14" s="541"/>
      <c r="CE14" s="541"/>
      <c r="CF14" s="541"/>
      <c r="CG14" s="541"/>
      <c r="CH14" s="541"/>
      <c r="CI14" s="541"/>
      <c r="CJ14" s="541"/>
      <c r="CK14" s="541"/>
      <c r="CL14" s="541"/>
      <c r="CM14" s="541"/>
      <c r="CN14" s="541"/>
      <c r="CO14" s="541"/>
      <c r="CP14" s="541"/>
      <c r="CQ14" s="541"/>
      <c r="CR14" s="541"/>
      <c r="CS14" s="541"/>
      <c r="CT14" s="541"/>
      <c r="CU14" s="541"/>
      <c r="CV14" s="541"/>
      <c r="CW14" s="541"/>
      <c r="CX14" s="541"/>
      <c r="CY14" s="541"/>
      <c r="CZ14" s="541"/>
      <c r="DA14" s="541"/>
      <c r="DB14" s="541"/>
      <c r="DC14" s="541"/>
      <c r="DD14" s="541"/>
      <c r="DE14" s="541"/>
      <c r="DF14" s="541"/>
      <c r="DG14" s="541"/>
      <c r="DH14" s="541"/>
      <c r="DI14" s="541"/>
      <c r="DJ14" s="541"/>
      <c r="DK14" s="541"/>
      <c r="DL14" s="541"/>
      <c r="DM14" s="541"/>
      <c r="DN14" s="541"/>
      <c r="DO14" s="541"/>
      <c r="DP14" s="541"/>
      <c r="DQ14" s="541"/>
      <c r="DR14" s="541"/>
      <c r="DS14" s="541"/>
      <c r="DT14" s="541"/>
      <c r="DU14" s="541"/>
      <c r="DV14" s="541"/>
      <c r="DW14" s="541"/>
      <c r="DX14" s="541"/>
      <c r="DY14" s="541"/>
      <c r="DZ14" s="541"/>
      <c r="EA14" s="541"/>
      <c r="EB14" s="541"/>
      <c r="EC14" s="541"/>
      <c r="ED14" s="541"/>
      <c r="EE14" s="541"/>
      <c r="EF14" s="541"/>
      <c r="EG14" s="541"/>
      <c r="EH14" s="541"/>
      <c r="EI14" s="541"/>
      <c r="EJ14" s="541"/>
      <c r="EK14" s="541"/>
      <c r="EL14" s="541"/>
      <c r="EM14" s="541"/>
      <c r="EN14" s="541"/>
      <c r="EO14" s="541"/>
      <c r="EP14" s="541"/>
      <c r="EQ14" s="541"/>
      <c r="ER14" s="541"/>
      <c r="ES14" s="541"/>
      <c r="ET14" s="541"/>
      <c r="EU14" s="541"/>
      <c r="EV14" s="541"/>
      <c r="EW14" s="541"/>
      <c r="EX14" s="541"/>
      <c r="EY14" s="541"/>
      <c r="EZ14" s="541"/>
      <c r="FA14" s="541"/>
      <c r="FB14" s="541"/>
      <c r="FC14" s="541"/>
      <c r="FD14" s="541"/>
      <c r="FE14" s="541"/>
      <c r="FF14" s="541"/>
      <c r="FG14" s="541"/>
      <c r="FH14" s="541"/>
      <c r="FI14" s="541"/>
      <c r="FJ14" s="541"/>
      <c r="FK14" s="541"/>
      <c r="FL14" s="541"/>
      <c r="FM14" s="541"/>
      <c r="FN14" s="541"/>
      <c r="FO14" s="541"/>
      <c r="FP14" s="541"/>
      <c r="FQ14" s="541"/>
      <c r="FR14" s="541"/>
      <c r="FS14" s="541"/>
      <c r="FT14" s="541"/>
      <c r="FU14" s="541"/>
      <c r="FV14" s="541"/>
      <c r="FW14" s="541"/>
      <c r="FX14" s="541"/>
      <c r="FY14" s="541"/>
      <c r="FZ14" s="541"/>
      <c r="GA14" s="541"/>
      <c r="GB14" s="541"/>
      <c r="GC14" s="541"/>
      <c r="GD14" s="541"/>
      <c r="GE14" s="541"/>
      <c r="GF14" s="541"/>
      <c r="GG14" s="541"/>
      <c r="GH14" s="541"/>
      <c r="GI14" s="541"/>
      <c r="GJ14" s="541"/>
      <c r="GK14" s="541"/>
      <c r="GL14" s="541"/>
      <c r="GM14" s="541"/>
      <c r="GN14" s="541"/>
      <c r="GO14" s="541"/>
      <c r="GP14" s="541"/>
      <c r="GQ14" s="541"/>
      <c r="GR14" s="541"/>
      <c r="GS14" s="541"/>
      <c r="GT14" s="541"/>
      <c r="GU14" s="541"/>
      <c r="GV14" s="541"/>
      <c r="GW14" s="541"/>
      <c r="GX14" s="541"/>
      <c r="GY14" s="541"/>
      <c r="GZ14" s="541"/>
      <c r="HA14" s="541"/>
      <c r="HB14" s="541"/>
      <c r="HC14" s="541"/>
      <c r="HD14" s="541"/>
      <c r="HE14" s="541"/>
      <c r="HF14" s="541"/>
      <c r="HG14" s="541"/>
      <c r="HH14" s="541"/>
      <c r="HI14" s="541"/>
      <c r="HJ14" s="541"/>
      <c r="HK14" s="541"/>
      <c r="HL14" s="541"/>
      <c r="HM14" s="541"/>
      <c r="HN14" s="541"/>
      <c r="HO14" s="541"/>
      <c r="HP14" s="541"/>
      <c r="HQ14" s="541"/>
      <c r="HR14" s="541"/>
      <c r="HS14" s="541"/>
      <c r="HT14" s="541"/>
      <c r="HU14" s="541"/>
      <c r="HV14" s="541"/>
      <c r="HW14" s="541"/>
      <c r="HX14" s="541"/>
      <c r="HY14" s="541"/>
      <c r="HZ14" s="541"/>
      <c r="IA14" s="541"/>
      <c r="IB14" s="541"/>
      <c r="IC14" s="541"/>
      <c r="ID14" s="541"/>
      <c r="IE14" s="541"/>
      <c r="IF14" s="541"/>
      <c r="IG14" s="541"/>
      <c r="IH14" s="541"/>
      <c r="II14" s="541"/>
      <c r="IJ14" s="541"/>
      <c r="IK14" s="541"/>
      <c r="IL14" s="541"/>
      <c r="IM14" s="541"/>
      <c r="IN14" s="541"/>
      <c r="IO14" s="541"/>
      <c r="IP14" s="541"/>
      <c r="IQ14" s="541"/>
      <c r="IR14" s="541"/>
      <c r="IS14" s="541"/>
      <c r="IT14" s="541"/>
      <c r="IU14" s="541"/>
      <c r="IV14" s="541"/>
      <c r="IW14" s="541"/>
      <c r="IX14" s="541"/>
      <c r="IY14" s="541"/>
      <c r="IZ14" s="541"/>
      <c r="JA14" s="541"/>
      <c r="JB14" s="541"/>
      <c r="JC14" s="541"/>
      <c r="JD14" s="541"/>
      <c r="JE14" s="541"/>
      <c r="JF14" s="541"/>
      <c r="JG14" s="541"/>
      <c r="JH14" s="541"/>
      <c r="JI14" s="541"/>
      <c r="JJ14" s="541"/>
      <c r="JK14" s="541"/>
      <c r="JL14" s="541"/>
      <c r="JM14" s="541"/>
      <c r="JN14" s="541"/>
      <c r="JO14" s="541"/>
      <c r="JP14" s="541"/>
      <c r="JQ14" s="541"/>
      <c r="JR14" s="541"/>
      <c r="JS14" s="541"/>
      <c r="JT14" s="541"/>
      <c r="JU14" s="541"/>
      <c r="JV14" s="541"/>
      <c r="JW14" s="541"/>
      <c r="JX14" s="541"/>
      <c r="JY14" s="541"/>
      <c r="JZ14" s="541"/>
      <c r="KA14" s="541"/>
      <c r="KB14" s="541"/>
      <c r="KC14" s="541"/>
      <c r="KD14" s="541"/>
      <c r="KE14" s="541"/>
      <c r="KF14" s="541"/>
      <c r="KG14" s="541"/>
      <c r="KH14" s="541"/>
      <c r="KI14" s="541"/>
      <c r="KJ14" s="541"/>
      <c r="KK14" s="541"/>
      <c r="KL14" s="541"/>
      <c r="KM14" s="541"/>
      <c r="KN14" s="541"/>
      <c r="KO14" s="541"/>
      <c r="KP14" s="541"/>
      <c r="KQ14" s="541"/>
      <c r="KR14" s="541"/>
      <c r="KS14" s="541"/>
      <c r="KT14" s="541"/>
      <c r="KU14" s="541"/>
      <c r="KV14" s="541"/>
      <c r="KW14" s="541"/>
      <c r="KX14" s="541"/>
      <c r="KY14" s="541"/>
      <c r="KZ14" s="541"/>
      <c r="LA14" s="541"/>
      <c r="LB14" s="541"/>
      <c r="LC14" s="541"/>
      <c r="LD14" s="541"/>
      <c r="LE14" s="541"/>
      <c r="LF14" s="541"/>
      <c r="LG14" s="541"/>
      <c r="LH14" s="541"/>
      <c r="LI14" s="541"/>
      <c r="LJ14" s="541"/>
      <c r="LK14" s="541"/>
      <c r="LL14" s="541"/>
      <c r="LM14" s="541"/>
      <c r="LN14" s="541"/>
      <c r="LO14" s="541"/>
      <c r="LP14" s="541"/>
      <c r="LQ14" s="541"/>
      <c r="LR14" s="541"/>
      <c r="LS14" s="541"/>
      <c r="LT14" s="541"/>
      <c r="LU14" s="541"/>
      <c r="LV14" s="541"/>
      <c r="LW14" s="541"/>
      <c r="LX14" s="541"/>
      <c r="LY14" s="541"/>
      <c r="LZ14" s="541"/>
      <c r="MA14" s="541"/>
      <c r="MB14" s="541"/>
      <c r="MC14" s="541"/>
      <c r="MD14" s="541"/>
      <c r="ME14" s="541"/>
      <c r="MF14" s="541"/>
      <c r="MG14" s="541"/>
      <c r="MH14" s="541"/>
      <c r="MI14" s="541"/>
      <c r="MJ14" s="541"/>
      <c r="MK14" s="541"/>
      <c r="ML14" s="541"/>
      <c r="MM14" s="541"/>
      <c r="MN14" s="541"/>
      <c r="MO14" s="541"/>
      <c r="MP14" s="541"/>
      <c r="MQ14" s="541"/>
      <c r="MR14" s="541"/>
      <c r="MS14" s="541"/>
      <c r="MT14" s="541"/>
      <c r="MU14" s="541"/>
      <c r="MV14" s="541"/>
      <c r="MW14" s="541"/>
      <c r="MX14" s="541"/>
      <c r="MY14" s="541"/>
      <c r="MZ14" s="541"/>
      <c r="NA14" s="541"/>
      <c r="NB14" s="541"/>
      <c r="NC14" s="541"/>
      <c r="ND14" s="541"/>
      <c r="NE14" s="541"/>
      <c r="NF14" s="541"/>
      <c r="NG14" s="541"/>
      <c r="NH14" s="541"/>
      <c r="NI14" s="541"/>
      <c r="NJ14" s="541"/>
      <c r="NK14" s="541"/>
      <c r="NL14" s="541"/>
      <c r="NM14" s="541"/>
      <c r="NN14" s="541"/>
      <c r="NO14" s="541"/>
      <c r="NP14" s="541"/>
      <c r="NQ14" s="541"/>
      <c r="NR14" s="541"/>
      <c r="NS14" s="541"/>
      <c r="NT14" s="541"/>
      <c r="NU14" s="541"/>
      <c r="NV14" s="541"/>
      <c r="NW14" s="541"/>
      <c r="NX14" s="541"/>
      <c r="NY14" s="541"/>
      <c r="NZ14" s="541"/>
      <c r="OA14" s="541"/>
      <c r="OB14" s="541"/>
      <c r="OC14" s="541"/>
      <c r="OD14" s="541"/>
      <c r="OE14" s="541"/>
      <c r="OF14" s="541"/>
      <c r="OG14" s="541"/>
      <c r="OH14" s="541"/>
      <c r="OI14" s="541"/>
      <c r="OJ14" s="541"/>
      <c r="OK14" s="541"/>
      <c r="OL14" s="541"/>
      <c r="OM14" s="541"/>
      <c r="ON14" s="541"/>
      <c r="OO14" s="541"/>
      <c r="OP14" s="541"/>
      <c r="OQ14" s="541"/>
      <c r="OR14" s="541"/>
      <c r="OS14" s="541"/>
      <c r="OT14" s="541"/>
      <c r="OU14" s="541"/>
      <c r="OV14" s="541"/>
      <c r="OW14" s="541"/>
      <c r="OX14" s="541"/>
      <c r="OY14" s="541"/>
      <c r="OZ14" s="541"/>
      <c r="PA14" s="541"/>
      <c r="PB14" s="541"/>
      <c r="PC14" s="541"/>
      <c r="PD14" s="541"/>
      <c r="PE14" s="541"/>
      <c r="PF14" s="541"/>
      <c r="PG14" s="541"/>
      <c r="PH14" s="541"/>
      <c r="PI14" s="541"/>
      <c r="PJ14" s="541"/>
      <c r="PK14" s="541"/>
      <c r="PL14" s="541"/>
      <c r="PM14" s="541"/>
      <c r="PN14" s="541"/>
      <c r="PO14" s="541"/>
      <c r="PP14" s="541"/>
      <c r="PQ14" s="541"/>
      <c r="PR14" s="541"/>
      <c r="PS14" s="541"/>
      <c r="PT14" s="541"/>
      <c r="PU14" s="541"/>
      <c r="PV14" s="541"/>
      <c r="PW14" s="541"/>
      <c r="PX14" s="541"/>
      <c r="PY14" s="541"/>
      <c r="PZ14" s="541"/>
      <c r="QA14" s="541"/>
      <c r="QB14" s="541"/>
      <c r="QC14" s="541"/>
      <c r="QD14" s="541"/>
      <c r="QE14" s="541"/>
      <c r="QF14" s="541"/>
      <c r="QG14" s="541"/>
      <c r="QH14" s="541"/>
      <c r="QI14" s="541"/>
      <c r="QJ14" s="541"/>
      <c r="QK14" s="541"/>
      <c r="QL14" s="541"/>
      <c r="QM14" s="541"/>
      <c r="QN14" s="541"/>
      <c r="QO14" s="541"/>
      <c r="QP14" s="541"/>
      <c r="QQ14" s="541"/>
      <c r="QR14" s="541"/>
      <c r="QS14" s="541"/>
      <c r="QT14" s="541"/>
      <c r="QU14" s="541"/>
      <c r="QV14" s="541"/>
      <c r="QW14" s="541"/>
      <c r="QX14" s="541"/>
      <c r="QY14" s="541"/>
      <c r="QZ14" s="541"/>
      <c r="RA14" s="541"/>
      <c r="RB14" s="541"/>
      <c r="RC14" s="541"/>
      <c r="RD14" s="541"/>
      <c r="RE14" s="541"/>
      <c r="RF14" s="541"/>
      <c r="RG14" s="541"/>
      <c r="RH14" s="541"/>
      <c r="RI14" s="541"/>
      <c r="RJ14" s="541"/>
      <c r="RK14" s="541"/>
      <c r="RL14" s="541"/>
      <c r="RM14" s="541"/>
      <c r="RN14" s="541"/>
      <c r="RO14" s="541"/>
      <c r="RP14" s="541"/>
      <c r="RQ14" s="541"/>
      <c r="RR14" s="541"/>
      <c r="RS14" s="541"/>
      <c r="RT14" s="541"/>
      <c r="RU14" s="541"/>
      <c r="RV14" s="541"/>
      <c r="RW14" s="541"/>
      <c r="RX14" s="541"/>
      <c r="RY14" s="541"/>
      <c r="RZ14" s="541"/>
      <c r="SA14" s="541"/>
      <c r="SB14" s="541"/>
      <c r="SC14" s="541"/>
      <c r="SD14" s="541"/>
      <c r="SE14" s="541"/>
      <c r="SF14" s="541"/>
      <c r="SG14" s="541"/>
      <c r="SH14" s="541"/>
      <c r="SI14" s="541"/>
      <c r="SJ14" s="541"/>
      <c r="SK14" s="541"/>
      <c r="SL14" s="541"/>
      <c r="SM14" s="541"/>
      <c r="SN14" s="541"/>
      <c r="SO14" s="541"/>
      <c r="SP14" s="541"/>
      <c r="SQ14" s="541"/>
      <c r="SR14" s="541"/>
      <c r="SS14" s="541"/>
      <c r="ST14" s="541"/>
      <c r="SU14" s="541"/>
      <c r="SV14" s="541"/>
      <c r="SW14" s="541"/>
      <c r="SX14" s="541"/>
      <c r="SY14" s="541"/>
      <c r="SZ14" s="541"/>
      <c r="TA14" s="541"/>
      <c r="TB14" s="541"/>
      <c r="TC14" s="541"/>
      <c r="TD14" s="541"/>
      <c r="TE14" s="541"/>
      <c r="TF14" s="541"/>
      <c r="TG14" s="541"/>
      <c r="TH14" s="541"/>
      <c r="TI14" s="541"/>
      <c r="TJ14" s="541"/>
      <c r="TK14" s="541"/>
      <c r="TL14" s="541"/>
      <c r="TM14" s="541"/>
      <c r="TN14" s="541"/>
      <c r="TO14" s="541"/>
      <c r="TP14" s="541"/>
      <c r="TQ14" s="541"/>
      <c r="TR14" s="541"/>
      <c r="TS14" s="541"/>
      <c r="TT14" s="541"/>
      <c r="TU14" s="541"/>
      <c r="TV14" s="541"/>
      <c r="TW14" s="541"/>
      <c r="TX14" s="541"/>
      <c r="TY14" s="541"/>
      <c r="TZ14" s="541"/>
      <c r="UA14" s="541"/>
      <c r="UB14" s="541"/>
      <c r="UC14" s="541"/>
      <c r="UD14" s="541"/>
      <c r="UE14" s="541"/>
      <c r="UF14" s="541"/>
      <c r="UG14" s="541"/>
      <c r="UH14" s="541"/>
      <c r="UI14" s="541"/>
      <c r="UJ14" s="541"/>
      <c r="UK14" s="541"/>
      <c r="UL14" s="541"/>
      <c r="UM14" s="541"/>
      <c r="UN14" s="541"/>
      <c r="UO14" s="541"/>
      <c r="UP14" s="541"/>
      <c r="UQ14" s="541"/>
      <c r="UR14" s="541"/>
      <c r="US14" s="541"/>
      <c r="UT14" s="541"/>
      <c r="UU14" s="541"/>
      <c r="UV14" s="541"/>
      <c r="UW14" s="541"/>
      <c r="UX14" s="541"/>
      <c r="UY14" s="541"/>
      <c r="UZ14" s="541"/>
      <c r="VA14" s="541"/>
      <c r="VB14" s="541"/>
      <c r="VC14" s="541"/>
      <c r="VD14" s="541"/>
      <c r="VE14" s="541"/>
      <c r="VF14" s="541"/>
      <c r="VG14" s="541"/>
      <c r="VH14" s="541"/>
      <c r="VI14" s="541"/>
      <c r="VJ14" s="541"/>
      <c r="VK14" s="541"/>
      <c r="VL14" s="541"/>
      <c r="VM14" s="541"/>
      <c r="VN14" s="541"/>
      <c r="VO14" s="541"/>
      <c r="VP14" s="541"/>
      <c r="VQ14" s="541"/>
      <c r="VR14" s="541"/>
      <c r="VS14" s="541"/>
      <c r="VT14" s="541"/>
      <c r="VU14" s="541"/>
      <c r="VV14" s="541"/>
      <c r="VW14" s="541"/>
      <c r="VX14" s="541"/>
      <c r="VY14" s="541"/>
      <c r="VZ14" s="541"/>
      <c r="WA14" s="541"/>
      <c r="WB14" s="541"/>
      <c r="WC14" s="541"/>
      <c r="WD14" s="541"/>
      <c r="WE14" s="541"/>
      <c r="WF14" s="541"/>
      <c r="WG14" s="541"/>
      <c r="WH14" s="541"/>
      <c r="WI14" s="541"/>
      <c r="WJ14" s="541"/>
      <c r="WK14" s="541"/>
      <c r="WL14" s="541"/>
      <c r="WM14" s="541"/>
      <c r="WN14" s="541"/>
      <c r="WO14" s="541"/>
      <c r="WP14" s="541"/>
      <c r="WQ14" s="541"/>
      <c r="WR14" s="541"/>
      <c r="WS14" s="541"/>
      <c r="WT14" s="541"/>
      <c r="WU14" s="541"/>
      <c r="WV14" s="541"/>
      <c r="WW14" s="541"/>
      <c r="WX14" s="541"/>
      <c r="WY14" s="541"/>
      <c r="WZ14" s="541"/>
      <c r="XA14" s="541"/>
      <c r="XB14" s="541"/>
      <c r="XC14" s="541"/>
      <c r="XD14" s="541"/>
      <c r="XE14" s="541"/>
      <c r="XF14" s="541"/>
      <c r="XG14" s="541"/>
      <c r="XH14" s="541"/>
      <c r="XI14" s="541"/>
      <c r="XJ14" s="541"/>
      <c r="XK14" s="541"/>
      <c r="XL14" s="541"/>
      <c r="XM14" s="541"/>
      <c r="XN14" s="541"/>
      <c r="XO14" s="541"/>
      <c r="XP14" s="541"/>
      <c r="XQ14" s="541"/>
      <c r="XR14" s="541"/>
      <c r="XS14" s="541"/>
      <c r="XT14" s="541"/>
      <c r="XU14" s="541"/>
      <c r="XV14" s="541"/>
      <c r="XW14" s="541"/>
      <c r="XX14" s="541"/>
      <c r="XY14" s="541"/>
      <c r="XZ14" s="541"/>
      <c r="YA14" s="541"/>
      <c r="YB14" s="541"/>
      <c r="YC14" s="541"/>
      <c r="YD14" s="541"/>
      <c r="YE14" s="541"/>
      <c r="YF14" s="541"/>
      <c r="YG14" s="541"/>
      <c r="YH14" s="541"/>
      <c r="YI14" s="541"/>
      <c r="YJ14" s="541"/>
      <c r="YK14" s="541"/>
      <c r="YL14" s="541"/>
      <c r="YM14" s="541"/>
      <c r="YN14" s="541"/>
      <c r="YO14" s="541"/>
      <c r="YP14" s="541"/>
      <c r="YQ14" s="541"/>
      <c r="YR14" s="541"/>
      <c r="YS14" s="541"/>
      <c r="YT14" s="541"/>
      <c r="YU14" s="541"/>
      <c r="YV14" s="541"/>
      <c r="YW14" s="541"/>
      <c r="YX14" s="541"/>
      <c r="YY14" s="541"/>
      <c r="YZ14" s="541"/>
      <c r="ZA14" s="541"/>
      <c r="ZB14" s="541"/>
      <c r="ZC14" s="541"/>
      <c r="ZD14" s="541"/>
      <c r="ZE14" s="541"/>
      <c r="ZF14" s="541"/>
      <c r="ZG14" s="541"/>
      <c r="ZH14" s="541"/>
      <c r="ZI14" s="541"/>
      <c r="ZJ14" s="541"/>
      <c r="ZK14" s="541"/>
      <c r="ZL14" s="541"/>
      <c r="ZM14" s="541"/>
      <c r="ZN14" s="541"/>
      <c r="ZO14" s="541"/>
      <c r="ZP14" s="541"/>
      <c r="ZQ14" s="541"/>
      <c r="ZR14" s="541"/>
      <c r="ZS14" s="541"/>
      <c r="ZT14" s="541"/>
      <c r="ZU14" s="541"/>
      <c r="ZV14" s="541"/>
      <c r="ZW14" s="541"/>
      <c r="ZX14" s="541"/>
      <c r="ZY14" s="541"/>
      <c r="ZZ14" s="541"/>
      <c r="AAA14" s="541"/>
      <c r="AAB14" s="541"/>
      <c r="AAC14" s="541"/>
      <c r="AAD14" s="541"/>
      <c r="AAE14" s="541"/>
      <c r="AAF14" s="541"/>
      <c r="AAG14" s="541"/>
      <c r="AAH14" s="541"/>
      <c r="AAI14" s="541"/>
      <c r="AAJ14" s="541"/>
      <c r="AAK14" s="541"/>
      <c r="AAL14" s="541"/>
      <c r="AAM14" s="541"/>
      <c r="AAN14" s="541"/>
      <c r="AAO14" s="541"/>
      <c r="AAP14" s="541"/>
      <c r="AAQ14" s="541"/>
      <c r="AAR14" s="541"/>
      <c r="AAS14" s="541"/>
      <c r="AAT14" s="541"/>
      <c r="AAU14" s="541"/>
      <c r="AAV14" s="541"/>
      <c r="AAW14" s="541"/>
      <c r="AAX14" s="541"/>
      <c r="AAY14" s="541"/>
      <c r="AAZ14" s="541"/>
      <c r="ABA14" s="541"/>
      <c r="ABB14" s="541"/>
      <c r="ABC14" s="541"/>
      <c r="ABD14" s="541"/>
      <c r="ABE14" s="541"/>
      <c r="ABF14" s="541"/>
      <c r="ABG14" s="541"/>
      <c r="ABH14" s="541"/>
      <c r="ABI14" s="541"/>
      <c r="ABJ14" s="541"/>
      <c r="ABK14" s="541"/>
      <c r="ABL14" s="541"/>
      <c r="ABM14" s="541"/>
      <c r="ABN14" s="541"/>
      <c r="ABO14" s="541"/>
      <c r="ABP14" s="541"/>
      <c r="ABQ14" s="541"/>
      <c r="ABR14" s="541"/>
      <c r="ABS14" s="541"/>
      <c r="ABT14" s="541"/>
      <c r="ABU14" s="541"/>
      <c r="ABV14" s="541"/>
      <c r="ABW14" s="541"/>
      <c r="ABX14" s="541"/>
      <c r="ABY14" s="541"/>
      <c r="ABZ14" s="541"/>
      <c r="ACA14" s="541"/>
      <c r="ACB14" s="541"/>
      <c r="ACC14" s="541"/>
      <c r="ACD14" s="541"/>
      <c r="ACE14" s="541"/>
      <c r="ACF14" s="541"/>
      <c r="ACG14" s="541"/>
      <c r="ACH14" s="541"/>
      <c r="ACI14" s="541"/>
      <c r="ACJ14" s="541"/>
      <c r="ACK14" s="541"/>
      <c r="ACL14" s="541"/>
      <c r="ACM14" s="541"/>
      <c r="ACN14" s="541"/>
      <c r="ACO14" s="541"/>
      <c r="ACP14" s="541"/>
      <c r="ACQ14" s="541"/>
      <c r="ACR14" s="541"/>
      <c r="ACS14" s="541"/>
      <c r="ACT14" s="541"/>
      <c r="ACU14" s="541"/>
      <c r="ACV14" s="541"/>
      <c r="ACW14" s="541"/>
      <c r="ACX14" s="541"/>
      <c r="ACY14" s="541"/>
      <c r="ACZ14" s="541"/>
      <c r="ADA14" s="541"/>
      <c r="ADB14" s="541"/>
      <c r="ADC14" s="541"/>
      <c r="ADD14" s="541"/>
      <c r="ADE14" s="541"/>
      <c r="ADF14" s="541"/>
      <c r="ADG14" s="541"/>
      <c r="ADH14" s="541"/>
      <c r="ADI14" s="541"/>
      <c r="ADJ14" s="541"/>
      <c r="ADK14" s="541"/>
      <c r="ADL14" s="541"/>
      <c r="ADM14" s="541"/>
      <c r="ADN14" s="541"/>
      <c r="ADO14" s="541"/>
      <c r="ADP14" s="541"/>
      <c r="ADQ14" s="541"/>
      <c r="ADR14" s="541"/>
      <c r="ADS14" s="541"/>
      <c r="ADT14" s="541"/>
      <c r="ADU14" s="541"/>
      <c r="ADV14" s="541"/>
      <c r="ADW14" s="541"/>
      <c r="ADX14" s="541"/>
      <c r="ADY14" s="541"/>
      <c r="ADZ14" s="541"/>
      <c r="AEA14" s="541"/>
      <c r="AEB14" s="541"/>
      <c r="AEC14" s="541"/>
      <c r="AED14" s="541"/>
      <c r="AEE14" s="541"/>
      <c r="AEF14" s="541"/>
      <c r="AEG14" s="541"/>
      <c r="AEH14" s="541"/>
      <c r="AEI14" s="541"/>
      <c r="AEJ14" s="541"/>
      <c r="AEK14" s="541"/>
      <c r="AEL14" s="541"/>
      <c r="AEM14" s="541"/>
      <c r="AEN14" s="541"/>
      <c r="AEO14" s="541"/>
      <c r="AEP14" s="541"/>
      <c r="AEQ14" s="541"/>
      <c r="AER14" s="541"/>
      <c r="AES14" s="541"/>
      <c r="AET14" s="541"/>
      <c r="AEU14" s="541"/>
      <c r="AEV14" s="541"/>
      <c r="AEW14" s="541"/>
      <c r="AEX14" s="541"/>
      <c r="AEY14" s="541"/>
      <c r="AEZ14" s="541"/>
      <c r="AFA14" s="541"/>
      <c r="AFB14" s="541"/>
      <c r="AFC14" s="541"/>
      <c r="AFD14" s="541"/>
      <c r="AFE14" s="541"/>
      <c r="AFF14" s="541"/>
      <c r="AFG14" s="541"/>
      <c r="AFH14" s="541"/>
      <c r="AFI14" s="541"/>
      <c r="AFJ14" s="541"/>
      <c r="AFK14" s="541"/>
      <c r="AFL14" s="541"/>
      <c r="AFM14" s="541"/>
      <c r="AFN14" s="541"/>
      <c r="AFO14" s="541"/>
      <c r="AFP14" s="541"/>
      <c r="AFQ14" s="541"/>
      <c r="AFR14" s="541"/>
      <c r="AFS14" s="541"/>
      <c r="AFT14" s="541"/>
      <c r="AFU14" s="541"/>
      <c r="AFV14" s="541"/>
      <c r="AFW14" s="541"/>
      <c r="AFX14" s="541"/>
      <c r="AFY14" s="541"/>
      <c r="AFZ14" s="541"/>
      <c r="AGA14" s="541"/>
      <c r="AGB14" s="541"/>
      <c r="AGC14" s="541"/>
      <c r="AGD14" s="541"/>
      <c r="AGE14" s="541"/>
      <c r="AGF14" s="541"/>
      <c r="AGG14" s="541"/>
      <c r="AGH14" s="541"/>
      <c r="AGI14" s="541"/>
      <c r="AGJ14" s="541"/>
      <c r="AGK14" s="541"/>
      <c r="AGL14" s="541"/>
      <c r="AGM14" s="541"/>
      <c r="AGN14" s="541"/>
      <c r="AGO14" s="541"/>
      <c r="AGP14" s="541"/>
      <c r="AGQ14" s="541"/>
      <c r="AGR14" s="541"/>
      <c r="AGS14" s="541"/>
      <c r="AGT14" s="541"/>
      <c r="AGU14" s="541"/>
      <c r="AGV14" s="541"/>
      <c r="AGW14" s="541"/>
      <c r="AGX14" s="541"/>
      <c r="AGY14" s="541"/>
      <c r="AGZ14" s="541"/>
      <c r="AHA14" s="541"/>
      <c r="AHB14" s="541"/>
      <c r="AHC14" s="541"/>
      <c r="AHD14" s="541"/>
      <c r="AHE14" s="541"/>
      <c r="AHF14" s="541"/>
      <c r="AHG14" s="541"/>
      <c r="AHH14" s="541"/>
      <c r="AHI14" s="541"/>
      <c r="AHJ14" s="541"/>
      <c r="AHK14" s="541"/>
      <c r="AHL14" s="541"/>
      <c r="AHM14" s="541"/>
      <c r="AHN14" s="541"/>
      <c r="AHO14" s="541"/>
      <c r="AHP14" s="541"/>
      <c r="AHQ14" s="541"/>
      <c r="AHR14" s="541"/>
      <c r="AHS14" s="541"/>
      <c r="AHT14" s="541"/>
      <c r="AHU14" s="541"/>
      <c r="AHV14" s="541"/>
      <c r="AHW14" s="541"/>
      <c r="AHX14" s="541"/>
      <c r="AHY14" s="541"/>
      <c r="AHZ14" s="541"/>
      <c r="AIA14" s="541"/>
      <c r="AIB14" s="541"/>
      <c r="AIC14" s="541"/>
      <c r="AID14" s="541"/>
      <c r="AIE14" s="541"/>
      <c r="AIF14" s="541"/>
      <c r="AIG14" s="541"/>
      <c r="AIH14" s="541"/>
      <c r="AII14" s="541"/>
      <c r="AIJ14" s="541"/>
      <c r="AIK14" s="541"/>
      <c r="AIL14" s="541"/>
      <c r="AIM14" s="541"/>
      <c r="AIN14" s="541"/>
      <c r="AIO14" s="541"/>
      <c r="AIP14" s="541"/>
      <c r="AIQ14" s="541"/>
      <c r="AIR14" s="541"/>
      <c r="AIS14" s="541"/>
      <c r="AIT14" s="541"/>
      <c r="AIU14" s="541"/>
      <c r="AIV14" s="541"/>
      <c r="AIW14" s="541"/>
      <c r="AIX14" s="541"/>
      <c r="AIY14" s="541"/>
      <c r="AIZ14" s="541"/>
      <c r="AJA14" s="541"/>
      <c r="AJB14" s="541"/>
      <c r="AJC14" s="541"/>
      <c r="AJD14" s="541"/>
      <c r="AJE14" s="541"/>
      <c r="AJF14" s="541"/>
      <c r="AJG14" s="541"/>
      <c r="AJH14" s="541"/>
      <c r="AJI14" s="541"/>
      <c r="AJJ14" s="541"/>
      <c r="AJK14" s="541"/>
      <c r="AJL14" s="541"/>
      <c r="AJM14" s="541"/>
      <c r="AJN14" s="541"/>
      <c r="AJO14" s="541"/>
      <c r="AJP14" s="541"/>
      <c r="AJQ14" s="541"/>
      <c r="AJR14" s="541"/>
      <c r="AJS14" s="541"/>
      <c r="AJT14" s="541"/>
      <c r="AJU14" s="541"/>
      <c r="AJV14" s="541"/>
      <c r="AJW14" s="541"/>
      <c r="AJX14" s="541"/>
      <c r="AJY14" s="541"/>
      <c r="AJZ14" s="541"/>
      <c r="AKA14" s="541"/>
      <c r="AKB14" s="541"/>
      <c r="AKC14" s="541"/>
      <c r="AKD14" s="541"/>
      <c r="AKE14" s="541"/>
      <c r="AKF14" s="541"/>
      <c r="AKG14" s="541"/>
      <c r="AKH14" s="541"/>
      <c r="AKI14" s="541"/>
      <c r="AKJ14" s="541"/>
      <c r="AKK14" s="541"/>
      <c r="AKL14" s="541"/>
      <c r="AKM14" s="541"/>
      <c r="AKN14" s="541"/>
      <c r="AKO14" s="541"/>
      <c r="AKP14" s="541"/>
      <c r="AKQ14" s="541"/>
      <c r="AKR14" s="541"/>
      <c r="AKS14" s="541"/>
      <c r="AKT14" s="541"/>
      <c r="AKU14" s="541"/>
      <c r="AKV14" s="541"/>
      <c r="AKW14" s="541"/>
      <c r="AKX14" s="541"/>
      <c r="AKY14" s="541"/>
      <c r="AKZ14" s="541"/>
      <c r="ALA14" s="541"/>
      <c r="ALB14" s="541"/>
      <c r="ALC14" s="541"/>
      <c r="ALD14" s="541"/>
      <c r="ALE14" s="541"/>
      <c r="ALF14" s="541"/>
      <c r="ALG14" s="541"/>
      <c r="ALH14" s="541"/>
      <c r="ALI14" s="541"/>
      <c r="ALJ14" s="541"/>
      <c r="ALK14" s="541"/>
      <c r="ALL14" s="541"/>
      <c r="ALM14" s="541"/>
      <c r="ALN14" s="541"/>
      <c r="ALO14" s="541"/>
      <c r="ALP14" s="541"/>
      <c r="ALQ14" s="541"/>
      <c r="ALR14" s="541"/>
      <c r="ALS14" s="541"/>
      <c r="ALT14" s="541"/>
      <c r="ALU14" s="541"/>
      <c r="ALV14" s="541"/>
      <c r="ALW14" s="541"/>
      <c r="ALX14" s="541"/>
      <c r="ALY14" s="541"/>
      <c r="ALZ14" s="541"/>
      <c r="AMA14" s="541"/>
      <c r="AMB14" s="541"/>
      <c r="AMC14" s="541"/>
      <c r="AMD14" s="541"/>
      <c r="AME14" s="541"/>
      <c r="AMF14" s="541"/>
      <c r="AMG14" s="541"/>
      <c r="AMH14" s="541"/>
      <c r="AMI14" s="541"/>
      <c r="AMJ14" s="541"/>
      <c r="AMK14" s="541"/>
      <c r="AML14" s="541"/>
      <c r="AMM14" s="541"/>
      <c r="AMN14" s="541"/>
      <c r="AMO14" s="541"/>
      <c r="AMP14" s="541"/>
      <c r="AMQ14" s="541"/>
      <c r="AMR14" s="541"/>
      <c r="AMS14" s="541"/>
      <c r="AMT14" s="541"/>
      <c r="AMU14" s="541"/>
      <c r="AMV14" s="541"/>
      <c r="AMW14" s="541"/>
      <c r="AMX14" s="541"/>
      <c r="AMY14" s="541"/>
      <c r="AMZ14" s="541"/>
      <c r="ANA14" s="541"/>
      <c r="ANB14" s="541"/>
      <c r="ANC14" s="541"/>
      <c r="AND14" s="541"/>
      <c r="ANE14" s="541"/>
      <c r="ANF14" s="541"/>
      <c r="ANG14" s="541"/>
      <c r="ANH14" s="541"/>
      <c r="ANI14" s="541"/>
      <c r="ANJ14" s="541"/>
      <c r="ANK14" s="541"/>
      <c r="ANL14" s="541"/>
      <c r="ANM14" s="541"/>
      <c r="ANN14" s="541"/>
      <c r="ANO14" s="541"/>
      <c r="ANP14" s="541"/>
      <c r="ANQ14" s="541"/>
      <c r="ANR14" s="541"/>
      <c r="ANS14" s="541"/>
      <c r="ANT14" s="541"/>
      <c r="ANU14" s="541"/>
      <c r="ANV14" s="541"/>
      <c r="ANW14" s="541"/>
      <c r="ANX14" s="541"/>
      <c r="ANY14" s="541"/>
      <c r="ANZ14" s="541"/>
      <c r="AOA14" s="541"/>
      <c r="AOB14" s="541"/>
      <c r="AOC14" s="541"/>
      <c r="AOD14" s="541"/>
      <c r="AOE14" s="541"/>
      <c r="AOF14" s="541"/>
      <c r="AOG14" s="541"/>
      <c r="AOH14" s="541"/>
      <c r="AOI14" s="541"/>
      <c r="AOJ14" s="541"/>
      <c r="AOK14" s="541"/>
      <c r="AOL14" s="541"/>
      <c r="AOM14" s="541"/>
      <c r="AON14" s="541"/>
      <c r="AOO14" s="541"/>
      <c r="AOP14" s="541"/>
      <c r="AOQ14" s="541"/>
      <c r="AOR14" s="541"/>
      <c r="AOS14" s="541"/>
      <c r="AOT14" s="541"/>
      <c r="AOU14" s="541"/>
      <c r="AOV14" s="541"/>
      <c r="AOW14" s="541"/>
      <c r="AOX14" s="541"/>
      <c r="AOY14" s="541"/>
      <c r="AOZ14" s="541"/>
      <c r="APA14" s="541"/>
      <c r="APB14" s="541"/>
      <c r="APC14" s="541"/>
      <c r="APD14" s="541"/>
      <c r="APE14" s="541"/>
      <c r="APF14" s="541"/>
      <c r="APG14" s="541"/>
      <c r="APH14" s="541"/>
      <c r="API14" s="541"/>
      <c r="APJ14" s="541"/>
      <c r="APK14" s="541"/>
      <c r="APL14" s="541"/>
      <c r="APM14" s="541"/>
      <c r="APN14" s="541"/>
      <c r="APO14" s="541"/>
      <c r="APP14" s="541"/>
      <c r="APQ14" s="541"/>
      <c r="APR14" s="541"/>
      <c r="APS14" s="541"/>
      <c r="APT14" s="541"/>
      <c r="APU14" s="541"/>
      <c r="APV14" s="541"/>
      <c r="APW14" s="541"/>
      <c r="APX14" s="541"/>
      <c r="APY14" s="541"/>
      <c r="APZ14" s="541"/>
      <c r="AQA14" s="541"/>
      <c r="AQB14" s="541"/>
      <c r="AQC14" s="541"/>
      <c r="AQD14" s="541"/>
      <c r="AQE14" s="541"/>
      <c r="AQF14" s="541"/>
      <c r="AQG14" s="541"/>
      <c r="AQH14" s="541"/>
      <c r="AQI14" s="541"/>
      <c r="AQJ14" s="541"/>
      <c r="AQK14" s="541"/>
      <c r="AQL14" s="541"/>
      <c r="AQM14" s="541"/>
      <c r="AQN14" s="541"/>
      <c r="AQO14" s="541"/>
      <c r="AQP14" s="541"/>
      <c r="AQQ14" s="541"/>
      <c r="AQR14" s="541"/>
      <c r="AQS14" s="541"/>
      <c r="AQT14" s="541"/>
      <c r="AQU14" s="541"/>
      <c r="AQV14" s="541"/>
      <c r="AQW14" s="541"/>
      <c r="AQX14" s="541"/>
      <c r="AQY14" s="541"/>
      <c r="AQZ14" s="541"/>
      <c r="ARA14" s="541"/>
      <c r="ARB14" s="541"/>
      <c r="ARC14" s="541"/>
      <c r="ARD14" s="541"/>
      <c r="ARE14" s="541"/>
      <c r="ARF14" s="541"/>
      <c r="ARG14" s="541"/>
      <c r="ARH14" s="541"/>
      <c r="ARI14" s="541"/>
      <c r="ARJ14" s="541"/>
      <c r="ARK14" s="541"/>
      <c r="ARL14" s="541"/>
      <c r="ARM14" s="541"/>
      <c r="ARN14" s="541"/>
      <c r="ARO14" s="541"/>
      <c r="ARP14" s="541"/>
      <c r="ARQ14" s="541"/>
      <c r="ARR14" s="541"/>
      <c r="ARS14" s="541"/>
      <c r="ART14" s="541"/>
      <c r="ARU14" s="541"/>
    </row>
    <row r="15" spans="1:1165">
      <c r="A15" s="596"/>
      <c r="B15" s="594"/>
      <c r="C15" s="670"/>
      <c r="D15" s="670"/>
      <c r="E15" s="595"/>
      <c r="F15" s="595"/>
      <c r="G15" s="595"/>
      <c r="H15" s="595"/>
      <c r="I15" s="595"/>
      <c r="J15" s="595"/>
      <c r="K15" s="595"/>
      <c r="L15" s="595"/>
      <c r="M15" s="595"/>
      <c r="N15" s="595"/>
      <c r="O15" s="595"/>
      <c r="P15" s="595"/>
      <c r="Q15" s="595"/>
      <c r="R15" s="595"/>
      <c r="S15" s="595"/>
      <c r="T15" s="595"/>
      <c r="U15" s="672"/>
      <c r="V15" s="595"/>
      <c r="W15" s="672"/>
      <c r="X15" s="595"/>
      <c r="Y15" s="672"/>
      <c r="Z15" s="595"/>
      <c r="AA15" s="595"/>
      <c r="AB15" s="595"/>
      <c r="AC15" s="595"/>
      <c r="AD15" s="595"/>
      <c r="AE15" s="595"/>
      <c r="AF15" s="595"/>
      <c r="AG15" s="595"/>
      <c r="AH15" s="595"/>
      <c r="AI15" s="595"/>
      <c r="AJ15" s="595"/>
      <c r="AK15" s="673"/>
      <c r="AL15" s="673"/>
      <c r="AM15" s="675"/>
      <c r="AN15" s="676"/>
      <c r="AO15" s="595"/>
      <c r="AP15" s="595"/>
      <c r="AQ15" s="595"/>
      <c r="AR15" s="595"/>
      <c r="AS15" s="595"/>
      <c r="AT15" s="595"/>
      <c r="AU15" s="595"/>
      <c r="AV15" s="595"/>
      <c r="AW15" s="595"/>
      <c r="AX15" s="595"/>
      <c r="AY15" s="677"/>
      <c r="AZ15" s="677"/>
      <c r="BA15" s="672"/>
      <c r="BB15" s="595"/>
      <c r="BC15" s="595"/>
      <c r="BD15" s="595"/>
      <c r="BE15" s="595"/>
      <c r="BF15" s="595"/>
      <c r="BG15" s="595"/>
      <c r="BH15" s="595"/>
      <c r="BI15" s="672"/>
      <c r="BJ15" s="595"/>
      <c r="BK15" s="595"/>
      <c r="BL15" s="541"/>
      <c r="BM15" s="624"/>
      <c r="BN15" s="624"/>
      <c r="BO15" s="624"/>
      <c r="BP15" s="624"/>
    </row>
    <row r="16" spans="1:1165">
      <c r="A16" s="591" t="s">
        <v>198</v>
      </c>
      <c r="B16" s="594" t="s">
        <v>110</v>
      </c>
      <c r="C16" s="670">
        <v>9219</v>
      </c>
      <c r="D16" s="670">
        <v>431729</v>
      </c>
      <c r="E16" s="595">
        <v>0</v>
      </c>
      <c r="F16" s="595">
        <v>0</v>
      </c>
      <c r="G16" s="595">
        <v>0</v>
      </c>
      <c r="H16" s="595">
        <v>0</v>
      </c>
      <c r="I16" s="595">
        <v>0</v>
      </c>
      <c r="J16" s="595">
        <v>0</v>
      </c>
      <c r="K16" s="595">
        <v>0</v>
      </c>
      <c r="L16" s="595">
        <v>0</v>
      </c>
      <c r="M16" s="595">
        <v>0</v>
      </c>
      <c r="N16" s="595">
        <v>0</v>
      </c>
      <c r="O16" s="595">
        <v>0</v>
      </c>
      <c r="P16" s="595">
        <v>0</v>
      </c>
      <c r="Q16" s="595">
        <v>0</v>
      </c>
      <c r="R16" s="595">
        <v>0</v>
      </c>
      <c r="S16" s="595">
        <v>0</v>
      </c>
      <c r="T16" s="595">
        <v>0</v>
      </c>
      <c r="U16" s="595">
        <v>0</v>
      </c>
      <c r="V16" s="595">
        <v>0</v>
      </c>
      <c r="W16" s="595">
        <v>0</v>
      </c>
      <c r="X16" s="595">
        <v>0</v>
      </c>
      <c r="Y16" s="595">
        <v>0</v>
      </c>
      <c r="Z16" s="595">
        <v>0</v>
      </c>
      <c r="AA16" s="595">
        <v>0</v>
      </c>
      <c r="AB16" s="595">
        <v>0</v>
      </c>
      <c r="AC16" s="595">
        <v>0</v>
      </c>
      <c r="AD16" s="595">
        <v>0</v>
      </c>
      <c r="AE16" s="595">
        <v>0</v>
      </c>
      <c r="AF16" s="595">
        <v>0</v>
      </c>
      <c r="AG16" s="595">
        <v>0</v>
      </c>
      <c r="AH16" s="595">
        <v>0</v>
      </c>
      <c r="AI16" s="595">
        <v>0</v>
      </c>
      <c r="AJ16" s="595">
        <v>0</v>
      </c>
      <c r="AK16" s="595">
        <v>0</v>
      </c>
      <c r="AL16" s="595">
        <v>0</v>
      </c>
      <c r="AM16" s="595">
        <v>0</v>
      </c>
      <c r="AN16" s="595">
        <v>0</v>
      </c>
      <c r="AO16" s="595">
        <v>0</v>
      </c>
      <c r="AP16" s="595">
        <v>0</v>
      </c>
      <c r="AQ16" s="595">
        <v>0</v>
      </c>
      <c r="AR16" s="595">
        <v>0</v>
      </c>
      <c r="AS16" s="595">
        <v>0</v>
      </c>
      <c r="AT16" s="595">
        <v>0</v>
      </c>
      <c r="AU16" s="595">
        <v>0</v>
      </c>
      <c r="AV16" s="595">
        <v>0</v>
      </c>
      <c r="AW16" s="595">
        <v>0</v>
      </c>
      <c r="AX16" s="595">
        <v>0</v>
      </c>
      <c r="AY16" s="604">
        <v>0</v>
      </c>
      <c r="AZ16" s="604">
        <v>0</v>
      </c>
      <c r="BA16" s="604"/>
      <c r="BB16" s="604"/>
      <c r="BC16" s="604"/>
      <c r="BD16" s="604"/>
      <c r="BE16" s="604"/>
      <c r="BF16" s="604"/>
      <c r="BG16" s="604"/>
      <c r="BH16" s="604"/>
      <c r="BI16" s="594"/>
      <c r="BJ16" s="604">
        <f>C16+G16+I16+K16+M16+O16+Q16+S16+U16+W16+Y16+AA16+AC16+AE16+AG16+AI16+AK16+AM16+AO16+AQ16+AS16+AU16+AW16+AY16+BB16+BF16</f>
        <v>9219</v>
      </c>
      <c r="BK16" s="595">
        <f>D16+H16+J16+L16+N16+P16+R16+T16+V16+X16+Z16+AB16+AD16+AF16+AH16+AJ16+AL16+AN16+AP16+AR16+AT16+AV16+AX16+AZ16+BD16+BH16</f>
        <v>431729</v>
      </c>
      <c r="BL16" s="541"/>
      <c r="BM16" s="624"/>
      <c r="BN16" s="624"/>
      <c r="BO16" s="624"/>
      <c r="BP16" s="624"/>
    </row>
    <row r="17" spans="1:1165">
      <c r="A17" s="591"/>
      <c r="B17" s="594"/>
      <c r="C17" s="670"/>
      <c r="D17" s="670"/>
      <c r="E17" s="595"/>
      <c r="F17" s="595"/>
      <c r="G17" s="595"/>
      <c r="H17" s="595"/>
      <c r="I17" s="595"/>
      <c r="J17" s="595"/>
      <c r="K17" s="595"/>
      <c r="L17" s="595"/>
      <c r="M17" s="595"/>
      <c r="N17" s="595"/>
      <c r="O17" s="595"/>
      <c r="P17" s="595"/>
      <c r="Q17" s="595"/>
      <c r="R17" s="595"/>
      <c r="S17" s="595"/>
      <c r="T17" s="595"/>
      <c r="U17" s="595"/>
      <c r="V17" s="595"/>
      <c r="W17" s="595"/>
      <c r="X17" s="595"/>
      <c r="Y17" s="595"/>
      <c r="Z17" s="595"/>
      <c r="AA17" s="595"/>
      <c r="AB17" s="595"/>
      <c r="AC17" s="595"/>
      <c r="AD17" s="595"/>
      <c r="AE17" s="595"/>
      <c r="AF17" s="595"/>
      <c r="AG17" s="595"/>
      <c r="AH17" s="595"/>
      <c r="AI17" s="595"/>
      <c r="AJ17" s="595"/>
      <c r="AK17" s="595"/>
      <c r="AL17" s="595"/>
      <c r="AM17" s="595"/>
      <c r="AN17" s="595"/>
      <c r="AO17" s="595"/>
      <c r="AP17" s="595"/>
      <c r="AQ17" s="595"/>
      <c r="AR17" s="595"/>
      <c r="AS17" s="595"/>
      <c r="AT17" s="595"/>
      <c r="AU17" s="595"/>
      <c r="AV17" s="595"/>
      <c r="AW17" s="595"/>
      <c r="AX17" s="595"/>
      <c r="AY17" s="678"/>
      <c r="AZ17" s="678"/>
      <c r="BA17" s="594"/>
      <c r="BB17" s="604"/>
      <c r="BC17" s="604"/>
      <c r="BD17" s="604"/>
      <c r="BE17" s="604"/>
      <c r="BF17" s="604"/>
      <c r="BG17" s="604"/>
      <c r="BH17" s="604"/>
      <c r="BI17" s="594"/>
      <c r="BJ17" s="604"/>
      <c r="BK17" s="604"/>
      <c r="BL17" s="541"/>
      <c r="BM17" s="624"/>
      <c r="BN17" s="624"/>
      <c r="BO17" s="624"/>
      <c r="BP17" s="624"/>
    </row>
    <row r="18" spans="1:1165" s="658" customFormat="1">
      <c r="A18" s="577" t="s">
        <v>199</v>
      </c>
      <c r="B18" s="578" t="s">
        <v>110</v>
      </c>
      <c r="C18" s="659">
        <v>39295</v>
      </c>
      <c r="D18" s="659">
        <v>1494410</v>
      </c>
      <c r="E18" s="581">
        <v>0</v>
      </c>
      <c r="F18" s="581">
        <v>0</v>
      </c>
      <c r="G18" s="581">
        <v>0</v>
      </c>
      <c r="H18" s="581">
        <v>0</v>
      </c>
      <c r="I18" s="581">
        <v>0</v>
      </c>
      <c r="J18" s="581">
        <v>0</v>
      </c>
      <c r="K18" s="581">
        <v>0</v>
      </c>
      <c r="L18" s="581">
        <v>0</v>
      </c>
      <c r="M18" s="581">
        <v>0</v>
      </c>
      <c r="N18" s="581">
        <v>0</v>
      </c>
      <c r="O18" s="581">
        <v>0</v>
      </c>
      <c r="P18" s="581">
        <v>0</v>
      </c>
      <c r="Q18" s="581">
        <v>0</v>
      </c>
      <c r="R18" s="581">
        <v>0</v>
      </c>
      <c r="S18" s="581">
        <v>0</v>
      </c>
      <c r="T18" s="581">
        <v>0</v>
      </c>
      <c r="U18" s="581">
        <v>0</v>
      </c>
      <c r="V18" s="581">
        <v>0</v>
      </c>
      <c r="W18" s="581">
        <v>0</v>
      </c>
      <c r="X18" s="581">
        <v>0</v>
      </c>
      <c r="Y18" s="581">
        <v>0</v>
      </c>
      <c r="Z18" s="581">
        <v>0</v>
      </c>
      <c r="AA18" s="581">
        <v>0</v>
      </c>
      <c r="AB18" s="581">
        <v>0</v>
      </c>
      <c r="AC18" s="581">
        <v>0</v>
      </c>
      <c r="AD18" s="581">
        <v>0</v>
      </c>
      <c r="AE18" s="581">
        <v>0</v>
      </c>
      <c r="AF18" s="581">
        <v>0</v>
      </c>
      <c r="AG18" s="581">
        <v>0</v>
      </c>
      <c r="AH18" s="581">
        <v>0</v>
      </c>
      <c r="AI18" s="581">
        <v>0</v>
      </c>
      <c r="AJ18" s="581">
        <v>0</v>
      </c>
      <c r="AK18" s="581">
        <v>0</v>
      </c>
      <c r="AL18" s="581">
        <v>0</v>
      </c>
      <c r="AM18" s="581">
        <v>0</v>
      </c>
      <c r="AN18" s="581">
        <v>0</v>
      </c>
      <c r="AO18" s="581">
        <v>0</v>
      </c>
      <c r="AP18" s="581">
        <v>0</v>
      </c>
      <c r="AQ18" s="581">
        <v>0</v>
      </c>
      <c r="AR18" s="581">
        <v>0</v>
      </c>
      <c r="AS18" s="581">
        <v>0</v>
      </c>
      <c r="AT18" s="581">
        <v>0</v>
      </c>
      <c r="AU18" s="581">
        <v>0</v>
      </c>
      <c r="AV18" s="581">
        <v>0</v>
      </c>
      <c r="AW18" s="581">
        <v>0</v>
      </c>
      <c r="AX18" s="581">
        <v>0</v>
      </c>
      <c r="AY18" s="616">
        <v>0</v>
      </c>
      <c r="AZ18" s="616">
        <v>0</v>
      </c>
      <c r="BA18" s="578"/>
      <c r="BB18" s="616"/>
      <c r="BC18" s="616"/>
      <c r="BD18" s="616"/>
      <c r="BE18" s="616"/>
      <c r="BF18" s="616"/>
      <c r="BG18" s="616"/>
      <c r="BH18" s="616"/>
      <c r="BI18" s="578"/>
      <c r="BJ18" s="581">
        <f>C18+G18+I18+K18+M18+O18+Q18+S18+U18+W18+Y18+AA18+AC18+AE18+AG18+AI18+AK18+AM18+AO18+AQ18+AS18+AU18+AW18+AY18+BB18+BF18</f>
        <v>39295</v>
      </c>
      <c r="BK18" s="581">
        <f>D18+H18+J18+L18+N18+P18+R18+T18+V18+X18+Z18+AB18+AD18+AF18+AH18+AJ18+AL18+AN18+AP18+AR18+AT18+AV18+AX18+AZ18+BD18+BH18</f>
        <v>1494410</v>
      </c>
      <c r="BL18" s="541"/>
      <c r="BM18" s="624"/>
      <c r="BN18" s="624"/>
      <c r="BO18" s="624"/>
      <c r="BP18" s="624"/>
      <c r="BQ18" s="541"/>
      <c r="BR18" s="541"/>
      <c r="BS18" s="541"/>
      <c r="BT18" s="541"/>
      <c r="BU18" s="541"/>
      <c r="BV18" s="541"/>
      <c r="BW18" s="541"/>
      <c r="BX18" s="541"/>
      <c r="BY18" s="541"/>
      <c r="BZ18" s="541"/>
      <c r="CA18" s="541"/>
      <c r="CB18" s="541"/>
      <c r="CC18" s="541"/>
      <c r="CD18" s="541"/>
      <c r="CE18" s="541"/>
      <c r="CF18" s="541"/>
      <c r="CG18" s="541"/>
      <c r="CH18" s="541"/>
      <c r="CI18" s="541"/>
      <c r="CJ18" s="541"/>
      <c r="CK18" s="541"/>
      <c r="CL18" s="541"/>
      <c r="CM18" s="541"/>
      <c r="CN18" s="541"/>
      <c r="CO18" s="541"/>
      <c r="CP18" s="541"/>
      <c r="CQ18" s="541"/>
      <c r="CR18" s="541"/>
      <c r="CS18" s="541"/>
      <c r="CT18" s="541"/>
      <c r="CU18" s="541"/>
      <c r="CV18" s="541"/>
      <c r="CW18" s="541"/>
      <c r="CX18" s="541"/>
      <c r="CY18" s="541"/>
      <c r="CZ18" s="541"/>
      <c r="DA18" s="541"/>
      <c r="DB18" s="541"/>
      <c r="DC18" s="541"/>
      <c r="DD18" s="541"/>
      <c r="DE18" s="541"/>
      <c r="DF18" s="541"/>
      <c r="DG18" s="541"/>
      <c r="DH18" s="541"/>
      <c r="DI18" s="541"/>
      <c r="DJ18" s="541"/>
      <c r="DK18" s="541"/>
      <c r="DL18" s="541"/>
      <c r="DM18" s="541"/>
      <c r="DN18" s="541"/>
      <c r="DO18" s="541"/>
      <c r="DP18" s="541"/>
      <c r="DQ18" s="541"/>
      <c r="DR18" s="541"/>
      <c r="DS18" s="541"/>
      <c r="DT18" s="541"/>
      <c r="DU18" s="541"/>
      <c r="DV18" s="541"/>
      <c r="DW18" s="541"/>
      <c r="DX18" s="541"/>
      <c r="DY18" s="541"/>
      <c r="DZ18" s="541"/>
      <c r="EA18" s="541"/>
      <c r="EB18" s="541"/>
      <c r="EC18" s="541"/>
      <c r="ED18" s="541"/>
      <c r="EE18" s="541"/>
      <c r="EF18" s="541"/>
      <c r="EG18" s="541"/>
      <c r="EH18" s="541"/>
      <c r="EI18" s="541"/>
      <c r="EJ18" s="541"/>
      <c r="EK18" s="541"/>
      <c r="EL18" s="541"/>
      <c r="EM18" s="541"/>
      <c r="EN18" s="541"/>
      <c r="EO18" s="541"/>
      <c r="EP18" s="541"/>
      <c r="EQ18" s="541"/>
      <c r="ER18" s="541"/>
      <c r="ES18" s="541"/>
      <c r="ET18" s="541"/>
      <c r="EU18" s="541"/>
      <c r="EV18" s="541"/>
      <c r="EW18" s="541"/>
      <c r="EX18" s="541"/>
      <c r="EY18" s="541"/>
      <c r="EZ18" s="541"/>
      <c r="FA18" s="541"/>
      <c r="FB18" s="541"/>
      <c r="FC18" s="541"/>
      <c r="FD18" s="541"/>
      <c r="FE18" s="541"/>
      <c r="FF18" s="541"/>
      <c r="FG18" s="541"/>
      <c r="FH18" s="541"/>
      <c r="FI18" s="541"/>
      <c r="FJ18" s="541"/>
      <c r="FK18" s="541"/>
      <c r="FL18" s="541"/>
      <c r="FM18" s="541"/>
      <c r="FN18" s="541"/>
      <c r="FO18" s="541"/>
      <c r="FP18" s="541"/>
      <c r="FQ18" s="541"/>
      <c r="FR18" s="541"/>
      <c r="FS18" s="541"/>
      <c r="FT18" s="541"/>
      <c r="FU18" s="541"/>
      <c r="FV18" s="541"/>
      <c r="FW18" s="541"/>
      <c r="FX18" s="541"/>
      <c r="FY18" s="541"/>
      <c r="FZ18" s="541"/>
      <c r="GA18" s="541"/>
      <c r="GB18" s="541"/>
      <c r="GC18" s="541"/>
      <c r="GD18" s="541"/>
      <c r="GE18" s="541"/>
      <c r="GF18" s="541"/>
      <c r="GG18" s="541"/>
      <c r="GH18" s="541"/>
      <c r="GI18" s="541"/>
      <c r="GJ18" s="541"/>
      <c r="GK18" s="541"/>
      <c r="GL18" s="541"/>
      <c r="GM18" s="541"/>
      <c r="GN18" s="541"/>
      <c r="GO18" s="541"/>
      <c r="GP18" s="541"/>
      <c r="GQ18" s="541"/>
      <c r="GR18" s="541"/>
      <c r="GS18" s="541"/>
      <c r="GT18" s="541"/>
      <c r="GU18" s="541"/>
      <c r="GV18" s="541"/>
      <c r="GW18" s="541"/>
      <c r="GX18" s="541"/>
      <c r="GY18" s="541"/>
      <c r="GZ18" s="541"/>
      <c r="HA18" s="541"/>
      <c r="HB18" s="541"/>
      <c r="HC18" s="541"/>
      <c r="HD18" s="541"/>
      <c r="HE18" s="541"/>
      <c r="HF18" s="541"/>
      <c r="HG18" s="541"/>
      <c r="HH18" s="541"/>
      <c r="HI18" s="541"/>
      <c r="HJ18" s="541"/>
      <c r="HK18" s="541"/>
      <c r="HL18" s="541"/>
      <c r="HM18" s="541"/>
      <c r="HN18" s="541"/>
      <c r="HO18" s="541"/>
      <c r="HP18" s="541"/>
      <c r="HQ18" s="541"/>
      <c r="HR18" s="541"/>
      <c r="HS18" s="541"/>
      <c r="HT18" s="541"/>
      <c r="HU18" s="541"/>
      <c r="HV18" s="541"/>
      <c r="HW18" s="541"/>
      <c r="HX18" s="541"/>
      <c r="HY18" s="541"/>
      <c r="HZ18" s="541"/>
      <c r="IA18" s="541"/>
      <c r="IB18" s="541"/>
      <c r="IC18" s="541"/>
      <c r="ID18" s="541"/>
      <c r="IE18" s="541"/>
      <c r="IF18" s="541"/>
      <c r="IG18" s="541"/>
      <c r="IH18" s="541"/>
      <c r="II18" s="541"/>
      <c r="IJ18" s="541"/>
      <c r="IK18" s="541"/>
      <c r="IL18" s="541"/>
      <c r="IM18" s="541"/>
      <c r="IN18" s="541"/>
      <c r="IO18" s="541"/>
      <c r="IP18" s="541"/>
      <c r="IQ18" s="541"/>
      <c r="IR18" s="541"/>
      <c r="IS18" s="541"/>
      <c r="IT18" s="541"/>
      <c r="IU18" s="541"/>
      <c r="IV18" s="541"/>
      <c r="IW18" s="541"/>
      <c r="IX18" s="541"/>
      <c r="IY18" s="541"/>
      <c r="IZ18" s="541"/>
      <c r="JA18" s="541"/>
      <c r="JB18" s="541"/>
      <c r="JC18" s="541"/>
      <c r="JD18" s="541"/>
      <c r="JE18" s="541"/>
      <c r="JF18" s="541"/>
      <c r="JG18" s="541"/>
      <c r="JH18" s="541"/>
      <c r="JI18" s="541"/>
      <c r="JJ18" s="541"/>
      <c r="JK18" s="541"/>
      <c r="JL18" s="541"/>
      <c r="JM18" s="541"/>
      <c r="JN18" s="541"/>
      <c r="JO18" s="541"/>
      <c r="JP18" s="541"/>
      <c r="JQ18" s="541"/>
      <c r="JR18" s="541"/>
      <c r="JS18" s="541"/>
      <c r="JT18" s="541"/>
      <c r="JU18" s="541"/>
      <c r="JV18" s="541"/>
      <c r="JW18" s="541"/>
      <c r="JX18" s="541"/>
      <c r="JY18" s="541"/>
      <c r="JZ18" s="541"/>
      <c r="KA18" s="541"/>
      <c r="KB18" s="541"/>
      <c r="KC18" s="541"/>
      <c r="KD18" s="541"/>
      <c r="KE18" s="541"/>
      <c r="KF18" s="541"/>
      <c r="KG18" s="541"/>
      <c r="KH18" s="541"/>
      <c r="KI18" s="541"/>
      <c r="KJ18" s="541"/>
      <c r="KK18" s="541"/>
      <c r="KL18" s="541"/>
      <c r="KM18" s="541"/>
      <c r="KN18" s="541"/>
      <c r="KO18" s="541"/>
      <c r="KP18" s="541"/>
      <c r="KQ18" s="541"/>
      <c r="KR18" s="541"/>
      <c r="KS18" s="541"/>
      <c r="KT18" s="541"/>
      <c r="KU18" s="541"/>
      <c r="KV18" s="541"/>
      <c r="KW18" s="541"/>
      <c r="KX18" s="541"/>
      <c r="KY18" s="541"/>
      <c r="KZ18" s="541"/>
      <c r="LA18" s="541"/>
      <c r="LB18" s="541"/>
      <c r="LC18" s="541"/>
      <c r="LD18" s="541"/>
      <c r="LE18" s="541"/>
      <c r="LF18" s="541"/>
      <c r="LG18" s="541"/>
      <c r="LH18" s="541"/>
      <c r="LI18" s="541"/>
      <c r="LJ18" s="541"/>
      <c r="LK18" s="541"/>
      <c r="LL18" s="541"/>
      <c r="LM18" s="541"/>
      <c r="LN18" s="541"/>
      <c r="LO18" s="541"/>
      <c r="LP18" s="541"/>
      <c r="LQ18" s="541"/>
      <c r="LR18" s="541"/>
      <c r="LS18" s="541"/>
      <c r="LT18" s="541"/>
      <c r="LU18" s="541"/>
      <c r="LV18" s="541"/>
      <c r="LW18" s="541"/>
      <c r="LX18" s="541"/>
      <c r="LY18" s="541"/>
      <c r="LZ18" s="541"/>
      <c r="MA18" s="541"/>
      <c r="MB18" s="541"/>
      <c r="MC18" s="541"/>
      <c r="MD18" s="541"/>
      <c r="ME18" s="541"/>
      <c r="MF18" s="541"/>
      <c r="MG18" s="541"/>
      <c r="MH18" s="541"/>
      <c r="MI18" s="541"/>
      <c r="MJ18" s="541"/>
      <c r="MK18" s="541"/>
      <c r="ML18" s="541"/>
      <c r="MM18" s="541"/>
      <c r="MN18" s="541"/>
      <c r="MO18" s="541"/>
      <c r="MP18" s="541"/>
      <c r="MQ18" s="541"/>
      <c r="MR18" s="541"/>
      <c r="MS18" s="541"/>
      <c r="MT18" s="541"/>
      <c r="MU18" s="541"/>
      <c r="MV18" s="541"/>
      <c r="MW18" s="541"/>
      <c r="MX18" s="541"/>
      <c r="MY18" s="541"/>
      <c r="MZ18" s="541"/>
      <c r="NA18" s="541"/>
      <c r="NB18" s="541"/>
      <c r="NC18" s="541"/>
      <c r="ND18" s="541"/>
      <c r="NE18" s="541"/>
      <c r="NF18" s="541"/>
      <c r="NG18" s="541"/>
      <c r="NH18" s="541"/>
      <c r="NI18" s="541"/>
      <c r="NJ18" s="541"/>
      <c r="NK18" s="541"/>
      <c r="NL18" s="541"/>
      <c r="NM18" s="541"/>
      <c r="NN18" s="541"/>
      <c r="NO18" s="541"/>
      <c r="NP18" s="541"/>
      <c r="NQ18" s="541"/>
      <c r="NR18" s="541"/>
      <c r="NS18" s="541"/>
      <c r="NT18" s="541"/>
      <c r="NU18" s="541"/>
      <c r="NV18" s="541"/>
      <c r="NW18" s="541"/>
      <c r="NX18" s="541"/>
      <c r="NY18" s="541"/>
      <c r="NZ18" s="541"/>
      <c r="OA18" s="541"/>
      <c r="OB18" s="541"/>
      <c r="OC18" s="541"/>
      <c r="OD18" s="541"/>
      <c r="OE18" s="541"/>
      <c r="OF18" s="541"/>
      <c r="OG18" s="541"/>
      <c r="OH18" s="541"/>
      <c r="OI18" s="541"/>
      <c r="OJ18" s="541"/>
      <c r="OK18" s="541"/>
      <c r="OL18" s="541"/>
      <c r="OM18" s="541"/>
      <c r="ON18" s="541"/>
      <c r="OO18" s="541"/>
      <c r="OP18" s="541"/>
      <c r="OQ18" s="541"/>
      <c r="OR18" s="541"/>
      <c r="OS18" s="541"/>
      <c r="OT18" s="541"/>
      <c r="OU18" s="541"/>
      <c r="OV18" s="541"/>
      <c r="OW18" s="541"/>
      <c r="OX18" s="541"/>
      <c r="OY18" s="541"/>
      <c r="OZ18" s="541"/>
      <c r="PA18" s="541"/>
      <c r="PB18" s="541"/>
      <c r="PC18" s="541"/>
      <c r="PD18" s="541"/>
      <c r="PE18" s="541"/>
      <c r="PF18" s="541"/>
      <c r="PG18" s="541"/>
      <c r="PH18" s="541"/>
      <c r="PI18" s="541"/>
      <c r="PJ18" s="541"/>
      <c r="PK18" s="541"/>
      <c r="PL18" s="541"/>
      <c r="PM18" s="541"/>
      <c r="PN18" s="541"/>
      <c r="PO18" s="541"/>
      <c r="PP18" s="541"/>
      <c r="PQ18" s="541"/>
      <c r="PR18" s="541"/>
      <c r="PS18" s="541"/>
      <c r="PT18" s="541"/>
      <c r="PU18" s="541"/>
      <c r="PV18" s="541"/>
      <c r="PW18" s="541"/>
      <c r="PX18" s="541"/>
      <c r="PY18" s="541"/>
      <c r="PZ18" s="541"/>
      <c r="QA18" s="541"/>
      <c r="QB18" s="541"/>
      <c r="QC18" s="541"/>
      <c r="QD18" s="541"/>
      <c r="QE18" s="541"/>
      <c r="QF18" s="541"/>
      <c r="QG18" s="541"/>
      <c r="QH18" s="541"/>
      <c r="QI18" s="541"/>
      <c r="QJ18" s="541"/>
      <c r="QK18" s="541"/>
      <c r="QL18" s="541"/>
      <c r="QM18" s="541"/>
      <c r="QN18" s="541"/>
      <c r="QO18" s="541"/>
      <c r="QP18" s="541"/>
      <c r="QQ18" s="541"/>
      <c r="QR18" s="541"/>
      <c r="QS18" s="541"/>
      <c r="QT18" s="541"/>
      <c r="QU18" s="541"/>
      <c r="QV18" s="541"/>
      <c r="QW18" s="541"/>
      <c r="QX18" s="541"/>
      <c r="QY18" s="541"/>
      <c r="QZ18" s="541"/>
      <c r="RA18" s="541"/>
      <c r="RB18" s="541"/>
      <c r="RC18" s="541"/>
      <c r="RD18" s="541"/>
      <c r="RE18" s="541"/>
      <c r="RF18" s="541"/>
      <c r="RG18" s="541"/>
      <c r="RH18" s="541"/>
      <c r="RI18" s="541"/>
      <c r="RJ18" s="541"/>
      <c r="RK18" s="541"/>
      <c r="RL18" s="541"/>
      <c r="RM18" s="541"/>
      <c r="RN18" s="541"/>
      <c r="RO18" s="541"/>
      <c r="RP18" s="541"/>
      <c r="RQ18" s="541"/>
      <c r="RR18" s="541"/>
      <c r="RS18" s="541"/>
      <c r="RT18" s="541"/>
      <c r="RU18" s="541"/>
      <c r="RV18" s="541"/>
      <c r="RW18" s="541"/>
      <c r="RX18" s="541"/>
      <c r="RY18" s="541"/>
      <c r="RZ18" s="541"/>
      <c r="SA18" s="541"/>
      <c r="SB18" s="541"/>
      <c r="SC18" s="541"/>
      <c r="SD18" s="541"/>
      <c r="SE18" s="541"/>
      <c r="SF18" s="541"/>
      <c r="SG18" s="541"/>
      <c r="SH18" s="541"/>
      <c r="SI18" s="541"/>
      <c r="SJ18" s="541"/>
      <c r="SK18" s="541"/>
      <c r="SL18" s="541"/>
      <c r="SM18" s="541"/>
      <c r="SN18" s="541"/>
      <c r="SO18" s="541"/>
      <c r="SP18" s="541"/>
      <c r="SQ18" s="541"/>
      <c r="SR18" s="541"/>
      <c r="SS18" s="541"/>
      <c r="ST18" s="541"/>
      <c r="SU18" s="541"/>
      <c r="SV18" s="541"/>
      <c r="SW18" s="541"/>
      <c r="SX18" s="541"/>
      <c r="SY18" s="541"/>
      <c r="SZ18" s="541"/>
      <c r="TA18" s="541"/>
      <c r="TB18" s="541"/>
      <c r="TC18" s="541"/>
      <c r="TD18" s="541"/>
      <c r="TE18" s="541"/>
      <c r="TF18" s="541"/>
      <c r="TG18" s="541"/>
      <c r="TH18" s="541"/>
      <c r="TI18" s="541"/>
      <c r="TJ18" s="541"/>
      <c r="TK18" s="541"/>
      <c r="TL18" s="541"/>
      <c r="TM18" s="541"/>
      <c r="TN18" s="541"/>
      <c r="TO18" s="541"/>
      <c r="TP18" s="541"/>
      <c r="TQ18" s="541"/>
      <c r="TR18" s="541"/>
      <c r="TS18" s="541"/>
      <c r="TT18" s="541"/>
      <c r="TU18" s="541"/>
      <c r="TV18" s="541"/>
      <c r="TW18" s="541"/>
      <c r="TX18" s="541"/>
      <c r="TY18" s="541"/>
      <c r="TZ18" s="541"/>
      <c r="UA18" s="541"/>
      <c r="UB18" s="541"/>
      <c r="UC18" s="541"/>
      <c r="UD18" s="541"/>
      <c r="UE18" s="541"/>
      <c r="UF18" s="541"/>
      <c r="UG18" s="541"/>
      <c r="UH18" s="541"/>
      <c r="UI18" s="541"/>
      <c r="UJ18" s="541"/>
      <c r="UK18" s="541"/>
      <c r="UL18" s="541"/>
      <c r="UM18" s="541"/>
      <c r="UN18" s="541"/>
      <c r="UO18" s="541"/>
      <c r="UP18" s="541"/>
      <c r="UQ18" s="541"/>
      <c r="UR18" s="541"/>
      <c r="US18" s="541"/>
      <c r="UT18" s="541"/>
      <c r="UU18" s="541"/>
      <c r="UV18" s="541"/>
      <c r="UW18" s="541"/>
      <c r="UX18" s="541"/>
      <c r="UY18" s="541"/>
      <c r="UZ18" s="541"/>
      <c r="VA18" s="541"/>
      <c r="VB18" s="541"/>
      <c r="VC18" s="541"/>
      <c r="VD18" s="541"/>
      <c r="VE18" s="541"/>
      <c r="VF18" s="541"/>
      <c r="VG18" s="541"/>
      <c r="VH18" s="541"/>
      <c r="VI18" s="541"/>
      <c r="VJ18" s="541"/>
      <c r="VK18" s="541"/>
      <c r="VL18" s="541"/>
      <c r="VM18" s="541"/>
      <c r="VN18" s="541"/>
      <c r="VO18" s="541"/>
      <c r="VP18" s="541"/>
      <c r="VQ18" s="541"/>
      <c r="VR18" s="541"/>
      <c r="VS18" s="541"/>
      <c r="VT18" s="541"/>
      <c r="VU18" s="541"/>
      <c r="VV18" s="541"/>
      <c r="VW18" s="541"/>
      <c r="VX18" s="541"/>
      <c r="VY18" s="541"/>
      <c r="VZ18" s="541"/>
      <c r="WA18" s="541"/>
      <c r="WB18" s="541"/>
      <c r="WC18" s="541"/>
      <c r="WD18" s="541"/>
      <c r="WE18" s="541"/>
      <c r="WF18" s="541"/>
      <c r="WG18" s="541"/>
      <c r="WH18" s="541"/>
      <c r="WI18" s="541"/>
      <c r="WJ18" s="541"/>
      <c r="WK18" s="541"/>
      <c r="WL18" s="541"/>
      <c r="WM18" s="541"/>
      <c r="WN18" s="541"/>
      <c r="WO18" s="541"/>
      <c r="WP18" s="541"/>
      <c r="WQ18" s="541"/>
      <c r="WR18" s="541"/>
      <c r="WS18" s="541"/>
      <c r="WT18" s="541"/>
      <c r="WU18" s="541"/>
      <c r="WV18" s="541"/>
      <c r="WW18" s="541"/>
      <c r="WX18" s="541"/>
      <c r="WY18" s="541"/>
      <c r="WZ18" s="541"/>
      <c r="XA18" s="541"/>
      <c r="XB18" s="541"/>
      <c r="XC18" s="541"/>
      <c r="XD18" s="541"/>
      <c r="XE18" s="541"/>
      <c r="XF18" s="541"/>
      <c r="XG18" s="541"/>
      <c r="XH18" s="541"/>
      <c r="XI18" s="541"/>
      <c r="XJ18" s="541"/>
      <c r="XK18" s="541"/>
      <c r="XL18" s="541"/>
      <c r="XM18" s="541"/>
      <c r="XN18" s="541"/>
      <c r="XO18" s="541"/>
      <c r="XP18" s="541"/>
      <c r="XQ18" s="541"/>
      <c r="XR18" s="541"/>
      <c r="XS18" s="541"/>
      <c r="XT18" s="541"/>
      <c r="XU18" s="541"/>
      <c r="XV18" s="541"/>
      <c r="XW18" s="541"/>
      <c r="XX18" s="541"/>
      <c r="XY18" s="541"/>
      <c r="XZ18" s="541"/>
      <c r="YA18" s="541"/>
      <c r="YB18" s="541"/>
      <c r="YC18" s="541"/>
      <c r="YD18" s="541"/>
      <c r="YE18" s="541"/>
      <c r="YF18" s="541"/>
      <c r="YG18" s="541"/>
      <c r="YH18" s="541"/>
      <c r="YI18" s="541"/>
      <c r="YJ18" s="541"/>
      <c r="YK18" s="541"/>
      <c r="YL18" s="541"/>
      <c r="YM18" s="541"/>
      <c r="YN18" s="541"/>
      <c r="YO18" s="541"/>
      <c r="YP18" s="541"/>
      <c r="YQ18" s="541"/>
      <c r="YR18" s="541"/>
      <c r="YS18" s="541"/>
      <c r="YT18" s="541"/>
      <c r="YU18" s="541"/>
      <c r="YV18" s="541"/>
      <c r="YW18" s="541"/>
      <c r="YX18" s="541"/>
      <c r="YY18" s="541"/>
      <c r="YZ18" s="541"/>
      <c r="ZA18" s="541"/>
      <c r="ZB18" s="541"/>
      <c r="ZC18" s="541"/>
      <c r="ZD18" s="541"/>
      <c r="ZE18" s="541"/>
      <c r="ZF18" s="541"/>
      <c r="ZG18" s="541"/>
      <c r="ZH18" s="541"/>
      <c r="ZI18" s="541"/>
      <c r="ZJ18" s="541"/>
      <c r="ZK18" s="541"/>
      <c r="ZL18" s="541"/>
      <c r="ZM18" s="541"/>
      <c r="ZN18" s="541"/>
      <c r="ZO18" s="541"/>
      <c r="ZP18" s="541"/>
      <c r="ZQ18" s="541"/>
      <c r="ZR18" s="541"/>
      <c r="ZS18" s="541"/>
      <c r="ZT18" s="541"/>
      <c r="ZU18" s="541"/>
      <c r="ZV18" s="541"/>
      <c r="ZW18" s="541"/>
      <c r="ZX18" s="541"/>
      <c r="ZY18" s="541"/>
      <c r="ZZ18" s="541"/>
      <c r="AAA18" s="541"/>
      <c r="AAB18" s="541"/>
      <c r="AAC18" s="541"/>
      <c r="AAD18" s="541"/>
      <c r="AAE18" s="541"/>
      <c r="AAF18" s="541"/>
      <c r="AAG18" s="541"/>
      <c r="AAH18" s="541"/>
      <c r="AAI18" s="541"/>
      <c r="AAJ18" s="541"/>
      <c r="AAK18" s="541"/>
      <c r="AAL18" s="541"/>
      <c r="AAM18" s="541"/>
      <c r="AAN18" s="541"/>
      <c r="AAO18" s="541"/>
      <c r="AAP18" s="541"/>
      <c r="AAQ18" s="541"/>
      <c r="AAR18" s="541"/>
      <c r="AAS18" s="541"/>
      <c r="AAT18" s="541"/>
      <c r="AAU18" s="541"/>
      <c r="AAV18" s="541"/>
      <c r="AAW18" s="541"/>
      <c r="AAX18" s="541"/>
      <c r="AAY18" s="541"/>
      <c r="AAZ18" s="541"/>
      <c r="ABA18" s="541"/>
      <c r="ABB18" s="541"/>
      <c r="ABC18" s="541"/>
      <c r="ABD18" s="541"/>
      <c r="ABE18" s="541"/>
      <c r="ABF18" s="541"/>
      <c r="ABG18" s="541"/>
      <c r="ABH18" s="541"/>
      <c r="ABI18" s="541"/>
      <c r="ABJ18" s="541"/>
      <c r="ABK18" s="541"/>
      <c r="ABL18" s="541"/>
      <c r="ABM18" s="541"/>
      <c r="ABN18" s="541"/>
      <c r="ABO18" s="541"/>
      <c r="ABP18" s="541"/>
      <c r="ABQ18" s="541"/>
      <c r="ABR18" s="541"/>
      <c r="ABS18" s="541"/>
      <c r="ABT18" s="541"/>
      <c r="ABU18" s="541"/>
      <c r="ABV18" s="541"/>
      <c r="ABW18" s="541"/>
      <c r="ABX18" s="541"/>
      <c r="ABY18" s="541"/>
      <c r="ABZ18" s="541"/>
      <c r="ACA18" s="541"/>
      <c r="ACB18" s="541"/>
      <c r="ACC18" s="541"/>
      <c r="ACD18" s="541"/>
      <c r="ACE18" s="541"/>
      <c r="ACF18" s="541"/>
      <c r="ACG18" s="541"/>
      <c r="ACH18" s="541"/>
      <c r="ACI18" s="541"/>
      <c r="ACJ18" s="541"/>
      <c r="ACK18" s="541"/>
      <c r="ACL18" s="541"/>
      <c r="ACM18" s="541"/>
      <c r="ACN18" s="541"/>
      <c r="ACO18" s="541"/>
      <c r="ACP18" s="541"/>
      <c r="ACQ18" s="541"/>
      <c r="ACR18" s="541"/>
      <c r="ACS18" s="541"/>
      <c r="ACT18" s="541"/>
      <c r="ACU18" s="541"/>
      <c r="ACV18" s="541"/>
      <c r="ACW18" s="541"/>
      <c r="ACX18" s="541"/>
      <c r="ACY18" s="541"/>
      <c r="ACZ18" s="541"/>
      <c r="ADA18" s="541"/>
      <c r="ADB18" s="541"/>
      <c r="ADC18" s="541"/>
      <c r="ADD18" s="541"/>
      <c r="ADE18" s="541"/>
      <c r="ADF18" s="541"/>
      <c r="ADG18" s="541"/>
      <c r="ADH18" s="541"/>
      <c r="ADI18" s="541"/>
      <c r="ADJ18" s="541"/>
      <c r="ADK18" s="541"/>
      <c r="ADL18" s="541"/>
      <c r="ADM18" s="541"/>
      <c r="ADN18" s="541"/>
      <c r="ADO18" s="541"/>
      <c r="ADP18" s="541"/>
      <c r="ADQ18" s="541"/>
      <c r="ADR18" s="541"/>
      <c r="ADS18" s="541"/>
      <c r="ADT18" s="541"/>
      <c r="ADU18" s="541"/>
      <c r="ADV18" s="541"/>
      <c r="ADW18" s="541"/>
      <c r="ADX18" s="541"/>
      <c r="ADY18" s="541"/>
      <c r="ADZ18" s="541"/>
      <c r="AEA18" s="541"/>
      <c r="AEB18" s="541"/>
      <c r="AEC18" s="541"/>
      <c r="AED18" s="541"/>
      <c r="AEE18" s="541"/>
      <c r="AEF18" s="541"/>
      <c r="AEG18" s="541"/>
      <c r="AEH18" s="541"/>
      <c r="AEI18" s="541"/>
      <c r="AEJ18" s="541"/>
      <c r="AEK18" s="541"/>
      <c r="AEL18" s="541"/>
      <c r="AEM18" s="541"/>
      <c r="AEN18" s="541"/>
      <c r="AEO18" s="541"/>
      <c r="AEP18" s="541"/>
      <c r="AEQ18" s="541"/>
      <c r="AER18" s="541"/>
      <c r="AES18" s="541"/>
      <c r="AET18" s="541"/>
      <c r="AEU18" s="541"/>
      <c r="AEV18" s="541"/>
      <c r="AEW18" s="541"/>
      <c r="AEX18" s="541"/>
      <c r="AEY18" s="541"/>
      <c r="AEZ18" s="541"/>
      <c r="AFA18" s="541"/>
      <c r="AFB18" s="541"/>
      <c r="AFC18" s="541"/>
      <c r="AFD18" s="541"/>
      <c r="AFE18" s="541"/>
      <c r="AFF18" s="541"/>
      <c r="AFG18" s="541"/>
      <c r="AFH18" s="541"/>
      <c r="AFI18" s="541"/>
      <c r="AFJ18" s="541"/>
      <c r="AFK18" s="541"/>
      <c r="AFL18" s="541"/>
      <c r="AFM18" s="541"/>
      <c r="AFN18" s="541"/>
      <c r="AFO18" s="541"/>
      <c r="AFP18" s="541"/>
      <c r="AFQ18" s="541"/>
      <c r="AFR18" s="541"/>
      <c r="AFS18" s="541"/>
      <c r="AFT18" s="541"/>
      <c r="AFU18" s="541"/>
      <c r="AFV18" s="541"/>
      <c r="AFW18" s="541"/>
      <c r="AFX18" s="541"/>
      <c r="AFY18" s="541"/>
      <c r="AFZ18" s="541"/>
      <c r="AGA18" s="541"/>
      <c r="AGB18" s="541"/>
      <c r="AGC18" s="541"/>
      <c r="AGD18" s="541"/>
      <c r="AGE18" s="541"/>
      <c r="AGF18" s="541"/>
      <c r="AGG18" s="541"/>
      <c r="AGH18" s="541"/>
      <c r="AGI18" s="541"/>
      <c r="AGJ18" s="541"/>
      <c r="AGK18" s="541"/>
      <c r="AGL18" s="541"/>
      <c r="AGM18" s="541"/>
      <c r="AGN18" s="541"/>
      <c r="AGO18" s="541"/>
      <c r="AGP18" s="541"/>
      <c r="AGQ18" s="541"/>
      <c r="AGR18" s="541"/>
      <c r="AGS18" s="541"/>
      <c r="AGT18" s="541"/>
      <c r="AGU18" s="541"/>
      <c r="AGV18" s="541"/>
      <c r="AGW18" s="541"/>
      <c r="AGX18" s="541"/>
      <c r="AGY18" s="541"/>
      <c r="AGZ18" s="541"/>
      <c r="AHA18" s="541"/>
      <c r="AHB18" s="541"/>
      <c r="AHC18" s="541"/>
      <c r="AHD18" s="541"/>
      <c r="AHE18" s="541"/>
      <c r="AHF18" s="541"/>
      <c r="AHG18" s="541"/>
      <c r="AHH18" s="541"/>
      <c r="AHI18" s="541"/>
      <c r="AHJ18" s="541"/>
      <c r="AHK18" s="541"/>
      <c r="AHL18" s="541"/>
      <c r="AHM18" s="541"/>
      <c r="AHN18" s="541"/>
      <c r="AHO18" s="541"/>
      <c r="AHP18" s="541"/>
      <c r="AHQ18" s="541"/>
      <c r="AHR18" s="541"/>
      <c r="AHS18" s="541"/>
      <c r="AHT18" s="541"/>
      <c r="AHU18" s="541"/>
      <c r="AHV18" s="541"/>
      <c r="AHW18" s="541"/>
      <c r="AHX18" s="541"/>
      <c r="AHY18" s="541"/>
      <c r="AHZ18" s="541"/>
      <c r="AIA18" s="541"/>
      <c r="AIB18" s="541"/>
      <c r="AIC18" s="541"/>
      <c r="AID18" s="541"/>
      <c r="AIE18" s="541"/>
      <c r="AIF18" s="541"/>
      <c r="AIG18" s="541"/>
      <c r="AIH18" s="541"/>
      <c r="AII18" s="541"/>
      <c r="AIJ18" s="541"/>
      <c r="AIK18" s="541"/>
      <c r="AIL18" s="541"/>
      <c r="AIM18" s="541"/>
      <c r="AIN18" s="541"/>
      <c r="AIO18" s="541"/>
      <c r="AIP18" s="541"/>
      <c r="AIQ18" s="541"/>
      <c r="AIR18" s="541"/>
      <c r="AIS18" s="541"/>
      <c r="AIT18" s="541"/>
      <c r="AIU18" s="541"/>
      <c r="AIV18" s="541"/>
      <c r="AIW18" s="541"/>
      <c r="AIX18" s="541"/>
      <c r="AIY18" s="541"/>
      <c r="AIZ18" s="541"/>
      <c r="AJA18" s="541"/>
      <c r="AJB18" s="541"/>
      <c r="AJC18" s="541"/>
      <c r="AJD18" s="541"/>
      <c r="AJE18" s="541"/>
      <c r="AJF18" s="541"/>
      <c r="AJG18" s="541"/>
      <c r="AJH18" s="541"/>
      <c r="AJI18" s="541"/>
      <c r="AJJ18" s="541"/>
      <c r="AJK18" s="541"/>
      <c r="AJL18" s="541"/>
      <c r="AJM18" s="541"/>
      <c r="AJN18" s="541"/>
      <c r="AJO18" s="541"/>
      <c r="AJP18" s="541"/>
      <c r="AJQ18" s="541"/>
      <c r="AJR18" s="541"/>
      <c r="AJS18" s="541"/>
      <c r="AJT18" s="541"/>
      <c r="AJU18" s="541"/>
      <c r="AJV18" s="541"/>
      <c r="AJW18" s="541"/>
      <c r="AJX18" s="541"/>
      <c r="AJY18" s="541"/>
      <c r="AJZ18" s="541"/>
      <c r="AKA18" s="541"/>
      <c r="AKB18" s="541"/>
      <c r="AKC18" s="541"/>
      <c r="AKD18" s="541"/>
      <c r="AKE18" s="541"/>
      <c r="AKF18" s="541"/>
      <c r="AKG18" s="541"/>
      <c r="AKH18" s="541"/>
      <c r="AKI18" s="541"/>
      <c r="AKJ18" s="541"/>
      <c r="AKK18" s="541"/>
      <c r="AKL18" s="541"/>
      <c r="AKM18" s="541"/>
      <c r="AKN18" s="541"/>
      <c r="AKO18" s="541"/>
      <c r="AKP18" s="541"/>
      <c r="AKQ18" s="541"/>
      <c r="AKR18" s="541"/>
      <c r="AKS18" s="541"/>
      <c r="AKT18" s="541"/>
      <c r="AKU18" s="541"/>
      <c r="AKV18" s="541"/>
      <c r="AKW18" s="541"/>
      <c r="AKX18" s="541"/>
      <c r="AKY18" s="541"/>
      <c r="AKZ18" s="541"/>
      <c r="ALA18" s="541"/>
      <c r="ALB18" s="541"/>
      <c r="ALC18" s="541"/>
      <c r="ALD18" s="541"/>
      <c r="ALE18" s="541"/>
      <c r="ALF18" s="541"/>
      <c r="ALG18" s="541"/>
      <c r="ALH18" s="541"/>
      <c r="ALI18" s="541"/>
      <c r="ALJ18" s="541"/>
      <c r="ALK18" s="541"/>
      <c r="ALL18" s="541"/>
      <c r="ALM18" s="541"/>
      <c r="ALN18" s="541"/>
      <c r="ALO18" s="541"/>
      <c r="ALP18" s="541"/>
      <c r="ALQ18" s="541"/>
      <c r="ALR18" s="541"/>
      <c r="ALS18" s="541"/>
      <c r="ALT18" s="541"/>
      <c r="ALU18" s="541"/>
      <c r="ALV18" s="541"/>
      <c r="ALW18" s="541"/>
      <c r="ALX18" s="541"/>
      <c r="ALY18" s="541"/>
      <c r="ALZ18" s="541"/>
      <c r="AMA18" s="541"/>
      <c r="AMB18" s="541"/>
      <c r="AMC18" s="541"/>
      <c r="AMD18" s="541"/>
      <c r="AME18" s="541"/>
      <c r="AMF18" s="541"/>
      <c r="AMG18" s="541"/>
      <c r="AMH18" s="541"/>
      <c r="AMI18" s="541"/>
      <c r="AMJ18" s="541"/>
      <c r="AMK18" s="541"/>
      <c r="AML18" s="541"/>
      <c r="AMM18" s="541"/>
      <c r="AMN18" s="541"/>
      <c r="AMO18" s="541"/>
      <c r="AMP18" s="541"/>
      <c r="AMQ18" s="541"/>
      <c r="AMR18" s="541"/>
      <c r="AMS18" s="541"/>
      <c r="AMT18" s="541"/>
      <c r="AMU18" s="541"/>
      <c r="AMV18" s="541"/>
      <c r="AMW18" s="541"/>
      <c r="AMX18" s="541"/>
      <c r="AMY18" s="541"/>
      <c r="AMZ18" s="541"/>
      <c r="ANA18" s="541"/>
      <c r="ANB18" s="541"/>
      <c r="ANC18" s="541"/>
      <c r="AND18" s="541"/>
      <c r="ANE18" s="541"/>
      <c r="ANF18" s="541"/>
      <c r="ANG18" s="541"/>
      <c r="ANH18" s="541"/>
      <c r="ANI18" s="541"/>
      <c r="ANJ18" s="541"/>
      <c r="ANK18" s="541"/>
      <c r="ANL18" s="541"/>
      <c r="ANM18" s="541"/>
      <c r="ANN18" s="541"/>
      <c r="ANO18" s="541"/>
      <c r="ANP18" s="541"/>
      <c r="ANQ18" s="541"/>
      <c r="ANR18" s="541"/>
      <c r="ANS18" s="541"/>
      <c r="ANT18" s="541"/>
      <c r="ANU18" s="541"/>
      <c r="ANV18" s="541"/>
      <c r="ANW18" s="541"/>
      <c r="ANX18" s="541"/>
      <c r="ANY18" s="541"/>
      <c r="ANZ18" s="541"/>
      <c r="AOA18" s="541"/>
      <c r="AOB18" s="541"/>
      <c r="AOC18" s="541"/>
      <c r="AOD18" s="541"/>
      <c r="AOE18" s="541"/>
      <c r="AOF18" s="541"/>
      <c r="AOG18" s="541"/>
      <c r="AOH18" s="541"/>
      <c r="AOI18" s="541"/>
      <c r="AOJ18" s="541"/>
      <c r="AOK18" s="541"/>
      <c r="AOL18" s="541"/>
      <c r="AOM18" s="541"/>
      <c r="AON18" s="541"/>
      <c r="AOO18" s="541"/>
      <c r="AOP18" s="541"/>
      <c r="AOQ18" s="541"/>
      <c r="AOR18" s="541"/>
      <c r="AOS18" s="541"/>
      <c r="AOT18" s="541"/>
      <c r="AOU18" s="541"/>
      <c r="AOV18" s="541"/>
      <c r="AOW18" s="541"/>
      <c r="AOX18" s="541"/>
      <c r="AOY18" s="541"/>
      <c r="AOZ18" s="541"/>
      <c r="APA18" s="541"/>
      <c r="APB18" s="541"/>
      <c r="APC18" s="541"/>
      <c r="APD18" s="541"/>
      <c r="APE18" s="541"/>
      <c r="APF18" s="541"/>
      <c r="APG18" s="541"/>
      <c r="APH18" s="541"/>
      <c r="API18" s="541"/>
      <c r="APJ18" s="541"/>
      <c r="APK18" s="541"/>
      <c r="APL18" s="541"/>
      <c r="APM18" s="541"/>
      <c r="APN18" s="541"/>
      <c r="APO18" s="541"/>
      <c r="APP18" s="541"/>
      <c r="APQ18" s="541"/>
      <c r="APR18" s="541"/>
      <c r="APS18" s="541"/>
      <c r="APT18" s="541"/>
      <c r="APU18" s="541"/>
      <c r="APV18" s="541"/>
      <c r="APW18" s="541"/>
      <c r="APX18" s="541"/>
      <c r="APY18" s="541"/>
      <c r="APZ18" s="541"/>
      <c r="AQA18" s="541"/>
      <c r="AQB18" s="541"/>
      <c r="AQC18" s="541"/>
      <c r="AQD18" s="541"/>
      <c r="AQE18" s="541"/>
      <c r="AQF18" s="541"/>
      <c r="AQG18" s="541"/>
      <c r="AQH18" s="541"/>
      <c r="AQI18" s="541"/>
      <c r="AQJ18" s="541"/>
      <c r="AQK18" s="541"/>
      <c r="AQL18" s="541"/>
      <c r="AQM18" s="541"/>
      <c r="AQN18" s="541"/>
      <c r="AQO18" s="541"/>
      <c r="AQP18" s="541"/>
      <c r="AQQ18" s="541"/>
      <c r="AQR18" s="541"/>
      <c r="AQS18" s="541"/>
      <c r="AQT18" s="541"/>
      <c r="AQU18" s="541"/>
      <c r="AQV18" s="541"/>
      <c r="AQW18" s="541"/>
      <c r="AQX18" s="541"/>
      <c r="AQY18" s="541"/>
      <c r="AQZ18" s="541"/>
      <c r="ARA18" s="541"/>
      <c r="ARB18" s="541"/>
      <c r="ARC18" s="541"/>
      <c r="ARD18" s="541"/>
      <c r="ARE18" s="541"/>
      <c r="ARF18" s="541"/>
      <c r="ARG18" s="541"/>
      <c r="ARH18" s="541"/>
      <c r="ARI18" s="541"/>
      <c r="ARJ18" s="541"/>
      <c r="ARK18" s="541"/>
      <c r="ARL18" s="541"/>
      <c r="ARM18" s="541"/>
      <c r="ARN18" s="541"/>
      <c r="ARO18" s="541"/>
      <c r="ARP18" s="541"/>
      <c r="ARQ18" s="541"/>
      <c r="ARR18" s="541"/>
      <c r="ARS18" s="541"/>
      <c r="ART18" s="541"/>
      <c r="ARU18" s="541"/>
    </row>
    <row r="19" spans="1:1165">
      <c r="A19" s="591"/>
      <c r="B19" s="594"/>
      <c r="C19" s="670"/>
      <c r="D19" s="670"/>
      <c r="E19" s="595"/>
      <c r="F19" s="595"/>
      <c r="G19" s="595"/>
      <c r="H19" s="595"/>
      <c r="I19" s="595"/>
      <c r="J19" s="595"/>
      <c r="K19" s="595"/>
      <c r="L19" s="595"/>
      <c r="M19" s="595"/>
      <c r="N19" s="595"/>
      <c r="O19" s="595"/>
      <c r="P19" s="595"/>
      <c r="Q19" s="595"/>
      <c r="R19" s="595"/>
      <c r="S19" s="595"/>
      <c r="T19" s="595"/>
      <c r="U19" s="595"/>
      <c r="V19" s="595"/>
      <c r="W19" s="595"/>
      <c r="X19" s="595"/>
      <c r="Y19" s="595"/>
      <c r="Z19" s="595"/>
      <c r="AA19" s="595"/>
      <c r="AB19" s="595"/>
      <c r="AC19" s="595"/>
      <c r="AD19" s="595"/>
      <c r="AE19" s="595"/>
      <c r="AF19" s="595"/>
      <c r="AG19" s="595"/>
      <c r="AH19" s="595"/>
      <c r="AI19" s="595"/>
      <c r="AJ19" s="595"/>
      <c r="AK19" s="595"/>
      <c r="AL19" s="595"/>
      <c r="AM19" s="595"/>
      <c r="AN19" s="595"/>
      <c r="AO19" s="595"/>
      <c r="AP19" s="595"/>
      <c r="AQ19" s="595"/>
      <c r="AR19" s="595"/>
      <c r="AS19" s="595"/>
      <c r="AT19" s="595"/>
      <c r="AU19" s="595"/>
      <c r="AV19" s="595"/>
      <c r="AW19" s="595"/>
      <c r="AX19" s="595"/>
      <c r="AY19" s="678"/>
      <c r="AZ19" s="678"/>
      <c r="BA19" s="594"/>
      <c r="BB19" s="604"/>
      <c r="BC19" s="604"/>
      <c r="BD19" s="604"/>
      <c r="BE19" s="604"/>
      <c r="BF19" s="604"/>
      <c r="BG19" s="604"/>
      <c r="BH19" s="604"/>
      <c r="BI19" s="594"/>
      <c r="BJ19" s="604"/>
      <c r="BK19" s="604"/>
      <c r="BL19" s="541"/>
      <c r="BM19" s="624"/>
      <c r="BN19" s="624"/>
      <c r="BO19" s="624"/>
      <c r="BP19" s="624"/>
    </row>
    <row r="20" spans="1:1165">
      <c r="A20" s="591" t="s">
        <v>200</v>
      </c>
      <c r="B20" s="594" t="s">
        <v>110</v>
      </c>
      <c r="C20" s="670">
        <v>11132</v>
      </c>
      <c r="D20" s="670">
        <v>1863882</v>
      </c>
      <c r="E20" s="595">
        <v>0</v>
      </c>
      <c r="F20" s="595">
        <v>0</v>
      </c>
      <c r="G20" s="595">
        <v>0</v>
      </c>
      <c r="H20" s="595">
        <v>0</v>
      </c>
      <c r="I20" s="595">
        <v>0</v>
      </c>
      <c r="J20" s="595">
        <v>0</v>
      </c>
      <c r="K20" s="595">
        <v>0</v>
      </c>
      <c r="L20" s="595">
        <v>0</v>
      </c>
      <c r="M20" s="595">
        <v>0</v>
      </c>
      <c r="N20" s="595">
        <v>0</v>
      </c>
      <c r="O20" s="595">
        <v>0</v>
      </c>
      <c r="P20" s="595">
        <v>0</v>
      </c>
      <c r="Q20" s="595">
        <v>0</v>
      </c>
      <c r="R20" s="595">
        <v>0</v>
      </c>
      <c r="S20" s="595">
        <v>0</v>
      </c>
      <c r="T20" s="595">
        <v>0</v>
      </c>
      <c r="U20" s="595">
        <v>0</v>
      </c>
      <c r="V20" s="595">
        <v>0</v>
      </c>
      <c r="W20" s="595">
        <v>0</v>
      </c>
      <c r="X20" s="595">
        <v>0</v>
      </c>
      <c r="Y20" s="595">
        <v>0</v>
      </c>
      <c r="Z20" s="595">
        <v>0</v>
      </c>
      <c r="AA20" s="595">
        <v>0</v>
      </c>
      <c r="AB20" s="595">
        <v>0</v>
      </c>
      <c r="AC20" s="595">
        <v>0</v>
      </c>
      <c r="AD20" s="595">
        <v>0</v>
      </c>
      <c r="AE20" s="595">
        <v>0</v>
      </c>
      <c r="AF20" s="595">
        <v>0</v>
      </c>
      <c r="AG20" s="595">
        <v>0</v>
      </c>
      <c r="AH20" s="595">
        <v>0</v>
      </c>
      <c r="AI20" s="595">
        <v>0</v>
      </c>
      <c r="AJ20" s="595">
        <v>0</v>
      </c>
      <c r="AK20" s="595">
        <v>0</v>
      </c>
      <c r="AL20" s="595">
        <v>0</v>
      </c>
      <c r="AM20" s="595">
        <v>0</v>
      </c>
      <c r="AN20" s="595">
        <v>0</v>
      </c>
      <c r="AO20" s="595">
        <v>0</v>
      </c>
      <c r="AP20" s="595">
        <v>0</v>
      </c>
      <c r="AQ20" s="595">
        <v>0</v>
      </c>
      <c r="AR20" s="595">
        <v>0</v>
      </c>
      <c r="AS20" s="595">
        <v>0</v>
      </c>
      <c r="AT20" s="595">
        <v>0</v>
      </c>
      <c r="AU20" s="595">
        <v>0</v>
      </c>
      <c r="AV20" s="595">
        <v>0</v>
      </c>
      <c r="AW20" s="595">
        <v>0</v>
      </c>
      <c r="AX20" s="595">
        <v>0</v>
      </c>
      <c r="AY20" s="604">
        <v>0</v>
      </c>
      <c r="AZ20" s="604">
        <v>0</v>
      </c>
      <c r="BA20" s="594"/>
      <c r="BB20" s="604"/>
      <c r="BC20" s="604"/>
      <c r="BD20" s="604"/>
      <c r="BE20" s="604"/>
      <c r="BF20" s="604"/>
      <c r="BG20" s="604"/>
      <c r="BH20" s="604"/>
      <c r="BI20" s="594"/>
      <c r="BJ20" s="595">
        <f>C20+G20+I20+K20+M20+O20+Q20+S20+U20+W20+Y20+AA20+AC20+AE20+AG20+AI20+AK20+AM20+AO20+AQ20+AS20+AU20+AW20+AY20+BB20+BF20</f>
        <v>11132</v>
      </c>
      <c r="BK20" s="595">
        <f>D20+H20+J20+L20+N20+P20+R20+T20+V20+X20+Z20+AB20+AD20+AF20+AH20+AJ20+AL20+AN20+AP20+AR20+AT20+AV20+AX20+AZ20+BD20+BH20</f>
        <v>1863882</v>
      </c>
      <c r="BL20" s="541"/>
      <c r="BM20" s="624"/>
      <c r="BN20" s="624"/>
      <c r="BO20" s="624"/>
      <c r="BP20" s="624"/>
    </row>
    <row r="21" spans="1:1165">
      <c r="A21" s="596"/>
      <c r="B21" s="594"/>
      <c r="C21" s="670"/>
      <c r="D21" s="670"/>
      <c r="E21" s="595"/>
      <c r="F21" s="595"/>
      <c r="G21" s="595"/>
      <c r="H21" s="595"/>
      <c r="I21" s="595"/>
      <c r="J21" s="595"/>
      <c r="K21" s="595"/>
      <c r="L21" s="595"/>
      <c r="M21" s="595"/>
      <c r="N21" s="595"/>
      <c r="O21" s="595"/>
      <c r="P21" s="595"/>
      <c r="Q21" s="595"/>
      <c r="R21" s="595"/>
      <c r="S21" s="595"/>
      <c r="T21" s="595"/>
      <c r="U21" s="672"/>
      <c r="V21" s="595"/>
      <c r="W21" s="672"/>
      <c r="X21" s="595"/>
      <c r="Y21" s="672"/>
      <c r="Z21" s="595"/>
      <c r="AA21" s="595"/>
      <c r="AB21" s="595"/>
      <c r="AC21" s="595"/>
      <c r="AD21" s="595"/>
      <c r="AE21" s="595"/>
      <c r="AF21" s="595"/>
      <c r="AG21" s="595"/>
      <c r="AH21" s="595"/>
      <c r="AI21" s="595"/>
      <c r="AJ21" s="595"/>
      <c r="AK21" s="673"/>
      <c r="AL21" s="673"/>
      <c r="AM21" s="675"/>
      <c r="AN21" s="676"/>
      <c r="AO21" s="595"/>
      <c r="AP21" s="595"/>
      <c r="AQ21" s="595"/>
      <c r="AR21" s="595"/>
      <c r="AS21" s="595"/>
      <c r="AT21" s="595"/>
      <c r="AU21" s="595"/>
      <c r="AV21" s="595"/>
      <c r="AW21" s="595"/>
      <c r="AX21" s="595"/>
      <c r="AY21" s="677"/>
      <c r="AZ21" s="677"/>
      <c r="BA21" s="672"/>
      <c r="BB21" s="595"/>
      <c r="BC21" s="595"/>
      <c r="BD21" s="595"/>
      <c r="BE21" s="595"/>
      <c r="BF21" s="595"/>
      <c r="BG21" s="595"/>
      <c r="BH21" s="595"/>
      <c r="BI21" s="672"/>
      <c r="BJ21" s="595"/>
      <c r="BK21" s="595"/>
      <c r="BL21" s="541"/>
      <c r="BM21" s="624"/>
      <c r="BN21" s="624"/>
      <c r="BO21" s="624"/>
      <c r="BP21" s="624"/>
    </row>
    <row r="22" spans="1:1165" s="658" customFormat="1">
      <c r="A22" s="577" t="s">
        <v>201</v>
      </c>
      <c r="B22" s="578"/>
      <c r="C22" s="659"/>
      <c r="D22" s="659"/>
      <c r="E22" s="581"/>
      <c r="F22" s="581"/>
      <c r="G22" s="581"/>
      <c r="H22" s="581"/>
      <c r="I22" s="581"/>
      <c r="J22" s="581"/>
      <c r="K22" s="581"/>
      <c r="L22" s="581"/>
      <c r="M22" s="581"/>
      <c r="N22" s="581"/>
      <c r="O22" s="581"/>
      <c r="P22" s="581"/>
      <c r="Q22" s="581"/>
      <c r="R22" s="581"/>
      <c r="S22" s="581"/>
      <c r="T22" s="581"/>
      <c r="U22" s="620"/>
      <c r="V22" s="581"/>
      <c r="W22" s="620"/>
      <c r="X22" s="581"/>
      <c r="Y22" s="620"/>
      <c r="Z22" s="581"/>
      <c r="AA22" s="581"/>
      <c r="AB22" s="581"/>
      <c r="AC22" s="581"/>
      <c r="AD22" s="581"/>
      <c r="AE22" s="581"/>
      <c r="AF22" s="581"/>
      <c r="AG22" s="581"/>
      <c r="AH22" s="581"/>
      <c r="AI22" s="581"/>
      <c r="AJ22" s="581"/>
      <c r="AK22" s="661"/>
      <c r="AL22" s="661"/>
      <c r="AM22" s="669"/>
      <c r="AN22" s="662"/>
      <c r="AO22" s="581"/>
      <c r="AP22" s="581"/>
      <c r="AQ22" s="581"/>
      <c r="AR22" s="581"/>
      <c r="AS22" s="581"/>
      <c r="AT22" s="581"/>
      <c r="AU22" s="581"/>
      <c r="AV22" s="581"/>
      <c r="AW22" s="581"/>
      <c r="AX22" s="581"/>
      <c r="AY22" s="666"/>
      <c r="AZ22" s="666"/>
      <c r="BA22" s="620"/>
      <c r="BB22" s="581"/>
      <c r="BC22" s="581"/>
      <c r="BD22" s="581"/>
      <c r="BE22" s="581"/>
      <c r="BF22" s="581"/>
      <c r="BG22" s="581"/>
      <c r="BH22" s="581"/>
      <c r="BI22" s="620"/>
      <c r="BJ22" s="581"/>
      <c r="BK22" s="581"/>
      <c r="BL22" s="541"/>
      <c r="BM22" s="624"/>
      <c r="BN22" s="624"/>
      <c r="BO22" s="624"/>
      <c r="BP22" s="624"/>
      <c r="BQ22" s="541"/>
      <c r="BR22" s="541"/>
      <c r="BS22" s="541"/>
      <c r="BT22" s="541"/>
      <c r="BU22" s="541"/>
      <c r="BV22" s="541"/>
      <c r="BW22" s="541"/>
      <c r="BX22" s="541"/>
      <c r="BY22" s="541"/>
      <c r="BZ22" s="541"/>
      <c r="CA22" s="541"/>
      <c r="CB22" s="541"/>
      <c r="CC22" s="541"/>
      <c r="CD22" s="541"/>
      <c r="CE22" s="541"/>
      <c r="CF22" s="541"/>
      <c r="CG22" s="541"/>
      <c r="CH22" s="541"/>
      <c r="CI22" s="541"/>
      <c r="CJ22" s="541"/>
      <c r="CK22" s="541"/>
      <c r="CL22" s="541"/>
      <c r="CM22" s="541"/>
      <c r="CN22" s="541"/>
      <c r="CO22" s="541"/>
      <c r="CP22" s="541"/>
      <c r="CQ22" s="541"/>
      <c r="CR22" s="541"/>
      <c r="CS22" s="541"/>
      <c r="CT22" s="541"/>
      <c r="CU22" s="541"/>
      <c r="CV22" s="541"/>
      <c r="CW22" s="541"/>
      <c r="CX22" s="541"/>
      <c r="CY22" s="541"/>
      <c r="CZ22" s="541"/>
      <c r="DA22" s="541"/>
      <c r="DB22" s="541"/>
      <c r="DC22" s="541"/>
      <c r="DD22" s="541"/>
      <c r="DE22" s="541"/>
      <c r="DF22" s="541"/>
      <c r="DG22" s="541"/>
      <c r="DH22" s="541"/>
      <c r="DI22" s="541"/>
      <c r="DJ22" s="541"/>
      <c r="DK22" s="541"/>
      <c r="DL22" s="541"/>
      <c r="DM22" s="541"/>
      <c r="DN22" s="541"/>
      <c r="DO22" s="541"/>
      <c r="DP22" s="541"/>
      <c r="DQ22" s="541"/>
      <c r="DR22" s="541"/>
      <c r="DS22" s="541"/>
      <c r="DT22" s="541"/>
      <c r="DU22" s="541"/>
      <c r="DV22" s="541"/>
      <c r="DW22" s="541"/>
      <c r="DX22" s="541"/>
      <c r="DY22" s="541"/>
      <c r="DZ22" s="541"/>
      <c r="EA22" s="541"/>
      <c r="EB22" s="541"/>
      <c r="EC22" s="541"/>
      <c r="ED22" s="541"/>
      <c r="EE22" s="541"/>
      <c r="EF22" s="541"/>
      <c r="EG22" s="541"/>
      <c r="EH22" s="541"/>
      <c r="EI22" s="541"/>
      <c r="EJ22" s="541"/>
      <c r="EK22" s="541"/>
      <c r="EL22" s="541"/>
      <c r="EM22" s="541"/>
      <c r="EN22" s="541"/>
      <c r="EO22" s="541"/>
      <c r="EP22" s="541"/>
      <c r="EQ22" s="541"/>
      <c r="ER22" s="541"/>
      <c r="ES22" s="541"/>
      <c r="ET22" s="541"/>
      <c r="EU22" s="541"/>
      <c r="EV22" s="541"/>
      <c r="EW22" s="541"/>
      <c r="EX22" s="541"/>
      <c r="EY22" s="541"/>
      <c r="EZ22" s="541"/>
      <c r="FA22" s="541"/>
      <c r="FB22" s="541"/>
      <c r="FC22" s="541"/>
      <c r="FD22" s="541"/>
      <c r="FE22" s="541"/>
      <c r="FF22" s="541"/>
      <c r="FG22" s="541"/>
      <c r="FH22" s="541"/>
      <c r="FI22" s="541"/>
      <c r="FJ22" s="541"/>
      <c r="FK22" s="541"/>
      <c r="FL22" s="541"/>
      <c r="FM22" s="541"/>
      <c r="FN22" s="541"/>
      <c r="FO22" s="541"/>
      <c r="FP22" s="541"/>
      <c r="FQ22" s="541"/>
      <c r="FR22" s="541"/>
      <c r="FS22" s="541"/>
      <c r="FT22" s="541"/>
      <c r="FU22" s="541"/>
      <c r="FV22" s="541"/>
      <c r="FW22" s="541"/>
      <c r="FX22" s="541"/>
      <c r="FY22" s="541"/>
      <c r="FZ22" s="541"/>
      <c r="GA22" s="541"/>
      <c r="GB22" s="541"/>
      <c r="GC22" s="541"/>
      <c r="GD22" s="541"/>
      <c r="GE22" s="541"/>
      <c r="GF22" s="541"/>
      <c r="GG22" s="541"/>
      <c r="GH22" s="541"/>
      <c r="GI22" s="541"/>
      <c r="GJ22" s="541"/>
      <c r="GK22" s="541"/>
      <c r="GL22" s="541"/>
      <c r="GM22" s="541"/>
      <c r="GN22" s="541"/>
      <c r="GO22" s="541"/>
      <c r="GP22" s="541"/>
      <c r="GQ22" s="541"/>
      <c r="GR22" s="541"/>
      <c r="GS22" s="541"/>
      <c r="GT22" s="541"/>
      <c r="GU22" s="541"/>
      <c r="GV22" s="541"/>
      <c r="GW22" s="541"/>
      <c r="GX22" s="541"/>
      <c r="GY22" s="541"/>
      <c r="GZ22" s="541"/>
      <c r="HA22" s="541"/>
      <c r="HB22" s="541"/>
      <c r="HC22" s="541"/>
      <c r="HD22" s="541"/>
      <c r="HE22" s="541"/>
      <c r="HF22" s="541"/>
      <c r="HG22" s="541"/>
      <c r="HH22" s="541"/>
      <c r="HI22" s="541"/>
      <c r="HJ22" s="541"/>
      <c r="HK22" s="541"/>
      <c r="HL22" s="541"/>
      <c r="HM22" s="541"/>
      <c r="HN22" s="541"/>
      <c r="HO22" s="541"/>
      <c r="HP22" s="541"/>
      <c r="HQ22" s="541"/>
      <c r="HR22" s="541"/>
      <c r="HS22" s="541"/>
      <c r="HT22" s="541"/>
      <c r="HU22" s="541"/>
      <c r="HV22" s="541"/>
      <c r="HW22" s="541"/>
      <c r="HX22" s="541"/>
      <c r="HY22" s="541"/>
      <c r="HZ22" s="541"/>
      <c r="IA22" s="541"/>
      <c r="IB22" s="541"/>
      <c r="IC22" s="541"/>
      <c r="ID22" s="541"/>
      <c r="IE22" s="541"/>
      <c r="IF22" s="541"/>
      <c r="IG22" s="541"/>
      <c r="IH22" s="541"/>
      <c r="II22" s="541"/>
      <c r="IJ22" s="541"/>
      <c r="IK22" s="541"/>
      <c r="IL22" s="541"/>
      <c r="IM22" s="541"/>
      <c r="IN22" s="541"/>
      <c r="IO22" s="541"/>
      <c r="IP22" s="541"/>
      <c r="IQ22" s="541"/>
      <c r="IR22" s="541"/>
      <c r="IS22" s="541"/>
      <c r="IT22" s="541"/>
      <c r="IU22" s="541"/>
      <c r="IV22" s="541"/>
      <c r="IW22" s="541"/>
      <c r="IX22" s="541"/>
      <c r="IY22" s="541"/>
      <c r="IZ22" s="541"/>
      <c r="JA22" s="541"/>
      <c r="JB22" s="541"/>
      <c r="JC22" s="541"/>
      <c r="JD22" s="541"/>
      <c r="JE22" s="541"/>
      <c r="JF22" s="541"/>
      <c r="JG22" s="541"/>
      <c r="JH22" s="541"/>
      <c r="JI22" s="541"/>
      <c r="JJ22" s="541"/>
      <c r="JK22" s="541"/>
      <c r="JL22" s="541"/>
      <c r="JM22" s="541"/>
      <c r="JN22" s="541"/>
      <c r="JO22" s="541"/>
      <c r="JP22" s="541"/>
      <c r="JQ22" s="541"/>
      <c r="JR22" s="541"/>
      <c r="JS22" s="541"/>
      <c r="JT22" s="541"/>
      <c r="JU22" s="541"/>
      <c r="JV22" s="541"/>
      <c r="JW22" s="541"/>
      <c r="JX22" s="541"/>
      <c r="JY22" s="541"/>
      <c r="JZ22" s="541"/>
      <c r="KA22" s="541"/>
      <c r="KB22" s="541"/>
      <c r="KC22" s="541"/>
      <c r="KD22" s="541"/>
      <c r="KE22" s="541"/>
      <c r="KF22" s="541"/>
      <c r="KG22" s="541"/>
      <c r="KH22" s="541"/>
      <c r="KI22" s="541"/>
      <c r="KJ22" s="541"/>
      <c r="KK22" s="541"/>
      <c r="KL22" s="541"/>
      <c r="KM22" s="541"/>
      <c r="KN22" s="541"/>
      <c r="KO22" s="541"/>
      <c r="KP22" s="541"/>
      <c r="KQ22" s="541"/>
      <c r="KR22" s="541"/>
      <c r="KS22" s="541"/>
      <c r="KT22" s="541"/>
      <c r="KU22" s="541"/>
      <c r="KV22" s="541"/>
      <c r="KW22" s="541"/>
      <c r="KX22" s="541"/>
      <c r="KY22" s="541"/>
      <c r="KZ22" s="541"/>
      <c r="LA22" s="541"/>
      <c r="LB22" s="541"/>
      <c r="LC22" s="541"/>
      <c r="LD22" s="541"/>
      <c r="LE22" s="541"/>
      <c r="LF22" s="541"/>
      <c r="LG22" s="541"/>
      <c r="LH22" s="541"/>
      <c r="LI22" s="541"/>
      <c r="LJ22" s="541"/>
      <c r="LK22" s="541"/>
      <c r="LL22" s="541"/>
      <c r="LM22" s="541"/>
      <c r="LN22" s="541"/>
      <c r="LO22" s="541"/>
      <c r="LP22" s="541"/>
      <c r="LQ22" s="541"/>
      <c r="LR22" s="541"/>
      <c r="LS22" s="541"/>
      <c r="LT22" s="541"/>
      <c r="LU22" s="541"/>
      <c r="LV22" s="541"/>
      <c r="LW22" s="541"/>
      <c r="LX22" s="541"/>
      <c r="LY22" s="541"/>
      <c r="LZ22" s="541"/>
      <c r="MA22" s="541"/>
      <c r="MB22" s="541"/>
      <c r="MC22" s="541"/>
      <c r="MD22" s="541"/>
      <c r="ME22" s="541"/>
      <c r="MF22" s="541"/>
      <c r="MG22" s="541"/>
      <c r="MH22" s="541"/>
      <c r="MI22" s="541"/>
      <c r="MJ22" s="541"/>
      <c r="MK22" s="541"/>
      <c r="ML22" s="541"/>
      <c r="MM22" s="541"/>
      <c r="MN22" s="541"/>
      <c r="MO22" s="541"/>
      <c r="MP22" s="541"/>
      <c r="MQ22" s="541"/>
      <c r="MR22" s="541"/>
      <c r="MS22" s="541"/>
      <c r="MT22" s="541"/>
      <c r="MU22" s="541"/>
      <c r="MV22" s="541"/>
      <c r="MW22" s="541"/>
      <c r="MX22" s="541"/>
      <c r="MY22" s="541"/>
      <c r="MZ22" s="541"/>
      <c r="NA22" s="541"/>
      <c r="NB22" s="541"/>
      <c r="NC22" s="541"/>
      <c r="ND22" s="541"/>
      <c r="NE22" s="541"/>
      <c r="NF22" s="541"/>
      <c r="NG22" s="541"/>
      <c r="NH22" s="541"/>
      <c r="NI22" s="541"/>
      <c r="NJ22" s="541"/>
      <c r="NK22" s="541"/>
      <c r="NL22" s="541"/>
      <c r="NM22" s="541"/>
      <c r="NN22" s="541"/>
      <c r="NO22" s="541"/>
      <c r="NP22" s="541"/>
      <c r="NQ22" s="541"/>
      <c r="NR22" s="541"/>
      <c r="NS22" s="541"/>
      <c r="NT22" s="541"/>
      <c r="NU22" s="541"/>
      <c r="NV22" s="541"/>
      <c r="NW22" s="541"/>
      <c r="NX22" s="541"/>
      <c r="NY22" s="541"/>
      <c r="NZ22" s="541"/>
      <c r="OA22" s="541"/>
      <c r="OB22" s="541"/>
      <c r="OC22" s="541"/>
      <c r="OD22" s="541"/>
      <c r="OE22" s="541"/>
      <c r="OF22" s="541"/>
      <c r="OG22" s="541"/>
      <c r="OH22" s="541"/>
      <c r="OI22" s="541"/>
      <c r="OJ22" s="541"/>
      <c r="OK22" s="541"/>
      <c r="OL22" s="541"/>
      <c r="OM22" s="541"/>
      <c r="ON22" s="541"/>
      <c r="OO22" s="541"/>
      <c r="OP22" s="541"/>
      <c r="OQ22" s="541"/>
      <c r="OR22" s="541"/>
      <c r="OS22" s="541"/>
      <c r="OT22" s="541"/>
      <c r="OU22" s="541"/>
      <c r="OV22" s="541"/>
      <c r="OW22" s="541"/>
      <c r="OX22" s="541"/>
      <c r="OY22" s="541"/>
      <c r="OZ22" s="541"/>
      <c r="PA22" s="541"/>
      <c r="PB22" s="541"/>
      <c r="PC22" s="541"/>
      <c r="PD22" s="541"/>
      <c r="PE22" s="541"/>
      <c r="PF22" s="541"/>
      <c r="PG22" s="541"/>
      <c r="PH22" s="541"/>
      <c r="PI22" s="541"/>
      <c r="PJ22" s="541"/>
      <c r="PK22" s="541"/>
      <c r="PL22" s="541"/>
      <c r="PM22" s="541"/>
      <c r="PN22" s="541"/>
      <c r="PO22" s="541"/>
      <c r="PP22" s="541"/>
      <c r="PQ22" s="541"/>
      <c r="PR22" s="541"/>
      <c r="PS22" s="541"/>
      <c r="PT22" s="541"/>
      <c r="PU22" s="541"/>
      <c r="PV22" s="541"/>
      <c r="PW22" s="541"/>
      <c r="PX22" s="541"/>
      <c r="PY22" s="541"/>
      <c r="PZ22" s="541"/>
      <c r="QA22" s="541"/>
      <c r="QB22" s="541"/>
      <c r="QC22" s="541"/>
      <c r="QD22" s="541"/>
      <c r="QE22" s="541"/>
      <c r="QF22" s="541"/>
      <c r="QG22" s="541"/>
      <c r="QH22" s="541"/>
      <c r="QI22" s="541"/>
      <c r="QJ22" s="541"/>
      <c r="QK22" s="541"/>
      <c r="QL22" s="541"/>
      <c r="QM22" s="541"/>
      <c r="QN22" s="541"/>
      <c r="QO22" s="541"/>
      <c r="QP22" s="541"/>
      <c r="QQ22" s="541"/>
      <c r="QR22" s="541"/>
      <c r="QS22" s="541"/>
      <c r="QT22" s="541"/>
      <c r="QU22" s="541"/>
      <c r="QV22" s="541"/>
      <c r="QW22" s="541"/>
      <c r="QX22" s="541"/>
      <c r="QY22" s="541"/>
      <c r="QZ22" s="541"/>
      <c r="RA22" s="541"/>
      <c r="RB22" s="541"/>
      <c r="RC22" s="541"/>
      <c r="RD22" s="541"/>
      <c r="RE22" s="541"/>
      <c r="RF22" s="541"/>
      <c r="RG22" s="541"/>
      <c r="RH22" s="541"/>
      <c r="RI22" s="541"/>
      <c r="RJ22" s="541"/>
      <c r="RK22" s="541"/>
      <c r="RL22" s="541"/>
      <c r="RM22" s="541"/>
      <c r="RN22" s="541"/>
      <c r="RO22" s="541"/>
      <c r="RP22" s="541"/>
      <c r="RQ22" s="541"/>
      <c r="RR22" s="541"/>
      <c r="RS22" s="541"/>
      <c r="RT22" s="541"/>
      <c r="RU22" s="541"/>
      <c r="RV22" s="541"/>
      <c r="RW22" s="541"/>
      <c r="RX22" s="541"/>
      <c r="RY22" s="541"/>
      <c r="RZ22" s="541"/>
      <c r="SA22" s="541"/>
      <c r="SB22" s="541"/>
      <c r="SC22" s="541"/>
      <c r="SD22" s="541"/>
      <c r="SE22" s="541"/>
      <c r="SF22" s="541"/>
      <c r="SG22" s="541"/>
      <c r="SH22" s="541"/>
      <c r="SI22" s="541"/>
      <c r="SJ22" s="541"/>
      <c r="SK22" s="541"/>
      <c r="SL22" s="541"/>
      <c r="SM22" s="541"/>
      <c r="SN22" s="541"/>
      <c r="SO22" s="541"/>
      <c r="SP22" s="541"/>
      <c r="SQ22" s="541"/>
      <c r="SR22" s="541"/>
      <c r="SS22" s="541"/>
      <c r="ST22" s="541"/>
      <c r="SU22" s="541"/>
      <c r="SV22" s="541"/>
      <c r="SW22" s="541"/>
      <c r="SX22" s="541"/>
      <c r="SY22" s="541"/>
      <c r="SZ22" s="541"/>
      <c r="TA22" s="541"/>
      <c r="TB22" s="541"/>
      <c r="TC22" s="541"/>
      <c r="TD22" s="541"/>
      <c r="TE22" s="541"/>
      <c r="TF22" s="541"/>
      <c r="TG22" s="541"/>
      <c r="TH22" s="541"/>
      <c r="TI22" s="541"/>
      <c r="TJ22" s="541"/>
      <c r="TK22" s="541"/>
      <c r="TL22" s="541"/>
      <c r="TM22" s="541"/>
      <c r="TN22" s="541"/>
      <c r="TO22" s="541"/>
      <c r="TP22" s="541"/>
      <c r="TQ22" s="541"/>
      <c r="TR22" s="541"/>
      <c r="TS22" s="541"/>
      <c r="TT22" s="541"/>
      <c r="TU22" s="541"/>
      <c r="TV22" s="541"/>
      <c r="TW22" s="541"/>
      <c r="TX22" s="541"/>
      <c r="TY22" s="541"/>
      <c r="TZ22" s="541"/>
      <c r="UA22" s="541"/>
      <c r="UB22" s="541"/>
      <c r="UC22" s="541"/>
      <c r="UD22" s="541"/>
      <c r="UE22" s="541"/>
      <c r="UF22" s="541"/>
      <c r="UG22" s="541"/>
      <c r="UH22" s="541"/>
      <c r="UI22" s="541"/>
      <c r="UJ22" s="541"/>
      <c r="UK22" s="541"/>
      <c r="UL22" s="541"/>
      <c r="UM22" s="541"/>
      <c r="UN22" s="541"/>
      <c r="UO22" s="541"/>
      <c r="UP22" s="541"/>
      <c r="UQ22" s="541"/>
      <c r="UR22" s="541"/>
      <c r="US22" s="541"/>
      <c r="UT22" s="541"/>
      <c r="UU22" s="541"/>
      <c r="UV22" s="541"/>
      <c r="UW22" s="541"/>
      <c r="UX22" s="541"/>
      <c r="UY22" s="541"/>
      <c r="UZ22" s="541"/>
      <c r="VA22" s="541"/>
      <c r="VB22" s="541"/>
      <c r="VC22" s="541"/>
      <c r="VD22" s="541"/>
      <c r="VE22" s="541"/>
      <c r="VF22" s="541"/>
      <c r="VG22" s="541"/>
      <c r="VH22" s="541"/>
      <c r="VI22" s="541"/>
      <c r="VJ22" s="541"/>
      <c r="VK22" s="541"/>
      <c r="VL22" s="541"/>
      <c r="VM22" s="541"/>
      <c r="VN22" s="541"/>
      <c r="VO22" s="541"/>
      <c r="VP22" s="541"/>
      <c r="VQ22" s="541"/>
      <c r="VR22" s="541"/>
      <c r="VS22" s="541"/>
      <c r="VT22" s="541"/>
      <c r="VU22" s="541"/>
      <c r="VV22" s="541"/>
      <c r="VW22" s="541"/>
      <c r="VX22" s="541"/>
      <c r="VY22" s="541"/>
      <c r="VZ22" s="541"/>
      <c r="WA22" s="541"/>
      <c r="WB22" s="541"/>
      <c r="WC22" s="541"/>
      <c r="WD22" s="541"/>
      <c r="WE22" s="541"/>
      <c r="WF22" s="541"/>
      <c r="WG22" s="541"/>
      <c r="WH22" s="541"/>
      <c r="WI22" s="541"/>
      <c r="WJ22" s="541"/>
      <c r="WK22" s="541"/>
      <c r="WL22" s="541"/>
      <c r="WM22" s="541"/>
      <c r="WN22" s="541"/>
      <c r="WO22" s="541"/>
      <c r="WP22" s="541"/>
      <c r="WQ22" s="541"/>
      <c r="WR22" s="541"/>
      <c r="WS22" s="541"/>
      <c r="WT22" s="541"/>
      <c r="WU22" s="541"/>
      <c r="WV22" s="541"/>
      <c r="WW22" s="541"/>
      <c r="WX22" s="541"/>
      <c r="WY22" s="541"/>
      <c r="WZ22" s="541"/>
      <c r="XA22" s="541"/>
      <c r="XB22" s="541"/>
      <c r="XC22" s="541"/>
      <c r="XD22" s="541"/>
      <c r="XE22" s="541"/>
      <c r="XF22" s="541"/>
      <c r="XG22" s="541"/>
      <c r="XH22" s="541"/>
      <c r="XI22" s="541"/>
      <c r="XJ22" s="541"/>
      <c r="XK22" s="541"/>
      <c r="XL22" s="541"/>
      <c r="XM22" s="541"/>
      <c r="XN22" s="541"/>
      <c r="XO22" s="541"/>
      <c r="XP22" s="541"/>
      <c r="XQ22" s="541"/>
      <c r="XR22" s="541"/>
      <c r="XS22" s="541"/>
      <c r="XT22" s="541"/>
      <c r="XU22" s="541"/>
      <c r="XV22" s="541"/>
      <c r="XW22" s="541"/>
      <c r="XX22" s="541"/>
      <c r="XY22" s="541"/>
      <c r="XZ22" s="541"/>
      <c r="YA22" s="541"/>
      <c r="YB22" s="541"/>
      <c r="YC22" s="541"/>
      <c r="YD22" s="541"/>
      <c r="YE22" s="541"/>
      <c r="YF22" s="541"/>
      <c r="YG22" s="541"/>
      <c r="YH22" s="541"/>
      <c r="YI22" s="541"/>
      <c r="YJ22" s="541"/>
      <c r="YK22" s="541"/>
      <c r="YL22" s="541"/>
      <c r="YM22" s="541"/>
      <c r="YN22" s="541"/>
      <c r="YO22" s="541"/>
      <c r="YP22" s="541"/>
      <c r="YQ22" s="541"/>
      <c r="YR22" s="541"/>
      <c r="YS22" s="541"/>
      <c r="YT22" s="541"/>
      <c r="YU22" s="541"/>
      <c r="YV22" s="541"/>
      <c r="YW22" s="541"/>
      <c r="YX22" s="541"/>
      <c r="YY22" s="541"/>
      <c r="YZ22" s="541"/>
      <c r="ZA22" s="541"/>
      <c r="ZB22" s="541"/>
      <c r="ZC22" s="541"/>
      <c r="ZD22" s="541"/>
      <c r="ZE22" s="541"/>
      <c r="ZF22" s="541"/>
      <c r="ZG22" s="541"/>
      <c r="ZH22" s="541"/>
      <c r="ZI22" s="541"/>
      <c r="ZJ22" s="541"/>
      <c r="ZK22" s="541"/>
      <c r="ZL22" s="541"/>
      <c r="ZM22" s="541"/>
      <c r="ZN22" s="541"/>
      <c r="ZO22" s="541"/>
      <c r="ZP22" s="541"/>
      <c r="ZQ22" s="541"/>
      <c r="ZR22" s="541"/>
      <c r="ZS22" s="541"/>
      <c r="ZT22" s="541"/>
      <c r="ZU22" s="541"/>
      <c r="ZV22" s="541"/>
      <c r="ZW22" s="541"/>
      <c r="ZX22" s="541"/>
      <c r="ZY22" s="541"/>
      <c r="ZZ22" s="541"/>
      <c r="AAA22" s="541"/>
      <c r="AAB22" s="541"/>
      <c r="AAC22" s="541"/>
      <c r="AAD22" s="541"/>
      <c r="AAE22" s="541"/>
      <c r="AAF22" s="541"/>
      <c r="AAG22" s="541"/>
      <c r="AAH22" s="541"/>
      <c r="AAI22" s="541"/>
      <c r="AAJ22" s="541"/>
      <c r="AAK22" s="541"/>
      <c r="AAL22" s="541"/>
      <c r="AAM22" s="541"/>
      <c r="AAN22" s="541"/>
      <c r="AAO22" s="541"/>
      <c r="AAP22" s="541"/>
      <c r="AAQ22" s="541"/>
      <c r="AAR22" s="541"/>
      <c r="AAS22" s="541"/>
      <c r="AAT22" s="541"/>
      <c r="AAU22" s="541"/>
      <c r="AAV22" s="541"/>
      <c r="AAW22" s="541"/>
      <c r="AAX22" s="541"/>
      <c r="AAY22" s="541"/>
      <c r="AAZ22" s="541"/>
      <c r="ABA22" s="541"/>
      <c r="ABB22" s="541"/>
      <c r="ABC22" s="541"/>
      <c r="ABD22" s="541"/>
      <c r="ABE22" s="541"/>
      <c r="ABF22" s="541"/>
      <c r="ABG22" s="541"/>
      <c r="ABH22" s="541"/>
      <c r="ABI22" s="541"/>
      <c r="ABJ22" s="541"/>
      <c r="ABK22" s="541"/>
      <c r="ABL22" s="541"/>
      <c r="ABM22" s="541"/>
      <c r="ABN22" s="541"/>
      <c r="ABO22" s="541"/>
      <c r="ABP22" s="541"/>
      <c r="ABQ22" s="541"/>
      <c r="ABR22" s="541"/>
      <c r="ABS22" s="541"/>
      <c r="ABT22" s="541"/>
      <c r="ABU22" s="541"/>
      <c r="ABV22" s="541"/>
      <c r="ABW22" s="541"/>
      <c r="ABX22" s="541"/>
      <c r="ABY22" s="541"/>
      <c r="ABZ22" s="541"/>
      <c r="ACA22" s="541"/>
      <c r="ACB22" s="541"/>
      <c r="ACC22" s="541"/>
      <c r="ACD22" s="541"/>
      <c r="ACE22" s="541"/>
      <c r="ACF22" s="541"/>
      <c r="ACG22" s="541"/>
      <c r="ACH22" s="541"/>
      <c r="ACI22" s="541"/>
      <c r="ACJ22" s="541"/>
      <c r="ACK22" s="541"/>
      <c r="ACL22" s="541"/>
      <c r="ACM22" s="541"/>
      <c r="ACN22" s="541"/>
      <c r="ACO22" s="541"/>
      <c r="ACP22" s="541"/>
      <c r="ACQ22" s="541"/>
      <c r="ACR22" s="541"/>
      <c r="ACS22" s="541"/>
      <c r="ACT22" s="541"/>
      <c r="ACU22" s="541"/>
      <c r="ACV22" s="541"/>
      <c r="ACW22" s="541"/>
      <c r="ACX22" s="541"/>
      <c r="ACY22" s="541"/>
      <c r="ACZ22" s="541"/>
      <c r="ADA22" s="541"/>
      <c r="ADB22" s="541"/>
      <c r="ADC22" s="541"/>
      <c r="ADD22" s="541"/>
      <c r="ADE22" s="541"/>
      <c r="ADF22" s="541"/>
      <c r="ADG22" s="541"/>
      <c r="ADH22" s="541"/>
      <c r="ADI22" s="541"/>
      <c r="ADJ22" s="541"/>
      <c r="ADK22" s="541"/>
      <c r="ADL22" s="541"/>
      <c r="ADM22" s="541"/>
      <c r="ADN22" s="541"/>
      <c r="ADO22" s="541"/>
      <c r="ADP22" s="541"/>
      <c r="ADQ22" s="541"/>
      <c r="ADR22" s="541"/>
      <c r="ADS22" s="541"/>
      <c r="ADT22" s="541"/>
      <c r="ADU22" s="541"/>
      <c r="ADV22" s="541"/>
      <c r="ADW22" s="541"/>
      <c r="ADX22" s="541"/>
      <c r="ADY22" s="541"/>
      <c r="ADZ22" s="541"/>
      <c r="AEA22" s="541"/>
      <c r="AEB22" s="541"/>
      <c r="AEC22" s="541"/>
      <c r="AED22" s="541"/>
      <c r="AEE22" s="541"/>
      <c r="AEF22" s="541"/>
      <c r="AEG22" s="541"/>
      <c r="AEH22" s="541"/>
      <c r="AEI22" s="541"/>
      <c r="AEJ22" s="541"/>
      <c r="AEK22" s="541"/>
      <c r="AEL22" s="541"/>
      <c r="AEM22" s="541"/>
      <c r="AEN22" s="541"/>
      <c r="AEO22" s="541"/>
      <c r="AEP22" s="541"/>
      <c r="AEQ22" s="541"/>
      <c r="AER22" s="541"/>
      <c r="AES22" s="541"/>
      <c r="AET22" s="541"/>
      <c r="AEU22" s="541"/>
      <c r="AEV22" s="541"/>
      <c r="AEW22" s="541"/>
      <c r="AEX22" s="541"/>
      <c r="AEY22" s="541"/>
      <c r="AEZ22" s="541"/>
      <c r="AFA22" s="541"/>
      <c r="AFB22" s="541"/>
      <c r="AFC22" s="541"/>
      <c r="AFD22" s="541"/>
      <c r="AFE22" s="541"/>
      <c r="AFF22" s="541"/>
      <c r="AFG22" s="541"/>
      <c r="AFH22" s="541"/>
      <c r="AFI22" s="541"/>
      <c r="AFJ22" s="541"/>
      <c r="AFK22" s="541"/>
      <c r="AFL22" s="541"/>
      <c r="AFM22" s="541"/>
      <c r="AFN22" s="541"/>
      <c r="AFO22" s="541"/>
      <c r="AFP22" s="541"/>
      <c r="AFQ22" s="541"/>
      <c r="AFR22" s="541"/>
      <c r="AFS22" s="541"/>
      <c r="AFT22" s="541"/>
      <c r="AFU22" s="541"/>
      <c r="AFV22" s="541"/>
      <c r="AFW22" s="541"/>
      <c r="AFX22" s="541"/>
      <c r="AFY22" s="541"/>
      <c r="AFZ22" s="541"/>
      <c r="AGA22" s="541"/>
      <c r="AGB22" s="541"/>
      <c r="AGC22" s="541"/>
      <c r="AGD22" s="541"/>
      <c r="AGE22" s="541"/>
      <c r="AGF22" s="541"/>
      <c r="AGG22" s="541"/>
      <c r="AGH22" s="541"/>
      <c r="AGI22" s="541"/>
      <c r="AGJ22" s="541"/>
      <c r="AGK22" s="541"/>
      <c r="AGL22" s="541"/>
      <c r="AGM22" s="541"/>
      <c r="AGN22" s="541"/>
      <c r="AGO22" s="541"/>
      <c r="AGP22" s="541"/>
      <c r="AGQ22" s="541"/>
      <c r="AGR22" s="541"/>
      <c r="AGS22" s="541"/>
      <c r="AGT22" s="541"/>
      <c r="AGU22" s="541"/>
      <c r="AGV22" s="541"/>
      <c r="AGW22" s="541"/>
      <c r="AGX22" s="541"/>
      <c r="AGY22" s="541"/>
      <c r="AGZ22" s="541"/>
      <c r="AHA22" s="541"/>
      <c r="AHB22" s="541"/>
      <c r="AHC22" s="541"/>
      <c r="AHD22" s="541"/>
      <c r="AHE22" s="541"/>
      <c r="AHF22" s="541"/>
      <c r="AHG22" s="541"/>
      <c r="AHH22" s="541"/>
      <c r="AHI22" s="541"/>
      <c r="AHJ22" s="541"/>
      <c r="AHK22" s="541"/>
      <c r="AHL22" s="541"/>
      <c r="AHM22" s="541"/>
      <c r="AHN22" s="541"/>
      <c r="AHO22" s="541"/>
      <c r="AHP22" s="541"/>
      <c r="AHQ22" s="541"/>
      <c r="AHR22" s="541"/>
      <c r="AHS22" s="541"/>
      <c r="AHT22" s="541"/>
      <c r="AHU22" s="541"/>
      <c r="AHV22" s="541"/>
      <c r="AHW22" s="541"/>
      <c r="AHX22" s="541"/>
      <c r="AHY22" s="541"/>
      <c r="AHZ22" s="541"/>
      <c r="AIA22" s="541"/>
      <c r="AIB22" s="541"/>
      <c r="AIC22" s="541"/>
      <c r="AID22" s="541"/>
      <c r="AIE22" s="541"/>
      <c r="AIF22" s="541"/>
      <c r="AIG22" s="541"/>
      <c r="AIH22" s="541"/>
      <c r="AII22" s="541"/>
      <c r="AIJ22" s="541"/>
      <c r="AIK22" s="541"/>
      <c r="AIL22" s="541"/>
      <c r="AIM22" s="541"/>
      <c r="AIN22" s="541"/>
      <c r="AIO22" s="541"/>
      <c r="AIP22" s="541"/>
      <c r="AIQ22" s="541"/>
      <c r="AIR22" s="541"/>
      <c r="AIS22" s="541"/>
      <c r="AIT22" s="541"/>
      <c r="AIU22" s="541"/>
      <c r="AIV22" s="541"/>
      <c r="AIW22" s="541"/>
      <c r="AIX22" s="541"/>
      <c r="AIY22" s="541"/>
      <c r="AIZ22" s="541"/>
      <c r="AJA22" s="541"/>
      <c r="AJB22" s="541"/>
      <c r="AJC22" s="541"/>
      <c r="AJD22" s="541"/>
      <c r="AJE22" s="541"/>
      <c r="AJF22" s="541"/>
      <c r="AJG22" s="541"/>
      <c r="AJH22" s="541"/>
      <c r="AJI22" s="541"/>
      <c r="AJJ22" s="541"/>
      <c r="AJK22" s="541"/>
      <c r="AJL22" s="541"/>
      <c r="AJM22" s="541"/>
      <c r="AJN22" s="541"/>
      <c r="AJO22" s="541"/>
      <c r="AJP22" s="541"/>
      <c r="AJQ22" s="541"/>
      <c r="AJR22" s="541"/>
      <c r="AJS22" s="541"/>
      <c r="AJT22" s="541"/>
      <c r="AJU22" s="541"/>
      <c r="AJV22" s="541"/>
      <c r="AJW22" s="541"/>
      <c r="AJX22" s="541"/>
      <c r="AJY22" s="541"/>
      <c r="AJZ22" s="541"/>
      <c r="AKA22" s="541"/>
      <c r="AKB22" s="541"/>
      <c r="AKC22" s="541"/>
      <c r="AKD22" s="541"/>
      <c r="AKE22" s="541"/>
      <c r="AKF22" s="541"/>
      <c r="AKG22" s="541"/>
      <c r="AKH22" s="541"/>
      <c r="AKI22" s="541"/>
      <c r="AKJ22" s="541"/>
      <c r="AKK22" s="541"/>
      <c r="AKL22" s="541"/>
      <c r="AKM22" s="541"/>
      <c r="AKN22" s="541"/>
      <c r="AKO22" s="541"/>
      <c r="AKP22" s="541"/>
      <c r="AKQ22" s="541"/>
      <c r="AKR22" s="541"/>
      <c r="AKS22" s="541"/>
      <c r="AKT22" s="541"/>
      <c r="AKU22" s="541"/>
      <c r="AKV22" s="541"/>
      <c r="AKW22" s="541"/>
      <c r="AKX22" s="541"/>
      <c r="AKY22" s="541"/>
      <c r="AKZ22" s="541"/>
      <c r="ALA22" s="541"/>
      <c r="ALB22" s="541"/>
      <c r="ALC22" s="541"/>
      <c r="ALD22" s="541"/>
      <c r="ALE22" s="541"/>
      <c r="ALF22" s="541"/>
      <c r="ALG22" s="541"/>
      <c r="ALH22" s="541"/>
      <c r="ALI22" s="541"/>
      <c r="ALJ22" s="541"/>
      <c r="ALK22" s="541"/>
      <c r="ALL22" s="541"/>
      <c r="ALM22" s="541"/>
      <c r="ALN22" s="541"/>
      <c r="ALO22" s="541"/>
      <c r="ALP22" s="541"/>
      <c r="ALQ22" s="541"/>
      <c r="ALR22" s="541"/>
      <c r="ALS22" s="541"/>
      <c r="ALT22" s="541"/>
      <c r="ALU22" s="541"/>
      <c r="ALV22" s="541"/>
      <c r="ALW22" s="541"/>
      <c r="ALX22" s="541"/>
      <c r="ALY22" s="541"/>
      <c r="ALZ22" s="541"/>
      <c r="AMA22" s="541"/>
      <c r="AMB22" s="541"/>
      <c r="AMC22" s="541"/>
      <c r="AMD22" s="541"/>
      <c r="AME22" s="541"/>
      <c r="AMF22" s="541"/>
      <c r="AMG22" s="541"/>
      <c r="AMH22" s="541"/>
      <c r="AMI22" s="541"/>
      <c r="AMJ22" s="541"/>
      <c r="AMK22" s="541"/>
      <c r="AML22" s="541"/>
      <c r="AMM22" s="541"/>
      <c r="AMN22" s="541"/>
      <c r="AMO22" s="541"/>
      <c r="AMP22" s="541"/>
      <c r="AMQ22" s="541"/>
      <c r="AMR22" s="541"/>
      <c r="AMS22" s="541"/>
      <c r="AMT22" s="541"/>
      <c r="AMU22" s="541"/>
      <c r="AMV22" s="541"/>
      <c r="AMW22" s="541"/>
      <c r="AMX22" s="541"/>
      <c r="AMY22" s="541"/>
      <c r="AMZ22" s="541"/>
      <c r="ANA22" s="541"/>
      <c r="ANB22" s="541"/>
      <c r="ANC22" s="541"/>
      <c r="AND22" s="541"/>
      <c r="ANE22" s="541"/>
      <c r="ANF22" s="541"/>
      <c r="ANG22" s="541"/>
      <c r="ANH22" s="541"/>
      <c r="ANI22" s="541"/>
      <c r="ANJ22" s="541"/>
      <c r="ANK22" s="541"/>
      <c r="ANL22" s="541"/>
      <c r="ANM22" s="541"/>
      <c r="ANN22" s="541"/>
      <c r="ANO22" s="541"/>
      <c r="ANP22" s="541"/>
      <c r="ANQ22" s="541"/>
      <c r="ANR22" s="541"/>
      <c r="ANS22" s="541"/>
      <c r="ANT22" s="541"/>
      <c r="ANU22" s="541"/>
      <c r="ANV22" s="541"/>
      <c r="ANW22" s="541"/>
      <c r="ANX22" s="541"/>
      <c r="ANY22" s="541"/>
      <c r="ANZ22" s="541"/>
      <c r="AOA22" s="541"/>
      <c r="AOB22" s="541"/>
      <c r="AOC22" s="541"/>
      <c r="AOD22" s="541"/>
      <c r="AOE22" s="541"/>
      <c r="AOF22" s="541"/>
      <c r="AOG22" s="541"/>
      <c r="AOH22" s="541"/>
      <c r="AOI22" s="541"/>
      <c r="AOJ22" s="541"/>
      <c r="AOK22" s="541"/>
      <c r="AOL22" s="541"/>
      <c r="AOM22" s="541"/>
      <c r="AON22" s="541"/>
      <c r="AOO22" s="541"/>
      <c r="AOP22" s="541"/>
      <c r="AOQ22" s="541"/>
      <c r="AOR22" s="541"/>
      <c r="AOS22" s="541"/>
      <c r="AOT22" s="541"/>
      <c r="AOU22" s="541"/>
      <c r="AOV22" s="541"/>
      <c r="AOW22" s="541"/>
      <c r="AOX22" s="541"/>
      <c r="AOY22" s="541"/>
      <c r="AOZ22" s="541"/>
      <c r="APA22" s="541"/>
      <c r="APB22" s="541"/>
      <c r="APC22" s="541"/>
      <c r="APD22" s="541"/>
      <c r="APE22" s="541"/>
      <c r="APF22" s="541"/>
      <c r="APG22" s="541"/>
      <c r="APH22" s="541"/>
      <c r="API22" s="541"/>
      <c r="APJ22" s="541"/>
      <c r="APK22" s="541"/>
      <c r="APL22" s="541"/>
      <c r="APM22" s="541"/>
      <c r="APN22" s="541"/>
      <c r="APO22" s="541"/>
      <c r="APP22" s="541"/>
      <c r="APQ22" s="541"/>
      <c r="APR22" s="541"/>
      <c r="APS22" s="541"/>
      <c r="APT22" s="541"/>
      <c r="APU22" s="541"/>
      <c r="APV22" s="541"/>
      <c r="APW22" s="541"/>
      <c r="APX22" s="541"/>
      <c r="APY22" s="541"/>
      <c r="APZ22" s="541"/>
      <c r="AQA22" s="541"/>
      <c r="AQB22" s="541"/>
      <c r="AQC22" s="541"/>
      <c r="AQD22" s="541"/>
      <c r="AQE22" s="541"/>
      <c r="AQF22" s="541"/>
      <c r="AQG22" s="541"/>
      <c r="AQH22" s="541"/>
      <c r="AQI22" s="541"/>
      <c r="AQJ22" s="541"/>
      <c r="AQK22" s="541"/>
      <c r="AQL22" s="541"/>
      <c r="AQM22" s="541"/>
      <c r="AQN22" s="541"/>
      <c r="AQO22" s="541"/>
      <c r="AQP22" s="541"/>
      <c r="AQQ22" s="541"/>
      <c r="AQR22" s="541"/>
      <c r="AQS22" s="541"/>
      <c r="AQT22" s="541"/>
      <c r="AQU22" s="541"/>
      <c r="AQV22" s="541"/>
      <c r="AQW22" s="541"/>
      <c r="AQX22" s="541"/>
      <c r="AQY22" s="541"/>
      <c r="AQZ22" s="541"/>
      <c r="ARA22" s="541"/>
      <c r="ARB22" s="541"/>
      <c r="ARC22" s="541"/>
      <c r="ARD22" s="541"/>
      <c r="ARE22" s="541"/>
      <c r="ARF22" s="541"/>
      <c r="ARG22" s="541"/>
      <c r="ARH22" s="541"/>
      <c r="ARI22" s="541"/>
      <c r="ARJ22" s="541"/>
      <c r="ARK22" s="541"/>
      <c r="ARL22" s="541"/>
      <c r="ARM22" s="541"/>
      <c r="ARN22" s="541"/>
      <c r="ARO22" s="541"/>
      <c r="ARP22" s="541"/>
      <c r="ARQ22" s="541"/>
      <c r="ARR22" s="541"/>
      <c r="ARS22" s="541"/>
      <c r="ART22" s="541"/>
      <c r="ARU22" s="541"/>
    </row>
    <row r="23" spans="1:1165" s="658" customFormat="1">
      <c r="A23" s="613" t="s">
        <v>202</v>
      </c>
      <c r="B23" s="578" t="s">
        <v>110</v>
      </c>
      <c r="C23" s="659">
        <v>518</v>
      </c>
      <c r="D23" s="659">
        <v>13547</v>
      </c>
      <c r="E23" s="581">
        <v>0</v>
      </c>
      <c r="F23" s="581">
        <v>0</v>
      </c>
      <c r="G23" s="581">
        <v>0</v>
      </c>
      <c r="H23" s="581">
        <v>0</v>
      </c>
      <c r="I23" s="581">
        <v>0</v>
      </c>
      <c r="J23" s="581">
        <v>0</v>
      </c>
      <c r="K23" s="581">
        <v>0</v>
      </c>
      <c r="L23" s="581">
        <v>0</v>
      </c>
      <c r="M23" s="581">
        <v>0</v>
      </c>
      <c r="N23" s="581">
        <v>0</v>
      </c>
      <c r="O23" s="581">
        <v>0</v>
      </c>
      <c r="P23" s="581">
        <v>0</v>
      </c>
      <c r="Q23" s="581">
        <v>0</v>
      </c>
      <c r="R23" s="581">
        <v>0</v>
      </c>
      <c r="S23" s="581">
        <v>0</v>
      </c>
      <c r="T23" s="581">
        <v>0</v>
      </c>
      <c r="U23" s="581">
        <v>0</v>
      </c>
      <c r="V23" s="581">
        <v>0</v>
      </c>
      <c r="W23" s="581">
        <v>0</v>
      </c>
      <c r="X23" s="581">
        <v>0</v>
      </c>
      <c r="Y23" s="581">
        <v>0</v>
      </c>
      <c r="Z23" s="581">
        <v>0</v>
      </c>
      <c r="AA23" s="581">
        <v>0</v>
      </c>
      <c r="AB23" s="581">
        <v>0</v>
      </c>
      <c r="AC23" s="581">
        <v>0</v>
      </c>
      <c r="AD23" s="581">
        <v>0</v>
      </c>
      <c r="AE23" s="581">
        <v>0</v>
      </c>
      <c r="AF23" s="581">
        <v>0</v>
      </c>
      <c r="AG23" s="581">
        <v>0</v>
      </c>
      <c r="AH23" s="581">
        <v>0</v>
      </c>
      <c r="AI23" s="581">
        <v>0</v>
      </c>
      <c r="AJ23" s="581">
        <v>0</v>
      </c>
      <c r="AK23" s="581">
        <v>0</v>
      </c>
      <c r="AL23" s="581">
        <v>0</v>
      </c>
      <c r="AM23" s="581">
        <v>0</v>
      </c>
      <c r="AN23" s="581">
        <v>0</v>
      </c>
      <c r="AO23" s="581">
        <v>0</v>
      </c>
      <c r="AP23" s="581">
        <v>0</v>
      </c>
      <c r="AQ23" s="581">
        <v>0</v>
      </c>
      <c r="AR23" s="581">
        <v>0</v>
      </c>
      <c r="AS23" s="581">
        <v>0</v>
      </c>
      <c r="AT23" s="581">
        <v>0</v>
      </c>
      <c r="AU23" s="581">
        <v>0</v>
      </c>
      <c r="AV23" s="581">
        <v>0</v>
      </c>
      <c r="AW23" s="581">
        <v>0</v>
      </c>
      <c r="AX23" s="581">
        <v>0</v>
      </c>
      <c r="AY23" s="616">
        <v>0</v>
      </c>
      <c r="AZ23" s="616">
        <v>0</v>
      </c>
      <c r="BA23" s="620"/>
      <c r="BB23" s="581"/>
      <c r="BC23" s="581"/>
      <c r="BD23" s="581"/>
      <c r="BE23" s="581"/>
      <c r="BF23" s="581"/>
      <c r="BG23" s="581"/>
      <c r="BH23" s="581"/>
      <c r="BI23" s="620"/>
      <c r="BJ23" s="581">
        <f t="shared" ref="BJ23:BJ27" si="1">C23+G23+I23+K23+M23+O23+Q23+S23+U23+W23+Y23+AA23+AC23+AE23+AG23+AI23+AK23+AM23+AO23+AQ23+AS23+AU23+AW23+AY23+BB23+BF23</f>
        <v>518</v>
      </c>
      <c r="BK23" s="581">
        <f>D23+H23+J23+L23+N23+P23+R23+T23+V23+X23+Z23+AB23+AD23+AF23+AH23+AJ23+AL23+AN23+AP23+AR23+AT23+AV23+AX23+AZ23+BD23+BH23</f>
        <v>13547</v>
      </c>
      <c r="BL23" s="541"/>
      <c r="BM23" s="624"/>
      <c r="BN23" s="624"/>
      <c r="BO23" s="624"/>
      <c r="BP23" s="624"/>
      <c r="BQ23" s="541"/>
      <c r="BR23" s="541"/>
      <c r="BS23" s="541"/>
      <c r="BT23" s="541"/>
      <c r="BU23" s="541"/>
      <c r="BV23" s="541"/>
      <c r="BW23" s="541"/>
      <c r="BX23" s="541"/>
      <c r="BY23" s="541"/>
      <c r="BZ23" s="541"/>
      <c r="CA23" s="541"/>
      <c r="CB23" s="541"/>
      <c r="CC23" s="541"/>
      <c r="CD23" s="541"/>
      <c r="CE23" s="541"/>
      <c r="CF23" s="541"/>
      <c r="CG23" s="541"/>
      <c r="CH23" s="541"/>
      <c r="CI23" s="541"/>
      <c r="CJ23" s="541"/>
      <c r="CK23" s="541"/>
      <c r="CL23" s="541"/>
      <c r="CM23" s="541"/>
      <c r="CN23" s="541"/>
      <c r="CO23" s="541"/>
      <c r="CP23" s="541"/>
      <c r="CQ23" s="541"/>
      <c r="CR23" s="541"/>
      <c r="CS23" s="541"/>
      <c r="CT23" s="541"/>
      <c r="CU23" s="541"/>
      <c r="CV23" s="541"/>
      <c r="CW23" s="541"/>
      <c r="CX23" s="541"/>
      <c r="CY23" s="541"/>
      <c r="CZ23" s="541"/>
      <c r="DA23" s="541"/>
      <c r="DB23" s="541"/>
      <c r="DC23" s="541"/>
      <c r="DD23" s="541"/>
      <c r="DE23" s="541"/>
      <c r="DF23" s="541"/>
      <c r="DG23" s="541"/>
      <c r="DH23" s="541"/>
      <c r="DI23" s="541"/>
      <c r="DJ23" s="541"/>
      <c r="DK23" s="541"/>
      <c r="DL23" s="541"/>
      <c r="DM23" s="541"/>
      <c r="DN23" s="541"/>
      <c r="DO23" s="541"/>
      <c r="DP23" s="541"/>
      <c r="DQ23" s="541"/>
      <c r="DR23" s="541"/>
      <c r="DS23" s="541"/>
      <c r="DT23" s="541"/>
      <c r="DU23" s="541"/>
      <c r="DV23" s="541"/>
      <c r="DW23" s="541"/>
      <c r="DX23" s="541"/>
      <c r="DY23" s="541"/>
      <c r="DZ23" s="541"/>
      <c r="EA23" s="541"/>
      <c r="EB23" s="541"/>
      <c r="EC23" s="541"/>
      <c r="ED23" s="541"/>
      <c r="EE23" s="541"/>
      <c r="EF23" s="541"/>
      <c r="EG23" s="541"/>
      <c r="EH23" s="541"/>
      <c r="EI23" s="541"/>
      <c r="EJ23" s="541"/>
      <c r="EK23" s="541"/>
      <c r="EL23" s="541"/>
      <c r="EM23" s="541"/>
      <c r="EN23" s="541"/>
      <c r="EO23" s="541"/>
      <c r="EP23" s="541"/>
      <c r="EQ23" s="541"/>
      <c r="ER23" s="541"/>
      <c r="ES23" s="541"/>
      <c r="ET23" s="541"/>
      <c r="EU23" s="541"/>
      <c r="EV23" s="541"/>
      <c r="EW23" s="541"/>
      <c r="EX23" s="541"/>
      <c r="EY23" s="541"/>
      <c r="EZ23" s="541"/>
      <c r="FA23" s="541"/>
      <c r="FB23" s="541"/>
      <c r="FC23" s="541"/>
      <c r="FD23" s="541"/>
      <c r="FE23" s="541"/>
      <c r="FF23" s="541"/>
      <c r="FG23" s="541"/>
      <c r="FH23" s="541"/>
      <c r="FI23" s="541"/>
      <c r="FJ23" s="541"/>
      <c r="FK23" s="541"/>
      <c r="FL23" s="541"/>
      <c r="FM23" s="541"/>
      <c r="FN23" s="541"/>
      <c r="FO23" s="541"/>
      <c r="FP23" s="541"/>
      <c r="FQ23" s="541"/>
      <c r="FR23" s="541"/>
      <c r="FS23" s="541"/>
      <c r="FT23" s="541"/>
      <c r="FU23" s="541"/>
      <c r="FV23" s="541"/>
      <c r="FW23" s="541"/>
      <c r="FX23" s="541"/>
      <c r="FY23" s="541"/>
      <c r="FZ23" s="541"/>
      <c r="GA23" s="541"/>
      <c r="GB23" s="541"/>
      <c r="GC23" s="541"/>
      <c r="GD23" s="541"/>
      <c r="GE23" s="541"/>
      <c r="GF23" s="541"/>
      <c r="GG23" s="541"/>
      <c r="GH23" s="541"/>
      <c r="GI23" s="541"/>
      <c r="GJ23" s="541"/>
      <c r="GK23" s="541"/>
      <c r="GL23" s="541"/>
      <c r="GM23" s="541"/>
      <c r="GN23" s="541"/>
      <c r="GO23" s="541"/>
      <c r="GP23" s="541"/>
      <c r="GQ23" s="541"/>
      <c r="GR23" s="541"/>
      <c r="GS23" s="541"/>
      <c r="GT23" s="541"/>
      <c r="GU23" s="541"/>
      <c r="GV23" s="541"/>
      <c r="GW23" s="541"/>
      <c r="GX23" s="541"/>
      <c r="GY23" s="541"/>
      <c r="GZ23" s="541"/>
      <c r="HA23" s="541"/>
      <c r="HB23" s="541"/>
      <c r="HC23" s="541"/>
      <c r="HD23" s="541"/>
      <c r="HE23" s="541"/>
      <c r="HF23" s="541"/>
      <c r="HG23" s="541"/>
      <c r="HH23" s="541"/>
      <c r="HI23" s="541"/>
      <c r="HJ23" s="541"/>
      <c r="HK23" s="541"/>
      <c r="HL23" s="541"/>
      <c r="HM23" s="541"/>
      <c r="HN23" s="541"/>
      <c r="HO23" s="541"/>
      <c r="HP23" s="541"/>
      <c r="HQ23" s="541"/>
      <c r="HR23" s="541"/>
      <c r="HS23" s="541"/>
      <c r="HT23" s="541"/>
      <c r="HU23" s="541"/>
      <c r="HV23" s="541"/>
      <c r="HW23" s="541"/>
      <c r="HX23" s="541"/>
      <c r="HY23" s="541"/>
      <c r="HZ23" s="541"/>
      <c r="IA23" s="541"/>
      <c r="IB23" s="541"/>
      <c r="IC23" s="541"/>
      <c r="ID23" s="541"/>
      <c r="IE23" s="541"/>
      <c r="IF23" s="541"/>
      <c r="IG23" s="541"/>
      <c r="IH23" s="541"/>
      <c r="II23" s="541"/>
      <c r="IJ23" s="541"/>
      <c r="IK23" s="541"/>
      <c r="IL23" s="541"/>
      <c r="IM23" s="541"/>
      <c r="IN23" s="541"/>
      <c r="IO23" s="541"/>
      <c r="IP23" s="541"/>
      <c r="IQ23" s="541"/>
      <c r="IR23" s="541"/>
      <c r="IS23" s="541"/>
      <c r="IT23" s="541"/>
      <c r="IU23" s="541"/>
      <c r="IV23" s="541"/>
      <c r="IW23" s="541"/>
      <c r="IX23" s="541"/>
      <c r="IY23" s="541"/>
      <c r="IZ23" s="541"/>
      <c r="JA23" s="541"/>
      <c r="JB23" s="541"/>
      <c r="JC23" s="541"/>
      <c r="JD23" s="541"/>
      <c r="JE23" s="541"/>
      <c r="JF23" s="541"/>
      <c r="JG23" s="541"/>
      <c r="JH23" s="541"/>
      <c r="JI23" s="541"/>
      <c r="JJ23" s="541"/>
      <c r="JK23" s="541"/>
      <c r="JL23" s="541"/>
      <c r="JM23" s="541"/>
      <c r="JN23" s="541"/>
      <c r="JO23" s="541"/>
      <c r="JP23" s="541"/>
      <c r="JQ23" s="541"/>
      <c r="JR23" s="541"/>
      <c r="JS23" s="541"/>
      <c r="JT23" s="541"/>
      <c r="JU23" s="541"/>
      <c r="JV23" s="541"/>
      <c r="JW23" s="541"/>
      <c r="JX23" s="541"/>
      <c r="JY23" s="541"/>
      <c r="JZ23" s="541"/>
      <c r="KA23" s="541"/>
      <c r="KB23" s="541"/>
      <c r="KC23" s="541"/>
      <c r="KD23" s="541"/>
      <c r="KE23" s="541"/>
      <c r="KF23" s="541"/>
      <c r="KG23" s="541"/>
      <c r="KH23" s="541"/>
      <c r="KI23" s="541"/>
      <c r="KJ23" s="541"/>
      <c r="KK23" s="541"/>
      <c r="KL23" s="541"/>
      <c r="KM23" s="541"/>
      <c r="KN23" s="541"/>
      <c r="KO23" s="541"/>
      <c r="KP23" s="541"/>
      <c r="KQ23" s="541"/>
      <c r="KR23" s="541"/>
      <c r="KS23" s="541"/>
      <c r="KT23" s="541"/>
      <c r="KU23" s="541"/>
      <c r="KV23" s="541"/>
      <c r="KW23" s="541"/>
      <c r="KX23" s="541"/>
      <c r="KY23" s="541"/>
      <c r="KZ23" s="541"/>
      <c r="LA23" s="541"/>
      <c r="LB23" s="541"/>
      <c r="LC23" s="541"/>
      <c r="LD23" s="541"/>
      <c r="LE23" s="541"/>
      <c r="LF23" s="541"/>
      <c r="LG23" s="541"/>
      <c r="LH23" s="541"/>
      <c r="LI23" s="541"/>
      <c r="LJ23" s="541"/>
      <c r="LK23" s="541"/>
      <c r="LL23" s="541"/>
      <c r="LM23" s="541"/>
      <c r="LN23" s="541"/>
      <c r="LO23" s="541"/>
      <c r="LP23" s="541"/>
      <c r="LQ23" s="541"/>
      <c r="LR23" s="541"/>
      <c r="LS23" s="541"/>
      <c r="LT23" s="541"/>
      <c r="LU23" s="541"/>
      <c r="LV23" s="541"/>
      <c r="LW23" s="541"/>
      <c r="LX23" s="541"/>
      <c r="LY23" s="541"/>
      <c r="LZ23" s="541"/>
      <c r="MA23" s="541"/>
      <c r="MB23" s="541"/>
      <c r="MC23" s="541"/>
      <c r="MD23" s="541"/>
      <c r="ME23" s="541"/>
      <c r="MF23" s="541"/>
      <c r="MG23" s="541"/>
      <c r="MH23" s="541"/>
      <c r="MI23" s="541"/>
      <c r="MJ23" s="541"/>
      <c r="MK23" s="541"/>
      <c r="ML23" s="541"/>
      <c r="MM23" s="541"/>
      <c r="MN23" s="541"/>
      <c r="MO23" s="541"/>
      <c r="MP23" s="541"/>
      <c r="MQ23" s="541"/>
      <c r="MR23" s="541"/>
      <c r="MS23" s="541"/>
      <c r="MT23" s="541"/>
      <c r="MU23" s="541"/>
      <c r="MV23" s="541"/>
      <c r="MW23" s="541"/>
      <c r="MX23" s="541"/>
      <c r="MY23" s="541"/>
      <c r="MZ23" s="541"/>
      <c r="NA23" s="541"/>
      <c r="NB23" s="541"/>
      <c r="NC23" s="541"/>
      <c r="ND23" s="541"/>
      <c r="NE23" s="541"/>
      <c r="NF23" s="541"/>
      <c r="NG23" s="541"/>
      <c r="NH23" s="541"/>
      <c r="NI23" s="541"/>
      <c r="NJ23" s="541"/>
      <c r="NK23" s="541"/>
      <c r="NL23" s="541"/>
      <c r="NM23" s="541"/>
      <c r="NN23" s="541"/>
      <c r="NO23" s="541"/>
      <c r="NP23" s="541"/>
      <c r="NQ23" s="541"/>
      <c r="NR23" s="541"/>
      <c r="NS23" s="541"/>
      <c r="NT23" s="541"/>
      <c r="NU23" s="541"/>
      <c r="NV23" s="541"/>
      <c r="NW23" s="541"/>
      <c r="NX23" s="541"/>
      <c r="NY23" s="541"/>
      <c r="NZ23" s="541"/>
      <c r="OA23" s="541"/>
      <c r="OB23" s="541"/>
      <c r="OC23" s="541"/>
      <c r="OD23" s="541"/>
      <c r="OE23" s="541"/>
      <c r="OF23" s="541"/>
      <c r="OG23" s="541"/>
      <c r="OH23" s="541"/>
      <c r="OI23" s="541"/>
      <c r="OJ23" s="541"/>
      <c r="OK23" s="541"/>
      <c r="OL23" s="541"/>
      <c r="OM23" s="541"/>
      <c r="ON23" s="541"/>
      <c r="OO23" s="541"/>
      <c r="OP23" s="541"/>
      <c r="OQ23" s="541"/>
      <c r="OR23" s="541"/>
      <c r="OS23" s="541"/>
      <c r="OT23" s="541"/>
      <c r="OU23" s="541"/>
      <c r="OV23" s="541"/>
      <c r="OW23" s="541"/>
      <c r="OX23" s="541"/>
      <c r="OY23" s="541"/>
      <c r="OZ23" s="541"/>
      <c r="PA23" s="541"/>
      <c r="PB23" s="541"/>
      <c r="PC23" s="541"/>
      <c r="PD23" s="541"/>
      <c r="PE23" s="541"/>
      <c r="PF23" s="541"/>
      <c r="PG23" s="541"/>
      <c r="PH23" s="541"/>
      <c r="PI23" s="541"/>
      <c r="PJ23" s="541"/>
      <c r="PK23" s="541"/>
      <c r="PL23" s="541"/>
      <c r="PM23" s="541"/>
      <c r="PN23" s="541"/>
      <c r="PO23" s="541"/>
      <c r="PP23" s="541"/>
      <c r="PQ23" s="541"/>
      <c r="PR23" s="541"/>
      <c r="PS23" s="541"/>
      <c r="PT23" s="541"/>
      <c r="PU23" s="541"/>
      <c r="PV23" s="541"/>
      <c r="PW23" s="541"/>
      <c r="PX23" s="541"/>
      <c r="PY23" s="541"/>
      <c r="PZ23" s="541"/>
      <c r="QA23" s="541"/>
      <c r="QB23" s="541"/>
      <c r="QC23" s="541"/>
      <c r="QD23" s="541"/>
      <c r="QE23" s="541"/>
      <c r="QF23" s="541"/>
      <c r="QG23" s="541"/>
      <c r="QH23" s="541"/>
      <c r="QI23" s="541"/>
      <c r="QJ23" s="541"/>
      <c r="QK23" s="541"/>
      <c r="QL23" s="541"/>
      <c r="QM23" s="541"/>
      <c r="QN23" s="541"/>
      <c r="QO23" s="541"/>
      <c r="QP23" s="541"/>
      <c r="QQ23" s="541"/>
      <c r="QR23" s="541"/>
      <c r="QS23" s="541"/>
      <c r="QT23" s="541"/>
      <c r="QU23" s="541"/>
      <c r="QV23" s="541"/>
      <c r="QW23" s="541"/>
      <c r="QX23" s="541"/>
      <c r="QY23" s="541"/>
      <c r="QZ23" s="541"/>
      <c r="RA23" s="541"/>
      <c r="RB23" s="541"/>
      <c r="RC23" s="541"/>
      <c r="RD23" s="541"/>
      <c r="RE23" s="541"/>
      <c r="RF23" s="541"/>
      <c r="RG23" s="541"/>
      <c r="RH23" s="541"/>
      <c r="RI23" s="541"/>
      <c r="RJ23" s="541"/>
      <c r="RK23" s="541"/>
      <c r="RL23" s="541"/>
      <c r="RM23" s="541"/>
      <c r="RN23" s="541"/>
      <c r="RO23" s="541"/>
      <c r="RP23" s="541"/>
      <c r="RQ23" s="541"/>
      <c r="RR23" s="541"/>
      <c r="RS23" s="541"/>
      <c r="RT23" s="541"/>
      <c r="RU23" s="541"/>
      <c r="RV23" s="541"/>
      <c r="RW23" s="541"/>
      <c r="RX23" s="541"/>
      <c r="RY23" s="541"/>
      <c r="RZ23" s="541"/>
      <c r="SA23" s="541"/>
      <c r="SB23" s="541"/>
      <c r="SC23" s="541"/>
      <c r="SD23" s="541"/>
      <c r="SE23" s="541"/>
      <c r="SF23" s="541"/>
      <c r="SG23" s="541"/>
      <c r="SH23" s="541"/>
      <c r="SI23" s="541"/>
      <c r="SJ23" s="541"/>
      <c r="SK23" s="541"/>
      <c r="SL23" s="541"/>
      <c r="SM23" s="541"/>
      <c r="SN23" s="541"/>
      <c r="SO23" s="541"/>
      <c r="SP23" s="541"/>
      <c r="SQ23" s="541"/>
      <c r="SR23" s="541"/>
      <c r="SS23" s="541"/>
      <c r="ST23" s="541"/>
      <c r="SU23" s="541"/>
      <c r="SV23" s="541"/>
      <c r="SW23" s="541"/>
      <c r="SX23" s="541"/>
      <c r="SY23" s="541"/>
      <c r="SZ23" s="541"/>
      <c r="TA23" s="541"/>
      <c r="TB23" s="541"/>
      <c r="TC23" s="541"/>
      <c r="TD23" s="541"/>
      <c r="TE23" s="541"/>
      <c r="TF23" s="541"/>
      <c r="TG23" s="541"/>
      <c r="TH23" s="541"/>
      <c r="TI23" s="541"/>
      <c r="TJ23" s="541"/>
      <c r="TK23" s="541"/>
      <c r="TL23" s="541"/>
      <c r="TM23" s="541"/>
      <c r="TN23" s="541"/>
      <c r="TO23" s="541"/>
      <c r="TP23" s="541"/>
      <c r="TQ23" s="541"/>
      <c r="TR23" s="541"/>
      <c r="TS23" s="541"/>
      <c r="TT23" s="541"/>
      <c r="TU23" s="541"/>
      <c r="TV23" s="541"/>
      <c r="TW23" s="541"/>
      <c r="TX23" s="541"/>
      <c r="TY23" s="541"/>
      <c r="TZ23" s="541"/>
      <c r="UA23" s="541"/>
      <c r="UB23" s="541"/>
      <c r="UC23" s="541"/>
      <c r="UD23" s="541"/>
      <c r="UE23" s="541"/>
      <c r="UF23" s="541"/>
      <c r="UG23" s="541"/>
      <c r="UH23" s="541"/>
      <c r="UI23" s="541"/>
      <c r="UJ23" s="541"/>
      <c r="UK23" s="541"/>
      <c r="UL23" s="541"/>
      <c r="UM23" s="541"/>
      <c r="UN23" s="541"/>
      <c r="UO23" s="541"/>
      <c r="UP23" s="541"/>
      <c r="UQ23" s="541"/>
      <c r="UR23" s="541"/>
      <c r="US23" s="541"/>
      <c r="UT23" s="541"/>
      <c r="UU23" s="541"/>
      <c r="UV23" s="541"/>
      <c r="UW23" s="541"/>
      <c r="UX23" s="541"/>
      <c r="UY23" s="541"/>
      <c r="UZ23" s="541"/>
      <c r="VA23" s="541"/>
      <c r="VB23" s="541"/>
      <c r="VC23" s="541"/>
      <c r="VD23" s="541"/>
      <c r="VE23" s="541"/>
      <c r="VF23" s="541"/>
      <c r="VG23" s="541"/>
      <c r="VH23" s="541"/>
      <c r="VI23" s="541"/>
      <c r="VJ23" s="541"/>
      <c r="VK23" s="541"/>
      <c r="VL23" s="541"/>
      <c r="VM23" s="541"/>
      <c r="VN23" s="541"/>
      <c r="VO23" s="541"/>
      <c r="VP23" s="541"/>
      <c r="VQ23" s="541"/>
      <c r="VR23" s="541"/>
      <c r="VS23" s="541"/>
      <c r="VT23" s="541"/>
      <c r="VU23" s="541"/>
      <c r="VV23" s="541"/>
      <c r="VW23" s="541"/>
      <c r="VX23" s="541"/>
      <c r="VY23" s="541"/>
      <c r="VZ23" s="541"/>
      <c r="WA23" s="541"/>
      <c r="WB23" s="541"/>
      <c r="WC23" s="541"/>
      <c r="WD23" s="541"/>
      <c r="WE23" s="541"/>
      <c r="WF23" s="541"/>
      <c r="WG23" s="541"/>
      <c r="WH23" s="541"/>
      <c r="WI23" s="541"/>
      <c r="WJ23" s="541"/>
      <c r="WK23" s="541"/>
      <c r="WL23" s="541"/>
      <c r="WM23" s="541"/>
      <c r="WN23" s="541"/>
      <c r="WO23" s="541"/>
      <c r="WP23" s="541"/>
      <c r="WQ23" s="541"/>
      <c r="WR23" s="541"/>
      <c r="WS23" s="541"/>
      <c r="WT23" s="541"/>
      <c r="WU23" s="541"/>
      <c r="WV23" s="541"/>
      <c r="WW23" s="541"/>
      <c r="WX23" s="541"/>
      <c r="WY23" s="541"/>
      <c r="WZ23" s="541"/>
      <c r="XA23" s="541"/>
      <c r="XB23" s="541"/>
      <c r="XC23" s="541"/>
      <c r="XD23" s="541"/>
      <c r="XE23" s="541"/>
      <c r="XF23" s="541"/>
      <c r="XG23" s="541"/>
      <c r="XH23" s="541"/>
      <c r="XI23" s="541"/>
      <c r="XJ23" s="541"/>
      <c r="XK23" s="541"/>
      <c r="XL23" s="541"/>
      <c r="XM23" s="541"/>
      <c r="XN23" s="541"/>
      <c r="XO23" s="541"/>
      <c r="XP23" s="541"/>
      <c r="XQ23" s="541"/>
      <c r="XR23" s="541"/>
      <c r="XS23" s="541"/>
      <c r="XT23" s="541"/>
      <c r="XU23" s="541"/>
      <c r="XV23" s="541"/>
      <c r="XW23" s="541"/>
      <c r="XX23" s="541"/>
      <c r="XY23" s="541"/>
      <c r="XZ23" s="541"/>
      <c r="YA23" s="541"/>
      <c r="YB23" s="541"/>
      <c r="YC23" s="541"/>
      <c r="YD23" s="541"/>
      <c r="YE23" s="541"/>
      <c r="YF23" s="541"/>
      <c r="YG23" s="541"/>
      <c r="YH23" s="541"/>
      <c r="YI23" s="541"/>
      <c r="YJ23" s="541"/>
      <c r="YK23" s="541"/>
      <c r="YL23" s="541"/>
      <c r="YM23" s="541"/>
      <c r="YN23" s="541"/>
      <c r="YO23" s="541"/>
      <c r="YP23" s="541"/>
      <c r="YQ23" s="541"/>
      <c r="YR23" s="541"/>
      <c r="YS23" s="541"/>
      <c r="YT23" s="541"/>
      <c r="YU23" s="541"/>
      <c r="YV23" s="541"/>
      <c r="YW23" s="541"/>
      <c r="YX23" s="541"/>
      <c r="YY23" s="541"/>
      <c r="YZ23" s="541"/>
      <c r="ZA23" s="541"/>
      <c r="ZB23" s="541"/>
      <c r="ZC23" s="541"/>
      <c r="ZD23" s="541"/>
      <c r="ZE23" s="541"/>
      <c r="ZF23" s="541"/>
      <c r="ZG23" s="541"/>
      <c r="ZH23" s="541"/>
      <c r="ZI23" s="541"/>
      <c r="ZJ23" s="541"/>
      <c r="ZK23" s="541"/>
      <c r="ZL23" s="541"/>
      <c r="ZM23" s="541"/>
      <c r="ZN23" s="541"/>
      <c r="ZO23" s="541"/>
      <c r="ZP23" s="541"/>
      <c r="ZQ23" s="541"/>
      <c r="ZR23" s="541"/>
      <c r="ZS23" s="541"/>
      <c r="ZT23" s="541"/>
      <c r="ZU23" s="541"/>
      <c r="ZV23" s="541"/>
      <c r="ZW23" s="541"/>
      <c r="ZX23" s="541"/>
      <c r="ZY23" s="541"/>
      <c r="ZZ23" s="541"/>
      <c r="AAA23" s="541"/>
      <c r="AAB23" s="541"/>
      <c r="AAC23" s="541"/>
      <c r="AAD23" s="541"/>
      <c r="AAE23" s="541"/>
      <c r="AAF23" s="541"/>
      <c r="AAG23" s="541"/>
      <c r="AAH23" s="541"/>
      <c r="AAI23" s="541"/>
      <c r="AAJ23" s="541"/>
      <c r="AAK23" s="541"/>
      <c r="AAL23" s="541"/>
      <c r="AAM23" s="541"/>
      <c r="AAN23" s="541"/>
      <c r="AAO23" s="541"/>
      <c r="AAP23" s="541"/>
      <c r="AAQ23" s="541"/>
      <c r="AAR23" s="541"/>
      <c r="AAS23" s="541"/>
      <c r="AAT23" s="541"/>
      <c r="AAU23" s="541"/>
      <c r="AAV23" s="541"/>
      <c r="AAW23" s="541"/>
      <c r="AAX23" s="541"/>
      <c r="AAY23" s="541"/>
      <c r="AAZ23" s="541"/>
      <c r="ABA23" s="541"/>
      <c r="ABB23" s="541"/>
      <c r="ABC23" s="541"/>
      <c r="ABD23" s="541"/>
      <c r="ABE23" s="541"/>
      <c r="ABF23" s="541"/>
      <c r="ABG23" s="541"/>
      <c r="ABH23" s="541"/>
      <c r="ABI23" s="541"/>
      <c r="ABJ23" s="541"/>
      <c r="ABK23" s="541"/>
      <c r="ABL23" s="541"/>
      <c r="ABM23" s="541"/>
      <c r="ABN23" s="541"/>
      <c r="ABO23" s="541"/>
      <c r="ABP23" s="541"/>
      <c r="ABQ23" s="541"/>
      <c r="ABR23" s="541"/>
      <c r="ABS23" s="541"/>
      <c r="ABT23" s="541"/>
      <c r="ABU23" s="541"/>
      <c r="ABV23" s="541"/>
      <c r="ABW23" s="541"/>
      <c r="ABX23" s="541"/>
      <c r="ABY23" s="541"/>
      <c r="ABZ23" s="541"/>
      <c r="ACA23" s="541"/>
      <c r="ACB23" s="541"/>
      <c r="ACC23" s="541"/>
      <c r="ACD23" s="541"/>
      <c r="ACE23" s="541"/>
      <c r="ACF23" s="541"/>
      <c r="ACG23" s="541"/>
      <c r="ACH23" s="541"/>
      <c r="ACI23" s="541"/>
      <c r="ACJ23" s="541"/>
      <c r="ACK23" s="541"/>
      <c r="ACL23" s="541"/>
      <c r="ACM23" s="541"/>
      <c r="ACN23" s="541"/>
      <c r="ACO23" s="541"/>
      <c r="ACP23" s="541"/>
      <c r="ACQ23" s="541"/>
      <c r="ACR23" s="541"/>
      <c r="ACS23" s="541"/>
      <c r="ACT23" s="541"/>
      <c r="ACU23" s="541"/>
      <c r="ACV23" s="541"/>
      <c r="ACW23" s="541"/>
      <c r="ACX23" s="541"/>
      <c r="ACY23" s="541"/>
      <c r="ACZ23" s="541"/>
      <c r="ADA23" s="541"/>
      <c r="ADB23" s="541"/>
      <c r="ADC23" s="541"/>
      <c r="ADD23" s="541"/>
      <c r="ADE23" s="541"/>
      <c r="ADF23" s="541"/>
      <c r="ADG23" s="541"/>
      <c r="ADH23" s="541"/>
      <c r="ADI23" s="541"/>
      <c r="ADJ23" s="541"/>
      <c r="ADK23" s="541"/>
      <c r="ADL23" s="541"/>
      <c r="ADM23" s="541"/>
      <c r="ADN23" s="541"/>
      <c r="ADO23" s="541"/>
      <c r="ADP23" s="541"/>
      <c r="ADQ23" s="541"/>
      <c r="ADR23" s="541"/>
      <c r="ADS23" s="541"/>
      <c r="ADT23" s="541"/>
      <c r="ADU23" s="541"/>
      <c r="ADV23" s="541"/>
      <c r="ADW23" s="541"/>
      <c r="ADX23" s="541"/>
      <c r="ADY23" s="541"/>
      <c r="ADZ23" s="541"/>
      <c r="AEA23" s="541"/>
      <c r="AEB23" s="541"/>
      <c r="AEC23" s="541"/>
      <c r="AED23" s="541"/>
      <c r="AEE23" s="541"/>
      <c r="AEF23" s="541"/>
      <c r="AEG23" s="541"/>
      <c r="AEH23" s="541"/>
      <c r="AEI23" s="541"/>
      <c r="AEJ23" s="541"/>
      <c r="AEK23" s="541"/>
      <c r="AEL23" s="541"/>
      <c r="AEM23" s="541"/>
      <c r="AEN23" s="541"/>
      <c r="AEO23" s="541"/>
      <c r="AEP23" s="541"/>
      <c r="AEQ23" s="541"/>
      <c r="AER23" s="541"/>
      <c r="AES23" s="541"/>
      <c r="AET23" s="541"/>
      <c r="AEU23" s="541"/>
      <c r="AEV23" s="541"/>
      <c r="AEW23" s="541"/>
      <c r="AEX23" s="541"/>
      <c r="AEY23" s="541"/>
      <c r="AEZ23" s="541"/>
      <c r="AFA23" s="541"/>
      <c r="AFB23" s="541"/>
      <c r="AFC23" s="541"/>
      <c r="AFD23" s="541"/>
      <c r="AFE23" s="541"/>
      <c r="AFF23" s="541"/>
      <c r="AFG23" s="541"/>
      <c r="AFH23" s="541"/>
      <c r="AFI23" s="541"/>
      <c r="AFJ23" s="541"/>
      <c r="AFK23" s="541"/>
      <c r="AFL23" s="541"/>
      <c r="AFM23" s="541"/>
      <c r="AFN23" s="541"/>
      <c r="AFO23" s="541"/>
      <c r="AFP23" s="541"/>
      <c r="AFQ23" s="541"/>
      <c r="AFR23" s="541"/>
      <c r="AFS23" s="541"/>
      <c r="AFT23" s="541"/>
      <c r="AFU23" s="541"/>
      <c r="AFV23" s="541"/>
      <c r="AFW23" s="541"/>
      <c r="AFX23" s="541"/>
      <c r="AFY23" s="541"/>
      <c r="AFZ23" s="541"/>
      <c r="AGA23" s="541"/>
      <c r="AGB23" s="541"/>
      <c r="AGC23" s="541"/>
      <c r="AGD23" s="541"/>
      <c r="AGE23" s="541"/>
      <c r="AGF23" s="541"/>
      <c r="AGG23" s="541"/>
      <c r="AGH23" s="541"/>
      <c r="AGI23" s="541"/>
      <c r="AGJ23" s="541"/>
      <c r="AGK23" s="541"/>
      <c r="AGL23" s="541"/>
      <c r="AGM23" s="541"/>
      <c r="AGN23" s="541"/>
      <c r="AGO23" s="541"/>
      <c r="AGP23" s="541"/>
      <c r="AGQ23" s="541"/>
      <c r="AGR23" s="541"/>
      <c r="AGS23" s="541"/>
      <c r="AGT23" s="541"/>
      <c r="AGU23" s="541"/>
      <c r="AGV23" s="541"/>
      <c r="AGW23" s="541"/>
      <c r="AGX23" s="541"/>
      <c r="AGY23" s="541"/>
      <c r="AGZ23" s="541"/>
      <c r="AHA23" s="541"/>
      <c r="AHB23" s="541"/>
      <c r="AHC23" s="541"/>
      <c r="AHD23" s="541"/>
      <c r="AHE23" s="541"/>
      <c r="AHF23" s="541"/>
      <c r="AHG23" s="541"/>
      <c r="AHH23" s="541"/>
      <c r="AHI23" s="541"/>
      <c r="AHJ23" s="541"/>
      <c r="AHK23" s="541"/>
      <c r="AHL23" s="541"/>
      <c r="AHM23" s="541"/>
      <c r="AHN23" s="541"/>
      <c r="AHO23" s="541"/>
      <c r="AHP23" s="541"/>
      <c r="AHQ23" s="541"/>
      <c r="AHR23" s="541"/>
      <c r="AHS23" s="541"/>
      <c r="AHT23" s="541"/>
      <c r="AHU23" s="541"/>
      <c r="AHV23" s="541"/>
      <c r="AHW23" s="541"/>
      <c r="AHX23" s="541"/>
      <c r="AHY23" s="541"/>
      <c r="AHZ23" s="541"/>
      <c r="AIA23" s="541"/>
      <c r="AIB23" s="541"/>
      <c r="AIC23" s="541"/>
      <c r="AID23" s="541"/>
      <c r="AIE23" s="541"/>
      <c r="AIF23" s="541"/>
      <c r="AIG23" s="541"/>
      <c r="AIH23" s="541"/>
      <c r="AII23" s="541"/>
      <c r="AIJ23" s="541"/>
      <c r="AIK23" s="541"/>
      <c r="AIL23" s="541"/>
      <c r="AIM23" s="541"/>
      <c r="AIN23" s="541"/>
      <c r="AIO23" s="541"/>
      <c r="AIP23" s="541"/>
      <c r="AIQ23" s="541"/>
      <c r="AIR23" s="541"/>
      <c r="AIS23" s="541"/>
      <c r="AIT23" s="541"/>
      <c r="AIU23" s="541"/>
      <c r="AIV23" s="541"/>
      <c r="AIW23" s="541"/>
      <c r="AIX23" s="541"/>
      <c r="AIY23" s="541"/>
      <c r="AIZ23" s="541"/>
      <c r="AJA23" s="541"/>
      <c r="AJB23" s="541"/>
      <c r="AJC23" s="541"/>
      <c r="AJD23" s="541"/>
      <c r="AJE23" s="541"/>
      <c r="AJF23" s="541"/>
      <c r="AJG23" s="541"/>
      <c r="AJH23" s="541"/>
      <c r="AJI23" s="541"/>
      <c r="AJJ23" s="541"/>
      <c r="AJK23" s="541"/>
      <c r="AJL23" s="541"/>
      <c r="AJM23" s="541"/>
      <c r="AJN23" s="541"/>
      <c r="AJO23" s="541"/>
      <c r="AJP23" s="541"/>
      <c r="AJQ23" s="541"/>
      <c r="AJR23" s="541"/>
      <c r="AJS23" s="541"/>
      <c r="AJT23" s="541"/>
      <c r="AJU23" s="541"/>
      <c r="AJV23" s="541"/>
      <c r="AJW23" s="541"/>
      <c r="AJX23" s="541"/>
      <c r="AJY23" s="541"/>
      <c r="AJZ23" s="541"/>
      <c r="AKA23" s="541"/>
      <c r="AKB23" s="541"/>
      <c r="AKC23" s="541"/>
      <c r="AKD23" s="541"/>
      <c r="AKE23" s="541"/>
      <c r="AKF23" s="541"/>
      <c r="AKG23" s="541"/>
      <c r="AKH23" s="541"/>
      <c r="AKI23" s="541"/>
      <c r="AKJ23" s="541"/>
      <c r="AKK23" s="541"/>
      <c r="AKL23" s="541"/>
      <c r="AKM23" s="541"/>
      <c r="AKN23" s="541"/>
      <c r="AKO23" s="541"/>
      <c r="AKP23" s="541"/>
      <c r="AKQ23" s="541"/>
      <c r="AKR23" s="541"/>
      <c r="AKS23" s="541"/>
      <c r="AKT23" s="541"/>
      <c r="AKU23" s="541"/>
      <c r="AKV23" s="541"/>
      <c r="AKW23" s="541"/>
      <c r="AKX23" s="541"/>
      <c r="AKY23" s="541"/>
      <c r="AKZ23" s="541"/>
      <c r="ALA23" s="541"/>
      <c r="ALB23" s="541"/>
      <c r="ALC23" s="541"/>
      <c r="ALD23" s="541"/>
      <c r="ALE23" s="541"/>
      <c r="ALF23" s="541"/>
      <c r="ALG23" s="541"/>
      <c r="ALH23" s="541"/>
      <c r="ALI23" s="541"/>
      <c r="ALJ23" s="541"/>
      <c r="ALK23" s="541"/>
      <c r="ALL23" s="541"/>
      <c r="ALM23" s="541"/>
      <c r="ALN23" s="541"/>
      <c r="ALO23" s="541"/>
      <c r="ALP23" s="541"/>
      <c r="ALQ23" s="541"/>
      <c r="ALR23" s="541"/>
      <c r="ALS23" s="541"/>
      <c r="ALT23" s="541"/>
      <c r="ALU23" s="541"/>
      <c r="ALV23" s="541"/>
      <c r="ALW23" s="541"/>
      <c r="ALX23" s="541"/>
      <c r="ALY23" s="541"/>
      <c r="ALZ23" s="541"/>
      <c r="AMA23" s="541"/>
      <c r="AMB23" s="541"/>
      <c r="AMC23" s="541"/>
      <c r="AMD23" s="541"/>
      <c r="AME23" s="541"/>
      <c r="AMF23" s="541"/>
      <c r="AMG23" s="541"/>
      <c r="AMH23" s="541"/>
      <c r="AMI23" s="541"/>
      <c r="AMJ23" s="541"/>
      <c r="AMK23" s="541"/>
      <c r="AML23" s="541"/>
      <c r="AMM23" s="541"/>
      <c r="AMN23" s="541"/>
      <c r="AMO23" s="541"/>
      <c r="AMP23" s="541"/>
      <c r="AMQ23" s="541"/>
      <c r="AMR23" s="541"/>
      <c r="AMS23" s="541"/>
      <c r="AMT23" s="541"/>
      <c r="AMU23" s="541"/>
      <c r="AMV23" s="541"/>
      <c r="AMW23" s="541"/>
      <c r="AMX23" s="541"/>
      <c r="AMY23" s="541"/>
      <c r="AMZ23" s="541"/>
      <c r="ANA23" s="541"/>
      <c r="ANB23" s="541"/>
      <c r="ANC23" s="541"/>
      <c r="AND23" s="541"/>
      <c r="ANE23" s="541"/>
      <c r="ANF23" s="541"/>
      <c r="ANG23" s="541"/>
      <c r="ANH23" s="541"/>
      <c r="ANI23" s="541"/>
      <c r="ANJ23" s="541"/>
      <c r="ANK23" s="541"/>
      <c r="ANL23" s="541"/>
      <c r="ANM23" s="541"/>
      <c r="ANN23" s="541"/>
      <c r="ANO23" s="541"/>
      <c r="ANP23" s="541"/>
      <c r="ANQ23" s="541"/>
      <c r="ANR23" s="541"/>
      <c r="ANS23" s="541"/>
      <c r="ANT23" s="541"/>
      <c r="ANU23" s="541"/>
      <c r="ANV23" s="541"/>
      <c r="ANW23" s="541"/>
      <c r="ANX23" s="541"/>
      <c r="ANY23" s="541"/>
      <c r="ANZ23" s="541"/>
      <c r="AOA23" s="541"/>
      <c r="AOB23" s="541"/>
      <c r="AOC23" s="541"/>
      <c r="AOD23" s="541"/>
      <c r="AOE23" s="541"/>
      <c r="AOF23" s="541"/>
      <c r="AOG23" s="541"/>
      <c r="AOH23" s="541"/>
      <c r="AOI23" s="541"/>
      <c r="AOJ23" s="541"/>
      <c r="AOK23" s="541"/>
      <c r="AOL23" s="541"/>
      <c r="AOM23" s="541"/>
      <c r="AON23" s="541"/>
      <c r="AOO23" s="541"/>
      <c r="AOP23" s="541"/>
      <c r="AOQ23" s="541"/>
      <c r="AOR23" s="541"/>
      <c r="AOS23" s="541"/>
      <c r="AOT23" s="541"/>
      <c r="AOU23" s="541"/>
      <c r="AOV23" s="541"/>
      <c r="AOW23" s="541"/>
      <c r="AOX23" s="541"/>
      <c r="AOY23" s="541"/>
      <c r="AOZ23" s="541"/>
      <c r="APA23" s="541"/>
      <c r="APB23" s="541"/>
      <c r="APC23" s="541"/>
      <c r="APD23" s="541"/>
      <c r="APE23" s="541"/>
      <c r="APF23" s="541"/>
      <c r="APG23" s="541"/>
      <c r="APH23" s="541"/>
      <c r="API23" s="541"/>
      <c r="APJ23" s="541"/>
      <c r="APK23" s="541"/>
      <c r="APL23" s="541"/>
      <c r="APM23" s="541"/>
      <c r="APN23" s="541"/>
      <c r="APO23" s="541"/>
      <c r="APP23" s="541"/>
      <c r="APQ23" s="541"/>
      <c r="APR23" s="541"/>
      <c r="APS23" s="541"/>
      <c r="APT23" s="541"/>
      <c r="APU23" s="541"/>
      <c r="APV23" s="541"/>
      <c r="APW23" s="541"/>
      <c r="APX23" s="541"/>
      <c r="APY23" s="541"/>
      <c r="APZ23" s="541"/>
      <c r="AQA23" s="541"/>
      <c r="AQB23" s="541"/>
      <c r="AQC23" s="541"/>
      <c r="AQD23" s="541"/>
      <c r="AQE23" s="541"/>
      <c r="AQF23" s="541"/>
      <c r="AQG23" s="541"/>
      <c r="AQH23" s="541"/>
      <c r="AQI23" s="541"/>
      <c r="AQJ23" s="541"/>
      <c r="AQK23" s="541"/>
      <c r="AQL23" s="541"/>
      <c r="AQM23" s="541"/>
      <c r="AQN23" s="541"/>
      <c r="AQO23" s="541"/>
      <c r="AQP23" s="541"/>
      <c r="AQQ23" s="541"/>
      <c r="AQR23" s="541"/>
      <c r="AQS23" s="541"/>
      <c r="AQT23" s="541"/>
      <c r="AQU23" s="541"/>
      <c r="AQV23" s="541"/>
      <c r="AQW23" s="541"/>
      <c r="AQX23" s="541"/>
      <c r="AQY23" s="541"/>
      <c r="AQZ23" s="541"/>
      <c r="ARA23" s="541"/>
      <c r="ARB23" s="541"/>
      <c r="ARC23" s="541"/>
      <c r="ARD23" s="541"/>
      <c r="ARE23" s="541"/>
      <c r="ARF23" s="541"/>
      <c r="ARG23" s="541"/>
      <c r="ARH23" s="541"/>
      <c r="ARI23" s="541"/>
      <c r="ARJ23" s="541"/>
      <c r="ARK23" s="541"/>
      <c r="ARL23" s="541"/>
      <c r="ARM23" s="541"/>
      <c r="ARN23" s="541"/>
      <c r="ARO23" s="541"/>
      <c r="ARP23" s="541"/>
      <c r="ARQ23" s="541"/>
      <c r="ARR23" s="541"/>
      <c r="ARS23" s="541"/>
      <c r="ART23" s="541"/>
      <c r="ARU23" s="541"/>
    </row>
    <row r="24" spans="1:1165" s="658" customFormat="1">
      <c r="A24" s="613" t="s">
        <v>203</v>
      </c>
      <c r="B24" s="578" t="s">
        <v>110</v>
      </c>
      <c r="C24" s="659">
        <v>11420</v>
      </c>
      <c r="D24" s="659">
        <v>989397</v>
      </c>
      <c r="E24" s="581">
        <v>0</v>
      </c>
      <c r="F24" s="581">
        <v>0</v>
      </c>
      <c r="G24" s="581">
        <v>0</v>
      </c>
      <c r="H24" s="581">
        <v>0</v>
      </c>
      <c r="I24" s="581">
        <v>0</v>
      </c>
      <c r="J24" s="581">
        <v>0</v>
      </c>
      <c r="K24" s="581">
        <v>0</v>
      </c>
      <c r="L24" s="581">
        <v>0</v>
      </c>
      <c r="M24" s="581">
        <v>0</v>
      </c>
      <c r="N24" s="581">
        <v>0</v>
      </c>
      <c r="O24" s="581">
        <v>0</v>
      </c>
      <c r="P24" s="581">
        <v>0</v>
      </c>
      <c r="Q24" s="581">
        <v>0</v>
      </c>
      <c r="R24" s="581">
        <v>0</v>
      </c>
      <c r="S24" s="581">
        <v>0</v>
      </c>
      <c r="T24" s="581">
        <v>0</v>
      </c>
      <c r="U24" s="581">
        <v>0</v>
      </c>
      <c r="V24" s="581">
        <v>0</v>
      </c>
      <c r="W24" s="581">
        <v>0</v>
      </c>
      <c r="X24" s="581">
        <v>0</v>
      </c>
      <c r="Y24" s="581">
        <v>0</v>
      </c>
      <c r="Z24" s="581">
        <v>0</v>
      </c>
      <c r="AA24" s="581">
        <v>0</v>
      </c>
      <c r="AB24" s="581">
        <v>0</v>
      </c>
      <c r="AC24" s="581">
        <v>0</v>
      </c>
      <c r="AD24" s="581">
        <v>0</v>
      </c>
      <c r="AE24" s="581">
        <v>0</v>
      </c>
      <c r="AF24" s="581">
        <v>0</v>
      </c>
      <c r="AG24" s="581">
        <v>0</v>
      </c>
      <c r="AH24" s="581">
        <v>0</v>
      </c>
      <c r="AI24" s="581">
        <v>0</v>
      </c>
      <c r="AJ24" s="581">
        <v>0</v>
      </c>
      <c r="AK24" s="581">
        <v>0</v>
      </c>
      <c r="AL24" s="581">
        <v>0</v>
      </c>
      <c r="AM24" s="581">
        <v>0</v>
      </c>
      <c r="AN24" s="581">
        <v>0</v>
      </c>
      <c r="AO24" s="581">
        <v>0</v>
      </c>
      <c r="AP24" s="581">
        <v>0</v>
      </c>
      <c r="AQ24" s="581">
        <v>0</v>
      </c>
      <c r="AR24" s="581">
        <v>0</v>
      </c>
      <c r="AS24" s="581">
        <v>0</v>
      </c>
      <c r="AT24" s="581">
        <v>0</v>
      </c>
      <c r="AU24" s="581">
        <v>0</v>
      </c>
      <c r="AV24" s="581">
        <v>0</v>
      </c>
      <c r="AW24" s="581">
        <v>0</v>
      </c>
      <c r="AX24" s="581">
        <v>0</v>
      </c>
      <c r="AY24" s="616">
        <v>0</v>
      </c>
      <c r="AZ24" s="616">
        <v>0</v>
      </c>
      <c r="BA24" s="620"/>
      <c r="BB24" s="581"/>
      <c r="BC24" s="581"/>
      <c r="BD24" s="581"/>
      <c r="BE24" s="581"/>
      <c r="BF24" s="581"/>
      <c r="BG24" s="581"/>
      <c r="BH24" s="581"/>
      <c r="BI24" s="620"/>
      <c r="BJ24" s="581">
        <f t="shared" si="1"/>
        <v>11420</v>
      </c>
      <c r="BK24" s="581">
        <f>D24+H24+J24+L24+N24+P24+R24+T24+V24+X24+Z24+AB24+AD24+AF24+AH24+AJ24+AL24+AN24+AP24+AR24+AT24+AV24+AX24+AZ24+BD24+BH24</f>
        <v>989397</v>
      </c>
      <c r="BL24" s="541"/>
      <c r="BM24" s="624"/>
      <c r="BN24" s="624"/>
      <c r="BO24" s="624"/>
      <c r="BP24" s="624"/>
      <c r="BQ24" s="541"/>
      <c r="BR24" s="541"/>
      <c r="BS24" s="541"/>
      <c r="BT24" s="541"/>
      <c r="BU24" s="541"/>
      <c r="BV24" s="541"/>
      <c r="BW24" s="541"/>
      <c r="BX24" s="541"/>
      <c r="BY24" s="541"/>
      <c r="BZ24" s="541"/>
      <c r="CA24" s="541"/>
      <c r="CB24" s="541"/>
      <c r="CC24" s="541"/>
      <c r="CD24" s="541"/>
      <c r="CE24" s="541"/>
      <c r="CF24" s="541"/>
      <c r="CG24" s="541"/>
      <c r="CH24" s="541"/>
      <c r="CI24" s="541"/>
      <c r="CJ24" s="541"/>
      <c r="CK24" s="541"/>
      <c r="CL24" s="541"/>
      <c r="CM24" s="541"/>
      <c r="CN24" s="541"/>
      <c r="CO24" s="541"/>
      <c r="CP24" s="541"/>
      <c r="CQ24" s="541"/>
      <c r="CR24" s="541"/>
      <c r="CS24" s="541"/>
      <c r="CT24" s="541"/>
      <c r="CU24" s="541"/>
      <c r="CV24" s="541"/>
      <c r="CW24" s="541"/>
      <c r="CX24" s="541"/>
      <c r="CY24" s="541"/>
      <c r="CZ24" s="541"/>
      <c r="DA24" s="541"/>
      <c r="DB24" s="541"/>
      <c r="DC24" s="541"/>
      <c r="DD24" s="541"/>
      <c r="DE24" s="541"/>
      <c r="DF24" s="541"/>
      <c r="DG24" s="541"/>
      <c r="DH24" s="541"/>
      <c r="DI24" s="541"/>
      <c r="DJ24" s="541"/>
      <c r="DK24" s="541"/>
      <c r="DL24" s="541"/>
      <c r="DM24" s="541"/>
      <c r="DN24" s="541"/>
      <c r="DO24" s="541"/>
      <c r="DP24" s="541"/>
      <c r="DQ24" s="541"/>
      <c r="DR24" s="541"/>
      <c r="DS24" s="541"/>
      <c r="DT24" s="541"/>
      <c r="DU24" s="541"/>
      <c r="DV24" s="541"/>
      <c r="DW24" s="541"/>
      <c r="DX24" s="541"/>
      <c r="DY24" s="541"/>
      <c r="DZ24" s="541"/>
      <c r="EA24" s="541"/>
      <c r="EB24" s="541"/>
      <c r="EC24" s="541"/>
      <c r="ED24" s="541"/>
      <c r="EE24" s="541"/>
      <c r="EF24" s="541"/>
      <c r="EG24" s="541"/>
      <c r="EH24" s="541"/>
      <c r="EI24" s="541"/>
      <c r="EJ24" s="541"/>
      <c r="EK24" s="541"/>
      <c r="EL24" s="541"/>
      <c r="EM24" s="541"/>
      <c r="EN24" s="541"/>
      <c r="EO24" s="541"/>
      <c r="EP24" s="541"/>
      <c r="EQ24" s="541"/>
      <c r="ER24" s="541"/>
      <c r="ES24" s="541"/>
      <c r="ET24" s="541"/>
      <c r="EU24" s="541"/>
      <c r="EV24" s="541"/>
      <c r="EW24" s="541"/>
      <c r="EX24" s="541"/>
      <c r="EY24" s="541"/>
      <c r="EZ24" s="541"/>
      <c r="FA24" s="541"/>
      <c r="FB24" s="541"/>
      <c r="FC24" s="541"/>
      <c r="FD24" s="541"/>
      <c r="FE24" s="541"/>
      <c r="FF24" s="541"/>
      <c r="FG24" s="541"/>
      <c r="FH24" s="541"/>
      <c r="FI24" s="541"/>
      <c r="FJ24" s="541"/>
      <c r="FK24" s="541"/>
      <c r="FL24" s="541"/>
      <c r="FM24" s="541"/>
      <c r="FN24" s="541"/>
      <c r="FO24" s="541"/>
      <c r="FP24" s="541"/>
      <c r="FQ24" s="541"/>
      <c r="FR24" s="541"/>
      <c r="FS24" s="541"/>
      <c r="FT24" s="541"/>
      <c r="FU24" s="541"/>
      <c r="FV24" s="541"/>
      <c r="FW24" s="541"/>
      <c r="FX24" s="541"/>
      <c r="FY24" s="541"/>
      <c r="FZ24" s="541"/>
      <c r="GA24" s="541"/>
      <c r="GB24" s="541"/>
      <c r="GC24" s="541"/>
      <c r="GD24" s="541"/>
      <c r="GE24" s="541"/>
      <c r="GF24" s="541"/>
      <c r="GG24" s="541"/>
      <c r="GH24" s="541"/>
      <c r="GI24" s="541"/>
      <c r="GJ24" s="541"/>
      <c r="GK24" s="541"/>
      <c r="GL24" s="541"/>
      <c r="GM24" s="541"/>
      <c r="GN24" s="541"/>
      <c r="GO24" s="541"/>
      <c r="GP24" s="541"/>
      <c r="GQ24" s="541"/>
      <c r="GR24" s="541"/>
      <c r="GS24" s="541"/>
      <c r="GT24" s="541"/>
      <c r="GU24" s="541"/>
      <c r="GV24" s="541"/>
      <c r="GW24" s="541"/>
      <c r="GX24" s="541"/>
      <c r="GY24" s="541"/>
      <c r="GZ24" s="541"/>
      <c r="HA24" s="541"/>
      <c r="HB24" s="541"/>
      <c r="HC24" s="541"/>
      <c r="HD24" s="541"/>
      <c r="HE24" s="541"/>
      <c r="HF24" s="541"/>
      <c r="HG24" s="541"/>
      <c r="HH24" s="541"/>
      <c r="HI24" s="541"/>
      <c r="HJ24" s="541"/>
      <c r="HK24" s="541"/>
      <c r="HL24" s="541"/>
      <c r="HM24" s="541"/>
      <c r="HN24" s="541"/>
      <c r="HO24" s="541"/>
      <c r="HP24" s="541"/>
      <c r="HQ24" s="541"/>
      <c r="HR24" s="541"/>
      <c r="HS24" s="541"/>
      <c r="HT24" s="541"/>
      <c r="HU24" s="541"/>
      <c r="HV24" s="541"/>
      <c r="HW24" s="541"/>
      <c r="HX24" s="541"/>
      <c r="HY24" s="541"/>
      <c r="HZ24" s="541"/>
      <c r="IA24" s="541"/>
      <c r="IB24" s="541"/>
      <c r="IC24" s="541"/>
      <c r="ID24" s="541"/>
      <c r="IE24" s="541"/>
      <c r="IF24" s="541"/>
      <c r="IG24" s="541"/>
      <c r="IH24" s="541"/>
      <c r="II24" s="541"/>
      <c r="IJ24" s="541"/>
      <c r="IK24" s="541"/>
      <c r="IL24" s="541"/>
      <c r="IM24" s="541"/>
      <c r="IN24" s="541"/>
      <c r="IO24" s="541"/>
      <c r="IP24" s="541"/>
      <c r="IQ24" s="541"/>
      <c r="IR24" s="541"/>
      <c r="IS24" s="541"/>
      <c r="IT24" s="541"/>
      <c r="IU24" s="541"/>
      <c r="IV24" s="541"/>
      <c r="IW24" s="541"/>
      <c r="IX24" s="541"/>
      <c r="IY24" s="541"/>
      <c r="IZ24" s="541"/>
      <c r="JA24" s="541"/>
      <c r="JB24" s="541"/>
      <c r="JC24" s="541"/>
      <c r="JD24" s="541"/>
      <c r="JE24" s="541"/>
      <c r="JF24" s="541"/>
      <c r="JG24" s="541"/>
      <c r="JH24" s="541"/>
      <c r="JI24" s="541"/>
      <c r="JJ24" s="541"/>
      <c r="JK24" s="541"/>
      <c r="JL24" s="541"/>
      <c r="JM24" s="541"/>
      <c r="JN24" s="541"/>
      <c r="JO24" s="541"/>
      <c r="JP24" s="541"/>
      <c r="JQ24" s="541"/>
      <c r="JR24" s="541"/>
      <c r="JS24" s="541"/>
      <c r="JT24" s="541"/>
      <c r="JU24" s="541"/>
      <c r="JV24" s="541"/>
      <c r="JW24" s="541"/>
      <c r="JX24" s="541"/>
      <c r="JY24" s="541"/>
      <c r="JZ24" s="541"/>
      <c r="KA24" s="541"/>
      <c r="KB24" s="541"/>
      <c r="KC24" s="541"/>
      <c r="KD24" s="541"/>
      <c r="KE24" s="541"/>
      <c r="KF24" s="541"/>
      <c r="KG24" s="541"/>
      <c r="KH24" s="541"/>
      <c r="KI24" s="541"/>
      <c r="KJ24" s="541"/>
      <c r="KK24" s="541"/>
      <c r="KL24" s="541"/>
      <c r="KM24" s="541"/>
      <c r="KN24" s="541"/>
      <c r="KO24" s="541"/>
      <c r="KP24" s="541"/>
      <c r="KQ24" s="541"/>
      <c r="KR24" s="541"/>
      <c r="KS24" s="541"/>
      <c r="KT24" s="541"/>
      <c r="KU24" s="541"/>
      <c r="KV24" s="541"/>
      <c r="KW24" s="541"/>
      <c r="KX24" s="541"/>
      <c r="KY24" s="541"/>
      <c r="KZ24" s="541"/>
      <c r="LA24" s="541"/>
      <c r="LB24" s="541"/>
      <c r="LC24" s="541"/>
      <c r="LD24" s="541"/>
      <c r="LE24" s="541"/>
      <c r="LF24" s="541"/>
      <c r="LG24" s="541"/>
      <c r="LH24" s="541"/>
      <c r="LI24" s="541"/>
      <c r="LJ24" s="541"/>
      <c r="LK24" s="541"/>
      <c r="LL24" s="541"/>
      <c r="LM24" s="541"/>
      <c r="LN24" s="541"/>
      <c r="LO24" s="541"/>
      <c r="LP24" s="541"/>
      <c r="LQ24" s="541"/>
      <c r="LR24" s="541"/>
      <c r="LS24" s="541"/>
      <c r="LT24" s="541"/>
      <c r="LU24" s="541"/>
      <c r="LV24" s="541"/>
      <c r="LW24" s="541"/>
      <c r="LX24" s="541"/>
      <c r="LY24" s="541"/>
      <c r="LZ24" s="541"/>
      <c r="MA24" s="541"/>
      <c r="MB24" s="541"/>
      <c r="MC24" s="541"/>
      <c r="MD24" s="541"/>
      <c r="ME24" s="541"/>
      <c r="MF24" s="541"/>
      <c r="MG24" s="541"/>
      <c r="MH24" s="541"/>
      <c r="MI24" s="541"/>
      <c r="MJ24" s="541"/>
      <c r="MK24" s="541"/>
      <c r="ML24" s="541"/>
      <c r="MM24" s="541"/>
      <c r="MN24" s="541"/>
      <c r="MO24" s="541"/>
      <c r="MP24" s="541"/>
      <c r="MQ24" s="541"/>
      <c r="MR24" s="541"/>
      <c r="MS24" s="541"/>
      <c r="MT24" s="541"/>
      <c r="MU24" s="541"/>
      <c r="MV24" s="541"/>
      <c r="MW24" s="541"/>
      <c r="MX24" s="541"/>
      <c r="MY24" s="541"/>
      <c r="MZ24" s="541"/>
      <c r="NA24" s="541"/>
      <c r="NB24" s="541"/>
      <c r="NC24" s="541"/>
      <c r="ND24" s="541"/>
      <c r="NE24" s="541"/>
      <c r="NF24" s="541"/>
      <c r="NG24" s="541"/>
      <c r="NH24" s="541"/>
      <c r="NI24" s="541"/>
      <c r="NJ24" s="541"/>
      <c r="NK24" s="541"/>
      <c r="NL24" s="541"/>
      <c r="NM24" s="541"/>
      <c r="NN24" s="541"/>
      <c r="NO24" s="541"/>
      <c r="NP24" s="541"/>
      <c r="NQ24" s="541"/>
      <c r="NR24" s="541"/>
      <c r="NS24" s="541"/>
      <c r="NT24" s="541"/>
      <c r="NU24" s="541"/>
      <c r="NV24" s="541"/>
      <c r="NW24" s="541"/>
      <c r="NX24" s="541"/>
      <c r="NY24" s="541"/>
      <c r="NZ24" s="541"/>
      <c r="OA24" s="541"/>
      <c r="OB24" s="541"/>
      <c r="OC24" s="541"/>
      <c r="OD24" s="541"/>
      <c r="OE24" s="541"/>
      <c r="OF24" s="541"/>
      <c r="OG24" s="541"/>
      <c r="OH24" s="541"/>
      <c r="OI24" s="541"/>
      <c r="OJ24" s="541"/>
      <c r="OK24" s="541"/>
      <c r="OL24" s="541"/>
      <c r="OM24" s="541"/>
      <c r="ON24" s="541"/>
      <c r="OO24" s="541"/>
      <c r="OP24" s="541"/>
      <c r="OQ24" s="541"/>
      <c r="OR24" s="541"/>
      <c r="OS24" s="541"/>
      <c r="OT24" s="541"/>
      <c r="OU24" s="541"/>
      <c r="OV24" s="541"/>
      <c r="OW24" s="541"/>
      <c r="OX24" s="541"/>
      <c r="OY24" s="541"/>
      <c r="OZ24" s="541"/>
      <c r="PA24" s="541"/>
      <c r="PB24" s="541"/>
      <c r="PC24" s="541"/>
      <c r="PD24" s="541"/>
      <c r="PE24" s="541"/>
      <c r="PF24" s="541"/>
      <c r="PG24" s="541"/>
      <c r="PH24" s="541"/>
      <c r="PI24" s="541"/>
      <c r="PJ24" s="541"/>
      <c r="PK24" s="541"/>
      <c r="PL24" s="541"/>
      <c r="PM24" s="541"/>
      <c r="PN24" s="541"/>
      <c r="PO24" s="541"/>
      <c r="PP24" s="541"/>
      <c r="PQ24" s="541"/>
      <c r="PR24" s="541"/>
      <c r="PS24" s="541"/>
      <c r="PT24" s="541"/>
      <c r="PU24" s="541"/>
      <c r="PV24" s="541"/>
      <c r="PW24" s="541"/>
      <c r="PX24" s="541"/>
      <c r="PY24" s="541"/>
      <c r="PZ24" s="541"/>
      <c r="QA24" s="541"/>
      <c r="QB24" s="541"/>
      <c r="QC24" s="541"/>
      <c r="QD24" s="541"/>
      <c r="QE24" s="541"/>
      <c r="QF24" s="541"/>
      <c r="QG24" s="541"/>
      <c r="QH24" s="541"/>
      <c r="QI24" s="541"/>
      <c r="QJ24" s="541"/>
      <c r="QK24" s="541"/>
      <c r="QL24" s="541"/>
      <c r="QM24" s="541"/>
      <c r="QN24" s="541"/>
      <c r="QO24" s="541"/>
      <c r="QP24" s="541"/>
      <c r="QQ24" s="541"/>
      <c r="QR24" s="541"/>
      <c r="QS24" s="541"/>
      <c r="QT24" s="541"/>
      <c r="QU24" s="541"/>
      <c r="QV24" s="541"/>
      <c r="QW24" s="541"/>
      <c r="QX24" s="541"/>
      <c r="QY24" s="541"/>
      <c r="QZ24" s="541"/>
      <c r="RA24" s="541"/>
      <c r="RB24" s="541"/>
      <c r="RC24" s="541"/>
      <c r="RD24" s="541"/>
      <c r="RE24" s="541"/>
      <c r="RF24" s="541"/>
      <c r="RG24" s="541"/>
      <c r="RH24" s="541"/>
      <c r="RI24" s="541"/>
      <c r="RJ24" s="541"/>
      <c r="RK24" s="541"/>
      <c r="RL24" s="541"/>
      <c r="RM24" s="541"/>
      <c r="RN24" s="541"/>
      <c r="RO24" s="541"/>
      <c r="RP24" s="541"/>
      <c r="RQ24" s="541"/>
      <c r="RR24" s="541"/>
      <c r="RS24" s="541"/>
      <c r="RT24" s="541"/>
      <c r="RU24" s="541"/>
      <c r="RV24" s="541"/>
      <c r="RW24" s="541"/>
      <c r="RX24" s="541"/>
      <c r="RY24" s="541"/>
      <c r="RZ24" s="541"/>
      <c r="SA24" s="541"/>
      <c r="SB24" s="541"/>
      <c r="SC24" s="541"/>
      <c r="SD24" s="541"/>
      <c r="SE24" s="541"/>
      <c r="SF24" s="541"/>
      <c r="SG24" s="541"/>
      <c r="SH24" s="541"/>
      <c r="SI24" s="541"/>
      <c r="SJ24" s="541"/>
      <c r="SK24" s="541"/>
      <c r="SL24" s="541"/>
      <c r="SM24" s="541"/>
      <c r="SN24" s="541"/>
      <c r="SO24" s="541"/>
      <c r="SP24" s="541"/>
      <c r="SQ24" s="541"/>
      <c r="SR24" s="541"/>
      <c r="SS24" s="541"/>
      <c r="ST24" s="541"/>
      <c r="SU24" s="541"/>
      <c r="SV24" s="541"/>
      <c r="SW24" s="541"/>
      <c r="SX24" s="541"/>
      <c r="SY24" s="541"/>
      <c r="SZ24" s="541"/>
      <c r="TA24" s="541"/>
      <c r="TB24" s="541"/>
      <c r="TC24" s="541"/>
      <c r="TD24" s="541"/>
      <c r="TE24" s="541"/>
      <c r="TF24" s="541"/>
      <c r="TG24" s="541"/>
      <c r="TH24" s="541"/>
      <c r="TI24" s="541"/>
      <c r="TJ24" s="541"/>
      <c r="TK24" s="541"/>
      <c r="TL24" s="541"/>
      <c r="TM24" s="541"/>
      <c r="TN24" s="541"/>
      <c r="TO24" s="541"/>
      <c r="TP24" s="541"/>
      <c r="TQ24" s="541"/>
      <c r="TR24" s="541"/>
      <c r="TS24" s="541"/>
      <c r="TT24" s="541"/>
      <c r="TU24" s="541"/>
      <c r="TV24" s="541"/>
      <c r="TW24" s="541"/>
      <c r="TX24" s="541"/>
      <c r="TY24" s="541"/>
      <c r="TZ24" s="541"/>
      <c r="UA24" s="541"/>
      <c r="UB24" s="541"/>
      <c r="UC24" s="541"/>
      <c r="UD24" s="541"/>
      <c r="UE24" s="541"/>
      <c r="UF24" s="541"/>
      <c r="UG24" s="541"/>
      <c r="UH24" s="541"/>
      <c r="UI24" s="541"/>
      <c r="UJ24" s="541"/>
      <c r="UK24" s="541"/>
      <c r="UL24" s="541"/>
      <c r="UM24" s="541"/>
      <c r="UN24" s="541"/>
      <c r="UO24" s="541"/>
      <c r="UP24" s="541"/>
      <c r="UQ24" s="541"/>
      <c r="UR24" s="541"/>
      <c r="US24" s="541"/>
      <c r="UT24" s="541"/>
      <c r="UU24" s="541"/>
      <c r="UV24" s="541"/>
      <c r="UW24" s="541"/>
      <c r="UX24" s="541"/>
      <c r="UY24" s="541"/>
      <c r="UZ24" s="541"/>
      <c r="VA24" s="541"/>
      <c r="VB24" s="541"/>
      <c r="VC24" s="541"/>
      <c r="VD24" s="541"/>
      <c r="VE24" s="541"/>
      <c r="VF24" s="541"/>
      <c r="VG24" s="541"/>
      <c r="VH24" s="541"/>
      <c r="VI24" s="541"/>
      <c r="VJ24" s="541"/>
      <c r="VK24" s="541"/>
      <c r="VL24" s="541"/>
      <c r="VM24" s="541"/>
      <c r="VN24" s="541"/>
      <c r="VO24" s="541"/>
      <c r="VP24" s="541"/>
      <c r="VQ24" s="541"/>
      <c r="VR24" s="541"/>
      <c r="VS24" s="541"/>
      <c r="VT24" s="541"/>
      <c r="VU24" s="541"/>
      <c r="VV24" s="541"/>
      <c r="VW24" s="541"/>
      <c r="VX24" s="541"/>
      <c r="VY24" s="541"/>
      <c r="VZ24" s="541"/>
      <c r="WA24" s="541"/>
      <c r="WB24" s="541"/>
      <c r="WC24" s="541"/>
      <c r="WD24" s="541"/>
      <c r="WE24" s="541"/>
      <c r="WF24" s="541"/>
      <c r="WG24" s="541"/>
      <c r="WH24" s="541"/>
      <c r="WI24" s="541"/>
      <c r="WJ24" s="541"/>
      <c r="WK24" s="541"/>
      <c r="WL24" s="541"/>
      <c r="WM24" s="541"/>
      <c r="WN24" s="541"/>
      <c r="WO24" s="541"/>
      <c r="WP24" s="541"/>
      <c r="WQ24" s="541"/>
      <c r="WR24" s="541"/>
      <c r="WS24" s="541"/>
      <c r="WT24" s="541"/>
      <c r="WU24" s="541"/>
      <c r="WV24" s="541"/>
      <c r="WW24" s="541"/>
      <c r="WX24" s="541"/>
      <c r="WY24" s="541"/>
      <c r="WZ24" s="541"/>
      <c r="XA24" s="541"/>
      <c r="XB24" s="541"/>
      <c r="XC24" s="541"/>
      <c r="XD24" s="541"/>
      <c r="XE24" s="541"/>
      <c r="XF24" s="541"/>
      <c r="XG24" s="541"/>
      <c r="XH24" s="541"/>
      <c r="XI24" s="541"/>
      <c r="XJ24" s="541"/>
      <c r="XK24" s="541"/>
      <c r="XL24" s="541"/>
      <c r="XM24" s="541"/>
      <c r="XN24" s="541"/>
      <c r="XO24" s="541"/>
      <c r="XP24" s="541"/>
      <c r="XQ24" s="541"/>
      <c r="XR24" s="541"/>
      <c r="XS24" s="541"/>
      <c r="XT24" s="541"/>
      <c r="XU24" s="541"/>
      <c r="XV24" s="541"/>
      <c r="XW24" s="541"/>
      <c r="XX24" s="541"/>
      <c r="XY24" s="541"/>
      <c r="XZ24" s="541"/>
      <c r="YA24" s="541"/>
      <c r="YB24" s="541"/>
      <c r="YC24" s="541"/>
      <c r="YD24" s="541"/>
      <c r="YE24" s="541"/>
      <c r="YF24" s="541"/>
      <c r="YG24" s="541"/>
      <c r="YH24" s="541"/>
      <c r="YI24" s="541"/>
      <c r="YJ24" s="541"/>
      <c r="YK24" s="541"/>
      <c r="YL24" s="541"/>
      <c r="YM24" s="541"/>
      <c r="YN24" s="541"/>
      <c r="YO24" s="541"/>
      <c r="YP24" s="541"/>
      <c r="YQ24" s="541"/>
      <c r="YR24" s="541"/>
      <c r="YS24" s="541"/>
      <c r="YT24" s="541"/>
      <c r="YU24" s="541"/>
      <c r="YV24" s="541"/>
      <c r="YW24" s="541"/>
      <c r="YX24" s="541"/>
      <c r="YY24" s="541"/>
      <c r="YZ24" s="541"/>
      <c r="ZA24" s="541"/>
      <c r="ZB24" s="541"/>
      <c r="ZC24" s="541"/>
      <c r="ZD24" s="541"/>
      <c r="ZE24" s="541"/>
      <c r="ZF24" s="541"/>
      <c r="ZG24" s="541"/>
      <c r="ZH24" s="541"/>
      <c r="ZI24" s="541"/>
      <c r="ZJ24" s="541"/>
      <c r="ZK24" s="541"/>
      <c r="ZL24" s="541"/>
      <c r="ZM24" s="541"/>
      <c r="ZN24" s="541"/>
      <c r="ZO24" s="541"/>
      <c r="ZP24" s="541"/>
      <c r="ZQ24" s="541"/>
      <c r="ZR24" s="541"/>
      <c r="ZS24" s="541"/>
      <c r="ZT24" s="541"/>
      <c r="ZU24" s="541"/>
      <c r="ZV24" s="541"/>
      <c r="ZW24" s="541"/>
      <c r="ZX24" s="541"/>
      <c r="ZY24" s="541"/>
      <c r="ZZ24" s="541"/>
      <c r="AAA24" s="541"/>
      <c r="AAB24" s="541"/>
      <c r="AAC24" s="541"/>
      <c r="AAD24" s="541"/>
      <c r="AAE24" s="541"/>
      <c r="AAF24" s="541"/>
      <c r="AAG24" s="541"/>
      <c r="AAH24" s="541"/>
      <c r="AAI24" s="541"/>
      <c r="AAJ24" s="541"/>
      <c r="AAK24" s="541"/>
      <c r="AAL24" s="541"/>
      <c r="AAM24" s="541"/>
      <c r="AAN24" s="541"/>
      <c r="AAO24" s="541"/>
      <c r="AAP24" s="541"/>
      <c r="AAQ24" s="541"/>
      <c r="AAR24" s="541"/>
      <c r="AAS24" s="541"/>
      <c r="AAT24" s="541"/>
      <c r="AAU24" s="541"/>
      <c r="AAV24" s="541"/>
      <c r="AAW24" s="541"/>
      <c r="AAX24" s="541"/>
      <c r="AAY24" s="541"/>
      <c r="AAZ24" s="541"/>
      <c r="ABA24" s="541"/>
      <c r="ABB24" s="541"/>
      <c r="ABC24" s="541"/>
      <c r="ABD24" s="541"/>
      <c r="ABE24" s="541"/>
      <c r="ABF24" s="541"/>
      <c r="ABG24" s="541"/>
      <c r="ABH24" s="541"/>
      <c r="ABI24" s="541"/>
      <c r="ABJ24" s="541"/>
      <c r="ABK24" s="541"/>
      <c r="ABL24" s="541"/>
      <c r="ABM24" s="541"/>
      <c r="ABN24" s="541"/>
      <c r="ABO24" s="541"/>
      <c r="ABP24" s="541"/>
      <c r="ABQ24" s="541"/>
      <c r="ABR24" s="541"/>
      <c r="ABS24" s="541"/>
      <c r="ABT24" s="541"/>
      <c r="ABU24" s="541"/>
      <c r="ABV24" s="541"/>
      <c r="ABW24" s="541"/>
      <c r="ABX24" s="541"/>
      <c r="ABY24" s="541"/>
      <c r="ABZ24" s="541"/>
      <c r="ACA24" s="541"/>
      <c r="ACB24" s="541"/>
      <c r="ACC24" s="541"/>
      <c r="ACD24" s="541"/>
      <c r="ACE24" s="541"/>
      <c r="ACF24" s="541"/>
      <c r="ACG24" s="541"/>
      <c r="ACH24" s="541"/>
      <c r="ACI24" s="541"/>
      <c r="ACJ24" s="541"/>
      <c r="ACK24" s="541"/>
      <c r="ACL24" s="541"/>
      <c r="ACM24" s="541"/>
      <c r="ACN24" s="541"/>
      <c r="ACO24" s="541"/>
      <c r="ACP24" s="541"/>
      <c r="ACQ24" s="541"/>
      <c r="ACR24" s="541"/>
      <c r="ACS24" s="541"/>
      <c r="ACT24" s="541"/>
      <c r="ACU24" s="541"/>
      <c r="ACV24" s="541"/>
      <c r="ACW24" s="541"/>
      <c r="ACX24" s="541"/>
      <c r="ACY24" s="541"/>
      <c r="ACZ24" s="541"/>
      <c r="ADA24" s="541"/>
      <c r="ADB24" s="541"/>
      <c r="ADC24" s="541"/>
      <c r="ADD24" s="541"/>
      <c r="ADE24" s="541"/>
      <c r="ADF24" s="541"/>
      <c r="ADG24" s="541"/>
      <c r="ADH24" s="541"/>
      <c r="ADI24" s="541"/>
      <c r="ADJ24" s="541"/>
      <c r="ADK24" s="541"/>
      <c r="ADL24" s="541"/>
      <c r="ADM24" s="541"/>
      <c r="ADN24" s="541"/>
      <c r="ADO24" s="541"/>
      <c r="ADP24" s="541"/>
      <c r="ADQ24" s="541"/>
      <c r="ADR24" s="541"/>
      <c r="ADS24" s="541"/>
      <c r="ADT24" s="541"/>
      <c r="ADU24" s="541"/>
      <c r="ADV24" s="541"/>
      <c r="ADW24" s="541"/>
      <c r="ADX24" s="541"/>
      <c r="ADY24" s="541"/>
      <c r="ADZ24" s="541"/>
      <c r="AEA24" s="541"/>
      <c r="AEB24" s="541"/>
      <c r="AEC24" s="541"/>
      <c r="AED24" s="541"/>
      <c r="AEE24" s="541"/>
      <c r="AEF24" s="541"/>
      <c r="AEG24" s="541"/>
      <c r="AEH24" s="541"/>
      <c r="AEI24" s="541"/>
      <c r="AEJ24" s="541"/>
      <c r="AEK24" s="541"/>
      <c r="AEL24" s="541"/>
      <c r="AEM24" s="541"/>
      <c r="AEN24" s="541"/>
      <c r="AEO24" s="541"/>
      <c r="AEP24" s="541"/>
      <c r="AEQ24" s="541"/>
      <c r="AER24" s="541"/>
      <c r="AES24" s="541"/>
      <c r="AET24" s="541"/>
      <c r="AEU24" s="541"/>
      <c r="AEV24" s="541"/>
      <c r="AEW24" s="541"/>
      <c r="AEX24" s="541"/>
      <c r="AEY24" s="541"/>
      <c r="AEZ24" s="541"/>
      <c r="AFA24" s="541"/>
      <c r="AFB24" s="541"/>
      <c r="AFC24" s="541"/>
      <c r="AFD24" s="541"/>
      <c r="AFE24" s="541"/>
      <c r="AFF24" s="541"/>
      <c r="AFG24" s="541"/>
      <c r="AFH24" s="541"/>
      <c r="AFI24" s="541"/>
      <c r="AFJ24" s="541"/>
      <c r="AFK24" s="541"/>
      <c r="AFL24" s="541"/>
      <c r="AFM24" s="541"/>
      <c r="AFN24" s="541"/>
      <c r="AFO24" s="541"/>
      <c r="AFP24" s="541"/>
      <c r="AFQ24" s="541"/>
      <c r="AFR24" s="541"/>
      <c r="AFS24" s="541"/>
      <c r="AFT24" s="541"/>
      <c r="AFU24" s="541"/>
      <c r="AFV24" s="541"/>
      <c r="AFW24" s="541"/>
      <c r="AFX24" s="541"/>
      <c r="AFY24" s="541"/>
      <c r="AFZ24" s="541"/>
      <c r="AGA24" s="541"/>
      <c r="AGB24" s="541"/>
      <c r="AGC24" s="541"/>
      <c r="AGD24" s="541"/>
      <c r="AGE24" s="541"/>
      <c r="AGF24" s="541"/>
      <c r="AGG24" s="541"/>
      <c r="AGH24" s="541"/>
      <c r="AGI24" s="541"/>
      <c r="AGJ24" s="541"/>
      <c r="AGK24" s="541"/>
      <c r="AGL24" s="541"/>
      <c r="AGM24" s="541"/>
      <c r="AGN24" s="541"/>
      <c r="AGO24" s="541"/>
      <c r="AGP24" s="541"/>
      <c r="AGQ24" s="541"/>
      <c r="AGR24" s="541"/>
      <c r="AGS24" s="541"/>
      <c r="AGT24" s="541"/>
      <c r="AGU24" s="541"/>
      <c r="AGV24" s="541"/>
      <c r="AGW24" s="541"/>
      <c r="AGX24" s="541"/>
      <c r="AGY24" s="541"/>
      <c r="AGZ24" s="541"/>
      <c r="AHA24" s="541"/>
      <c r="AHB24" s="541"/>
      <c r="AHC24" s="541"/>
      <c r="AHD24" s="541"/>
      <c r="AHE24" s="541"/>
      <c r="AHF24" s="541"/>
      <c r="AHG24" s="541"/>
      <c r="AHH24" s="541"/>
      <c r="AHI24" s="541"/>
      <c r="AHJ24" s="541"/>
      <c r="AHK24" s="541"/>
      <c r="AHL24" s="541"/>
      <c r="AHM24" s="541"/>
      <c r="AHN24" s="541"/>
      <c r="AHO24" s="541"/>
      <c r="AHP24" s="541"/>
      <c r="AHQ24" s="541"/>
      <c r="AHR24" s="541"/>
      <c r="AHS24" s="541"/>
      <c r="AHT24" s="541"/>
      <c r="AHU24" s="541"/>
      <c r="AHV24" s="541"/>
      <c r="AHW24" s="541"/>
      <c r="AHX24" s="541"/>
      <c r="AHY24" s="541"/>
      <c r="AHZ24" s="541"/>
      <c r="AIA24" s="541"/>
      <c r="AIB24" s="541"/>
      <c r="AIC24" s="541"/>
      <c r="AID24" s="541"/>
      <c r="AIE24" s="541"/>
      <c r="AIF24" s="541"/>
      <c r="AIG24" s="541"/>
      <c r="AIH24" s="541"/>
      <c r="AII24" s="541"/>
      <c r="AIJ24" s="541"/>
      <c r="AIK24" s="541"/>
      <c r="AIL24" s="541"/>
      <c r="AIM24" s="541"/>
      <c r="AIN24" s="541"/>
      <c r="AIO24" s="541"/>
      <c r="AIP24" s="541"/>
      <c r="AIQ24" s="541"/>
      <c r="AIR24" s="541"/>
      <c r="AIS24" s="541"/>
      <c r="AIT24" s="541"/>
      <c r="AIU24" s="541"/>
      <c r="AIV24" s="541"/>
      <c r="AIW24" s="541"/>
      <c r="AIX24" s="541"/>
      <c r="AIY24" s="541"/>
      <c r="AIZ24" s="541"/>
      <c r="AJA24" s="541"/>
      <c r="AJB24" s="541"/>
      <c r="AJC24" s="541"/>
      <c r="AJD24" s="541"/>
      <c r="AJE24" s="541"/>
      <c r="AJF24" s="541"/>
      <c r="AJG24" s="541"/>
      <c r="AJH24" s="541"/>
      <c r="AJI24" s="541"/>
      <c r="AJJ24" s="541"/>
      <c r="AJK24" s="541"/>
      <c r="AJL24" s="541"/>
      <c r="AJM24" s="541"/>
      <c r="AJN24" s="541"/>
      <c r="AJO24" s="541"/>
      <c r="AJP24" s="541"/>
      <c r="AJQ24" s="541"/>
      <c r="AJR24" s="541"/>
      <c r="AJS24" s="541"/>
      <c r="AJT24" s="541"/>
      <c r="AJU24" s="541"/>
      <c r="AJV24" s="541"/>
      <c r="AJW24" s="541"/>
      <c r="AJX24" s="541"/>
      <c r="AJY24" s="541"/>
      <c r="AJZ24" s="541"/>
      <c r="AKA24" s="541"/>
      <c r="AKB24" s="541"/>
      <c r="AKC24" s="541"/>
      <c r="AKD24" s="541"/>
      <c r="AKE24" s="541"/>
      <c r="AKF24" s="541"/>
      <c r="AKG24" s="541"/>
      <c r="AKH24" s="541"/>
      <c r="AKI24" s="541"/>
      <c r="AKJ24" s="541"/>
      <c r="AKK24" s="541"/>
      <c r="AKL24" s="541"/>
      <c r="AKM24" s="541"/>
      <c r="AKN24" s="541"/>
      <c r="AKO24" s="541"/>
      <c r="AKP24" s="541"/>
      <c r="AKQ24" s="541"/>
      <c r="AKR24" s="541"/>
      <c r="AKS24" s="541"/>
      <c r="AKT24" s="541"/>
      <c r="AKU24" s="541"/>
      <c r="AKV24" s="541"/>
      <c r="AKW24" s="541"/>
      <c r="AKX24" s="541"/>
      <c r="AKY24" s="541"/>
      <c r="AKZ24" s="541"/>
      <c r="ALA24" s="541"/>
      <c r="ALB24" s="541"/>
      <c r="ALC24" s="541"/>
      <c r="ALD24" s="541"/>
      <c r="ALE24" s="541"/>
      <c r="ALF24" s="541"/>
      <c r="ALG24" s="541"/>
      <c r="ALH24" s="541"/>
      <c r="ALI24" s="541"/>
      <c r="ALJ24" s="541"/>
      <c r="ALK24" s="541"/>
      <c r="ALL24" s="541"/>
      <c r="ALM24" s="541"/>
      <c r="ALN24" s="541"/>
      <c r="ALO24" s="541"/>
      <c r="ALP24" s="541"/>
      <c r="ALQ24" s="541"/>
      <c r="ALR24" s="541"/>
      <c r="ALS24" s="541"/>
      <c r="ALT24" s="541"/>
      <c r="ALU24" s="541"/>
      <c r="ALV24" s="541"/>
      <c r="ALW24" s="541"/>
      <c r="ALX24" s="541"/>
      <c r="ALY24" s="541"/>
      <c r="ALZ24" s="541"/>
      <c r="AMA24" s="541"/>
      <c r="AMB24" s="541"/>
      <c r="AMC24" s="541"/>
      <c r="AMD24" s="541"/>
      <c r="AME24" s="541"/>
      <c r="AMF24" s="541"/>
      <c r="AMG24" s="541"/>
      <c r="AMH24" s="541"/>
      <c r="AMI24" s="541"/>
      <c r="AMJ24" s="541"/>
      <c r="AMK24" s="541"/>
      <c r="AML24" s="541"/>
      <c r="AMM24" s="541"/>
      <c r="AMN24" s="541"/>
      <c r="AMO24" s="541"/>
      <c r="AMP24" s="541"/>
      <c r="AMQ24" s="541"/>
      <c r="AMR24" s="541"/>
      <c r="AMS24" s="541"/>
      <c r="AMT24" s="541"/>
      <c r="AMU24" s="541"/>
      <c r="AMV24" s="541"/>
      <c r="AMW24" s="541"/>
      <c r="AMX24" s="541"/>
      <c r="AMY24" s="541"/>
      <c r="AMZ24" s="541"/>
      <c r="ANA24" s="541"/>
      <c r="ANB24" s="541"/>
      <c r="ANC24" s="541"/>
      <c r="AND24" s="541"/>
      <c r="ANE24" s="541"/>
      <c r="ANF24" s="541"/>
      <c r="ANG24" s="541"/>
      <c r="ANH24" s="541"/>
      <c r="ANI24" s="541"/>
      <c r="ANJ24" s="541"/>
      <c r="ANK24" s="541"/>
      <c r="ANL24" s="541"/>
      <c r="ANM24" s="541"/>
      <c r="ANN24" s="541"/>
      <c r="ANO24" s="541"/>
      <c r="ANP24" s="541"/>
      <c r="ANQ24" s="541"/>
      <c r="ANR24" s="541"/>
      <c r="ANS24" s="541"/>
      <c r="ANT24" s="541"/>
      <c r="ANU24" s="541"/>
      <c r="ANV24" s="541"/>
      <c r="ANW24" s="541"/>
      <c r="ANX24" s="541"/>
      <c r="ANY24" s="541"/>
      <c r="ANZ24" s="541"/>
      <c r="AOA24" s="541"/>
      <c r="AOB24" s="541"/>
      <c r="AOC24" s="541"/>
      <c r="AOD24" s="541"/>
      <c r="AOE24" s="541"/>
      <c r="AOF24" s="541"/>
      <c r="AOG24" s="541"/>
      <c r="AOH24" s="541"/>
      <c r="AOI24" s="541"/>
      <c r="AOJ24" s="541"/>
      <c r="AOK24" s="541"/>
      <c r="AOL24" s="541"/>
      <c r="AOM24" s="541"/>
      <c r="AON24" s="541"/>
      <c r="AOO24" s="541"/>
      <c r="AOP24" s="541"/>
      <c r="AOQ24" s="541"/>
      <c r="AOR24" s="541"/>
      <c r="AOS24" s="541"/>
      <c r="AOT24" s="541"/>
      <c r="AOU24" s="541"/>
      <c r="AOV24" s="541"/>
      <c r="AOW24" s="541"/>
      <c r="AOX24" s="541"/>
      <c r="AOY24" s="541"/>
      <c r="AOZ24" s="541"/>
      <c r="APA24" s="541"/>
      <c r="APB24" s="541"/>
      <c r="APC24" s="541"/>
      <c r="APD24" s="541"/>
      <c r="APE24" s="541"/>
      <c r="APF24" s="541"/>
      <c r="APG24" s="541"/>
      <c r="APH24" s="541"/>
      <c r="API24" s="541"/>
      <c r="APJ24" s="541"/>
      <c r="APK24" s="541"/>
      <c r="APL24" s="541"/>
      <c r="APM24" s="541"/>
      <c r="APN24" s="541"/>
      <c r="APO24" s="541"/>
      <c r="APP24" s="541"/>
      <c r="APQ24" s="541"/>
      <c r="APR24" s="541"/>
      <c r="APS24" s="541"/>
      <c r="APT24" s="541"/>
      <c r="APU24" s="541"/>
      <c r="APV24" s="541"/>
      <c r="APW24" s="541"/>
      <c r="APX24" s="541"/>
      <c r="APY24" s="541"/>
      <c r="APZ24" s="541"/>
      <c r="AQA24" s="541"/>
      <c r="AQB24" s="541"/>
      <c r="AQC24" s="541"/>
      <c r="AQD24" s="541"/>
      <c r="AQE24" s="541"/>
      <c r="AQF24" s="541"/>
      <c r="AQG24" s="541"/>
      <c r="AQH24" s="541"/>
      <c r="AQI24" s="541"/>
      <c r="AQJ24" s="541"/>
      <c r="AQK24" s="541"/>
      <c r="AQL24" s="541"/>
      <c r="AQM24" s="541"/>
      <c r="AQN24" s="541"/>
      <c r="AQO24" s="541"/>
      <c r="AQP24" s="541"/>
      <c r="AQQ24" s="541"/>
      <c r="AQR24" s="541"/>
      <c r="AQS24" s="541"/>
      <c r="AQT24" s="541"/>
      <c r="AQU24" s="541"/>
      <c r="AQV24" s="541"/>
      <c r="AQW24" s="541"/>
      <c r="AQX24" s="541"/>
      <c r="AQY24" s="541"/>
      <c r="AQZ24" s="541"/>
      <c r="ARA24" s="541"/>
      <c r="ARB24" s="541"/>
      <c r="ARC24" s="541"/>
      <c r="ARD24" s="541"/>
      <c r="ARE24" s="541"/>
      <c r="ARF24" s="541"/>
      <c r="ARG24" s="541"/>
      <c r="ARH24" s="541"/>
      <c r="ARI24" s="541"/>
      <c r="ARJ24" s="541"/>
      <c r="ARK24" s="541"/>
      <c r="ARL24" s="541"/>
      <c r="ARM24" s="541"/>
      <c r="ARN24" s="541"/>
      <c r="ARO24" s="541"/>
      <c r="ARP24" s="541"/>
      <c r="ARQ24" s="541"/>
      <c r="ARR24" s="541"/>
      <c r="ARS24" s="541"/>
      <c r="ART24" s="541"/>
      <c r="ARU24" s="541"/>
    </row>
    <row r="25" spans="1:1165" s="658" customFormat="1">
      <c r="A25" s="613" t="s">
        <v>204</v>
      </c>
      <c r="B25" s="578" t="s">
        <v>110</v>
      </c>
      <c r="C25" s="659">
        <v>154913</v>
      </c>
      <c r="D25" s="659">
        <v>33496645</v>
      </c>
      <c r="E25" s="581">
        <v>0</v>
      </c>
      <c r="F25" s="581">
        <v>0</v>
      </c>
      <c r="G25" s="581">
        <v>0</v>
      </c>
      <c r="H25" s="581">
        <v>0</v>
      </c>
      <c r="I25" s="581">
        <v>0</v>
      </c>
      <c r="J25" s="581">
        <v>0</v>
      </c>
      <c r="K25" s="581">
        <v>0</v>
      </c>
      <c r="L25" s="581">
        <v>0</v>
      </c>
      <c r="M25" s="581">
        <v>0</v>
      </c>
      <c r="N25" s="581">
        <v>0</v>
      </c>
      <c r="O25" s="581">
        <v>0</v>
      </c>
      <c r="P25" s="581">
        <v>0</v>
      </c>
      <c r="Q25" s="581">
        <v>0</v>
      </c>
      <c r="R25" s="581">
        <v>0</v>
      </c>
      <c r="S25" s="581">
        <v>0</v>
      </c>
      <c r="T25" s="581">
        <v>0</v>
      </c>
      <c r="U25" s="581">
        <v>0</v>
      </c>
      <c r="V25" s="581">
        <v>0</v>
      </c>
      <c r="W25" s="581">
        <v>0</v>
      </c>
      <c r="X25" s="581">
        <v>0</v>
      </c>
      <c r="Y25" s="581">
        <v>0</v>
      </c>
      <c r="Z25" s="581">
        <v>0</v>
      </c>
      <c r="AA25" s="581">
        <v>0</v>
      </c>
      <c r="AB25" s="581">
        <v>0</v>
      </c>
      <c r="AC25" s="581">
        <v>0</v>
      </c>
      <c r="AD25" s="581">
        <v>0</v>
      </c>
      <c r="AE25" s="581">
        <v>0</v>
      </c>
      <c r="AF25" s="581">
        <v>0</v>
      </c>
      <c r="AG25" s="581">
        <v>0</v>
      </c>
      <c r="AH25" s="581">
        <v>0</v>
      </c>
      <c r="AI25" s="581">
        <v>0</v>
      </c>
      <c r="AJ25" s="581">
        <v>0</v>
      </c>
      <c r="AK25" s="581">
        <v>0</v>
      </c>
      <c r="AL25" s="581">
        <v>0</v>
      </c>
      <c r="AM25" s="581">
        <v>0</v>
      </c>
      <c r="AN25" s="581">
        <v>0</v>
      </c>
      <c r="AO25" s="581">
        <v>0</v>
      </c>
      <c r="AP25" s="581">
        <v>0</v>
      </c>
      <c r="AQ25" s="581">
        <v>0</v>
      </c>
      <c r="AR25" s="581">
        <v>0</v>
      </c>
      <c r="AS25" s="581">
        <v>0</v>
      </c>
      <c r="AT25" s="581">
        <v>0</v>
      </c>
      <c r="AU25" s="581">
        <v>0</v>
      </c>
      <c r="AV25" s="581">
        <v>0</v>
      </c>
      <c r="AW25" s="581">
        <v>0</v>
      </c>
      <c r="AX25" s="581">
        <v>0</v>
      </c>
      <c r="AY25" s="616">
        <v>0</v>
      </c>
      <c r="AZ25" s="616">
        <v>0</v>
      </c>
      <c r="BA25" s="620"/>
      <c r="BB25" s="581"/>
      <c r="BC25" s="581"/>
      <c r="BD25" s="581"/>
      <c r="BE25" s="581"/>
      <c r="BF25" s="581"/>
      <c r="BG25" s="581"/>
      <c r="BH25" s="581"/>
      <c r="BI25" s="620"/>
      <c r="BJ25" s="581">
        <f t="shared" si="1"/>
        <v>154913</v>
      </c>
      <c r="BK25" s="581">
        <f>D25+H25+J25+L25+N25+P25+R25+T25+V25+X25+Z25+AB25+AD25+AF25+AH25+AJ25+AL25+AN25+AP25+AR25+AT25+AV25+AX25+AZ25+BD25+BH25</f>
        <v>33496645</v>
      </c>
      <c r="BL25" s="541"/>
      <c r="BM25" s="624"/>
      <c r="BN25" s="624"/>
      <c r="BO25" s="624"/>
      <c r="BP25" s="624"/>
      <c r="BQ25" s="541"/>
      <c r="BR25" s="541"/>
      <c r="BS25" s="541"/>
      <c r="BT25" s="541"/>
      <c r="BU25" s="541"/>
      <c r="BV25" s="541"/>
      <c r="BW25" s="541"/>
      <c r="BX25" s="541"/>
      <c r="BY25" s="541"/>
      <c r="BZ25" s="541"/>
      <c r="CA25" s="541"/>
      <c r="CB25" s="541"/>
      <c r="CC25" s="541"/>
      <c r="CD25" s="541"/>
      <c r="CE25" s="541"/>
      <c r="CF25" s="541"/>
      <c r="CG25" s="541"/>
      <c r="CH25" s="541"/>
      <c r="CI25" s="541"/>
      <c r="CJ25" s="541"/>
      <c r="CK25" s="541"/>
      <c r="CL25" s="541"/>
      <c r="CM25" s="541"/>
      <c r="CN25" s="541"/>
      <c r="CO25" s="541"/>
      <c r="CP25" s="541"/>
      <c r="CQ25" s="541"/>
      <c r="CR25" s="541"/>
      <c r="CS25" s="541"/>
      <c r="CT25" s="541"/>
      <c r="CU25" s="541"/>
      <c r="CV25" s="541"/>
      <c r="CW25" s="541"/>
      <c r="CX25" s="541"/>
      <c r="CY25" s="541"/>
      <c r="CZ25" s="541"/>
      <c r="DA25" s="541"/>
      <c r="DB25" s="541"/>
      <c r="DC25" s="541"/>
      <c r="DD25" s="541"/>
      <c r="DE25" s="541"/>
      <c r="DF25" s="541"/>
      <c r="DG25" s="541"/>
      <c r="DH25" s="541"/>
      <c r="DI25" s="541"/>
      <c r="DJ25" s="541"/>
      <c r="DK25" s="541"/>
      <c r="DL25" s="541"/>
      <c r="DM25" s="541"/>
      <c r="DN25" s="541"/>
      <c r="DO25" s="541"/>
      <c r="DP25" s="541"/>
      <c r="DQ25" s="541"/>
      <c r="DR25" s="541"/>
      <c r="DS25" s="541"/>
      <c r="DT25" s="541"/>
      <c r="DU25" s="541"/>
      <c r="DV25" s="541"/>
      <c r="DW25" s="541"/>
      <c r="DX25" s="541"/>
      <c r="DY25" s="541"/>
      <c r="DZ25" s="541"/>
      <c r="EA25" s="541"/>
      <c r="EB25" s="541"/>
      <c r="EC25" s="541"/>
      <c r="ED25" s="541"/>
      <c r="EE25" s="541"/>
      <c r="EF25" s="541"/>
      <c r="EG25" s="541"/>
      <c r="EH25" s="541"/>
      <c r="EI25" s="541"/>
      <c r="EJ25" s="541"/>
      <c r="EK25" s="541"/>
      <c r="EL25" s="541"/>
      <c r="EM25" s="541"/>
      <c r="EN25" s="541"/>
      <c r="EO25" s="541"/>
      <c r="EP25" s="541"/>
      <c r="EQ25" s="541"/>
      <c r="ER25" s="541"/>
      <c r="ES25" s="541"/>
      <c r="ET25" s="541"/>
      <c r="EU25" s="541"/>
      <c r="EV25" s="541"/>
      <c r="EW25" s="541"/>
      <c r="EX25" s="541"/>
      <c r="EY25" s="541"/>
      <c r="EZ25" s="541"/>
      <c r="FA25" s="541"/>
      <c r="FB25" s="541"/>
      <c r="FC25" s="541"/>
      <c r="FD25" s="541"/>
      <c r="FE25" s="541"/>
      <c r="FF25" s="541"/>
      <c r="FG25" s="541"/>
      <c r="FH25" s="541"/>
      <c r="FI25" s="541"/>
      <c r="FJ25" s="541"/>
      <c r="FK25" s="541"/>
      <c r="FL25" s="541"/>
      <c r="FM25" s="541"/>
      <c r="FN25" s="541"/>
      <c r="FO25" s="541"/>
      <c r="FP25" s="541"/>
      <c r="FQ25" s="541"/>
      <c r="FR25" s="541"/>
      <c r="FS25" s="541"/>
      <c r="FT25" s="541"/>
      <c r="FU25" s="541"/>
      <c r="FV25" s="541"/>
      <c r="FW25" s="541"/>
      <c r="FX25" s="541"/>
      <c r="FY25" s="541"/>
      <c r="FZ25" s="541"/>
      <c r="GA25" s="541"/>
      <c r="GB25" s="541"/>
      <c r="GC25" s="541"/>
      <c r="GD25" s="541"/>
      <c r="GE25" s="541"/>
      <c r="GF25" s="541"/>
      <c r="GG25" s="541"/>
      <c r="GH25" s="541"/>
      <c r="GI25" s="541"/>
      <c r="GJ25" s="541"/>
      <c r="GK25" s="541"/>
      <c r="GL25" s="541"/>
      <c r="GM25" s="541"/>
      <c r="GN25" s="541"/>
      <c r="GO25" s="541"/>
      <c r="GP25" s="541"/>
      <c r="GQ25" s="541"/>
      <c r="GR25" s="541"/>
      <c r="GS25" s="541"/>
      <c r="GT25" s="541"/>
      <c r="GU25" s="541"/>
      <c r="GV25" s="541"/>
      <c r="GW25" s="541"/>
      <c r="GX25" s="541"/>
      <c r="GY25" s="541"/>
      <c r="GZ25" s="541"/>
      <c r="HA25" s="541"/>
      <c r="HB25" s="541"/>
      <c r="HC25" s="541"/>
      <c r="HD25" s="541"/>
      <c r="HE25" s="541"/>
      <c r="HF25" s="541"/>
      <c r="HG25" s="541"/>
      <c r="HH25" s="541"/>
      <c r="HI25" s="541"/>
      <c r="HJ25" s="541"/>
      <c r="HK25" s="541"/>
      <c r="HL25" s="541"/>
      <c r="HM25" s="541"/>
      <c r="HN25" s="541"/>
      <c r="HO25" s="541"/>
      <c r="HP25" s="541"/>
      <c r="HQ25" s="541"/>
      <c r="HR25" s="541"/>
      <c r="HS25" s="541"/>
      <c r="HT25" s="541"/>
      <c r="HU25" s="541"/>
      <c r="HV25" s="541"/>
      <c r="HW25" s="541"/>
      <c r="HX25" s="541"/>
      <c r="HY25" s="541"/>
      <c r="HZ25" s="541"/>
      <c r="IA25" s="541"/>
      <c r="IB25" s="541"/>
      <c r="IC25" s="541"/>
      <c r="ID25" s="541"/>
      <c r="IE25" s="541"/>
      <c r="IF25" s="541"/>
      <c r="IG25" s="541"/>
      <c r="IH25" s="541"/>
      <c r="II25" s="541"/>
      <c r="IJ25" s="541"/>
      <c r="IK25" s="541"/>
      <c r="IL25" s="541"/>
      <c r="IM25" s="541"/>
      <c r="IN25" s="541"/>
      <c r="IO25" s="541"/>
      <c r="IP25" s="541"/>
      <c r="IQ25" s="541"/>
      <c r="IR25" s="541"/>
      <c r="IS25" s="541"/>
      <c r="IT25" s="541"/>
      <c r="IU25" s="541"/>
      <c r="IV25" s="541"/>
      <c r="IW25" s="541"/>
      <c r="IX25" s="541"/>
      <c r="IY25" s="541"/>
      <c r="IZ25" s="541"/>
      <c r="JA25" s="541"/>
      <c r="JB25" s="541"/>
      <c r="JC25" s="541"/>
      <c r="JD25" s="541"/>
      <c r="JE25" s="541"/>
      <c r="JF25" s="541"/>
      <c r="JG25" s="541"/>
      <c r="JH25" s="541"/>
      <c r="JI25" s="541"/>
      <c r="JJ25" s="541"/>
      <c r="JK25" s="541"/>
      <c r="JL25" s="541"/>
      <c r="JM25" s="541"/>
      <c r="JN25" s="541"/>
      <c r="JO25" s="541"/>
      <c r="JP25" s="541"/>
      <c r="JQ25" s="541"/>
      <c r="JR25" s="541"/>
      <c r="JS25" s="541"/>
      <c r="JT25" s="541"/>
      <c r="JU25" s="541"/>
      <c r="JV25" s="541"/>
      <c r="JW25" s="541"/>
      <c r="JX25" s="541"/>
      <c r="JY25" s="541"/>
      <c r="JZ25" s="541"/>
      <c r="KA25" s="541"/>
      <c r="KB25" s="541"/>
      <c r="KC25" s="541"/>
      <c r="KD25" s="541"/>
      <c r="KE25" s="541"/>
      <c r="KF25" s="541"/>
      <c r="KG25" s="541"/>
      <c r="KH25" s="541"/>
      <c r="KI25" s="541"/>
      <c r="KJ25" s="541"/>
      <c r="KK25" s="541"/>
      <c r="KL25" s="541"/>
      <c r="KM25" s="541"/>
      <c r="KN25" s="541"/>
      <c r="KO25" s="541"/>
      <c r="KP25" s="541"/>
      <c r="KQ25" s="541"/>
      <c r="KR25" s="541"/>
      <c r="KS25" s="541"/>
      <c r="KT25" s="541"/>
      <c r="KU25" s="541"/>
      <c r="KV25" s="541"/>
      <c r="KW25" s="541"/>
      <c r="KX25" s="541"/>
      <c r="KY25" s="541"/>
      <c r="KZ25" s="541"/>
      <c r="LA25" s="541"/>
      <c r="LB25" s="541"/>
      <c r="LC25" s="541"/>
      <c r="LD25" s="541"/>
      <c r="LE25" s="541"/>
      <c r="LF25" s="541"/>
      <c r="LG25" s="541"/>
      <c r="LH25" s="541"/>
      <c r="LI25" s="541"/>
      <c r="LJ25" s="541"/>
      <c r="LK25" s="541"/>
      <c r="LL25" s="541"/>
      <c r="LM25" s="541"/>
      <c r="LN25" s="541"/>
      <c r="LO25" s="541"/>
      <c r="LP25" s="541"/>
      <c r="LQ25" s="541"/>
      <c r="LR25" s="541"/>
      <c r="LS25" s="541"/>
      <c r="LT25" s="541"/>
      <c r="LU25" s="541"/>
      <c r="LV25" s="541"/>
      <c r="LW25" s="541"/>
      <c r="LX25" s="541"/>
      <c r="LY25" s="541"/>
      <c r="LZ25" s="541"/>
      <c r="MA25" s="541"/>
      <c r="MB25" s="541"/>
      <c r="MC25" s="541"/>
      <c r="MD25" s="541"/>
      <c r="ME25" s="541"/>
      <c r="MF25" s="541"/>
      <c r="MG25" s="541"/>
      <c r="MH25" s="541"/>
      <c r="MI25" s="541"/>
      <c r="MJ25" s="541"/>
      <c r="MK25" s="541"/>
      <c r="ML25" s="541"/>
      <c r="MM25" s="541"/>
      <c r="MN25" s="541"/>
      <c r="MO25" s="541"/>
      <c r="MP25" s="541"/>
      <c r="MQ25" s="541"/>
      <c r="MR25" s="541"/>
      <c r="MS25" s="541"/>
      <c r="MT25" s="541"/>
      <c r="MU25" s="541"/>
      <c r="MV25" s="541"/>
      <c r="MW25" s="541"/>
      <c r="MX25" s="541"/>
      <c r="MY25" s="541"/>
      <c r="MZ25" s="541"/>
      <c r="NA25" s="541"/>
      <c r="NB25" s="541"/>
      <c r="NC25" s="541"/>
      <c r="ND25" s="541"/>
      <c r="NE25" s="541"/>
      <c r="NF25" s="541"/>
      <c r="NG25" s="541"/>
      <c r="NH25" s="541"/>
      <c r="NI25" s="541"/>
      <c r="NJ25" s="541"/>
      <c r="NK25" s="541"/>
      <c r="NL25" s="541"/>
      <c r="NM25" s="541"/>
      <c r="NN25" s="541"/>
      <c r="NO25" s="541"/>
      <c r="NP25" s="541"/>
      <c r="NQ25" s="541"/>
      <c r="NR25" s="541"/>
      <c r="NS25" s="541"/>
      <c r="NT25" s="541"/>
      <c r="NU25" s="541"/>
      <c r="NV25" s="541"/>
      <c r="NW25" s="541"/>
      <c r="NX25" s="541"/>
      <c r="NY25" s="541"/>
      <c r="NZ25" s="541"/>
      <c r="OA25" s="541"/>
      <c r="OB25" s="541"/>
      <c r="OC25" s="541"/>
      <c r="OD25" s="541"/>
      <c r="OE25" s="541"/>
      <c r="OF25" s="541"/>
      <c r="OG25" s="541"/>
      <c r="OH25" s="541"/>
      <c r="OI25" s="541"/>
      <c r="OJ25" s="541"/>
      <c r="OK25" s="541"/>
      <c r="OL25" s="541"/>
      <c r="OM25" s="541"/>
      <c r="ON25" s="541"/>
      <c r="OO25" s="541"/>
      <c r="OP25" s="541"/>
      <c r="OQ25" s="541"/>
      <c r="OR25" s="541"/>
      <c r="OS25" s="541"/>
      <c r="OT25" s="541"/>
      <c r="OU25" s="541"/>
      <c r="OV25" s="541"/>
      <c r="OW25" s="541"/>
      <c r="OX25" s="541"/>
      <c r="OY25" s="541"/>
      <c r="OZ25" s="541"/>
      <c r="PA25" s="541"/>
      <c r="PB25" s="541"/>
      <c r="PC25" s="541"/>
      <c r="PD25" s="541"/>
      <c r="PE25" s="541"/>
      <c r="PF25" s="541"/>
      <c r="PG25" s="541"/>
      <c r="PH25" s="541"/>
      <c r="PI25" s="541"/>
      <c r="PJ25" s="541"/>
      <c r="PK25" s="541"/>
      <c r="PL25" s="541"/>
      <c r="PM25" s="541"/>
      <c r="PN25" s="541"/>
      <c r="PO25" s="541"/>
      <c r="PP25" s="541"/>
      <c r="PQ25" s="541"/>
      <c r="PR25" s="541"/>
      <c r="PS25" s="541"/>
      <c r="PT25" s="541"/>
      <c r="PU25" s="541"/>
      <c r="PV25" s="541"/>
      <c r="PW25" s="541"/>
      <c r="PX25" s="541"/>
      <c r="PY25" s="541"/>
      <c r="PZ25" s="541"/>
      <c r="QA25" s="541"/>
      <c r="QB25" s="541"/>
      <c r="QC25" s="541"/>
      <c r="QD25" s="541"/>
      <c r="QE25" s="541"/>
      <c r="QF25" s="541"/>
      <c r="QG25" s="541"/>
      <c r="QH25" s="541"/>
      <c r="QI25" s="541"/>
      <c r="QJ25" s="541"/>
      <c r="QK25" s="541"/>
      <c r="QL25" s="541"/>
      <c r="QM25" s="541"/>
      <c r="QN25" s="541"/>
      <c r="QO25" s="541"/>
      <c r="QP25" s="541"/>
      <c r="QQ25" s="541"/>
      <c r="QR25" s="541"/>
      <c r="QS25" s="541"/>
      <c r="QT25" s="541"/>
      <c r="QU25" s="541"/>
      <c r="QV25" s="541"/>
      <c r="QW25" s="541"/>
      <c r="QX25" s="541"/>
      <c r="QY25" s="541"/>
      <c r="QZ25" s="541"/>
      <c r="RA25" s="541"/>
      <c r="RB25" s="541"/>
      <c r="RC25" s="541"/>
      <c r="RD25" s="541"/>
      <c r="RE25" s="541"/>
      <c r="RF25" s="541"/>
      <c r="RG25" s="541"/>
      <c r="RH25" s="541"/>
      <c r="RI25" s="541"/>
      <c r="RJ25" s="541"/>
      <c r="RK25" s="541"/>
      <c r="RL25" s="541"/>
      <c r="RM25" s="541"/>
      <c r="RN25" s="541"/>
      <c r="RO25" s="541"/>
      <c r="RP25" s="541"/>
      <c r="RQ25" s="541"/>
      <c r="RR25" s="541"/>
      <c r="RS25" s="541"/>
      <c r="RT25" s="541"/>
      <c r="RU25" s="541"/>
      <c r="RV25" s="541"/>
      <c r="RW25" s="541"/>
      <c r="RX25" s="541"/>
      <c r="RY25" s="541"/>
      <c r="RZ25" s="541"/>
      <c r="SA25" s="541"/>
      <c r="SB25" s="541"/>
      <c r="SC25" s="541"/>
      <c r="SD25" s="541"/>
      <c r="SE25" s="541"/>
      <c r="SF25" s="541"/>
      <c r="SG25" s="541"/>
      <c r="SH25" s="541"/>
      <c r="SI25" s="541"/>
      <c r="SJ25" s="541"/>
      <c r="SK25" s="541"/>
      <c r="SL25" s="541"/>
      <c r="SM25" s="541"/>
      <c r="SN25" s="541"/>
      <c r="SO25" s="541"/>
      <c r="SP25" s="541"/>
      <c r="SQ25" s="541"/>
      <c r="SR25" s="541"/>
      <c r="SS25" s="541"/>
      <c r="ST25" s="541"/>
      <c r="SU25" s="541"/>
      <c r="SV25" s="541"/>
      <c r="SW25" s="541"/>
      <c r="SX25" s="541"/>
      <c r="SY25" s="541"/>
      <c r="SZ25" s="541"/>
      <c r="TA25" s="541"/>
      <c r="TB25" s="541"/>
      <c r="TC25" s="541"/>
      <c r="TD25" s="541"/>
      <c r="TE25" s="541"/>
      <c r="TF25" s="541"/>
      <c r="TG25" s="541"/>
      <c r="TH25" s="541"/>
      <c r="TI25" s="541"/>
      <c r="TJ25" s="541"/>
      <c r="TK25" s="541"/>
      <c r="TL25" s="541"/>
      <c r="TM25" s="541"/>
      <c r="TN25" s="541"/>
      <c r="TO25" s="541"/>
      <c r="TP25" s="541"/>
      <c r="TQ25" s="541"/>
      <c r="TR25" s="541"/>
      <c r="TS25" s="541"/>
      <c r="TT25" s="541"/>
      <c r="TU25" s="541"/>
      <c r="TV25" s="541"/>
      <c r="TW25" s="541"/>
      <c r="TX25" s="541"/>
      <c r="TY25" s="541"/>
      <c r="TZ25" s="541"/>
      <c r="UA25" s="541"/>
      <c r="UB25" s="541"/>
      <c r="UC25" s="541"/>
      <c r="UD25" s="541"/>
      <c r="UE25" s="541"/>
      <c r="UF25" s="541"/>
      <c r="UG25" s="541"/>
      <c r="UH25" s="541"/>
      <c r="UI25" s="541"/>
      <c r="UJ25" s="541"/>
      <c r="UK25" s="541"/>
      <c r="UL25" s="541"/>
      <c r="UM25" s="541"/>
      <c r="UN25" s="541"/>
      <c r="UO25" s="541"/>
      <c r="UP25" s="541"/>
      <c r="UQ25" s="541"/>
      <c r="UR25" s="541"/>
      <c r="US25" s="541"/>
      <c r="UT25" s="541"/>
      <c r="UU25" s="541"/>
      <c r="UV25" s="541"/>
      <c r="UW25" s="541"/>
      <c r="UX25" s="541"/>
      <c r="UY25" s="541"/>
      <c r="UZ25" s="541"/>
      <c r="VA25" s="541"/>
      <c r="VB25" s="541"/>
      <c r="VC25" s="541"/>
      <c r="VD25" s="541"/>
      <c r="VE25" s="541"/>
      <c r="VF25" s="541"/>
      <c r="VG25" s="541"/>
      <c r="VH25" s="541"/>
      <c r="VI25" s="541"/>
      <c r="VJ25" s="541"/>
      <c r="VK25" s="541"/>
      <c r="VL25" s="541"/>
      <c r="VM25" s="541"/>
      <c r="VN25" s="541"/>
      <c r="VO25" s="541"/>
      <c r="VP25" s="541"/>
      <c r="VQ25" s="541"/>
      <c r="VR25" s="541"/>
      <c r="VS25" s="541"/>
      <c r="VT25" s="541"/>
      <c r="VU25" s="541"/>
      <c r="VV25" s="541"/>
      <c r="VW25" s="541"/>
      <c r="VX25" s="541"/>
      <c r="VY25" s="541"/>
      <c r="VZ25" s="541"/>
      <c r="WA25" s="541"/>
      <c r="WB25" s="541"/>
      <c r="WC25" s="541"/>
      <c r="WD25" s="541"/>
      <c r="WE25" s="541"/>
      <c r="WF25" s="541"/>
      <c r="WG25" s="541"/>
      <c r="WH25" s="541"/>
      <c r="WI25" s="541"/>
      <c r="WJ25" s="541"/>
      <c r="WK25" s="541"/>
      <c r="WL25" s="541"/>
      <c r="WM25" s="541"/>
      <c r="WN25" s="541"/>
      <c r="WO25" s="541"/>
      <c r="WP25" s="541"/>
      <c r="WQ25" s="541"/>
      <c r="WR25" s="541"/>
      <c r="WS25" s="541"/>
      <c r="WT25" s="541"/>
      <c r="WU25" s="541"/>
      <c r="WV25" s="541"/>
      <c r="WW25" s="541"/>
      <c r="WX25" s="541"/>
      <c r="WY25" s="541"/>
      <c r="WZ25" s="541"/>
      <c r="XA25" s="541"/>
      <c r="XB25" s="541"/>
      <c r="XC25" s="541"/>
      <c r="XD25" s="541"/>
      <c r="XE25" s="541"/>
      <c r="XF25" s="541"/>
      <c r="XG25" s="541"/>
      <c r="XH25" s="541"/>
      <c r="XI25" s="541"/>
      <c r="XJ25" s="541"/>
      <c r="XK25" s="541"/>
      <c r="XL25" s="541"/>
      <c r="XM25" s="541"/>
      <c r="XN25" s="541"/>
      <c r="XO25" s="541"/>
      <c r="XP25" s="541"/>
      <c r="XQ25" s="541"/>
      <c r="XR25" s="541"/>
      <c r="XS25" s="541"/>
      <c r="XT25" s="541"/>
      <c r="XU25" s="541"/>
      <c r="XV25" s="541"/>
      <c r="XW25" s="541"/>
      <c r="XX25" s="541"/>
      <c r="XY25" s="541"/>
      <c r="XZ25" s="541"/>
      <c r="YA25" s="541"/>
      <c r="YB25" s="541"/>
      <c r="YC25" s="541"/>
      <c r="YD25" s="541"/>
      <c r="YE25" s="541"/>
      <c r="YF25" s="541"/>
      <c r="YG25" s="541"/>
      <c r="YH25" s="541"/>
      <c r="YI25" s="541"/>
      <c r="YJ25" s="541"/>
      <c r="YK25" s="541"/>
      <c r="YL25" s="541"/>
      <c r="YM25" s="541"/>
      <c r="YN25" s="541"/>
      <c r="YO25" s="541"/>
      <c r="YP25" s="541"/>
      <c r="YQ25" s="541"/>
      <c r="YR25" s="541"/>
      <c r="YS25" s="541"/>
      <c r="YT25" s="541"/>
      <c r="YU25" s="541"/>
      <c r="YV25" s="541"/>
      <c r="YW25" s="541"/>
      <c r="YX25" s="541"/>
      <c r="YY25" s="541"/>
      <c r="YZ25" s="541"/>
      <c r="ZA25" s="541"/>
      <c r="ZB25" s="541"/>
      <c r="ZC25" s="541"/>
      <c r="ZD25" s="541"/>
      <c r="ZE25" s="541"/>
      <c r="ZF25" s="541"/>
      <c r="ZG25" s="541"/>
      <c r="ZH25" s="541"/>
      <c r="ZI25" s="541"/>
      <c r="ZJ25" s="541"/>
      <c r="ZK25" s="541"/>
      <c r="ZL25" s="541"/>
      <c r="ZM25" s="541"/>
      <c r="ZN25" s="541"/>
      <c r="ZO25" s="541"/>
      <c r="ZP25" s="541"/>
      <c r="ZQ25" s="541"/>
      <c r="ZR25" s="541"/>
      <c r="ZS25" s="541"/>
      <c r="ZT25" s="541"/>
      <c r="ZU25" s="541"/>
      <c r="ZV25" s="541"/>
      <c r="ZW25" s="541"/>
      <c r="ZX25" s="541"/>
      <c r="ZY25" s="541"/>
      <c r="ZZ25" s="541"/>
      <c r="AAA25" s="541"/>
      <c r="AAB25" s="541"/>
      <c r="AAC25" s="541"/>
      <c r="AAD25" s="541"/>
      <c r="AAE25" s="541"/>
      <c r="AAF25" s="541"/>
      <c r="AAG25" s="541"/>
      <c r="AAH25" s="541"/>
      <c r="AAI25" s="541"/>
      <c r="AAJ25" s="541"/>
      <c r="AAK25" s="541"/>
      <c r="AAL25" s="541"/>
      <c r="AAM25" s="541"/>
      <c r="AAN25" s="541"/>
      <c r="AAO25" s="541"/>
      <c r="AAP25" s="541"/>
      <c r="AAQ25" s="541"/>
      <c r="AAR25" s="541"/>
      <c r="AAS25" s="541"/>
      <c r="AAT25" s="541"/>
      <c r="AAU25" s="541"/>
      <c r="AAV25" s="541"/>
      <c r="AAW25" s="541"/>
      <c r="AAX25" s="541"/>
      <c r="AAY25" s="541"/>
      <c r="AAZ25" s="541"/>
      <c r="ABA25" s="541"/>
      <c r="ABB25" s="541"/>
      <c r="ABC25" s="541"/>
      <c r="ABD25" s="541"/>
      <c r="ABE25" s="541"/>
      <c r="ABF25" s="541"/>
      <c r="ABG25" s="541"/>
      <c r="ABH25" s="541"/>
      <c r="ABI25" s="541"/>
      <c r="ABJ25" s="541"/>
      <c r="ABK25" s="541"/>
      <c r="ABL25" s="541"/>
      <c r="ABM25" s="541"/>
      <c r="ABN25" s="541"/>
      <c r="ABO25" s="541"/>
      <c r="ABP25" s="541"/>
      <c r="ABQ25" s="541"/>
      <c r="ABR25" s="541"/>
      <c r="ABS25" s="541"/>
      <c r="ABT25" s="541"/>
      <c r="ABU25" s="541"/>
      <c r="ABV25" s="541"/>
      <c r="ABW25" s="541"/>
      <c r="ABX25" s="541"/>
      <c r="ABY25" s="541"/>
      <c r="ABZ25" s="541"/>
      <c r="ACA25" s="541"/>
      <c r="ACB25" s="541"/>
      <c r="ACC25" s="541"/>
      <c r="ACD25" s="541"/>
      <c r="ACE25" s="541"/>
      <c r="ACF25" s="541"/>
      <c r="ACG25" s="541"/>
      <c r="ACH25" s="541"/>
      <c r="ACI25" s="541"/>
      <c r="ACJ25" s="541"/>
      <c r="ACK25" s="541"/>
      <c r="ACL25" s="541"/>
      <c r="ACM25" s="541"/>
      <c r="ACN25" s="541"/>
      <c r="ACO25" s="541"/>
      <c r="ACP25" s="541"/>
      <c r="ACQ25" s="541"/>
      <c r="ACR25" s="541"/>
      <c r="ACS25" s="541"/>
      <c r="ACT25" s="541"/>
      <c r="ACU25" s="541"/>
      <c r="ACV25" s="541"/>
      <c r="ACW25" s="541"/>
      <c r="ACX25" s="541"/>
      <c r="ACY25" s="541"/>
      <c r="ACZ25" s="541"/>
      <c r="ADA25" s="541"/>
      <c r="ADB25" s="541"/>
      <c r="ADC25" s="541"/>
      <c r="ADD25" s="541"/>
      <c r="ADE25" s="541"/>
      <c r="ADF25" s="541"/>
      <c r="ADG25" s="541"/>
      <c r="ADH25" s="541"/>
      <c r="ADI25" s="541"/>
      <c r="ADJ25" s="541"/>
      <c r="ADK25" s="541"/>
      <c r="ADL25" s="541"/>
      <c r="ADM25" s="541"/>
      <c r="ADN25" s="541"/>
      <c r="ADO25" s="541"/>
      <c r="ADP25" s="541"/>
      <c r="ADQ25" s="541"/>
      <c r="ADR25" s="541"/>
      <c r="ADS25" s="541"/>
      <c r="ADT25" s="541"/>
      <c r="ADU25" s="541"/>
      <c r="ADV25" s="541"/>
      <c r="ADW25" s="541"/>
      <c r="ADX25" s="541"/>
      <c r="ADY25" s="541"/>
      <c r="ADZ25" s="541"/>
      <c r="AEA25" s="541"/>
      <c r="AEB25" s="541"/>
      <c r="AEC25" s="541"/>
      <c r="AED25" s="541"/>
      <c r="AEE25" s="541"/>
      <c r="AEF25" s="541"/>
      <c r="AEG25" s="541"/>
      <c r="AEH25" s="541"/>
      <c r="AEI25" s="541"/>
      <c r="AEJ25" s="541"/>
      <c r="AEK25" s="541"/>
      <c r="AEL25" s="541"/>
      <c r="AEM25" s="541"/>
      <c r="AEN25" s="541"/>
      <c r="AEO25" s="541"/>
      <c r="AEP25" s="541"/>
      <c r="AEQ25" s="541"/>
      <c r="AER25" s="541"/>
      <c r="AES25" s="541"/>
      <c r="AET25" s="541"/>
      <c r="AEU25" s="541"/>
      <c r="AEV25" s="541"/>
      <c r="AEW25" s="541"/>
      <c r="AEX25" s="541"/>
      <c r="AEY25" s="541"/>
      <c r="AEZ25" s="541"/>
      <c r="AFA25" s="541"/>
      <c r="AFB25" s="541"/>
      <c r="AFC25" s="541"/>
      <c r="AFD25" s="541"/>
      <c r="AFE25" s="541"/>
      <c r="AFF25" s="541"/>
      <c r="AFG25" s="541"/>
      <c r="AFH25" s="541"/>
      <c r="AFI25" s="541"/>
      <c r="AFJ25" s="541"/>
      <c r="AFK25" s="541"/>
      <c r="AFL25" s="541"/>
      <c r="AFM25" s="541"/>
      <c r="AFN25" s="541"/>
      <c r="AFO25" s="541"/>
      <c r="AFP25" s="541"/>
      <c r="AFQ25" s="541"/>
      <c r="AFR25" s="541"/>
      <c r="AFS25" s="541"/>
      <c r="AFT25" s="541"/>
      <c r="AFU25" s="541"/>
      <c r="AFV25" s="541"/>
      <c r="AFW25" s="541"/>
      <c r="AFX25" s="541"/>
      <c r="AFY25" s="541"/>
      <c r="AFZ25" s="541"/>
      <c r="AGA25" s="541"/>
      <c r="AGB25" s="541"/>
      <c r="AGC25" s="541"/>
      <c r="AGD25" s="541"/>
      <c r="AGE25" s="541"/>
      <c r="AGF25" s="541"/>
      <c r="AGG25" s="541"/>
      <c r="AGH25" s="541"/>
      <c r="AGI25" s="541"/>
      <c r="AGJ25" s="541"/>
      <c r="AGK25" s="541"/>
      <c r="AGL25" s="541"/>
      <c r="AGM25" s="541"/>
      <c r="AGN25" s="541"/>
      <c r="AGO25" s="541"/>
      <c r="AGP25" s="541"/>
      <c r="AGQ25" s="541"/>
      <c r="AGR25" s="541"/>
      <c r="AGS25" s="541"/>
      <c r="AGT25" s="541"/>
      <c r="AGU25" s="541"/>
      <c r="AGV25" s="541"/>
      <c r="AGW25" s="541"/>
      <c r="AGX25" s="541"/>
      <c r="AGY25" s="541"/>
      <c r="AGZ25" s="541"/>
      <c r="AHA25" s="541"/>
      <c r="AHB25" s="541"/>
      <c r="AHC25" s="541"/>
      <c r="AHD25" s="541"/>
      <c r="AHE25" s="541"/>
      <c r="AHF25" s="541"/>
      <c r="AHG25" s="541"/>
      <c r="AHH25" s="541"/>
      <c r="AHI25" s="541"/>
      <c r="AHJ25" s="541"/>
      <c r="AHK25" s="541"/>
      <c r="AHL25" s="541"/>
      <c r="AHM25" s="541"/>
      <c r="AHN25" s="541"/>
      <c r="AHO25" s="541"/>
      <c r="AHP25" s="541"/>
      <c r="AHQ25" s="541"/>
      <c r="AHR25" s="541"/>
      <c r="AHS25" s="541"/>
      <c r="AHT25" s="541"/>
      <c r="AHU25" s="541"/>
      <c r="AHV25" s="541"/>
      <c r="AHW25" s="541"/>
      <c r="AHX25" s="541"/>
      <c r="AHY25" s="541"/>
      <c r="AHZ25" s="541"/>
      <c r="AIA25" s="541"/>
      <c r="AIB25" s="541"/>
      <c r="AIC25" s="541"/>
      <c r="AID25" s="541"/>
      <c r="AIE25" s="541"/>
      <c r="AIF25" s="541"/>
      <c r="AIG25" s="541"/>
      <c r="AIH25" s="541"/>
      <c r="AII25" s="541"/>
      <c r="AIJ25" s="541"/>
      <c r="AIK25" s="541"/>
      <c r="AIL25" s="541"/>
      <c r="AIM25" s="541"/>
      <c r="AIN25" s="541"/>
      <c r="AIO25" s="541"/>
      <c r="AIP25" s="541"/>
      <c r="AIQ25" s="541"/>
      <c r="AIR25" s="541"/>
      <c r="AIS25" s="541"/>
      <c r="AIT25" s="541"/>
      <c r="AIU25" s="541"/>
      <c r="AIV25" s="541"/>
      <c r="AIW25" s="541"/>
      <c r="AIX25" s="541"/>
      <c r="AIY25" s="541"/>
      <c r="AIZ25" s="541"/>
      <c r="AJA25" s="541"/>
      <c r="AJB25" s="541"/>
      <c r="AJC25" s="541"/>
      <c r="AJD25" s="541"/>
      <c r="AJE25" s="541"/>
      <c r="AJF25" s="541"/>
      <c r="AJG25" s="541"/>
      <c r="AJH25" s="541"/>
      <c r="AJI25" s="541"/>
      <c r="AJJ25" s="541"/>
      <c r="AJK25" s="541"/>
      <c r="AJL25" s="541"/>
      <c r="AJM25" s="541"/>
      <c r="AJN25" s="541"/>
      <c r="AJO25" s="541"/>
      <c r="AJP25" s="541"/>
      <c r="AJQ25" s="541"/>
      <c r="AJR25" s="541"/>
      <c r="AJS25" s="541"/>
      <c r="AJT25" s="541"/>
      <c r="AJU25" s="541"/>
      <c r="AJV25" s="541"/>
      <c r="AJW25" s="541"/>
      <c r="AJX25" s="541"/>
      <c r="AJY25" s="541"/>
      <c r="AJZ25" s="541"/>
      <c r="AKA25" s="541"/>
      <c r="AKB25" s="541"/>
      <c r="AKC25" s="541"/>
      <c r="AKD25" s="541"/>
      <c r="AKE25" s="541"/>
      <c r="AKF25" s="541"/>
      <c r="AKG25" s="541"/>
      <c r="AKH25" s="541"/>
      <c r="AKI25" s="541"/>
      <c r="AKJ25" s="541"/>
      <c r="AKK25" s="541"/>
      <c r="AKL25" s="541"/>
      <c r="AKM25" s="541"/>
      <c r="AKN25" s="541"/>
      <c r="AKO25" s="541"/>
      <c r="AKP25" s="541"/>
      <c r="AKQ25" s="541"/>
      <c r="AKR25" s="541"/>
      <c r="AKS25" s="541"/>
      <c r="AKT25" s="541"/>
      <c r="AKU25" s="541"/>
      <c r="AKV25" s="541"/>
      <c r="AKW25" s="541"/>
      <c r="AKX25" s="541"/>
      <c r="AKY25" s="541"/>
      <c r="AKZ25" s="541"/>
      <c r="ALA25" s="541"/>
      <c r="ALB25" s="541"/>
      <c r="ALC25" s="541"/>
      <c r="ALD25" s="541"/>
      <c r="ALE25" s="541"/>
      <c r="ALF25" s="541"/>
      <c r="ALG25" s="541"/>
      <c r="ALH25" s="541"/>
      <c r="ALI25" s="541"/>
      <c r="ALJ25" s="541"/>
      <c r="ALK25" s="541"/>
      <c r="ALL25" s="541"/>
      <c r="ALM25" s="541"/>
      <c r="ALN25" s="541"/>
      <c r="ALO25" s="541"/>
      <c r="ALP25" s="541"/>
      <c r="ALQ25" s="541"/>
      <c r="ALR25" s="541"/>
      <c r="ALS25" s="541"/>
      <c r="ALT25" s="541"/>
      <c r="ALU25" s="541"/>
      <c r="ALV25" s="541"/>
      <c r="ALW25" s="541"/>
      <c r="ALX25" s="541"/>
      <c r="ALY25" s="541"/>
      <c r="ALZ25" s="541"/>
      <c r="AMA25" s="541"/>
      <c r="AMB25" s="541"/>
      <c r="AMC25" s="541"/>
      <c r="AMD25" s="541"/>
      <c r="AME25" s="541"/>
      <c r="AMF25" s="541"/>
      <c r="AMG25" s="541"/>
      <c r="AMH25" s="541"/>
      <c r="AMI25" s="541"/>
      <c r="AMJ25" s="541"/>
      <c r="AMK25" s="541"/>
      <c r="AML25" s="541"/>
      <c r="AMM25" s="541"/>
      <c r="AMN25" s="541"/>
      <c r="AMO25" s="541"/>
      <c r="AMP25" s="541"/>
      <c r="AMQ25" s="541"/>
      <c r="AMR25" s="541"/>
      <c r="AMS25" s="541"/>
      <c r="AMT25" s="541"/>
      <c r="AMU25" s="541"/>
      <c r="AMV25" s="541"/>
      <c r="AMW25" s="541"/>
      <c r="AMX25" s="541"/>
      <c r="AMY25" s="541"/>
      <c r="AMZ25" s="541"/>
      <c r="ANA25" s="541"/>
      <c r="ANB25" s="541"/>
      <c r="ANC25" s="541"/>
      <c r="AND25" s="541"/>
      <c r="ANE25" s="541"/>
      <c r="ANF25" s="541"/>
      <c r="ANG25" s="541"/>
      <c r="ANH25" s="541"/>
      <c r="ANI25" s="541"/>
      <c r="ANJ25" s="541"/>
      <c r="ANK25" s="541"/>
      <c r="ANL25" s="541"/>
      <c r="ANM25" s="541"/>
      <c r="ANN25" s="541"/>
      <c r="ANO25" s="541"/>
      <c r="ANP25" s="541"/>
      <c r="ANQ25" s="541"/>
      <c r="ANR25" s="541"/>
      <c r="ANS25" s="541"/>
      <c r="ANT25" s="541"/>
      <c r="ANU25" s="541"/>
      <c r="ANV25" s="541"/>
      <c r="ANW25" s="541"/>
      <c r="ANX25" s="541"/>
      <c r="ANY25" s="541"/>
      <c r="ANZ25" s="541"/>
      <c r="AOA25" s="541"/>
      <c r="AOB25" s="541"/>
      <c r="AOC25" s="541"/>
      <c r="AOD25" s="541"/>
      <c r="AOE25" s="541"/>
      <c r="AOF25" s="541"/>
      <c r="AOG25" s="541"/>
      <c r="AOH25" s="541"/>
      <c r="AOI25" s="541"/>
      <c r="AOJ25" s="541"/>
      <c r="AOK25" s="541"/>
      <c r="AOL25" s="541"/>
      <c r="AOM25" s="541"/>
      <c r="AON25" s="541"/>
      <c r="AOO25" s="541"/>
      <c r="AOP25" s="541"/>
      <c r="AOQ25" s="541"/>
      <c r="AOR25" s="541"/>
      <c r="AOS25" s="541"/>
      <c r="AOT25" s="541"/>
      <c r="AOU25" s="541"/>
      <c r="AOV25" s="541"/>
      <c r="AOW25" s="541"/>
      <c r="AOX25" s="541"/>
      <c r="AOY25" s="541"/>
      <c r="AOZ25" s="541"/>
      <c r="APA25" s="541"/>
      <c r="APB25" s="541"/>
      <c r="APC25" s="541"/>
      <c r="APD25" s="541"/>
      <c r="APE25" s="541"/>
      <c r="APF25" s="541"/>
      <c r="APG25" s="541"/>
      <c r="APH25" s="541"/>
      <c r="API25" s="541"/>
      <c r="APJ25" s="541"/>
      <c r="APK25" s="541"/>
      <c r="APL25" s="541"/>
      <c r="APM25" s="541"/>
      <c r="APN25" s="541"/>
      <c r="APO25" s="541"/>
      <c r="APP25" s="541"/>
      <c r="APQ25" s="541"/>
      <c r="APR25" s="541"/>
      <c r="APS25" s="541"/>
      <c r="APT25" s="541"/>
      <c r="APU25" s="541"/>
      <c r="APV25" s="541"/>
      <c r="APW25" s="541"/>
      <c r="APX25" s="541"/>
      <c r="APY25" s="541"/>
      <c r="APZ25" s="541"/>
      <c r="AQA25" s="541"/>
      <c r="AQB25" s="541"/>
      <c r="AQC25" s="541"/>
      <c r="AQD25" s="541"/>
      <c r="AQE25" s="541"/>
      <c r="AQF25" s="541"/>
      <c r="AQG25" s="541"/>
      <c r="AQH25" s="541"/>
      <c r="AQI25" s="541"/>
      <c r="AQJ25" s="541"/>
      <c r="AQK25" s="541"/>
      <c r="AQL25" s="541"/>
      <c r="AQM25" s="541"/>
      <c r="AQN25" s="541"/>
      <c r="AQO25" s="541"/>
      <c r="AQP25" s="541"/>
      <c r="AQQ25" s="541"/>
      <c r="AQR25" s="541"/>
      <c r="AQS25" s="541"/>
      <c r="AQT25" s="541"/>
      <c r="AQU25" s="541"/>
      <c r="AQV25" s="541"/>
      <c r="AQW25" s="541"/>
      <c r="AQX25" s="541"/>
      <c r="AQY25" s="541"/>
      <c r="AQZ25" s="541"/>
      <c r="ARA25" s="541"/>
      <c r="ARB25" s="541"/>
      <c r="ARC25" s="541"/>
      <c r="ARD25" s="541"/>
      <c r="ARE25" s="541"/>
      <c r="ARF25" s="541"/>
      <c r="ARG25" s="541"/>
      <c r="ARH25" s="541"/>
      <c r="ARI25" s="541"/>
      <c r="ARJ25" s="541"/>
      <c r="ARK25" s="541"/>
      <c r="ARL25" s="541"/>
      <c r="ARM25" s="541"/>
      <c r="ARN25" s="541"/>
      <c r="ARO25" s="541"/>
      <c r="ARP25" s="541"/>
      <c r="ARQ25" s="541"/>
      <c r="ARR25" s="541"/>
      <c r="ARS25" s="541"/>
      <c r="ART25" s="541"/>
      <c r="ARU25" s="541"/>
    </row>
    <row r="26" spans="1:1165" s="658" customFormat="1">
      <c r="A26" s="613" t="s">
        <v>205</v>
      </c>
      <c r="B26" s="578" t="s">
        <v>110</v>
      </c>
      <c r="C26" s="659">
        <v>1</v>
      </c>
      <c r="D26" s="659">
        <v>50</v>
      </c>
      <c r="E26" s="581">
        <v>0</v>
      </c>
      <c r="F26" s="581">
        <v>0</v>
      </c>
      <c r="G26" s="581">
        <v>0</v>
      </c>
      <c r="H26" s="581">
        <v>0</v>
      </c>
      <c r="I26" s="581">
        <v>0</v>
      </c>
      <c r="J26" s="581">
        <v>0</v>
      </c>
      <c r="K26" s="581">
        <v>0</v>
      </c>
      <c r="L26" s="581">
        <v>0</v>
      </c>
      <c r="M26" s="581">
        <v>0</v>
      </c>
      <c r="N26" s="581">
        <v>0</v>
      </c>
      <c r="O26" s="581">
        <v>0</v>
      </c>
      <c r="P26" s="581">
        <v>0</v>
      </c>
      <c r="Q26" s="581">
        <v>0</v>
      </c>
      <c r="R26" s="581">
        <v>0</v>
      </c>
      <c r="S26" s="581">
        <v>0</v>
      </c>
      <c r="T26" s="581">
        <v>0</v>
      </c>
      <c r="U26" s="581">
        <v>0</v>
      </c>
      <c r="V26" s="581">
        <v>0</v>
      </c>
      <c r="W26" s="581">
        <v>0</v>
      </c>
      <c r="X26" s="581">
        <v>0</v>
      </c>
      <c r="Y26" s="581">
        <v>0</v>
      </c>
      <c r="Z26" s="581">
        <v>0</v>
      </c>
      <c r="AA26" s="581">
        <v>0</v>
      </c>
      <c r="AB26" s="581">
        <v>0</v>
      </c>
      <c r="AC26" s="581">
        <v>0</v>
      </c>
      <c r="AD26" s="581">
        <v>0</v>
      </c>
      <c r="AE26" s="581">
        <v>0</v>
      </c>
      <c r="AF26" s="581">
        <v>0</v>
      </c>
      <c r="AG26" s="581">
        <v>0</v>
      </c>
      <c r="AH26" s="581">
        <v>0</v>
      </c>
      <c r="AI26" s="581">
        <v>0</v>
      </c>
      <c r="AJ26" s="581">
        <v>0</v>
      </c>
      <c r="AK26" s="581">
        <v>0</v>
      </c>
      <c r="AL26" s="581">
        <v>0</v>
      </c>
      <c r="AM26" s="581">
        <v>0</v>
      </c>
      <c r="AN26" s="581">
        <v>0</v>
      </c>
      <c r="AO26" s="581">
        <v>0</v>
      </c>
      <c r="AP26" s="581">
        <v>0</v>
      </c>
      <c r="AQ26" s="581">
        <v>0</v>
      </c>
      <c r="AR26" s="581">
        <v>0</v>
      </c>
      <c r="AS26" s="581">
        <v>0</v>
      </c>
      <c r="AT26" s="581">
        <v>0</v>
      </c>
      <c r="AU26" s="581">
        <v>0</v>
      </c>
      <c r="AV26" s="581">
        <v>0</v>
      </c>
      <c r="AW26" s="581">
        <v>0</v>
      </c>
      <c r="AX26" s="581">
        <v>0</v>
      </c>
      <c r="AY26" s="616">
        <v>0</v>
      </c>
      <c r="AZ26" s="616">
        <v>0</v>
      </c>
      <c r="BA26" s="620"/>
      <c r="BB26" s="581"/>
      <c r="BC26" s="581"/>
      <c r="BD26" s="581"/>
      <c r="BE26" s="581"/>
      <c r="BF26" s="581"/>
      <c r="BG26" s="581"/>
      <c r="BH26" s="581"/>
      <c r="BI26" s="620"/>
      <c r="BJ26" s="581">
        <f t="shared" si="1"/>
        <v>1</v>
      </c>
      <c r="BK26" s="581">
        <f>D26+H26+J26+L26+N26+P26+R26+T26+V26+X26+Z26+AB26+AD26+AF26+AH26+AJ26+AL26+AN26+AP26+AR26+AT26+AV26+AX26+AZ26+BD26+BH26</f>
        <v>50</v>
      </c>
      <c r="BL26" s="541"/>
      <c r="BM26" s="624"/>
      <c r="BN26" s="624"/>
      <c r="BO26" s="624"/>
      <c r="BP26" s="624"/>
      <c r="BQ26" s="541"/>
      <c r="BR26" s="541"/>
      <c r="BS26" s="541"/>
      <c r="BT26" s="541"/>
      <c r="BU26" s="541"/>
      <c r="BV26" s="541"/>
      <c r="BW26" s="541"/>
      <c r="BX26" s="541"/>
      <c r="BY26" s="541"/>
      <c r="BZ26" s="541"/>
      <c r="CA26" s="541"/>
      <c r="CB26" s="541"/>
      <c r="CC26" s="541"/>
      <c r="CD26" s="541"/>
      <c r="CE26" s="541"/>
      <c r="CF26" s="541"/>
      <c r="CG26" s="541"/>
      <c r="CH26" s="541"/>
      <c r="CI26" s="541"/>
      <c r="CJ26" s="541"/>
      <c r="CK26" s="541"/>
      <c r="CL26" s="541"/>
      <c r="CM26" s="541"/>
      <c r="CN26" s="541"/>
      <c r="CO26" s="541"/>
      <c r="CP26" s="541"/>
      <c r="CQ26" s="541"/>
      <c r="CR26" s="541"/>
      <c r="CS26" s="541"/>
      <c r="CT26" s="541"/>
      <c r="CU26" s="541"/>
      <c r="CV26" s="541"/>
      <c r="CW26" s="541"/>
      <c r="CX26" s="541"/>
      <c r="CY26" s="541"/>
      <c r="CZ26" s="541"/>
      <c r="DA26" s="541"/>
      <c r="DB26" s="541"/>
      <c r="DC26" s="541"/>
      <c r="DD26" s="541"/>
      <c r="DE26" s="541"/>
      <c r="DF26" s="541"/>
      <c r="DG26" s="541"/>
      <c r="DH26" s="541"/>
      <c r="DI26" s="541"/>
      <c r="DJ26" s="541"/>
      <c r="DK26" s="541"/>
      <c r="DL26" s="541"/>
      <c r="DM26" s="541"/>
      <c r="DN26" s="541"/>
      <c r="DO26" s="541"/>
      <c r="DP26" s="541"/>
      <c r="DQ26" s="541"/>
      <c r="DR26" s="541"/>
      <c r="DS26" s="541"/>
      <c r="DT26" s="541"/>
      <c r="DU26" s="541"/>
      <c r="DV26" s="541"/>
      <c r="DW26" s="541"/>
      <c r="DX26" s="541"/>
      <c r="DY26" s="541"/>
      <c r="DZ26" s="541"/>
      <c r="EA26" s="541"/>
      <c r="EB26" s="541"/>
      <c r="EC26" s="541"/>
      <c r="ED26" s="541"/>
      <c r="EE26" s="541"/>
      <c r="EF26" s="541"/>
      <c r="EG26" s="541"/>
      <c r="EH26" s="541"/>
      <c r="EI26" s="541"/>
      <c r="EJ26" s="541"/>
      <c r="EK26" s="541"/>
      <c r="EL26" s="541"/>
      <c r="EM26" s="541"/>
      <c r="EN26" s="541"/>
      <c r="EO26" s="541"/>
      <c r="EP26" s="541"/>
      <c r="EQ26" s="541"/>
      <c r="ER26" s="541"/>
      <c r="ES26" s="541"/>
      <c r="ET26" s="541"/>
      <c r="EU26" s="541"/>
      <c r="EV26" s="541"/>
      <c r="EW26" s="541"/>
      <c r="EX26" s="541"/>
      <c r="EY26" s="541"/>
      <c r="EZ26" s="541"/>
      <c r="FA26" s="541"/>
      <c r="FB26" s="541"/>
      <c r="FC26" s="541"/>
      <c r="FD26" s="541"/>
      <c r="FE26" s="541"/>
      <c r="FF26" s="541"/>
      <c r="FG26" s="541"/>
      <c r="FH26" s="541"/>
      <c r="FI26" s="541"/>
      <c r="FJ26" s="541"/>
      <c r="FK26" s="541"/>
      <c r="FL26" s="541"/>
      <c r="FM26" s="541"/>
      <c r="FN26" s="541"/>
      <c r="FO26" s="541"/>
      <c r="FP26" s="541"/>
      <c r="FQ26" s="541"/>
      <c r="FR26" s="541"/>
      <c r="FS26" s="541"/>
      <c r="FT26" s="541"/>
      <c r="FU26" s="541"/>
      <c r="FV26" s="541"/>
      <c r="FW26" s="541"/>
      <c r="FX26" s="541"/>
      <c r="FY26" s="541"/>
      <c r="FZ26" s="541"/>
      <c r="GA26" s="541"/>
      <c r="GB26" s="541"/>
      <c r="GC26" s="541"/>
      <c r="GD26" s="541"/>
      <c r="GE26" s="541"/>
      <c r="GF26" s="541"/>
      <c r="GG26" s="541"/>
      <c r="GH26" s="541"/>
      <c r="GI26" s="541"/>
      <c r="GJ26" s="541"/>
      <c r="GK26" s="541"/>
      <c r="GL26" s="541"/>
      <c r="GM26" s="541"/>
      <c r="GN26" s="541"/>
      <c r="GO26" s="541"/>
      <c r="GP26" s="541"/>
      <c r="GQ26" s="541"/>
      <c r="GR26" s="541"/>
      <c r="GS26" s="541"/>
      <c r="GT26" s="541"/>
      <c r="GU26" s="541"/>
      <c r="GV26" s="541"/>
      <c r="GW26" s="541"/>
      <c r="GX26" s="541"/>
      <c r="GY26" s="541"/>
      <c r="GZ26" s="541"/>
      <c r="HA26" s="541"/>
      <c r="HB26" s="541"/>
      <c r="HC26" s="541"/>
      <c r="HD26" s="541"/>
      <c r="HE26" s="541"/>
      <c r="HF26" s="541"/>
      <c r="HG26" s="541"/>
      <c r="HH26" s="541"/>
      <c r="HI26" s="541"/>
      <c r="HJ26" s="541"/>
      <c r="HK26" s="541"/>
      <c r="HL26" s="541"/>
      <c r="HM26" s="541"/>
      <c r="HN26" s="541"/>
      <c r="HO26" s="541"/>
      <c r="HP26" s="541"/>
      <c r="HQ26" s="541"/>
      <c r="HR26" s="541"/>
      <c r="HS26" s="541"/>
      <c r="HT26" s="541"/>
      <c r="HU26" s="541"/>
      <c r="HV26" s="541"/>
      <c r="HW26" s="541"/>
      <c r="HX26" s="541"/>
      <c r="HY26" s="541"/>
      <c r="HZ26" s="541"/>
      <c r="IA26" s="541"/>
      <c r="IB26" s="541"/>
      <c r="IC26" s="541"/>
      <c r="ID26" s="541"/>
      <c r="IE26" s="541"/>
      <c r="IF26" s="541"/>
      <c r="IG26" s="541"/>
      <c r="IH26" s="541"/>
      <c r="II26" s="541"/>
      <c r="IJ26" s="541"/>
      <c r="IK26" s="541"/>
      <c r="IL26" s="541"/>
      <c r="IM26" s="541"/>
      <c r="IN26" s="541"/>
      <c r="IO26" s="541"/>
      <c r="IP26" s="541"/>
      <c r="IQ26" s="541"/>
      <c r="IR26" s="541"/>
      <c r="IS26" s="541"/>
      <c r="IT26" s="541"/>
      <c r="IU26" s="541"/>
      <c r="IV26" s="541"/>
      <c r="IW26" s="541"/>
      <c r="IX26" s="541"/>
      <c r="IY26" s="541"/>
      <c r="IZ26" s="541"/>
      <c r="JA26" s="541"/>
      <c r="JB26" s="541"/>
      <c r="JC26" s="541"/>
      <c r="JD26" s="541"/>
      <c r="JE26" s="541"/>
      <c r="JF26" s="541"/>
      <c r="JG26" s="541"/>
      <c r="JH26" s="541"/>
      <c r="JI26" s="541"/>
      <c r="JJ26" s="541"/>
      <c r="JK26" s="541"/>
      <c r="JL26" s="541"/>
      <c r="JM26" s="541"/>
      <c r="JN26" s="541"/>
      <c r="JO26" s="541"/>
      <c r="JP26" s="541"/>
      <c r="JQ26" s="541"/>
      <c r="JR26" s="541"/>
      <c r="JS26" s="541"/>
      <c r="JT26" s="541"/>
      <c r="JU26" s="541"/>
      <c r="JV26" s="541"/>
      <c r="JW26" s="541"/>
      <c r="JX26" s="541"/>
      <c r="JY26" s="541"/>
      <c r="JZ26" s="541"/>
      <c r="KA26" s="541"/>
      <c r="KB26" s="541"/>
      <c r="KC26" s="541"/>
      <c r="KD26" s="541"/>
      <c r="KE26" s="541"/>
      <c r="KF26" s="541"/>
      <c r="KG26" s="541"/>
      <c r="KH26" s="541"/>
      <c r="KI26" s="541"/>
      <c r="KJ26" s="541"/>
      <c r="KK26" s="541"/>
      <c r="KL26" s="541"/>
      <c r="KM26" s="541"/>
      <c r="KN26" s="541"/>
      <c r="KO26" s="541"/>
      <c r="KP26" s="541"/>
      <c r="KQ26" s="541"/>
      <c r="KR26" s="541"/>
      <c r="KS26" s="541"/>
      <c r="KT26" s="541"/>
      <c r="KU26" s="541"/>
      <c r="KV26" s="541"/>
      <c r="KW26" s="541"/>
      <c r="KX26" s="541"/>
      <c r="KY26" s="541"/>
      <c r="KZ26" s="541"/>
      <c r="LA26" s="541"/>
      <c r="LB26" s="541"/>
      <c r="LC26" s="541"/>
      <c r="LD26" s="541"/>
      <c r="LE26" s="541"/>
      <c r="LF26" s="541"/>
      <c r="LG26" s="541"/>
      <c r="LH26" s="541"/>
      <c r="LI26" s="541"/>
      <c r="LJ26" s="541"/>
      <c r="LK26" s="541"/>
      <c r="LL26" s="541"/>
      <c r="LM26" s="541"/>
      <c r="LN26" s="541"/>
      <c r="LO26" s="541"/>
      <c r="LP26" s="541"/>
      <c r="LQ26" s="541"/>
      <c r="LR26" s="541"/>
      <c r="LS26" s="541"/>
      <c r="LT26" s="541"/>
      <c r="LU26" s="541"/>
      <c r="LV26" s="541"/>
      <c r="LW26" s="541"/>
      <c r="LX26" s="541"/>
      <c r="LY26" s="541"/>
      <c r="LZ26" s="541"/>
      <c r="MA26" s="541"/>
      <c r="MB26" s="541"/>
      <c r="MC26" s="541"/>
      <c r="MD26" s="541"/>
      <c r="ME26" s="541"/>
      <c r="MF26" s="541"/>
      <c r="MG26" s="541"/>
      <c r="MH26" s="541"/>
      <c r="MI26" s="541"/>
      <c r="MJ26" s="541"/>
      <c r="MK26" s="541"/>
      <c r="ML26" s="541"/>
      <c r="MM26" s="541"/>
      <c r="MN26" s="541"/>
      <c r="MO26" s="541"/>
      <c r="MP26" s="541"/>
      <c r="MQ26" s="541"/>
      <c r="MR26" s="541"/>
      <c r="MS26" s="541"/>
      <c r="MT26" s="541"/>
      <c r="MU26" s="541"/>
      <c r="MV26" s="541"/>
      <c r="MW26" s="541"/>
      <c r="MX26" s="541"/>
      <c r="MY26" s="541"/>
      <c r="MZ26" s="541"/>
      <c r="NA26" s="541"/>
      <c r="NB26" s="541"/>
      <c r="NC26" s="541"/>
      <c r="ND26" s="541"/>
      <c r="NE26" s="541"/>
      <c r="NF26" s="541"/>
      <c r="NG26" s="541"/>
      <c r="NH26" s="541"/>
      <c r="NI26" s="541"/>
      <c r="NJ26" s="541"/>
      <c r="NK26" s="541"/>
      <c r="NL26" s="541"/>
      <c r="NM26" s="541"/>
      <c r="NN26" s="541"/>
      <c r="NO26" s="541"/>
      <c r="NP26" s="541"/>
      <c r="NQ26" s="541"/>
      <c r="NR26" s="541"/>
      <c r="NS26" s="541"/>
      <c r="NT26" s="541"/>
      <c r="NU26" s="541"/>
      <c r="NV26" s="541"/>
      <c r="NW26" s="541"/>
      <c r="NX26" s="541"/>
      <c r="NY26" s="541"/>
      <c r="NZ26" s="541"/>
      <c r="OA26" s="541"/>
      <c r="OB26" s="541"/>
      <c r="OC26" s="541"/>
      <c r="OD26" s="541"/>
      <c r="OE26" s="541"/>
      <c r="OF26" s="541"/>
      <c r="OG26" s="541"/>
      <c r="OH26" s="541"/>
      <c r="OI26" s="541"/>
      <c r="OJ26" s="541"/>
      <c r="OK26" s="541"/>
      <c r="OL26" s="541"/>
      <c r="OM26" s="541"/>
      <c r="ON26" s="541"/>
      <c r="OO26" s="541"/>
      <c r="OP26" s="541"/>
      <c r="OQ26" s="541"/>
      <c r="OR26" s="541"/>
      <c r="OS26" s="541"/>
      <c r="OT26" s="541"/>
      <c r="OU26" s="541"/>
      <c r="OV26" s="541"/>
      <c r="OW26" s="541"/>
      <c r="OX26" s="541"/>
      <c r="OY26" s="541"/>
      <c r="OZ26" s="541"/>
      <c r="PA26" s="541"/>
      <c r="PB26" s="541"/>
      <c r="PC26" s="541"/>
      <c r="PD26" s="541"/>
      <c r="PE26" s="541"/>
      <c r="PF26" s="541"/>
      <c r="PG26" s="541"/>
      <c r="PH26" s="541"/>
      <c r="PI26" s="541"/>
      <c r="PJ26" s="541"/>
      <c r="PK26" s="541"/>
      <c r="PL26" s="541"/>
      <c r="PM26" s="541"/>
      <c r="PN26" s="541"/>
      <c r="PO26" s="541"/>
      <c r="PP26" s="541"/>
      <c r="PQ26" s="541"/>
      <c r="PR26" s="541"/>
      <c r="PS26" s="541"/>
      <c r="PT26" s="541"/>
      <c r="PU26" s="541"/>
      <c r="PV26" s="541"/>
      <c r="PW26" s="541"/>
      <c r="PX26" s="541"/>
      <c r="PY26" s="541"/>
      <c r="PZ26" s="541"/>
      <c r="QA26" s="541"/>
      <c r="QB26" s="541"/>
      <c r="QC26" s="541"/>
      <c r="QD26" s="541"/>
      <c r="QE26" s="541"/>
      <c r="QF26" s="541"/>
      <c r="QG26" s="541"/>
      <c r="QH26" s="541"/>
      <c r="QI26" s="541"/>
      <c r="QJ26" s="541"/>
      <c r="QK26" s="541"/>
      <c r="QL26" s="541"/>
      <c r="QM26" s="541"/>
      <c r="QN26" s="541"/>
      <c r="QO26" s="541"/>
      <c r="QP26" s="541"/>
      <c r="QQ26" s="541"/>
      <c r="QR26" s="541"/>
      <c r="QS26" s="541"/>
      <c r="QT26" s="541"/>
      <c r="QU26" s="541"/>
      <c r="QV26" s="541"/>
      <c r="QW26" s="541"/>
      <c r="QX26" s="541"/>
      <c r="QY26" s="541"/>
      <c r="QZ26" s="541"/>
      <c r="RA26" s="541"/>
      <c r="RB26" s="541"/>
      <c r="RC26" s="541"/>
      <c r="RD26" s="541"/>
      <c r="RE26" s="541"/>
      <c r="RF26" s="541"/>
      <c r="RG26" s="541"/>
      <c r="RH26" s="541"/>
      <c r="RI26" s="541"/>
      <c r="RJ26" s="541"/>
      <c r="RK26" s="541"/>
      <c r="RL26" s="541"/>
      <c r="RM26" s="541"/>
      <c r="RN26" s="541"/>
      <c r="RO26" s="541"/>
      <c r="RP26" s="541"/>
      <c r="RQ26" s="541"/>
      <c r="RR26" s="541"/>
      <c r="RS26" s="541"/>
      <c r="RT26" s="541"/>
      <c r="RU26" s="541"/>
      <c r="RV26" s="541"/>
      <c r="RW26" s="541"/>
      <c r="RX26" s="541"/>
      <c r="RY26" s="541"/>
      <c r="RZ26" s="541"/>
      <c r="SA26" s="541"/>
      <c r="SB26" s="541"/>
      <c r="SC26" s="541"/>
      <c r="SD26" s="541"/>
      <c r="SE26" s="541"/>
      <c r="SF26" s="541"/>
      <c r="SG26" s="541"/>
      <c r="SH26" s="541"/>
      <c r="SI26" s="541"/>
      <c r="SJ26" s="541"/>
      <c r="SK26" s="541"/>
      <c r="SL26" s="541"/>
      <c r="SM26" s="541"/>
      <c r="SN26" s="541"/>
      <c r="SO26" s="541"/>
      <c r="SP26" s="541"/>
      <c r="SQ26" s="541"/>
      <c r="SR26" s="541"/>
      <c r="SS26" s="541"/>
      <c r="ST26" s="541"/>
      <c r="SU26" s="541"/>
      <c r="SV26" s="541"/>
      <c r="SW26" s="541"/>
      <c r="SX26" s="541"/>
      <c r="SY26" s="541"/>
      <c r="SZ26" s="541"/>
      <c r="TA26" s="541"/>
      <c r="TB26" s="541"/>
      <c r="TC26" s="541"/>
      <c r="TD26" s="541"/>
      <c r="TE26" s="541"/>
      <c r="TF26" s="541"/>
      <c r="TG26" s="541"/>
      <c r="TH26" s="541"/>
      <c r="TI26" s="541"/>
      <c r="TJ26" s="541"/>
      <c r="TK26" s="541"/>
      <c r="TL26" s="541"/>
      <c r="TM26" s="541"/>
      <c r="TN26" s="541"/>
      <c r="TO26" s="541"/>
      <c r="TP26" s="541"/>
      <c r="TQ26" s="541"/>
      <c r="TR26" s="541"/>
      <c r="TS26" s="541"/>
      <c r="TT26" s="541"/>
      <c r="TU26" s="541"/>
      <c r="TV26" s="541"/>
      <c r="TW26" s="541"/>
      <c r="TX26" s="541"/>
      <c r="TY26" s="541"/>
      <c r="TZ26" s="541"/>
      <c r="UA26" s="541"/>
      <c r="UB26" s="541"/>
      <c r="UC26" s="541"/>
      <c r="UD26" s="541"/>
      <c r="UE26" s="541"/>
      <c r="UF26" s="541"/>
      <c r="UG26" s="541"/>
      <c r="UH26" s="541"/>
      <c r="UI26" s="541"/>
      <c r="UJ26" s="541"/>
      <c r="UK26" s="541"/>
      <c r="UL26" s="541"/>
      <c r="UM26" s="541"/>
      <c r="UN26" s="541"/>
      <c r="UO26" s="541"/>
      <c r="UP26" s="541"/>
      <c r="UQ26" s="541"/>
      <c r="UR26" s="541"/>
      <c r="US26" s="541"/>
      <c r="UT26" s="541"/>
      <c r="UU26" s="541"/>
      <c r="UV26" s="541"/>
      <c r="UW26" s="541"/>
      <c r="UX26" s="541"/>
      <c r="UY26" s="541"/>
      <c r="UZ26" s="541"/>
      <c r="VA26" s="541"/>
      <c r="VB26" s="541"/>
      <c r="VC26" s="541"/>
      <c r="VD26" s="541"/>
      <c r="VE26" s="541"/>
      <c r="VF26" s="541"/>
      <c r="VG26" s="541"/>
      <c r="VH26" s="541"/>
      <c r="VI26" s="541"/>
      <c r="VJ26" s="541"/>
      <c r="VK26" s="541"/>
      <c r="VL26" s="541"/>
      <c r="VM26" s="541"/>
      <c r="VN26" s="541"/>
      <c r="VO26" s="541"/>
      <c r="VP26" s="541"/>
      <c r="VQ26" s="541"/>
      <c r="VR26" s="541"/>
      <c r="VS26" s="541"/>
      <c r="VT26" s="541"/>
      <c r="VU26" s="541"/>
      <c r="VV26" s="541"/>
      <c r="VW26" s="541"/>
      <c r="VX26" s="541"/>
      <c r="VY26" s="541"/>
      <c r="VZ26" s="541"/>
      <c r="WA26" s="541"/>
      <c r="WB26" s="541"/>
      <c r="WC26" s="541"/>
      <c r="WD26" s="541"/>
      <c r="WE26" s="541"/>
      <c r="WF26" s="541"/>
      <c r="WG26" s="541"/>
      <c r="WH26" s="541"/>
      <c r="WI26" s="541"/>
      <c r="WJ26" s="541"/>
      <c r="WK26" s="541"/>
      <c r="WL26" s="541"/>
      <c r="WM26" s="541"/>
      <c r="WN26" s="541"/>
      <c r="WO26" s="541"/>
      <c r="WP26" s="541"/>
      <c r="WQ26" s="541"/>
      <c r="WR26" s="541"/>
      <c r="WS26" s="541"/>
      <c r="WT26" s="541"/>
      <c r="WU26" s="541"/>
      <c r="WV26" s="541"/>
      <c r="WW26" s="541"/>
      <c r="WX26" s="541"/>
      <c r="WY26" s="541"/>
      <c r="WZ26" s="541"/>
      <c r="XA26" s="541"/>
      <c r="XB26" s="541"/>
      <c r="XC26" s="541"/>
      <c r="XD26" s="541"/>
      <c r="XE26" s="541"/>
      <c r="XF26" s="541"/>
      <c r="XG26" s="541"/>
      <c r="XH26" s="541"/>
      <c r="XI26" s="541"/>
      <c r="XJ26" s="541"/>
      <c r="XK26" s="541"/>
      <c r="XL26" s="541"/>
      <c r="XM26" s="541"/>
      <c r="XN26" s="541"/>
      <c r="XO26" s="541"/>
      <c r="XP26" s="541"/>
      <c r="XQ26" s="541"/>
      <c r="XR26" s="541"/>
      <c r="XS26" s="541"/>
      <c r="XT26" s="541"/>
      <c r="XU26" s="541"/>
      <c r="XV26" s="541"/>
      <c r="XW26" s="541"/>
      <c r="XX26" s="541"/>
      <c r="XY26" s="541"/>
      <c r="XZ26" s="541"/>
      <c r="YA26" s="541"/>
      <c r="YB26" s="541"/>
      <c r="YC26" s="541"/>
      <c r="YD26" s="541"/>
      <c r="YE26" s="541"/>
      <c r="YF26" s="541"/>
      <c r="YG26" s="541"/>
      <c r="YH26" s="541"/>
      <c r="YI26" s="541"/>
      <c r="YJ26" s="541"/>
      <c r="YK26" s="541"/>
      <c r="YL26" s="541"/>
      <c r="YM26" s="541"/>
      <c r="YN26" s="541"/>
      <c r="YO26" s="541"/>
      <c r="YP26" s="541"/>
      <c r="YQ26" s="541"/>
      <c r="YR26" s="541"/>
      <c r="YS26" s="541"/>
      <c r="YT26" s="541"/>
      <c r="YU26" s="541"/>
      <c r="YV26" s="541"/>
      <c r="YW26" s="541"/>
      <c r="YX26" s="541"/>
      <c r="YY26" s="541"/>
      <c r="YZ26" s="541"/>
      <c r="ZA26" s="541"/>
      <c r="ZB26" s="541"/>
      <c r="ZC26" s="541"/>
      <c r="ZD26" s="541"/>
      <c r="ZE26" s="541"/>
      <c r="ZF26" s="541"/>
      <c r="ZG26" s="541"/>
      <c r="ZH26" s="541"/>
      <c r="ZI26" s="541"/>
      <c r="ZJ26" s="541"/>
      <c r="ZK26" s="541"/>
      <c r="ZL26" s="541"/>
      <c r="ZM26" s="541"/>
      <c r="ZN26" s="541"/>
      <c r="ZO26" s="541"/>
      <c r="ZP26" s="541"/>
      <c r="ZQ26" s="541"/>
      <c r="ZR26" s="541"/>
      <c r="ZS26" s="541"/>
      <c r="ZT26" s="541"/>
      <c r="ZU26" s="541"/>
      <c r="ZV26" s="541"/>
      <c r="ZW26" s="541"/>
      <c r="ZX26" s="541"/>
      <c r="ZY26" s="541"/>
      <c r="ZZ26" s="541"/>
      <c r="AAA26" s="541"/>
      <c r="AAB26" s="541"/>
      <c r="AAC26" s="541"/>
      <c r="AAD26" s="541"/>
      <c r="AAE26" s="541"/>
      <c r="AAF26" s="541"/>
      <c r="AAG26" s="541"/>
      <c r="AAH26" s="541"/>
      <c r="AAI26" s="541"/>
      <c r="AAJ26" s="541"/>
      <c r="AAK26" s="541"/>
      <c r="AAL26" s="541"/>
      <c r="AAM26" s="541"/>
      <c r="AAN26" s="541"/>
      <c r="AAO26" s="541"/>
      <c r="AAP26" s="541"/>
      <c r="AAQ26" s="541"/>
      <c r="AAR26" s="541"/>
      <c r="AAS26" s="541"/>
      <c r="AAT26" s="541"/>
      <c r="AAU26" s="541"/>
      <c r="AAV26" s="541"/>
      <c r="AAW26" s="541"/>
      <c r="AAX26" s="541"/>
      <c r="AAY26" s="541"/>
      <c r="AAZ26" s="541"/>
      <c r="ABA26" s="541"/>
      <c r="ABB26" s="541"/>
      <c r="ABC26" s="541"/>
      <c r="ABD26" s="541"/>
      <c r="ABE26" s="541"/>
      <c r="ABF26" s="541"/>
      <c r="ABG26" s="541"/>
      <c r="ABH26" s="541"/>
      <c r="ABI26" s="541"/>
      <c r="ABJ26" s="541"/>
      <c r="ABK26" s="541"/>
      <c r="ABL26" s="541"/>
      <c r="ABM26" s="541"/>
      <c r="ABN26" s="541"/>
      <c r="ABO26" s="541"/>
      <c r="ABP26" s="541"/>
      <c r="ABQ26" s="541"/>
      <c r="ABR26" s="541"/>
      <c r="ABS26" s="541"/>
      <c r="ABT26" s="541"/>
      <c r="ABU26" s="541"/>
      <c r="ABV26" s="541"/>
      <c r="ABW26" s="541"/>
      <c r="ABX26" s="541"/>
      <c r="ABY26" s="541"/>
      <c r="ABZ26" s="541"/>
      <c r="ACA26" s="541"/>
      <c r="ACB26" s="541"/>
      <c r="ACC26" s="541"/>
      <c r="ACD26" s="541"/>
      <c r="ACE26" s="541"/>
      <c r="ACF26" s="541"/>
      <c r="ACG26" s="541"/>
      <c r="ACH26" s="541"/>
      <c r="ACI26" s="541"/>
      <c r="ACJ26" s="541"/>
      <c r="ACK26" s="541"/>
      <c r="ACL26" s="541"/>
      <c r="ACM26" s="541"/>
      <c r="ACN26" s="541"/>
      <c r="ACO26" s="541"/>
      <c r="ACP26" s="541"/>
      <c r="ACQ26" s="541"/>
      <c r="ACR26" s="541"/>
      <c r="ACS26" s="541"/>
      <c r="ACT26" s="541"/>
      <c r="ACU26" s="541"/>
      <c r="ACV26" s="541"/>
      <c r="ACW26" s="541"/>
      <c r="ACX26" s="541"/>
      <c r="ACY26" s="541"/>
      <c r="ACZ26" s="541"/>
      <c r="ADA26" s="541"/>
      <c r="ADB26" s="541"/>
      <c r="ADC26" s="541"/>
      <c r="ADD26" s="541"/>
      <c r="ADE26" s="541"/>
      <c r="ADF26" s="541"/>
      <c r="ADG26" s="541"/>
      <c r="ADH26" s="541"/>
      <c r="ADI26" s="541"/>
      <c r="ADJ26" s="541"/>
      <c r="ADK26" s="541"/>
      <c r="ADL26" s="541"/>
      <c r="ADM26" s="541"/>
      <c r="ADN26" s="541"/>
      <c r="ADO26" s="541"/>
      <c r="ADP26" s="541"/>
      <c r="ADQ26" s="541"/>
      <c r="ADR26" s="541"/>
      <c r="ADS26" s="541"/>
      <c r="ADT26" s="541"/>
      <c r="ADU26" s="541"/>
      <c r="ADV26" s="541"/>
      <c r="ADW26" s="541"/>
      <c r="ADX26" s="541"/>
      <c r="ADY26" s="541"/>
      <c r="ADZ26" s="541"/>
      <c r="AEA26" s="541"/>
      <c r="AEB26" s="541"/>
      <c r="AEC26" s="541"/>
      <c r="AED26" s="541"/>
      <c r="AEE26" s="541"/>
      <c r="AEF26" s="541"/>
      <c r="AEG26" s="541"/>
      <c r="AEH26" s="541"/>
      <c r="AEI26" s="541"/>
      <c r="AEJ26" s="541"/>
      <c r="AEK26" s="541"/>
      <c r="AEL26" s="541"/>
      <c r="AEM26" s="541"/>
      <c r="AEN26" s="541"/>
      <c r="AEO26" s="541"/>
      <c r="AEP26" s="541"/>
      <c r="AEQ26" s="541"/>
      <c r="AER26" s="541"/>
      <c r="AES26" s="541"/>
      <c r="AET26" s="541"/>
      <c r="AEU26" s="541"/>
      <c r="AEV26" s="541"/>
      <c r="AEW26" s="541"/>
      <c r="AEX26" s="541"/>
      <c r="AEY26" s="541"/>
      <c r="AEZ26" s="541"/>
      <c r="AFA26" s="541"/>
      <c r="AFB26" s="541"/>
      <c r="AFC26" s="541"/>
      <c r="AFD26" s="541"/>
      <c r="AFE26" s="541"/>
      <c r="AFF26" s="541"/>
      <c r="AFG26" s="541"/>
      <c r="AFH26" s="541"/>
      <c r="AFI26" s="541"/>
      <c r="AFJ26" s="541"/>
      <c r="AFK26" s="541"/>
      <c r="AFL26" s="541"/>
      <c r="AFM26" s="541"/>
      <c r="AFN26" s="541"/>
      <c r="AFO26" s="541"/>
      <c r="AFP26" s="541"/>
      <c r="AFQ26" s="541"/>
      <c r="AFR26" s="541"/>
      <c r="AFS26" s="541"/>
      <c r="AFT26" s="541"/>
      <c r="AFU26" s="541"/>
      <c r="AFV26" s="541"/>
      <c r="AFW26" s="541"/>
      <c r="AFX26" s="541"/>
      <c r="AFY26" s="541"/>
      <c r="AFZ26" s="541"/>
      <c r="AGA26" s="541"/>
      <c r="AGB26" s="541"/>
      <c r="AGC26" s="541"/>
      <c r="AGD26" s="541"/>
      <c r="AGE26" s="541"/>
      <c r="AGF26" s="541"/>
      <c r="AGG26" s="541"/>
      <c r="AGH26" s="541"/>
      <c r="AGI26" s="541"/>
      <c r="AGJ26" s="541"/>
      <c r="AGK26" s="541"/>
      <c r="AGL26" s="541"/>
      <c r="AGM26" s="541"/>
      <c r="AGN26" s="541"/>
      <c r="AGO26" s="541"/>
      <c r="AGP26" s="541"/>
      <c r="AGQ26" s="541"/>
      <c r="AGR26" s="541"/>
      <c r="AGS26" s="541"/>
      <c r="AGT26" s="541"/>
      <c r="AGU26" s="541"/>
      <c r="AGV26" s="541"/>
      <c r="AGW26" s="541"/>
      <c r="AGX26" s="541"/>
      <c r="AGY26" s="541"/>
      <c r="AGZ26" s="541"/>
      <c r="AHA26" s="541"/>
      <c r="AHB26" s="541"/>
      <c r="AHC26" s="541"/>
      <c r="AHD26" s="541"/>
      <c r="AHE26" s="541"/>
      <c r="AHF26" s="541"/>
      <c r="AHG26" s="541"/>
      <c r="AHH26" s="541"/>
      <c r="AHI26" s="541"/>
      <c r="AHJ26" s="541"/>
      <c r="AHK26" s="541"/>
      <c r="AHL26" s="541"/>
      <c r="AHM26" s="541"/>
      <c r="AHN26" s="541"/>
      <c r="AHO26" s="541"/>
      <c r="AHP26" s="541"/>
      <c r="AHQ26" s="541"/>
      <c r="AHR26" s="541"/>
      <c r="AHS26" s="541"/>
      <c r="AHT26" s="541"/>
      <c r="AHU26" s="541"/>
      <c r="AHV26" s="541"/>
      <c r="AHW26" s="541"/>
      <c r="AHX26" s="541"/>
      <c r="AHY26" s="541"/>
      <c r="AHZ26" s="541"/>
      <c r="AIA26" s="541"/>
      <c r="AIB26" s="541"/>
      <c r="AIC26" s="541"/>
      <c r="AID26" s="541"/>
      <c r="AIE26" s="541"/>
      <c r="AIF26" s="541"/>
      <c r="AIG26" s="541"/>
      <c r="AIH26" s="541"/>
      <c r="AII26" s="541"/>
      <c r="AIJ26" s="541"/>
      <c r="AIK26" s="541"/>
      <c r="AIL26" s="541"/>
      <c r="AIM26" s="541"/>
      <c r="AIN26" s="541"/>
      <c r="AIO26" s="541"/>
      <c r="AIP26" s="541"/>
      <c r="AIQ26" s="541"/>
      <c r="AIR26" s="541"/>
      <c r="AIS26" s="541"/>
      <c r="AIT26" s="541"/>
      <c r="AIU26" s="541"/>
      <c r="AIV26" s="541"/>
      <c r="AIW26" s="541"/>
      <c r="AIX26" s="541"/>
      <c r="AIY26" s="541"/>
      <c r="AIZ26" s="541"/>
      <c r="AJA26" s="541"/>
      <c r="AJB26" s="541"/>
      <c r="AJC26" s="541"/>
      <c r="AJD26" s="541"/>
      <c r="AJE26" s="541"/>
      <c r="AJF26" s="541"/>
      <c r="AJG26" s="541"/>
      <c r="AJH26" s="541"/>
      <c r="AJI26" s="541"/>
      <c r="AJJ26" s="541"/>
      <c r="AJK26" s="541"/>
      <c r="AJL26" s="541"/>
      <c r="AJM26" s="541"/>
      <c r="AJN26" s="541"/>
      <c r="AJO26" s="541"/>
      <c r="AJP26" s="541"/>
      <c r="AJQ26" s="541"/>
      <c r="AJR26" s="541"/>
      <c r="AJS26" s="541"/>
      <c r="AJT26" s="541"/>
      <c r="AJU26" s="541"/>
      <c r="AJV26" s="541"/>
      <c r="AJW26" s="541"/>
      <c r="AJX26" s="541"/>
      <c r="AJY26" s="541"/>
      <c r="AJZ26" s="541"/>
      <c r="AKA26" s="541"/>
      <c r="AKB26" s="541"/>
      <c r="AKC26" s="541"/>
      <c r="AKD26" s="541"/>
      <c r="AKE26" s="541"/>
      <c r="AKF26" s="541"/>
      <c r="AKG26" s="541"/>
      <c r="AKH26" s="541"/>
      <c r="AKI26" s="541"/>
      <c r="AKJ26" s="541"/>
      <c r="AKK26" s="541"/>
      <c r="AKL26" s="541"/>
      <c r="AKM26" s="541"/>
      <c r="AKN26" s="541"/>
      <c r="AKO26" s="541"/>
      <c r="AKP26" s="541"/>
      <c r="AKQ26" s="541"/>
      <c r="AKR26" s="541"/>
      <c r="AKS26" s="541"/>
      <c r="AKT26" s="541"/>
      <c r="AKU26" s="541"/>
      <c r="AKV26" s="541"/>
      <c r="AKW26" s="541"/>
      <c r="AKX26" s="541"/>
      <c r="AKY26" s="541"/>
      <c r="AKZ26" s="541"/>
      <c r="ALA26" s="541"/>
      <c r="ALB26" s="541"/>
      <c r="ALC26" s="541"/>
      <c r="ALD26" s="541"/>
      <c r="ALE26" s="541"/>
      <c r="ALF26" s="541"/>
      <c r="ALG26" s="541"/>
      <c r="ALH26" s="541"/>
      <c r="ALI26" s="541"/>
      <c r="ALJ26" s="541"/>
      <c r="ALK26" s="541"/>
      <c r="ALL26" s="541"/>
      <c r="ALM26" s="541"/>
      <c r="ALN26" s="541"/>
      <c r="ALO26" s="541"/>
      <c r="ALP26" s="541"/>
      <c r="ALQ26" s="541"/>
      <c r="ALR26" s="541"/>
      <c r="ALS26" s="541"/>
      <c r="ALT26" s="541"/>
      <c r="ALU26" s="541"/>
      <c r="ALV26" s="541"/>
      <c r="ALW26" s="541"/>
      <c r="ALX26" s="541"/>
      <c r="ALY26" s="541"/>
      <c r="ALZ26" s="541"/>
      <c r="AMA26" s="541"/>
      <c r="AMB26" s="541"/>
      <c r="AMC26" s="541"/>
      <c r="AMD26" s="541"/>
      <c r="AME26" s="541"/>
      <c r="AMF26" s="541"/>
      <c r="AMG26" s="541"/>
      <c r="AMH26" s="541"/>
      <c r="AMI26" s="541"/>
      <c r="AMJ26" s="541"/>
      <c r="AMK26" s="541"/>
      <c r="AML26" s="541"/>
      <c r="AMM26" s="541"/>
      <c r="AMN26" s="541"/>
      <c r="AMO26" s="541"/>
      <c r="AMP26" s="541"/>
      <c r="AMQ26" s="541"/>
      <c r="AMR26" s="541"/>
      <c r="AMS26" s="541"/>
      <c r="AMT26" s="541"/>
      <c r="AMU26" s="541"/>
      <c r="AMV26" s="541"/>
      <c r="AMW26" s="541"/>
      <c r="AMX26" s="541"/>
      <c r="AMY26" s="541"/>
      <c r="AMZ26" s="541"/>
      <c r="ANA26" s="541"/>
      <c r="ANB26" s="541"/>
      <c r="ANC26" s="541"/>
      <c r="AND26" s="541"/>
      <c r="ANE26" s="541"/>
      <c r="ANF26" s="541"/>
      <c r="ANG26" s="541"/>
      <c r="ANH26" s="541"/>
      <c r="ANI26" s="541"/>
      <c r="ANJ26" s="541"/>
      <c r="ANK26" s="541"/>
      <c r="ANL26" s="541"/>
      <c r="ANM26" s="541"/>
      <c r="ANN26" s="541"/>
      <c r="ANO26" s="541"/>
      <c r="ANP26" s="541"/>
      <c r="ANQ26" s="541"/>
      <c r="ANR26" s="541"/>
      <c r="ANS26" s="541"/>
      <c r="ANT26" s="541"/>
      <c r="ANU26" s="541"/>
      <c r="ANV26" s="541"/>
      <c r="ANW26" s="541"/>
      <c r="ANX26" s="541"/>
      <c r="ANY26" s="541"/>
      <c r="ANZ26" s="541"/>
      <c r="AOA26" s="541"/>
      <c r="AOB26" s="541"/>
      <c r="AOC26" s="541"/>
      <c r="AOD26" s="541"/>
      <c r="AOE26" s="541"/>
      <c r="AOF26" s="541"/>
      <c r="AOG26" s="541"/>
      <c r="AOH26" s="541"/>
      <c r="AOI26" s="541"/>
      <c r="AOJ26" s="541"/>
      <c r="AOK26" s="541"/>
      <c r="AOL26" s="541"/>
      <c r="AOM26" s="541"/>
      <c r="AON26" s="541"/>
      <c r="AOO26" s="541"/>
      <c r="AOP26" s="541"/>
      <c r="AOQ26" s="541"/>
      <c r="AOR26" s="541"/>
      <c r="AOS26" s="541"/>
      <c r="AOT26" s="541"/>
      <c r="AOU26" s="541"/>
      <c r="AOV26" s="541"/>
      <c r="AOW26" s="541"/>
      <c r="AOX26" s="541"/>
      <c r="AOY26" s="541"/>
      <c r="AOZ26" s="541"/>
      <c r="APA26" s="541"/>
      <c r="APB26" s="541"/>
      <c r="APC26" s="541"/>
      <c r="APD26" s="541"/>
      <c r="APE26" s="541"/>
      <c r="APF26" s="541"/>
      <c r="APG26" s="541"/>
      <c r="APH26" s="541"/>
      <c r="API26" s="541"/>
      <c r="APJ26" s="541"/>
      <c r="APK26" s="541"/>
      <c r="APL26" s="541"/>
      <c r="APM26" s="541"/>
      <c r="APN26" s="541"/>
      <c r="APO26" s="541"/>
      <c r="APP26" s="541"/>
      <c r="APQ26" s="541"/>
      <c r="APR26" s="541"/>
      <c r="APS26" s="541"/>
      <c r="APT26" s="541"/>
      <c r="APU26" s="541"/>
      <c r="APV26" s="541"/>
      <c r="APW26" s="541"/>
      <c r="APX26" s="541"/>
      <c r="APY26" s="541"/>
      <c r="APZ26" s="541"/>
      <c r="AQA26" s="541"/>
      <c r="AQB26" s="541"/>
      <c r="AQC26" s="541"/>
      <c r="AQD26" s="541"/>
      <c r="AQE26" s="541"/>
      <c r="AQF26" s="541"/>
      <c r="AQG26" s="541"/>
      <c r="AQH26" s="541"/>
      <c r="AQI26" s="541"/>
      <c r="AQJ26" s="541"/>
      <c r="AQK26" s="541"/>
      <c r="AQL26" s="541"/>
      <c r="AQM26" s="541"/>
      <c r="AQN26" s="541"/>
      <c r="AQO26" s="541"/>
      <c r="AQP26" s="541"/>
      <c r="AQQ26" s="541"/>
      <c r="AQR26" s="541"/>
      <c r="AQS26" s="541"/>
      <c r="AQT26" s="541"/>
      <c r="AQU26" s="541"/>
      <c r="AQV26" s="541"/>
      <c r="AQW26" s="541"/>
      <c r="AQX26" s="541"/>
      <c r="AQY26" s="541"/>
      <c r="AQZ26" s="541"/>
      <c r="ARA26" s="541"/>
      <c r="ARB26" s="541"/>
      <c r="ARC26" s="541"/>
      <c r="ARD26" s="541"/>
      <c r="ARE26" s="541"/>
      <c r="ARF26" s="541"/>
      <c r="ARG26" s="541"/>
      <c r="ARH26" s="541"/>
      <c r="ARI26" s="541"/>
      <c r="ARJ26" s="541"/>
      <c r="ARK26" s="541"/>
      <c r="ARL26" s="541"/>
      <c r="ARM26" s="541"/>
      <c r="ARN26" s="541"/>
      <c r="ARO26" s="541"/>
      <c r="ARP26" s="541"/>
      <c r="ARQ26" s="541"/>
      <c r="ARR26" s="541"/>
      <c r="ARS26" s="541"/>
      <c r="ART26" s="541"/>
      <c r="ARU26" s="541"/>
    </row>
    <row r="27" spans="1:1165" s="658" customFormat="1">
      <c r="A27" s="611" t="s">
        <v>206</v>
      </c>
      <c r="B27" s="578"/>
      <c r="C27" s="659">
        <f>SUM(C23:C26)</f>
        <v>166852</v>
      </c>
      <c r="D27" s="659">
        <f>SUM(D23:D26)</f>
        <v>34499639</v>
      </c>
      <c r="E27" s="581">
        <v>0</v>
      </c>
      <c r="F27" s="581">
        <v>0</v>
      </c>
      <c r="G27" s="581">
        <v>0</v>
      </c>
      <c r="H27" s="581">
        <v>0</v>
      </c>
      <c r="I27" s="581">
        <v>0</v>
      </c>
      <c r="J27" s="581">
        <v>0</v>
      </c>
      <c r="K27" s="581">
        <v>0</v>
      </c>
      <c r="L27" s="581">
        <v>0</v>
      </c>
      <c r="M27" s="581">
        <v>0</v>
      </c>
      <c r="N27" s="581">
        <v>0</v>
      </c>
      <c r="O27" s="581">
        <v>0</v>
      </c>
      <c r="P27" s="581">
        <v>0</v>
      </c>
      <c r="Q27" s="581">
        <v>0</v>
      </c>
      <c r="R27" s="581">
        <v>0</v>
      </c>
      <c r="S27" s="581">
        <v>0</v>
      </c>
      <c r="T27" s="581">
        <v>0</v>
      </c>
      <c r="U27" s="581">
        <v>0</v>
      </c>
      <c r="V27" s="581">
        <v>0</v>
      </c>
      <c r="W27" s="581">
        <v>0</v>
      </c>
      <c r="X27" s="581">
        <v>0</v>
      </c>
      <c r="Y27" s="581">
        <v>0</v>
      </c>
      <c r="Z27" s="581">
        <v>0</v>
      </c>
      <c r="AA27" s="581">
        <v>0</v>
      </c>
      <c r="AB27" s="581">
        <v>0</v>
      </c>
      <c r="AC27" s="581">
        <v>0</v>
      </c>
      <c r="AD27" s="581">
        <v>0</v>
      </c>
      <c r="AE27" s="581">
        <v>0</v>
      </c>
      <c r="AF27" s="581">
        <v>0</v>
      </c>
      <c r="AG27" s="581">
        <v>0</v>
      </c>
      <c r="AH27" s="581">
        <v>0</v>
      </c>
      <c r="AI27" s="581">
        <v>0</v>
      </c>
      <c r="AJ27" s="581">
        <v>0</v>
      </c>
      <c r="AK27" s="581">
        <v>0</v>
      </c>
      <c r="AL27" s="581">
        <v>0</v>
      </c>
      <c r="AM27" s="581">
        <v>0</v>
      </c>
      <c r="AN27" s="581">
        <v>0</v>
      </c>
      <c r="AO27" s="581">
        <v>0</v>
      </c>
      <c r="AP27" s="581">
        <v>0</v>
      </c>
      <c r="AQ27" s="581">
        <v>0</v>
      </c>
      <c r="AR27" s="581">
        <v>0</v>
      </c>
      <c r="AS27" s="581">
        <v>0</v>
      </c>
      <c r="AT27" s="581">
        <v>0</v>
      </c>
      <c r="AU27" s="581">
        <v>0</v>
      </c>
      <c r="AV27" s="581">
        <v>0</v>
      </c>
      <c r="AW27" s="581">
        <v>0</v>
      </c>
      <c r="AX27" s="581">
        <v>0</v>
      </c>
      <c r="AY27" s="616">
        <v>0</v>
      </c>
      <c r="AZ27" s="616">
        <v>0</v>
      </c>
      <c r="BA27" s="620"/>
      <c r="BB27" s="581"/>
      <c r="BC27" s="581"/>
      <c r="BD27" s="581"/>
      <c r="BE27" s="581"/>
      <c r="BF27" s="581"/>
      <c r="BG27" s="581"/>
      <c r="BH27" s="581"/>
      <c r="BI27" s="620"/>
      <c r="BJ27" s="581">
        <f t="shared" si="1"/>
        <v>166852</v>
      </c>
      <c r="BK27" s="581">
        <f>D27+H27+J27+L27+N27+P27+R27+T27+V27+X27+Z27+AB27+AD27+AF27+AH27+AJ27+AL27+AN27+AP27+AR27+AT27+AV27+AX27+AZ27+BD27+BH27</f>
        <v>34499639</v>
      </c>
      <c r="BL27" s="541"/>
      <c r="BM27" s="624"/>
      <c r="BN27" s="624"/>
      <c r="BO27" s="624"/>
      <c r="BP27" s="624"/>
      <c r="BQ27" s="541"/>
      <c r="BR27" s="541"/>
      <c r="BS27" s="541"/>
      <c r="BT27" s="541"/>
      <c r="BU27" s="541"/>
      <c r="BV27" s="541"/>
      <c r="BW27" s="541"/>
      <c r="BX27" s="541"/>
      <c r="BY27" s="541"/>
      <c r="BZ27" s="541"/>
      <c r="CA27" s="541"/>
      <c r="CB27" s="541"/>
      <c r="CC27" s="541"/>
      <c r="CD27" s="541"/>
      <c r="CE27" s="541"/>
      <c r="CF27" s="541"/>
      <c r="CG27" s="541"/>
      <c r="CH27" s="541"/>
      <c r="CI27" s="541"/>
      <c r="CJ27" s="541"/>
      <c r="CK27" s="541"/>
      <c r="CL27" s="541"/>
      <c r="CM27" s="541"/>
      <c r="CN27" s="541"/>
      <c r="CO27" s="541"/>
      <c r="CP27" s="541"/>
      <c r="CQ27" s="541"/>
      <c r="CR27" s="541"/>
      <c r="CS27" s="541"/>
      <c r="CT27" s="541"/>
      <c r="CU27" s="541"/>
      <c r="CV27" s="541"/>
      <c r="CW27" s="541"/>
      <c r="CX27" s="541"/>
      <c r="CY27" s="541"/>
      <c r="CZ27" s="541"/>
      <c r="DA27" s="541"/>
      <c r="DB27" s="541"/>
      <c r="DC27" s="541"/>
      <c r="DD27" s="541"/>
      <c r="DE27" s="541"/>
      <c r="DF27" s="541"/>
      <c r="DG27" s="541"/>
      <c r="DH27" s="541"/>
      <c r="DI27" s="541"/>
      <c r="DJ27" s="541"/>
      <c r="DK27" s="541"/>
      <c r="DL27" s="541"/>
      <c r="DM27" s="541"/>
      <c r="DN27" s="541"/>
      <c r="DO27" s="541"/>
      <c r="DP27" s="541"/>
      <c r="DQ27" s="541"/>
      <c r="DR27" s="541"/>
      <c r="DS27" s="541"/>
      <c r="DT27" s="541"/>
      <c r="DU27" s="541"/>
      <c r="DV27" s="541"/>
      <c r="DW27" s="541"/>
      <c r="DX27" s="541"/>
      <c r="DY27" s="541"/>
      <c r="DZ27" s="541"/>
      <c r="EA27" s="541"/>
      <c r="EB27" s="541"/>
      <c r="EC27" s="541"/>
      <c r="ED27" s="541"/>
      <c r="EE27" s="541"/>
      <c r="EF27" s="541"/>
      <c r="EG27" s="541"/>
      <c r="EH27" s="541"/>
      <c r="EI27" s="541"/>
      <c r="EJ27" s="541"/>
      <c r="EK27" s="541"/>
      <c r="EL27" s="541"/>
      <c r="EM27" s="541"/>
      <c r="EN27" s="541"/>
      <c r="EO27" s="541"/>
      <c r="EP27" s="541"/>
      <c r="EQ27" s="541"/>
      <c r="ER27" s="541"/>
      <c r="ES27" s="541"/>
      <c r="ET27" s="541"/>
      <c r="EU27" s="541"/>
      <c r="EV27" s="541"/>
      <c r="EW27" s="541"/>
      <c r="EX27" s="541"/>
      <c r="EY27" s="541"/>
      <c r="EZ27" s="541"/>
      <c r="FA27" s="541"/>
      <c r="FB27" s="541"/>
      <c r="FC27" s="541"/>
      <c r="FD27" s="541"/>
      <c r="FE27" s="541"/>
      <c r="FF27" s="541"/>
      <c r="FG27" s="541"/>
      <c r="FH27" s="541"/>
      <c r="FI27" s="541"/>
      <c r="FJ27" s="541"/>
      <c r="FK27" s="541"/>
      <c r="FL27" s="541"/>
      <c r="FM27" s="541"/>
      <c r="FN27" s="541"/>
      <c r="FO27" s="541"/>
      <c r="FP27" s="541"/>
      <c r="FQ27" s="541"/>
      <c r="FR27" s="541"/>
      <c r="FS27" s="541"/>
      <c r="FT27" s="541"/>
      <c r="FU27" s="541"/>
      <c r="FV27" s="541"/>
      <c r="FW27" s="541"/>
      <c r="FX27" s="541"/>
      <c r="FY27" s="541"/>
      <c r="FZ27" s="541"/>
      <c r="GA27" s="541"/>
      <c r="GB27" s="541"/>
      <c r="GC27" s="541"/>
      <c r="GD27" s="541"/>
      <c r="GE27" s="541"/>
      <c r="GF27" s="541"/>
      <c r="GG27" s="541"/>
      <c r="GH27" s="541"/>
      <c r="GI27" s="541"/>
      <c r="GJ27" s="541"/>
      <c r="GK27" s="541"/>
      <c r="GL27" s="541"/>
      <c r="GM27" s="541"/>
      <c r="GN27" s="541"/>
      <c r="GO27" s="541"/>
      <c r="GP27" s="541"/>
      <c r="GQ27" s="541"/>
      <c r="GR27" s="541"/>
      <c r="GS27" s="541"/>
      <c r="GT27" s="541"/>
      <c r="GU27" s="541"/>
      <c r="GV27" s="541"/>
      <c r="GW27" s="541"/>
      <c r="GX27" s="541"/>
      <c r="GY27" s="541"/>
      <c r="GZ27" s="541"/>
      <c r="HA27" s="541"/>
      <c r="HB27" s="541"/>
      <c r="HC27" s="541"/>
      <c r="HD27" s="541"/>
      <c r="HE27" s="541"/>
      <c r="HF27" s="541"/>
      <c r="HG27" s="541"/>
      <c r="HH27" s="541"/>
      <c r="HI27" s="541"/>
      <c r="HJ27" s="541"/>
      <c r="HK27" s="541"/>
      <c r="HL27" s="541"/>
      <c r="HM27" s="541"/>
      <c r="HN27" s="541"/>
      <c r="HO27" s="541"/>
      <c r="HP27" s="541"/>
      <c r="HQ27" s="541"/>
      <c r="HR27" s="541"/>
      <c r="HS27" s="541"/>
      <c r="HT27" s="541"/>
      <c r="HU27" s="541"/>
      <c r="HV27" s="541"/>
      <c r="HW27" s="541"/>
      <c r="HX27" s="541"/>
      <c r="HY27" s="541"/>
      <c r="HZ27" s="541"/>
      <c r="IA27" s="541"/>
      <c r="IB27" s="541"/>
      <c r="IC27" s="541"/>
      <c r="ID27" s="541"/>
      <c r="IE27" s="541"/>
      <c r="IF27" s="541"/>
      <c r="IG27" s="541"/>
      <c r="IH27" s="541"/>
      <c r="II27" s="541"/>
      <c r="IJ27" s="541"/>
      <c r="IK27" s="541"/>
      <c r="IL27" s="541"/>
      <c r="IM27" s="541"/>
      <c r="IN27" s="541"/>
      <c r="IO27" s="541"/>
      <c r="IP27" s="541"/>
      <c r="IQ27" s="541"/>
      <c r="IR27" s="541"/>
      <c r="IS27" s="541"/>
      <c r="IT27" s="541"/>
      <c r="IU27" s="541"/>
      <c r="IV27" s="541"/>
      <c r="IW27" s="541"/>
      <c r="IX27" s="541"/>
      <c r="IY27" s="541"/>
      <c r="IZ27" s="541"/>
      <c r="JA27" s="541"/>
      <c r="JB27" s="541"/>
      <c r="JC27" s="541"/>
      <c r="JD27" s="541"/>
      <c r="JE27" s="541"/>
      <c r="JF27" s="541"/>
      <c r="JG27" s="541"/>
      <c r="JH27" s="541"/>
      <c r="JI27" s="541"/>
      <c r="JJ27" s="541"/>
      <c r="JK27" s="541"/>
      <c r="JL27" s="541"/>
      <c r="JM27" s="541"/>
      <c r="JN27" s="541"/>
      <c r="JO27" s="541"/>
      <c r="JP27" s="541"/>
      <c r="JQ27" s="541"/>
      <c r="JR27" s="541"/>
      <c r="JS27" s="541"/>
      <c r="JT27" s="541"/>
      <c r="JU27" s="541"/>
      <c r="JV27" s="541"/>
      <c r="JW27" s="541"/>
      <c r="JX27" s="541"/>
      <c r="JY27" s="541"/>
      <c r="JZ27" s="541"/>
      <c r="KA27" s="541"/>
      <c r="KB27" s="541"/>
      <c r="KC27" s="541"/>
      <c r="KD27" s="541"/>
      <c r="KE27" s="541"/>
      <c r="KF27" s="541"/>
      <c r="KG27" s="541"/>
      <c r="KH27" s="541"/>
      <c r="KI27" s="541"/>
      <c r="KJ27" s="541"/>
      <c r="KK27" s="541"/>
      <c r="KL27" s="541"/>
      <c r="KM27" s="541"/>
      <c r="KN27" s="541"/>
      <c r="KO27" s="541"/>
      <c r="KP27" s="541"/>
      <c r="KQ27" s="541"/>
      <c r="KR27" s="541"/>
      <c r="KS27" s="541"/>
      <c r="KT27" s="541"/>
      <c r="KU27" s="541"/>
      <c r="KV27" s="541"/>
      <c r="KW27" s="541"/>
      <c r="KX27" s="541"/>
      <c r="KY27" s="541"/>
      <c r="KZ27" s="541"/>
      <c r="LA27" s="541"/>
      <c r="LB27" s="541"/>
      <c r="LC27" s="541"/>
      <c r="LD27" s="541"/>
      <c r="LE27" s="541"/>
      <c r="LF27" s="541"/>
      <c r="LG27" s="541"/>
      <c r="LH27" s="541"/>
      <c r="LI27" s="541"/>
      <c r="LJ27" s="541"/>
      <c r="LK27" s="541"/>
      <c r="LL27" s="541"/>
      <c r="LM27" s="541"/>
      <c r="LN27" s="541"/>
      <c r="LO27" s="541"/>
      <c r="LP27" s="541"/>
      <c r="LQ27" s="541"/>
      <c r="LR27" s="541"/>
      <c r="LS27" s="541"/>
      <c r="LT27" s="541"/>
      <c r="LU27" s="541"/>
      <c r="LV27" s="541"/>
      <c r="LW27" s="541"/>
      <c r="LX27" s="541"/>
      <c r="LY27" s="541"/>
      <c r="LZ27" s="541"/>
      <c r="MA27" s="541"/>
      <c r="MB27" s="541"/>
      <c r="MC27" s="541"/>
      <c r="MD27" s="541"/>
      <c r="ME27" s="541"/>
      <c r="MF27" s="541"/>
      <c r="MG27" s="541"/>
      <c r="MH27" s="541"/>
      <c r="MI27" s="541"/>
      <c r="MJ27" s="541"/>
      <c r="MK27" s="541"/>
      <c r="ML27" s="541"/>
      <c r="MM27" s="541"/>
      <c r="MN27" s="541"/>
      <c r="MO27" s="541"/>
      <c r="MP27" s="541"/>
      <c r="MQ27" s="541"/>
      <c r="MR27" s="541"/>
      <c r="MS27" s="541"/>
      <c r="MT27" s="541"/>
      <c r="MU27" s="541"/>
      <c r="MV27" s="541"/>
      <c r="MW27" s="541"/>
      <c r="MX27" s="541"/>
      <c r="MY27" s="541"/>
      <c r="MZ27" s="541"/>
      <c r="NA27" s="541"/>
      <c r="NB27" s="541"/>
      <c r="NC27" s="541"/>
      <c r="ND27" s="541"/>
      <c r="NE27" s="541"/>
      <c r="NF27" s="541"/>
      <c r="NG27" s="541"/>
      <c r="NH27" s="541"/>
      <c r="NI27" s="541"/>
      <c r="NJ27" s="541"/>
      <c r="NK27" s="541"/>
      <c r="NL27" s="541"/>
      <c r="NM27" s="541"/>
      <c r="NN27" s="541"/>
      <c r="NO27" s="541"/>
      <c r="NP27" s="541"/>
      <c r="NQ27" s="541"/>
      <c r="NR27" s="541"/>
      <c r="NS27" s="541"/>
      <c r="NT27" s="541"/>
      <c r="NU27" s="541"/>
      <c r="NV27" s="541"/>
      <c r="NW27" s="541"/>
      <c r="NX27" s="541"/>
      <c r="NY27" s="541"/>
      <c r="NZ27" s="541"/>
      <c r="OA27" s="541"/>
      <c r="OB27" s="541"/>
      <c r="OC27" s="541"/>
      <c r="OD27" s="541"/>
      <c r="OE27" s="541"/>
      <c r="OF27" s="541"/>
      <c r="OG27" s="541"/>
      <c r="OH27" s="541"/>
      <c r="OI27" s="541"/>
      <c r="OJ27" s="541"/>
      <c r="OK27" s="541"/>
      <c r="OL27" s="541"/>
      <c r="OM27" s="541"/>
      <c r="ON27" s="541"/>
      <c r="OO27" s="541"/>
      <c r="OP27" s="541"/>
      <c r="OQ27" s="541"/>
      <c r="OR27" s="541"/>
      <c r="OS27" s="541"/>
      <c r="OT27" s="541"/>
      <c r="OU27" s="541"/>
      <c r="OV27" s="541"/>
      <c r="OW27" s="541"/>
      <c r="OX27" s="541"/>
      <c r="OY27" s="541"/>
      <c r="OZ27" s="541"/>
      <c r="PA27" s="541"/>
      <c r="PB27" s="541"/>
      <c r="PC27" s="541"/>
      <c r="PD27" s="541"/>
      <c r="PE27" s="541"/>
      <c r="PF27" s="541"/>
      <c r="PG27" s="541"/>
      <c r="PH27" s="541"/>
      <c r="PI27" s="541"/>
      <c r="PJ27" s="541"/>
      <c r="PK27" s="541"/>
      <c r="PL27" s="541"/>
      <c r="PM27" s="541"/>
      <c r="PN27" s="541"/>
      <c r="PO27" s="541"/>
      <c r="PP27" s="541"/>
      <c r="PQ27" s="541"/>
      <c r="PR27" s="541"/>
      <c r="PS27" s="541"/>
      <c r="PT27" s="541"/>
      <c r="PU27" s="541"/>
      <c r="PV27" s="541"/>
      <c r="PW27" s="541"/>
      <c r="PX27" s="541"/>
      <c r="PY27" s="541"/>
      <c r="PZ27" s="541"/>
      <c r="QA27" s="541"/>
      <c r="QB27" s="541"/>
      <c r="QC27" s="541"/>
      <c r="QD27" s="541"/>
      <c r="QE27" s="541"/>
      <c r="QF27" s="541"/>
      <c r="QG27" s="541"/>
      <c r="QH27" s="541"/>
      <c r="QI27" s="541"/>
      <c r="QJ27" s="541"/>
      <c r="QK27" s="541"/>
      <c r="QL27" s="541"/>
      <c r="QM27" s="541"/>
      <c r="QN27" s="541"/>
      <c r="QO27" s="541"/>
      <c r="QP27" s="541"/>
      <c r="QQ27" s="541"/>
      <c r="QR27" s="541"/>
      <c r="QS27" s="541"/>
      <c r="QT27" s="541"/>
      <c r="QU27" s="541"/>
      <c r="QV27" s="541"/>
      <c r="QW27" s="541"/>
      <c r="QX27" s="541"/>
      <c r="QY27" s="541"/>
      <c r="QZ27" s="541"/>
      <c r="RA27" s="541"/>
      <c r="RB27" s="541"/>
      <c r="RC27" s="541"/>
      <c r="RD27" s="541"/>
      <c r="RE27" s="541"/>
      <c r="RF27" s="541"/>
      <c r="RG27" s="541"/>
      <c r="RH27" s="541"/>
      <c r="RI27" s="541"/>
      <c r="RJ27" s="541"/>
      <c r="RK27" s="541"/>
      <c r="RL27" s="541"/>
      <c r="RM27" s="541"/>
      <c r="RN27" s="541"/>
      <c r="RO27" s="541"/>
      <c r="RP27" s="541"/>
      <c r="RQ27" s="541"/>
      <c r="RR27" s="541"/>
      <c r="RS27" s="541"/>
      <c r="RT27" s="541"/>
      <c r="RU27" s="541"/>
      <c r="RV27" s="541"/>
      <c r="RW27" s="541"/>
      <c r="RX27" s="541"/>
      <c r="RY27" s="541"/>
      <c r="RZ27" s="541"/>
      <c r="SA27" s="541"/>
      <c r="SB27" s="541"/>
      <c r="SC27" s="541"/>
      <c r="SD27" s="541"/>
      <c r="SE27" s="541"/>
      <c r="SF27" s="541"/>
      <c r="SG27" s="541"/>
      <c r="SH27" s="541"/>
      <c r="SI27" s="541"/>
      <c r="SJ27" s="541"/>
      <c r="SK27" s="541"/>
      <c r="SL27" s="541"/>
      <c r="SM27" s="541"/>
      <c r="SN27" s="541"/>
      <c r="SO27" s="541"/>
      <c r="SP27" s="541"/>
      <c r="SQ27" s="541"/>
      <c r="SR27" s="541"/>
      <c r="SS27" s="541"/>
      <c r="ST27" s="541"/>
      <c r="SU27" s="541"/>
      <c r="SV27" s="541"/>
      <c r="SW27" s="541"/>
      <c r="SX27" s="541"/>
      <c r="SY27" s="541"/>
      <c r="SZ27" s="541"/>
      <c r="TA27" s="541"/>
      <c r="TB27" s="541"/>
      <c r="TC27" s="541"/>
      <c r="TD27" s="541"/>
      <c r="TE27" s="541"/>
      <c r="TF27" s="541"/>
      <c r="TG27" s="541"/>
      <c r="TH27" s="541"/>
      <c r="TI27" s="541"/>
      <c r="TJ27" s="541"/>
      <c r="TK27" s="541"/>
      <c r="TL27" s="541"/>
      <c r="TM27" s="541"/>
      <c r="TN27" s="541"/>
      <c r="TO27" s="541"/>
      <c r="TP27" s="541"/>
      <c r="TQ27" s="541"/>
      <c r="TR27" s="541"/>
      <c r="TS27" s="541"/>
      <c r="TT27" s="541"/>
      <c r="TU27" s="541"/>
      <c r="TV27" s="541"/>
      <c r="TW27" s="541"/>
      <c r="TX27" s="541"/>
      <c r="TY27" s="541"/>
      <c r="TZ27" s="541"/>
      <c r="UA27" s="541"/>
      <c r="UB27" s="541"/>
      <c r="UC27" s="541"/>
      <c r="UD27" s="541"/>
      <c r="UE27" s="541"/>
      <c r="UF27" s="541"/>
      <c r="UG27" s="541"/>
      <c r="UH27" s="541"/>
      <c r="UI27" s="541"/>
      <c r="UJ27" s="541"/>
      <c r="UK27" s="541"/>
      <c r="UL27" s="541"/>
      <c r="UM27" s="541"/>
      <c r="UN27" s="541"/>
      <c r="UO27" s="541"/>
      <c r="UP27" s="541"/>
      <c r="UQ27" s="541"/>
      <c r="UR27" s="541"/>
      <c r="US27" s="541"/>
      <c r="UT27" s="541"/>
      <c r="UU27" s="541"/>
      <c r="UV27" s="541"/>
      <c r="UW27" s="541"/>
      <c r="UX27" s="541"/>
      <c r="UY27" s="541"/>
      <c r="UZ27" s="541"/>
      <c r="VA27" s="541"/>
      <c r="VB27" s="541"/>
      <c r="VC27" s="541"/>
      <c r="VD27" s="541"/>
      <c r="VE27" s="541"/>
      <c r="VF27" s="541"/>
      <c r="VG27" s="541"/>
      <c r="VH27" s="541"/>
      <c r="VI27" s="541"/>
      <c r="VJ27" s="541"/>
      <c r="VK27" s="541"/>
      <c r="VL27" s="541"/>
      <c r="VM27" s="541"/>
      <c r="VN27" s="541"/>
      <c r="VO27" s="541"/>
      <c r="VP27" s="541"/>
      <c r="VQ27" s="541"/>
      <c r="VR27" s="541"/>
      <c r="VS27" s="541"/>
      <c r="VT27" s="541"/>
      <c r="VU27" s="541"/>
      <c r="VV27" s="541"/>
      <c r="VW27" s="541"/>
      <c r="VX27" s="541"/>
      <c r="VY27" s="541"/>
      <c r="VZ27" s="541"/>
      <c r="WA27" s="541"/>
      <c r="WB27" s="541"/>
      <c r="WC27" s="541"/>
      <c r="WD27" s="541"/>
      <c r="WE27" s="541"/>
      <c r="WF27" s="541"/>
      <c r="WG27" s="541"/>
      <c r="WH27" s="541"/>
      <c r="WI27" s="541"/>
      <c r="WJ27" s="541"/>
      <c r="WK27" s="541"/>
      <c r="WL27" s="541"/>
      <c r="WM27" s="541"/>
      <c r="WN27" s="541"/>
      <c r="WO27" s="541"/>
      <c r="WP27" s="541"/>
      <c r="WQ27" s="541"/>
      <c r="WR27" s="541"/>
      <c r="WS27" s="541"/>
      <c r="WT27" s="541"/>
      <c r="WU27" s="541"/>
      <c r="WV27" s="541"/>
      <c r="WW27" s="541"/>
      <c r="WX27" s="541"/>
      <c r="WY27" s="541"/>
      <c r="WZ27" s="541"/>
      <c r="XA27" s="541"/>
      <c r="XB27" s="541"/>
      <c r="XC27" s="541"/>
      <c r="XD27" s="541"/>
      <c r="XE27" s="541"/>
      <c r="XF27" s="541"/>
      <c r="XG27" s="541"/>
      <c r="XH27" s="541"/>
      <c r="XI27" s="541"/>
      <c r="XJ27" s="541"/>
      <c r="XK27" s="541"/>
      <c r="XL27" s="541"/>
      <c r="XM27" s="541"/>
      <c r="XN27" s="541"/>
      <c r="XO27" s="541"/>
      <c r="XP27" s="541"/>
      <c r="XQ27" s="541"/>
      <c r="XR27" s="541"/>
      <c r="XS27" s="541"/>
      <c r="XT27" s="541"/>
      <c r="XU27" s="541"/>
      <c r="XV27" s="541"/>
      <c r="XW27" s="541"/>
      <c r="XX27" s="541"/>
      <c r="XY27" s="541"/>
      <c r="XZ27" s="541"/>
      <c r="YA27" s="541"/>
      <c r="YB27" s="541"/>
      <c r="YC27" s="541"/>
      <c r="YD27" s="541"/>
      <c r="YE27" s="541"/>
      <c r="YF27" s="541"/>
      <c r="YG27" s="541"/>
      <c r="YH27" s="541"/>
      <c r="YI27" s="541"/>
      <c r="YJ27" s="541"/>
      <c r="YK27" s="541"/>
      <c r="YL27" s="541"/>
      <c r="YM27" s="541"/>
      <c r="YN27" s="541"/>
      <c r="YO27" s="541"/>
      <c r="YP27" s="541"/>
      <c r="YQ27" s="541"/>
      <c r="YR27" s="541"/>
      <c r="YS27" s="541"/>
      <c r="YT27" s="541"/>
      <c r="YU27" s="541"/>
      <c r="YV27" s="541"/>
      <c r="YW27" s="541"/>
      <c r="YX27" s="541"/>
      <c r="YY27" s="541"/>
      <c r="YZ27" s="541"/>
      <c r="ZA27" s="541"/>
      <c r="ZB27" s="541"/>
      <c r="ZC27" s="541"/>
      <c r="ZD27" s="541"/>
      <c r="ZE27" s="541"/>
      <c r="ZF27" s="541"/>
      <c r="ZG27" s="541"/>
      <c r="ZH27" s="541"/>
      <c r="ZI27" s="541"/>
      <c r="ZJ27" s="541"/>
      <c r="ZK27" s="541"/>
      <c r="ZL27" s="541"/>
      <c r="ZM27" s="541"/>
      <c r="ZN27" s="541"/>
      <c r="ZO27" s="541"/>
      <c r="ZP27" s="541"/>
      <c r="ZQ27" s="541"/>
      <c r="ZR27" s="541"/>
      <c r="ZS27" s="541"/>
      <c r="ZT27" s="541"/>
      <c r="ZU27" s="541"/>
      <c r="ZV27" s="541"/>
      <c r="ZW27" s="541"/>
      <c r="ZX27" s="541"/>
      <c r="ZY27" s="541"/>
      <c r="ZZ27" s="541"/>
      <c r="AAA27" s="541"/>
      <c r="AAB27" s="541"/>
      <c r="AAC27" s="541"/>
      <c r="AAD27" s="541"/>
      <c r="AAE27" s="541"/>
      <c r="AAF27" s="541"/>
      <c r="AAG27" s="541"/>
      <c r="AAH27" s="541"/>
      <c r="AAI27" s="541"/>
      <c r="AAJ27" s="541"/>
      <c r="AAK27" s="541"/>
      <c r="AAL27" s="541"/>
      <c r="AAM27" s="541"/>
      <c r="AAN27" s="541"/>
      <c r="AAO27" s="541"/>
      <c r="AAP27" s="541"/>
      <c r="AAQ27" s="541"/>
      <c r="AAR27" s="541"/>
      <c r="AAS27" s="541"/>
      <c r="AAT27" s="541"/>
      <c r="AAU27" s="541"/>
      <c r="AAV27" s="541"/>
      <c r="AAW27" s="541"/>
      <c r="AAX27" s="541"/>
      <c r="AAY27" s="541"/>
      <c r="AAZ27" s="541"/>
      <c r="ABA27" s="541"/>
      <c r="ABB27" s="541"/>
      <c r="ABC27" s="541"/>
      <c r="ABD27" s="541"/>
      <c r="ABE27" s="541"/>
      <c r="ABF27" s="541"/>
      <c r="ABG27" s="541"/>
      <c r="ABH27" s="541"/>
      <c r="ABI27" s="541"/>
      <c r="ABJ27" s="541"/>
      <c r="ABK27" s="541"/>
      <c r="ABL27" s="541"/>
      <c r="ABM27" s="541"/>
      <c r="ABN27" s="541"/>
      <c r="ABO27" s="541"/>
      <c r="ABP27" s="541"/>
      <c r="ABQ27" s="541"/>
      <c r="ABR27" s="541"/>
      <c r="ABS27" s="541"/>
      <c r="ABT27" s="541"/>
      <c r="ABU27" s="541"/>
      <c r="ABV27" s="541"/>
      <c r="ABW27" s="541"/>
      <c r="ABX27" s="541"/>
      <c r="ABY27" s="541"/>
      <c r="ABZ27" s="541"/>
      <c r="ACA27" s="541"/>
      <c r="ACB27" s="541"/>
      <c r="ACC27" s="541"/>
      <c r="ACD27" s="541"/>
      <c r="ACE27" s="541"/>
      <c r="ACF27" s="541"/>
      <c r="ACG27" s="541"/>
      <c r="ACH27" s="541"/>
      <c r="ACI27" s="541"/>
      <c r="ACJ27" s="541"/>
      <c r="ACK27" s="541"/>
      <c r="ACL27" s="541"/>
      <c r="ACM27" s="541"/>
      <c r="ACN27" s="541"/>
      <c r="ACO27" s="541"/>
      <c r="ACP27" s="541"/>
      <c r="ACQ27" s="541"/>
      <c r="ACR27" s="541"/>
      <c r="ACS27" s="541"/>
      <c r="ACT27" s="541"/>
      <c r="ACU27" s="541"/>
      <c r="ACV27" s="541"/>
      <c r="ACW27" s="541"/>
      <c r="ACX27" s="541"/>
      <c r="ACY27" s="541"/>
      <c r="ACZ27" s="541"/>
      <c r="ADA27" s="541"/>
      <c r="ADB27" s="541"/>
      <c r="ADC27" s="541"/>
      <c r="ADD27" s="541"/>
      <c r="ADE27" s="541"/>
      <c r="ADF27" s="541"/>
      <c r="ADG27" s="541"/>
      <c r="ADH27" s="541"/>
      <c r="ADI27" s="541"/>
      <c r="ADJ27" s="541"/>
      <c r="ADK27" s="541"/>
      <c r="ADL27" s="541"/>
      <c r="ADM27" s="541"/>
      <c r="ADN27" s="541"/>
      <c r="ADO27" s="541"/>
      <c r="ADP27" s="541"/>
      <c r="ADQ27" s="541"/>
      <c r="ADR27" s="541"/>
      <c r="ADS27" s="541"/>
      <c r="ADT27" s="541"/>
      <c r="ADU27" s="541"/>
      <c r="ADV27" s="541"/>
      <c r="ADW27" s="541"/>
      <c r="ADX27" s="541"/>
      <c r="ADY27" s="541"/>
      <c r="ADZ27" s="541"/>
      <c r="AEA27" s="541"/>
      <c r="AEB27" s="541"/>
      <c r="AEC27" s="541"/>
      <c r="AED27" s="541"/>
      <c r="AEE27" s="541"/>
      <c r="AEF27" s="541"/>
      <c r="AEG27" s="541"/>
      <c r="AEH27" s="541"/>
      <c r="AEI27" s="541"/>
      <c r="AEJ27" s="541"/>
      <c r="AEK27" s="541"/>
      <c r="AEL27" s="541"/>
      <c r="AEM27" s="541"/>
      <c r="AEN27" s="541"/>
      <c r="AEO27" s="541"/>
      <c r="AEP27" s="541"/>
      <c r="AEQ27" s="541"/>
      <c r="AER27" s="541"/>
      <c r="AES27" s="541"/>
      <c r="AET27" s="541"/>
      <c r="AEU27" s="541"/>
      <c r="AEV27" s="541"/>
      <c r="AEW27" s="541"/>
      <c r="AEX27" s="541"/>
      <c r="AEY27" s="541"/>
      <c r="AEZ27" s="541"/>
      <c r="AFA27" s="541"/>
      <c r="AFB27" s="541"/>
      <c r="AFC27" s="541"/>
      <c r="AFD27" s="541"/>
      <c r="AFE27" s="541"/>
      <c r="AFF27" s="541"/>
      <c r="AFG27" s="541"/>
      <c r="AFH27" s="541"/>
      <c r="AFI27" s="541"/>
      <c r="AFJ27" s="541"/>
      <c r="AFK27" s="541"/>
      <c r="AFL27" s="541"/>
      <c r="AFM27" s="541"/>
      <c r="AFN27" s="541"/>
      <c r="AFO27" s="541"/>
      <c r="AFP27" s="541"/>
      <c r="AFQ27" s="541"/>
      <c r="AFR27" s="541"/>
      <c r="AFS27" s="541"/>
      <c r="AFT27" s="541"/>
      <c r="AFU27" s="541"/>
      <c r="AFV27" s="541"/>
      <c r="AFW27" s="541"/>
      <c r="AFX27" s="541"/>
      <c r="AFY27" s="541"/>
      <c r="AFZ27" s="541"/>
      <c r="AGA27" s="541"/>
      <c r="AGB27" s="541"/>
      <c r="AGC27" s="541"/>
      <c r="AGD27" s="541"/>
      <c r="AGE27" s="541"/>
      <c r="AGF27" s="541"/>
      <c r="AGG27" s="541"/>
      <c r="AGH27" s="541"/>
      <c r="AGI27" s="541"/>
      <c r="AGJ27" s="541"/>
      <c r="AGK27" s="541"/>
      <c r="AGL27" s="541"/>
      <c r="AGM27" s="541"/>
      <c r="AGN27" s="541"/>
      <c r="AGO27" s="541"/>
      <c r="AGP27" s="541"/>
      <c r="AGQ27" s="541"/>
      <c r="AGR27" s="541"/>
      <c r="AGS27" s="541"/>
      <c r="AGT27" s="541"/>
      <c r="AGU27" s="541"/>
      <c r="AGV27" s="541"/>
      <c r="AGW27" s="541"/>
      <c r="AGX27" s="541"/>
      <c r="AGY27" s="541"/>
      <c r="AGZ27" s="541"/>
      <c r="AHA27" s="541"/>
      <c r="AHB27" s="541"/>
      <c r="AHC27" s="541"/>
      <c r="AHD27" s="541"/>
      <c r="AHE27" s="541"/>
      <c r="AHF27" s="541"/>
      <c r="AHG27" s="541"/>
      <c r="AHH27" s="541"/>
      <c r="AHI27" s="541"/>
      <c r="AHJ27" s="541"/>
      <c r="AHK27" s="541"/>
      <c r="AHL27" s="541"/>
      <c r="AHM27" s="541"/>
      <c r="AHN27" s="541"/>
      <c r="AHO27" s="541"/>
      <c r="AHP27" s="541"/>
      <c r="AHQ27" s="541"/>
      <c r="AHR27" s="541"/>
      <c r="AHS27" s="541"/>
      <c r="AHT27" s="541"/>
      <c r="AHU27" s="541"/>
      <c r="AHV27" s="541"/>
      <c r="AHW27" s="541"/>
      <c r="AHX27" s="541"/>
      <c r="AHY27" s="541"/>
      <c r="AHZ27" s="541"/>
      <c r="AIA27" s="541"/>
      <c r="AIB27" s="541"/>
      <c r="AIC27" s="541"/>
      <c r="AID27" s="541"/>
      <c r="AIE27" s="541"/>
      <c r="AIF27" s="541"/>
      <c r="AIG27" s="541"/>
      <c r="AIH27" s="541"/>
      <c r="AII27" s="541"/>
      <c r="AIJ27" s="541"/>
      <c r="AIK27" s="541"/>
      <c r="AIL27" s="541"/>
      <c r="AIM27" s="541"/>
      <c r="AIN27" s="541"/>
      <c r="AIO27" s="541"/>
      <c r="AIP27" s="541"/>
      <c r="AIQ27" s="541"/>
      <c r="AIR27" s="541"/>
      <c r="AIS27" s="541"/>
      <c r="AIT27" s="541"/>
      <c r="AIU27" s="541"/>
      <c r="AIV27" s="541"/>
      <c r="AIW27" s="541"/>
      <c r="AIX27" s="541"/>
      <c r="AIY27" s="541"/>
      <c r="AIZ27" s="541"/>
      <c r="AJA27" s="541"/>
      <c r="AJB27" s="541"/>
      <c r="AJC27" s="541"/>
      <c r="AJD27" s="541"/>
      <c r="AJE27" s="541"/>
      <c r="AJF27" s="541"/>
      <c r="AJG27" s="541"/>
      <c r="AJH27" s="541"/>
      <c r="AJI27" s="541"/>
      <c r="AJJ27" s="541"/>
      <c r="AJK27" s="541"/>
      <c r="AJL27" s="541"/>
      <c r="AJM27" s="541"/>
      <c r="AJN27" s="541"/>
      <c r="AJO27" s="541"/>
      <c r="AJP27" s="541"/>
      <c r="AJQ27" s="541"/>
      <c r="AJR27" s="541"/>
      <c r="AJS27" s="541"/>
      <c r="AJT27" s="541"/>
      <c r="AJU27" s="541"/>
      <c r="AJV27" s="541"/>
      <c r="AJW27" s="541"/>
      <c r="AJX27" s="541"/>
      <c r="AJY27" s="541"/>
      <c r="AJZ27" s="541"/>
      <c r="AKA27" s="541"/>
      <c r="AKB27" s="541"/>
      <c r="AKC27" s="541"/>
      <c r="AKD27" s="541"/>
      <c r="AKE27" s="541"/>
      <c r="AKF27" s="541"/>
      <c r="AKG27" s="541"/>
      <c r="AKH27" s="541"/>
      <c r="AKI27" s="541"/>
      <c r="AKJ27" s="541"/>
      <c r="AKK27" s="541"/>
      <c r="AKL27" s="541"/>
      <c r="AKM27" s="541"/>
      <c r="AKN27" s="541"/>
      <c r="AKO27" s="541"/>
      <c r="AKP27" s="541"/>
      <c r="AKQ27" s="541"/>
      <c r="AKR27" s="541"/>
      <c r="AKS27" s="541"/>
      <c r="AKT27" s="541"/>
      <c r="AKU27" s="541"/>
      <c r="AKV27" s="541"/>
      <c r="AKW27" s="541"/>
      <c r="AKX27" s="541"/>
      <c r="AKY27" s="541"/>
      <c r="AKZ27" s="541"/>
      <c r="ALA27" s="541"/>
      <c r="ALB27" s="541"/>
      <c r="ALC27" s="541"/>
      <c r="ALD27" s="541"/>
      <c r="ALE27" s="541"/>
      <c r="ALF27" s="541"/>
      <c r="ALG27" s="541"/>
      <c r="ALH27" s="541"/>
      <c r="ALI27" s="541"/>
      <c r="ALJ27" s="541"/>
      <c r="ALK27" s="541"/>
      <c r="ALL27" s="541"/>
      <c r="ALM27" s="541"/>
      <c r="ALN27" s="541"/>
      <c r="ALO27" s="541"/>
      <c r="ALP27" s="541"/>
      <c r="ALQ27" s="541"/>
      <c r="ALR27" s="541"/>
      <c r="ALS27" s="541"/>
      <c r="ALT27" s="541"/>
      <c r="ALU27" s="541"/>
      <c r="ALV27" s="541"/>
      <c r="ALW27" s="541"/>
      <c r="ALX27" s="541"/>
      <c r="ALY27" s="541"/>
      <c r="ALZ27" s="541"/>
      <c r="AMA27" s="541"/>
      <c r="AMB27" s="541"/>
      <c r="AMC27" s="541"/>
      <c r="AMD27" s="541"/>
      <c r="AME27" s="541"/>
      <c r="AMF27" s="541"/>
      <c r="AMG27" s="541"/>
      <c r="AMH27" s="541"/>
      <c r="AMI27" s="541"/>
      <c r="AMJ27" s="541"/>
      <c r="AMK27" s="541"/>
      <c r="AML27" s="541"/>
      <c r="AMM27" s="541"/>
      <c r="AMN27" s="541"/>
      <c r="AMO27" s="541"/>
      <c r="AMP27" s="541"/>
      <c r="AMQ27" s="541"/>
      <c r="AMR27" s="541"/>
      <c r="AMS27" s="541"/>
      <c r="AMT27" s="541"/>
      <c r="AMU27" s="541"/>
      <c r="AMV27" s="541"/>
      <c r="AMW27" s="541"/>
      <c r="AMX27" s="541"/>
      <c r="AMY27" s="541"/>
      <c r="AMZ27" s="541"/>
      <c r="ANA27" s="541"/>
      <c r="ANB27" s="541"/>
      <c r="ANC27" s="541"/>
      <c r="AND27" s="541"/>
      <c r="ANE27" s="541"/>
      <c r="ANF27" s="541"/>
      <c r="ANG27" s="541"/>
      <c r="ANH27" s="541"/>
      <c r="ANI27" s="541"/>
      <c r="ANJ27" s="541"/>
      <c r="ANK27" s="541"/>
      <c r="ANL27" s="541"/>
      <c r="ANM27" s="541"/>
      <c r="ANN27" s="541"/>
      <c r="ANO27" s="541"/>
      <c r="ANP27" s="541"/>
      <c r="ANQ27" s="541"/>
      <c r="ANR27" s="541"/>
      <c r="ANS27" s="541"/>
      <c r="ANT27" s="541"/>
      <c r="ANU27" s="541"/>
      <c r="ANV27" s="541"/>
      <c r="ANW27" s="541"/>
      <c r="ANX27" s="541"/>
      <c r="ANY27" s="541"/>
      <c r="ANZ27" s="541"/>
      <c r="AOA27" s="541"/>
      <c r="AOB27" s="541"/>
      <c r="AOC27" s="541"/>
      <c r="AOD27" s="541"/>
      <c r="AOE27" s="541"/>
      <c r="AOF27" s="541"/>
      <c r="AOG27" s="541"/>
      <c r="AOH27" s="541"/>
      <c r="AOI27" s="541"/>
      <c r="AOJ27" s="541"/>
      <c r="AOK27" s="541"/>
      <c r="AOL27" s="541"/>
      <c r="AOM27" s="541"/>
      <c r="AON27" s="541"/>
      <c r="AOO27" s="541"/>
      <c r="AOP27" s="541"/>
      <c r="AOQ27" s="541"/>
      <c r="AOR27" s="541"/>
      <c r="AOS27" s="541"/>
      <c r="AOT27" s="541"/>
      <c r="AOU27" s="541"/>
      <c r="AOV27" s="541"/>
      <c r="AOW27" s="541"/>
      <c r="AOX27" s="541"/>
      <c r="AOY27" s="541"/>
      <c r="AOZ27" s="541"/>
      <c r="APA27" s="541"/>
      <c r="APB27" s="541"/>
      <c r="APC27" s="541"/>
      <c r="APD27" s="541"/>
      <c r="APE27" s="541"/>
      <c r="APF27" s="541"/>
      <c r="APG27" s="541"/>
      <c r="APH27" s="541"/>
      <c r="API27" s="541"/>
      <c r="APJ27" s="541"/>
      <c r="APK27" s="541"/>
      <c r="APL27" s="541"/>
      <c r="APM27" s="541"/>
      <c r="APN27" s="541"/>
      <c r="APO27" s="541"/>
      <c r="APP27" s="541"/>
      <c r="APQ27" s="541"/>
      <c r="APR27" s="541"/>
      <c r="APS27" s="541"/>
      <c r="APT27" s="541"/>
      <c r="APU27" s="541"/>
      <c r="APV27" s="541"/>
      <c r="APW27" s="541"/>
      <c r="APX27" s="541"/>
      <c r="APY27" s="541"/>
      <c r="APZ27" s="541"/>
      <c r="AQA27" s="541"/>
      <c r="AQB27" s="541"/>
      <c r="AQC27" s="541"/>
      <c r="AQD27" s="541"/>
      <c r="AQE27" s="541"/>
      <c r="AQF27" s="541"/>
      <c r="AQG27" s="541"/>
      <c r="AQH27" s="541"/>
      <c r="AQI27" s="541"/>
      <c r="AQJ27" s="541"/>
      <c r="AQK27" s="541"/>
      <c r="AQL27" s="541"/>
      <c r="AQM27" s="541"/>
      <c r="AQN27" s="541"/>
      <c r="AQO27" s="541"/>
      <c r="AQP27" s="541"/>
      <c r="AQQ27" s="541"/>
      <c r="AQR27" s="541"/>
      <c r="AQS27" s="541"/>
      <c r="AQT27" s="541"/>
      <c r="AQU27" s="541"/>
      <c r="AQV27" s="541"/>
      <c r="AQW27" s="541"/>
      <c r="AQX27" s="541"/>
      <c r="AQY27" s="541"/>
      <c r="AQZ27" s="541"/>
      <c r="ARA27" s="541"/>
      <c r="ARB27" s="541"/>
      <c r="ARC27" s="541"/>
      <c r="ARD27" s="541"/>
      <c r="ARE27" s="541"/>
      <c r="ARF27" s="541"/>
      <c r="ARG27" s="541"/>
      <c r="ARH27" s="541"/>
      <c r="ARI27" s="541"/>
      <c r="ARJ27" s="541"/>
      <c r="ARK27" s="541"/>
      <c r="ARL27" s="541"/>
      <c r="ARM27" s="541"/>
      <c r="ARN27" s="541"/>
      <c r="ARO27" s="541"/>
      <c r="ARP27" s="541"/>
      <c r="ARQ27" s="541"/>
      <c r="ARR27" s="541"/>
      <c r="ARS27" s="541"/>
      <c r="ART27" s="541"/>
      <c r="ARU27" s="541"/>
    </row>
    <row r="28" spans="1:1165">
      <c r="A28" s="596"/>
      <c r="B28" s="594"/>
      <c r="C28" s="670"/>
      <c r="D28" s="670"/>
      <c r="E28" s="595"/>
      <c r="F28" s="595"/>
      <c r="G28" s="595"/>
      <c r="H28" s="595"/>
      <c r="I28" s="595"/>
      <c r="J28" s="595"/>
      <c r="K28" s="595"/>
      <c r="L28" s="595"/>
      <c r="M28" s="595"/>
      <c r="N28" s="595"/>
      <c r="O28" s="595"/>
      <c r="P28" s="595"/>
      <c r="Q28" s="595"/>
      <c r="R28" s="595"/>
      <c r="S28" s="595"/>
      <c r="T28" s="595"/>
      <c r="U28" s="672"/>
      <c r="V28" s="672"/>
      <c r="W28" s="672"/>
      <c r="X28" s="672"/>
      <c r="Y28" s="672"/>
      <c r="Z28" s="672"/>
      <c r="AA28" s="672"/>
      <c r="AB28" s="672"/>
      <c r="AC28" s="672"/>
      <c r="AD28" s="672"/>
      <c r="AE28" s="595"/>
      <c r="AF28" s="595"/>
      <c r="AG28" s="672"/>
      <c r="AH28" s="623"/>
      <c r="AI28" s="623"/>
      <c r="AJ28" s="623"/>
      <c r="AK28" s="586"/>
      <c r="AL28" s="623"/>
      <c r="AM28" s="586"/>
      <c r="AN28" s="586"/>
      <c r="AO28" s="586"/>
      <c r="AP28" s="586"/>
      <c r="AQ28" s="586"/>
      <c r="AR28" s="586"/>
      <c r="AS28" s="586"/>
      <c r="AT28" s="586"/>
      <c r="AU28" s="623"/>
      <c r="AV28" s="623"/>
      <c r="AW28" s="608"/>
      <c r="AX28" s="608"/>
      <c r="AY28" s="680"/>
      <c r="AZ28" s="680"/>
      <c r="BA28" s="586"/>
      <c r="BB28" s="608"/>
      <c r="BC28" s="608"/>
      <c r="BD28" s="608"/>
      <c r="BE28" s="608"/>
      <c r="BF28" s="608"/>
      <c r="BG28" s="608"/>
      <c r="BH28" s="608"/>
      <c r="BI28" s="586"/>
      <c r="BJ28" s="608"/>
      <c r="BK28" s="608"/>
      <c r="BL28" s="541"/>
      <c r="BM28" s="624"/>
      <c r="BN28" s="624"/>
      <c r="BO28" s="624"/>
      <c r="BP28" s="624"/>
    </row>
    <row r="29" spans="1:1165">
      <c r="A29" s="591" t="s">
        <v>207</v>
      </c>
      <c r="B29" s="594" t="s">
        <v>110</v>
      </c>
      <c r="C29" s="670">
        <v>90295</v>
      </c>
      <c r="D29" s="670">
        <v>2690857</v>
      </c>
      <c r="E29" s="595">
        <v>26602</v>
      </c>
      <c r="F29" s="595">
        <v>650042</v>
      </c>
      <c r="G29" s="595">
        <v>24668</v>
      </c>
      <c r="H29" s="595">
        <v>1109904</v>
      </c>
      <c r="I29" s="595">
        <v>6643</v>
      </c>
      <c r="J29" s="595">
        <v>281749</v>
      </c>
      <c r="K29" s="595">
        <v>0</v>
      </c>
      <c r="L29" s="595">
        <v>0</v>
      </c>
      <c r="M29" s="608">
        <v>0</v>
      </c>
      <c r="N29" s="608">
        <v>0</v>
      </c>
      <c r="O29" s="608">
        <v>0</v>
      </c>
      <c r="P29" s="608">
        <v>0</v>
      </c>
      <c r="Q29" s="608">
        <v>0</v>
      </c>
      <c r="R29" s="608">
        <v>0</v>
      </c>
      <c r="S29" s="608">
        <v>0</v>
      </c>
      <c r="T29" s="608">
        <v>0</v>
      </c>
      <c r="U29" s="608">
        <v>9669</v>
      </c>
      <c r="V29" s="608">
        <v>1160280</v>
      </c>
      <c r="W29" s="608">
        <v>0</v>
      </c>
      <c r="X29" s="608">
        <v>0</v>
      </c>
      <c r="Y29" s="681">
        <v>7521</v>
      </c>
      <c r="Z29" s="681">
        <v>1006603</v>
      </c>
      <c r="AA29" s="595">
        <v>0</v>
      </c>
      <c r="AB29" s="595">
        <v>0</v>
      </c>
      <c r="AC29" s="595">
        <v>0</v>
      </c>
      <c r="AD29" s="595">
        <v>0</v>
      </c>
      <c r="AE29" s="595">
        <v>0</v>
      </c>
      <c r="AF29" s="595">
        <v>0</v>
      </c>
      <c r="AG29" s="595">
        <v>0</v>
      </c>
      <c r="AH29" s="595">
        <v>0</v>
      </c>
      <c r="AI29" s="595">
        <v>0</v>
      </c>
      <c r="AJ29" s="595">
        <v>0</v>
      </c>
      <c r="AK29" s="595">
        <v>0</v>
      </c>
      <c r="AL29" s="595">
        <v>0</v>
      </c>
      <c r="AM29" s="595">
        <v>0</v>
      </c>
      <c r="AN29" s="595">
        <v>0</v>
      </c>
      <c r="AO29" s="595">
        <v>0</v>
      </c>
      <c r="AP29" s="595">
        <v>0</v>
      </c>
      <c r="AQ29" s="595">
        <v>0</v>
      </c>
      <c r="AR29" s="595">
        <v>0</v>
      </c>
      <c r="AS29" s="595">
        <v>0</v>
      </c>
      <c r="AT29" s="595">
        <v>0</v>
      </c>
      <c r="AU29" s="595">
        <v>0</v>
      </c>
      <c r="AV29" s="595">
        <v>0</v>
      </c>
      <c r="AW29" s="595">
        <v>0</v>
      </c>
      <c r="AX29" s="595">
        <v>0</v>
      </c>
      <c r="AY29" s="604">
        <v>0</v>
      </c>
      <c r="AZ29" s="604">
        <v>0</v>
      </c>
      <c r="BA29" s="604"/>
      <c r="BB29" s="682"/>
      <c r="BC29" s="682"/>
      <c r="BD29" s="682"/>
      <c r="BE29" s="682"/>
      <c r="BF29" s="682"/>
      <c r="BG29" s="682"/>
      <c r="BH29" s="682"/>
      <c r="BI29" s="682"/>
      <c r="BJ29" s="682">
        <f>C29+G29+I29+K29+M29+O29+Q29+S29+U29+W29+Y29+AA29+AC29+AE29+AG29+AI29+AK29+AM29+AO29+AQ29+AS29+AU29+AW29+AY29+BB29+BF29</f>
        <v>138796</v>
      </c>
      <c r="BK29" s="595">
        <f>D29+H29+J29+L29+N29+P29+R29+T29+V29+X29+Z29+AB29+AD29+AF29+AH29+AJ29+AL29+AN29+AP29+AR29+AT29+AV29+AX29+AZ29+BD29+BH29</f>
        <v>6249393</v>
      </c>
      <c r="BL29" s="541"/>
      <c r="BM29" s="624"/>
      <c r="BN29" s="624"/>
      <c r="BO29" s="624"/>
      <c r="BP29" s="624"/>
    </row>
    <row r="30" spans="1:1165">
      <c r="A30" s="683"/>
      <c r="B30" s="430"/>
      <c r="C30" s="684"/>
      <c r="D30" s="684"/>
      <c r="E30" s="608"/>
      <c r="F30" s="608"/>
      <c r="G30" s="608"/>
      <c r="H30" s="608"/>
      <c r="I30" s="608"/>
      <c r="J30" s="608"/>
      <c r="K30" s="608"/>
      <c r="L30" s="608"/>
      <c r="M30" s="608"/>
      <c r="N30" s="608"/>
      <c r="O30" s="608"/>
      <c r="P30" s="608"/>
      <c r="Q30" s="608"/>
      <c r="R30" s="608"/>
      <c r="S30" s="608"/>
      <c r="T30" s="608"/>
      <c r="U30" s="586"/>
      <c r="V30" s="586"/>
      <c r="W30" s="586"/>
      <c r="X30" s="586"/>
      <c r="Y30" s="586"/>
      <c r="Z30" s="586"/>
      <c r="AA30" s="586"/>
      <c r="AB30" s="586"/>
      <c r="AC30" s="586"/>
      <c r="AD30" s="586"/>
      <c r="AE30" s="608"/>
      <c r="AF30" s="608"/>
      <c r="AG30" s="586"/>
      <c r="AH30" s="586"/>
      <c r="AI30" s="586"/>
      <c r="AJ30" s="586"/>
      <c r="AK30" s="586"/>
      <c r="AL30" s="586"/>
      <c r="AM30" s="586"/>
      <c r="AN30" s="586"/>
      <c r="AO30" s="586"/>
      <c r="AP30" s="586"/>
      <c r="AQ30" s="586"/>
      <c r="AR30" s="586"/>
      <c r="AS30" s="686"/>
      <c r="AT30" s="647"/>
      <c r="AU30" s="686"/>
      <c r="AV30" s="647"/>
      <c r="AW30" s="650"/>
      <c r="AX30" s="650"/>
      <c r="AY30" s="604"/>
      <c r="AZ30" s="604"/>
      <c r="BA30" s="604"/>
      <c r="BB30" s="650"/>
      <c r="BC30" s="650"/>
      <c r="BD30" s="650"/>
      <c r="BE30" s="650"/>
      <c r="BF30" s="650"/>
      <c r="BG30" s="650"/>
      <c r="BH30" s="650"/>
      <c r="BI30" s="686"/>
      <c r="BJ30" s="650"/>
      <c r="BK30" s="650"/>
      <c r="BL30" s="541"/>
      <c r="BM30" s="42"/>
      <c r="BN30" s="624"/>
      <c r="BO30" s="624"/>
      <c r="BP30" s="624"/>
    </row>
    <row r="31" spans="1:1165" s="658" customFormat="1">
      <c r="A31" s="577" t="s">
        <v>208</v>
      </c>
      <c r="B31" s="603"/>
      <c r="C31" s="687"/>
      <c r="D31" s="687"/>
      <c r="E31" s="598"/>
      <c r="F31" s="598"/>
      <c r="G31" s="598"/>
      <c r="H31" s="598"/>
      <c r="I31" s="598"/>
      <c r="J31" s="598"/>
      <c r="K31" s="598"/>
      <c r="L31" s="598"/>
      <c r="M31" s="598"/>
      <c r="N31" s="598"/>
      <c r="O31" s="598"/>
      <c r="P31" s="598"/>
      <c r="Q31" s="598"/>
      <c r="R31" s="598"/>
      <c r="S31" s="598"/>
      <c r="T31" s="598"/>
      <c r="U31" s="579"/>
      <c r="V31" s="579"/>
      <c r="W31" s="579"/>
      <c r="X31" s="579"/>
      <c r="Y31" s="579"/>
      <c r="Z31" s="579"/>
      <c r="AA31" s="579"/>
      <c r="AB31" s="579"/>
      <c r="AC31" s="579"/>
      <c r="AD31" s="579"/>
      <c r="AE31" s="598"/>
      <c r="AF31" s="598"/>
      <c r="AG31" s="579"/>
      <c r="AH31" s="579"/>
      <c r="AI31" s="579"/>
      <c r="AJ31" s="579"/>
      <c r="AK31" s="579"/>
      <c r="AL31" s="579"/>
      <c r="AM31" s="579"/>
      <c r="AN31" s="579"/>
      <c r="AO31" s="579"/>
      <c r="AP31" s="579"/>
      <c r="AQ31" s="579"/>
      <c r="AR31" s="579"/>
      <c r="AS31" s="579"/>
      <c r="AT31" s="579"/>
      <c r="AU31" s="663"/>
      <c r="AV31" s="663"/>
      <c r="AW31" s="657"/>
      <c r="AX31" s="657"/>
      <c r="AY31" s="656"/>
      <c r="AZ31" s="656"/>
      <c r="BA31" s="663"/>
      <c r="BB31" s="657"/>
      <c r="BC31" s="657"/>
      <c r="BD31" s="657"/>
      <c r="BE31" s="657"/>
      <c r="BF31" s="657"/>
      <c r="BG31" s="657"/>
      <c r="BH31" s="657"/>
      <c r="BI31" s="663"/>
      <c r="BJ31" s="657"/>
      <c r="BK31" s="657"/>
      <c r="BL31" s="541"/>
      <c r="BM31" s="42"/>
      <c r="BN31" s="624"/>
      <c r="BO31" s="624"/>
      <c r="BP31" s="624"/>
      <c r="BQ31" s="541"/>
      <c r="BR31" s="541"/>
      <c r="BS31" s="541"/>
      <c r="BT31" s="541"/>
      <c r="BU31" s="541"/>
      <c r="BV31" s="541"/>
      <c r="BW31" s="541"/>
      <c r="BX31" s="541"/>
      <c r="BY31" s="541"/>
      <c r="BZ31" s="541"/>
      <c r="CA31" s="541"/>
      <c r="CB31" s="541"/>
      <c r="CC31" s="541"/>
      <c r="CD31" s="541"/>
      <c r="CE31" s="541"/>
      <c r="CF31" s="541"/>
      <c r="CG31" s="541"/>
      <c r="CH31" s="541"/>
      <c r="CI31" s="541"/>
      <c r="CJ31" s="541"/>
      <c r="CK31" s="541"/>
      <c r="CL31" s="541"/>
      <c r="CM31" s="541"/>
      <c r="CN31" s="541"/>
      <c r="CO31" s="541"/>
      <c r="CP31" s="541"/>
      <c r="CQ31" s="541"/>
      <c r="CR31" s="541"/>
      <c r="CS31" s="541"/>
      <c r="CT31" s="541"/>
      <c r="CU31" s="541"/>
      <c r="CV31" s="541"/>
      <c r="CW31" s="541"/>
      <c r="CX31" s="541"/>
      <c r="CY31" s="541"/>
      <c r="CZ31" s="541"/>
      <c r="DA31" s="541"/>
      <c r="DB31" s="541"/>
      <c r="DC31" s="541"/>
      <c r="DD31" s="541"/>
      <c r="DE31" s="541"/>
      <c r="DF31" s="541"/>
      <c r="DG31" s="541"/>
      <c r="DH31" s="541"/>
      <c r="DI31" s="541"/>
      <c r="DJ31" s="541"/>
      <c r="DK31" s="541"/>
      <c r="DL31" s="541"/>
      <c r="DM31" s="541"/>
      <c r="DN31" s="541"/>
      <c r="DO31" s="541"/>
      <c r="DP31" s="541"/>
      <c r="DQ31" s="541"/>
      <c r="DR31" s="541"/>
      <c r="DS31" s="541"/>
      <c r="DT31" s="541"/>
      <c r="DU31" s="541"/>
      <c r="DV31" s="541"/>
      <c r="DW31" s="541"/>
      <c r="DX31" s="541"/>
      <c r="DY31" s="541"/>
      <c r="DZ31" s="541"/>
      <c r="EA31" s="541"/>
      <c r="EB31" s="541"/>
      <c r="EC31" s="541"/>
      <c r="ED31" s="541"/>
      <c r="EE31" s="541"/>
      <c r="EF31" s="541"/>
      <c r="EG31" s="541"/>
      <c r="EH31" s="541"/>
      <c r="EI31" s="541"/>
      <c r="EJ31" s="541"/>
      <c r="EK31" s="541"/>
      <c r="EL31" s="541"/>
      <c r="EM31" s="541"/>
      <c r="EN31" s="541"/>
      <c r="EO31" s="541"/>
      <c r="EP31" s="541"/>
      <c r="EQ31" s="541"/>
      <c r="ER31" s="541"/>
      <c r="ES31" s="541"/>
      <c r="ET31" s="541"/>
      <c r="EU31" s="541"/>
      <c r="EV31" s="541"/>
      <c r="EW31" s="541"/>
      <c r="EX31" s="541"/>
      <c r="EY31" s="541"/>
      <c r="EZ31" s="541"/>
      <c r="FA31" s="541"/>
      <c r="FB31" s="541"/>
      <c r="FC31" s="541"/>
      <c r="FD31" s="541"/>
      <c r="FE31" s="541"/>
      <c r="FF31" s="541"/>
      <c r="FG31" s="541"/>
      <c r="FH31" s="541"/>
      <c r="FI31" s="541"/>
      <c r="FJ31" s="541"/>
      <c r="FK31" s="541"/>
      <c r="FL31" s="541"/>
      <c r="FM31" s="541"/>
      <c r="FN31" s="541"/>
      <c r="FO31" s="541"/>
      <c r="FP31" s="541"/>
      <c r="FQ31" s="541"/>
      <c r="FR31" s="541"/>
      <c r="FS31" s="541"/>
      <c r="FT31" s="541"/>
      <c r="FU31" s="541"/>
      <c r="FV31" s="541"/>
      <c r="FW31" s="541"/>
      <c r="FX31" s="541"/>
      <c r="FY31" s="541"/>
      <c r="FZ31" s="541"/>
      <c r="GA31" s="541"/>
      <c r="GB31" s="541"/>
      <c r="GC31" s="541"/>
      <c r="GD31" s="541"/>
      <c r="GE31" s="541"/>
      <c r="GF31" s="541"/>
      <c r="GG31" s="541"/>
      <c r="GH31" s="541"/>
      <c r="GI31" s="541"/>
      <c r="GJ31" s="541"/>
      <c r="GK31" s="541"/>
      <c r="GL31" s="541"/>
      <c r="GM31" s="541"/>
      <c r="GN31" s="541"/>
      <c r="GO31" s="541"/>
      <c r="GP31" s="541"/>
      <c r="GQ31" s="541"/>
      <c r="GR31" s="541"/>
      <c r="GS31" s="541"/>
      <c r="GT31" s="541"/>
      <c r="GU31" s="541"/>
      <c r="GV31" s="541"/>
      <c r="GW31" s="541"/>
      <c r="GX31" s="541"/>
      <c r="GY31" s="541"/>
      <c r="GZ31" s="541"/>
      <c r="HA31" s="541"/>
      <c r="HB31" s="541"/>
      <c r="HC31" s="541"/>
      <c r="HD31" s="541"/>
      <c r="HE31" s="541"/>
      <c r="HF31" s="541"/>
      <c r="HG31" s="541"/>
      <c r="HH31" s="541"/>
      <c r="HI31" s="541"/>
      <c r="HJ31" s="541"/>
      <c r="HK31" s="541"/>
      <c r="HL31" s="541"/>
      <c r="HM31" s="541"/>
      <c r="HN31" s="541"/>
      <c r="HO31" s="541"/>
      <c r="HP31" s="541"/>
      <c r="HQ31" s="541"/>
      <c r="HR31" s="541"/>
      <c r="HS31" s="541"/>
      <c r="HT31" s="541"/>
      <c r="HU31" s="541"/>
      <c r="HV31" s="541"/>
      <c r="HW31" s="541"/>
      <c r="HX31" s="541"/>
      <c r="HY31" s="541"/>
      <c r="HZ31" s="541"/>
      <c r="IA31" s="541"/>
      <c r="IB31" s="541"/>
      <c r="IC31" s="541"/>
      <c r="ID31" s="541"/>
      <c r="IE31" s="541"/>
      <c r="IF31" s="541"/>
      <c r="IG31" s="541"/>
      <c r="IH31" s="541"/>
      <c r="II31" s="541"/>
      <c r="IJ31" s="541"/>
      <c r="IK31" s="541"/>
      <c r="IL31" s="541"/>
      <c r="IM31" s="541"/>
      <c r="IN31" s="541"/>
      <c r="IO31" s="541"/>
      <c r="IP31" s="541"/>
      <c r="IQ31" s="541"/>
      <c r="IR31" s="541"/>
      <c r="IS31" s="541"/>
      <c r="IT31" s="541"/>
      <c r="IU31" s="541"/>
      <c r="IV31" s="541"/>
      <c r="IW31" s="541"/>
      <c r="IX31" s="541"/>
      <c r="IY31" s="541"/>
      <c r="IZ31" s="541"/>
      <c r="JA31" s="541"/>
      <c r="JB31" s="541"/>
      <c r="JC31" s="541"/>
      <c r="JD31" s="541"/>
      <c r="JE31" s="541"/>
      <c r="JF31" s="541"/>
      <c r="JG31" s="541"/>
      <c r="JH31" s="541"/>
      <c r="JI31" s="541"/>
      <c r="JJ31" s="541"/>
      <c r="JK31" s="541"/>
      <c r="JL31" s="541"/>
      <c r="JM31" s="541"/>
      <c r="JN31" s="541"/>
      <c r="JO31" s="541"/>
      <c r="JP31" s="541"/>
      <c r="JQ31" s="541"/>
      <c r="JR31" s="541"/>
      <c r="JS31" s="541"/>
      <c r="JT31" s="541"/>
      <c r="JU31" s="541"/>
      <c r="JV31" s="541"/>
      <c r="JW31" s="541"/>
      <c r="JX31" s="541"/>
      <c r="JY31" s="541"/>
      <c r="JZ31" s="541"/>
      <c r="KA31" s="541"/>
      <c r="KB31" s="541"/>
      <c r="KC31" s="541"/>
      <c r="KD31" s="541"/>
      <c r="KE31" s="541"/>
      <c r="KF31" s="541"/>
      <c r="KG31" s="541"/>
      <c r="KH31" s="541"/>
      <c r="KI31" s="541"/>
      <c r="KJ31" s="541"/>
      <c r="KK31" s="541"/>
      <c r="KL31" s="541"/>
      <c r="KM31" s="541"/>
      <c r="KN31" s="541"/>
      <c r="KO31" s="541"/>
      <c r="KP31" s="541"/>
      <c r="KQ31" s="541"/>
      <c r="KR31" s="541"/>
      <c r="KS31" s="541"/>
      <c r="KT31" s="541"/>
      <c r="KU31" s="541"/>
      <c r="KV31" s="541"/>
      <c r="KW31" s="541"/>
      <c r="KX31" s="541"/>
      <c r="KY31" s="541"/>
      <c r="KZ31" s="541"/>
      <c r="LA31" s="541"/>
      <c r="LB31" s="541"/>
      <c r="LC31" s="541"/>
      <c r="LD31" s="541"/>
      <c r="LE31" s="541"/>
      <c r="LF31" s="541"/>
      <c r="LG31" s="541"/>
      <c r="LH31" s="541"/>
      <c r="LI31" s="541"/>
      <c r="LJ31" s="541"/>
      <c r="LK31" s="541"/>
      <c r="LL31" s="541"/>
      <c r="LM31" s="541"/>
      <c r="LN31" s="541"/>
      <c r="LO31" s="541"/>
      <c r="LP31" s="541"/>
      <c r="LQ31" s="541"/>
      <c r="LR31" s="541"/>
      <c r="LS31" s="541"/>
      <c r="LT31" s="541"/>
      <c r="LU31" s="541"/>
      <c r="LV31" s="541"/>
      <c r="LW31" s="541"/>
      <c r="LX31" s="541"/>
      <c r="LY31" s="541"/>
      <c r="LZ31" s="541"/>
      <c r="MA31" s="541"/>
      <c r="MB31" s="541"/>
      <c r="MC31" s="541"/>
      <c r="MD31" s="541"/>
      <c r="ME31" s="541"/>
      <c r="MF31" s="541"/>
      <c r="MG31" s="541"/>
      <c r="MH31" s="541"/>
      <c r="MI31" s="541"/>
      <c r="MJ31" s="541"/>
      <c r="MK31" s="541"/>
      <c r="ML31" s="541"/>
      <c r="MM31" s="541"/>
      <c r="MN31" s="541"/>
      <c r="MO31" s="541"/>
      <c r="MP31" s="541"/>
      <c r="MQ31" s="541"/>
      <c r="MR31" s="541"/>
      <c r="MS31" s="541"/>
      <c r="MT31" s="541"/>
      <c r="MU31" s="541"/>
      <c r="MV31" s="541"/>
      <c r="MW31" s="541"/>
      <c r="MX31" s="541"/>
      <c r="MY31" s="541"/>
      <c r="MZ31" s="541"/>
      <c r="NA31" s="541"/>
      <c r="NB31" s="541"/>
      <c r="NC31" s="541"/>
      <c r="ND31" s="541"/>
      <c r="NE31" s="541"/>
      <c r="NF31" s="541"/>
      <c r="NG31" s="541"/>
      <c r="NH31" s="541"/>
      <c r="NI31" s="541"/>
      <c r="NJ31" s="541"/>
      <c r="NK31" s="541"/>
      <c r="NL31" s="541"/>
      <c r="NM31" s="541"/>
      <c r="NN31" s="541"/>
      <c r="NO31" s="541"/>
      <c r="NP31" s="541"/>
      <c r="NQ31" s="541"/>
      <c r="NR31" s="541"/>
      <c r="NS31" s="541"/>
      <c r="NT31" s="541"/>
      <c r="NU31" s="541"/>
      <c r="NV31" s="541"/>
      <c r="NW31" s="541"/>
      <c r="NX31" s="541"/>
      <c r="NY31" s="541"/>
      <c r="NZ31" s="541"/>
      <c r="OA31" s="541"/>
      <c r="OB31" s="541"/>
      <c r="OC31" s="541"/>
      <c r="OD31" s="541"/>
      <c r="OE31" s="541"/>
      <c r="OF31" s="541"/>
      <c r="OG31" s="541"/>
      <c r="OH31" s="541"/>
      <c r="OI31" s="541"/>
      <c r="OJ31" s="541"/>
      <c r="OK31" s="541"/>
      <c r="OL31" s="541"/>
      <c r="OM31" s="541"/>
      <c r="ON31" s="541"/>
      <c r="OO31" s="541"/>
      <c r="OP31" s="541"/>
      <c r="OQ31" s="541"/>
      <c r="OR31" s="541"/>
      <c r="OS31" s="541"/>
      <c r="OT31" s="541"/>
      <c r="OU31" s="541"/>
      <c r="OV31" s="541"/>
      <c r="OW31" s="541"/>
      <c r="OX31" s="541"/>
      <c r="OY31" s="541"/>
      <c r="OZ31" s="541"/>
      <c r="PA31" s="541"/>
      <c r="PB31" s="541"/>
      <c r="PC31" s="541"/>
      <c r="PD31" s="541"/>
      <c r="PE31" s="541"/>
      <c r="PF31" s="541"/>
      <c r="PG31" s="541"/>
      <c r="PH31" s="541"/>
      <c r="PI31" s="541"/>
      <c r="PJ31" s="541"/>
      <c r="PK31" s="541"/>
      <c r="PL31" s="541"/>
      <c r="PM31" s="541"/>
      <c r="PN31" s="541"/>
      <c r="PO31" s="541"/>
      <c r="PP31" s="541"/>
      <c r="PQ31" s="541"/>
      <c r="PR31" s="541"/>
      <c r="PS31" s="541"/>
      <c r="PT31" s="541"/>
      <c r="PU31" s="541"/>
      <c r="PV31" s="541"/>
      <c r="PW31" s="541"/>
      <c r="PX31" s="541"/>
      <c r="PY31" s="541"/>
      <c r="PZ31" s="541"/>
      <c r="QA31" s="541"/>
      <c r="QB31" s="541"/>
      <c r="QC31" s="541"/>
      <c r="QD31" s="541"/>
      <c r="QE31" s="541"/>
      <c r="QF31" s="541"/>
      <c r="QG31" s="541"/>
      <c r="QH31" s="541"/>
      <c r="QI31" s="541"/>
      <c r="QJ31" s="541"/>
      <c r="QK31" s="541"/>
      <c r="QL31" s="541"/>
      <c r="QM31" s="541"/>
      <c r="QN31" s="541"/>
      <c r="QO31" s="541"/>
      <c r="QP31" s="541"/>
      <c r="QQ31" s="541"/>
      <c r="QR31" s="541"/>
      <c r="QS31" s="541"/>
      <c r="QT31" s="541"/>
      <c r="QU31" s="541"/>
      <c r="QV31" s="541"/>
      <c r="QW31" s="541"/>
      <c r="QX31" s="541"/>
      <c r="QY31" s="541"/>
      <c r="QZ31" s="541"/>
      <c r="RA31" s="541"/>
      <c r="RB31" s="541"/>
      <c r="RC31" s="541"/>
      <c r="RD31" s="541"/>
      <c r="RE31" s="541"/>
      <c r="RF31" s="541"/>
      <c r="RG31" s="541"/>
      <c r="RH31" s="541"/>
      <c r="RI31" s="541"/>
      <c r="RJ31" s="541"/>
      <c r="RK31" s="541"/>
      <c r="RL31" s="541"/>
      <c r="RM31" s="541"/>
      <c r="RN31" s="541"/>
      <c r="RO31" s="541"/>
      <c r="RP31" s="541"/>
      <c r="RQ31" s="541"/>
      <c r="RR31" s="541"/>
      <c r="RS31" s="541"/>
      <c r="RT31" s="541"/>
      <c r="RU31" s="541"/>
      <c r="RV31" s="541"/>
      <c r="RW31" s="541"/>
      <c r="RX31" s="541"/>
      <c r="RY31" s="541"/>
      <c r="RZ31" s="541"/>
      <c r="SA31" s="541"/>
      <c r="SB31" s="541"/>
      <c r="SC31" s="541"/>
      <c r="SD31" s="541"/>
      <c r="SE31" s="541"/>
      <c r="SF31" s="541"/>
      <c r="SG31" s="541"/>
      <c r="SH31" s="541"/>
      <c r="SI31" s="541"/>
      <c r="SJ31" s="541"/>
      <c r="SK31" s="541"/>
      <c r="SL31" s="541"/>
      <c r="SM31" s="541"/>
      <c r="SN31" s="541"/>
      <c r="SO31" s="541"/>
      <c r="SP31" s="541"/>
      <c r="SQ31" s="541"/>
      <c r="SR31" s="541"/>
      <c r="SS31" s="541"/>
      <c r="ST31" s="541"/>
      <c r="SU31" s="541"/>
      <c r="SV31" s="541"/>
      <c r="SW31" s="541"/>
      <c r="SX31" s="541"/>
      <c r="SY31" s="541"/>
      <c r="SZ31" s="541"/>
      <c r="TA31" s="541"/>
      <c r="TB31" s="541"/>
      <c r="TC31" s="541"/>
      <c r="TD31" s="541"/>
      <c r="TE31" s="541"/>
      <c r="TF31" s="541"/>
      <c r="TG31" s="541"/>
      <c r="TH31" s="541"/>
      <c r="TI31" s="541"/>
      <c r="TJ31" s="541"/>
      <c r="TK31" s="541"/>
      <c r="TL31" s="541"/>
      <c r="TM31" s="541"/>
      <c r="TN31" s="541"/>
      <c r="TO31" s="541"/>
      <c r="TP31" s="541"/>
      <c r="TQ31" s="541"/>
      <c r="TR31" s="541"/>
      <c r="TS31" s="541"/>
      <c r="TT31" s="541"/>
      <c r="TU31" s="541"/>
      <c r="TV31" s="541"/>
      <c r="TW31" s="541"/>
      <c r="TX31" s="541"/>
      <c r="TY31" s="541"/>
      <c r="TZ31" s="541"/>
      <c r="UA31" s="541"/>
      <c r="UB31" s="541"/>
      <c r="UC31" s="541"/>
      <c r="UD31" s="541"/>
      <c r="UE31" s="541"/>
      <c r="UF31" s="541"/>
      <c r="UG31" s="541"/>
      <c r="UH31" s="541"/>
      <c r="UI31" s="541"/>
      <c r="UJ31" s="541"/>
      <c r="UK31" s="541"/>
      <c r="UL31" s="541"/>
      <c r="UM31" s="541"/>
      <c r="UN31" s="541"/>
      <c r="UO31" s="541"/>
      <c r="UP31" s="541"/>
      <c r="UQ31" s="541"/>
      <c r="UR31" s="541"/>
      <c r="US31" s="541"/>
      <c r="UT31" s="541"/>
      <c r="UU31" s="541"/>
      <c r="UV31" s="541"/>
      <c r="UW31" s="541"/>
      <c r="UX31" s="541"/>
      <c r="UY31" s="541"/>
      <c r="UZ31" s="541"/>
      <c r="VA31" s="541"/>
      <c r="VB31" s="541"/>
      <c r="VC31" s="541"/>
      <c r="VD31" s="541"/>
      <c r="VE31" s="541"/>
      <c r="VF31" s="541"/>
      <c r="VG31" s="541"/>
      <c r="VH31" s="541"/>
      <c r="VI31" s="541"/>
      <c r="VJ31" s="541"/>
      <c r="VK31" s="541"/>
      <c r="VL31" s="541"/>
      <c r="VM31" s="541"/>
      <c r="VN31" s="541"/>
      <c r="VO31" s="541"/>
      <c r="VP31" s="541"/>
      <c r="VQ31" s="541"/>
      <c r="VR31" s="541"/>
      <c r="VS31" s="541"/>
      <c r="VT31" s="541"/>
      <c r="VU31" s="541"/>
      <c r="VV31" s="541"/>
      <c r="VW31" s="541"/>
      <c r="VX31" s="541"/>
      <c r="VY31" s="541"/>
      <c r="VZ31" s="541"/>
      <c r="WA31" s="541"/>
      <c r="WB31" s="541"/>
      <c r="WC31" s="541"/>
      <c r="WD31" s="541"/>
      <c r="WE31" s="541"/>
      <c r="WF31" s="541"/>
      <c r="WG31" s="541"/>
      <c r="WH31" s="541"/>
      <c r="WI31" s="541"/>
      <c r="WJ31" s="541"/>
      <c r="WK31" s="541"/>
      <c r="WL31" s="541"/>
      <c r="WM31" s="541"/>
      <c r="WN31" s="541"/>
      <c r="WO31" s="541"/>
      <c r="WP31" s="541"/>
      <c r="WQ31" s="541"/>
      <c r="WR31" s="541"/>
      <c r="WS31" s="541"/>
      <c r="WT31" s="541"/>
      <c r="WU31" s="541"/>
      <c r="WV31" s="541"/>
      <c r="WW31" s="541"/>
      <c r="WX31" s="541"/>
      <c r="WY31" s="541"/>
      <c r="WZ31" s="541"/>
      <c r="XA31" s="541"/>
      <c r="XB31" s="541"/>
      <c r="XC31" s="541"/>
      <c r="XD31" s="541"/>
      <c r="XE31" s="541"/>
      <c r="XF31" s="541"/>
      <c r="XG31" s="541"/>
      <c r="XH31" s="541"/>
      <c r="XI31" s="541"/>
      <c r="XJ31" s="541"/>
      <c r="XK31" s="541"/>
      <c r="XL31" s="541"/>
      <c r="XM31" s="541"/>
      <c r="XN31" s="541"/>
      <c r="XO31" s="541"/>
      <c r="XP31" s="541"/>
      <c r="XQ31" s="541"/>
      <c r="XR31" s="541"/>
      <c r="XS31" s="541"/>
      <c r="XT31" s="541"/>
      <c r="XU31" s="541"/>
      <c r="XV31" s="541"/>
      <c r="XW31" s="541"/>
      <c r="XX31" s="541"/>
      <c r="XY31" s="541"/>
      <c r="XZ31" s="541"/>
      <c r="YA31" s="541"/>
      <c r="YB31" s="541"/>
      <c r="YC31" s="541"/>
      <c r="YD31" s="541"/>
      <c r="YE31" s="541"/>
      <c r="YF31" s="541"/>
      <c r="YG31" s="541"/>
      <c r="YH31" s="541"/>
      <c r="YI31" s="541"/>
      <c r="YJ31" s="541"/>
      <c r="YK31" s="541"/>
      <c r="YL31" s="541"/>
      <c r="YM31" s="541"/>
      <c r="YN31" s="541"/>
      <c r="YO31" s="541"/>
      <c r="YP31" s="541"/>
      <c r="YQ31" s="541"/>
      <c r="YR31" s="541"/>
      <c r="YS31" s="541"/>
      <c r="YT31" s="541"/>
      <c r="YU31" s="541"/>
      <c r="YV31" s="541"/>
      <c r="YW31" s="541"/>
      <c r="YX31" s="541"/>
      <c r="YY31" s="541"/>
      <c r="YZ31" s="541"/>
      <c r="ZA31" s="541"/>
      <c r="ZB31" s="541"/>
      <c r="ZC31" s="541"/>
      <c r="ZD31" s="541"/>
      <c r="ZE31" s="541"/>
      <c r="ZF31" s="541"/>
      <c r="ZG31" s="541"/>
      <c r="ZH31" s="541"/>
      <c r="ZI31" s="541"/>
      <c r="ZJ31" s="541"/>
      <c r="ZK31" s="541"/>
      <c r="ZL31" s="541"/>
      <c r="ZM31" s="541"/>
      <c r="ZN31" s="541"/>
      <c r="ZO31" s="541"/>
      <c r="ZP31" s="541"/>
      <c r="ZQ31" s="541"/>
      <c r="ZR31" s="541"/>
      <c r="ZS31" s="541"/>
      <c r="ZT31" s="541"/>
      <c r="ZU31" s="541"/>
      <c r="ZV31" s="541"/>
      <c r="ZW31" s="541"/>
      <c r="ZX31" s="541"/>
      <c r="ZY31" s="541"/>
      <c r="ZZ31" s="541"/>
      <c r="AAA31" s="541"/>
      <c r="AAB31" s="541"/>
      <c r="AAC31" s="541"/>
      <c r="AAD31" s="541"/>
      <c r="AAE31" s="541"/>
      <c r="AAF31" s="541"/>
      <c r="AAG31" s="541"/>
      <c r="AAH31" s="541"/>
      <c r="AAI31" s="541"/>
      <c r="AAJ31" s="541"/>
      <c r="AAK31" s="541"/>
      <c r="AAL31" s="541"/>
      <c r="AAM31" s="541"/>
      <c r="AAN31" s="541"/>
      <c r="AAO31" s="541"/>
      <c r="AAP31" s="541"/>
      <c r="AAQ31" s="541"/>
      <c r="AAR31" s="541"/>
      <c r="AAS31" s="541"/>
      <c r="AAT31" s="541"/>
      <c r="AAU31" s="541"/>
      <c r="AAV31" s="541"/>
      <c r="AAW31" s="541"/>
      <c r="AAX31" s="541"/>
      <c r="AAY31" s="541"/>
      <c r="AAZ31" s="541"/>
      <c r="ABA31" s="541"/>
      <c r="ABB31" s="541"/>
      <c r="ABC31" s="541"/>
      <c r="ABD31" s="541"/>
      <c r="ABE31" s="541"/>
      <c r="ABF31" s="541"/>
      <c r="ABG31" s="541"/>
      <c r="ABH31" s="541"/>
      <c r="ABI31" s="541"/>
      <c r="ABJ31" s="541"/>
      <c r="ABK31" s="541"/>
      <c r="ABL31" s="541"/>
      <c r="ABM31" s="541"/>
      <c r="ABN31" s="541"/>
      <c r="ABO31" s="541"/>
      <c r="ABP31" s="541"/>
      <c r="ABQ31" s="541"/>
      <c r="ABR31" s="541"/>
      <c r="ABS31" s="541"/>
      <c r="ABT31" s="541"/>
      <c r="ABU31" s="541"/>
      <c r="ABV31" s="541"/>
      <c r="ABW31" s="541"/>
      <c r="ABX31" s="541"/>
      <c r="ABY31" s="541"/>
      <c r="ABZ31" s="541"/>
      <c r="ACA31" s="541"/>
      <c r="ACB31" s="541"/>
      <c r="ACC31" s="541"/>
      <c r="ACD31" s="541"/>
      <c r="ACE31" s="541"/>
      <c r="ACF31" s="541"/>
      <c r="ACG31" s="541"/>
      <c r="ACH31" s="541"/>
      <c r="ACI31" s="541"/>
      <c r="ACJ31" s="541"/>
      <c r="ACK31" s="541"/>
      <c r="ACL31" s="541"/>
      <c r="ACM31" s="541"/>
      <c r="ACN31" s="541"/>
      <c r="ACO31" s="541"/>
      <c r="ACP31" s="541"/>
      <c r="ACQ31" s="541"/>
      <c r="ACR31" s="541"/>
      <c r="ACS31" s="541"/>
      <c r="ACT31" s="541"/>
      <c r="ACU31" s="541"/>
      <c r="ACV31" s="541"/>
      <c r="ACW31" s="541"/>
      <c r="ACX31" s="541"/>
      <c r="ACY31" s="541"/>
      <c r="ACZ31" s="541"/>
      <c r="ADA31" s="541"/>
      <c r="ADB31" s="541"/>
      <c r="ADC31" s="541"/>
      <c r="ADD31" s="541"/>
      <c r="ADE31" s="541"/>
      <c r="ADF31" s="541"/>
      <c r="ADG31" s="541"/>
      <c r="ADH31" s="541"/>
      <c r="ADI31" s="541"/>
      <c r="ADJ31" s="541"/>
      <c r="ADK31" s="541"/>
      <c r="ADL31" s="541"/>
      <c r="ADM31" s="541"/>
      <c r="ADN31" s="541"/>
      <c r="ADO31" s="541"/>
      <c r="ADP31" s="541"/>
      <c r="ADQ31" s="541"/>
      <c r="ADR31" s="541"/>
      <c r="ADS31" s="541"/>
      <c r="ADT31" s="541"/>
      <c r="ADU31" s="541"/>
      <c r="ADV31" s="541"/>
      <c r="ADW31" s="541"/>
      <c r="ADX31" s="541"/>
      <c r="ADY31" s="541"/>
      <c r="ADZ31" s="541"/>
      <c r="AEA31" s="541"/>
      <c r="AEB31" s="541"/>
      <c r="AEC31" s="541"/>
      <c r="AED31" s="541"/>
      <c r="AEE31" s="541"/>
      <c r="AEF31" s="541"/>
      <c r="AEG31" s="541"/>
      <c r="AEH31" s="541"/>
      <c r="AEI31" s="541"/>
      <c r="AEJ31" s="541"/>
      <c r="AEK31" s="541"/>
      <c r="AEL31" s="541"/>
      <c r="AEM31" s="541"/>
      <c r="AEN31" s="541"/>
      <c r="AEO31" s="541"/>
      <c r="AEP31" s="541"/>
      <c r="AEQ31" s="541"/>
      <c r="AER31" s="541"/>
      <c r="AES31" s="541"/>
      <c r="AET31" s="541"/>
      <c r="AEU31" s="541"/>
      <c r="AEV31" s="541"/>
      <c r="AEW31" s="541"/>
      <c r="AEX31" s="541"/>
      <c r="AEY31" s="541"/>
      <c r="AEZ31" s="541"/>
      <c r="AFA31" s="541"/>
      <c r="AFB31" s="541"/>
      <c r="AFC31" s="541"/>
      <c r="AFD31" s="541"/>
      <c r="AFE31" s="541"/>
      <c r="AFF31" s="541"/>
      <c r="AFG31" s="541"/>
      <c r="AFH31" s="541"/>
      <c r="AFI31" s="541"/>
      <c r="AFJ31" s="541"/>
      <c r="AFK31" s="541"/>
      <c r="AFL31" s="541"/>
      <c r="AFM31" s="541"/>
      <c r="AFN31" s="541"/>
      <c r="AFO31" s="541"/>
      <c r="AFP31" s="541"/>
      <c r="AFQ31" s="541"/>
      <c r="AFR31" s="541"/>
      <c r="AFS31" s="541"/>
      <c r="AFT31" s="541"/>
      <c r="AFU31" s="541"/>
      <c r="AFV31" s="541"/>
      <c r="AFW31" s="541"/>
      <c r="AFX31" s="541"/>
      <c r="AFY31" s="541"/>
      <c r="AFZ31" s="541"/>
      <c r="AGA31" s="541"/>
      <c r="AGB31" s="541"/>
      <c r="AGC31" s="541"/>
      <c r="AGD31" s="541"/>
      <c r="AGE31" s="541"/>
      <c r="AGF31" s="541"/>
      <c r="AGG31" s="541"/>
      <c r="AGH31" s="541"/>
      <c r="AGI31" s="541"/>
      <c r="AGJ31" s="541"/>
      <c r="AGK31" s="541"/>
      <c r="AGL31" s="541"/>
      <c r="AGM31" s="541"/>
      <c r="AGN31" s="541"/>
      <c r="AGO31" s="541"/>
      <c r="AGP31" s="541"/>
      <c r="AGQ31" s="541"/>
      <c r="AGR31" s="541"/>
      <c r="AGS31" s="541"/>
      <c r="AGT31" s="541"/>
      <c r="AGU31" s="541"/>
      <c r="AGV31" s="541"/>
      <c r="AGW31" s="541"/>
      <c r="AGX31" s="541"/>
      <c r="AGY31" s="541"/>
      <c r="AGZ31" s="541"/>
      <c r="AHA31" s="541"/>
      <c r="AHB31" s="541"/>
      <c r="AHC31" s="541"/>
      <c r="AHD31" s="541"/>
      <c r="AHE31" s="541"/>
      <c r="AHF31" s="541"/>
      <c r="AHG31" s="541"/>
      <c r="AHH31" s="541"/>
      <c r="AHI31" s="541"/>
      <c r="AHJ31" s="541"/>
      <c r="AHK31" s="541"/>
      <c r="AHL31" s="541"/>
      <c r="AHM31" s="541"/>
      <c r="AHN31" s="541"/>
      <c r="AHO31" s="541"/>
      <c r="AHP31" s="541"/>
      <c r="AHQ31" s="541"/>
      <c r="AHR31" s="541"/>
      <c r="AHS31" s="541"/>
      <c r="AHT31" s="541"/>
      <c r="AHU31" s="541"/>
      <c r="AHV31" s="541"/>
      <c r="AHW31" s="541"/>
      <c r="AHX31" s="541"/>
      <c r="AHY31" s="541"/>
      <c r="AHZ31" s="541"/>
      <c r="AIA31" s="541"/>
      <c r="AIB31" s="541"/>
      <c r="AIC31" s="541"/>
      <c r="AID31" s="541"/>
      <c r="AIE31" s="541"/>
      <c r="AIF31" s="541"/>
      <c r="AIG31" s="541"/>
      <c r="AIH31" s="541"/>
      <c r="AII31" s="541"/>
      <c r="AIJ31" s="541"/>
      <c r="AIK31" s="541"/>
      <c r="AIL31" s="541"/>
      <c r="AIM31" s="541"/>
      <c r="AIN31" s="541"/>
      <c r="AIO31" s="541"/>
      <c r="AIP31" s="541"/>
      <c r="AIQ31" s="541"/>
      <c r="AIR31" s="541"/>
      <c r="AIS31" s="541"/>
      <c r="AIT31" s="541"/>
      <c r="AIU31" s="541"/>
      <c r="AIV31" s="541"/>
      <c r="AIW31" s="541"/>
      <c r="AIX31" s="541"/>
      <c r="AIY31" s="541"/>
      <c r="AIZ31" s="541"/>
      <c r="AJA31" s="541"/>
      <c r="AJB31" s="541"/>
      <c r="AJC31" s="541"/>
      <c r="AJD31" s="541"/>
      <c r="AJE31" s="541"/>
      <c r="AJF31" s="541"/>
      <c r="AJG31" s="541"/>
      <c r="AJH31" s="541"/>
      <c r="AJI31" s="541"/>
      <c r="AJJ31" s="541"/>
      <c r="AJK31" s="541"/>
      <c r="AJL31" s="541"/>
      <c r="AJM31" s="541"/>
      <c r="AJN31" s="541"/>
      <c r="AJO31" s="541"/>
      <c r="AJP31" s="541"/>
      <c r="AJQ31" s="541"/>
      <c r="AJR31" s="541"/>
      <c r="AJS31" s="541"/>
      <c r="AJT31" s="541"/>
      <c r="AJU31" s="541"/>
      <c r="AJV31" s="541"/>
      <c r="AJW31" s="541"/>
      <c r="AJX31" s="541"/>
      <c r="AJY31" s="541"/>
      <c r="AJZ31" s="541"/>
      <c r="AKA31" s="541"/>
      <c r="AKB31" s="541"/>
      <c r="AKC31" s="541"/>
      <c r="AKD31" s="541"/>
      <c r="AKE31" s="541"/>
      <c r="AKF31" s="541"/>
      <c r="AKG31" s="541"/>
      <c r="AKH31" s="541"/>
      <c r="AKI31" s="541"/>
      <c r="AKJ31" s="541"/>
      <c r="AKK31" s="541"/>
      <c r="AKL31" s="541"/>
      <c r="AKM31" s="541"/>
      <c r="AKN31" s="541"/>
      <c r="AKO31" s="541"/>
      <c r="AKP31" s="541"/>
      <c r="AKQ31" s="541"/>
      <c r="AKR31" s="541"/>
      <c r="AKS31" s="541"/>
      <c r="AKT31" s="541"/>
      <c r="AKU31" s="541"/>
      <c r="AKV31" s="541"/>
      <c r="AKW31" s="541"/>
      <c r="AKX31" s="541"/>
      <c r="AKY31" s="541"/>
      <c r="AKZ31" s="541"/>
      <c r="ALA31" s="541"/>
      <c r="ALB31" s="541"/>
      <c r="ALC31" s="541"/>
      <c r="ALD31" s="541"/>
      <c r="ALE31" s="541"/>
      <c r="ALF31" s="541"/>
      <c r="ALG31" s="541"/>
      <c r="ALH31" s="541"/>
      <c r="ALI31" s="541"/>
      <c r="ALJ31" s="541"/>
      <c r="ALK31" s="541"/>
      <c r="ALL31" s="541"/>
      <c r="ALM31" s="541"/>
      <c r="ALN31" s="541"/>
      <c r="ALO31" s="541"/>
      <c r="ALP31" s="541"/>
      <c r="ALQ31" s="541"/>
      <c r="ALR31" s="541"/>
      <c r="ALS31" s="541"/>
      <c r="ALT31" s="541"/>
      <c r="ALU31" s="541"/>
      <c r="ALV31" s="541"/>
      <c r="ALW31" s="541"/>
      <c r="ALX31" s="541"/>
      <c r="ALY31" s="541"/>
      <c r="ALZ31" s="541"/>
      <c r="AMA31" s="541"/>
      <c r="AMB31" s="541"/>
      <c r="AMC31" s="541"/>
      <c r="AMD31" s="541"/>
      <c r="AME31" s="541"/>
      <c r="AMF31" s="541"/>
      <c r="AMG31" s="541"/>
      <c r="AMH31" s="541"/>
      <c r="AMI31" s="541"/>
      <c r="AMJ31" s="541"/>
      <c r="AMK31" s="541"/>
      <c r="AML31" s="541"/>
      <c r="AMM31" s="541"/>
      <c r="AMN31" s="541"/>
      <c r="AMO31" s="541"/>
      <c r="AMP31" s="541"/>
      <c r="AMQ31" s="541"/>
      <c r="AMR31" s="541"/>
      <c r="AMS31" s="541"/>
      <c r="AMT31" s="541"/>
      <c r="AMU31" s="541"/>
      <c r="AMV31" s="541"/>
      <c r="AMW31" s="541"/>
      <c r="AMX31" s="541"/>
      <c r="AMY31" s="541"/>
      <c r="AMZ31" s="541"/>
      <c r="ANA31" s="541"/>
      <c r="ANB31" s="541"/>
      <c r="ANC31" s="541"/>
      <c r="AND31" s="541"/>
      <c r="ANE31" s="541"/>
      <c r="ANF31" s="541"/>
      <c r="ANG31" s="541"/>
      <c r="ANH31" s="541"/>
      <c r="ANI31" s="541"/>
      <c r="ANJ31" s="541"/>
      <c r="ANK31" s="541"/>
      <c r="ANL31" s="541"/>
      <c r="ANM31" s="541"/>
      <c r="ANN31" s="541"/>
      <c r="ANO31" s="541"/>
      <c r="ANP31" s="541"/>
      <c r="ANQ31" s="541"/>
      <c r="ANR31" s="541"/>
      <c r="ANS31" s="541"/>
      <c r="ANT31" s="541"/>
      <c r="ANU31" s="541"/>
      <c r="ANV31" s="541"/>
      <c r="ANW31" s="541"/>
      <c r="ANX31" s="541"/>
      <c r="ANY31" s="541"/>
      <c r="ANZ31" s="541"/>
      <c r="AOA31" s="541"/>
      <c r="AOB31" s="541"/>
      <c r="AOC31" s="541"/>
      <c r="AOD31" s="541"/>
      <c r="AOE31" s="541"/>
      <c r="AOF31" s="541"/>
      <c r="AOG31" s="541"/>
      <c r="AOH31" s="541"/>
      <c r="AOI31" s="541"/>
      <c r="AOJ31" s="541"/>
      <c r="AOK31" s="541"/>
      <c r="AOL31" s="541"/>
      <c r="AOM31" s="541"/>
      <c r="AON31" s="541"/>
      <c r="AOO31" s="541"/>
      <c r="AOP31" s="541"/>
      <c r="AOQ31" s="541"/>
      <c r="AOR31" s="541"/>
      <c r="AOS31" s="541"/>
      <c r="AOT31" s="541"/>
      <c r="AOU31" s="541"/>
      <c r="AOV31" s="541"/>
      <c r="AOW31" s="541"/>
      <c r="AOX31" s="541"/>
      <c r="AOY31" s="541"/>
      <c r="AOZ31" s="541"/>
      <c r="APA31" s="541"/>
      <c r="APB31" s="541"/>
      <c r="APC31" s="541"/>
      <c r="APD31" s="541"/>
      <c r="APE31" s="541"/>
      <c r="APF31" s="541"/>
      <c r="APG31" s="541"/>
      <c r="APH31" s="541"/>
      <c r="API31" s="541"/>
      <c r="APJ31" s="541"/>
      <c r="APK31" s="541"/>
      <c r="APL31" s="541"/>
      <c r="APM31" s="541"/>
      <c r="APN31" s="541"/>
      <c r="APO31" s="541"/>
      <c r="APP31" s="541"/>
      <c r="APQ31" s="541"/>
      <c r="APR31" s="541"/>
      <c r="APS31" s="541"/>
      <c r="APT31" s="541"/>
      <c r="APU31" s="541"/>
      <c r="APV31" s="541"/>
      <c r="APW31" s="541"/>
      <c r="APX31" s="541"/>
      <c r="APY31" s="541"/>
      <c r="APZ31" s="541"/>
      <c r="AQA31" s="541"/>
      <c r="AQB31" s="541"/>
      <c r="AQC31" s="541"/>
      <c r="AQD31" s="541"/>
      <c r="AQE31" s="541"/>
      <c r="AQF31" s="541"/>
      <c r="AQG31" s="541"/>
      <c r="AQH31" s="541"/>
      <c r="AQI31" s="541"/>
      <c r="AQJ31" s="541"/>
      <c r="AQK31" s="541"/>
      <c r="AQL31" s="541"/>
      <c r="AQM31" s="541"/>
      <c r="AQN31" s="541"/>
      <c r="AQO31" s="541"/>
      <c r="AQP31" s="541"/>
      <c r="AQQ31" s="541"/>
      <c r="AQR31" s="541"/>
      <c r="AQS31" s="541"/>
      <c r="AQT31" s="541"/>
      <c r="AQU31" s="541"/>
      <c r="AQV31" s="541"/>
      <c r="AQW31" s="541"/>
      <c r="AQX31" s="541"/>
      <c r="AQY31" s="541"/>
      <c r="AQZ31" s="541"/>
      <c r="ARA31" s="541"/>
      <c r="ARB31" s="541"/>
      <c r="ARC31" s="541"/>
      <c r="ARD31" s="541"/>
      <c r="ARE31" s="541"/>
      <c r="ARF31" s="541"/>
      <c r="ARG31" s="541"/>
      <c r="ARH31" s="541"/>
      <c r="ARI31" s="541"/>
      <c r="ARJ31" s="541"/>
      <c r="ARK31" s="541"/>
      <c r="ARL31" s="541"/>
      <c r="ARM31" s="541"/>
      <c r="ARN31" s="541"/>
      <c r="ARO31" s="541"/>
      <c r="ARP31" s="541"/>
      <c r="ARQ31" s="541"/>
      <c r="ARR31" s="541"/>
      <c r="ARS31" s="541"/>
      <c r="ART31" s="541"/>
      <c r="ARU31" s="541"/>
    </row>
    <row r="32" spans="1:1165" s="658" customFormat="1">
      <c r="A32" s="613" t="s">
        <v>209</v>
      </c>
      <c r="B32" s="578" t="s">
        <v>110</v>
      </c>
      <c r="C32" s="659">
        <f>16415+195</f>
        <v>16610</v>
      </c>
      <c r="D32" s="659">
        <f>17364485+65375</f>
        <v>17429860</v>
      </c>
      <c r="E32" s="581">
        <v>3132</v>
      </c>
      <c r="F32" s="581">
        <v>4751650</v>
      </c>
      <c r="G32" s="581">
        <f>2858+783</f>
        <v>3641</v>
      </c>
      <c r="H32" s="581">
        <f>3240056</f>
        <v>3240056</v>
      </c>
      <c r="I32" s="581">
        <v>3390</v>
      </c>
      <c r="J32" s="581">
        <v>2899106</v>
      </c>
      <c r="K32" s="581">
        <f>3456</f>
        <v>3456</v>
      </c>
      <c r="L32" s="581">
        <f>4228393</f>
        <v>4228393</v>
      </c>
      <c r="M32" s="581">
        <f>3608</f>
        <v>3608</v>
      </c>
      <c r="N32" s="581">
        <f>3348810</f>
        <v>3348810</v>
      </c>
      <c r="O32" s="581">
        <f>3813</f>
        <v>3813</v>
      </c>
      <c r="P32" s="581">
        <f>4152769</f>
        <v>4152769</v>
      </c>
      <c r="Q32" s="581">
        <f>3592</f>
        <v>3592</v>
      </c>
      <c r="R32" s="581">
        <v>4054126</v>
      </c>
      <c r="S32" s="581">
        <v>2910</v>
      </c>
      <c r="T32" s="581">
        <v>4218249</v>
      </c>
      <c r="U32" s="598">
        <v>2679</v>
      </c>
      <c r="V32" s="598">
        <v>6961118</v>
      </c>
      <c r="W32" s="598">
        <v>2279</v>
      </c>
      <c r="X32" s="598">
        <v>5800205</v>
      </c>
      <c r="Y32" s="660">
        <v>5332</v>
      </c>
      <c r="Z32" s="660">
        <v>6165855</v>
      </c>
      <c r="AA32" s="619">
        <v>4540</v>
      </c>
      <c r="AB32" s="579">
        <v>5840246</v>
      </c>
      <c r="AC32" s="581">
        <v>4860</v>
      </c>
      <c r="AD32" s="581">
        <v>5750484</v>
      </c>
      <c r="AE32" s="581">
        <v>4953</v>
      </c>
      <c r="AF32" s="581">
        <v>5870240</v>
      </c>
      <c r="AG32" s="619">
        <v>4341</v>
      </c>
      <c r="AH32" s="619">
        <v>5869879</v>
      </c>
      <c r="AI32" s="619">
        <v>4994</v>
      </c>
      <c r="AJ32" s="619">
        <v>10456176</v>
      </c>
      <c r="AK32" s="661">
        <v>4721</v>
      </c>
      <c r="AL32" s="661">
        <v>7452720</v>
      </c>
      <c r="AM32" s="662">
        <v>4047</v>
      </c>
      <c r="AN32" s="662">
        <v>6874346</v>
      </c>
      <c r="AO32" s="579">
        <v>5805</v>
      </c>
      <c r="AP32" s="579">
        <v>9091853</v>
      </c>
      <c r="AQ32" s="579">
        <v>6451</v>
      </c>
      <c r="AR32" s="579">
        <v>8751183</v>
      </c>
      <c r="AS32" s="579">
        <v>10004</v>
      </c>
      <c r="AT32" s="579">
        <v>21425421</v>
      </c>
      <c r="AU32" s="619">
        <v>10492</v>
      </c>
      <c r="AV32" s="619">
        <v>22290522</v>
      </c>
      <c r="AW32" s="581">
        <v>9870</v>
      </c>
      <c r="AX32" s="581">
        <v>23674725</v>
      </c>
      <c r="AY32" s="581">
        <v>3341</v>
      </c>
      <c r="AZ32" s="581">
        <v>8508256</v>
      </c>
      <c r="BA32" s="664"/>
      <c r="BB32" s="581"/>
      <c r="BC32" s="664"/>
      <c r="BD32" s="581"/>
      <c r="BE32" s="664"/>
      <c r="BF32" s="581"/>
      <c r="BG32" s="581"/>
      <c r="BH32" s="581"/>
      <c r="BI32" s="664"/>
      <c r="BJ32" s="581">
        <f t="shared" ref="BJ32:BJ39" si="2">C32+G32+I32+K32+M32+O32+Q32+S32+U32+W32+Y32+AA32+AC32+AE32+AG32+AI32+AK32+AM32+AO32+AQ32+AS32+AU32+AW32+AY32+BB32+BF32</f>
        <v>129729</v>
      </c>
      <c r="BK32" s="581">
        <f t="shared" ref="BK32:BK40" si="3">D32+H32+J32+L32+N32+P32+R32+T32+V32+X32+Z32+AB32+AD32+AF32+AH32+AJ32+AL32+AN32+AP32+AR32+AT32+AV32+AX32+AZ32+BD32+BH32</f>
        <v>204354598</v>
      </c>
      <c r="BL32" s="541"/>
      <c r="BM32" s="42"/>
      <c r="BN32" s="624"/>
      <c r="BO32" s="624"/>
      <c r="BP32" s="624"/>
      <c r="BQ32" s="624"/>
      <c r="BR32" s="624"/>
      <c r="BS32" s="624"/>
      <c r="BT32" s="624"/>
      <c r="BU32" s="624"/>
      <c r="BV32" s="624"/>
      <c r="BW32" s="624"/>
      <c r="BX32" s="624"/>
      <c r="BY32" s="624"/>
      <c r="BZ32" s="624"/>
      <c r="CA32" s="624"/>
      <c r="CB32" s="624"/>
      <c r="CC32" s="624"/>
      <c r="CD32" s="624"/>
      <c r="CE32" s="624"/>
      <c r="CF32" s="624"/>
      <c r="CG32" s="624"/>
      <c r="CH32" s="624"/>
      <c r="CI32" s="624"/>
      <c r="CJ32" s="624"/>
      <c r="CK32" s="624"/>
      <c r="CL32" s="624"/>
      <c r="CM32" s="624"/>
      <c r="CN32" s="624"/>
      <c r="CO32" s="624"/>
      <c r="CP32" s="624"/>
      <c r="CQ32" s="624"/>
      <c r="CR32" s="624"/>
      <c r="CS32" s="624"/>
      <c r="CT32" s="624"/>
      <c r="CU32" s="624"/>
      <c r="CV32" s="624"/>
      <c r="CW32" s="624"/>
      <c r="CX32" s="624"/>
      <c r="CY32" s="624"/>
      <c r="CZ32" s="624"/>
      <c r="DA32" s="624"/>
      <c r="DB32" s="624"/>
      <c r="DC32" s="624"/>
      <c r="DD32" s="624"/>
      <c r="DE32" s="624"/>
      <c r="DF32" s="624"/>
      <c r="DG32" s="624"/>
      <c r="DH32" s="624"/>
      <c r="DI32" s="624"/>
      <c r="DJ32" s="624"/>
      <c r="DK32" s="624"/>
      <c r="DL32" s="624"/>
      <c r="DM32" s="624"/>
      <c r="DN32" s="624"/>
      <c r="DO32" s="624"/>
      <c r="DP32" s="624"/>
      <c r="DQ32" s="624"/>
      <c r="DR32" s="624"/>
      <c r="DS32" s="624"/>
      <c r="DT32" s="624"/>
      <c r="DU32" s="624"/>
      <c r="DV32" s="624"/>
      <c r="DW32" s="624"/>
      <c r="DX32" s="624"/>
      <c r="DY32" s="624"/>
      <c r="DZ32" s="624"/>
      <c r="EA32" s="624"/>
      <c r="EB32" s="624"/>
      <c r="EC32" s="624"/>
      <c r="ED32" s="624"/>
      <c r="EE32" s="624"/>
      <c r="EF32" s="624"/>
      <c r="EG32" s="624"/>
      <c r="EH32" s="624"/>
      <c r="EI32" s="624"/>
      <c r="EJ32" s="624"/>
      <c r="EK32" s="624"/>
      <c r="EL32" s="624"/>
      <c r="EM32" s="624"/>
      <c r="EN32" s="624"/>
      <c r="EO32" s="624"/>
      <c r="EP32" s="624"/>
      <c r="EQ32" s="624"/>
      <c r="ER32" s="624"/>
      <c r="ES32" s="624"/>
      <c r="ET32" s="624"/>
      <c r="EU32" s="624"/>
      <c r="EV32" s="624"/>
      <c r="EW32" s="624"/>
      <c r="EX32" s="624"/>
      <c r="EY32" s="624"/>
      <c r="EZ32" s="624"/>
      <c r="FA32" s="624"/>
      <c r="FB32" s="624"/>
      <c r="FC32" s="624"/>
      <c r="FD32" s="624"/>
      <c r="FE32" s="624"/>
      <c r="FF32" s="624"/>
      <c r="FG32" s="624"/>
      <c r="FH32" s="624"/>
      <c r="FI32" s="624"/>
      <c r="FJ32" s="624"/>
      <c r="FK32" s="624"/>
      <c r="FL32" s="624"/>
      <c r="FM32" s="624"/>
      <c r="FN32" s="624"/>
      <c r="FO32" s="624"/>
      <c r="FP32" s="624"/>
      <c r="FQ32" s="624"/>
      <c r="FR32" s="624"/>
      <c r="FS32" s="624"/>
      <c r="FT32" s="624"/>
      <c r="FU32" s="624"/>
      <c r="FV32" s="624"/>
      <c r="FW32" s="624"/>
      <c r="FX32" s="624"/>
      <c r="FY32" s="624"/>
      <c r="FZ32" s="624"/>
      <c r="GA32" s="624"/>
      <c r="GB32" s="624"/>
      <c r="GC32" s="624"/>
      <c r="GD32" s="624"/>
      <c r="GE32" s="624"/>
      <c r="GF32" s="624"/>
      <c r="GG32" s="624"/>
      <c r="GH32" s="624"/>
      <c r="GI32" s="624"/>
      <c r="GJ32" s="624"/>
      <c r="GK32" s="624"/>
      <c r="GL32" s="624"/>
      <c r="GM32" s="624"/>
      <c r="GN32" s="624"/>
      <c r="GO32" s="624"/>
      <c r="GP32" s="624"/>
      <c r="GQ32" s="624"/>
      <c r="GR32" s="624"/>
      <c r="GS32" s="624"/>
      <c r="GT32" s="624"/>
      <c r="GU32" s="624"/>
      <c r="GV32" s="624"/>
      <c r="GW32" s="624"/>
      <c r="GX32" s="624"/>
      <c r="GY32" s="624"/>
      <c r="GZ32" s="624"/>
      <c r="HA32" s="541"/>
      <c r="HB32" s="541"/>
      <c r="HC32" s="541"/>
      <c r="HD32" s="541"/>
      <c r="HE32" s="541"/>
      <c r="HF32" s="541"/>
      <c r="HG32" s="541"/>
      <c r="HH32" s="541"/>
      <c r="HI32" s="541"/>
      <c r="HJ32" s="541"/>
      <c r="HK32" s="541"/>
      <c r="HL32" s="541"/>
      <c r="HM32" s="541"/>
      <c r="HN32" s="541"/>
      <c r="HO32" s="541"/>
      <c r="HP32" s="541"/>
      <c r="HQ32" s="541"/>
      <c r="HR32" s="541"/>
      <c r="HS32" s="541"/>
      <c r="HT32" s="541"/>
      <c r="HU32" s="541"/>
      <c r="HV32" s="541"/>
      <c r="HW32" s="541"/>
      <c r="HX32" s="541"/>
      <c r="HY32" s="541"/>
      <c r="HZ32" s="541"/>
      <c r="IA32" s="541"/>
      <c r="IB32" s="541"/>
      <c r="IC32" s="541"/>
      <c r="ID32" s="541"/>
      <c r="IE32" s="541"/>
      <c r="IF32" s="541"/>
      <c r="IG32" s="541"/>
      <c r="IH32" s="541"/>
      <c r="II32" s="541"/>
      <c r="IJ32" s="541"/>
      <c r="IK32" s="541"/>
      <c r="IL32" s="541"/>
      <c r="IM32" s="541"/>
      <c r="IN32" s="541"/>
      <c r="IO32" s="541"/>
      <c r="IP32" s="541"/>
      <c r="IQ32" s="541"/>
      <c r="IR32" s="541"/>
      <c r="IS32" s="541"/>
      <c r="IT32" s="541"/>
      <c r="IU32" s="541"/>
      <c r="IV32" s="541"/>
      <c r="IW32" s="541"/>
      <c r="IX32" s="541"/>
      <c r="IY32" s="541"/>
      <c r="IZ32" s="541"/>
      <c r="JA32" s="541"/>
      <c r="JB32" s="541"/>
      <c r="JC32" s="541"/>
      <c r="JD32" s="541"/>
      <c r="JE32" s="541"/>
      <c r="JF32" s="541"/>
      <c r="JG32" s="541"/>
      <c r="JH32" s="541"/>
      <c r="JI32" s="541"/>
      <c r="JJ32" s="541"/>
      <c r="JK32" s="541"/>
      <c r="JL32" s="541"/>
      <c r="JM32" s="541"/>
      <c r="JN32" s="541"/>
      <c r="JO32" s="541"/>
      <c r="JP32" s="541"/>
      <c r="JQ32" s="541"/>
      <c r="JR32" s="541"/>
      <c r="JS32" s="541"/>
      <c r="JT32" s="541"/>
      <c r="JU32" s="541"/>
      <c r="JV32" s="541"/>
      <c r="JW32" s="541"/>
      <c r="JX32" s="541"/>
      <c r="JY32" s="541"/>
      <c r="JZ32" s="541"/>
      <c r="KA32" s="541"/>
      <c r="KB32" s="541"/>
      <c r="KC32" s="541"/>
      <c r="KD32" s="541"/>
      <c r="KE32" s="541"/>
      <c r="KF32" s="541"/>
      <c r="KG32" s="541"/>
      <c r="KH32" s="541"/>
      <c r="KI32" s="541"/>
      <c r="KJ32" s="541"/>
      <c r="KK32" s="541"/>
      <c r="KL32" s="541"/>
      <c r="KM32" s="541"/>
      <c r="KN32" s="541"/>
      <c r="KO32" s="541"/>
      <c r="KP32" s="541"/>
      <c r="KQ32" s="541"/>
      <c r="KR32" s="541"/>
      <c r="KS32" s="541"/>
      <c r="KT32" s="541"/>
      <c r="KU32" s="541"/>
      <c r="KV32" s="541"/>
      <c r="KW32" s="541"/>
      <c r="KX32" s="541"/>
      <c r="KY32" s="541"/>
      <c r="KZ32" s="541"/>
      <c r="LA32" s="541"/>
      <c r="LB32" s="541"/>
      <c r="LC32" s="541"/>
      <c r="LD32" s="541"/>
      <c r="LE32" s="541"/>
      <c r="LF32" s="541"/>
      <c r="LG32" s="541"/>
      <c r="LH32" s="541"/>
      <c r="LI32" s="541"/>
      <c r="LJ32" s="541"/>
      <c r="LK32" s="541"/>
      <c r="LL32" s="541"/>
      <c r="LM32" s="541"/>
      <c r="LN32" s="541"/>
      <c r="LO32" s="541"/>
      <c r="LP32" s="541"/>
      <c r="LQ32" s="541"/>
      <c r="LR32" s="541"/>
      <c r="LS32" s="541"/>
      <c r="LT32" s="541"/>
      <c r="LU32" s="541"/>
      <c r="LV32" s="541"/>
      <c r="LW32" s="541"/>
      <c r="LX32" s="541"/>
      <c r="LY32" s="541"/>
      <c r="LZ32" s="541"/>
      <c r="MA32" s="541"/>
      <c r="MB32" s="541"/>
      <c r="MC32" s="541"/>
      <c r="MD32" s="541"/>
      <c r="ME32" s="541"/>
      <c r="MF32" s="541"/>
      <c r="MG32" s="541"/>
      <c r="MH32" s="541"/>
      <c r="MI32" s="541"/>
      <c r="MJ32" s="541"/>
      <c r="MK32" s="541"/>
      <c r="ML32" s="541"/>
      <c r="MM32" s="541"/>
      <c r="MN32" s="541"/>
      <c r="MO32" s="541"/>
      <c r="MP32" s="541"/>
      <c r="MQ32" s="541"/>
      <c r="MR32" s="541"/>
      <c r="MS32" s="541"/>
      <c r="MT32" s="541"/>
      <c r="MU32" s="541"/>
      <c r="MV32" s="541"/>
      <c r="MW32" s="541"/>
      <c r="MX32" s="541"/>
      <c r="MY32" s="541"/>
      <c r="MZ32" s="541"/>
      <c r="NA32" s="541"/>
      <c r="NB32" s="541"/>
      <c r="NC32" s="541"/>
      <c r="ND32" s="541"/>
      <c r="NE32" s="541"/>
      <c r="NF32" s="541"/>
      <c r="NG32" s="541"/>
      <c r="NH32" s="541"/>
      <c r="NI32" s="541"/>
      <c r="NJ32" s="541"/>
      <c r="NK32" s="541"/>
      <c r="NL32" s="541"/>
      <c r="NM32" s="541"/>
      <c r="NN32" s="541"/>
      <c r="NO32" s="541"/>
      <c r="NP32" s="541"/>
      <c r="NQ32" s="541"/>
      <c r="NR32" s="541"/>
      <c r="NS32" s="541"/>
      <c r="NT32" s="541"/>
      <c r="NU32" s="541"/>
      <c r="NV32" s="541"/>
      <c r="NW32" s="541"/>
      <c r="NX32" s="541"/>
      <c r="NY32" s="541"/>
      <c r="NZ32" s="541"/>
      <c r="OA32" s="541"/>
      <c r="OB32" s="541"/>
      <c r="OC32" s="541"/>
      <c r="OD32" s="541"/>
      <c r="OE32" s="541"/>
      <c r="OF32" s="541"/>
      <c r="OG32" s="541"/>
      <c r="OH32" s="541"/>
      <c r="OI32" s="541"/>
      <c r="OJ32" s="541"/>
      <c r="OK32" s="541"/>
      <c r="OL32" s="541"/>
      <c r="OM32" s="541"/>
      <c r="ON32" s="541"/>
      <c r="OO32" s="541"/>
      <c r="OP32" s="541"/>
      <c r="OQ32" s="541"/>
      <c r="OR32" s="541"/>
      <c r="OS32" s="541"/>
      <c r="OT32" s="541"/>
      <c r="OU32" s="541"/>
      <c r="OV32" s="541"/>
      <c r="OW32" s="541"/>
      <c r="OX32" s="541"/>
      <c r="OY32" s="541"/>
      <c r="OZ32" s="541"/>
      <c r="PA32" s="541"/>
      <c r="PB32" s="541"/>
      <c r="PC32" s="541"/>
      <c r="PD32" s="541"/>
      <c r="PE32" s="541"/>
      <c r="PF32" s="541"/>
      <c r="PG32" s="541"/>
      <c r="PH32" s="541"/>
      <c r="PI32" s="541"/>
      <c r="PJ32" s="541"/>
      <c r="PK32" s="541"/>
      <c r="PL32" s="541"/>
      <c r="PM32" s="541"/>
      <c r="PN32" s="541"/>
      <c r="PO32" s="541"/>
      <c r="PP32" s="541"/>
      <c r="PQ32" s="541"/>
      <c r="PR32" s="541"/>
      <c r="PS32" s="541"/>
      <c r="PT32" s="541"/>
      <c r="PU32" s="541"/>
      <c r="PV32" s="541"/>
      <c r="PW32" s="541"/>
      <c r="PX32" s="541"/>
      <c r="PY32" s="541"/>
      <c r="PZ32" s="541"/>
      <c r="QA32" s="541"/>
      <c r="QB32" s="541"/>
      <c r="QC32" s="541"/>
      <c r="QD32" s="541"/>
      <c r="QE32" s="541"/>
      <c r="QF32" s="541"/>
      <c r="QG32" s="541"/>
      <c r="QH32" s="541"/>
      <c r="QI32" s="541"/>
      <c r="QJ32" s="541"/>
      <c r="QK32" s="541"/>
      <c r="QL32" s="541"/>
      <c r="QM32" s="541"/>
      <c r="QN32" s="541"/>
      <c r="QO32" s="541"/>
      <c r="QP32" s="541"/>
      <c r="QQ32" s="541"/>
      <c r="QR32" s="541"/>
      <c r="QS32" s="541"/>
      <c r="QT32" s="541"/>
      <c r="QU32" s="541"/>
      <c r="QV32" s="541"/>
      <c r="QW32" s="541"/>
      <c r="QX32" s="541"/>
      <c r="QY32" s="541"/>
      <c r="QZ32" s="541"/>
      <c r="RA32" s="541"/>
      <c r="RB32" s="541"/>
      <c r="RC32" s="541"/>
      <c r="RD32" s="541"/>
      <c r="RE32" s="541"/>
      <c r="RF32" s="541"/>
      <c r="RG32" s="541"/>
      <c r="RH32" s="541"/>
      <c r="RI32" s="541"/>
      <c r="RJ32" s="541"/>
      <c r="RK32" s="541"/>
      <c r="RL32" s="541"/>
      <c r="RM32" s="541"/>
      <c r="RN32" s="541"/>
      <c r="RO32" s="541"/>
      <c r="RP32" s="541"/>
      <c r="RQ32" s="541"/>
      <c r="RR32" s="541"/>
      <c r="RS32" s="541"/>
      <c r="RT32" s="541"/>
      <c r="RU32" s="541"/>
      <c r="RV32" s="541"/>
      <c r="RW32" s="541"/>
      <c r="RX32" s="541"/>
      <c r="RY32" s="541"/>
      <c r="RZ32" s="541"/>
      <c r="SA32" s="541"/>
      <c r="SB32" s="541"/>
      <c r="SC32" s="541"/>
      <c r="SD32" s="541"/>
      <c r="SE32" s="541"/>
      <c r="SF32" s="541"/>
      <c r="SG32" s="541"/>
      <c r="SH32" s="541"/>
      <c r="SI32" s="541"/>
      <c r="SJ32" s="541"/>
      <c r="SK32" s="541"/>
      <c r="SL32" s="541"/>
      <c r="SM32" s="541"/>
      <c r="SN32" s="541"/>
      <c r="SO32" s="541"/>
      <c r="SP32" s="541"/>
      <c r="SQ32" s="541"/>
      <c r="SR32" s="541"/>
      <c r="SS32" s="541"/>
      <c r="ST32" s="541"/>
      <c r="SU32" s="541"/>
      <c r="SV32" s="541"/>
      <c r="SW32" s="541"/>
      <c r="SX32" s="541"/>
      <c r="SY32" s="541"/>
      <c r="SZ32" s="541"/>
      <c r="TA32" s="541"/>
      <c r="TB32" s="541"/>
      <c r="TC32" s="541"/>
      <c r="TD32" s="541"/>
      <c r="TE32" s="541"/>
      <c r="TF32" s="541"/>
      <c r="TG32" s="541"/>
      <c r="TH32" s="541"/>
      <c r="TI32" s="541"/>
      <c r="TJ32" s="541"/>
      <c r="TK32" s="541"/>
      <c r="TL32" s="541"/>
      <c r="TM32" s="541"/>
      <c r="TN32" s="541"/>
      <c r="TO32" s="541"/>
      <c r="TP32" s="541"/>
      <c r="TQ32" s="541"/>
      <c r="TR32" s="541"/>
      <c r="TS32" s="541"/>
      <c r="TT32" s="541"/>
      <c r="TU32" s="541"/>
      <c r="TV32" s="541"/>
      <c r="TW32" s="541"/>
      <c r="TX32" s="541"/>
      <c r="TY32" s="541"/>
      <c r="TZ32" s="541"/>
      <c r="UA32" s="541"/>
      <c r="UB32" s="541"/>
      <c r="UC32" s="541"/>
      <c r="UD32" s="541"/>
      <c r="UE32" s="541"/>
      <c r="UF32" s="541"/>
      <c r="UG32" s="541"/>
      <c r="UH32" s="541"/>
      <c r="UI32" s="541"/>
      <c r="UJ32" s="541"/>
      <c r="UK32" s="541"/>
      <c r="UL32" s="541"/>
      <c r="UM32" s="541"/>
      <c r="UN32" s="541"/>
      <c r="UO32" s="541"/>
      <c r="UP32" s="541"/>
      <c r="UQ32" s="541"/>
      <c r="UR32" s="541"/>
      <c r="US32" s="541"/>
      <c r="UT32" s="541"/>
      <c r="UU32" s="541"/>
      <c r="UV32" s="541"/>
      <c r="UW32" s="541"/>
      <c r="UX32" s="541"/>
      <c r="UY32" s="541"/>
      <c r="UZ32" s="541"/>
      <c r="VA32" s="541"/>
      <c r="VB32" s="541"/>
      <c r="VC32" s="541"/>
      <c r="VD32" s="541"/>
      <c r="VE32" s="541"/>
      <c r="VF32" s="541"/>
      <c r="VG32" s="541"/>
      <c r="VH32" s="541"/>
      <c r="VI32" s="541"/>
      <c r="VJ32" s="541"/>
      <c r="VK32" s="541"/>
      <c r="VL32" s="541"/>
      <c r="VM32" s="541"/>
      <c r="VN32" s="541"/>
      <c r="VO32" s="541"/>
      <c r="VP32" s="541"/>
      <c r="VQ32" s="541"/>
      <c r="VR32" s="541"/>
      <c r="VS32" s="541"/>
      <c r="VT32" s="541"/>
      <c r="VU32" s="541"/>
      <c r="VV32" s="541"/>
      <c r="VW32" s="541"/>
      <c r="VX32" s="541"/>
      <c r="VY32" s="541"/>
      <c r="VZ32" s="541"/>
      <c r="WA32" s="541"/>
      <c r="WB32" s="541"/>
      <c r="WC32" s="541"/>
      <c r="WD32" s="541"/>
      <c r="WE32" s="541"/>
      <c r="WF32" s="541"/>
      <c r="WG32" s="541"/>
      <c r="WH32" s="541"/>
      <c r="WI32" s="541"/>
      <c r="WJ32" s="541"/>
      <c r="WK32" s="541"/>
      <c r="WL32" s="541"/>
      <c r="WM32" s="541"/>
      <c r="WN32" s="541"/>
      <c r="WO32" s="541"/>
      <c r="WP32" s="541"/>
      <c r="WQ32" s="541"/>
      <c r="WR32" s="541"/>
      <c r="WS32" s="541"/>
      <c r="WT32" s="541"/>
      <c r="WU32" s="541"/>
      <c r="WV32" s="541"/>
      <c r="WW32" s="541"/>
      <c r="WX32" s="541"/>
      <c r="WY32" s="541"/>
      <c r="WZ32" s="541"/>
      <c r="XA32" s="541"/>
      <c r="XB32" s="541"/>
      <c r="XC32" s="541"/>
      <c r="XD32" s="541"/>
      <c r="XE32" s="541"/>
      <c r="XF32" s="541"/>
      <c r="XG32" s="541"/>
      <c r="XH32" s="541"/>
      <c r="XI32" s="541"/>
      <c r="XJ32" s="541"/>
      <c r="XK32" s="541"/>
      <c r="XL32" s="541"/>
      <c r="XM32" s="541"/>
      <c r="XN32" s="541"/>
      <c r="XO32" s="541"/>
      <c r="XP32" s="541"/>
      <c r="XQ32" s="541"/>
      <c r="XR32" s="541"/>
      <c r="XS32" s="541"/>
      <c r="XT32" s="541"/>
      <c r="XU32" s="541"/>
      <c r="XV32" s="541"/>
      <c r="XW32" s="541"/>
      <c r="XX32" s="541"/>
      <c r="XY32" s="541"/>
      <c r="XZ32" s="541"/>
      <c r="YA32" s="541"/>
      <c r="YB32" s="541"/>
      <c r="YC32" s="541"/>
      <c r="YD32" s="541"/>
      <c r="YE32" s="541"/>
      <c r="YF32" s="541"/>
      <c r="YG32" s="541"/>
      <c r="YH32" s="541"/>
      <c r="YI32" s="541"/>
      <c r="YJ32" s="541"/>
      <c r="YK32" s="541"/>
      <c r="YL32" s="541"/>
      <c r="YM32" s="541"/>
      <c r="YN32" s="541"/>
      <c r="YO32" s="541"/>
      <c r="YP32" s="541"/>
      <c r="YQ32" s="541"/>
      <c r="YR32" s="541"/>
      <c r="YS32" s="541"/>
      <c r="YT32" s="541"/>
      <c r="YU32" s="541"/>
      <c r="YV32" s="541"/>
      <c r="YW32" s="541"/>
      <c r="YX32" s="541"/>
      <c r="YY32" s="541"/>
      <c r="YZ32" s="541"/>
      <c r="ZA32" s="541"/>
      <c r="ZB32" s="541"/>
      <c r="ZC32" s="541"/>
      <c r="ZD32" s="541"/>
      <c r="ZE32" s="541"/>
      <c r="ZF32" s="541"/>
      <c r="ZG32" s="541"/>
      <c r="ZH32" s="541"/>
      <c r="ZI32" s="541"/>
      <c r="ZJ32" s="541"/>
      <c r="ZK32" s="541"/>
      <c r="ZL32" s="541"/>
      <c r="ZM32" s="541"/>
      <c r="ZN32" s="541"/>
      <c r="ZO32" s="541"/>
      <c r="ZP32" s="541"/>
      <c r="ZQ32" s="541"/>
      <c r="ZR32" s="541"/>
      <c r="ZS32" s="541"/>
      <c r="ZT32" s="541"/>
      <c r="ZU32" s="541"/>
      <c r="ZV32" s="541"/>
      <c r="ZW32" s="541"/>
      <c r="ZX32" s="541"/>
      <c r="ZY32" s="541"/>
      <c r="ZZ32" s="541"/>
      <c r="AAA32" s="541"/>
      <c r="AAB32" s="541"/>
      <c r="AAC32" s="541"/>
      <c r="AAD32" s="541"/>
      <c r="AAE32" s="541"/>
      <c r="AAF32" s="541"/>
      <c r="AAG32" s="541"/>
      <c r="AAH32" s="541"/>
      <c r="AAI32" s="541"/>
      <c r="AAJ32" s="541"/>
      <c r="AAK32" s="541"/>
      <c r="AAL32" s="541"/>
      <c r="AAM32" s="541"/>
      <c r="AAN32" s="541"/>
      <c r="AAO32" s="541"/>
      <c r="AAP32" s="541"/>
      <c r="AAQ32" s="541"/>
      <c r="AAR32" s="541"/>
      <c r="AAS32" s="541"/>
      <c r="AAT32" s="541"/>
      <c r="AAU32" s="541"/>
      <c r="AAV32" s="541"/>
      <c r="AAW32" s="541"/>
      <c r="AAX32" s="541"/>
      <c r="AAY32" s="541"/>
      <c r="AAZ32" s="541"/>
      <c r="ABA32" s="541"/>
      <c r="ABB32" s="541"/>
      <c r="ABC32" s="541"/>
      <c r="ABD32" s="541"/>
      <c r="ABE32" s="541"/>
      <c r="ABF32" s="541"/>
      <c r="ABG32" s="541"/>
      <c r="ABH32" s="541"/>
      <c r="ABI32" s="541"/>
      <c r="ABJ32" s="541"/>
      <c r="ABK32" s="541"/>
      <c r="ABL32" s="541"/>
      <c r="ABM32" s="541"/>
      <c r="ABN32" s="541"/>
      <c r="ABO32" s="541"/>
      <c r="ABP32" s="541"/>
      <c r="ABQ32" s="541"/>
      <c r="ABR32" s="541"/>
      <c r="ABS32" s="541"/>
      <c r="ABT32" s="541"/>
      <c r="ABU32" s="541"/>
      <c r="ABV32" s="541"/>
      <c r="ABW32" s="541"/>
      <c r="ABX32" s="541"/>
      <c r="ABY32" s="541"/>
      <c r="ABZ32" s="541"/>
      <c r="ACA32" s="541"/>
      <c r="ACB32" s="541"/>
      <c r="ACC32" s="541"/>
      <c r="ACD32" s="541"/>
      <c r="ACE32" s="541"/>
      <c r="ACF32" s="541"/>
      <c r="ACG32" s="541"/>
      <c r="ACH32" s="541"/>
      <c r="ACI32" s="541"/>
      <c r="ACJ32" s="541"/>
      <c r="ACK32" s="541"/>
      <c r="ACL32" s="541"/>
      <c r="ACM32" s="541"/>
      <c r="ACN32" s="541"/>
      <c r="ACO32" s="541"/>
      <c r="ACP32" s="541"/>
      <c r="ACQ32" s="541"/>
      <c r="ACR32" s="541"/>
      <c r="ACS32" s="541"/>
      <c r="ACT32" s="541"/>
      <c r="ACU32" s="541"/>
      <c r="ACV32" s="541"/>
      <c r="ACW32" s="541"/>
      <c r="ACX32" s="541"/>
      <c r="ACY32" s="541"/>
      <c r="ACZ32" s="541"/>
      <c r="ADA32" s="541"/>
      <c r="ADB32" s="541"/>
      <c r="ADC32" s="541"/>
      <c r="ADD32" s="541"/>
      <c r="ADE32" s="541"/>
      <c r="ADF32" s="541"/>
      <c r="ADG32" s="541"/>
      <c r="ADH32" s="541"/>
      <c r="ADI32" s="541"/>
      <c r="ADJ32" s="541"/>
      <c r="ADK32" s="541"/>
      <c r="ADL32" s="541"/>
      <c r="ADM32" s="541"/>
      <c r="ADN32" s="541"/>
      <c r="ADO32" s="541"/>
      <c r="ADP32" s="541"/>
      <c r="ADQ32" s="541"/>
      <c r="ADR32" s="541"/>
      <c r="ADS32" s="541"/>
      <c r="ADT32" s="541"/>
      <c r="ADU32" s="541"/>
      <c r="ADV32" s="541"/>
      <c r="ADW32" s="541"/>
      <c r="ADX32" s="541"/>
      <c r="ADY32" s="541"/>
      <c r="ADZ32" s="541"/>
      <c r="AEA32" s="541"/>
      <c r="AEB32" s="541"/>
      <c r="AEC32" s="541"/>
      <c r="AED32" s="541"/>
      <c r="AEE32" s="541"/>
      <c r="AEF32" s="541"/>
      <c r="AEG32" s="541"/>
      <c r="AEH32" s="541"/>
      <c r="AEI32" s="541"/>
      <c r="AEJ32" s="541"/>
      <c r="AEK32" s="541"/>
      <c r="AEL32" s="541"/>
      <c r="AEM32" s="541"/>
      <c r="AEN32" s="541"/>
      <c r="AEO32" s="541"/>
      <c r="AEP32" s="541"/>
      <c r="AEQ32" s="541"/>
      <c r="AER32" s="541"/>
      <c r="AES32" s="541"/>
      <c r="AET32" s="541"/>
      <c r="AEU32" s="541"/>
      <c r="AEV32" s="541"/>
      <c r="AEW32" s="541"/>
      <c r="AEX32" s="541"/>
      <c r="AEY32" s="541"/>
      <c r="AEZ32" s="541"/>
      <c r="AFA32" s="541"/>
      <c r="AFB32" s="541"/>
      <c r="AFC32" s="541"/>
      <c r="AFD32" s="541"/>
      <c r="AFE32" s="541"/>
      <c r="AFF32" s="541"/>
      <c r="AFG32" s="541"/>
      <c r="AFH32" s="541"/>
      <c r="AFI32" s="541"/>
      <c r="AFJ32" s="541"/>
      <c r="AFK32" s="541"/>
      <c r="AFL32" s="541"/>
      <c r="AFM32" s="541"/>
      <c r="AFN32" s="541"/>
      <c r="AFO32" s="541"/>
      <c r="AFP32" s="541"/>
      <c r="AFQ32" s="541"/>
      <c r="AFR32" s="541"/>
      <c r="AFS32" s="541"/>
      <c r="AFT32" s="541"/>
      <c r="AFU32" s="541"/>
      <c r="AFV32" s="541"/>
      <c r="AFW32" s="541"/>
      <c r="AFX32" s="541"/>
      <c r="AFY32" s="541"/>
      <c r="AFZ32" s="541"/>
      <c r="AGA32" s="541"/>
      <c r="AGB32" s="541"/>
      <c r="AGC32" s="541"/>
      <c r="AGD32" s="541"/>
      <c r="AGE32" s="541"/>
      <c r="AGF32" s="541"/>
      <c r="AGG32" s="541"/>
      <c r="AGH32" s="541"/>
      <c r="AGI32" s="541"/>
      <c r="AGJ32" s="541"/>
      <c r="AGK32" s="541"/>
      <c r="AGL32" s="541"/>
      <c r="AGM32" s="541"/>
      <c r="AGN32" s="541"/>
      <c r="AGO32" s="541"/>
      <c r="AGP32" s="541"/>
      <c r="AGQ32" s="541"/>
      <c r="AGR32" s="541"/>
      <c r="AGS32" s="541"/>
      <c r="AGT32" s="541"/>
      <c r="AGU32" s="541"/>
      <c r="AGV32" s="541"/>
      <c r="AGW32" s="541"/>
      <c r="AGX32" s="541"/>
      <c r="AGY32" s="541"/>
      <c r="AGZ32" s="541"/>
      <c r="AHA32" s="541"/>
      <c r="AHB32" s="541"/>
      <c r="AHC32" s="541"/>
      <c r="AHD32" s="541"/>
      <c r="AHE32" s="541"/>
      <c r="AHF32" s="541"/>
      <c r="AHG32" s="541"/>
      <c r="AHH32" s="541"/>
      <c r="AHI32" s="541"/>
      <c r="AHJ32" s="541"/>
      <c r="AHK32" s="541"/>
      <c r="AHL32" s="541"/>
      <c r="AHM32" s="541"/>
      <c r="AHN32" s="541"/>
      <c r="AHO32" s="541"/>
      <c r="AHP32" s="541"/>
      <c r="AHQ32" s="541"/>
      <c r="AHR32" s="541"/>
      <c r="AHS32" s="541"/>
      <c r="AHT32" s="541"/>
      <c r="AHU32" s="541"/>
      <c r="AHV32" s="541"/>
      <c r="AHW32" s="541"/>
      <c r="AHX32" s="541"/>
      <c r="AHY32" s="541"/>
      <c r="AHZ32" s="541"/>
      <c r="AIA32" s="541"/>
      <c r="AIB32" s="541"/>
      <c r="AIC32" s="541"/>
      <c r="AID32" s="541"/>
      <c r="AIE32" s="541"/>
      <c r="AIF32" s="541"/>
      <c r="AIG32" s="541"/>
      <c r="AIH32" s="541"/>
      <c r="AII32" s="541"/>
      <c r="AIJ32" s="541"/>
      <c r="AIK32" s="541"/>
      <c r="AIL32" s="541"/>
      <c r="AIM32" s="541"/>
      <c r="AIN32" s="541"/>
      <c r="AIO32" s="541"/>
      <c r="AIP32" s="541"/>
      <c r="AIQ32" s="541"/>
      <c r="AIR32" s="541"/>
      <c r="AIS32" s="541"/>
      <c r="AIT32" s="541"/>
      <c r="AIU32" s="541"/>
      <c r="AIV32" s="541"/>
      <c r="AIW32" s="541"/>
      <c r="AIX32" s="541"/>
      <c r="AIY32" s="541"/>
      <c r="AIZ32" s="541"/>
      <c r="AJA32" s="541"/>
      <c r="AJB32" s="541"/>
      <c r="AJC32" s="541"/>
      <c r="AJD32" s="541"/>
      <c r="AJE32" s="541"/>
      <c r="AJF32" s="541"/>
      <c r="AJG32" s="541"/>
      <c r="AJH32" s="541"/>
      <c r="AJI32" s="541"/>
      <c r="AJJ32" s="541"/>
      <c r="AJK32" s="541"/>
      <c r="AJL32" s="541"/>
      <c r="AJM32" s="541"/>
      <c r="AJN32" s="541"/>
      <c r="AJO32" s="541"/>
      <c r="AJP32" s="541"/>
      <c r="AJQ32" s="541"/>
      <c r="AJR32" s="541"/>
      <c r="AJS32" s="541"/>
      <c r="AJT32" s="541"/>
      <c r="AJU32" s="541"/>
      <c r="AJV32" s="541"/>
      <c r="AJW32" s="541"/>
      <c r="AJX32" s="541"/>
      <c r="AJY32" s="541"/>
      <c r="AJZ32" s="541"/>
      <c r="AKA32" s="541"/>
      <c r="AKB32" s="541"/>
      <c r="AKC32" s="541"/>
      <c r="AKD32" s="541"/>
      <c r="AKE32" s="541"/>
      <c r="AKF32" s="541"/>
      <c r="AKG32" s="541"/>
      <c r="AKH32" s="541"/>
      <c r="AKI32" s="541"/>
      <c r="AKJ32" s="541"/>
      <c r="AKK32" s="541"/>
      <c r="AKL32" s="541"/>
      <c r="AKM32" s="541"/>
      <c r="AKN32" s="541"/>
      <c r="AKO32" s="541"/>
      <c r="AKP32" s="541"/>
      <c r="AKQ32" s="541"/>
      <c r="AKR32" s="541"/>
      <c r="AKS32" s="541"/>
      <c r="AKT32" s="541"/>
      <c r="AKU32" s="541"/>
      <c r="AKV32" s="541"/>
      <c r="AKW32" s="541"/>
      <c r="AKX32" s="541"/>
      <c r="AKY32" s="541"/>
      <c r="AKZ32" s="541"/>
      <c r="ALA32" s="541"/>
      <c r="ALB32" s="541"/>
      <c r="ALC32" s="541"/>
      <c r="ALD32" s="541"/>
      <c r="ALE32" s="541"/>
      <c r="ALF32" s="541"/>
      <c r="ALG32" s="541"/>
      <c r="ALH32" s="541"/>
      <c r="ALI32" s="541"/>
      <c r="ALJ32" s="541"/>
      <c r="ALK32" s="541"/>
      <c r="ALL32" s="541"/>
      <c r="ALM32" s="541"/>
      <c r="ALN32" s="541"/>
      <c r="ALO32" s="541"/>
      <c r="ALP32" s="541"/>
      <c r="ALQ32" s="541"/>
      <c r="ALR32" s="541"/>
      <c r="ALS32" s="541"/>
      <c r="ALT32" s="541"/>
      <c r="ALU32" s="541"/>
      <c r="ALV32" s="541"/>
      <c r="ALW32" s="541"/>
      <c r="ALX32" s="541"/>
      <c r="ALY32" s="541"/>
      <c r="ALZ32" s="541"/>
      <c r="AMA32" s="541"/>
      <c r="AMB32" s="541"/>
      <c r="AMC32" s="541"/>
      <c r="AMD32" s="541"/>
      <c r="AME32" s="541"/>
      <c r="AMF32" s="541"/>
      <c r="AMG32" s="541"/>
      <c r="AMH32" s="541"/>
      <c r="AMI32" s="541"/>
      <c r="AMJ32" s="541"/>
      <c r="AMK32" s="541"/>
      <c r="AML32" s="541"/>
      <c r="AMM32" s="541"/>
      <c r="AMN32" s="541"/>
      <c r="AMO32" s="541"/>
      <c r="AMP32" s="541"/>
      <c r="AMQ32" s="541"/>
      <c r="AMR32" s="541"/>
      <c r="AMS32" s="541"/>
      <c r="AMT32" s="541"/>
      <c r="AMU32" s="541"/>
      <c r="AMV32" s="541"/>
      <c r="AMW32" s="541"/>
      <c r="AMX32" s="541"/>
      <c r="AMY32" s="541"/>
      <c r="AMZ32" s="541"/>
      <c r="ANA32" s="541"/>
      <c r="ANB32" s="541"/>
      <c r="ANC32" s="541"/>
      <c r="AND32" s="541"/>
      <c r="ANE32" s="541"/>
      <c r="ANF32" s="541"/>
      <c r="ANG32" s="541"/>
      <c r="ANH32" s="541"/>
      <c r="ANI32" s="541"/>
      <c r="ANJ32" s="541"/>
      <c r="ANK32" s="541"/>
      <c r="ANL32" s="541"/>
      <c r="ANM32" s="541"/>
      <c r="ANN32" s="541"/>
      <c r="ANO32" s="541"/>
      <c r="ANP32" s="541"/>
      <c r="ANQ32" s="541"/>
      <c r="ANR32" s="541"/>
      <c r="ANS32" s="541"/>
      <c r="ANT32" s="541"/>
      <c r="ANU32" s="541"/>
      <c r="ANV32" s="541"/>
      <c r="ANW32" s="541"/>
      <c r="ANX32" s="541"/>
      <c r="ANY32" s="541"/>
      <c r="ANZ32" s="541"/>
      <c r="AOA32" s="541"/>
      <c r="AOB32" s="541"/>
      <c r="AOC32" s="541"/>
      <c r="AOD32" s="541"/>
      <c r="AOE32" s="541"/>
      <c r="AOF32" s="541"/>
      <c r="AOG32" s="541"/>
      <c r="AOH32" s="541"/>
      <c r="AOI32" s="541"/>
      <c r="AOJ32" s="541"/>
      <c r="AOK32" s="541"/>
      <c r="AOL32" s="541"/>
      <c r="AOM32" s="541"/>
      <c r="AON32" s="541"/>
      <c r="AOO32" s="541"/>
      <c r="AOP32" s="541"/>
      <c r="AOQ32" s="541"/>
      <c r="AOR32" s="541"/>
      <c r="AOS32" s="541"/>
      <c r="AOT32" s="541"/>
      <c r="AOU32" s="541"/>
      <c r="AOV32" s="541"/>
      <c r="AOW32" s="541"/>
      <c r="AOX32" s="541"/>
      <c r="AOY32" s="541"/>
      <c r="AOZ32" s="541"/>
      <c r="APA32" s="541"/>
      <c r="APB32" s="541"/>
      <c r="APC32" s="541"/>
      <c r="APD32" s="541"/>
      <c r="APE32" s="541"/>
      <c r="APF32" s="541"/>
      <c r="APG32" s="541"/>
      <c r="APH32" s="541"/>
      <c r="API32" s="541"/>
      <c r="APJ32" s="541"/>
      <c r="APK32" s="541"/>
      <c r="APL32" s="541"/>
      <c r="APM32" s="541"/>
      <c r="APN32" s="541"/>
      <c r="APO32" s="541"/>
      <c r="APP32" s="541"/>
      <c r="APQ32" s="541"/>
      <c r="APR32" s="541"/>
      <c r="APS32" s="541"/>
      <c r="APT32" s="541"/>
      <c r="APU32" s="541"/>
      <c r="APV32" s="541"/>
      <c r="APW32" s="541"/>
      <c r="APX32" s="541"/>
      <c r="APY32" s="541"/>
      <c r="APZ32" s="541"/>
      <c r="AQA32" s="541"/>
      <c r="AQB32" s="541"/>
      <c r="AQC32" s="541"/>
      <c r="AQD32" s="541"/>
      <c r="AQE32" s="541"/>
      <c r="AQF32" s="541"/>
      <c r="AQG32" s="541"/>
      <c r="AQH32" s="541"/>
      <c r="AQI32" s="541"/>
      <c r="AQJ32" s="541"/>
      <c r="AQK32" s="541"/>
      <c r="AQL32" s="541"/>
      <c r="AQM32" s="541"/>
      <c r="AQN32" s="541"/>
      <c r="AQO32" s="541"/>
      <c r="AQP32" s="541"/>
      <c r="AQQ32" s="541"/>
      <c r="AQR32" s="541"/>
      <c r="AQS32" s="541"/>
      <c r="AQT32" s="541"/>
      <c r="AQU32" s="541"/>
      <c r="AQV32" s="541"/>
      <c r="AQW32" s="541"/>
      <c r="AQX32" s="541"/>
      <c r="AQY32" s="541"/>
      <c r="AQZ32" s="541"/>
      <c r="ARA32" s="541"/>
      <c r="ARB32" s="541"/>
      <c r="ARC32" s="541"/>
      <c r="ARD32" s="541"/>
      <c r="ARE32" s="541"/>
      <c r="ARF32" s="541"/>
      <c r="ARG32" s="541"/>
      <c r="ARH32" s="541"/>
      <c r="ARI32" s="541"/>
      <c r="ARJ32" s="541"/>
      <c r="ARK32" s="541"/>
      <c r="ARL32" s="541"/>
      <c r="ARM32" s="541"/>
      <c r="ARN32" s="541"/>
      <c r="ARO32" s="541"/>
      <c r="ARP32" s="541"/>
      <c r="ARQ32" s="541"/>
      <c r="ARR32" s="541"/>
      <c r="ARS32" s="541"/>
      <c r="ART32" s="541"/>
      <c r="ARU32" s="541"/>
    </row>
    <row r="33" spans="1:1164" s="658" customFormat="1">
      <c r="A33" s="613" t="s">
        <v>210</v>
      </c>
      <c r="B33" s="578" t="s">
        <v>110</v>
      </c>
      <c r="C33" s="581">
        <v>0</v>
      </c>
      <c r="D33" s="581">
        <v>0</v>
      </c>
      <c r="E33" s="581">
        <v>0</v>
      </c>
      <c r="F33" s="581">
        <v>0</v>
      </c>
      <c r="G33" s="581">
        <v>0</v>
      </c>
      <c r="H33" s="581">
        <v>0</v>
      </c>
      <c r="I33" s="581">
        <v>0</v>
      </c>
      <c r="J33" s="581">
        <v>0</v>
      </c>
      <c r="K33" s="581">
        <v>0</v>
      </c>
      <c r="L33" s="581">
        <v>0</v>
      </c>
      <c r="M33" s="581">
        <v>0</v>
      </c>
      <c r="N33" s="581">
        <v>0</v>
      </c>
      <c r="O33" s="581">
        <v>0</v>
      </c>
      <c r="P33" s="581">
        <v>0</v>
      </c>
      <c r="Q33" s="581">
        <v>0</v>
      </c>
      <c r="R33" s="581">
        <v>0</v>
      </c>
      <c r="S33" s="581">
        <v>0</v>
      </c>
      <c r="T33" s="581">
        <v>0</v>
      </c>
      <c r="U33" s="581">
        <v>0</v>
      </c>
      <c r="V33" s="581">
        <v>0</v>
      </c>
      <c r="W33" s="581">
        <v>0</v>
      </c>
      <c r="X33" s="581">
        <v>0</v>
      </c>
      <c r="Y33" s="581">
        <v>0</v>
      </c>
      <c r="Z33" s="581">
        <v>0</v>
      </c>
      <c r="AA33" s="581">
        <v>0</v>
      </c>
      <c r="AB33" s="581">
        <v>0</v>
      </c>
      <c r="AC33" s="581">
        <v>0</v>
      </c>
      <c r="AD33" s="581">
        <v>0</v>
      </c>
      <c r="AE33" s="581">
        <v>0</v>
      </c>
      <c r="AF33" s="581">
        <v>0</v>
      </c>
      <c r="AG33" s="619">
        <v>7141</v>
      </c>
      <c r="AH33" s="619">
        <v>21959501</v>
      </c>
      <c r="AI33" s="619">
        <v>9256</v>
      </c>
      <c r="AJ33" s="619">
        <v>36278940</v>
      </c>
      <c r="AK33" s="661">
        <v>10471</v>
      </c>
      <c r="AL33" s="661">
        <v>30099601</v>
      </c>
      <c r="AM33" s="662">
        <v>8662</v>
      </c>
      <c r="AN33" s="662">
        <v>29743489</v>
      </c>
      <c r="AO33" s="579">
        <v>15060</v>
      </c>
      <c r="AP33" s="579">
        <v>38846037</v>
      </c>
      <c r="AQ33" s="579">
        <v>14369</v>
      </c>
      <c r="AR33" s="579">
        <v>33449342</v>
      </c>
      <c r="AS33" s="579">
        <v>18296</v>
      </c>
      <c r="AT33" s="579">
        <v>52591394</v>
      </c>
      <c r="AU33" s="619">
        <v>22461</v>
      </c>
      <c r="AV33" s="619">
        <v>65585497</v>
      </c>
      <c r="AW33" s="581">
        <v>22436</v>
      </c>
      <c r="AX33" s="581">
        <v>59262305</v>
      </c>
      <c r="AY33" s="581">
        <v>25130</v>
      </c>
      <c r="AZ33" s="581">
        <v>62908995</v>
      </c>
      <c r="BA33" s="664"/>
      <c r="BB33" s="581"/>
      <c r="BC33" s="664"/>
      <c r="BD33" s="581"/>
      <c r="BE33" s="664"/>
      <c r="BF33" s="581"/>
      <c r="BG33" s="581"/>
      <c r="BH33" s="581"/>
      <c r="BI33" s="664"/>
      <c r="BJ33" s="581">
        <f t="shared" si="2"/>
        <v>153282</v>
      </c>
      <c r="BK33" s="581">
        <f t="shared" si="3"/>
        <v>430725101</v>
      </c>
      <c r="BL33" s="541"/>
      <c r="BM33" s="42"/>
      <c r="BN33" s="624"/>
      <c r="BO33" s="624"/>
      <c r="BP33" s="541"/>
      <c r="BQ33" s="541"/>
      <c r="BR33" s="541"/>
      <c r="BS33" s="541"/>
      <c r="BT33" s="541"/>
      <c r="BU33" s="541"/>
      <c r="BV33" s="541"/>
      <c r="BW33" s="541"/>
      <c r="BX33" s="541"/>
      <c r="BY33" s="541"/>
      <c r="BZ33" s="541"/>
      <c r="CA33" s="541"/>
      <c r="CB33" s="541"/>
      <c r="CC33" s="541"/>
      <c r="CD33" s="541"/>
      <c r="CE33" s="541"/>
      <c r="CF33" s="541"/>
      <c r="CG33" s="541"/>
      <c r="CH33" s="541"/>
      <c r="CI33" s="541"/>
      <c r="CJ33" s="541"/>
      <c r="CK33" s="541"/>
      <c r="CL33" s="541"/>
      <c r="CM33" s="541"/>
      <c r="CN33" s="541"/>
      <c r="CO33" s="541"/>
      <c r="CP33" s="541"/>
      <c r="CQ33" s="541"/>
      <c r="CR33" s="541"/>
      <c r="CS33" s="541"/>
      <c r="CT33" s="541"/>
      <c r="CU33" s="541"/>
      <c r="CV33" s="541"/>
      <c r="CW33" s="541"/>
      <c r="CX33" s="541"/>
      <c r="CY33" s="541"/>
      <c r="CZ33" s="541"/>
      <c r="DA33" s="541"/>
      <c r="DB33" s="541"/>
      <c r="DC33" s="541"/>
      <c r="DD33" s="541"/>
      <c r="DE33" s="541"/>
      <c r="DF33" s="541"/>
      <c r="DG33" s="541"/>
      <c r="DH33" s="541"/>
      <c r="DI33" s="541"/>
      <c r="DJ33" s="541"/>
      <c r="DK33" s="541"/>
      <c r="DL33" s="541"/>
      <c r="DM33" s="541"/>
      <c r="DN33" s="541"/>
      <c r="DO33" s="541"/>
      <c r="DP33" s="541"/>
      <c r="DQ33" s="541"/>
      <c r="DR33" s="541"/>
      <c r="DS33" s="541"/>
      <c r="DT33" s="541"/>
      <c r="DU33" s="541"/>
      <c r="DV33" s="541"/>
      <c r="DW33" s="541"/>
      <c r="DX33" s="541"/>
      <c r="DY33" s="541"/>
      <c r="DZ33" s="541"/>
      <c r="EA33" s="541"/>
      <c r="EB33" s="541"/>
      <c r="EC33" s="541"/>
      <c r="ED33" s="541"/>
      <c r="EE33" s="541"/>
      <c r="EF33" s="541"/>
      <c r="EG33" s="541"/>
      <c r="EH33" s="541"/>
      <c r="EI33" s="541"/>
      <c r="EJ33" s="541"/>
      <c r="EK33" s="541"/>
      <c r="EL33" s="541"/>
      <c r="EM33" s="541"/>
      <c r="EN33" s="541"/>
      <c r="EO33" s="541"/>
      <c r="EP33" s="541"/>
      <c r="EQ33" s="541"/>
      <c r="ER33" s="541"/>
      <c r="ES33" s="541"/>
      <c r="ET33" s="541"/>
      <c r="EU33" s="541"/>
      <c r="EV33" s="541"/>
      <c r="EW33" s="541"/>
      <c r="EX33" s="541"/>
      <c r="EY33" s="541"/>
      <c r="EZ33" s="541"/>
      <c r="FA33" s="541"/>
      <c r="FB33" s="541"/>
      <c r="FC33" s="541"/>
      <c r="FD33" s="541"/>
      <c r="FE33" s="541"/>
      <c r="FF33" s="541"/>
      <c r="FG33" s="541"/>
      <c r="FH33" s="541"/>
      <c r="FI33" s="541"/>
      <c r="FJ33" s="541"/>
      <c r="FK33" s="541"/>
      <c r="FL33" s="541"/>
      <c r="FM33" s="541"/>
      <c r="FN33" s="541"/>
      <c r="FO33" s="541"/>
      <c r="FP33" s="541"/>
      <c r="FQ33" s="541"/>
      <c r="FR33" s="541"/>
      <c r="FS33" s="541"/>
      <c r="FT33" s="541"/>
      <c r="FU33" s="541"/>
      <c r="FV33" s="541"/>
      <c r="FW33" s="541"/>
      <c r="FX33" s="541"/>
      <c r="FY33" s="541"/>
      <c r="FZ33" s="541"/>
      <c r="GA33" s="541"/>
      <c r="GB33" s="541"/>
      <c r="GC33" s="541"/>
      <c r="GD33" s="541"/>
      <c r="GE33" s="541"/>
      <c r="GF33" s="541"/>
      <c r="GG33" s="541"/>
      <c r="GH33" s="541"/>
      <c r="GI33" s="541"/>
      <c r="GJ33" s="541"/>
      <c r="GK33" s="541"/>
      <c r="GL33" s="541"/>
      <c r="GM33" s="541"/>
      <c r="GN33" s="541"/>
      <c r="GO33" s="541"/>
      <c r="GP33" s="541"/>
      <c r="GQ33" s="541"/>
      <c r="GR33" s="541"/>
      <c r="GS33" s="541"/>
      <c r="GT33" s="541"/>
      <c r="GU33" s="541"/>
      <c r="GV33" s="541"/>
      <c r="GW33" s="541"/>
      <c r="GX33" s="541"/>
      <c r="GY33" s="541"/>
      <c r="GZ33" s="541"/>
      <c r="HA33" s="541"/>
      <c r="HB33" s="541"/>
      <c r="HC33" s="541"/>
      <c r="HD33" s="541"/>
      <c r="HE33" s="541"/>
      <c r="HF33" s="541"/>
      <c r="HG33" s="541"/>
      <c r="HH33" s="541"/>
      <c r="HI33" s="541"/>
      <c r="HJ33" s="541"/>
      <c r="HK33" s="541"/>
      <c r="HL33" s="541"/>
      <c r="HM33" s="541"/>
      <c r="HN33" s="541"/>
      <c r="HO33" s="541"/>
      <c r="HP33" s="541"/>
      <c r="HQ33" s="541"/>
      <c r="HR33" s="541"/>
      <c r="HS33" s="541"/>
      <c r="HT33" s="541"/>
      <c r="HU33" s="541"/>
      <c r="HV33" s="541"/>
      <c r="HW33" s="541"/>
      <c r="HX33" s="541"/>
      <c r="HY33" s="541"/>
      <c r="HZ33" s="541"/>
      <c r="IA33" s="541"/>
      <c r="IB33" s="541"/>
      <c r="IC33" s="541"/>
      <c r="ID33" s="541"/>
      <c r="IE33" s="541"/>
      <c r="IF33" s="541"/>
      <c r="IG33" s="541"/>
      <c r="IH33" s="541"/>
      <c r="II33" s="541"/>
      <c r="IJ33" s="541"/>
      <c r="IK33" s="541"/>
      <c r="IL33" s="541"/>
      <c r="IM33" s="541"/>
      <c r="IN33" s="541"/>
      <c r="IO33" s="541"/>
      <c r="IP33" s="541"/>
      <c r="IQ33" s="541"/>
      <c r="IR33" s="541"/>
      <c r="IS33" s="541"/>
      <c r="IT33" s="541"/>
      <c r="IU33" s="541"/>
      <c r="IV33" s="541"/>
      <c r="IW33" s="541"/>
      <c r="IX33" s="541"/>
      <c r="IY33" s="541"/>
      <c r="IZ33" s="541"/>
      <c r="JA33" s="541"/>
      <c r="JB33" s="541"/>
      <c r="JC33" s="541"/>
      <c r="JD33" s="541"/>
      <c r="JE33" s="541"/>
      <c r="JF33" s="541"/>
      <c r="JG33" s="541"/>
      <c r="JH33" s="541"/>
      <c r="JI33" s="541"/>
      <c r="JJ33" s="541"/>
      <c r="JK33" s="541"/>
      <c r="JL33" s="541"/>
      <c r="JM33" s="541"/>
      <c r="JN33" s="541"/>
      <c r="JO33" s="541"/>
      <c r="JP33" s="541"/>
      <c r="JQ33" s="541"/>
      <c r="JR33" s="541"/>
      <c r="JS33" s="541"/>
      <c r="JT33" s="541"/>
      <c r="JU33" s="541"/>
      <c r="JV33" s="541"/>
      <c r="JW33" s="541"/>
      <c r="JX33" s="541"/>
      <c r="JY33" s="541"/>
      <c r="JZ33" s="541"/>
      <c r="KA33" s="541"/>
      <c r="KB33" s="541"/>
      <c r="KC33" s="541"/>
      <c r="KD33" s="541"/>
      <c r="KE33" s="541"/>
      <c r="KF33" s="541"/>
      <c r="KG33" s="541"/>
      <c r="KH33" s="541"/>
      <c r="KI33" s="541"/>
      <c r="KJ33" s="541"/>
      <c r="KK33" s="541"/>
      <c r="KL33" s="541"/>
      <c r="KM33" s="541"/>
      <c r="KN33" s="541"/>
      <c r="KO33" s="541"/>
      <c r="KP33" s="541"/>
      <c r="KQ33" s="541"/>
      <c r="KR33" s="541"/>
      <c r="KS33" s="541"/>
      <c r="KT33" s="541"/>
      <c r="KU33" s="541"/>
      <c r="KV33" s="541"/>
      <c r="KW33" s="541"/>
      <c r="KX33" s="541"/>
      <c r="KY33" s="541"/>
      <c r="KZ33" s="541"/>
      <c r="LA33" s="541"/>
      <c r="LB33" s="541"/>
      <c r="LC33" s="541"/>
      <c r="LD33" s="541"/>
      <c r="LE33" s="541"/>
      <c r="LF33" s="541"/>
      <c r="LG33" s="541"/>
      <c r="LH33" s="541"/>
      <c r="LI33" s="541"/>
      <c r="LJ33" s="541"/>
      <c r="LK33" s="541"/>
      <c r="LL33" s="541"/>
      <c r="LM33" s="541"/>
      <c r="LN33" s="541"/>
      <c r="LO33" s="541"/>
      <c r="LP33" s="541"/>
      <c r="LQ33" s="541"/>
      <c r="LR33" s="541"/>
      <c r="LS33" s="541"/>
      <c r="LT33" s="541"/>
      <c r="LU33" s="541"/>
      <c r="LV33" s="541"/>
      <c r="LW33" s="541"/>
      <c r="LX33" s="541"/>
      <c r="LY33" s="541"/>
      <c r="LZ33" s="541"/>
      <c r="MA33" s="541"/>
      <c r="MB33" s="541"/>
      <c r="MC33" s="541"/>
      <c r="MD33" s="541"/>
      <c r="ME33" s="541"/>
      <c r="MF33" s="541"/>
      <c r="MG33" s="541"/>
      <c r="MH33" s="541"/>
      <c r="MI33" s="541"/>
      <c r="MJ33" s="541"/>
      <c r="MK33" s="541"/>
      <c r="ML33" s="541"/>
      <c r="MM33" s="541"/>
      <c r="MN33" s="541"/>
      <c r="MO33" s="541"/>
      <c r="MP33" s="541"/>
      <c r="MQ33" s="541"/>
      <c r="MR33" s="541"/>
      <c r="MS33" s="541"/>
      <c r="MT33" s="541"/>
      <c r="MU33" s="541"/>
      <c r="MV33" s="541"/>
      <c r="MW33" s="541"/>
      <c r="MX33" s="541"/>
      <c r="MY33" s="541"/>
      <c r="MZ33" s="541"/>
      <c r="NA33" s="541"/>
      <c r="NB33" s="541"/>
      <c r="NC33" s="541"/>
      <c r="ND33" s="541"/>
      <c r="NE33" s="541"/>
      <c r="NF33" s="541"/>
      <c r="NG33" s="541"/>
      <c r="NH33" s="541"/>
      <c r="NI33" s="541"/>
      <c r="NJ33" s="541"/>
      <c r="NK33" s="541"/>
      <c r="NL33" s="541"/>
      <c r="NM33" s="541"/>
      <c r="NN33" s="541"/>
      <c r="NO33" s="541"/>
      <c r="NP33" s="541"/>
      <c r="NQ33" s="541"/>
      <c r="NR33" s="541"/>
      <c r="NS33" s="541"/>
      <c r="NT33" s="541"/>
      <c r="NU33" s="541"/>
      <c r="NV33" s="541"/>
      <c r="NW33" s="541"/>
      <c r="NX33" s="541"/>
      <c r="NY33" s="541"/>
      <c r="NZ33" s="541"/>
      <c r="OA33" s="541"/>
      <c r="OB33" s="541"/>
      <c r="OC33" s="541"/>
      <c r="OD33" s="541"/>
      <c r="OE33" s="541"/>
      <c r="OF33" s="541"/>
      <c r="OG33" s="541"/>
      <c r="OH33" s="541"/>
      <c r="OI33" s="541"/>
      <c r="OJ33" s="541"/>
      <c r="OK33" s="541"/>
      <c r="OL33" s="541"/>
      <c r="OM33" s="541"/>
      <c r="ON33" s="541"/>
      <c r="OO33" s="541"/>
      <c r="OP33" s="541"/>
      <c r="OQ33" s="541"/>
      <c r="OR33" s="541"/>
      <c r="OS33" s="541"/>
      <c r="OT33" s="541"/>
      <c r="OU33" s="541"/>
      <c r="OV33" s="541"/>
      <c r="OW33" s="541"/>
      <c r="OX33" s="541"/>
      <c r="OY33" s="541"/>
      <c r="OZ33" s="541"/>
      <c r="PA33" s="541"/>
      <c r="PB33" s="541"/>
      <c r="PC33" s="541"/>
      <c r="PD33" s="541"/>
      <c r="PE33" s="541"/>
      <c r="PF33" s="541"/>
      <c r="PG33" s="541"/>
      <c r="PH33" s="541"/>
      <c r="PI33" s="541"/>
      <c r="PJ33" s="541"/>
      <c r="PK33" s="541"/>
      <c r="PL33" s="541"/>
      <c r="PM33" s="541"/>
      <c r="PN33" s="541"/>
      <c r="PO33" s="541"/>
      <c r="PP33" s="541"/>
      <c r="PQ33" s="541"/>
      <c r="PR33" s="541"/>
      <c r="PS33" s="541"/>
      <c r="PT33" s="541"/>
      <c r="PU33" s="541"/>
      <c r="PV33" s="541"/>
      <c r="PW33" s="541"/>
      <c r="PX33" s="541"/>
      <c r="PY33" s="541"/>
      <c r="PZ33" s="541"/>
      <c r="QA33" s="541"/>
      <c r="QB33" s="541"/>
      <c r="QC33" s="541"/>
      <c r="QD33" s="541"/>
      <c r="QE33" s="541"/>
      <c r="QF33" s="541"/>
      <c r="QG33" s="541"/>
      <c r="QH33" s="541"/>
      <c r="QI33" s="541"/>
      <c r="QJ33" s="541"/>
      <c r="QK33" s="541"/>
      <c r="QL33" s="541"/>
      <c r="QM33" s="541"/>
      <c r="QN33" s="541"/>
      <c r="QO33" s="541"/>
      <c r="QP33" s="541"/>
      <c r="QQ33" s="541"/>
      <c r="QR33" s="541"/>
      <c r="QS33" s="541"/>
      <c r="QT33" s="541"/>
      <c r="QU33" s="541"/>
      <c r="QV33" s="541"/>
      <c r="QW33" s="541"/>
      <c r="QX33" s="541"/>
      <c r="QY33" s="541"/>
      <c r="QZ33" s="541"/>
      <c r="RA33" s="541"/>
      <c r="RB33" s="541"/>
      <c r="RC33" s="541"/>
      <c r="RD33" s="541"/>
      <c r="RE33" s="541"/>
      <c r="RF33" s="541"/>
      <c r="RG33" s="541"/>
      <c r="RH33" s="541"/>
      <c r="RI33" s="541"/>
      <c r="RJ33" s="541"/>
      <c r="RK33" s="541"/>
      <c r="RL33" s="541"/>
      <c r="RM33" s="541"/>
      <c r="RN33" s="541"/>
      <c r="RO33" s="541"/>
      <c r="RP33" s="541"/>
      <c r="RQ33" s="541"/>
      <c r="RR33" s="541"/>
      <c r="RS33" s="541"/>
      <c r="RT33" s="541"/>
      <c r="RU33" s="541"/>
      <c r="RV33" s="541"/>
      <c r="RW33" s="541"/>
      <c r="RX33" s="541"/>
      <c r="RY33" s="541"/>
      <c r="RZ33" s="541"/>
      <c r="SA33" s="541"/>
      <c r="SB33" s="541"/>
      <c r="SC33" s="541"/>
      <c r="SD33" s="541"/>
      <c r="SE33" s="541"/>
      <c r="SF33" s="541"/>
      <c r="SG33" s="541"/>
      <c r="SH33" s="541"/>
      <c r="SI33" s="541"/>
      <c r="SJ33" s="541"/>
      <c r="SK33" s="541"/>
      <c r="SL33" s="541"/>
      <c r="SM33" s="541"/>
      <c r="SN33" s="541"/>
      <c r="SO33" s="541"/>
      <c r="SP33" s="541"/>
      <c r="SQ33" s="541"/>
      <c r="SR33" s="541"/>
      <c r="SS33" s="541"/>
      <c r="ST33" s="541"/>
      <c r="SU33" s="541"/>
      <c r="SV33" s="541"/>
      <c r="SW33" s="541"/>
      <c r="SX33" s="541"/>
      <c r="SY33" s="541"/>
      <c r="SZ33" s="541"/>
      <c r="TA33" s="541"/>
      <c r="TB33" s="541"/>
      <c r="TC33" s="541"/>
      <c r="TD33" s="541"/>
      <c r="TE33" s="541"/>
      <c r="TF33" s="541"/>
      <c r="TG33" s="541"/>
      <c r="TH33" s="541"/>
      <c r="TI33" s="541"/>
      <c r="TJ33" s="541"/>
      <c r="TK33" s="541"/>
      <c r="TL33" s="541"/>
      <c r="TM33" s="541"/>
      <c r="TN33" s="541"/>
      <c r="TO33" s="541"/>
      <c r="TP33" s="541"/>
      <c r="TQ33" s="541"/>
      <c r="TR33" s="541"/>
      <c r="TS33" s="541"/>
      <c r="TT33" s="541"/>
      <c r="TU33" s="541"/>
      <c r="TV33" s="541"/>
      <c r="TW33" s="541"/>
      <c r="TX33" s="541"/>
      <c r="TY33" s="541"/>
      <c r="TZ33" s="541"/>
      <c r="UA33" s="541"/>
      <c r="UB33" s="541"/>
      <c r="UC33" s="541"/>
      <c r="UD33" s="541"/>
      <c r="UE33" s="541"/>
      <c r="UF33" s="541"/>
      <c r="UG33" s="541"/>
      <c r="UH33" s="541"/>
      <c r="UI33" s="541"/>
      <c r="UJ33" s="541"/>
      <c r="UK33" s="541"/>
      <c r="UL33" s="541"/>
      <c r="UM33" s="541"/>
      <c r="UN33" s="541"/>
      <c r="UO33" s="541"/>
      <c r="UP33" s="541"/>
      <c r="UQ33" s="541"/>
      <c r="UR33" s="541"/>
      <c r="US33" s="541"/>
      <c r="UT33" s="541"/>
      <c r="UU33" s="541"/>
      <c r="UV33" s="541"/>
      <c r="UW33" s="541"/>
      <c r="UX33" s="541"/>
      <c r="UY33" s="541"/>
      <c r="UZ33" s="541"/>
      <c r="VA33" s="541"/>
      <c r="VB33" s="541"/>
      <c r="VC33" s="541"/>
      <c r="VD33" s="541"/>
      <c r="VE33" s="541"/>
      <c r="VF33" s="541"/>
      <c r="VG33" s="541"/>
      <c r="VH33" s="541"/>
      <c r="VI33" s="541"/>
      <c r="VJ33" s="541"/>
      <c r="VK33" s="541"/>
      <c r="VL33" s="541"/>
      <c r="VM33" s="541"/>
      <c r="VN33" s="541"/>
      <c r="VO33" s="541"/>
      <c r="VP33" s="541"/>
      <c r="VQ33" s="541"/>
      <c r="VR33" s="541"/>
      <c r="VS33" s="541"/>
      <c r="VT33" s="541"/>
      <c r="VU33" s="541"/>
      <c r="VV33" s="541"/>
      <c r="VW33" s="541"/>
      <c r="VX33" s="541"/>
      <c r="VY33" s="541"/>
      <c r="VZ33" s="541"/>
      <c r="WA33" s="541"/>
      <c r="WB33" s="541"/>
      <c r="WC33" s="541"/>
      <c r="WD33" s="541"/>
      <c r="WE33" s="541"/>
      <c r="WF33" s="541"/>
      <c r="WG33" s="541"/>
      <c r="WH33" s="541"/>
      <c r="WI33" s="541"/>
      <c r="WJ33" s="541"/>
      <c r="WK33" s="541"/>
      <c r="WL33" s="541"/>
      <c r="WM33" s="541"/>
      <c r="WN33" s="541"/>
      <c r="WO33" s="541"/>
      <c r="WP33" s="541"/>
      <c r="WQ33" s="541"/>
      <c r="WR33" s="541"/>
      <c r="WS33" s="541"/>
      <c r="WT33" s="541"/>
      <c r="WU33" s="541"/>
      <c r="WV33" s="541"/>
      <c r="WW33" s="541"/>
      <c r="WX33" s="541"/>
      <c r="WY33" s="541"/>
      <c r="WZ33" s="541"/>
      <c r="XA33" s="541"/>
      <c r="XB33" s="541"/>
      <c r="XC33" s="541"/>
      <c r="XD33" s="541"/>
      <c r="XE33" s="541"/>
      <c r="XF33" s="541"/>
      <c r="XG33" s="541"/>
      <c r="XH33" s="541"/>
      <c r="XI33" s="541"/>
      <c r="XJ33" s="541"/>
      <c r="XK33" s="541"/>
      <c r="XL33" s="541"/>
      <c r="XM33" s="541"/>
      <c r="XN33" s="541"/>
      <c r="XO33" s="541"/>
      <c r="XP33" s="541"/>
      <c r="XQ33" s="541"/>
      <c r="XR33" s="541"/>
      <c r="XS33" s="541"/>
      <c r="XT33" s="541"/>
      <c r="XU33" s="541"/>
      <c r="XV33" s="541"/>
      <c r="XW33" s="541"/>
      <c r="XX33" s="541"/>
      <c r="XY33" s="541"/>
      <c r="XZ33" s="541"/>
      <c r="YA33" s="541"/>
      <c r="YB33" s="541"/>
      <c r="YC33" s="541"/>
      <c r="YD33" s="541"/>
      <c r="YE33" s="541"/>
      <c r="YF33" s="541"/>
      <c r="YG33" s="541"/>
      <c r="YH33" s="541"/>
      <c r="YI33" s="541"/>
      <c r="YJ33" s="541"/>
      <c r="YK33" s="541"/>
      <c r="YL33" s="541"/>
      <c r="YM33" s="541"/>
      <c r="YN33" s="541"/>
      <c r="YO33" s="541"/>
      <c r="YP33" s="541"/>
      <c r="YQ33" s="541"/>
      <c r="YR33" s="541"/>
      <c r="YS33" s="541"/>
      <c r="YT33" s="541"/>
      <c r="YU33" s="541"/>
      <c r="YV33" s="541"/>
      <c r="YW33" s="541"/>
      <c r="YX33" s="541"/>
      <c r="YY33" s="541"/>
      <c r="YZ33" s="541"/>
      <c r="ZA33" s="541"/>
      <c r="ZB33" s="541"/>
      <c r="ZC33" s="541"/>
      <c r="ZD33" s="541"/>
      <c r="ZE33" s="541"/>
      <c r="ZF33" s="541"/>
      <c r="ZG33" s="541"/>
      <c r="ZH33" s="541"/>
      <c r="ZI33" s="541"/>
      <c r="ZJ33" s="541"/>
      <c r="ZK33" s="541"/>
      <c r="ZL33" s="541"/>
      <c r="ZM33" s="541"/>
      <c r="ZN33" s="541"/>
      <c r="ZO33" s="541"/>
      <c r="ZP33" s="541"/>
      <c r="ZQ33" s="541"/>
      <c r="ZR33" s="541"/>
      <c r="ZS33" s="541"/>
      <c r="ZT33" s="541"/>
      <c r="ZU33" s="541"/>
      <c r="ZV33" s="541"/>
      <c r="ZW33" s="541"/>
      <c r="ZX33" s="541"/>
      <c r="ZY33" s="541"/>
      <c r="ZZ33" s="541"/>
      <c r="AAA33" s="541"/>
      <c r="AAB33" s="541"/>
      <c r="AAC33" s="541"/>
      <c r="AAD33" s="541"/>
      <c r="AAE33" s="541"/>
      <c r="AAF33" s="541"/>
      <c r="AAG33" s="541"/>
      <c r="AAH33" s="541"/>
      <c r="AAI33" s="541"/>
      <c r="AAJ33" s="541"/>
      <c r="AAK33" s="541"/>
      <c r="AAL33" s="541"/>
      <c r="AAM33" s="541"/>
      <c r="AAN33" s="541"/>
      <c r="AAO33" s="541"/>
      <c r="AAP33" s="541"/>
      <c r="AAQ33" s="541"/>
      <c r="AAR33" s="541"/>
      <c r="AAS33" s="541"/>
      <c r="AAT33" s="541"/>
      <c r="AAU33" s="541"/>
      <c r="AAV33" s="541"/>
      <c r="AAW33" s="541"/>
      <c r="AAX33" s="541"/>
      <c r="AAY33" s="541"/>
      <c r="AAZ33" s="541"/>
      <c r="ABA33" s="541"/>
      <c r="ABB33" s="541"/>
      <c r="ABC33" s="541"/>
      <c r="ABD33" s="541"/>
      <c r="ABE33" s="541"/>
      <c r="ABF33" s="541"/>
      <c r="ABG33" s="541"/>
      <c r="ABH33" s="541"/>
      <c r="ABI33" s="541"/>
      <c r="ABJ33" s="541"/>
      <c r="ABK33" s="541"/>
      <c r="ABL33" s="541"/>
      <c r="ABM33" s="541"/>
      <c r="ABN33" s="541"/>
      <c r="ABO33" s="541"/>
      <c r="ABP33" s="541"/>
      <c r="ABQ33" s="541"/>
      <c r="ABR33" s="541"/>
      <c r="ABS33" s="541"/>
      <c r="ABT33" s="541"/>
      <c r="ABU33" s="541"/>
      <c r="ABV33" s="541"/>
      <c r="ABW33" s="541"/>
      <c r="ABX33" s="541"/>
      <c r="ABY33" s="541"/>
      <c r="ABZ33" s="541"/>
      <c r="ACA33" s="541"/>
      <c r="ACB33" s="541"/>
      <c r="ACC33" s="541"/>
      <c r="ACD33" s="541"/>
      <c r="ACE33" s="541"/>
      <c r="ACF33" s="541"/>
      <c r="ACG33" s="541"/>
      <c r="ACH33" s="541"/>
      <c r="ACI33" s="541"/>
      <c r="ACJ33" s="541"/>
      <c r="ACK33" s="541"/>
      <c r="ACL33" s="541"/>
      <c r="ACM33" s="541"/>
      <c r="ACN33" s="541"/>
      <c r="ACO33" s="541"/>
      <c r="ACP33" s="541"/>
      <c r="ACQ33" s="541"/>
      <c r="ACR33" s="541"/>
      <c r="ACS33" s="541"/>
      <c r="ACT33" s="541"/>
      <c r="ACU33" s="541"/>
      <c r="ACV33" s="541"/>
      <c r="ACW33" s="541"/>
      <c r="ACX33" s="541"/>
      <c r="ACY33" s="541"/>
      <c r="ACZ33" s="541"/>
      <c r="ADA33" s="541"/>
      <c r="ADB33" s="541"/>
      <c r="ADC33" s="541"/>
      <c r="ADD33" s="541"/>
      <c r="ADE33" s="541"/>
      <c r="ADF33" s="541"/>
      <c r="ADG33" s="541"/>
      <c r="ADH33" s="541"/>
      <c r="ADI33" s="541"/>
      <c r="ADJ33" s="541"/>
      <c r="ADK33" s="541"/>
      <c r="ADL33" s="541"/>
      <c r="ADM33" s="541"/>
      <c r="ADN33" s="541"/>
      <c r="ADO33" s="541"/>
      <c r="ADP33" s="541"/>
      <c r="ADQ33" s="541"/>
      <c r="ADR33" s="541"/>
      <c r="ADS33" s="541"/>
      <c r="ADT33" s="541"/>
      <c r="ADU33" s="541"/>
      <c r="ADV33" s="541"/>
      <c r="ADW33" s="541"/>
      <c r="ADX33" s="541"/>
      <c r="ADY33" s="541"/>
      <c r="ADZ33" s="541"/>
      <c r="AEA33" s="541"/>
      <c r="AEB33" s="541"/>
      <c r="AEC33" s="541"/>
      <c r="AED33" s="541"/>
      <c r="AEE33" s="541"/>
      <c r="AEF33" s="541"/>
      <c r="AEG33" s="541"/>
      <c r="AEH33" s="541"/>
      <c r="AEI33" s="541"/>
      <c r="AEJ33" s="541"/>
      <c r="AEK33" s="541"/>
      <c r="AEL33" s="541"/>
      <c r="AEM33" s="541"/>
      <c r="AEN33" s="541"/>
      <c r="AEO33" s="541"/>
      <c r="AEP33" s="541"/>
      <c r="AEQ33" s="541"/>
      <c r="AER33" s="541"/>
      <c r="AES33" s="541"/>
      <c r="AET33" s="541"/>
      <c r="AEU33" s="541"/>
      <c r="AEV33" s="541"/>
      <c r="AEW33" s="541"/>
      <c r="AEX33" s="541"/>
      <c r="AEY33" s="541"/>
      <c r="AEZ33" s="541"/>
      <c r="AFA33" s="541"/>
      <c r="AFB33" s="541"/>
      <c r="AFC33" s="541"/>
      <c r="AFD33" s="541"/>
      <c r="AFE33" s="541"/>
      <c r="AFF33" s="541"/>
      <c r="AFG33" s="541"/>
      <c r="AFH33" s="541"/>
      <c r="AFI33" s="541"/>
      <c r="AFJ33" s="541"/>
      <c r="AFK33" s="541"/>
      <c r="AFL33" s="541"/>
      <c r="AFM33" s="541"/>
      <c r="AFN33" s="541"/>
      <c r="AFO33" s="541"/>
      <c r="AFP33" s="541"/>
      <c r="AFQ33" s="541"/>
      <c r="AFR33" s="541"/>
      <c r="AFS33" s="541"/>
      <c r="AFT33" s="541"/>
      <c r="AFU33" s="541"/>
      <c r="AFV33" s="541"/>
      <c r="AFW33" s="541"/>
      <c r="AFX33" s="541"/>
      <c r="AFY33" s="541"/>
      <c r="AFZ33" s="541"/>
      <c r="AGA33" s="541"/>
      <c r="AGB33" s="541"/>
      <c r="AGC33" s="541"/>
      <c r="AGD33" s="541"/>
      <c r="AGE33" s="541"/>
      <c r="AGF33" s="541"/>
      <c r="AGG33" s="541"/>
      <c r="AGH33" s="541"/>
      <c r="AGI33" s="541"/>
      <c r="AGJ33" s="541"/>
      <c r="AGK33" s="541"/>
      <c r="AGL33" s="541"/>
      <c r="AGM33" s="541"/>
      <c r="AGN33" s="541"/>
      <c r="AGO33" s="541"/>
      <c r="AGP33" s="541"/>
      <c r="AGQ33" s="541"/>
      <c r="AGR33" s="541"/>
      <c r="AGS33" s="541"/>
      <c r="AGT33" s="541"/>
      <c r="AGU33" s="541"/>
      <c r="AGV33" s="541"/>
      <c r="AGW33" s="541"/>
      <c r="AGX33" s="541"/>
      <c r="AGY33" s="541"/>
      <c r="AGZ33" s="541"/>
      <c r="AHA33" s="541"/>
      <c r="AHB33" s="541"/>
      <c r="AHC33" s="541"/>
      <c r="AHD33" s="541"/>
      <c r="AHE33" s="541"/>
      <c r="AHF33" s="541"/>
      <c r="AHG33" s="541"/>
      <c r="AHH33" s="541"/>
      <c r="AHI33" s="541"/>
      <c r="AHJ33" s="541"/>
      <c r="AHK33" s="541"/>
      <c r="AHL33" s="541"/>
      <c r="AHM33" s="541"/>
      <c r="AHN33" s="541"/>
      <c r="AHO33" s="541"/>
      <c r="AHP33" s="541"/>
      <c r="AHQ33" s="541"/>
      <c r="AHR33" s="541"/>
      <c r="AHS33" s="541"/>
      <c r="AHT33" s="541"/>
      <c r="AHU33" s="541"/>
      <c r="AHV33" s="541"/>
      <c r="AHW33" s="541"/>
      <c r="AHX33" s="541"/>
      <c r="AHY33" s="541"/>
      <c r="AHZ33" s="541"/>
      <c r="AIA33" s="541"/>
      <c r="AIB33" s="541"/>
      <c r="AIC33" s="541"/>
      <c r="AID33" s="541"/>
      <c r="AIE33" s="541"/>
      <c r="AIF33" s="541"/>
      <c r="AIG33" s="541"/>
      <c r="AIH33" s="541"/>
      <c r="AII33" s="541"/>
      <c r="AIJ33" s="541"/>
      <c r="AIK33" s="541"/>
      <c r="AIL33" s="541"/>
      <c r="AIM33" s="541"/>
      <c r="AIN33" s="541"/>
      <c r="AIO33" s="541"/>
      <c r="AIP33" s="541"/>
      <c r="AIQ33" s="541"/>
      <c r="AIR33" s="541"/>
      <c r="AIS33" s="541"/>
      <c r="AIT33" s="541"/>
      <c r="AIU33" s="541"/>
      <c r="AIV33" s="541"/>
      <c r="AIW33" s="541"/>
      <c r="AIX33" s="541"/>
      <c r="AIY33" s="541"/>
      <c r="AIZ33" s="541"/>
      <c r="AJA33" s="541"/>
      <c r="AJB33" s="541"/>
      <c r="AJC33" s="541"/>
      <c r="AJD33" s="541"/>
      <c r="AJE33" s="541"/>
      <c r="AJF33" s="541"/>
      <c r="AJG33" s="541"/>
      <c r="AJH33" s="541"/>
      <c r="AJI33" s="541"/>
      <c r="AJJ33" s="541"/>
      <c r="AJK33" s="541"/>
      <c r="AJL33" s="541"/>
      <c r="AJM33" s="541"/>
      <c r="AJN33" s="541"/>
      <c r="AJO33" s="541"/>
      <c r="AJP33" s="541"/>
      <c r="AJQ33" s="541"/>
      <c r="AJR33" s="541"/>
      <c r="AJS33" s="541"/>
      <c r="AJT33" s="541"/>
      <c r="AJU33" s="541"/>
      <c r="AJV33" s="541"/>
      <c r="AJW33" s="541"/>
      <c r="AJX33" s="541"/>
      <c r="AJY33" s="541"/>
      <c r="AJZ33" s="541"/>
      <c r="AKA33" s="541"/>
      <c r="AKB33" s="541"/>
      <c r="AKC33" s="541"/>
      <c r="AKD33" s="541"/>
      <c r="AKE33" s="541"/>
      <c r="AKF33" s="541"/>
      <c r="AKG33" s="541"/>
      <c r="AKH33" s="541"/>
      <c r="AKI33" s="541"/>
      <c r="AKJ33" s="541"/>
      <c r="AKK33" s="541"/>
      <c r="AKL33" s="541"/>
      <c r="AKM33" s="541"/>
      <c r="AKN33" s="541"/>
      <c r="AKO33" s="541"/>
      <c r="AKP33" s="541"/>
      <c r="AKQ33" s="541"/>
      <c r="AKR33" s="541"/>
      <c r="AKS33" s="541"/>
      <c r="AKT33" s="541"/>
      <c r="AKU33" s="541"/>
      <c r="AKV33" s="541"/>
      <c r="AKW33" s="541"/>
      <c r="AKX33" s="541"/>
      <c r="AKY33" s="541"/>
      <c r="AKZ33" s="541"/>
      <c r="ALA33" s="541"/>
      <c r="ALB33" s="541"/>
      <c r="ALC33" s="541"/>
      <c r="ALD33" s="541"/>
      <c r="ALE33" s="541"/>
      <c r="ALF33" s="541"/>
      <c r="ALG33" s="541"/>
      <c r="ALH33" s="541"/>
      <c r="ALI33" s="541"/>
      <c r="ALJ33" s="541"/>
      <c r="ALK33" s="541"/>
      <c r="ALL33" s="541"/>
      <c r="ALM33" s="541"/>
      <c r="ALN33" s="541"/>
      <c r="ALO33" s="541"/>
      <c r="ALP33" s="541"/>
      <c r="ALQ33" s="541"/>
      <c r="ALR33" s="541"/>
      <c r="ALS33" s="541"/>
      <c r="ALT33" s="541"/>
      <c r="ALU33" s="541"/>
      <c r="ALV33" s="541"/>
      <c r="ALW33" s="541"/>
      <c r="ALX33" s="541"/>
      <c r="ALY33" s="541"/>
      <c r="ALZ33" s="541"/>
      <c r="AMA33" s="541"/>
      <c r="AMB33" s="541"/>
      <c r="AMC33" s="541"/>
      <c r="AMD33" s="541"/>
      <c r="AME33" s="541"/>
      <c r="AMF33" s="541"/>
      <c r="AMG33" s="541"/>
      <c r="AMH33" s="541"/>
      <c r="AMI33" s="541"/>
      <c r="AMJ33" s="541"/>
      <c r="AMK33" s="541"/>
      <c r="AML33" s="541"/>
      <c r="AMM33" s="541"/>
      <c r="AMN33" s="541"/>
      <c r="AMO33" s="541"/>
      <c r="AMP33" s="541"/>
      <c r="AMQ33" s="541"/>
      <c r="AMR33" s="541"/>
      <c r="AMS33" s="541"/>
      <c r="AMT33" s="541"/>
      <c r="AMU33" s="541"/>
      <c r="AMV33" s="541"/>
      <c r="AMW33" s="541"/>
      <c r="AMX33" s="541"/>
      <c r="AMY33" s="541"/>
      <c r="AMZ33" s="541"/>
      <c r="ANA33" s="541"/>
      <c r="ANB33" s="541"/>
      <c r="ANC33" s="541"/>
      <c r="AND33" s="541"/>
      <c r="ANE33" s="541"/>
      <c r="ANF33" s="541"/>
      <c r="ANG33" s="541"/>
      <c r="ANH33" s="541"/>
      <c r="ANI33" s="541"/>
      <c r="ANJ33" s="541"/>
      <c r="ANK33" s="541"/>
      <c r="ANL33" s="541"/>
      <c r="ANM33" s="541"/>
      <c r="ANN33" s="541"/>
      <c r="ANO33" s="541"/>
      <c r="ANP33" s="541"/>
      <c r="ANQ33" s="541"/>
      <c r="ANR33" s="541"/>
      <c r="ANS33" s="541"/>
      <c r="ANT33" s="541"/>
      <c r="ANU33" s="541"/>
      <c r="ANV33" s="541"/>
      <c r="ANW33" s="541"/>
      <c r="ANX33" s="541"/>
      <c r="ANY33" s="541"/>
      <c r="ANZ33" s="541"/>
      <c r="AOA33" s="541"/>
      <c r="AOB33" s="541"/>
      <c r="AOC33" s="541"/>
      <c r="AOD33" s="541"/>
      <c r="AOE33" s="541"/>
      <c r="AOF33" s="541"/>
      <c r="AOG33" s="541"/>
      <c r="AOH33" s="541"/>
      <c r="AOI33" s="541"/>
      <c r="AOJ33" s="541"/>
      <c r="AOK33" s="541"/>
      <c r="AOL33" s="541"/>
      <c r="AOM33" s="541"/>
      <c r="AON33" s="541"/>
      <c r="AOO33" s="541"/>
      <c r="AOP33" s="541"/>
      <c r="AOQ33" s="541"/>
      <c r="AOR33" s="541"/>
      <c r="AOS33" s="541"/>
      <c r="AOT33" s="541"/>
      <c r="AOU33" s="541"/>
      <c r="AOV33" s="541"/>
      <c r="AOW33" s="541"/>
      <c r="AOX33" s="541"/>
      <c r="AOY33" s="541"/>
      <c r="AOZ33" s="541"/>
      <c r="APA33" s="541"/>
      <c r="APB33" s="541"/>
      <c r="APC33" s="541"/>
      <c r="APD33" s="541"/>
      <c r="APE33" s="541"/>
      <c r="APF33" s="541"/>
      <c r="APG33" s="541"/>
      <c r="APH33" s="541"/>
      <c r="API33" s="541"/>
      <c r="APJ33" s="541"/>
      <c r="APK33" s="541"/>
      <c r="APL33" s="541"/>
      <c r="APM33" s="541"/>
      <c r="APN33" s="541"/>
      <c r="APO33" s="541"/>
      <c r="APP33" s="541"/>
      <c r="APQ33" s="541"/>
      <c r="APR33" s="541"/>
      <c r="APS33" s="541"/>
      <c r="APT33" s="541"/>
      <c r="APU33" s="541"/>
      <c r="APV33" s="541"/>
      <c r="APW33" s="541"/>
      <c r="APX33" s="541"/>
      <c r="APY33" s="541"/>
      <c r="APZ33" s="541"/>
      <c r="AQA33" s="541"/>
      <c r="AQB33" s="541"/>
      <c r="AQC33" s="541"/>
      <c r="AQD33" s="541"/>
      <c r="AQE33" s="541"/>
      <c r="AQF33" s="541"/>
      <c r="AQG33" s="541"/>
      <c r="AQH33" s="541"/>
      <c r="AQI33" s="541"/>
      <c r="AQJ33" s="541"/>
      <c r="AQK33" s="541"/>
      <c r="AQL33" s="541"/>
      <c r="AQM33" s="541"/>
      <c r="AQN33" s="541"/>
      <c r="AQO33" s="541"/>
      <c r="AQP33" s="541"/>
      <c r="AQQ33" s="541"/>
      <c r="AQR33" s="541"/>
      <c r="AQS33" s="541"/>
      <c r="AQT33" s="541"/>
      <c r="AQU33" s="541"/>
      <c r="AQV33" s="541"/>
      <c r="AQW33" s="541"/>
      <c r="AQX33" s="541"/>
      <c r="AQY33" s="541"/>
      <c r="AQZ33" s="541"/>
      <c r="ARA33" s="541"/>
      <c r="ARB33" s="541"/>
      <c r="ARC33" s="541"/>
      <c r="ARD33" s="541"/>
      <c r="ARE33" s="541"/>
      <c r="ARF33" s="541"/>
      <c r="ARG33" s="541"/>
      <c r="ARH33" s="541"/>
      <c r="ARI33" s="541"/>
      <c r="ARJ33" s="541"/>
      <c r="ARK33" s="541"/>
      <c r="ARL33" s="541"/>
      <c r="ARM33" s="541"/>
      <c r="ARN33" s="541"/>
      <c r="ARO33" s="541"/>
      <c r="ARP33" s="541"/>
      <c r="ARQ33" s="541"/>
      <c r="ARR33" s="541"/>
      <c r="ARS33" s="541"/>
      <c r="ART33" s="541"/>
    </row>
    <row r="34" spans="1:1164" s="658" customFormat="1">
      <c r="A34" s="613" t="s">
        <v>211</v>
      </c>
      <c r="B34" s="578" t="s">
        <v>110</v>
      </c>
      <c r="C34" s="659">
        <v>41740</v>
      </c>
      <c r="D34" s="659">
        <v>11701660</v>
      </c>
      <c r="E34" s="581"/>
      <c r="F34" s="581"/>
      <c r="G34" s="581">
        <v>783</v>
      </c>
      <c r="H34" s="581">
        <v>1154174</v>
      </c>
      <c r="I34" s="581">
        <v>14214</v>
      </c>
      <c r="J34" s="581">
        <v>12491102</v>
      </c>
      <c r="K34" s="581">
        <v>7993</v>
      </c>
      <c r="L34" s="581">
        <v>7284445</v>
      </c>
      <c r="M34" s="581">
        <v>8397</v>
      </c>
      <c r="N34" s="581">
        <v>11145646</v>
      </c>
      <c r="O34" s="581">
        <v>6590</v>
      </c>
      <c r="P34" s="581">
        <v>6971035</v>
      </c>
      <c r="Q34" s="581">
        <v>4182</v>
      </c>
      <c r="R34" s="581">
        <v>4387234</v>
      </c>
      <c r="S34" s="581">
        <v>0</v>
      </c>
      <c r="T34" s="581">
        <v>0</v>
      </c>
      <c r="U34" s="598">
        <f>1504+3243</f>
        <v>4747</v>
      </c>
      <c r="V34" s="598">
        <f>2751837+8042745</f>
        <v>10794582</v>
      </c>
      <c r="W34" s="598">
        <v>16759</v>
      </c>
      <c r="X34" s="598">
        <v>34895268</v>
      </c>
      <c r="Y34" s="660">
        <f>8699+928</f>
        <v>9627</v>
      </c>
      <c r="Z34" s="660">
        <f>14883855+1498160</f>
        <v>16382015</v>
      </c>
      <c r="AA34" s="619">
        <v>7253</v>
      </c>
      <c r="AB34" s="619">
        <v>12078374</v>
      </c>
      <c r="AC34" s="581">
        <f>2865.95+1621.07+2746.6</f>
        <v>7233.619999999999</v>
      </c>
      <c r="AD34" s="581">
        <v>12926731</v>
      </c>
      <c r="AE34" s="581">
        <v>24027</v>
      </c>
      <c r="AF34" s="581">
        <v>24340005</v>
      </c>
      <c r="AG34" s="619">
        <v>23627</v>
      </c>
      <c r="AH34" s="619">
        <v>40304405</v>
      </c>
      <c r="AI34" s="619">
        <v>10062</v>
      </c>
      <c r="AJ34" s="619">
        <v>26559116</v>
      </c>
      <c r="AK34" s="661">
        <v>7880</v>
      </c>
      <c r="AL34" s="661">
        <v>13728391</v>
      </c>
      <c r="AM34" s="662">
        <v>15609</v>
      </c>
      <c r="AN34" s="662">
        <v>25839453</v>
      </c>
      <c r="AO34" s="579">
        <v>7375</v>
      </c>
      <c r="AP34" s="579">
        <v>9193387</v>
      </c>
      <c r="AQ34" s="579">
        <v>5408</v>
      </c>
      <c r="AR34" s="579">
        <v>4054018</v>
      </c>
      <c r="AS34" s="579">
        <v>5739</v>
      </c>
      <c r="AT34" s="579">
        <v>852046</v>
      </c>
      <c r="AU34" s="619">
        <v>17324</v>
      </c>
      <c r="AV34" s="619">
        <v>32834522</v>
      </c>
      <c r="AW34" s="581">
        <v>31981</v>
      </c>
      <c r="AX34" s="581">
        <v>62552810</v>
      </c>
      <c r="AY34" s="581">
        <v>30306</v>
      </c>
      <c r="AZ34" s="581">
        <v>73677668</v>
      </c>
      <c r="BA34" s="664"/>
      <c r="BB34" s="581"/>
      <c r="BC34" s="664"/>
      <c r="BD34" s="581"/>
      <c r="BE34" s="664"/>
      <c r="BF34" s="581"/>
      <c r="BG34" s="581"/>
      <c r="BH34" s="581"/>
      <c r="BI34" s="664"/>
      <c r="BJ34" s="581">
        <f t="shared" si="2"/>
        <v>308856.62</v>
      </c>
      <c r="BK34" s="581">
        <f t="shared" si="3"/>
        <v>456148087</v>
      </c>
      <c r="BL34" s="541"/>
      <c r="BM34" s="42"/>
      <c r="BN34" s="624"/>
      <c r="BO34" s="624"/>
      <c r="BP34" s="541"/>
      <c r="BQ34" s="541"/>
      <c r="BR34" s="541"/>
      <c r="BS34" s="541"/>
      <c r="BT34" s="541"/>
      <c r="BU34" s="541"/>
      <c r="BV34" s="541"/>
      <c r="BW34" s="541"/>
      <c r="BX34" s="541"/>
      <c r="BY34" s="541"/>
      <c r="BZ34" s="541"/>
      <c r="CA34" s="541"/>
      <c r="CB34" s="541"/>
      <c r="CC34" s="541"/>
      <c r="CD34" s="541"/>
      <c r="CE34" s="541"/>
      <c r="CF34" s="541"/>
      <c r="CG34" s="541"/>
      <c r="CH34" s="541"/>
      <c r="CI34" s="541"/>
      <c r="CJ34" s="541"/>
      <c r="CK34" s="541"/>
      <c r="CL34" s="541"/>
      <c r="CM34" s="541"/>
      <c r="CN34" s="541"/>
      <c r="CO34" s="541"/>
      <c r="CP34" s="541"/>
      <c r="CQ34" s="541"/>
      <c r="CR34" s="541"/>
      <c r="CS34" s="541"/>
      <c r="CT34" s="541"/>
      <c r="CU34" s="541"/>
      <c r="CV34" s="541"/>
      <c r="CW34" s="541"/>
      <c r="CX34" s="541"/>
      <c r="CY34" s="541"/>
      <c r="CZ34" s="541"/>
      <c r="DA34" s="541"/>
      <c r="DB34" s="541"/>
      <c r="DC34" s="541"/>
      <c r="DD34" s="541"/>
      <c r="DE34" s="541"/>
      <c r="DF34" s="541"/>
      <c r="DG34" s="541"/>
      <c r="DH34" s="541"/>
      <c r="DI34" s="541"/>
      <c r="DJ34" s="541"/>
      <c r="DK34" s="541"/>
      <c r="DL34" s="541"/>
      <c r="DM34" s="541"/>
      <c r="DN34" s="541"/>
      <c r="DO34" s="541"/>
      <c r="DP34" s="541"/>
      <c r="DQ34" s="541"/>
      <c r="DR34" s="541"/>
      <c r="DS34" s="541"/>
      <c r="DT34" s="541"/>
      <c r="DU34" s="541"/>
      <c r="DV34" s="541"/>
      <c r="DW34" s="541"/>
      <c r="DX34" s="541"/>
      <c r="DY34" s="541"/>
      <c r="DZ34" s="541"/>
      <c r="EA34" s="541"/>
      <c r="EB34" s="541"/>
      <c r="EC34" s="541"/>
      <c r="ED34" s="541"/>
      <c r="EE34" s="541"/>
      <c r="EF34" s="541"/>
      <c r="EG34" s="541"/>
      <c r="EH34" s="541"/>
      <c r="EI34" s="541"/>
      <c r="EJ34" s="541"/>
      <c r="EK34" s="541"/>
      <c r="EL34" s="541"/>
      <c r="EM34" s="541"/>
      <c r="EN34" s="541"/>
      <c r="EO34" s="541"/>
      <c r="EP34" s="541"/>
      <c r="EQ34" s="541"/>
      <c r="ER34" s="541"/>
      <c r="ES34" s="541"/>
      <c r="ET34" s="541"/>
      <c r="EU34" s="541"/>
      <c r="EV34" s="541"/>
      <c r="EW34" s="541"/>
      <c r="EX34" s="541"/>
      <c r="EY34" s="541"/>
      <c r="EZ34" s="541"/>
      <c r="FA34" s="541"/>
      <c r="FB34" s="541"/>
      <c r="FC34" s="541"/>
      <c r="FD34" s="541"/>
      <c r="FE34" s="541"/>
      <c r="FF34" s="541"/>
      <c r="FG34" s="541"/>
      <c r="FH34" s="541"/>
      <c r="FI34" s="541"/>
      <c r="FJ34" s="541"/>
      <c r="FK34" s="541"/>
      <c r="FL34" s="541"/>
      <c r="FM34" s="541"/>
      <c r="FN34" s="541"/>
      <c r="FO34" s="541"/>
      <c r="FP34" s="541"/>
      <c r="FQ34" s="541"/>
      <c r="FR34" s="541"/>
      <c r="FS34" s="541"/>
      <c r="FT34" s="541"/>
      <c r="FU34" s="541"/>
      <c r="FV34" s="541"/>
      <c r="FW34" s="541"/>
      <c r="FX34" s="541"/>
      <c r="FY34" s="541"/>
      <c r="FZ34" s="541"/>
      <c r="GA34" s="541"/>
      <c r="GB34" s="541"/>
      <c r="GC34" s="541"/>
      <c r="GD34" s="541"/>
      <c r="GE34" s="541"/>
      <c r="GF34" s="541"/>
      <c r="GG34" s="541"/>
      <c r="GH34" s="541"/>
      <c r="GI34" s="541"/>
      <c r="GJ34" s="541"/>
      <c r="GK34" s="541"/>
      <c r="GL34" s="541"/>
      <c r="GM34" s="541"/>
      <c r="GN34" s="541"/>
      <c r="GO34" s="541"/>
      <c r="GP34" s="541"/>
      <c r="GQ34" s="541"/>
      <c r="GR34" s="541"/>
      <c r="GS34" s="541"/>
      <c r="GT34" s="541"/>
      <c r="GU34" s="541"/>
      <c r="GV34" s="541"/>
      <c r="GW34" s="541"/>
      <c r="GX34" s="541"/>
      <c r="GY34" s="541"/>
      <c r="GZ34" s="541"/>
      <c r="HA34" s="541"/>
      <c r="HB34" s="541"/>
      <c r="HC34" s="541"/>
      <c r="HD34" s="541"/>
      <c r="HE34" s="541"/>
      <c r="HF34" s="541"/>
      <c r="HG34" s="541"/>
      <c r="HH34" s="541"/>
      <c r="HI34" s="541"/>
      <c r="HJ34" s="541"/>
      <c r="HK34" s="541"/>
      <c r="HL34" s="541"/>
      <c r="HM34" s="541"/>
      <c r="HN34" s="541"/>
      <c r="HO34" s="541"/>
      <c r="HP34" s="541"/>
      <c r="HQ34" s="541"/>
      <c r="HR34" s="541"/>
      <c r="HS34" s="541"/>
      <c r="HT34" s="541"/>
      <c r="HU34" s="541"/>
      <c r="HV34" s="541"/>
      <c r="HW34" s="541"/>
      <c r="HX34" s="541"/>
      <c r="HY34" s="541"/>
      <c r="HZ34" s="541"/>
      <c r="IA34" s="541"/>
      <c r="IB34" s="541"/>
      <c r="IC34" s="541"/>
      <c r="ID34" s="541"/>
      <c r="IE34" s="541"/>
      <c r="IF34" s="541"/>
      <c r="IG34" s="541"/>
      <c r="IH34" s="541"/>
      <c r="II34" s="541"/>
      <c r="IJ34" s="541"/>
      <c r="IK34" s="541"/>
      <c r="IL34" s="541"/>
      <c r="IM34" s="541"/>
      <c r="IN34" s="541"/>
      <c r="IO34" s="541"/>
      <c r="IP34" s="541"/>
      <c r="IQ34" s="541"/>
      <c r="IR34" s="541"/>
      <c r="IS34" s="541"/>
      <c r="IT34" s="541"/>
      <c r="IU34" s="541"/>
      <c r="IV34" s="541"/>
      <c r="IW34" s="541"/>
      <c r="IX34" s="541"/>
      <c r="IY34" s="541"/>
      <c r="IZ34" s="541"/>
      <c r="JA34" s="541"/>
      <c r="JB34" s="541"/>
      <c r="JC34" s="541"/>
      <c r="JD34" s="541"/>
      <c r="JE34" s="541"/>
      <c r="JF34" s="541"/>
      <c r="JG34" s="541"/>
      <c r="JH34" s="541"/>
      <c r="JI34" s="541"/>
      <c r="JJ34" s="541"/>
      <c r="JK34" s="541"/>
      <c r="JL34" s="541"/>
      <c r="JM34" s="541"/>
      <c r="JN34" s="541"/>
      <c r="JO34" s="541"/>
      <c r="JP34" s="541"/>
      <c r="JQ34" s="541"/>
      <c r="JR34" s="541"/>
      <c r="JS34" s="541"/>
      <c r="JT34" s="541"/>
      <c r="JU34" s="541"/>
      <c r="JV34" s="541"/>
      <c r="JW34" s="541"/>
      <c r="JX34" s="541"/>
      <c r="JY34" s="541"/>
      <c r="JZ34" s="541"/>
      <c r="KA34" s="541"/>
      <c r="KB34" s="541"/>
      <c r="KC34" s="541"/>
      <c r="KD34" s="541"/>
      <c r="KE34" s="541"/>
      <c r="KF34" s="541"/>
      <c r="KG34" s="541"/>
      <c r="KH34" s="541"/>
      <c r="KI34" s="541"/>
      <c r="KJ34" s="541"/>
      <c r="KK34" s="541"/>
      <c r="KL34" s="541"/>
      <c r="KM34" s="541"/>
      <c r="KN34" s="541"/>
      <c r="KO34" s="541"/>
      <c r="KP34" s="541"/>
      <c r="KQ34" s="541"/>
      <c r="KR34" s="541"/>
      <c r="KS34" s="541"/>
      <c r="KT34" s="541"/>
      <c r="KU34" s="541"/>
      <c r="KV34" s="541"/>
      <c r="KW34" s="541"/>
      <c r="KX34" s="541"/>
      <c r="KY34" s="541"/>
      <c r="KZ34" s="541"/>
      <c r="LA34" s="541"/>
      <c r="LB34" s="541"/>
      <c r="LC34" s="541"/>
      <c r="LD34" s="541"/>
      <c r="LE34" s="541"/>
      <c r="LF34" s="541"/>
      <c r="LG34" s="541"/>
      <c r="LH34" s="541"/>
      <c r="LI34" s="541"/>
      <c r="LJ34" s="541"/>
      <c r="LK34" s="541"/>
      <c r="LL34" s="541"/>
      <c r="LM34" s="541"/>
      <c r="LN34" s="541"/>
      <c r="LO34" s="541"/>
      <c r="LP34" s="541"/>
      <c r="LQ34" s="541"/>
      <c r="LR34" s="541"/>
      <c r="LS34" s="541"/>
      <c r="LT34" s="541"/>
      <c r="LU34" s="541"/>
      <c r="LV34" s="541"/>
      <c r="LW34" s="541"/>
      <c r="LX34" s="541"/>
      <c r="LY34" s="541"/>
      <c r="LZ34" s="541"/>
      <c r="MA34" s="541"/>
      <c r="MB34" s="541"/>
      <c r="MC34" s="541"/>
      <c r="MD34" s="541"/>
      <c r="ME34" s="541"/>
      <c r="MF34" s="541"/>
      <c r="MG34" s="541"/>
      <c r="MH34" s="541"/>
      <c r="MI34" s="541"/>
      <c r="MJ34" s="541"/>
      <c r="MK34" s="541"/>
      <c r="ML34" s="541"/>
      <c r="MM34" s="541"/>
      <c r="MN34" s="541"/>
      <c r="MO34" s="541"/>
      <c r="MP34" s="541"/>
      <c r="MQ34" s="541"/>
      <c r="MR34" s="541"/>
      <c r="MS34" s="541"/>
      <c r="MT34" s="541"/>
      <c r="MU34" s="541"/>
      <c r="MV34" s="541"/>
      <c r="MW34" s="541"/>
      <c r="MX34" s="541"/>
      <c r="MY34" s="541"/>
      <c r="MZ34" s="541"/>
      <c r="NA34" s="541"/>
      <c r="NB34" s="541"/>
      <c r="NC34" s="541"/>
      <c r="ND34" s="541"/>
      <c r="NE34" s="541"/>
      <c r="NF34" s="541"/>
      <c r="NG34" s="541"/>
      <c r="NH34" s="541"/>
      <c r="NI34" s="541"/>
      <c r="NJ34" s="541"/>
      <c r="NK34" s="541"/>
      <c r="NL34" s="541"/>
      <c r="NM34" s="541"/>
      <c r="NN34" s="541"/>
      <c r="NO34" s="541"/>
      <c r="NP34" s="541"/>
      <c r="NQ34" s="541"/>
      <c r="NR34" s="541"/>
      <c r="NS34" s="541"/>
      <c r="NT34" s="541"/>
      <c r="NU34" s="541"/>
      <c r="NV34" s="541"/>
      <c r="NW34" s="541"/>
      <c r="NX34" s="541"/>
      <c r="NY34" s="541"/>
      <c r="NZ34" s="541"/>
      <c r="OA34" s="541"/>
      <c r="OB34" s="541"/>
      <c r="OC34" s="541"/>
      <c r="OD34" s="541"/>
      <c r="OE34" s="541"/>
      <c r="OF34" s="541"/>
      <c r="OG34" s="541"/>
      <c r="OH34" s="541"/>
      <c r="OI34" s="541"/>
      <c r="OJ34" s="541"/>
      <c r="OK34" s="541"/>
      <c r="OL34" s="541"/>
      <c r="OM34" s="541"/>
      <c r="ON34" s="541"/>
      <c r="OO34" s="541"/>
      <c r="OP34" s="541"/>
      <c r="OQ34" s="541"/>
      <c r="OR34" s="541"/>
      <c r="OS34" s="541"/>
      <c r="OT34" s="541"/>
      <c r="OU34" s="541"/>
      <c r="OV34" s="541"/>
      <c r="OW34" s="541"/>
      <c r="OX34" s="541"/>
      <c r="OY34" s="541"/>
      <c r="OZ34" s="541"/>
      <c r="PA34" s="541"/>
      <c r="PB34" s="541"/>
      <c r="PC34" s="541"/>
      <c r="PD34" s="541"/>
      <c r="PE34" s="541"/>
      <c r="PF34" s="541"/>
      <c r="PG34" s="541"/>
      <c r="PH34" s="541"/>
      <c r="PI34" s="541"/>
      <c r="PJ34" s="541"/>
      <c r="PK34" s="541"/>
      <c r="PL34" s="541"/>
      <c r="PM34" s="541"/>
      <c r="PN34" s="541"/>
      <c r="PO34" s="541"/>
      <c r="PP34" s="541"/>
      <c r="PQ34" s="541"/>
      <c r="PR34" s="541"/>
      <c r="PS34" s="541"/>
      <c r="PT34" s="541"/>
      <c r="PU34" s="541"/>
      <c r="PV34" s="541"/>
      <c r="PW34" s="541"/>
      <c r="PX34" s="541"/>
      <c r="PY34" s="541"/>
      <c r="PZ34" s="541"/>
      <c r="QA34" s="541"/>
      <c r="QB34" s="541"/>
      <c r="QC34" s="541"/>
      <c r="QD34" s="541"/>
      <c r="QE34" s="541"/>
      <c r="QF34" s="541"/>
      <c r="QG34" s="541"/>
      <c r="QH34" s="541"/>
      <c r="QI34" s="541"/>
      <c r="QJ34" s="541"/>
      <c r="QK34" s="541"/>
      <c r="QL34" s="541"/>
      <c r="QM34" s="541"/>
      <c r="QN34" s="541"/>
      <c r="QO34" s="541"/>
      <c r="QP34" s="541"/>
      <c r="QQ34" s="541"/>
      <c r="QR34" s="541"/>
      <c r="QS34" s="541"/>
      <c r="QT34" s="541"/>
      <c r="QU34" s="541"/>
      <c r="QV34" s="541"/>
      <c r="QW34" s="541"/>
      <c r="QX34" s="541"/>
      <c r="QY34" s="541"/>
      <c r="QZ34" s="541"/>
      <c r="RA34" s="541"/>
      <c r="RB34" s="541"/>
      <c r="RC34" s="541"/>
      <c r="RD34" s="541"/>
      <c r="RE34" s="541"/>
      <c r="RF34" s="541"/>
      <c r="RG34" s="541"/>
      <c r="RH34" s="541"/>
      <c r="RI34" s="541"/>
      <c r="RJ34" s="541"/>
      <c r="RK34" s="541"/>
      <c r="RL34" s="541"/>
      <c r="RM34" s="541"/>
      <c r="RN34" s="541"/>
      <c r="RO34" s="541"/>
      <c r="RP34" s="541"/>
      <c r="RQ34" s="541"/>
      <c r="RR34" s="541"/>
      <c r="RS34" s="541"/>
      <c r="RT34" s="541"/>
      <c r="RU34" s="541"/>
      <c r="RV34" s="541"/>
      <c r="RW34" s="541"/>
      <c r="RX34" s="541"/>
      <c r="RY34" s="541"/>
      <c r="RZ34" s="541"/>
      <c r="SA34" s="541"/>
      <c r="SB34" s="541"/>
      <c r="SC34" s="541"/>
      <c r="SD34" s="541"/>
      <c r="SE34" s="541"/>
      <c r="SF34" s="541"/>
      <c r="SG34" s="541"/>
      <c r="SH34" s="541"/>
      <c r="SI34" s="541"/>
      <c r="SJ34" s="541"/>
      <c r="SK34" s="541"/>
      <c r="SL34" s="541"/>
      <c r="SM34" s="541"/>
      <c r="SN34" s="541"/>
      <c r="SO34" s="541"/>
      <c r="SP34" s="541"/>
      <c r="SQ34" s="541"/>
      <c r="SR34" s="541"/>
      <c r="SS34" s="541"/>
      <c r="ST34" s="541"/>
      <c r="SU34" s="541"/>
      <c r="SV34" s="541"/>
      <c r="SW34" s="541"/>
      <c r="SX34" s="541"/>
      <c r="SY34" s="541"/>
      <c r="SZ34" s="541"/>
      <c r="TA34" s="541"/>
      <c r="TB34" s="541"/>
      <c r="TC34" s="541"/>
      <c r="TD34" s="541"/>
      <c r="TE34" s="541"/>
      <c r="TF34" s="541"/>
      <c r="TG34" s="541"/>
      <c r="TH34" s="541"/>
      <c r="TI34" s="541"/>
      <c r="TJ34" s="541"/>
      <c r="TK34" s="541"/>
      <c r="TL34" s="541"/>
      <c r="TM34" s="541"/>
      <c r="TN34" s="541"/>
      <c r="TO34" s="541"/>
      <c r="TP34" s="541"/>
      <c r="TQ34" s="541"/>
      <c r="TR34" s="541"/>
      <c r="TS34" s="541"/>
      <c r="TT34" s="541"/>
      <c r="TU34" s="541"/>
      <c r="TV34" s="541"/>
      <c r="TW34" s="541"/>
      <c r="TX34" s="541"/>
      <c r="TY34" s="541"/>
      <c r="TZ34" s="541"/>
      <c r="UA34" s="541"/>
      <c r="UB34" s="541"/>
      <c r="UC34" s="541"/>
      <c r="UD34" s="541"/>
      <c r="UE34" s="541"/>
      <c r="UF34" s="541"/>
      <c r="UG34" s="541"/>
      <c r="UH34" s="541"/>
      <c r="UI34" s="541"/>
      <c r="UJ34" s="541"/>
      <c r="UK34" s="541"/>
      <c r="UL34" s="541"/>
      <c r="UM34" s="541"/>
      <c r="UN34" s="541"/>
      <c r="UO34" s="541"/>
      <c r="UP34" s="541"/>
      <c r="UQ34" s="541"/>
      <c r="UR34" s="541"/>
      <c r="US34" s="541"/>
      <c r="UT34" s="541"/>
      <c r="UU34" s="541"/>
      <c r="UV34" s="541"/>
      <c r="UW34" s="541"/>
      <c r="UX34" s="541"/>
      <c r="UY34" s="541"/>
      <c r="UZ34" s="541"/>
      <c r="VA34" s="541"/>
      <c r="VB34" s="541"/>
      <c r="VC34" s="541"/>
      <c r="VD34" s="541"/>
      <c r="VE34" s="541"/>
      <c r="VF34" s="541"/>
      <c r="VG34" s="541"/>
      <c r="VH34" s="541"/>
      <c r="VI34" s="541"/>
      <c r="VJ34" s="541"/>
      <c r="VK34" s="541"/>
      <c r="VL34" s="541"/>
      <c r="VM34" s="541"/>
      <c r="VN34" s="541"/>
      <c r="VO34" s="541"/>
      <c r="VP34" s="541"/>
      <c r="VQ34" s="541"/>
      <c r="VR34" s="541"/>
      <c r="VS34" s="541"/>
      <c r="VT34" s="541"/>
      <c r="VU34" s="541"/>
      <c r="VV34" s="541"/>
      <c r="VW34" s="541"/>
      <c r="VX34" s="541"/>
      <c r="VY34" s="541"/>
      <c r="VZ34" s="541"/>
      <c r="WA34" s="541"/>
      <c r="WB34" s="541"/>
      <c r="WC34" s="541"/>
      <c r="WD34" s="541"/>
      <c r="WE34" s="541"/>
      <c r="WF34" s="541"/>
      <c r="WG34" s="541"/>
      <c r="WH34" s="541"/>
      <c r="WI34" s="541"/>
      <c r="WJ34" s="541"/>
      <c r="WK34" s="541"/>
      <c r="WL34" s="541"/>
      <c r="WM34" s="541"/>
      <c r="WN34" s="541"/>
      <c r="WO34" s="541"/>
      <c r="WP34" s="541"/>
      <c r="WQ34" s="541"/>
      <c r="WR34" s="541"/>
      <c r="WS34" s="541"/>
      <c r="WT34" s="541"/>
      <c r="WU34" s="541"/>
      <c r="WV34" s="541"/>
      <c r="WW34" s="541"/>
      <c r="WX34" s="541"/>
      <c r="WY34" s="541"/>
      <c r="WZ34" s="541"/>
      <c r="XA34" s="541"/>
      <c r="XB34" s="541"/>
      <c r="XC34" s="541"/>
      <c r="XD34" s="541"/>
      <c r="XE34" s="541"/>
      <c r="XF34" s="541"/>
      <c r="XG34" s="541"/>
      <c r="XH34" s="541"/>
      <c r="XI34" s="541"/>
      <c r="XJ34" s="541"/>
      <c r="XK34" s="541"/>
      <c r="XL34" s="541"/>
      <c r="XM34" s="541"/>
      <c r="XN34" s="541"/>
      <c r="XO34" s="541"/>
      <c r="XP34" s="541"/>
      <c r="XQ34" s="541"/>
      <c r="XR34" s="541"/>
      <c r="XS34" s="541"/>
      <c r="XT34" s="541"/>
      <c r="XU34" s="541"/>
      <c r="XV34" s="541"/>
      <c r="XW34" s="541"/>
      <c r="XX34" s="541"/>
      <c r="XY34" s="541"/>
      <c r="XZ34" s="541"/>
      <c r="YA34" s="541"/>
      <c r="YB34" s="541"/>
      <c r="YC34" s="541"/>
      <c r="YD34" s="541"/>
      <c r="YE34" s="541"/>
      <c r="YF34" s="541"/>
      <c r="YG34" s="541"/>
      <c r="YH34" s="541"/>
      <c r="YI34" s="541"/>
      <c r="YJ34" s="541"/>
      <c r="YK34" s="541"/>
      <c r="YL34" s="541"/>
      <c r="YM34" s="541"/>
      <c r="YN34" s="541"/>
      <c r="YO34" s="541"/>
      <c r="YP34" s="541"/>
      <c r="YQ34" s="541"/>
      <c r="YR34" s="541"/>
      <c r="YS34" s="541"/>
      <c r="YT34" s="541"/>
      <c r="YU34" s="541"/>
      <c r="YV34" s="541"/>
      <c r="YW34" s="541"/>
      <c r="YX34" s="541"/>
      <c r="YY34" s="541"/>
      <c r="YZ34" s="541"/>
      <c r="ZA34" s="541"/>
      <c r="ZB34" s="541"/>
      <c r="ZC34" s="541"/>
      <c r="ZD34" s="541"/>
      <c r="ZE34" s="541"/>
      <c r="ZF34" s="541"/>
      <c r="ZG34" s="541"/>
      <c r="ZH34" s="541"/>
      <c r="ZI34" s="541"/>
      <c r="ZJ34" s="541"/>
      <c r="ZK34" s="541"/>
      <c r="ZL34" s="541"/>
      <c r="ZM34" s="541"/>
      <c r="ZN34" s="541"/>
      <c r="ZO34" s="541"/>
      <c r="ZP34" s="541"/>
      <c r="ZQ34" s="541"/>
      <c r="ZR34" s="541"/>
      <c r="ZS34" s="541"/>
      <c r="ZT34" s="541"/>
      <c r="ZU34" s="541"/>
      <c r="ZV34" s="541"/>
      <c r="ZW34" s="541"/>
      <c r="ZX34" s="541"/>
      <c r="ZY34" s="541"/>
      <c r="ZZ34" s="541"/>
      <c r="AAA34" s="541"/>
      <c r="AAB34" s="541"/>
      <c r="AAC34" s="541"/>
      <c r="AAD34" s="541"/>
      <c r="AAE34" s="541"/>
      <c r="AAF34" s="541"/>
      <c r="AAG34" s="541"/>
      <c r="AAH34" s="541"/>
      <c r="AAI34" s="541"/>
      <c r="AAJ34" s="541"/>
      <c r="AAK34" s="541"/>
      <c r="AAL34" s="541"/>
      <c r="AAM34" s="541"/>
      <c r="AAN34" s="541"/>
      <c r="AAO34" s="541"/>
      <c r="AAP34" s="541"/>
      <c r="AAQ34" s="541"/>
      <c r="AAR34" s="541"/>
      <c r="AAS34" s="541"/>
      <c r="AAT34" s="541"/>
      <c r="AAU34" s="541"/>
      <c r="AAV34" s="541"/>
      <c r="AAW34" s="541"/>
      <c r="AAX34" s="541"/>
      <c r="AAY34" s="541"/>
      <c r="AAZ34" s="541"/>
      <c r="ABA34" s="541"/>
      <c r="ABB34" s="541"/>
      <c r="ABC34" s="541"/>
      <c r="ABD34" s="541"/>
      <c r="ABE34" s="541"/>
      <c r="ABF34" s="541"/>
      <c r="ABG34" s="541"/>
      <c r="ABH34" s="541"/>
      <c r="ABI34" s="541"/>
      <c r="ABJ34" s="541"/>
      <c r="ABK34" s="541"/>
      <c r="ABL34" s="541"/>
      <c r="ABM34" s="541"/>
      <c r="ABN34" s="541"/>
      <c r="ABO34" s="541"/>
      <c r="ABP34" s="541"/>
      <c r="ABQ34" s="541"/>
      <c r="ABR34" s="541"/>
      <c r="ABS34" s="541"/>
      <c r="ABT34" s="541"/>
      <c r="ABU34" s="541"/>
      <c r="ABV34" s="541"/>
      <c r="ABW34" s="541"/>
      <c r="ABX34" s="541"/>
      <c r="ABY34" s="541"/>
      <c r="ABZ34" s="541"/>
      <c r="ACA34" s="541"/>
      <c r="ACB34" s="541"/>
      <c r="ACC34" s="541"/>
      <c r="ACD34" s="541"/>
      <c r="ACE34" s="541"/>
      <c r="ACF34" s="541"/>
      <c r="ACG34" s="541"/>
      <c r="ACH34" s="541"/>
      <c r="ACI34" s="541"/>
      <c r="ACJ34" s="541"/>
      <c r="ACK34" s="541"/>
      <c r="ACL34" s="541"/>
      <c r="ACM34" s="541"/>
      <c r="ACN34" s="541"/>
      <c r="ACO34" s="541"/>
      <c r="ACP34" s="541"/>
      <c r="ACQ34" s="541"/>
      <c r="ACR34" s="541"/>
      <c r="ACS34" s="541"/>
      <c r="ACT34" s="541"/>
      <c r="ACU34" s="541"/>
      <c r="ACV34" s="541"/>
      <c r="ACW34" s="541"/>
      <c r="ACX34" s="541"/>
      <c r="ACY34" s="541"/>
      <c r="ACZ34" s="541"/>
      <c r="ADA34" s="541"/>
      <c r="ADB34" s="541"/>
      <c r="ADC34" s="541"/>
      <c r="ADD34" s="541"/>
      <c r="ADE34" s="541"/>
      <c r="ADF34" s="541"/>
      <c r="ADG34" s="541"/>
      <c r="ADH34" s="541"/>
      <c r="ADI34" s="541"/>
      <c r="ADJ34" s="541"/>
      <c r="ADK34" s="541"/>
      <c r="ADL34" s="541"/>
      <c r="ADM34" s="541"/>
      <c r="ADN34" s="541"/>
      <c r="ADO34" s="541"/>
      <c r="ADP34" s="541"/>
      <c r="ADQ34" s="541"/>
      <c r="ADR34" s="541"/>
      <c r="ADS34" s="541"/>
      <c r="ADT34" s="541"/>
      <c r="ADU34" s="541"/>
      <c r="ADV34" s="541"/>
      <c r="ADW34" s="541"/>
      <c r="ADX34" s="541"/>
      <c r="ADY34" s="541"/>
      <c r="ADZ34" s="541"/>
      <c r="AEA34" s="541"/>
      <c r="AEB34" s="541"/>
      <c r="AEC34" s="541"/>
      <c r="AED34" s="541"/>
      <c r="AEE34" s="541"/>
      <c r="AEF34" s="541"/>
      <c r="AEG34" s="541"/>
      <c r="AEH34" s="541"/>
      <c r="AEI34" s="541"/>
      <c r="AEJ34" s="541"/>
      <c r="AEK34" s="541"/>
      <c r="AEL34" s="541"/>
      <c r="AEM34" s="541"/>
      <c r="AEN34" s="541"/>
      <c r="AEO34" s="541"/>
      <c r="AEP34" s="541"/>
      <c r="AEQ34" s="541"/>
      <c r="AER34" s="541"/>
      <c r="AES34" s="541"/>
      <c r="AET34" s="541"/>
      <c r="AEU34" s="541"/>
      <c r="AEV34" s="541"/>
      <c r="AEW34" s="541"/>
      <c r="AEX34" s="541"/>
      <c r="AEY34" s="541"/>
      <c r="AEZ34" s="541"/>
      <c r="AFA34" s="541"/>
      <c r="AFB34" s="541"/>
      <c r="AFC34" s="541"/>
      <c r="AFD34" s="541"/>
      <c r="AFE34" s="541"/>
      <c r="AFF34" s="541"/>
      <c r="AFG34" s="541"/>
      <c r="AFH34" s="541"/>
      <c r="AFI34" s="541"/>
      <c r="AFJ34" s="541"/>
      <c r="AFK34" s="541"/>
      <c r="AFL34" s="541"/>
      <c r="AFM34" s="541"/>
      <c r="AFN34" s="541"/>
      <c r="AFO34" s="541"/>
      <c r="AFP34" s="541"/>
      <c r="AFQ34" s="541"/>
      <c r="AFR34" s="541"/>
      <c r="AFS34" s="541"/>
      <c r="AFT34" s="541"/>
      <c r="AFU34" s="541"/>
      <c r="AFV34" s="541"/>
      <c r="AFW34" s="541"/>
      <c r="AFX34" s="541"/>
      <c r="AFY34" s="541"/>
      <c r="AFZ34" s="541"/>
      <c r="AGA34" s="541"/>
      <c r="AGB34" s="541"/>
      <c r="AGC34" s="541"/>
      <c r="AGD34" s="541"/>
      <c r="AGE34" s="541"/>
      <c r="AGF34" s="541"/>
      <c r="AGG34" s="541"/>
      <c r="AGH34" s="541"/>
      <c r="AGI34" s="541"/>
      <c r="AGJ34" s="541"/>
      <c r="AGK34" s="541"/>
      <c r="AGL34" s="541"/>
      <c r="AGM34" s="541"/>
      <c r="AGN34" s="541"/>
      <c r="AGO34" s="541"/>
      <c r="AGP34" s="541"/>
      <c r="AGQ34" s="541"/>
      <c r="AGR34" s="541"/>
      <c r="AGS34" s="541"/>
      <c r="AGT34" s="541"/>
      <c r="AGU34" s="541"/>
      <c r="AGV34" s="541"/>
      <c r="AGW34" s="541"/>
      <c r="AGX34" s="541"/>
      <c r="AGY34" s="541"/>
      <c r="AGZ34" s="541"/>
      <c r="AHA34" s="541"/>
      <c r="AHB34" s="541"/>
      <c r="AHC34" s="541"/>
      <c r="AHD34" s="541"/>
      <c r="AHE34" s="541"/>
      <c r="AHF34" s="541"/>
      <c r="AHG34" s="541"/>
      <c r="AHH34" s="541"/>
      <c r="AHI34" s="541"/>
      <c r="AHJ34" s="541"/>
      <c r="AHK34" s="541"/>
      <c r="AHL34" s="541"/>
      <c r="AHM34" s="541"/>
      <c r="AHN34" s="541"/>
      <c r="AHO34" s="541"/>
      <c r="AHP34" s="541"/>
      <c r="AHQ34" s="541"/>
      <c r="AHR34" s="541"/>
      <c r="AHS34" s="541"/>
      <c r="AHT34" s="541"/>
      <c r="AHU34" s="541"/>
      <c r="AHV34" s="541"/>
      <c r="AHW34" s="541"/>
      <c r="AHX34" s="541"/>
      <c r="AHY34" s="541"/>
      <c r="AHZ34" s="541"/>
      <c r="AIA34" s="541"/>
      <c r="AIB34" s="541"/>
      <c r="AIC34" s="541"/>
      <c r="AID34" s="541"/>
      <c r="AIE34" s="541"/>
      <c r="AIF34" s="541"/>
      <c r="AIG34" s="541"/>
      <c r="AIH34" s="541"/>
      <c r="AII34" s="541"/>
      <c r="AIJ34" s="541"/>
      <c r="AIK34" s="541"/>
      <c r="AIL34" s="541"/>
      <c r="AIM34" s="541"/>
      <c r="AIN34" s="541"/>
      <c r="AIO34" s="541"/>
      <c r="AIP34" s="541"/>
      <c r="AIQ34" s="541"/>
      <c r="AIR34" s="541"/>
      <c r="AIS34" s="541"/>
      <c r="AIT34" s="541"/>
      <c r="AIU34" s="541"/>
      <c r="AIV34" s="541"/>
      <c r="AIW34" s="541"/>
      <c r="AIX34" s="541"/>
      <c r="AIY34" s="541"/>
      <c r="AIZ34" s="541"/>
      <c r="AJA34" s="541"/>
      <c r="AJB34" s="541"/>
      <c r="AJC34" s="541"/>
      <c r="AJD34" s="541"/>
      <c r="AJE34" s="541"/>
      <c r="AJF34" s="541"/>
      <c r="AJG34" s="541"/>
      <c r="AJH34" s="541"/>
      <c r="AJI34" s="541"/>
      <c r="AJJ34" s="541"/>
      <c r="AJK34" s="541"/>
      <c r="AJL34" s="541"/>
      <c r="AJM34" s="541"/>
      <c r="AJN34" s="541"/>
      <c r="AJO34" s="541"/>
      <c r="AJP34" s="541"/>
      <c r="AJQ34" s="541"/>
      <c r="AJR34" s="541"/>
      <c r="AJS34" s="541"/>
      <c r="AJT34" s="541"/>
      <c r="AJU34" s="541"/>
      <c r="AJV34" s="541"/>
      <c r="AJW34" s="541"/>
      <c r="AJX34" s="541"/>
      <c r="AJY34" s="541"/>
      <c r="AJZ34" s="541"/>
      <c r="AKA34" s="541"/>
      <c r="AKB34" s="541"/>
      <c r="AKC34" s="541"/>
      <c r="AKD34" s="541"/>
      <c r="AKE34" s="541"/>
      <c r="AKF34" s="541"/>
      <c r="AKG34" s="541"/>
      <c r="AKH34" s="541"/>
      <c r="AKI34" s="541"/>
      <c r="AKJ34" s="541"/>
      <c r="AKK34" s="541"/>
      <c r="AKL34" s="541"/>
      <c r="AKM34" s="541"/>
      <c r="AKN34" s="541"/>
      <c r="AKO34" s="541"/>
      <c r="AKP34" s="541"/>
      <c r="AKQ34" s="541"/>
      <c r="AKR34" s="541"/>
      <c r="AKS34" s="541"/>
      <c r="AKT34" s="541"/>
      <c r="AKU34" s="541"/>
      <c r="AKV34" s="541"/>
      <c r="AKW34" s="541"/>
      <c r="AKX34" s="541"/>
      <c r="AKY34" s="541"/>
      <c r="AKZ34" s="541"/>
      <c r="ALA34" s="541"/>
      <c r="ALB34" s="541"/>
      <c r="ALC34" s="541"/>
      <c r="ALD34" s="541"/>
      <c r="ALE34" s="541"/>
      <c r="ALF34" s="541"/>
      <c r="ALG34" s="541"/>
      <c r="ALH34" s="541"/>
      <c r="ALI34" s="541"/>
      <c r="ALJ34" s="541"/>
      <c r="ALK34" s="541"/>
      <c r="ALL34" s="541"/>
      <c r="ALM34" s="541"/>
      <c r="ALN34" s="541"/>
      <c r="ALO34" s="541"/>
      <c r="ALP34" s="541"/>
      <c r="ALQ34" s="541"/>
      <c r="ALR34" s="541"/>
      <c r="ALS34" s="541"/>
      <c r="ALT34" s="541"/>
      <c r="ALU34" s="541"/>
      <c r="ALV34" s="541"/>
      <c r="ALW34" s="541"/>
      <c r="ALX34" s="541"/>
      <c r="ALY34" s="541"/>
      <c r="ALZ34" s="541"/>
      <c r="AMA34" s="541"/>
      <c r="AMB34" s="541"/>
      <c r="AMC34" s="541"/>
      <c r="AMD34" s="541"/>
      <c r="AME34" s="541"/>
      <c r="AMF34" s="541"/>
      <c r="AMG34" s="541"/>
      <c r="AMH34" s="541"/>
      <c r="AMI34" s="541"/>
      <c r="AMJ34" s="541"/>
      <c r="AMK34" s="541"/>
      <c r="AML34" s="541"/>
      <c r="AMM34" s="541"/>
      <c r="AMN34" s="541"/>
      <c r="AMO34" s="541"/>
      <c r="AMP34" s="541"/>
      <c r="AMQ34" s="541"/>
      <c r="AMR34" s="541"/>
      <c r="AMS34" s="541"/>
      <c r="AMT34" s="541"/>
      <c r="AMU34" s="541"/>
      <c r="AMV34" s="541"/>
      <c r="AMW34" s="541"/>
      <c r="AMX34" s="541"/>
      <c r="AMY34" s="541"/>
      <c r="AMZ34" s="541"/>
      <c r="ANA34" s="541"/>
      <c r="ANB34" s="541"/>
      <c r="ANC34" s="541"/>
      <c r="AND34" s="541"/>
      <c r="ANE34" s="541"/>
      <c r="ANF34" s="541"/>
      <c r="ANG34" s="541"/>
      <c r="ANH34" s="541"/>
      <c r="ANI34" s="541"/>
      <c r="ANJ34" s="541"/>
      <c r="ANK34" s="541"/>
      <c r="ANL34" s="541"/>
      <c r="ANM34" s="541"/>
      <c r="ANN34" s="541"/>
      <c r="ANO34" s="541"/>
      <c r="ANP34" s="541"/>
      <c r="ANQ34" s="541"/>
      <c r="ANR34" s="541"/>
      <c r="ANS34" s="541"/>
      <c r="ANT34" s="541"/>
      <c r="ANU34" s="541"/>
      <c r="ANV34" s="541"/>
      <c r="ANW34" s="541"/>
      <c r="ANX34" s="541"/>
      <c r="ANY34" s="541"/>
      <c r="ANZ34" s="541"/>
      <c r="AOA34" s="541"/>
      <c r="AOB34" s="541"/>
      <c r="AOC34" s="541"/>
      <c r="AOD34" s="541"/>
      <c r="AOE34" s="541"/>
      <c r="AOF34" s="541"/>
      <c r="AOG34" s="541"/>
      <c r="AOH34" s="541"/>
      <c r="AOI34" s="541"/>
      <c r="AOJ34" s="541"/>
      <c r="AOK34" s="541"/>
      <c r="AOL34" s="541"/>
      <c r="AOM34" s="541"/>
      <c r="AON34" s="541"/>
      <c r="AOO34" s="541"/>
      <c r="AOP34" s="541"/>
      <c r="AOQ34" s="541"/>
      <c r="AOR34" s="541"/>
      <c r="AOS34" s="541"/>
      <c r="AOT34" s="541"/>
      <c r="AOU34" s="541"/>
      <c r="AOV34" s="541"/>
      <c r="AOW34" s="541"/>
      <c r="AOX34" s="541"/>
      <c r="AOY34" s="541"/>
      <c r="AOZ34" s="541"/>
      <c r="APA34" s="541"/>
      <c r="APB34" s="541"/>
      <c r="APC34" s="541"/>
      <c r="APD34" s="541"/>
      <c r="APE34" s="541"/>
      <c r="APF34" s="541"/>
      <c r="APG34" s="541"/>
      <c r="APH34" s="541"/>
      <c r="API34" s="541"/>
      <c r="APJ34" s="541"/>
      <c r="APK34" s="541"/>
      <c r="APL34" s="541"/>
      <c r="APM34" s="541"/>
      <c r="APN34" s="541"/>
      <c r="APO34" s="541"/>
      <c r="APP34" s="541"/>
      <c r="APQ34" s="541"/>
      <c r="APR34" s="541"/>
      <c r="APS34" s="541"/>
      <c r="APT34" s="541"/>
      <c r="APU34" s="541"/>
      <c r="APV34" s="541"/>
      <c r="APW34" s="541"/>
      <c r="APX34" s="541"/>
      <c r="APY34" s="541"/>
      <c r="APZ34" s="541"/>
      <c r="AQA34" s="541"/>
      <c r="AQB34" s="541"/>
      <c r="AQC34" s="541"/>
      <c r="AQD34" s="541"/>
      <c r="AQE34" s="541"/>
      <c r="AQF34" s="541"/>
      <c r="AQG34" s="541"/>
      <c r="AQH34" s="541"/>
      <c r="AQI34" s="541"/>
      <c r="AQJ34" s="541"/>
      <c r="AQK34" s="541"/>
      <c r="AQL34" s="541"/>
      <c r="AQM34" s="541"/>
      <c r="AQN34" s="541"/>
      <c r="AQO34" s="541"/>
      <c r="AQP34" s="541"/>
      <c r="AQQ34" s="541"/>
      <c r="AQR34" s="541"/>
      <c r="AQS34" s="541"/>
      <c r="AQT34" s="541"/>
      <c r="AQU34" s="541"/>
      <c r="AQV34" s="541"/>
      <c r="AQW34" s="541"/>
      <c r="AQX34" s="541"/>
      <c r="AQY34" s="541"/>
      <c r="AQZ34" s="541"/>
      <c r="ARA34" s="541"/>
      <c r="ARB34" s="541"/>
      <c r="ARC34" s="541"/>
      <c r="ARD34" s="541"/>
      <c r="ARE34" s="541"/>
      <c r="ARF34" s="541"/>
      <c r="ARG34" s="541"/>
      <c r="ARH34" s="541"/>
      <c r="ARI34" s="541"/>
      <c r="ARJ34" s="541"/>
      <c r="ARK34" s="541"/>
      <c r="ARL34" s="541"/>
      <c r="ARM34" s="541"/>
      <c r="ARN34" s="541"/>
      <c r="ARO34" s="541"/>
      <c r="ARP34" s="541"/>
      <c r="ARQ34" s="541"/>
      <c r="ARR34" s="541"/>
      <c r="ARS34" s="541"/>
      <c r="ART34" s="541"/>
    </row>
    <row r="35" spans="1:1164" s="658" customFormat="1">
      <c r="A35" s="613" t="s">
        <v>212</v>
      </c>
      <c r="B35" s="578" t="s">
        <v>110</v>
      </c>
      <c r="C35" s="659"/>
      <c r="D35" s="659"/>
      <c r="E35" s="581"/>
      <c r="F35" s="581"/>
      <c r="G35" s="581"/>
      <c r="H35" s="581"/>
      <c r="I35" s="581"/>
      <c r="J35" s="581"/>
      <c r="K35" s="581"/>
      <c r="L35" s="581"/>
      <c r="M35" s="581"/>
      <c r="N35" s="581"/>
      <c r="O35" s="581"/>
      <c r="P35" s="581"/>
      <c r="Q35" s="581"/>
      <c r="R35" s="581"/>
      <c r="S35" s="581"/>
      <c r="T35" s="581"/>
      <c r="U35" s="598"/>
      <c r="V35" s="598"/>
      <c r="W35" s="598"/>
      <c r="X35" s="598"/>
      <c r="Y35" s="660"/>
      <c r="Z35" s="660"/>
      <c r="AA35" s="619"/>
      <c r="AB35" s="619"/>
      <c r="AC35" s="581"/>
      <c r="AD35" s="581"/>
      <c r="AE35" s="581"/>
      <c r="AF35" s="581"/>
      <c r="AG35" s="619"/>
      <c r="AH35" s="619"/>
      <c r="AI35" s="619"/>
      <c r="AJ35" s="619"/>
      <c r="AK35" s="661"/>
      <c r="AL35" s="661"/>
      <c r="AM35" s="662"/>
      <c r="AN35" s="662"/>
      <c r="AO35" s="579"/>
      <c r="AP35" s="579"/>
      <c r="AQ35" s="579"/>
      <c r="AR35" s="579"/>
      <c r="AS35" s="579"/>
      <c r="AT35" s="579"/>
      <c r="AU35" s="619"/>
      <c r="AV35" s="619"/>
      <c r="AW35" s="581"/>
      <c r="AX35" s="581"/>
      <c r="AY35" s="581"/>
      <c r="AZ35" s="581"/>
      <c r="BA35" s="664"/>
      <c r="BB35" s="581"/>
      <c r="BC35" s="664"/>
      <c r="BD35" s="581"/>
      <c r="BE35" s="664"/>
      <c r="BF35" s="581"/>
      <c r="BG35" s="664"/>
      <c r="BH35" s="581"/>
      <c r="BI35" s="664"/>
      <c r="BJ35" s="581">
        <f t="shared" si="2"/>
        <v>0</v>
      </c>
      <c r="BK35" s="581">
        <f t="shared" si="3"/>
        <v>0</v>
      </c>
      <c r="BL35" s="541"/>
      <c r="BM35" s="42"/>
      <c r="BN35" s="624"/>
      <c r="BO35" s="624"/>
      <c r="BP35" s="541"/>
      <c r="BQ35" s="541"/>
      <c r="BR35" s="541"/>
      <c r="BS35" s="541"/>
      <c r="BT35" s="541"/>
      <c r="BU35" s="541"/>
      <c r="BV35" s="541"/>
      <c r="BW35" s="541"/>
      <c r="BX35" s="541"/>
      <c r="BY35" s="541"/>
      <c r="BZ35" s="541"/>
      <c r="CA35" s="541"/>
      <c r="CB35" s="541"/>
      <c r="CC35" s="541"/>
      <c r="CD35" s="541"/>
      <c r="CE35" s="541"/>
      <c r="CF35" s="541"/>
      <c r="CG35" s="541"/>
      <c r="CH35" s="541"/>
      <c r="CI35" s="541"/>
      <c r="CJ35" s="541"/>
      <c r="CK35" s="541"/>
      <c r="CL35" s="541"/>
      <c r="CM35" s="541"/>
      <c r="CN35" s="541"/>
      <c r="CO35" s="541"/>
      <c r="CP35" s="541"/>
      <c r="CQ35" s="541"/>
      <c r="CR35" s="541"/>
      <c r="CS35" s="541"/>
      <c r="CT35" s="541"/>
      <c r="CU35" s="541"/>
      <c r="CV35" s="541"/>
      <c r="CW35" s="541"/>
      <c r="CX35" s="541"/>
      <c r="CY35" s="541"/>
      <c r="CZ35" s="541"/>
      <c r="DA35" s="541"/>
      <c r="DB35" s="541"/>
      <c r="DC35" s="541"/>
      <c r="DD35" s="541"/>
      <c r="DE35" s="541"/>
      <c r="DF35" s="541"/>
      <c r="DG35" s="541"/>
      <c r="DH35" s="541"/>
      <c r="DI35" s="541"/>
      <c r="DJ35" s="541"/>
      <c r="DK35" s="541"/>
      <c r="DL35" s="541"/>
      <c r="DM35" s="541"/>
      <c r="DN35" s="541"/>
      <c r="DO35" s="541"/>
      <c r="DP35" s="541"/>
      <c r="DQ35" s="541"/>
      <c r="DR35" s="541"/>
      <c r="DS35" s="541"/>
      <c r="DT35" s="541"/>
      <c r="DU35" s="541"/>
      <c r="DV35" s="541"/>
      <c r="DW35" s="541"/>
      <c r="DX35" s="541"/>
      <c r="DY35" s="541"/>
      <c r="DZ35" s="541"/>
      <c r="EA35" s="541"/>
      <c r="EB35" s="541"/>
      <c r="EC35" s="541"/>
      <c r="ED35" s="541"/>
      <c r="EE35" s="541"/>
      <c r="EF35" s="541"/>
      <c r="EG35" s="541"/>
      <c r="EH35" s="541"/>
      <c r="EI35" s="541"/>
      <c r="EJ35" s="541"/>
      <c r="EK35" s="541"/>
      <c r="EL35" s="541"/>
      <c r="EM35" s="541"/>
      <c r="EN35" s="541"/>
      <c r="EO35" s="541"/>
      <c r="EP35" s="541"/>
      <c r="EQ35" s="541"/>
      <c r="ER35" s="541"/>
      <c r="ES35" s="541"/>
      <c r="ET35" s="541"/>
      <c r="EU35" s="541"/>
      <c r="EV35" s="541"/>
      <c r="EW35" s="541"/>
      <c r="EX35" s="541"/>
      <c r="EY35" s="541"/>
      <c r="EZ35" s="541"/>
      <c r="FA35" s="541"/>
      <c r="FB35" s="541"/>
      <c r="FC35" s="541"/>
      <c r="FD35" s="541"/>
      <c r="FE35" s="541"/>
      <c r="FF35" s="541"/>
      <c r="FG35" s="541"/>
      <c r="FH35" s="541"/>
      <c r="FI35" s="541"/>
      <c r="FJ35" s="541"/>
      <c r="FK35" s="541"/>
      <c r="FL35" s="541"/>
      <c r="FM35" s="541"/>
      <c r="FN35" s="541"/>
      <c r="FO35" s="541"/>
      <c r="FP35" s="541"/>
      <c r="FQ35" s="541"/>
      <c r="FR35" s="541"/>
      <c r="FS35" s="541"/>
      <c r="FT35" s="541"/>
      <c r="FU35" s="541"/>
      <c r="FV35" s="541"/>
      <c r="FW35" s="541"/>
      <c r="FX35" s="541"/>
      <c r="FY35" s="541"/>
      <c r="FZ35" s="541"/>
      <c r="GA35" s="541"/>
      <c r="GB35" s="541"/>
      <c r="GC35" s="541"/>
      <c r="GD35" s="541"/>
      <c r="GE35" s="541"/>
      <c r="GF35" s="541"/>
      <c r="GG35" s="541"/>
      <c r="GH35" s="541"/>
      <c r="GI35" s="541"/>
      <c r="GJ35" s="541"/>
      <c r="GK35" s="541"/>
      <c r="GL35" s="541"/>
      <c r="GM35" s="541"/>
      <c r="GN35" s="541"/>
      <c r="GO35" s="541"/>
      <c r="GP35" s="541"/>
      <c r="GQ35" s="541"/>
      <c r="GR35" s="541"/>
      <c r="GS35" s="541"/>
      <c r="GT35" s="541"/>
      <c r="GU35" s="541"/>
      <c r="GV35" s="541"/>
      <c r="GW35" s="541"/>
      <c r="GX35" s="541"/>
      <c r="GY35" s="541"/>
      <c r="GZ35" s="541"/>
      <c r="HA35" s="541"/>
      <c r="HB35" s="541"/>
      <c r="HC35" s="541"/>
      <c r="HD35" s="541"/>
      <c r="HE35" s="541"/>
      <c r="HF35" s="541"/>
      <c r="HG35" s="541"/>
      <c r="HH35" s="541"/>
      <c r="HI35" s="541"/>
      <c r="HJ35" s="541"/>
      <c r="HK35" s="541"/>
      <c r="HL35" s="541"/>
      <c r="HM35" s="541"/>
      <c r="HN35" s="541"/>
      <c r="HO35" s="541"/>
      <c r="HP35" s="541"/>
      <c r="HQ35" s="541"/>
      <c r="HR35" s="541"/>
      <c r="HS35" s="541"/>
      <c r="HT35" s="541"/>
      <c r="HU35" s="541"/>
      <c r="HV35" s="541"/>
      <c r="HW35" s="541"/>
      <c r="HX35" s="541"/>
      <c r="HY35" s="541"/>
      <c r="HZ35" s="541"/>
      <c r="IA35" s="541"/>
      <c r="IB35" s="541"/>
      <c r="IC35" s="541"/>
      <c r="ID35" s="541"/>
      <c r="IE35" s="541"/>
      <c r="IF35" s="541"/>
      <c r="IG35" s="541"/>
      <c r="IH35" s="541"/>
      <c r="II35" s="541"/>
      <c r="IJ35" s="541"/>
      <c r="IK35" s="541"/>
      <c r="IL35" s="541"/>
      <c r="IM35" s="541"/>
      <c r="IN35" s="541"/>
      <c r="IO35" s="541"/>
      <c r="IP35" s="541"/>
      <c r="IQ35" s="541"/>
      <c r="IR35" s="541"/>
      <c r="IS35" s="541"/>
      <c r="IT35" s="541"/>
      <c r="IU35" s="541"/>
      <c r="IV35" s="541"/>
      <c r="IW35" s="541"/>
      <c r="IX35" s="541"/>
      <c r="IY35" s="541"/>
      <c r="IZ35" s="541"/>
      <c r="JA35" s="541"/>
      <c r="JB35" s="541"/>
      <c r="JC35" s="541"/>
      <c r="JD35" s="541"/>
      <c r="JE35" s="541"/>
      <c r="JF35" s="541"/>
      <c r="JG35" s="541"/>
      <c r="JH35" s="541"/>
      <c r="JI35" s="541"/>
      <c r="JJ35" s="541"/>
      <c r="JK35" s="541"/>
      <c r="JL35" s="541"/>
      <c r="JM35" s="541"/>
      <c r="JN35" s="541"/>
      <c r="JO35" s="541"/>
      <c r="JP35" s="541"/>
      <c r="JQ35" s="541"/>
      <c r="JR35" s="541"/>
      <c r="JS35" s="541"/>
      <c r="JT35" s="541"/>
      <c r="JU35" s="541"/>
      <c r="JV35" s="541"/>
      <c r="JW35" s="541"/>
      <c r="JX35" s="541"/>
      <c r="JY35" s="541"/>
      <c r="JZ35" s="541"/>
      <c r="KA35" s="541"/>
      <c r="KB35" s="541"/>
      <c r="KC35" s="541"/>
      <c r="KD35" s="541"/>
      <c r="KE35" s="541"/>
      <c r="KF35" s="541"/>
      <c r="KG35" s="541"/>
      <c r="KH35" s="541"/>
      <c r="KI35" s="541"/>
      <c r="KJ35" s="541"/>
      <c r="KK35" s="541"/>
      <c r="KL35" s="541"/>
      <c r="KM35" s="541"/>
      <c r="KN35" s="541"/>
      <c r="KO35" s="541"/>
      <c r="KP35" s="541"/>
      <c r="KQ35" s="541"/>
      <c r="KR35" s="541"/>
      <c r="KS35" s="541"/>
      <c r="KT35" s="541"/>
      <c r="KU35" s="541"/>
      <c r="KV35" s="541"/>
      <c r="KW35" s="541"/>
      <c r="KX35" s="541"/>
      <c r="KY35" s="541"/>
      <c r="KZ35" s="541"/>
      <c r="LA35" s="541"/>
      <c r="LB35" s="541"/>
      <c r="LC35" s="541"/>
      <c r="LD35" s="541"/>
      <c r="LE35" s="541"/>
      <c r="LF35" s="541"/>
      <c r="LG35" s="541"/>
      <c r="LH35" s="541"/>
      <c r="LI35" s="541"/>
      <c r="LJ35" s="541"/>
      <c r="LK35" s="541"/>
      <c r="LL35" s="541"/>
      <c r="LM35" s="541"/>
      <c r="LN35" s="541"/>
      <c r="LO35" s="541"/>
      <c r="LP35" s="541"/>
      <c r="LQ35" s="541"/>
      <c r="LR35" s="541"/>
      <c r="LS35" s="541"/>
      <c r="LT35" s="541"/>
      <c r="LU35" s="541"/>
      <c r="LV35" s="541"/>
      <c r="LW35" s="541"/>
      <c r="LX35" s="541"/>
      <c r="LY35" s="541"/>
      <c r="LZ35" s="541"/>
      <c r="MA35" s="541"/>
      <c r="MB35" s="541"/>
      <c r="MC35" s="541"/>
      <c r="MD35" s="541"/>
      <c r="ME35" s="541"/>
      <c r="MF35" s="541"/>
      <c r="MG35" s="541"/>
      <c r="MH35" s="541"/>
      <c r="MI35" s="541"/>
      <c r="MJ35" s="541"/>
      <c r="MK35" s="541"/>
      <c r="ML35" s="541"/>
      <c r="MM35" s="541"/>
      <c r="MN35" s="541"/>
      <c r="MO35" s="541"/>
      <c r="MP35" s="541"/>
      <c r="MQ35" s="541"/>
      <c r="MR35" s="541"/>
      <c r="MS35" s="541"/>
      <c r="MT35" s="541"/>
      <c r="MU35" s="541"/>
      <c r="MV35" s="541"/>
      <c r="MW35" s="541"/>
      <c r="MX35" s="541"/>
      <c r="MY35" s="541"/>
      <c r="MZ35" s="541"/>
      <c r="NA35" s="541"/>
      <c r="NB35" s="541"/>
      <c r="NC35" s="541"/>
      <c r="ND35" s="541"/>
      <c r="NE35" s="541"/>
      <c r="NF35" s="541"/>
      <c r="NG35" s="541"/>
      <c r="NH35" s="541"/>
      <c r="NI35" s="541"/>
      <c r="NJ35" s="541"/>
      <c r="NK35" s="541"/>
      <c r="NL35" s="541"/>
      <c r="NM35" s="541"/>
      <c r="NN35" s="541"/>
      <c r="NO35" s="541"/>
      <c r="NP35" s="541"/>
      <c r="NQ35" s="541"/>
      <c r="NR35" s="541"/>
      <c r="NS35" s="541"/>
      <c r="NT35" s="541"/>
      <c r="NU35" s="541"/>
      <c r="NV35" s="541"/>
      <c r="NW35" s="541"/>
      <c r="NX35" s="541"/>
      <c r="NY35" s="541"/>
      <c r="NZ35" s="541"/>
      <c r="OA35" s="541"/>
      <c r="OB35" s="541"/>
      <c r="OC35" s="541"/>
      <c r="OD35" s="541"/>
      <c r="OE35" s="541"/>
      <c r="OF35" s="541"/>
      <c r="OG35" s="541"/>
      <c r="OH35" s="541"/>
      <c r="OI35" s="541"/>
      <c r="OJ35" s="541"/>
      <c r="OK35" s="541"/>
      <c r="OL35" s="541"/>
      <c r="OM35" s="541"/>
      <c r="ON35" s="541"/>
      <c r="OO35" s="541"/>
      <c r="OP35" s="541"/>
      <c r="OQ35" s="541"/>
      <c r="OR35" s="541"/>
      <c r="OS35" s="541"/>
      <c r="OT35" s="541"/>
      <c r="OU35" s="541"/>
      <c r="OV35" s="541"/>
      <c r="OW35" s="541"/>
      <c r="OX35" s="541"/>
      <c r="OY35" s="541"/>
      <c r="OZ35" s="541"/>
      <c r="PA35" s="541"/>
      <c r="PB35" s="541"/>
      <c r="PC35" s="541"/>
      <c r="PD35" s="541"/>
      <c r="PE35" s="541"/>
      <c r="PF35" s="541"/>
      <c r="PG35" s="541"/>
      <c r="PH35" s="541"/>
      <c r="PI35" s="541"/>
      <c r="PJ35" s="541"/>
      <c r="PK35" s="541"/>
      <c r="PL35" s="541"/>
      <c r="PM35" s="541"/>
      <c r="PN35" s="541"/>
      <c r="PO35" s="541"/>
      <c r="PP35" s="541"/>
      <c r="PQ35" s="541"/>
      <c r="PR35" s="541"/>
      <c r="PS35" s="541"/>
      <c r="PT35" s="541"/>
      <c r="PU35" s="541"/>
      <c r="PV35" s="541"/>
      <c r="PW35" s="541"/>
      <c r="PX35" s="541"/>
      <c r="PY35" s="541"/>
      <c r="PZ35" s="541"/>
      <c r="QA35" s="541"/>
      <c r="QB35" s="541"/>
      <c r="QC35" s="541"/>
      <c r="QD35" s="541"/>
      <c r="QE35" s="541"/>
      <c r="QF35" s="541"/>
      <c r="QG35" s="541"/>
      <c r="QH35" s="541"/>
      <c r="QI35" s="541"/>
      <c r="QJ35" s="541"/>
      <c r="QK35" s="541"/>
      <c r="QL35" s="541"/>
      <c r="QM35" s="541"/>
      <c r="QN35" s="541"/>
      <c r="QO35" s="541"/>
      <c r="QP35" s="541"/>
      <c r="QQ35" s="541"/>
      <c r="QR35" s="541"/>
      <c r="QS35" s="541"/>
      <c r="QT35" s="541"/>
      <c r="QU35" s="541"/>
      <c r="QV35" s="541"/>
      <c r="QW35" s="541"/>
      <c r="QX35" s="541"/>
      <c r="QY35" s="541"/>
      <c r="QZ35" s="541"/>
      <c r="RA35" s="541"/>
      <c r="RB35" s="541"/>
      <c r="RC35" s="541"/>
      <c r="RD35" s="541"/>
      <c r="RE35" s="541"/>
      <c r="RF35" s="541"/>
      <c r="RG35" s="541"/>
      <c r="RH35" s="541"/>
      <c r="RI35" s="541"/>
      <c r="RJ35" s="541"/>
      <c r="RK35" s="541"/>
      <c r="RL35" s="541"/>
      <c r="RM35" s="541"/>
      <c r="RN35" s="541"/>
      <c r="RO35" s="541"/>
      <c r="RP35" s="541"/>
      <c r="RQ35" s="541"/>
      <c r="RR35" s="541"/>
      <c r="RS35" s="541"/>
      <c r="RT35" s="541"/>
      <c r="RU35" s="541"/>
      <c r="RV35" s="541"/>
      <c r="RW35" s="541"/>
      <c r="RX35" s="541"/>
      <c r="RY35" s="541"/>
      <c r="RZ35" s="541"/>
      <c r="SA35" s="541"/>
      <c r="SB35" s="541"/>
      <c r="SC35" s="541"/>
      <c r="SD35" s="541"/>
      <c r="SE35" s="541"/>
      <c r="SF35" s="541"/>
      <c r="SG35" s="541"/>
      <c r="SH35" s="541"/>
      <c r="SI35" s="541"/>
      <c r="SJ35" s="541"/>
      <c r="SK35" s="541"/>
      <c r="SL35" s="541"/>
      <c r="SM35" s="541"/>
      <c r="SN35" s="541"/>
      <c r="SO35" s="541"/>
      <c r="SP35" s="541"/>
      <c r="SQ35" s="541"/>
      <c r="SR35" s="541"/>
      <c r="SS35" s="541"/>
      <c r="ST35" s="541"/>
      <c r="SU35" s="541"/>
      <c r="SV35" s="541"/>
      <c r="SW35" s="541"/>
      <c r="SX35" s="541"/>
      <c r="SY35" s="541"/>
      <c r="SZ35" s="541"/>
      <c r="TA35" s="541"/>
      <c r="TB35" s="541"/>
      <c r="TC35" s="541"/>
      <c r="TD35" s="541"/>
      <c r="TE35" s="541"/>
      <c r="TF35" s="541"/>
      <c r="TG35" s="541"/>
      <c r="TH35" s="541"/>
      <c r="TI35" s="541"/>
      <c r="TJ35" s="541"/>
      <c r="TK35" s="541"/>
      <c r="TL35" s="541"/>
      <c r="TM35" s="541"/>
      <c r="TN35" s="541"/>
      <c r="TO35" s="541"/>
      <c r="TP35" s="541"/>
      <c r="TQ35" s="541"/>
      <c r="TR35" s="541"/>
      <c r="TS35" s="541"/>
      <c r="TT35" s="541"/>
      <c r="TU35" s="541"/>
      <c r="TV35" s="541"/>
      <c r="TW35" s="541"/>
      <c r="TX35" s="541"/>
      <c r="TY35" s="541"/>
      <c r="TZ35" s="541"/>
      <c r="UA35" s="541"/>
      <c r="UB35" s="541"/>
      <c r="UC35" s="541"/>
      <c r="UD35" s="541"/>
      <c r="UE35" s="541"/>
      <c r="UF35" s="541"/>
      <c r="UG35" s="541"/>
      <c r="UH35" s="541"/>
      <c r="UI35" s="541"/>
      <c r="UJ35" s="541"/>
      <c r="UK35" s="541"/>
      <c r="UL35" s="541"/>
      <c r="UM35" s="541"/>
      <c r="UN35" s="541"/>
      <c r="UO35" s="541"/>
      <c r="UP35" s="541"/>
      <c r="UQ35" s="541"/>
      <c r="UR35" s="541"/>
      <c r="US35" s="541"/>
      <c r="UT35" s="541"/>
      <c r="UU35" s="541"/>
      <c r="UV35" s="541"/>
      <c r="UW35" s="541"/>
      <c r="UX35" s="541"/>
      <c r="UY35" s="541"/>
      <c r="UZ35" s="541"/>
      <c r="VA35" s="541"/>
      <c r="VB35" s="541"/>
      <c r="VC35" s="541"/>
      <c r="VD35" s="541"/>
      <c r="VE35" s="541"/>
      <c r="VF35" s="541"/>
      <c r="VG35" s="541"/>
      <c r="VH35" s="541"/>
      <c r="VI35" s="541"/>
      <c r="VJ35" s="541"/>
      <c r="VK35" s="541"/>
      <c r="VL35" s="541"/>
      <c r="VM35" s="541"/>
      <c r="VN35" s="541"/>
      <c r="VO35" s="541"/>
      <c r="VP35" s="541"/>
      <c r="VQ35" s="541"/>
      <c r="VR35" s="541"/>
      <c r="VS35" s="541"/>
      <c r="VT35" s="541"/>
      <c r="VU35" s="541"/>
      <c r="VV35" s="541"/>
      <c r="VW35" s="541"/>
      <c r="VX35" s="541"/>
      <c r="VY35" s="541"/>
      <c r="VZ35" s="541"/>
      <c r="WA35" s="541"/>
      <c r="WB35" s="541"/>
      <c r="WC35" s="541"/>
      <c r="WD35" s="541"/>
      <c r="WE35" s="541"/>
      <c r="WF35" s="541"/>
      <c r="WG35" s="541"/>
      <c r="WH35" s="541"/>
      <c r="WI35" s="541"/>
      <c r="WJ35" s="541"/>
      <c r="WK35" s="541"/>
      <c r="WL35" s="541"/>
      <c r="WM35" s="541"/>
      <c r="WN35" s="541"/>
      <c r="WO35" s="541"/>
      <c r="WP35" s="541"/>
      <c r="WQ35" s="541"/>
      <c r="WR35" s="541"/>
      <c r="WS35" s="541"/>
      <c r="WT35" s="541"/>
      <c r="WU35" s="541"/>
      <c r="WV35" s="541"/>
      <c r="WW35" s="541"/>
      <c r="WX35" s="541"/>
      <c r="WY35" s="541"/>
      <c r="WZ35" s="541"/>
      <c r="XA35" s="541"/>
      <c r="XB35" s="541"/>
      <c r="XC35" s="541"/>
      <c r="XD35" s="541"/>
      <c r="XE35" s="541"/>
      <c r="XF35" s="541"/>
      <c r="XG35" s="541"/>
      <c r="XH35" s="541"/>
      <c r="XI35" s="541"/>
      <c r="XJ35" s="541"/>
      <c r="XK35" s="541"/>
      <c r="XL35" s="541"/>
      <c r="XM35" s="541"/>
      <c r="XN35" s="541"/>
      <c r="XO35" s="541"/>
      <c r="XP35" s="541"/>
      <c r="XQ35" s="541"/>
      <c r="XR35" s="541"/>
      <c r="XS35" s="541"/>
      <c r="XT35" s="541"/>
      <c r="XU35" s="541"/>
      <c r="XV35" s="541"/>
      <c r="XW35" s="541"/>
      <c r="XX35" s="541"/>
      <c r="XY35" s="541"/>
      <c r="XZ35" s="541"/>
      <c r="YA35" s="541"/>
      <c r="YB35" s="541"/>
      <c r="YC35" s="541"/>
      <c r="YD35" s="541"/>
      <c r="YE35" s="541"/>
      <c r="YF35" s="541"/>
      <c r="YG35" s="541"/>
      <c r="YH35" s="541"/>
      <c r="YI35" s="541"/>
      <c r="YJ35" s="541"/>
      <c r="YK35" s="541"/>
      <c r="YL35" s="541"/>
      <c r="YM35" s="541"/>
      <c r="YN35" s="541"/>
      <c r="YO35" s="541"/>
      <c r="YP35" s="541"/>
      <c r="YQ35" s="541"/>
      <c r="YR35" s="541"/>
      <c r="YS35" s="541"/>
      <c r="YT35" s="541"/>
      <c r="YU35" s="541"/>
      <c r="YV35" s="541"/>
      <c r="YW35" s="541"/>
      <c r="YX35" s="541"/>
      <c r="YY35" s="541"/>
      <c r="YZ35" s="541"/>
      <c r="ZA35" s="541"/>
      <c r="ZB35" s="541"/>
      <c r="ZC35" s="541"/>
      <c r="ZD35" s="541"/>
      <c r="ZE35" s="541"/>
      <c r="ZF35" s="541"/>
      <c r="ZG35" s="541"/>
      <c r="ZH35" s="541"/>
      <c r="ZI35" s="541"/>
      <c r="ZJ35" s="541"/>
      <c r="ZK35" s="541"/>
      <c r="ZL35" s="541"/>
      <c r="ZM35" s="541"/>
      <c r="ZN35" s="541"/>
      <c r="ZO35" s="541"/>
      <c r="ZP35" s="541"/>
      <c r="ZQ35" s="541"/>
      <c r="ZR35" s="541"/>
      <c r="ZS35" s="541"/>
      <c r="ZT35" s="541"/>
      <c r="ZU35" s="541"/>
      <c r="ZV35" s="541"/>
      <c r="ZW35" s="541"/>
      <c r="ZX35" s="541"/>
      <c r="ZY35" s="541"/>
      <c r="ZZ35" s="541"/>
      <c r="AAA35" s="541"/>
      <c r="AAB35" s="541"/>
      <c r="AAC35" s="541"/>
      <c r="AAD35" s="541"/>
      <c r="AAE35" s="541"/>
      <c r="AAF35" s="541"/>
      <c r="AAG35" s="541"/>
      <c r="AAH35" s="541"/>
      <c r="AAI35" s="541"/>
      <c r="AAJ35" s="541"/>
      <c r="AAK35" s="541"/>
      <c r="AAL35" s="541"/>
      <c r="AAM35" s="541"/>
      <c r="AAN35" s="541"/>
      <c r="AAO35" s="541"/>
      <c r="AAP35" s="541"/>
      <c r="AAQ35" s="541"/>
      <c r="AAR35" s="541"/>
      <c r="AAS35" s="541"/>
      <c r="AAT35" s="541"/>
      <c r="AAU35" s="541"/>
      <c r="AAV35" s="541"/>
      <c r="AAW35" s="541"/>
      <c r="AAX35" s="541"/>
      <c r="AAY35" s="541"/>
      <c r="AAZ35" s="541"/>
      <c r="ABA35" s="541"/>
      <c r="ABB35" s="541"/>
      <c r="ABC35" s="541"/>
      <c r="ABD35" s="541"/>
      <c r="ABE35" s="541"/>
      <c r="ABF35" s="541"/>
      <c r="ABG35" s="541"/>
      <c r="ABH35" s="541"/>
      <c r="ABI35" s="541"/>
      <c r="ABJ35" s="541"/>
      <c r="ABK35" s="541"/>
      <c r="ABL35" s="541"/>
      <c r="ABM35" s="541"/>
      <c r="ABN35" s="541"/>
      <c r="ABO35" s="541"/>
      <c r="ABP35" s="541"/>
      <c r="ABQ35" s="541"/>
      <c r="ABR35" s="541"/>
      <c r="ABS35" s="541"/>
      <c r="ABT35" s="541"/>
      <c r="ABU35" s="541"/>
      <c r="ABV35" s="541"/>
      <c r="ABW35" s="541"/>
      <c r="ABX35" s="541"/>
      <c r="ABY35" s="541"/>
      <c r="ABZ35" s="541"/>
      <c r="ACA35" s="541"/>
      <c r="ACB35" s="541"/>
      <c r="ACC35" s="541"/>
      <c r="ACD35" s="541"/>
      <c r="ACE35" s="541"/>
      <c r="ACF35" s="541"/>
      <c r="ACG35" s="541"/>
      <c r="ACH35" s="541"/>
      <c r="ACI35" s="541"/>
      <c r="ACJ35" s="541"/>
      <c r="ACK35" s="541"/>
      <c r="ACL35" s="541"/>
      <c r="ACM35" s="541"/>
      <c r="ACN35" s="541"/>
      <c r="ACO35" s="541"/>
      <c r="ACP35" s="541"/>
      <c r="ACQ35" s="541"/>
      <c r="ACR35" s="541"/>
      <c r="ACS35" s="541"/>
      <c r="ACT35" s="541"/>
      <c r="ACU35" s="541"/>
      <c r="ACV35" s="541"/>
      <c r="ACW35" s="541"/>
      <c r="ACX35" s="541"/>
      <c r="ACY35" s="541"/>
      <c r="ACZ35" s="541"/>
      <c r="ADA35" s="541"/>
      <c r="ADB35" s="541"/>
      <c r="ADC35" s="541"/>
      <c r="ADD35" s="541"/>
      <c r="ADE35" s="541"/>
      <c r="ADF35" s="541"/>
      <c r="ADG35" s="541"/>
      <c r="ADH35" s="541"/>
      <c r="ADI35" s="541"/>
      <c r="ADJ35" s="541"/>
      <c r="ADK35" s="541"/>
      <c r="ADL35" s="541"/>
      <c r="ADM35" s="541"/>
      <c r="ADN35" s="541"/>
      <c r="ADO35" s="541"/>
      <c r="ADP35" s="541"/>
      <c r="ADQ35" s="541"/>
      <c r="ADR35" s="541"/>
      <c r="ADS35" s="541"/>
      <c r="ADT35" s="541"/>
      <c r="ADU35" s="541"/>
      <c r="ADV35" s="541"/>
      <c r="ADW35" s="541"/>
      <c r="ADX35" s="541"/>
      <c r="ADY35" s="541"/>
      <c r="ADZ35" s="541"/>
      <c r="AEA35" s="541"/>
      <c r="AEB35" s="541"/>
      <c r="AEC35" s="541"/>
      <c r="AED35" s="541"/>
      <c r="AEE35" s="541"/>
      <c r="AEF35" s="541"/>
      <c r="AEG35" s="541"/>
      <c r="AEH35" s="541"/>
      <c r="AEI35" s="541"/>
      <c r="AEJ35" s="541"/>
      <c r="AEK35" s="541"/>
      <c r="AEL35" s="541"/>
      <c r="AEM35" s="541"/>
      <c r="AEN35" s="541"/>
      <c r="AEO35" s="541"/>
      <c r="AEP35" s="541"/>
      <c r="AEQ35" s="541"/>
      <c r="AER35" s="541"/>
      <c r="AES35" s="541"/>
      <c r="AET35" s="541"/>
      <c r="AEU35" s="541"/>
      <c r="AEV35" s="541"/>
      <c r="AEW35" s="541"/>
      <c r="AEX35" s="541"/>
      <c r="AEY35" s="541"/>
      <c r="AEZ35" s="541"/>
      <c r="AFA35" s="541"/>
      <c r="AFB35" s="541"/>
      <c r="AFC35" s="541"/>
      <c r="AFD35" s="541"/>
      <c r="AFE35" s="541"/>
      <c r="AFF35" s="541"/>
      <c r="AFG35" s="541"/>
      <c r="AFH35" s="541"/>
      <c r="AFI35" s="541"/>
      <c r="AFJ35" s="541"/>
      <c r="AFK35" s="541"/>
      <c r="AFL35" s="541"/>
      <c r="AFM35" s="541"/>
      <c r="AFN35" s="541"/>
      <c r="AFO35" s="541"/>
      <c r="AFP35" s="541"/>
      <c r="AFQ35" s="541"/>
      <c r="AFR35" s="541"/>
      <c r="AFS35" s="541"/>
      <c r="AFT35" s="541"/>
      <c r="AFU35" s="541"/>
      <c r="AFV35" s="541"/>
      <c r="AFW35" s="541"/>
      <c r="AFX35" s="541"/>
      <c r="AFY35" s="541"/>
      <c r="AFZ35" s="541"/>
      <c r="AGA35" s="541"/>
      <c r="AGB35" s="541"/>
      <c r="AGC35" s="541"/>
      <c r="AGD35" s="541"/>
      <c r="AGE35" s="541"/>
      <c r="AGF35" s="541"/>
      <c r="AGG35" s="541"/>
      <c r="AGH35" s="541"/>
      <c r="AGI35" s="541"/>
      <c r="AGJ35" s="541"/>
      <c r="AGK35" s="541"/>
      <c r="AGL35" s="541"/>
      <c r="AGM35" s="541"/>
      <c r="AGN35" s="541"/>
      <c r="AGO35" s="541"/>
      <c r="AGP35" s="541"/>
      <c r="AGQ35" s="541"/>
      <c r="AGR35" s="541"/>
      <c r="AGS35" s="541"/>
      <c r="AGT35" s="541"/>
      <c r="AGU35" s="541"/>
      <c r="AGV35" s="541"/>
      <c r="AGW35" s="541"/>
      <c r="AGX35" s="541"/>
      <c r="AGY35" s="541"/>
      <c r="AGZ35" s="541"/>
      <c r="AHA35" s="541"/>
      <c r="AHB35" s="541"/>
      <c r="AHC35" s="541"/>
      <c r="AHD35" s="541"/>
      <c r="AHE35" s="541"/>
      <c r="AHF35" s="541"/>
      <c r="AHG35" s="541"/>
      <c r="AHH35" s="541"/>
      <c r="AHI35" s="541"/>
      <c r="AHJ35" s="541"/>
      <c r="AHK35" s="541"/>
      <c r="AHL35" s="541"/>
      <c r="AHM35" s="541"/>
      <c r="AHN35" s="541"/>
      <c r="AHO35" s="541"/>
      <c r="AHP35" s="541"/>
      <c r="AHQ35" s="541"/>
      <c r="AHR35" s="541"/>
      <c r="AHS35" s="541"/>
      <c r="AHT35" s="541"/>
      <c r="AHU35" s="541"/>
      <c r="AHV35" s="541"/>
      <c r="AHW35" s="541"/>
      <c r="AHX35" s="541"/>
      <c r="AHY35" s="541"/>
      <c r="AHZ35" s="541"/>
      <c r="AIA35" s="541"/>
      <c r="AIB35" s="541"/>
      <c r="AIC35" s="541"/>
      <c r="AID35" s="541"/>
      <c r="AIE35" s="541"/>
      <c r="AIF35" s="541"/>
      <c r="AIG35" s="541"/>
      <c r="AIH35" s="541"/>
      <c r="AII35" s="541"/>
      <c r="AIJ35" s="541"/>
      <c r="AIK35" s="541"/>
      <c r="AIL35" s="541"/>
      <c r="AIM35" s="541"/>
      <c r="AIN35" s="541"/>
      <c r="AIO35" s="541"/>
      <c r="AIP35" s="541"/>
      <c r="AIQ35" s="541"/>
      <c r="AIR35" s="541"/>
      <c r="AIS35" s="541"/>
      <c r="AIT35" s="541"/>
      <c r="AIU35" s="541"/>
      <c r="AIV35" s="541"/>
      <c r="AIW35" s="541"/>
      <c r="AIX35" s="541"/>
      <c r="AIY35" s="541"/>
      <c r="AIZ35" s="541"/>
      <c r="AJA35" s="541"/>
      <c r="AJB35" s="541"/>
      <c r="AJC35" s="541"/>
      <c r="AJD35" s="541"/>
      <c r="AJE35" s="541"/>
      <c r="AJF35" s="541"/>
      <c r="AJG35" s="541"/>
      <c r="AJH35" s="541"/>
      <c r="AJI35" s="541"/>
      <c r="AJJ35" s="541"/>
      <c r="AJK35" s="541"/>
      <c r="AJL35" s="541"/>
      <c r="AJM35" s="541"/>
      <c r="AJN35" s="541"/>
      <c r="AJO35" s="541"/>
      <c r="AJP35" s="541"/>
      <c r="AJQ35" s="541"/>
      <c r="AJR35" s="541"/>
      <c r="AJS35" s="541"/>
      <c r="AJT35" s="541"/>
      <c r="AJU35" s="541"/>
      <c r="AJV35" s="541"/>
      <c r="AJW35" s="541"/>
      <c r="AJX35" s="541"/>
      <c r="AJY35" s="541"/>
      <c r="AJZ35" s="541"/>
      <c r="AKA35" s="541"/>
      <c r="AKB35" s="541"/>
      <c r="AKC35" s="541"/>
      <c r="AKD35" s="541"/>
      <c r="AKE35" s="541"/>
      <c r="AKF35" s="541"/>
      <c r="AKG35" s="541"/>
      <c r="AKH35" s="541"/>
      <c r="AKI35" s="541"/>
      <c r="AKJ35" s="541"/>
      <c r="AKK35" s="541"/>
      <c r="AKL35" s="541"/>
      <c r="AKM35" s="541"/>
      <c r="AKN35" s="541"/>
      <c r="AKO35" s="541"/>
      <c r="AKP35" s="541"/>
      <c r="AKQ35" s="541"/>
      <c r="AKR35" s="541"/>
      <c r="AKS35" s="541"/>
      <c r="AKT35" s="541"/>
      <c r="AKU35" s="541"/>
      <c r="AKV35" s="541"/>
      <c r="AKW35" s="541"/>
      <c r="AKX35" s="541"/>
      <c r="AKY35" s="541"/>
      <c r="AKZ35" s="541"/>
      <c r="ALA35" s="541"/>
      <c r="ALB35" s="541"/>
      <c r="ALC35" s="541"/>
      <c r="ALD35" s="541"/>
      <c r="ALE35" s="541"/>
      <c r="ALF35" s="541"/>
      <c r="ALG35" s="541"/>
      <c r="ALH35" s="541"/>
      <c r="ALI35" s="541"/>
      <c r="ALJ35" s="541"/>
      <c r="ALK35" s="541"/>
      <c r="ALL35" s="541"/>
      <c r="ALM35" s="541"/>
      <c r="ALN35" s="541"/>
      <c r="ALO35" s="541"/>
      <c r="ALP35" s="541"/>
      <c r="ALQ35" s="541"/>
      <c r="ALR35" s="541"/>
      <c r="ALS35" s="541"/>
      <c r="ALT35" s="541"/>
      <c r="ALU35" s="541"/>
      <c r="ALV35" s="541"/>
      <c r="ALW35" s="541"/>
      <c r="ALX35" s="541"/>
      <c r="ALY35" s="541"/>
      <c r="ALZ35" s="541"/>
      <c r="AMA35" s="541"/>
      <c r="AMB35" s="541"/>
      <c r="AMC35" s="541"/>
      <c r="AMD35" s="541"/>
      <c r="AME35" s="541"/>
      <c r="AMF35" s="541"/>
      <c r="AMG35" s="541"/>
      <c r="AMH35" s="541"/>
      <c r="AMI35" s="541"/>
      <c r="AMJ35" s="541"/>
      <c r="AMK35" s="541"/>
      <c r="AML35" s="541"/>
      <c r="AMM35" s="541"/>
      <c r="AMN35" s="541"/>
      <c r="AMO35" s="541"/>
      <c r="AMP35" s="541"/>
      <c r="AMQ35" s="541"/>
      <c r="AMR35" s="541"/>
      <c r="AMS35" s="541"/>
      <c r="AMT35" s="541"/>
      <c r="AMU35" s="541"/>
      <c r="AMV35" s="541"/>
      <c r="AMW35" s="541"/>
      <c r="AMX35" s="541"/>
      <c r="AMY35" s="541"/>
      <c r="AMZ35" s="541"/>
      <c r="ANA35" s="541"/>
      <c r="ANB35" s="541"/>
      <c r="ANC35" s="541"/>
      <c r="AND35" s="541"/>
      <c r="ANE35" s="541"/>
      <c r="ANF35" s="541"/>
      <c r="ANG35" s="541"/>
      <c r="ANH35" s="541"/>
      <c r="ANI35" s="541"/>
      <c r="ANJ35" s="541"/>
      <c r="ANK35" s="541"/>
      <c r="ANL35" s="541"/>
      <c r="ANM35" s="541"/>
      <c r="ANN35" s="541"/>
      <c r="ANO35" s="541"/>
      <c r="ANP35" s="541"/>
      <c r="ANQ35" s="541"/>
      <c r="ANR35" s="541"/>
      <c r="ANS35" s="541"/>
      <c r="ANT35" s="541"/>
      <c r="ANU35" s="541"/>
      <c r="ANV35" s="541"/>
      <c r="ANW35" s="541"/>
      <c r="ANX35" s="541"/>
      <c r="ANY35" s="541"/>
      <c r="ANZ35" s="541"/>
      <c r="AOA35" s="541"/>
      <c r="AOB35" s="541"/>
      <c r="AOC35" s="541"/>
      <c r="AOD35" s="541"/>
      <c r="AOE35" s="541"/>
      <c r="AOF35" s="541"/>
      <c r="AOG35" s="541"/>
      <c r="AOH35" s="541"/>
      <c r="AOI35" s="541"/>
      <c r="AOJ35" s="541"/>
      <c r="AOK35" s="541"/>
      <c r="AOL35" s="541"/>
      <c r="AOM35" s="541"/>
      <c r="AON35" s="541"/>
      <c r="AOO35" s="541"/>
      <c r="AOP35" s="541"/>
      <c r="AOQ35" s="541"/>
      <c r="AOR35" s="541"/>
      <c r="AOS35" s="541"/>
      <c r="AOT35" s="541"/>
      <c r="AOU35" s="541"/>
      <c r="AOV35" s="541"/>
      <c r="AOW35" s="541"/>
      <c r="AOX35" s="541"/>
      <c r="AOY35" s="541"/>
      <c r="AOZ35" s="541"/>
      <c r="APA35" s="541"/>
      <c r="APB35" s="541"/>
      <c r="APC35" s="541"/>
      <c r="APD35" s="541"/>
      <c r="APE35" s="541"/>
      <c r="APF35" s="541"/>
      <c r="APG35" s="541"/>
      <c r="APH35" s="541"/>
      <c r="API35" s="541"/>
      <c r="APJ35" s="541"/>
      <c r="APK35" s="541"/>
      <c r="APL35" s="541"/>
      <c r="APM35" s="541"/>
      <c r="APN35" s="541"/>
      <c r="APO35" s="541"/>
      <c r="APP35" s="541"/>
      <c r="APQ35" s="541"/>
      <c r="APR35" s="541"/>
      <c r="APS35" s="541"/>
      <c r="APT35" s="541"/>
      <c r="APU35" s="541"/>
      <c r="APV35" s="541"/>
      <c r="APW35" s="541"/>
      <c r="APX35" s="541"/>
      <c r="APY35" s="541"/>
      <c r="APZ35" s="541"/>
      <c r="AQA35" s="541"/>
      <c r="AQB35" s="541"/>
      <c r="AQC35" s="541"/>
      <c r="AQD35" s="541"/>
      <c r="AQE35" s="541"/>
      <c r="AQF35" s="541"/>
      <c r="AQG35" s="541"/>
      <c r="AQH35" s="541"/>
      <c r="AQI35" s="541"/>
      <c r="AQJ35" s="541"/>
      <c r="AQK35" s="541"/>
      <c r="AQL35" s="541"/>
      <c r="AQM35" s="541"/>
      <c r="AQN35" s="541"/>
      <c r="AQO35" s="541"/>
      <c r="AQP35" s="541"/>
      <c r="AQQ35" s="541"/>
      <c r="AQR35" s="541"/>
      <c r="AQS35" s="541"/>
      <c r="AQT35" s="541"/>
      <c r="AQU35" s="541"/>
      <c r="AQV35" s="541"/>
      <c r="AQW35" s="541"/>
      <c r="AQX35" s="541"/>
      <c r="AQY35" s="541"/>
      <c r="AQZ35" s="541"/>
      <c r="ARA35" s="541"/>
      <c r="ARB35" s="541"/>
      <c r="ARC35" s="541"/>
      <c r="ARD35" s="541"/>
      <c r="ARE35" s="541"/>
      <c r="ARF35" s="541"/>
      <c r="ARG35" s="541"/>
      <c r="ARH35" s="541"/>
      <c r="ARI35" s="541"/>
      <c r="ARJ35" s="541"/>
      <c r="ARK35" s="541"/>
      <c r="ARL35" s="541"/>
      <c r="ARM35" s="541"/>
      <c r="ARN35" s="541"/>
      <c r="ARO35" s="541"/>
      <c r="ARP35" s="541"/>
      <c r="ARQ35" s="541"/>
      <c r="ARR35" s="541"/>
      <c r="ARS35" s="541"/>
      <c r="ART35" s="541"/>
    </row>
    <row r="36" spans="1:1164" s="658" customFormat="1">
      <c r="A36" s="613" t="s">
        <v>213</v>
      </c>
      <c r="B36" s="578" t="s">
        <v>110</v>
      </c>
      <c r="C36" s="659">
        <v>88519</v>
      </c>
      <c r="D36" s="659">
        <v>3311561</v>
      </c>
      <c r="E36" s="581"/>
      <c r="F36" s="581"/>
      <c r="G36" s="581">
        <v>0</v>
      </c>
      <c r="H36" s="581">
        <v>0</v>
      </c>
      <c r="I36" s="581">
        <v>0</v>
      </c>
      <c r="J36" s="581">
        <v>0</v>
      </c>
      <c r="K36" s="581">
        <v>0</v>
      </c>
      <c r="L36" s="581">
        <v>0</v>
      </c>
      <c r="M36" s="581">
        <v>0</v>
      </c>
      <c r="N36" s="581">
        <v>0</v>
      </c>
      <c r="O36" s="581">
        <v>42</v>
      </c>
      <c r="P36" s="581">
        <v>6748</v>
      </c>
      <c r="Q36" s="581">
        <v>0</v>
      </c>
      <c r="R36" s="581">
        <v>0</v>
      </c>
      <c r="S36" s="581">
        <v>0</v>
      </c>
      <c r="T36" s="581">
        <v>0</v>
      </c>
      <c r="U36" s="581">
        <v>0</v>
      </c>
      <c r="V36" s="581">
        <v>0</v>
      </c>
      <c r="W36" s="581">
        <v>0</v>
      </c>
      <c r="X36" s="581">
        <v>0</v>
      </c>
      <c r="Y36" s="581">
        <v>0</v>
      </c>
      <c r="Z36" s="581">
        <v>0</v>
      </c>
      <c r="AA36" s="581">
        <v>0</v>
      </c>
      <c r="AB36" s="581">
        <v>0</v>
      </c>
      <c r="AC36" s="581">
        <v>0</v>
      </c>
      <c r="AD36" s="581">
        <v>0</v>
      </c>
      <c r="AE36" s="581">
        <v>0</v>
      </c>
      <c r="AF36" s="581">
        <v>0</v>
      </c>
      <c r="AG36" s="581">
        <v>0</v>
      </c>
      <c r="AH36" s="581">
        <v>0</v>
      </c>
      <c r="AI36" s="581">
        <v>0</v>
      </c>
      <c r="AJ36" s="581">
        <v>0</v>
      </c>
      <c r="AK36" s="581">
        <v>0</v>
      </c>
      <c r="AL36" s="581">
        <v>0</v>
      </c>
      <c r="AM36" s="581">
        <v>0</v>
      </c>
      <c r="AN36" s="581">
        <v>0</v>
      </c>
      <c r="AO36" s="581">
        <v>0</v>
      </c>
      <c r="AP36" s="581">
        <v>0</v>
      </c>
      <c r="AQ36" s="581">
        <v>0</v>
      </c>
      <c r="AR36" s="581">
        <v>0</v>
      </c>
      <c r="AS36" s="581">
        <v>0</v>
      </c>
      <c r="AT36" s="581">
        <v>0</v>
      </c>
      <c r="AU36" s="581">
        <v>0</v>
      </c>
      <c r="AV36" s="581">
        <v>0</v>
      </c>
      <c r="AW36" s="581">
        <v>0</v>
      </c>
      <c r="AX36" s="581">
        <v>0</v>
      </c>
      <c r="AY36" s="581">
        <v>0</v>
      </c>
      <c r="AZ36" s="581">
        <v>0</v>
      </c>
      <c r="BA36" s="688"/>
      <c r="BB36" s="581"/>
      <c r="BC36" s="581"/>
      <c r="BD36" s="581"/>
      <c r="BE36" s="689"/>
      <c r="BF36" s="581"/>
      <c r="BG36" s="581"/>
      <c r="BH36" s="581"/>
      <c r="BI36" s="689"/>
      <c r="BJ36" s="581">
        <f t="shared" si="2"/>
        <v>88561</v>
      </c>
      <c r="BK36" s="581">
        <f t="shared" si="3"/>
        <v>3318309</v>
      </c>
      <c r="BL36" s="541"/>
      <c r="BM36" s="42"/>
      <c r="BN36" s="624"/>
      <c r="BO36" s="624"/>
      <c r="BP36" s="541"/>
      <c r="BQ36" s="541"/>
      <c r="BR36" s="541"/>
      <c r="BS36" s="541"/>
      <c r="BT36" s="541"/>
      <c r="BU36" s="541"/>
      <c r="BV36" s="541"/>
      <c r="BW36" s="541"/>
      <c r="BX36" s="541"/>
      <c r="BY36" s="541"/>
      <c r="BZ36" s="541"/>
      <c r="CA36" s="541"/>
      <c r="CB36" s="541"/>
      <c r="CC36" s="541"/>
      <c r="CD36" s="541"/>
      <c r="CE36" s="541"/>
      <c r="CF36" s="541"/>
      <c r="CG36" s="541"/>
      <c r="CH36" s="541"/>
      <c r="CI36" s="541"/>
      <c r="CJ36" s="541"/>
      <c r="CK36" s="541"/>
      <c r="CL36" s="541"/>
      <c r="CM36" s="541"/>
      <c r="CN36" s="541"/>
      <c r="CO36" s="541"/>
      <c r="CP36" s="541"/>
      <c r="CQ36" s="541"/>
      <c r="CR36" s="541"/>
      <c r="CS36" s="541"/>
      <c r="CT36" s="541"/>
      <c r="CU36" s="541"/>
      <c r="CV36" s="541"/>
      <c r="CW36" s="541"/>
      <c r="CX36" s="541"/>
      <c r="CY36" s="541"/>
      <c r="CZ36" s="541"/>
      <c r="DA36" s="541"/>
      <c r="DB36" s="541"/>
      <c r="DC36" s="541"/>
      <c r="DD36" s="541"/>
      <c r="DE36" s="541"/>
      <c r="DF36" s="541"/>
      <c r="DG36" s="541"/>
      <c r="DH36" s="541"/>
      <c r="DI36" s="541"/>
      <c r="DJ36" s="541"/>
      <c r="DK36" s="541"/>
      <c r="DL36" s="541"/>
      <c r="DM36" s="541"/>
      <c r="DN36" s="541"/>
      <c r="DO36" s="541"/>
      <c r="DP36" s="541"/>
      <c r="DQ36" s="541"/>
      <c r="DR36" s="541"/>
      <c r="DS36" s="541"/>
      <c r="DT36" s="541"/>
      <c r="DU36" s="541"/>
      <c r="DV36" s="541"/>
      <c r="DW36" s="541"/>
      <c r="DX36" s="541"/>
      <c r="DY36" s="541"/>
      <c r="DZ36" s="541"/>
      <c r="EA36" s="541"/>
      <c r="EB36" s="541"/>
      <c r="EC36" s="541"/>
      <c r="ED36" s="541"/>
      <c r="EE36" s="541"/>
      <c r="EF36" s="541"/>
      <c r="EG36" s="541"/>
      <c r="EH36" s="541"/>
      <c r="EI36" s="541"/>
      <c r="EJ36" s="541"/>
      <c r="EK36" s="541"/>
      <c r="EL36" s="541"/>
      <c r="EM36" s="541"/>
      <c r="EN36" s="541"/>
      <c r="EO36" s="541"/>
      <c r="EP36" s="541"/>
      <c r="EQ36" s="541"/>
      <c r="ER36" s="541"/>
      <c r="ES36" s="541"/>
      <c r="ET36" s="541"/>
      <c r="EU36" s="541"/>
      <c r="EV36" s="541"/>
      <c r="EW36" s="541"/>
      <c r="EX36" s="541"/>
      <c r="EY36" s="541"/>
      <c r="EZ36" s="541"/>
      <c r="FA36" s="541"/>
      <c r="FB36" s="541"/>
      <c r="FC36" s="541"/>
      <c r="FD36" s="541"/>
      <c r="FE36" s="541"/>
      <c r="FF36" s="541"/>
      <c r="FG36" s="541"/>
      <c r="FH36" s="541"/>
      <c r="FI36" s="541"/>
      <c r="FJ36" s="541"/>
      <c r="FK36" s="541"/>
      <c r="FL36" s="541"/>
      <c r="FM36" s="541"/>
      <c r="FN36" s="541"/>
      <c r="FO36" s="541"/>
      <c r="FP36" s="541"/>
      <c r="FQ36" s="541"/>
      <c r="FR36" s="541"/>
      <c r="FS36" s="541"/>
      <c r="FT36" s="541"/>
      <c r="FU36" s="541"/>
      <c r="FV36" s="541"/>
      <c r="FW36" s="541"/>
      <c r="FX36" s="541"/>
      <c r="FY36" s="541"/>
      <c r="FZ36" s="541"/>
      <c r="GA36" s="541"/>
      <c r="GB36" s="541"/>
      <c r="GC36" s="541"/>
      <c r="GD36" s="541"/>
      <c r="GE36" s="541"/>
      <c r="GF36" s="541"/>
      <c r="GG36" s="541"/>
      <c r="GH36" s="541"/>
      <c r="GI36" s="541"/>
      <c r="GJ36" s="541"/>
      <c r="GK36" s="541"/>
      <c r="GL36" s="541"/>
      <c r="GM36" s="541"/>
      <c r="GN36" s="541"/>
      <c r="GO36" s="541"/>
      <c r="GP36" s="541"/>
      <c r="GQ36" s="541"/>
      <c r="GR36" s="541"/>
      <c r="GS36" s="541"/>
      <c r="GT36" s="541"/>
      <c r="GU36" s="541"/>
      <c r="GV36" s="541"/>
      <c r="GW36" s="541"/>
      <c r="GX36" s="541"/>
      <c r="GY36" s="541"/>
      <c r="GZ36" s="541"/>
      <c r="HA36" s="541"/>
      <c r="HB36" s="541"/>
      <c r="HC36" s="541"/>
      <c r="HD36" s="541"/>
      <c r="HE36" s="541"/>
      <c r="HF36" s="541"/>
      <c r="HG36" s="541"/>
      <c r="HH36" s="541"/>
      <c r="HI36" s="541"/>
      <c r="HJ36" s="541"/>
      <c r="HK36" s="541"/>
      <c r="HL36" s="541"/>
      <c r="HM36" s="541"/>
      <c r="HN36" s="541"/>
      <c r="HO36" s="541"/>
      <c r="HP36" s="541"/>
      <c r="HQ36" s="541"/>
      <c r="HR36" s="541"/>
      <c r="HS36" s="541"/>
      <c r="HT36" s="541"/>
      <c r="HU36" s="541"/>
      <c r="HV36" s="541"/>
      <c r="HW36" s="541"/>
      <c r="HX36" s="541"/>
      <c r="HY36" s="541"/>
      <c r="HZ36" s="541"/>
      <c r="IA36" s="541"/>
      <c r="IB36" s="541"/>
      <c r="IC36" s="541"/>
      <c r="ID36" s="541"/>
      <c r="IE36" s="541"/>
      <c r="IF36" s="541"/>
      <c r="IG36" s="541"/>
      <c r="IH36" s="541"/>
      <c r="II36" s="541"/>
      <c r="IJ36" s="541"/>
      <c r="IK36" s="541"/>
      <c r="IL36" s="541"/>
      <c r="IM36" s="541"/>
      <c r="IN36" s="541"/>
      <c r="IO36" s="541"/>
      <c r="IP36" s="541"/>
      <c r="IQ36" s="541"/>
      <c r="IR36" s="541"/>
      <c r="IS36" s="541"/>
      <c r="IT36" s="541"/>
      <c r="IU36" s="541"/>
      <c r="IV36" s="541"/>
      <c r="IW36" s="541"/>
      <c r="IX36" s="541"/>
      <c r="IY36" s="541"/>
      <c r="IZ36" s="541"/>
      <c r="JA36" s="541"/>
      <c r="JB36" s="541"/>
      <c r="JC36" s="541"/>
      <c r="JD36" s="541"/>
      <c r="JE36" s="541"/>
      <c r="JF36" s="541"/>
      <c r="JG36" s="541"/>
      <c r="JH36" s="541"/>
      <c r="JI36" s="541"/>
      <c r="JJ36" s="541"/>
      <c r="JK36" s="541"/>
      <c r="JL36" s="541"/>
      <c r="JM36" s="541"/>
      <c r="JN36" s="541"/>
      <c r="JO36" s="541"/>
      <c r="JP36" s="541"/>
      <c r="JQ36" s="541"/>
      <c r="JR36" s="541"/>
      <c r="JS36" s="541"/>
      <c r="JT36" s="541"/>
      <c r="JU36" s="541"/>
      <c r="JV36" s="541"/>
      <c r="JW36" s="541"/>
      <c r="JX36" s="541"/>
      <c r="JY36" s="541"/>
      <c r="JZ36" s="541"/>
      <c r="KA36" s="541"/>
      <c r="KB36" s="541"/>
      <c r="KC36" s="541"/>
      <c r="KD36" s="541"/>
      <c r="KE36" s="541"/>
      <c r="KF36" s="541"/>
      <c r="KG36" s="541"/>
      <c r="KH36" s="541"/>
      <c r="KI36" s="541"/>
      <c r="KJ36" s="541"/>
      <c r="KK36" s="541"/>
      <c r="KL36" s="541"/>
      <c r="KM36" s="541"/>
      <c r="KN36" s="541"/>
      <c r="KO36" s="541"/>
      <c r="KP36" s="541"/>
      <c r="KQ36" s="541"/>
      <c r="KR36" s="541"/>
      <c r="KS36" s="541"/>
      <c r="KT36" s="541"/>
      <c r="KU36" s="541"/>
      <c r="KV36" s="541"/>
      <c r="KW36" s="541"/>
      <c r="KX36" s="541"/>
      <c r="KY36" s="541"/>
      <c r="KZ36" s="541"/>
      <c r="LA36" s="541"/>
      <c r="LB36" s="541"/>
      <c r="LC36" s="541"/>
      <c r="LD36" s="541"/>
      <c r="LE36" s="541"/>
      <c r="LF36" s="541"/>
      <c r="LG36" s="541"/>
      <c r="LH36" s="541"/>
      <c r="LI36" s="541"/>
      <c r="LJ36" s="541"/>
      <c r="LK36" s="541"/>
      <c r="LL36" s="541"/>
      <c r="LM36" s="541"/>
      <c r="LN36" s="541"/>
      <c r="LO36" s="541"/>
      <c r="LP36" s="541"/>
      <c r="LQ36" s="541"/>
      <c r="LR36" s="541"/>
      <c r="LS36" s="541"/>
      <c r="LT36" s="541"/>
      <c r="LU36" s="541"/>
      <c r="LV36" s="541"/>
      <c r="LW36" s="541"/>
      <c r="LX36" s="541"/>
      <c r="LY36" s="541"/>
      <c r="LZ36" s="541"/>
      <c r="MA36" s="541"/>
      <c r="MB36" s="541"/>
      <c r="MC36" s="541"/>
      <c r="MD36" s="541"/>
      <c r="ME36" s="541"/>
      <c r="MF36" s="541"/>
      <c r="MG36" s="541"/>
      <c r="MH36" s="541"/>
      <c r="MI36" s="541"/>
      <c r="MJ36" s="541"/>
      <c r="MK36" s="541"/>
      <c r="ML36" s="541"/>
      <c r="MM36" s="541"/>
      <c r="MN36" s="541"/>
      <c r="MO36" s="541"/>
      <c r="MP36" s="541"/>
      <c r="MQ36" s="541"/>
      <c r="MR36" s="541"/>
      <c r="MS36" s="541"/>
      <c r="MT36" s="541"/>
      <c r="MU36" s="541"/>
      <c r="MV36" s="541"/>
      <c r="MW36" s="541"/>
      <c r="MX36" s="541"/>
      <c r="MY36" s="541"/>
      <c r="MZ36" s="541"/>
      <c r="NA36" s="541"/>
      <c r="NB36" s="541"/>
      <c r="NC36" s="541"/>
      <c r="ND36" s="541"/>
      <c r="NE36" s="541"/>
      <c r="NF36" s="541"/>
      <c r="NG36" s="541"/>
      <c r="NH36" s="541"/>
      <c r="NI36" s="541"/>
      <c r="NJ36" s="541"/>
      <c r="NK36" s="541"/>
      <c r="NL36" s="541"/>
      <c r="NM36" s="541"/>
      <c r="NN36" s="541"/>
      <c r="NO36" s="541"/>
      <c r="NP36" s="541"/>
      <c r="NQ36" s="541"/>
      <c r="NR36" s="541"/>
      <c r="NS36" s="541"/>
      <c r="NT36" s="541"/>
      <c r="NU36" s="541"/>
      <c r="NV36" s="541"/>
      <c r="NW36" s="541"/>
      <c r="NX36" s="541"/>
      <c r="NY36" s="541"/>
      <c r="NZ36" s="541"/>
      <c r="OA36" s="541"/>
      <c r="OB36" s="541"/>
      <c r="OC36" s="541"/>
      <c r="OD36" s="541"/>
      <c r="OE36" s="541"/>
      <c r="OF36" s="541"/>
      <c r="OG36" s="541"/>
      <c r="OH36" s="541"/>
      <c r="OI36" s="541"/>
      <c r="OJ36" s="541"/>
      <c r="OK36" s="541"/>
      <c r="OL36" s="541"/>
      <c r="OM36" s="541"/>
      <c r="ON36" s="541"/>
      <c r="OO36" s="541"/>
      <c r="OP36" s="541"/>
      <c r="OQ36" s="541"/>
      <c r="OR36" s="541"/>
      <c r="OS36" s="541"/>
      <c r="OT36" s="541"/>
      <c r="OU36" s="541"/>
      <c r="OV36" s="541"/>
      <c r="OW36" s="541"/>
      <c r="OX36" s="541"/>
      <c r="OY36" s="541"/>
      <c r="OZ36" s="541"/>
      <c r="PA36" s="541"/>
      <c r="PB36" s="541"/>
      <c r="PC36" s="541"/>
      <c r="PD36" s="541"/>
      <c r="PE36" s="541"/>
      <c r="PF36" s="541"/>
      <c r="PG36" s="541"/>
      <c r="PH36" s="541"/>
      <c r="PI36" s="541"/>
      <c r="PJ36" s="541"/>
      <c r="PK36" s="541"/>
      <c r="PL36" s="541"/>
      <c r="PM36" s="541"/>
      <c r="PN36" s="541"/>
      <c r="PO36" s="541"/>
      <c r="PP36" s="541"/>
      <c r="PQ36" s="541"/>
      <c r="PR36" s="541"/>
      <c r="PS36" s="541"/>
      <c r="PT36" s="541"/>
      <c r="PU36" s="541"/>
      <c r="PV36" s="541"/>
      <c r="PW36" s="541"/>
      <c r="PX36" s="541"/>
      <c r="PY36" s="541"/>
      <c r="PZ36" s="541"/>
      <c r="QA36" s="541"/>
      <c r="QB36" s="541"/>
      <c r="QC36" s="541"/>
      <c r="QD36" s="541"/>
      <c r="QE36" s="541"/>
      <c r="QF36" s="541"/>
      <c r="QG36" s="541"/>
      <c r="QH36" s="541"/>
      <c r="QI36" s="541"/>
      <c r="QJ36" s="541"/>
      <c r="QK36" s="541"/>
      <c r="QL36" s="541"/>
      <c r="QM36" s="541"/>
      <c r="QN36" s="541"/>
      <c r="QO36" s="541"/>
      <c r="QP36" s="541"/>
      <c r="QQ36" s="541"/>
      <c r="QR36" s="541"/>
      <c r="QS36" s="541"/>
      <c r="QT36" s="541"/>
      <c r="QU36" s="541"/>
      <c r="QV36" s="541"/>
      <c r="QW36" s="541"/>
      <c r="QX36" s="541"/>
      <c r="QY36" s="541"/>
      <c r="QZ36" s="541"/>
      <c r="RA36" s="541"/>
      <c r="RB36" s="541"/>
      <c r="RC36" s="541"/>
      <c r="RD36" s="541"/>
      <c r="RE36" s="541"/>
      <c r="RF36" s="541"/>
      <c r="RG36" s="541"/>
      <c r="RH36" s="541"/>
      <c r="RI36" s="541"/>
      <c r="RJ36" s="541"/>
      <c r="RK36" s="541"/>
      <c r="RL36" s="541"/>
      <c r="RM36" s="541"/>
      <c r="RN36" s="541"/>
      <c r="RO36" s="541"/>
      <c r="RP36" s="541"/>
      <c r="RQ36" s="541"/>
      <c r="RR36" s="541"/>
      <c r="RS36" s="541"/>
      <c r="RT36" s="541"/>
      <c r="RU36" s="541"/>
      <c r="RV36" s="541"/>
      <c r="RW36" s="541"/>
      <c r="RX36" s="541"/>
      <c r="RY36" s="541"/>
      <c r="RZ36" s="541"/>
      <c r="SA36" s="541"/>
      <c r="SB36" s="541"/>
      <c r="SC36" s="541"/>
      <c r="SD36" s="541"/>
      <c r="SE36" s="541"/>
      <c r="SF36" s="541"/>
      <c r="SG36" s="541"/>
      <c r="SH36" s="541"/>
      <c r="SI36" s="541"/>
      <c r="SJ36" s="541"/>
      <c r="SK36" s="541"/>
      <c r="SL36" s="541"/>
      <c r="SM36" s="541"/>
      <c r="SN36" s="541"/>
      <c r="SO36" s="541"/>
      <c r="SP36" s="541"/>
      <c r="SQ36" s="541"/>
      <c r="SR36" s="541"/>
      <c r="SS36" s="541"/>
      <c r="ST36" s="541"/>
      <c r="SU36" s="541"/>
      <c r="SV36" s="541"/>
      <c r="SW36" s="541"/>
      <c r="SX36" s="541"/>
      <c r="SY36" s="541"/>
      <c r="SZ36" s="541"/>
      <c r="TA36" s="541"/>
      <c r="TB36" s="541"/>
      <c r="TC36" s="541"/>
      <c r="TD36" s="541"/>
      <c r="TE36" s="541"/>
      <c r="TF36" s="541"/>
      <c r="TG36" s="541"/>
      <c r="TH36" s="541"/>
      <c r="TI36" s="541"/>
      <c r="TJ36" s="541"/>
      <c r="TK36" s="541"/>
      <c r="TL36" s="541"/>
      <c r="TM36" s="541"/>
      <c r="TN36" s="541"/>
      <c r="TO36" s="541"/>
      <c r="TP36" s="541"/>
      <c r="TQ36" s="541"/>
      <c r="TR36" s="541"/>
      <c r="TS36" s="541"/>
      <c r="TT36" s="541"/>
      <c r="TU36" s="541"/>
      <c r="TV36" s="541"/>
      <c r="TW36" s="541"/>
      <c r="TX36" s="541"/>
      <c r="TY36" s="541"/>
      <c r="TZ36" s="541"/>
      <c r="UA36" s="541"/>
      <c r="UB36" s="541"/>
      <c r="UC36" s="541"/>
      <c r="UD36" s="541"/>
      <c r="UE36" s="541"/>
      <c r="UF36" s="541"/>
      <c r="UG36" s="541"/>
      <c r="UH36" s="541"/>
      <c r="UI36" s="541"/>
      <c r="UJ36" s="541"/>
      <c r="UK36" s="541"/>
      <c r="UL36" s="541"/>
      <c r="UM36" s="541"/>
      <c r="UN36" s="541"/>
      <c r="UO36" s="541"/>
      <c r="UP36" s="541"/>
      <c r="UQ36" s="541"/>
      <c r="UR36" s="541"/>
      <c r="US36" s="541"/>
      <c r="UT36" s="541"/>
      <c r="UU36" s="541"/>
      <c r="UV36" s="541"/>
      <c r="UW36" s="541"/>
      <c r="UX36" s="541"/>
      <c r="UY36" s="541"/>
      <c r="UZ36" s="541"/>
      <c r="VA36" s="541"/>
      <c r="VB36" s="541"/>
      <c r="VC36" s="541"/>
      <c r="VD36" s="541"/>
      <c r="VE36" s="541"/>
      <c r="VF36" s="541"/>
      <c r="VG36" s="541"/>
      <c r="VH36" s="541"/>
      <c r="VI36" s="541"/>
      <c r="VJ36" s="541"/>
      <c r="VK36" s="541"/>
      <c r="VL36" s="541"/>
      <c r="VM36" s="541"/>
      <c r="VN36" s="541"/>
      <c r="VO36" s="541"/>
      <c r="VP36" s="541"/>
      <c r="VQ36" s="541"/>
      <c r="VR36" s="541"/>
      <c r="VS36" s="541"/>
      <c r="VT36" s="541"/>
      <c r="VU36" s="541"/>
      <c r="VV36" s="541"/>
      <c r="VW36" s="541"/>
      <c r="VX36" s="541"/>
      <c r="VY36" s="541"/>
      <c r="VZ36" s="541"/>
      <c r="WA36" s="541"/>
      <c r="WB36" s="541"/>
      <c r="WC36" s="541"/>
      <c r="WD36" s="541"/>
      <c r="WE36" s="541"/>
      <c r="WF36" s="541"/>
      <c r="WG36" s="541"/>
      <c r="WH36" s="541"/>
      <c r="WI36" s="541"/>
      <c r="WJ36" s="541"/>
      <c r="WK36" s="541"/>
      <c r="WL36" s="541"/>
      <c r="WM36" s="541"/>
      <c r="WN36" s="541"/>
      <c r="WO36" s="541"/>
      <c r="WP36" s="541"/>
      <c r="WQ36" s="541"/>
      <c r="WR36" s="541"/>
      <c r="WS36" s="541"/>
      <c r="WT36" s="541"/>
      <c r="WU36" s="541"/>
      <c r="WV36" s="541"/>
      <c r="WW36" s="541"/>
      <c r="WX36" s="541"/>
      <c r="WY36" s="541"/>
      <c r="WZ36" s="541"/>
      <c r="XA36" s="541"/>
      <c r="XB36" s="541"/>
      <c r="XC36" s="541"/>
      <c r="XD36" s="541"/>
      <c r="XE36" s="541"/>
      <c r="XF36" s="541"/>
      <c r="XG36" s="541"/>
      <c r="XH36" s="541"/>
      <c r="XI36" s="541"/>
      <c r="XJ36" s="541"/>
      <c r="XK36" s="541"/>
      <c r="XL36" s="541"/>
      <c r="XM36" s="541"/>
      <c r="XN36" s="541"/>
      <c r="XO36" s="541"/>
      <c r="XP36" s="541"/>
      <c r="XQ36" s="541"/>
      <c r="XR36" s="541"/>
      <c r="XS36" s="541"/>
      <c r="XT36" s="541"/>
      <c r="XU36" s="541"/>
      <c r="XV36" s="541"/>
      <c r="XW36" s="541"/>
      <c r="XX36" s="541"/>
      <c r="XY36" s="541"/>
      <c r="XZ36" s="541"/>
      <c r="YA36" s="541"/>
      <c r="YB36" s="541"/>
      <c r="YC36" s="541"/>
      <c r="YD36" s="541"/>
      <c r="YE36" s="541"/>
      <c r="YF36" s="541"/>
      <c r="YG36" s="541"/>
      <c r="YH36" s="541"/>
      <c r="YI36" s="541"/>
      <c r="YJ36" s="541"/>
      <c r="YK36" s="541"/>
      <c r="YL36" s="541"/>
      <c r="YM36" s="541"/>
      <c r="YN36" s="541"/>
      <c r="YO36" s="541"/>
      <c r="YP36" s="541"/>
      <c r="YQ36" s="541"/>
      <c r="YR36" s="541"/>
      <c r="YS36" s="541"/>
      <c r="YT36" s="541"/>
      <c r="YU36" s="541"/>
      <c r="YV36" s="541"/>
      <c r="YW36" s="541"/>
      <c r="YX36" s="541"/>
      <c r="YY36" s="541"/>
      <c r="YZ36" s="541"/>
      <c r="ZA36" s="541"/>
      <c r="ZB36" s="541"/>
      <c r="ZC36" s="541"/>
      <c r="ZD36" s="541"/>
      <c r="ZE36" s="541"/>
      <c r="ZF36" s="541"/>
      <c r="ZG36" s="541"/>
      <c r="ZH36" s="541"/>
      <c r="ZI36" s="541"/>
      <c r="ZJ36" s="541"/>
      <c r="ZK36" s="541"/>
      <c r="ZL36" s="541"/>
      <c r="ZM36" s="541"/>
      <c r="ZN36" s="541"/>
      <c r="ZO36" s="541"/>
      <c r="ZP36" s="541"/>
      <c r="ZQ36" s="541"/>
      <c r="ZR36" s="541"/>
      <c r="ZS36" s="541"/>
      <c r="ZT36" s="541"/>
      <c r="ZU36" s="541"/>
      <c r="ZV36" s="541"/>
      <c r="ZW36" s="541"/>
      <c r="ZX36" s="541"/>
      <c r="ZY36" s="541"/>
      <c r="ZZ36" s="541"/>
      <c r="AAA36" s="541"/>
      <c r="AAB36" s="541"/>
      <c r="AAC36" s="541"/>
      <c r="AAD36" s="541"/>
      <c r="AAE36" s="541"/>
      <c r="AAF36" s="541"/>
      <c r="AAG36" s="541"/>
      <c r="AAH36" s="541"/>
      <c r="AAI36" s="541"/>
      <c r="AAJ36" s="541"/>
      <c r="AAK36" s="541"/>
      <c r="AAL36" s="541"/>
      <c r="AAM36" s="541"/>
      <c r="AAN36" s="541"/>
      <c r="AAO36" s="541"/>
      <c r="AAP36" s="541"/>
      <c r="AAQ36" s="541"/>
      <c r="AAR36" s="541"/>
      <c r="AAS36" s="541"/>
      <c r="AAT36" s="541"/>
      <c r="AAU36" s="541"/>
      <c r="AAV36" s="541"/>
      <c r="AAW36" s="541"/>
      <c r="AAX36" s="541"/>
      <c r="AAY36" s="541"/>
      <c r="AAZ36" s="541"/>
      <c r="ABA36" s="541"/>
      <c r="ABB36" s="541"/>
      <c r="ABC36" s="541"/>
      <c r="ABD36" s="541"/>
      <c r="ABE36" s="541"/>
      <c r="ABF36" s="541"/>
      <c r="ABG36" s="541"/>
      <c r="ABH36" s="541"/>
      <c r="ABI36" s="541"/>
      <c r="ABJ36" s="541"/>
      <c r="ABK36" s="541"/>
      <c r="ABL36" s="541"/>
      <c r="ABM36" s="541"/>
      <c r="ABN36" s="541"/>
      <c r="ABO36" s="541"/>
      <c r="ABP36" s="541"/>
      <c r="ABQ36" s="541"/>
      <c r="ABR36" s="541"/>
      <c r="ABS36" s="541"/>
      <c r="ABT36" s="541"/>
      <c r="ABU36" s="541"/>
      <c r="ABV36" s="541"/>
      <c r="ABW36" s="541"/>
      <c r="ABX36" s="541"/>
      <c r="ABY36" s="541"/>
      <c r="ABZ36" s="541"/>
      <c r="ACA36" s="541"/>
      <c r="ACB36" s="541"/>
      <c r="ACC36" s="541"/>
      <c r="ACD36" s="541"/>
      <c r="ACE36" s="541"/>
      <c r="ACF36" s="541"/>
      <c r="ACG36" s="541"/>
      <c r="ACH36" s="541"/>
      <c r="ACI36" s="541"/>
      <c r="ACJ36" s="541"/>
      <c r="ACK36" s="541"/>
      <c r="ACL36" s="541"/>
      <c r="ACM36" s="541"/>
      <c r="ACN36" s="541"/>
      <c r="ACO36" s="541"/>
      <c r="ACP36" s="541"/>
      <c r="ACQ36" s="541"/>
      <c r="ACR36" s="541"/>
      <c r="ACS36" s="541"/>
      <c r="ACT36" s="541"/>
      <c r="ACU36" s="541"/>
      <c r="ACV36" s="541"/>
      <c r="ACW36" s="541"/>
      <c r="ACX36" s="541"/>
      <c r="ACY36" s="541"/>
      <c r="ACZ36" s="541"/>
      <c r="ADA36" s="541"/>
      <c r="ADB36" s="541"/>
      <c r="ADC36" s="541"/>
      <c r="ADD36" s="541"/>
      <c r="ADE36" s="541"/>
      <c r="ADF36" s="541"/>
      <c r="ADG36" s="541"/>
      <c r="ADH36" s="541"/>
      <c r="ADI36" s="541"/>
      <c r="ADJ36" s="541"/>
      <c r="ADK36" s="541"/>
      <c r="ADL36" s="541"/>
      <c r="ADM36" s="541"/>
      <c r="ADN36" s="541"/>
      <c r="ADO36" s="541"/>
      <c r="ADP36" s="541"/>
      <c r="ADQ36" s="541"/>
      <c r="ADR36" s="541"/>
      <c r="ADS36" s="541"/>
      <c r="ADT36" s="541"/>
      <c r="ADU36" s="541"/>
      <c r="ADV36" s="541"/>
      <c r="ADW36" s="541"/>
      <c r="ADX36" s="541"/>
      <c r="ADY36" s="541"/>
      <c r="ADZ36" s="541"/>
      <c r="AEA36" s="541"/>
      <c r="AEB36" s="541"/>
      <c r="AEC36" s="541"/>
      <c r="AED36" s="541"/>
      <c r="AEE36" s="541"/>
      <c r="AEF36" s="541"/>
      <c r="AEG36" s="541"/>
      <c r="AEH36" s="541"/>
      <c r="AEI36" s="541"/>
      <c r="AEJ36" s="541"/>
      <c r="AEK36" s="541"/>
      <c r="AEL36" s="541"/>
      <c r="AEM36" s="541"/>
      <c r="AEN36" s="541"/>
      <c r="AEO36" s="541"/>
      <c r="AEP36" s="541"/>
      <c r="AEQ36" s="541"/>
      <c r="AER36" s="541"/>
      <c r="AES36" s="541"/>
      <c r="AET36" s="541"/>
      <c r="AEU36" s="541"/>
      <c r="AEV36" s="541"/>
      <c r="AEW36" s="541"/>
      <c r="AEX36" s="541"/>
      <c r="AEY36" s="541"/>
      <c r="AEZ36" s="541"/>
      <c r="AFA36" s="541"/>
      <c r="AFB36" s="541"/>
      <c r="AFC36" s="541"/>
      <c r="AFD36" s="541"/>
      <c r="AFE36" s="541"/>
      <c r="AFF36" s="541"/>
      <c r="AFG36" s="541"/>
      <c r="AFH36" s="541"/>
      <c r="AFI36" s="541"/>
      <c r="AFJ36" s="541"/>
      <c r="AFK36" s="541"/>
      <c r="AFL36" s="541"/>
      <c r="AFM36" s="541"/>
      <c r="AFN36" s="541"/>
      <c r="AFO36" s="541"/>
      <c r="AFP36" s="541"/>
      <c r="AFQ36" s="541"/>
      <c r="AFR36" s="541"/>
      <c r="AFS36" s="541"/>
      <c r="AFT36" s="541"/>
      <c r="AFU36" s="541"/>
      <c r="AFV36" s="541"/>
      <c r="AFW36" s="541"/>
      <c r="AFX36" s="541"/>
      <c r="AFY36" s="541"/>
      <c r="AFZ36" s="541"/>
      <c r="AGA36" s="541"/>
      <c r="AGB36" s="541"/>
      <c r="AGC36" s="541"/>
      <c r="AGD36" s="541"/>
      <c r="AGE36" s="541"/>
      <c r="AGF36" s="541"/>
      <c r="AGG36" s="541"/>
      <c r="AGH36" s="541"/>
      <c r="AGI36" s="541"/>
      <c r="AGJ36" s="541"/>
      <c r="AGK36" s="541"/>
      <c r="AGL36" s="541"/>
      <c r="AGM36" s="541"/>
      <c r="AGN36" s="541"/>
      <c r="AGO36" s="541"/>
      <c r="AGP36" s="541"/>
      <c r="AGQ36" s="541"/>
      <c r="AGR36" s="541"/>
      <c r="AGS36" s="541"/>
      <c r="AGT36" s="541"/>
      <c r="AGU36" s="541"/>
      <c r="AGV36" s="541"/>
      <c r="AGW36" s="541"/>
      <c r="AGX36" s="541"/>
      <c r="AGY36" s="541"/>
      <c r="AGZ36" s="541"/>
      <c r="AHA36" s="541"/>
      <c r="AHB36" s="541"/>
      <c r="AHC36" s="541"/>
      <c r="AHD36" s="541"/>
      <c r="AHE36" s="541"/>
      <c r="AHF36" s="541"/>
      <c r="AHG36" s="541"/>
      <c r="AHH36" s="541"/>
      <c r="AHI36" s="541"/>
      <c r="AHJ36" s="541"/>
      <c r="AHK36" s="541"/>
      <c r="AHL36" s="541"/>
      <c r="AHM36" s="541"/>
      <c r="AHN36" s="541"/>
      <c r="AHO36" s="541"/>
      <c r="AHP36" s="541"/>
      <c r="AHQ36" s="541"/>
      <c r="AHR36" s="541"/>
      <c r="AHS36" s="541"/>
      <c r="AHT36" s="541"/>
      <c r="AHU36" s="541"/>
      <c r="AHV36" s="541"/>
      <c r="AHW36" s="541"/>
      <c r="AHX36" s="541"/>
      <c r="AHY36" s="541"/>
      <c r="AHZ36" s="541"/>
      <c r="AIA36" s="541"/>
      <c r="AIB36" s="541"/>
      <c r="AIC36" s="541"/>
      <c r="AID36" s="541"/>
      <c r="AIE36" s="541"/>
      <c r="AIF36" s="541"/>
      <c r="AIG36" s="541"/>
      <c r="AIH36" s="541"/>
      <c r="AII36" s="541"/>
      <c r="AIJ36" s="541"/>
      <c r="AIK36" s="541"/>
      <c r="AIL36" s="541"/>
      <c r="AIM36" s="541"/>
      <c r="AIN36" s="541"/>
      <c r="AIO36" s="541"/>
      <c r="AIP36" s="541"/>
      <c r="AIQ36" s="541"/>
      <c r="AIR36" s="541"/>
      <c r="AIS36" s="541"/>
      <c r="AIT36" s="541"/>
      <c r="AIU36" s="541"/>
      <c r="AIV36" s="541"/>
      <c r="AIW36" s="541"/>
      <c r="AIX36" s="541"/>
      <c r="AIY36" s="541"/>
      <c r="AIZ36" s="541"/>
      <c r="AJA36" s="541"/>
      <c r="AJB36" s="541"/>
      <c r="AJC36" s="541"/>
      <c r="AJD36" s="541"/>
      <c r="AJE36" s="541"/>
      <c r="AJF36" s="541"/>
      <c r="AJG36" s="541"/>
      <c r="AJH36" s="541"/>
      <c r="AJI36" s="541"/>
      <c r="AJJ36" s="541"/>
      <c r="AJK36" s="541"/>
      <c r="AJL36" s="541"/>
      <c r="AJM36" s="541"/>
      <c r="AJN36" s="541"/>
      <c r="AJO36" s="541"/>
      <c r="AJP36" s="541"/>
      <c r="AJQ36" s="541"/>
      <c r="AJR36" s="541"/>
      <c r="AJS36" s="541"/>
      <c r="AJT36" s="541"/>
      <c r="AJU36" s="541"/>
      <c r="AJV36" s="541"/>
      <c r="AJW36" s="541"/>
      <c r="AJX36" s="541"/>
      <c r="AJY36" s="541"/>
      <c r="AJZ36" s="541"/>
      <c r="AKA36" s="541"/>
      <c r="AKB36" s="541"/>
      <c r="AKC36" s="541"/>
      <c r="AKD36" s="541"/>
      <c r="AKE36" s="541"/>
      <c r="AKF36" s="541"/>
      <c r="AKG36" s="541"/>
      <c r="AKH36" s="541"/>
      <c r="AKI36" s="541"/>
      <c r="AKJ36" s="541"/>
      <c r="AKK36" s="541"/>
      <c r="AKL36" s="541"/>
      <c r="AKM36" s="541"/>
      <c r="AKN36" s="541"/>
      <c r="AKO36" s="541"/>
      <c r="AKP36" s="541"/>
      <c r="AKQ36" s="541"/>
      <c r="AKR36" s="541"/>
      <c r="AKS36" s="541"/>
      <c r="AKT36" s="541"/>
      <c r="AKU36" s="541"/>
      <c r="AKV36" s="541"/>
      <c r="AKW36" s="541"/>
      <c r="AKX36" s="541"/>
      <c r="AKY36" s="541"/>
      <c r="AKZ36" s="541"/>
      <c r="ALA36" s="541"/>
      <c r="ALB36" s="541"/>
      <c r="ALC36" s="541"/>
      <c r="ALD36" s="541"/>
      <c r="ALE36" s="541"/>
      <c r="ALF36" s="541"/>
      <c r="ALG36" s="541"/>
      <c r="ALH36" s="541"/>
      <c r="ALI36" s="541"/>
      <c r="ALJ36" s="541"/>
      <c r="ALK36" s="541"/>
      <c r="ALL36" s="541"/>
      <c r="ALM36" s="541"/>
      <c r="ALN36" s="541"/>
      <c r="ALO36" s="541"/>
      <c r="ALP36" s="541"/>
      <c r="ALQ36" s="541"/>
      <c r="ALR36" s="541"/>
      <c r="ALS36" s="541"/>
      <c r="ALT36" s="541"/>
      <c r="ALU36" s="541"/>
      <c r="ALV36" s="541"/>
      <c r="ALW36" s="541"/>
      <c r="ALX36" s="541"/>
      <c r="ALY36" s="541"/>
      <c r="ALZ36" s="541"/>
      <c r="AMA36" s="541"/>
      <c r="AMB36" s="541"/>
      <c r="AMC36" s="541"/>
      <c r="AMD36" s="541"/>
      <c r="AME36" s="541"/>
      <c r="AMF36" s="541"/>
      <c r="AMG36" s="541"/>
      <c r="AMH36" s="541"/>
      <c r="AMI36" s="541"/>
      <c r="AMJ36" s="541"/>
      <c r="AMK36" s="541"/>
      <c r="AML36" s="541"/>
      <c r="AMM36" s="541"/>
      <c r="AMN36" s="541"/>
      <c r="AMO36" s="541"/>
      <c r="AMP36" s="541"/>
      <c r="AMQ36" s="541"/>
      <c r="AMR36" s="541"/>
      <c r="AMS36" s="541"/>
      <c r="AMT36" s="541"/>
      <c r="AMU36" s="541"/>
      <c r="AMV36" s="541"/>
      <c r="AMW36" s="541"/>
      <c r="AMX36" s="541"/>
      <c r="AMY36" s="541"/>
      <c r="AMZ36" s="541"/>
      <c r="ANA36" s="541"/>
      <c r="ANB36" s="541"/>
      <c r="ANC36" s="541"/>
      <c r="AND36" s="541"/>
      <c r="ANE36" s="541"/>
      <c r="ANF36" s="541"/>
      <c r="ANG36" s="541"/>
      <c r="ANH36" s="541"/>
      <c r="ANI36" s="541"/>
      <c r="ANJ36" s="541"/>
      <c r="ANK36" s="541"/>
      <c r="ANL36" s="541"/>
      <c r="ANM36" s="541"/>
      <c r="ANN36" s="541"/>
      <c r="ANO36" s="541"/>
      <c r="ANP36" s="541"/>
      <c r="ANQ36" s="541"/>
      <c r="ANR36" s="541"/>
      <c r="ANS36" s="541"/>
      <c r="ANT36" s="541"/>
      <c r="ANU36" s="541"/>
      <c r="ANV36" s="541"/>
      <c r="ANW36" s="541"/>
      <c r="ANX36" s="541"/>
      <c r="ANY36" s="541"/>
      <c r="ANZ36" s="541"/>
      <c r="AOA36" s="541"/>
      <c r="AOB36" s="541"/>
      <c r="AOC36" s="541"/>
      <c r="AOD36" s="541"/>
      <c r="AOE36" s="541"/>
      <c r="AOF36" s="541"/>
      <c r="AOG36" s="541"/>
      <c r="AOH36" s="541"/>
      <c r="AOI36" s="541"/>
      <c r="AOJ36" s="541"/>
      <c r="AOK36" s="541"/>
      <c r="AOL36" s="541"/>
      <c r="AOM36" s="541"/>
      <c r="AON36" s="541"/>
      <c r="AOO36" s="541"/>
      <c r="AOP36" s="541"/>
      <c r="AOQ36" s="541"/>
      <c r="AOR36" s="541"/>
      <c r="AOS36" s="541"/>
      <c r="AOT36" s="541"/>
      <c r="AOU36" s="541"/>
      <c r="AOV36" s="541"/>
      <c r="AOW36" s="541"/>
      <c r="AOX36" s="541"/>
      <c r="AOY36" s="541"/>
      <c r="AOZ36" s="541"/>
      <c r="APA36" s="541"/>
      <c r="APB36" s="541"/>
      <c r="APC36" s="541"/>
      <c r="APD36" s="541"/>
      <c r="APE36" s="541"/>
      <c r="APF36" s="541"/>
      <c r="APG36" s="541"/>
      <c r="APH36" s="541"/>
      <c r="API36" s="541"/>
      <c r="APJ36" s="541"/>
      <c r="APK36" s="541"/>
      <c r="APL36" s="541"/>
      <c r="APM36" s="541"/>
      <c r="APN36" s="541"/>
      <c r="APO36" s="541"/>
      <c r="APP36" s="541"/>
      <c r="APQ36" s="541"/>
      <c r="APR36" s="541"/>
      <c r="APS36" s="541"/>
      <c r="APT36" s="541"/>
      <c r="APU36" s="541"/>
      <c r="APV36" s="541"/>
      <c r="APW36" s="541"/>
      <c r="APX36" s="541"/>
      <c r="APY36" s="541"/>
      <c r="APZ36" s="541"/>
      <c r="AQA36" s="541"/>
      <c r="AQB36" s="541"/>
      <c r="AQC36" s="541"/>
      <c r="AQD36" s="541"/>
      <c r="AQE36" s="541"/>
      <c r="AQF36" s="541"/>
      <c r="AQG36" s="541"/>
      <c r="AQH36" s="541"/>
      <c r="AQI36" s="541"/>
      <c r="AQJ36" s="541"/>
      <c r="AQK36" s="541"/>
      <c r="AQL36" s="541"/>
      <c r="AQM36" s="541"/>
      <c r="AQN36" s="541"/>
      <c r="AQO36" s="541"/>
      <c r="AQP36" s="541"/>
      <c r="AQQ36" s="541"/>
      <c r="AQR36" s="541"/>
      <c r="AQS36" s="541"/>
      <c r="AQT36" s="541"/>
      <c r="AQU36" s="541"/>
      <c r="AQV36" s="541"/>
      <c r="AQW36" s="541"/>
      <c r="AQX36" s="541"/>
      <c r="AQY36" s="541"/>
      <c r="AQZ36" s="541"/>
      <c r="ARA36" s="541"/>
      <c r="ARB36" s="541"/>
      <c r="ARC36" s="541"/>
      <c r="ARD36" s="541"/>
      <c r="ARE36" s="541"/>
      <c r="ARF36" s="541"/>
      <c r="ARG36" s="541"/>
      <c r="ARH36" s="541"/>
      <c r="ARI36" s="541"/>
      <c r="ARJ36" s="541"/>
      <c r="ARK36" s="541"/>
      <c r="ARL36" s="541"/>
      <c r="ARM36" s="541"/>
      <c r="ARN36" s="541"/>
      <c r="ARO36" s="541"/>
      <c r="ARP36" s="541"/>
      <c r="ARQ36" s="541"/>
      <c r="ARR36" s="541"/>
      <c r="ARS36" s="541"/>
      <c r="ART36" s="541"/>
    </row>
    <row r="37" spans="1:1164" s="658" customFormat="1">
      <c r="A37" s="613" t="s">
        <v>498</v>
      </c>
      <c r="B37" s="578" t="s">
        <v>110</v>
      </c>
      <c r="C37" s="659">
        <v>489720</v>
      </c>
      <c r="D37" s="659">
        <v>10636394</v>
      </c>
      <c r="E37" s="581">
        <v>0</v>
      </c>
      <c r="F37" s="581">
        <v>0</v>
      </c>
      <c r="G37" s="581">
        <v>0</v>
      </c>
      <c r="H37" s="581">
        <v>0</v>
      </c>
      <c r="I37" s="581">
        <v>0</v>
      </c>
      <c r="J37" s="581">
        <v>0</v>
      </c>
      <c r="K37" s="581">
        <v>0</v>
      </c>
      <c r="L37" s="581">
        <v>0</v>
      </c>
      <c r="M37" s="581">
        <v>0</v>
      </c>
      <c r="N37" s="581">
        <v>0</v>
      </c>
      <c r="O37" s="581">
        <v>0</v>
      </c>
      <c r="P37" s="581">
        <v>0</v>
      </c>
      <c r="Q37" s="581">
        <v>0</v>
      </c>
      <c r="R37" s="581">
        <v>0</v>
      </c>
      <c r="S37" s="581">
        <v>0</v>
      </c>
      <c r="T37" s="581">
        <v>0</v>
      </c>
      <c r="U37" s="581">
        <v>0</v>
      </c>
      <c r="V37" s="581">
        <v>0</v>
      </c>
      <c r="W37" s="598">
        <v>7846</v>
      </c>
      <c r="X37" s="598">
        <v>4422848</v>
      </c>
      <c r="Y37" s="660">
        <v>13606</v>
      </c>
      <c r="Z37" s="660">
        <v>7176456</v>
      </c>
      <c r="AA37" s="619">
        <v>10698</v>
      </c>
      <c r="AB37" s="619">
        <v>4348109</v>
      </c>
      <c r="AC37" s="581">
        <v>20964</v>
      </c>
      <c r="AD37" s="581">
        <v>7429363</v>
      </c>
      <c r="AE37" s="581">
        <v>32276</v>
      </c>
      <c r="AF37" s="581">
        <v>7835561</v>
      </c>
      <c r="AG37" s="619">
        <v>20287</v>
      </c>
      <c r="AH37" s="619">
        <v>7320564</v>
      </c>
      <c r="AI37" s="619">
        <v>15642</v>
      </c>
      <c r="AJ37" s="619">
        <v>8253256</v>
      </c>
      <c r="AK37" s="661">
        <v>17080.275999999998</v>
      </c>
      <c r="AL37" s="661">
        <v>9901951</v>
      </c>
      <c r="AM37" s="662">
        <v>23201.462</v>
      </c>
      <c r="AN37" s="662">
        <v>9914174</v>
      </c>
      <c r="AO37" s="579">
        <v>39518</v>
      </c>
      <c r="AP37" s="579">
        <v>15085665</v>
      </c>
      <c r="AQ37" s="579">
        <v>55280.813999999998</v>
      </c>
      <c r="AR37" s="579">
        <v>17225445.539999999</v>
      </c>
      <c r="AS37" s="579">
        <v>73081</v>
      </c>
      <c r="AT37" s="579">
        <v>25761448</v>
      </c>
      <c r="AU37" s="619">
        <v>91383</v>
      </c>
      <c r="AV37" s="619">
        <v>44902919</v>
      </c>
      <c r="AW37" s="581">
        <v>70397</v>
      </c>
      <c r="AX37" s="581">
        <v>32690023</v>
      </c>
      <c r="AY37" s="581">
        <v>56492</v>
      </c>
      <c r="AZ37" s="581">
        <v>24317218</v>
      </c>
      <c r="BA37" s="664"/>
      <c r="BB37" s="581"/>
      <c r="BC37" s="664"/>
      <c r="BD37" s="581"/>
      <c r="BE37" s="664"/>
      <c r="BF37" s="581"/>
      <c r="BG37" s="664"/>
      <c r="BH37" s="690"/>
      <c r="BI37" s="664"/>
      <c r="BJ37" s="581">
        <f t="shared" si="2"/>
        <v>1037472.5519999999</v>
      </c>
      <c r="BK37" s="581">
        <f t="shared" si="3"/>
        <v>237221394.53999999</v>
      </c>
      <c r="BL37" s="541"/>
      <c r="BM37" s="42"/>
      <c r="BN37" s="624"/>
      <c r="BO37" s="624"/>
      <c r="BP37" s="541"/>
      <c r="BQ37" s="541"/>
      <c r="BR37" s="541"/>
      <c r="BS37" s="541"/>
      <c r="BT37" s="541"/>
      <c r="BU37" s="541"/>
      <c r="BV37" s="541"/>
      <c r="BW37" s="541"/>
      <c r="BX37" s="541"/>
      <c r="BY37" s="541"/>
      <c r="BZ37" s="541"/>
      <c r="CA37" s="541"/>
      <c r="CB37" s="541"/>
      <c r="CC37" s="541"/>
      <c r="CD37" s="541"/>
      <c r="CE37" s="541"/>
      <c r="CF37" s="541"/>
      <c r="CG37" s="541"/>
      <c r="CH37" s="541"/>
      <c r="CI37" s="541"/>
      <c r="CJ37" s="541"/>
      <c r="CK37" s="541"/>
      <c r="CL37" s="541"/>
      <c r="CM37" s="541"/>
      <c r="CN37" s="541"/>
      <c r="CO37" s="541"/>
      <c r="CP37" s="541"/>
      <c r="CQ37" s="541"/>
      <c r="CR37" s="541"/>
      <c r="CS37" s="541"/>
      <c r="CT37" s="541"/>
      <c r="CU37" s="541"/>
      <c r="CV37" s="541"/>
      <c r="CW37" s="541"/>
      <c r="CX37" s="541"/>
      <c r="CY37" s="541"/>
      <c r="CZ37" s="541"/>
      <c r="DA37" s="541"/>
      <c r="DB37" s="541"/>
      <c r="DC37" s="541"/>
      <c r="DD37" s="541"/>
      <c r="DE37" s="541"/>
      <c r="DF37" s="541"/>
      <c r="DG37" s="541"/>
      <c r="DH37" s="541"/>
      <c r="DI37" s="541"/>
      <c r="DJ37" s="541"/>
      <c r="DK37" s="541"/>
      <c r="DL37" s="541"/>
      <c r="DM37" s="541"/>
      <c r="DN37" s="541"/>
      <c r="DO37" s="541"/>
      <c r="DP37" s="541"/>
      <c r="DQ37" s="541"/>
      <c r="DR37" s="541"/>
      <c r="DS37" s="541"/>
      <c r="DT37" s="541"/>
      <c r="DU37" s="541"/>
      <c r="DV37" s="541"/>
      <c r="DW37" s="541"/>
      <c r="DX37" s="541"/>
      <c r="DY37" s="541"/>
      <c r="DZ37" s="541"/>
      <c r="EA37" s="541"/>
      <c r="EB37" s="541"/>
      <c r="EC37" s="541"/>
      <c r="ED37" s="541"/>
      <c r="EE37" s="541"/>
      <c r="EF37" s="541"/>
      <c r="EG37" s="541"/>
      <c r="EH37" s="541"/>
      <c r="EI37" s="541"/>
      <c r="EJ37" s="541"/>
      <c r="EK37" s="541"/>
      <c r="EL37" s="541"/>
      <c r="EM37" s="541"/>
      <c r="EN37" s="541"/>
      <c r="EO37" s="541"/>
      <c r="EP37" s="541"/>
      <c r="EQ37" s="541"/>
      <c r="ER37" s="541"/>
      <c r="ES37" s="541"/>
      <c r="ET37" s="541"/>
      <c r="EU37" s="541"/>
      <c r="EV37" s="541"/>
      <c r="EW37" s="541"/>
      <c r="EX37" s="541"/>
      <c r="EY37" s="541"/>
      <c r="EZ37" s="541"/>
      <c r="FA37" s="541"/>
      <c r="FB37" s="541"/>
      <c r="FC37" s="541"/>
      <c r="FD37" s="541"/>
      <c r="FE37" s="541"/>
      <c r="FF37" s="541"/>
      <c r="FG37" s="541"/>
      <c r="FH37" s="541"/>
      <c r="FI37" s="541"/>
      <c r="FJ37" s="541"/>
      <c r="FK37" s="541"/>
      <c r="FL37" s="541"/>
      <c r="FM37" s="541"/>
      <c r="FN37" s="541"/>
      <c r="FO37" s="541"/>
      <c r="FP37" s="541"/>
      <c r="FQ37" s="541"/>
      <c r="FR37" s="541"/>
      <c r="FS37" s="541"/>
      <c r="FT37" s="541"/>
      <c r="FU37" s="541"/>
      <c r="FV37" s="541"/>
      <c r="FW37" s="541"/>
      <c r="FX37" s="541"/>
      <c r="FY37" s="541"/>
      <c r="FZ37" s="541"/>
      <c r="GA37" s="541"/>
      <c r="GB37" s="541"/>
      <c r="GC37" s="541"/>
      <c r="GD37" s="541"/>
      <c r="GE37" s="541"/>
      <c r="GF37" s="541"/>
      <c r="GG37" s="541"/>
      <c r="GH37" s="541"/>
      <c r="GI37" s="541"/>
      <c r="GJ37" s="541"/>
      <c r="GK37" s="541"/>
      <c r="GL37" s="541"/>
      <c r="GM37" s="541"/>
      <c r="GN37" s="541"/>
      <c r="GO37" s="541"/>
      <c r="GP37" s="541"/>
      <c r="GQ37" s="541"/>
      <c r="GR37" s="541"/>
      <c r="GS37" s="541"/>
      <c r="GT37" s="541"/>
      <c r="GU37" s="541"/>
      <c r="GV37" s="541"/>
      <c r="GW37" s="541"/>
      <c r="GX37" s="541"/>
      <c r="GY37" s="541"/>
      <c r="GZ37" s="541"/>
      <c r="HA37" s="541"/>
      <c r="HB37" s="541"/>
      <c r="HC37" s="541"/>
      <c r="HD37" s="541"/>
      <c r="HE37" s="541"/>
      <c r="HF37" s="541"/>
      <c r="HG37" s="541"/>
      <c r="HH37" s="541"/>
      <c r="HI37" s="541"/>
      <c r="HJ37" s="541"/>
      <c r="HK37" s="541"/>
      <c r="HL37" s="541"/>
      <c r="HM37" s="541"/>
      <c r="HN37" s="541"/>
      <c r="HO37" s="541"/>
      <c r="HP37" s="541"/>
      <c r="HQ37" s="541"/>
      <c r="HR37" s="541"/>
      <c r="HS37" s="541"/>
      <c r="HT37" s="541"/>
      <c r="HU37" s="541"/>
      <c r="HV37" s="541"/>
      <c r="HW37" s="541"/>
      <c r="HX37" s="541"/>
      <c r="HY37" s="541"/>
      <c r="HZ37" s="541"/>
      <c r="IA37" s="541"/>
      <c r="IB37" s="541"/>
      <c r="IC37" s="541"/>
      <c r="ID37" s="541"/>
      <c r="IE37" s="541"/>
      <c r="IF37" s="541"/>
      <c r="IG37" s="541"/>
      <c r="IH37" s="541"/>
      <c r="II37" s="541"/>
      <c r="IJ37" s="541"/>
      <c r="IK37" s="541"/>
      <c r="IL37" s="541"/>
      <c r="IM37" s="541"/>
      <c r="IN37" s="541"/>
      <c r="IO37" s="541"/>
      <c r="IP37" s="541"/>
      <c r="IQ37" s="541"/>
      <c r="IR37" s="541"/>
      <c r="IS37" s="541"/>
      <c r="IT37" s="541"/>
      <c r="IU37" s="541"/>
      <c r="IV37" s="541"/>
      <c r="IW37" s="541"/>
      <c r="IX37" s="541"/>
      <c r="IY37" s="541"/>
      <c r="IZ37" s="541"/>
      <c r="JA37" s="541"/>
      <c r="JB37" s="541"/>
      <c r="JC37" s="541"/>
      <c r="JD37" s="541"/>
      <c r="JE37" s="541"/>
      <c r="JF37" s="541"/>
      <c r="JG37" s="541"/>
      <c r="JH37" s="541"/>
      <c r="JI37" s="541"/>
      <c r="JJ37" s="541"/>
      <c r="JK37" s="541"/>
      <c r="JL37" s="541"/>
      <c r="JM37" s="541"/>
      <c r="JN37" s="541"/>
      <c r="JO37" s="541"/>
      <c r="JP37" s="541"/>
      <c r="JQ37" s="541"/>
      <c r="JR37" s="541"/>
      <c r="JS37" s="541"/>
      <c r="JT37" s="541"/>
      <c r="JU37" s="541"/>
      <c r="JV37" s="541"/>
      <c r="JW37" s="541"/>
      <c r="JX37" s="541"/>
      <c r="JY37" s="541"/>
      <c r="JZ37" s="541"/>
      <c r="KA37" s="541"/>
      <c r="KB37" s="541"/>
      <c r="KC37" s="541"/>
      <c r="KD37" s="541"/>
      <c r="KE37" s="541"/>
      <c r="KF37" s="541"/>
      <c r="KG37" s="541"/>
      <c r="KH37" s="541"/>
      <c r="KI37" s="541"/>
      <c r="KJ37" s="541"/>
      <c r="KK37" s="541"/>
      <c r="KL37" s="541"/>
      <c r="KM37" s="541"/>
      <c r="KN37" s="541"/>
      <c r="KO37" s="541"/>
      <c r="KP37" s="541"/>
      <c r="KQ37" s="541"/>
      <c r="KR37" s="541"/>
      <c r="KS37" s="541"/>
      <c r="KT37" s="541"/>
      <c r="KU37" s="541"/>
      <c r="KV37" s="541"/>
      <c r="KW37" s="541"/>
      <c r="KX37" s="541"/>
      <c r="KY37" s="541"/>
      <c r="KZ37" s="541"/>
      <c r="LA37" s="541"/>
      <c r="LB37" s="541"/>
      <c r="LC37" s="541"/>
      <c r="LD37" s="541"/>
      <c r="LE37" s="541"/>
      <c r="LF37" s="541"/>
      <c r="LG37" s="541"/>
      <c r="LH37" s="541"/>
      <c r="LI37" s="541"/>
      <c r="LJ37" s="541"/>
      <c r="LK37" s="541"/>
      <c r="LL37" s="541"/>
      <c r="LM37" s="541"/>
      <c r="LN37" s="541"/>
      <c r="LO37" s="541"/>
      <c r="LP37" s="541"/>
      <c r="LQ37" s="541"/>
      <c r="LR37" s="541"/>
      <c r="LS37" s="541"/>
      <c r="LT37" s="541"/>
      <c r="LU37" s="541"/>
      <c r="LV37" s="541"/>
      <c r="LW37" s="541"/>
      <c r="LX37" s="541"/>
      <c r="LY37" s="541"/>
      <c r="LZ37" s="541"/>
      <c r="MA37" s="541"/>
      <c r="MB37" s="541"/>
      <c r="MC37" s="541"/>
      <c r="MD37" s="541"/>
      <c r="ME37" s="541"/>
      <c r="MF37" s="541"/>
      <c r="MG37" s="541"/>
      <c r="MH37" s="541"/>
      <c r="MI37" s="541"/>
      <c r="MJ37" s="541"/>
      <c r="MK37" s="541"/>
      <c r="ML37" s="541"/>
      <c r="MM37" s="541"/>
      <c r="MN37" s="541"/>
      <c r="MO37" s="541"/>
      <c r="MP37" s="541"/>
      <c r="MQ37" s="541"/>
      <c r="MR37" s="541"/>
      <c r="MS37" s="541"/>
      <c r="MT37" s="541"/>
      <c r="MU37" s="541"/>
      <c r="MV37" s="541"/>
      <c r="MW37" s="541"/>
      <c r="MX37" s="541"/>
      <c r="MY37" s="541"/>
      <c r="MZ37" s="541"/>
      <c r="NA37" s="541"/>
      <c r="NB37" s="541"/>
      <c r="NC37" s="541"/>
      <c r="ND37" s="541"/>
      <c r="NE37" s="541"/>
      <c r="NF37" s="541"/>
      <c r="NG37" s="541"/>
      <c r="NH37" s="541"/>
      <c r="NI37" s="541"/>
      <c r="NJ37" s="541"/>
      <c r="NK37" s="541"/>
      <c r="NL37" s="541"/>
      <c r="NM37" s="541"/>
      <c r="NN37" s="541"/>
      <c r="NO37" s="541"/>
      <c r="NP37" s="541"/>
      <c r="NQ37" s="541"/>
      <c r="NR37" s="541"/>
      <c r="NS37" s="541"/>
      <c r="NT37" s="541"/>
      <c r="NU37" s="541"/>
      <c r="NV37" s="541"/>
      <c r="NW37" s="541"/>
      <c r="NX37" s="541"/>
      <c r="NY37" s="541"/>
      <c r="NZ37" s="541"/>
      <c r="OA37" s="541"/>
      <c r="OB37" s="541"/>
      <c r="OC37" s="541"/>
      <c r="OD37" s="541"/>
      <c r="OE37" s="541"/>
      <c r="OF37" s="541"/>
      <c r="OG37" s="541"/>
      <c r="OH37" s="541"/>
      <c r="OI37" s="541"/>
      <c r="OJ37" s="541"/>
      <c r="OK37" s="541"/>
      <c r="OL37" s="541"/>
      <c r="OM37" s="541"/>
      <c r="ON37" s="541"/>
      <c r="OO37" s="541"/>
      <c r="OP37" s="541"/>
      <c r="OQ37" s="541"/>
      <c r="OR37" s="541"/>
      <c r="OS37" s="541"/>
      <c r="OT37" s="541"/>
      <c r="OU37" s="541"/>
      <c r="OV37" s="541"/>
      <c r="OW37" s="541"/>
      <c r="OX37" s="541"/>
      <c r="OY37" s="541"/>
      <c r="OZ37" s="541"/>
      <c r="PA37" s="541"/>
      <c r="PB37" s="541"/>
      <c r="PC37" s="541"/>
      <c r="PD37" s="541"/>
      <c r="PE37" s="541"/>
      <c r="PF37" s="541"/>
      <c r="PG37" s="541"/>
      <c r="PH37" s="541"/>
      <c r="PI37" s="541"/>
      <c r="PJ37" s="541"/>
      <c r="PK37" s="541"/>
      <c r="PL37" s="541"/>
      <c r="PM37" s="541"/>
      <c r="PN37" s="541"/>
      <c r="PO37" s="541"/>
      <c r="PP37" s="541"/>
      <c r="PQ37" s="541"/>
      <c r="PR37" s="541"/>
      <c r="PS37" s="541"/>
      <c r="PT37" s="541"/>
      <c r="PU37" s="541"/>
      <c r="PV37" s="541"/>
      <c r="PW37" s="541"/>
      <c r="PX37" s="541"/>
      <c r="PY37" s="541"/>
      <c r="PZ37" s="541"/>
      <c r="QA37" s="541"/>
      <c r="QB37" s="541"/>
      <c r="QC37" s="541"/>
      <c r="QD37" s="541"/>
      <c r="QE37" s="541"/>
      <c r="QF37" s="541"/>
      <c r="QG37" s="541"/>
      <c r="QH37" s="541"/>
      <c r="QI37" s="541"/>
      <c r="QJ37" s="541"/>
      <c r="QK37" s="541"/>
      <c r="QL37" s="541"/>
      <c r="QM37" s="541"/>
      <c r="QN37" s="541"/>
      <c r="QO37" s="541"/>
      <c r="QP37" s="541"/>
      <c r="QQ37" s="541"/>
      <c r="QR37" s="541"/>
      <c r="QS37" s="541"/>
      <c r="QT37" s="541"/>
      <c r="QU37" s="541"/>
      <c r="QV37" s="541"/>
      <c r="QW37" s="541"/>
      <c r="QX37" s="541"/>
      <c r="QY37" s="541"/>
      <c r="QZ37" s="541"/>
      <c r="RA37" s="541"/>
      <c r="RB37" s="541"/>
      <c r="RC37" s="541"/>
      <c r="RD37" s="541"/>
      <c r="RE37" s="541"/>
      <c r="RF37" s="541"/>
      <c r="RG37" s="541"/>
      <c r="RH37" s="541"/>
      <c r="RI37" s="541"/>
      <c r="RJ37" s="541"/>
      <c r="RK37" s="541"/>
      <c r="RL37" s="541"/>
      <c r="RM37" s="541"/>
      <c r="RN37" s="541"/>
      <c r="RO37" s="541"/>
      <c r="RP37" s="541"/>
      <c r="RQ37" s="541"/>
      <c r="RR37" s="541"/>
      <c r="RS37" s="541"/>
      <c r="RT37" s="541"/>
      <c r="RU37" s="541"/>
      <c r="RV37" s="541"/>
      <c r="RW37" s="541"/>
      <c r="RX37" s="541"/>
      <c r="RY37" s="541"/>
      <c r="RZ37" s="541"/>
      <c r="SA37" s="541"/>
      <c r="SB37" s="541"/>
      <c r="SC37" s="541"/>
      <c r="SD37" s="541"/>
      <c r="SE37" s="541"/>
      <c r="SF37" s="541"/>
      <c r="SG37" s="541"/>
      <c r="SH37" s="541"/>
      <c r="SI37" s="541"/>
      <c r="SJ37" s="541"/>
      <c r="SK37" s="541"/>
      <c r="SL37" s="541"/>
      <c r="SM37" s="541"/>
      <c r="SN37" s="541"/>
      <c r="SO37" s="541"/>
      <c r="SP37" s="541"/>
      <c r="SQ37" s="541"/>
      <c r="SR37" s="541"/>
      <c r="SS37" s="541"/>
      <c r="ST37" s="541"/>
      <c r="SU37" s="541"/>
      <c r="SV37" s="541"/>
      <c r="SW37" s="541"/>
      <c r="SX37" s="541"/>
      <c r="SY37" s="541"/>
      <c r="SZ37" s="541"/>
      <c r="TA37" s="541"/>
      <c r="TB37" s="541"/>
      <c r="TC37" s="541"/>
      <c r="TD37" s="541"/>
      <c r="TE37" s="541"/>
      <c r="TF37" s="541"/>
      <c r="TG37" s="541"/>
      <c r="TH37" s="541"/>
      <c r="TI37" s="541"/>
      <c r="TJ37" s="541"/>
      <c r="TK37" s="541"/>
      <c r="TL37" s="541"/>
      <c r="TM37" s="541"/>
      <c r="TN37" s="541"/>
      <c r="TO37" s="541"/>
      <c r="TP37" s="541"/>
      <c r="TQ37" s="541"/>
      <c r="TR37" s="541"/>
      <c r="TS37" s="541"/>
      <c r="TT37" s="541"/>
      <c r="TU37" s="541"/>
      <c r="TV37" s="541"/>
      <c r="TW37" s="541"/>
      <c r="TX37" s="541"/>
      <c r="TY37" s="541"/>
      <c r="TZ37" s="541"/>
      <c r="UA37" s="541"/>
      <c r="UB37" s="541"/>
      <c r="UC37" s="541"/>
      <c r="UD37" s="541"/>
      <c r="UE37" s="541"/>
      <c r="UF37" s="541"/>
      <c r="UG37" s="541"/>
      <c r="UH37" s="541"/>
      <c r="UI37" s="541"/>
      <c r="UJ37" s="541"/>
      <c r="UK37" s="541"/>
      <c r="UL37" s="541"/>
      <c r="UM37" s="541"/>
      <c r="UN37" s="541"/>
      <c r="UO37" s="541"/>
      <c r="UP37" s="541"/>
      <c r="UQ37" s="541"/>
      <c r="UR37" s="541"/>
      <c r="US37" s="541"/>
      <c r="UT37" s="541"/>
      <c r="UU37" s="541"/>
      <c r="UV37" s="541"/>
      <c r="UW37" s="541"/>
      <c r="UX37" s="541"/>
      <c r="UY37" s="541"/>
      <c r="UZ37" s="541"/>
      <c r="VA37" s="541"/>
      <c r="VB37" s="541"/>
      <c r="VC37" s="541"/>
      <c r="VD37" s="541"/>
      <c r="VE37" s="541"/>
      <c r="VF37" s="541"/>
      <c r="VG37" s="541"/>
      <c r="VH37" s="541"/>
      <c r="VI37" s="541"/>
      <c r="VJ37" s="541"/>
      <c r="VK37" s="541"/>
      <c r="VL37" s="541"/>
      <c r="VM37" s="541"/>
      <c r="VN37" s="541"/>
      <c r="VO37" s="541"/>
      <c r="VP37" s="541"/>
      <c r="VQ37" s="541"/>
      <c r="VR37" s="541"/>
      <c r="VS37" s="541"/>
      <c r="VT37" s="541"/>
      <c r="VU37" s="541"/>
      <c r="VV37" s="541"/>
      <c r="VW37" s="541"/>
      <c r="VX37" s="541"/>
      <c r="VY37" s="541"/>
      <c r="VZ37" s="541"/>
      <c r="WA37" s="541"/>
      <c r="WB37" s="541"/>
      <c r="WC37" s="541"/>
      <c r="WD37" s="541"/>
      <c r="WE37" s="541"/>
      <c r="WF37" s="541"/>
      <c r="WG37" s="541"/>
      <c r="WH37" s="541"/>
      <c r="WI37" s="541"/>
      <c r="WJ37" s="541"/>
      <c r="WK37" s="541"/>
      <c r="WL37" s="541"/>
      <c r="WM37" s="541"/>
      <c r="WN37" s="541"/>
      <c r="WO37" s="541"/>
      <c r="WP37" s="541"/>
      <c r="WQ37" s="541"/>
      <c r="WR37" s="541"/>
      <c r="WS37" s="541"/>
      <c r="WT37" s="541"/>
      <c r="WU37" s="541"/>
      <c r="WV37" s="541"/>
      <c r="WW37" s="541"/>
      <c r="WX37" s="541"/>
      <c r="WY37" s="541"/>
      <c r="WZ37" s="541"/>
      <c r="XA37" s="541"/>
      <c r="XB37" s="541"/>
      <c r="XC37" s="541"/>
      <c r="XD37" s="541"/>
      <c r="XE37" s="541"/>
      <c r="XF37" s="541"/>
      <c r="XG37" s="541"/>
      <c r="XH37" s="541"/>
      <c r="XI37" s="541"/>
      <c r="XJ37" s="541"/>
      <c r="XK37" s="541"/>
      <c r="XL37" s="541"/>
      <c r="XM37" s="541"/>
      <c r="XN37" s="541"/>
      <c r="XO37" s="541"/>
      <c r="XP37" s="541"/>
      <c r="XQ37" s="541"/>
      <c r="XR37" s="541"/>
      <c r="XS37" s="541"/>
      <c r="XT37" s="541"/>
      <c r="XU37" s="541"/>
      <c r="XV37" s="541"/>
      <c r="XW37" s="541"/>
      <c r="XX37" s="541"/>
      <c r="XY37" s="541"/>
      <c r="XZ37" s="541"/>
      <c r="YA37" s="541"/>
      <c r="YB37" s="541"/>
      <c r="YC37" s="541"/>
      <c r="YD37" s="541"/>
      <c r="YE37" s="541"/>
      <c r="YF37" s="541"/>
      <c r="YG37" s="541"/>
      <c r="YH37" s="541"/>
      <c r="YI37" s="541"/>
      <c r="YJ37" s="541"/>
      <c r="YK37" s="541"/>
      <c r="YL37" s="541"/>
      <c r="YM37" s="541"/>
      <c r="YN37" s="541"/>
      <c r="YO37" s="541"/>
      <c r="YP37" s="541"/>
      <c r="YQ37" s="541"/>
      <c r="YR37" s="541"/>
      <c r="YS37" s="541"/>
      <c r="YT37" s="541"/>
      <c r="YU37" s="541"/>
      <c r="YV37" s="541"/>
      <c r="YW37" s="541"/>
      <c r="YX37" s="541"/>
      <c r="YY37" s="541"/>
      <c r="YZ37" s="541"/>
      <c r="ZA37" s="541"/>
      <c r="ZB37" s="541"/>
      <c r="ZC37" s="541"/>
      <c r="ZD37" s="541"/>
      <c r="ZE37" s="541"/>
      <c r="ZF37" s="541"/>
      <c r="ZG37" s="541"/>
      <c r="ZH37" s="541"/>
      <c r="ZI37" s="541"/>
      <c r="ZJ37" s="541"/>
      <c r="ZK37" s="541"/>
      <c r="ZL37" s="541"/>
      <c r="ZM37" s="541"/>
      <c r="ZN37" s="541"/>
      <c r="ZO37" s="541"/>
      <c r="ZP37" s="541"/>
      <c r="ZQ37" s="541"/>
      <c r="ZR37" s="541"/>
      <c r="ZS37" s="541"/>
      <c r="ZT37" s="541"/>
      <c r="ZU37" s="541"/>
      <c r="ZV37" s="541"/>
      <c r="ZW37" s="541"/>
      <c r="ZX37" s="541"/>
      <c r="ZY37" s="541"/>
      <c r="ZZ37" s="541"/>
      <c r="AAA37" s="541"/>
      <c r="AAB37" s="541"/>
      <c r="AAC37" s="541"/>
      <c r="AAD37" s="541"/>
      <c r="AAE37" s="541"/>
      <c r="AAF37" s="541"/>
      <c r="AAG37" s="541"/>
      <c r="AAH37" s="541"/>
      <c r="AAI37" s="541"/>
      <c r="AAJ37" s="541"/>
      <c r="AAK37" s="541"/>
      <c r="AAL37" s="541"/>
      <c r="AAM37" s="541"/>
      <c r="AAN37" s="541"/>
      <c r="AAO37" s="541"/>
      <c r="AAP37" s="541"/>
      <c r="AAQ37" s="541"/>
      <c r="AAR37" s="541"/>
      <c r="AAS37" s="541"/>
      <c r="AAT37" s="541"/>
      <c r="AAU37" s="541"/>
      <c r="AAV37" s="541"/>
      <c r="AAW37" s="541"/>
      <c r="AAX37" s="541"/>
      <c r="AAY37" s="541"/>
      <c r="AAZ37" s="541"/>
      <c r="ABA37" s="541"/>
      <c r="ABB37" s="541"/>
      <c r="ABC37" s="541"/>
      <c r="ABD37" s="541"/>
      <c r="ABE37" s="541"/>
      <c r="ABF37" s="541"/>
      <c r="ABG37" s="541"/>
      <c r="ABH37" s="541"/>
      <c r="ABI37" s="541"/>
      <c r="ABJ37" s="541"/>
      <c r="ABK37" s="541"/>
      <c r="ABL37" s="541"/>
      <c r="ABM37" s="541"/>
      <c r="ABN37" s="541"/>
      <c r="ABO37" s="541"/>
      <c r="ABP37" s="541"/>
      <c r="ABQ37" s="541"/>
      <c r="ABR37" s="541"/>
      <c r="ABS37" s="541"/>
      <c r="ABT37" s="541"/>
      <c r="ABU37" s="541"/>
      <c r="ABV37" s="541"/>
      <c r="ABW37" s="541"/>
      <c r="ABX37" s="541"/>
      <c r="ABY37" s="541"/>
      <c r="ABZ37" s="541"/>
      <c r="ACA37" s="541"/>
      <c r="ACB37" s="541"/>
      <c r="ACC37" s="541"/>
      <c r="ACD37" s="541"/>
      <c r="ACE37" s="541"/>
      <c r="ACF37" s="541"/>
      <c r="ACG37" s="541"/>
      <c r="ACH37" s="541"/>
      <c r="ACI37" s="541"/>
      <c r="ACJ37" s="541"/>
      <c r="ACK37" s="541"/>
      <c r="ACL37" s="541"/>
      <c r="ACM37" s="541"/>
      <c r="ACN37" s="541"/>
      <c r="ACO37" s="541"/>
      <c r="ACP37" s="541"/>
      <c r="ACQ37" s="541"/>
      <c r="ACR37" s="541"/>
      <c r="ACS37" s="541"/>
      <c r="ACT37" s="541"/>
      <c r="ACU37" s="541"/>
      <c r="ACV37" s="541"/>
      <c r="ACW37" s="541"/>
      <c r="ACX37" s="541"/>
      <c r="ACY37" s="541"/>
      <c r="ACZ37" s="541"/>
      <c r="ADA37" s="541"/>
      <c r="ADB37" s="541"/>
      <c r="ADC37" s="541"/>
      <c r="ADD37" s="541"/>
      <c r="ADE37" s="541"/>
      <c r="ADF37" s="541"/>
      <c r="ADG37" s="541"/>
      <c r="ADH37" s="541"/>
      <c r="ADI37" s="541"/>
      <c r="ADJ37" s="541"/>
      <c r="ADK37" s="541"/>
      <c r="ADL37" s="541"/>
      <c r="ADM37" s="541"/>
      <c r="ADN37" s="541"/>
      <c r="ADO37" s="541"/>
      <c r="ADP37" s="541"/>
      <c r="ADQ37" s="541"/>
      <c r="ADR37" s="541"/>
      <c r="ADS37" s="541"/>
      <c r="ADT37" s="541"/>
      <c r="ADU37" s="541"/>
      <c r="ADV37" s="541"/>
      <c r="ADW37" s="541"/>
      <c r="ADX37" s="541"/>
      <c r="ADY37" s="541"/>
      <c r="ADZ37" s="541"/>
      <c r="AEA37" s="541"/>
      <c r="AEB37" s="541"/>
      <c r="AEC37" s="541"/>
      <c r="AED37" s="541"/>
      <c r="AEE37" s="541"/>
      <c r="AEF37" s="541"/>
      <c r="AEG37" s="541"/>
      <c r="AEH37" s="541"/>
      <c r="AEI37" s="541"/>
      <c r="AEJ37" s="541"/>
      <c r="AEK37" s="541"/>
      <c r="AEL37" s="541"/>
      <c r="AEM37" s="541"/>
      <c r="AEN37" s="541"/>
      <c r="AEO37" s="541"/>
      <c r="AEP37" s="541"/>
      <c r="AEQ37" s="541"/>
      <c r="AER37" s="541"/>
      <c r="AES37" s="541"/>
      <c r="AET37" s="541"/>
      <c r="AEU37" s="541"/>
      <c r="AEV37" s="541"/>
      <c r="AEW37" s="541"/>
      <c r="AEX37" s="541"/>
      <c r="AEY37" s="541"/>
      <c r="AEZ37" s="541"/>
      <c r="AFA37" s="541"/>
      <c r="AFB37" s="541"/>
      <c r="AFC37" s="541"/>
      <c r="AFD37" s="541"/>
      <c r="AFE37" s="541"/>
      <c r="AFF37" s="541"/>
      <c r="AFG37" s="541"/>
      <c r="AFH37" s="541"/>
      <c r="AFI37" s="541"/>
      <c r="AFJ37" s="541"/>
      <c r="AFK37" s="541"/>
      <c r="AFL37" s="541"/>
      <c r="AFM37" s="541"/>
      <c r="AFN37" s="541"/>
      <c r="AFO37" s="541"/>
      <c r="AFP37" s="541"/>
      <c r="AFQ37" s="541"/>
      <c r="AFR37" s="541"/>
      <c r="AFS37" s="541"/>
      <c r="AFT37" s="541"/>
      <c r="AFU37" s="541"/>
      <c r="AFV37" s="541"/>
      <c r="AFW37" s="541"/>
      <c r="AFX37" s="541"/>
      <c r="AFY37" s="541"/>
      <c r="AFZ37" s="541"/>
      <c r="AGA37" s="541"/>
      <c r="AGB37" s="541"/>
      <c r="AGC37" s="541"/>
      <c r="AGD37" s="541"/>
      <c r="AGE37" s="541"/>
      <c r="AGF37" s="541"/>
      <c r="AGG37" s="541"/>
      <c r="AGH37" s="541"/>
      <c r="AGI37" s="541"/>
      <c r="AGJ37" s="541"/>
      <c r="AGK37" s="541"/>
      <c r="AGL37" s="541"/>
      <c r="AGM37" s="541"/>
      <c r="AGN37" s="541"/>
      <c r="AGO37" s="541"/>
      <c r="AGP37" s="541"/>
      <c r="AGQ37" s="541"/>
      <c r="AGR37" s="541"/>
      <c r="AGS37" s="541"/>
      <c r="AGT37" s="541"/>
      <c r="AGU37" s="541"/>
      <c r="AGV37" s="541"/>
      <c r="AGW37" s="541"/>
      <c r="AGX37" s="541"/>
      <c r="AGY37" s="541"/>
      <c r="AGZ37" s="541"/>
      <c r="AHA37" s="541"/>
      <c r="AHB37" s="541"/>
      <c r="AHC37" s="541"/>
      <c r="AHD37" s="541"/>
      <c r="AHE37" s="541"/>
      <c r="AHF37" s="541"/>
      <c r="AHG37" s="541"/>
      <c r="AHH37" s="541"/>
      <c r="AHI37" s="541"/>
      <c r="AHJ37" s="541"/>
      <c r="AHK37" s="541"/>
      <c r="AHL37" s="541"/>
      <c r="AHM37" s="541"/>
      <c r="AHN37" s="541"/>
      <c r="AHO37" s="541"/>
      <c r="AHP37" s="541"/>
      <c r="AHQ37" s="541"/>
      <c r="AHR37" s="541"/>
      <c r="AHS37" s="541"/>
      <c r="AHT37" s="541"/>
      <c r="AHU37" s="541"/>
      <c r="AHV37" s="541"/>
      <c r="AHW37" s="541"/>
      <c r="AHX37" s="541"/>
      <c r="AHY37" s="541"/>
      <c r="AHZ37" s="541"/>
      <c r="AIA37" s="541"/>
      <c r="AIB37" s="541"/>
      <c r="AIC37" s="541"/>
      <c r="AID37" s="541"/>
      <c r="AIE37" s="541"/>
      <c r="AIF37" s="541"/>
      <c r="AIG37" s="541"/>
      <c r="AIH37" s="541"/>
      <c r="AII37" s="541"/>
      <c r="AIJ37" s="541"/>
      <c r="AIK37" s="541"/>
      <c r="AIL37" s="541"/>
      <c r="AIM37" s="541"/>
      <c r="AIN37" s="541"/>
      <c r="AIO37" s="541"/>
      <c r="AIP37" s="541"/>
      <c r="AIQ37" s="541"/>
      <c r="AIR37" s="541"/>
      <c r="AIS37" s="541"/>
      <c r="AIT37" s="541"/>
      <c r="AIU37" s="541"/>
      <c r="AIV37" s="541"/>
      <c r="AIW37" s="541"/>
      <c r="AIX37" s="541"/>
      <c r="AIY37" s="541"/>
      <c r="AIZ37" s="541"/>
      <c r="AJA37" s="541"/>
      <c r="AJB37" s="541"/>
      <c r="AJC37" s="541"/>
      <c r="AJD37" s="541"/>
      <c r="AJE37" s="541"/>
      <c r="AJF37" s="541"/>
      <c r="AJG37" s="541"/>
      <c r="AJH37" s="541"/>
      <c r="AJI37" s="541"/>
      <c r="AJJ37" s="541"/>
      <c r="AJK37" s="541"/>
      <c r="AJL37" s="541"/>
      <c r="AJM37" s="541"/>
      <c r="AJN37" s="541"/>
      <c r="AJO37" s="541"/>
      <c r="AJP37" s="541"/>
      <c r="AJQ37" s="541"/>
      <c r="AJR37" s="541"/>
      <c r="AJS37" s="541"/>
      <c r="AJT37" s="541"/>
      <c r="AJU37" s="541"/>
      <c r="AJV37" s="541"/>
      <c r="AJW37" s="541"/>
      <c r="AJX37" s="541"/>
      <c r="AJY37" s="541"/>
      <c r="AJZ37" s="541"/>
      <c r="AKA37" s="541"/>
      <c r="AKB37" s="541"/>
      <c r="AKC37" s="541"/>
      <c r="AKD37" s="541"/>
      <c r="AKE37" s="541"/>
      <c r="AKF37" s="541"/>
      <c r="AKG37" s="541"/>
      <c r="AKH37" s="541"/>
      <c r="AKI37" s="541"/>
      <c r="AKJ37" s="541"/>
      <c r="AKK37" s="541"/>
      <c r="AKL37" s="541"/>
      <c r="AKM37" s="541"/>
      <c r="AKN37" s="541"/>
      <c r="AKO37" s="541"/>
      <c r="AKP37" s="541"/>
      <c r="AKQ37" s="541"/>
      <c r="AKR37" s="541"/>
      <c r="AKS37" s="541"/>
      <c r="AKT37" s="541"/>
      <c r="AKU37" s="541"/>
      <c r="AKV37" s="541"/>
      <c r="AKW37" s="541"/>
      <c r="AKX37" s="541"/>
      <c r="AKY37" s="541"/>
      <c r="AKZ37" s="541"/>
      <c r="ALA37" s="541"/>
      <c r="ALB37" s="541"/>
      <c r="ALC37" s="541"/>
      <c r="ALD37" s="541"/>
      <c r="ALE37" s="541"/>
      <c r="ALF37" s="541"/>
      <c r="ALG37" s="541"/>
      <c r="ALH37" s="541"/>
      <c r="ALI37" s="541"/>
      <c r="ALJ37" s="541"/>
      <c r="ALK37" s="541"/>
      <c r="ALL37" s="541"/>
      <c r="ALM37" s="541"/>
      <c r="ALN37" s="541"/>
      <c r="ALO37" s="541"/>
      <c r="ALP37" s="541"/>
      <c r="ALQ37" s="541"/>
      <c r="ALR37" s="541"/>
      <c r="ALS37" s="541"/>
      <c r="ALT37" s="541"/>
      <c r="ALU37" s="541"/>
      <c r="ALV37" s="541"/>
      <c r="ALW37" s="541"/>
      <c r="ALX37" s="541"/>
      <c r="ALY37" s="541"/>
      <c r="ALZ37" s="541"/>
      <c r="AMA37" s="541"/>
      <c r="AMB37" s="541"/>
      <c r="AMC37" s="541"/>
      <c r="AMD37" s="541"/>
      <c r="AME37" s="541"/>
      <c r="AMF37" s="541"/>
      <c r="AMG37" s="541"/>
      <c r="AMH37" s="541"/>
      <c r="AMI37" s="541"/>
      <c r="AMJ37" s="541"/>
      <c r="AMK37" s="541"/>
      <c r="AML37" s="541"/>
      <c r="AMM37" s="541"/>
      <c r="AMN37" s="541"/>
      <c r="AMO37" s="541"/>
      <c r="AMP37" s="541"/>
      <c r="AMQ37" s="541"/>
      <c r="AMR37" s="541"/>
      <c r="AMS37" s="541"/>
      <c r="AMT37" s="541"/>
      <c r="AMU37" s="541"/>
      <c r="AMV37" s="541"/>
      <c r="AMW37" s="541"/>
      <c r="AMX37" s="541"/>
      <c r="AMY37" s="541"/>
      <c r="AMZ37" s="541"/>
      <c r="ANA37" s="541"/>
      <c r="ANB37" s="541"/>
      <c r="ANC37" s="541"/>
      <c r="AND37" s="541"/>
      <c r="ANE37" s="541"/>
      <c r="ANF37" s="541"/>
      <c r="ANG37" s="541"/>
      <c r="ANH37" s="541"/>
      <c r="ANI37" s="541"/>
      <c r="ANJ37" s="541"/>
      <c r="ANK37" s="541"/>
      <c r="ANL37" s="541"/>
      <c r="ANM37" s="541"/>
      <c r="ANN37" s="541"/>
      <c r="ANO37" s="541"/>
      <c r="ANP37" s="541"/>
      <c r="ANQ37" s="541"/>
      <c r="ANR37" s="541"/>
      <c r="ANS37" s="541"/>
      <c r="ANT37" s="541"/>
      <c r="ANU37" s="541"/>
      <c r="ANV37" s="541"/>
      <c r="ANW37" s="541"/>
      <c r="ANX37" s="541"/>
      <c r="ANY37" s="541"/>
      <c r="ANZ37" s="541"/>
      <c r="AOA37" s="541"/>
      <c r="AOB37" s="541"/>
      <c r="AOC37" s="541"/>
      <c r="AOD37" s="541"/>
      <c r="AOE37" s="541"/>
      <c r="AOF37" s="541"/>
      <c r="AOG37" s="541"/>
      <c r="AOH37" s="541"/>
      <c r="AOI37" s="541"/>
      <c r="AOJ37" s="541"/>
      <c r="AOK37" s="541"/>
      <c r="AOL37" s="541"/>
      <c r="AOM37" s="541"/>
      <c r="AON37" s="541"/>
      <c r="AOO37" s="541"/>
      <c r="AOP37" s="541"/>
      <c r="AOQ37" s="541"/>
      <c r="AOR37" s="541"/>
      <c r="AOS37" s="541"/>
      <c r="AOT37" s="541"/>
      <c r="AOU37" s="541"/>
      <c r="AOV37" s="541"/>
      <c r="AOW37" s="541"/>
      <c r="AOX37" s="541"/>
      <c r="AOY37" s="541"/>
      <c r="AOZ37" s="541"/>
      <c r="APA37" s="541"/>
      <c r="APB37" s="541"/>
      <c r="APC37" s="541"/>
      <c r="APD37" s="541"/>
      <c r="APE37" s="541"/>
      <c r="APF37" s="541"/>
      <c r="APG37" s="541"/>
      <c r="APH37" s="541"/>
      <c r="API37" s="541"/>
      <c r="APJ37" s="541"/>
      <c r="APK37" s="541"/>
      <c r="APL37" s="541"/>
      <c r="APM37" s="541"/>
      <c r="APN37" s="541"/>
      <c r="APO37" s="541"/>
      <c r="APP37" s="541"/>
      <c r="APQ37" s="541"/>
      <c r="APR37" s="541"/>
      <c r="APS37" s="541"/>
      <c r="APT37" s="541"/>
      <c r="APU37" s="541"/>
      <c r="APV37" s="541"/>
      <c r="APW37" s="541"/>
      <c r="APX37" s="541"/>
      <c r="APY37" s="541"/>
      <c r="APZ37" s="541"/>
      <c r="AQA37" s="541"/>
      <c r="AQB37" s="541"/>
      <c r="AQC37" s="541"/>
      <c r="AQD37" s="541"/>
      <c r="AQE37" s="541"/>
      <c r="AQF37" s="541"/>
      <c r="AQG37" s="541"/>
      <c r="AQH37" s="541"/>
      <c r="AQI37" s="541"/>
      <c r="AQJ37" s="541"/>
      <c r="AQK37" s="541"/>
      <c r="AQL37" s="541"/>
      <c r="AQM37" s="541"/>
      <c r="AQN37" s="541"/>
      <c r="AQO37" s="541"/>
      <c r="AQP37" s="541"/>
      <c r="AQQ37" s="541"/>
      <c r="AQR37" s="541"/>
      <c r="AQS37" s="541"/>
      <c r="AQT37" s="541"/>
      <c r="AQU37" s="541"/>
      <c r="AQV37" s="541"/>
      <c r="AQW37" s="541"/>
      <c r="AQX37" s="541"/>
      <c r="AQY37" s="541"/>
      <c r="AQZ37" s="541"/>
      <c r="ARA37" s="541"/>
      <c r="ARB37" s="541"/>
      <c r="ARC37" s="541"/>
      <c r="ARD37" s="541"/>
      <c r="ARE37" s="541"/>
      <c r="ARF37" s="541"/>
      <c r="ARG37" s="541"/>
      <c r="ARH37" s="541"/>
      <c r="ARI37" s="541"/>
      <c r="ARJ37" s="541"/>
      <c r="ARK37" s="541"/>
      <c r="ARL37" s="541"/>
      <c r="ARM37" s="541"/>
      <c r="ARN37" s="541"/>
      <c r="ARO37" s="541"/>
      <c r="ARP37" s="541"/>
      <c r="ARQ37" s="541"/>
      <c r="ARR37" s="541"/>
      <c r="ARS37" s="541"/>
      <c r="ART37" s="541"/>
    </row>
    <row r="38" spans="1:1164" s="658" customFormat="1">
      <c r="A38" s="613" t="s">
        <v>438</v>
      </c>
      <c r="B38" s="578" t="s">
        <v>110</v>
      </c>
      <c r="C38" s="659">
        <v>2934</v>
      </c>
      <c r="D38" s="659"/>
      <c r="E38" s="581">
        <v>0</v>
      </c>
      <c r="F38" s="581">
        <v>0</v>
      </c>
      <c r="G38" s="581">
        <v>3613</v>
      </c>
      <c r="H38" s="581">
        <v>2899744</v>
      </c>
      <c r="I38" s="581">
        <v>48018</v>
      </c>
      <c r="J38" s="581">
        <v>18709900</v>
      </c>
      <c r="K38" s="581">
        <v>13158</v>
      </c>
      <c r="L38" s="581">
        <v>5373969</v>
      </c>
      <c r="M38" s="581">
        <v>35640</v>
      </c>
      <c r="N38" s="581">
        <v>17318707</v>
      </c>
      <c r="O38" s="581">
        <v>51977</v>
      </c>
      <c r="P38" s="581">
        <v>14815986</v>
      </c>
      <c r="Q38" s="581">
        <v>23969</v>
      </c>
      <c r="R38" s="581">
        <v>5228455</v>
      </c>
      <c r="S38" s="581">
        <v>0</v>
      </c>
      <c r="T38" s="581">
        <v>0</v>
      </c>
      <c r="U38" s="598">
        <v>20250</v>
      </c>
      <c r="V38" s="598">
        <v>14698390</v>
      </c>
      <c r="W38" s="598">
        <v>38064</v>
      </c>
      <c r="X38" s="598">
        <v>48153946</v>
      </c>
      <c r="Y38" s="660">
        <v>51704</v>
      </c>
      <c r="Z38" s="660">
        <v>61546194</v>
      </c>
      <c r="AA38" s="619">
        <v>112015</v>
      </c>
      <c r="AB38" s="619">
        <v>94691818</v>
      </c>
      <c r="AC38" s="581">
        <v>141385</v>
      </c>
      <c r="AD38" s="581">
        <v>132984006</v>
      </c>
      <c r="AE38" s="581">
        <v>141096</v>
      </c>
      <c r="AF38" s="581">
        <v>87020276</v>
      </c>
      <c r="AG38" s="619">
        <v>123621</v>
      </c>
      <c r="AH38" s="619">
        <v>85143904</v>
      </c>
      <c r="AI38" s="619">
        <v>126336</v>
      </c>
      <c r="AJ38" s="619">
        <v>87733173</v>
      </c>
      <c r="AK38" s="661">
        <v>106855.298521</v>
      </c>
      <c r="AL38" s="661">
        <v>71282609</v>
      </c>
      <c r="AM38" s="662">
        <v>117198.171</v>
      </c>
      <c r="AN38" s="662">
        <v>118102298</v>
      </c>
      <c r="AO38" s="579">
        <v>149330</v>
      </c>
      <c r="AP38" s="579">
        <v>127850728</v>
      </c>
      <c r="AQ38" s="579">
        <v>222539.85500000001</v>
      </c>
      <c r="AR38" s="579">
        <v>219593277.06999999</v>
      </c>
      <c r="AS38" s="579">
        <v>257712.46</v>
      </c>
      <c r="AT38" s="579">
        <v>290114283</v>
      </c>
      <c r="AU38" s="619">
        <v>210837</v>
      </c>
      <c r="AV38" s="619">
        <v>208717514</v>
      </c>
      <c r="AW38" s="581">
        <v>218803</v>
      </c>
      <c r="AX38" s="581">
        <v>173064117</v>
      </c>
      <c r="AY38" s="581">
        <v>174550</v>
      </c>
      <c r="AZ38" s="581">
        <v>139734516</v>
      </c>
      <c r="BA38" s="664"/>
      <c r="BB38" s="581"/>
      <c r="BC38" s="664"/>
      <c r="BD38" s="581"/>
      <c r="BE38" s="664"/>
      <c r="BF38" s="581"/>
      <c r="BG38" s="664"/>
      <c r="BH38" s="581"/>
      <c r="BI38" s="664"/>
      <c r="BJ38" s="581">
        <f t="shared" si="2"/>
        <v>2391605.784521</v>
      </c>
      <c r="BK38" s="581">
        <f t="shared" si="3"/>
        <v>2024777810.0699999</v>
      </c>
      <c r="BL38" s="541"/>
      <c r="BM38" s="42"/>
      <c r="BN38" s="624"/>
      <c r="BO38" s="624"/>
      <c r="BP38" s="541"/>
      <c r="BQ38" s="541"/>
      <c r="BR38" s="541"/>
      <c r="BS38" s="541"/>
      <c r="BT38" s="541"/>
      <c r="BU38" s="541"/>
      <c r="BV38" s="541"/>
      <c r="BW38" s="541"/>
      <c r="BX38" s="541"/>
      <c r="BY38" s="541"/>
      <c r="BZ38" s="541"/>
      <c r="CA38" s="541"/>
      <c r="CB38" s="541"/>
      <c r="CC38" s="541"/>
      <c r="CD38" s="541"/>
      <c r="CE38" s="541"/>
      <c r="CF38" s="541"/>
      <c r="CG38" s="541"/>
      <c r="CH38" s="541"/>
      <c r="CI38" s="541"/>
      <c r="CJ38" s="541"/>
      <c r="CK38" s="541"/>
      <c r="CL38" s="541"/>
      <c r="CM38" s="541"/>
      <c r="CN38" s="541"/>
      <c r="CO38" s="541"/>
      <c r="CP38" s="541"/>
      <c r="CQ38" s="541"/>
      <c r="CR38" s="541"/>
      <c r="CS38" s="541"/>
      <c r="CT38" s="541"/>
      <c r="CU38" s="541"/>
      <c r="CV38" s="541"/>
      <c r="CW38" s="541"/>
      <c r="CX38" s="541"/>
      <c r="CY38" s="541"/>
      <c r="CZ38" s="541"/>
      <c r="DA38" s="541"/>
      <c r="DB38" s="541"/>
      <c r="DC38" s="541"/>
      <c r="DD38" s="541"/>
      <c r="DE38" s="541"/>
      <c r="DF38" s="541"/>
      <c r="DG38" s="541"/>
      <c r="DH38" s="541"/>
      <c r="DI38" s="541"/>
      <c r="DJ38" s="541"/>
      <c r="DK38" s="541"/>
      <c r="DL38" s="541"/>
      <c r="DM38" s="541"/>
      <c r="DN38" s="541"/>
      <c r="DO38" s="541"/>
      <c r="DP38" s="541"/>
      <c r="DQ38" s="541"/>
      <c r="DR38" s="541"/>
      <c r="DS38" s="541"/>
      <c r="DT38" s="541"/>
      <c r="DU38" s="541"/>
      <c r="DV38" s="541"/>
      <c r="DW38" s="541"/>
      <c r="DX38" s="541"/>
      <c r="DY38" s="541"/>
      <c r="DZ38" s="541"/>
      <c r="EA38" s="541"/>
      <c r="EB38" s="541"/>
      <c r="EC38" s="541"/>
      <c r="ED38" s="541"/>
      <c r="EE38" s="541"/>
      <c r="EF38" s="541"/>
      <c r="EG38" s="541"/>
      <c r="EH38" s="541"/>
      <c r="EI38" s="541"/>
      <c r="EJ38" s="541"/>
      <c r="EK38" s="541"/>
      <c r="EL38" s="541"/>
      <c r="EM38" s="541"/>
      <c r="EN38" s="541"/>
      <c r="EO38" s="541"/>
      <c r="EP38" s="541"/>
      <c r="EQ38" s="541"/>
      <c r="ER38" s="541"/>
      <c r="ES38" s="541"/>
      <c r="ET38" s="541"/>
      <c r="EU38" s="541"/>
      <c r="EV38" s="541"/>
      <c r="EW38" s="541"/>
      <c r="EX38" s="541"/>
      <c r="EY38" s="541"/>
      <c r="EZ38" s="541"/>
      <c r="FA38" s="541"/>
      <c r="FB38" s="541"/>
      <c r="FC38" s="541"/>
      <c r="FD38" s="541"/>
      <c r="FE38" s="541"/>
      <c r="FF38" s="541"/>
      <c r="FG38" s="541"/>
      <c r="FH38" s="541"/>
      <c r="FI38" s="541"/>
      <c r="FJ38" s="541"/>
      <c r="FK38" s="541"/>
      <c r="FL38" s="541"/>
      <c r="FM38" s="541"/>
      <c r="FN38" s="541"/>
      <c r="FO38" s="541"/>
      <c r="FP38" s="541"/>
      <c r="FQ38" s="541"/>
      <c r="FR38" s="541"/>
      <c r="FS38" s="541"/>
      <c r="FT38" s="541"/>
      <c r="FU38" s="541"/>
      <c r="FV38" s="541"/>
      <c r="FW38" s="541"/>
      <c r="FX38" s="541"/>
      <c r="FY38" s="541"/>
      <c r="FZ38" s="541"/>
      <c r="GA38" s="541"/>
      <c r="GB38" s="541"/>
      <c r="GC38" s="541"/>
      <c r="GD38" s="541"/>
      <c r="GE38" s="541"/>
      <c r="GF38" s="541"/>
      <c r="GG38" s="541"/>
      <c r="GH38" s="541"/>
      <c r="GI38" s="541"/>
      <c r="GJ38" s="541"/>
      <c r="GK38" s="541"/>
      <c r="GL38" s="541"/>
      <c r="GM38" s="541"/>
      <c r="GN38" s="541"/>
      <c r="GO38" s="541"/>
      <c r="GP38" s="541"/>
      <c r="GQ38" s="541"/>
      <c r="GR38" s="541"/>
      <c r="GS38" s="541"/>
      <c r="GT38" s="541"/>
      <c r="GU38" s="541"/>
      <c r="GV38" s="541"/>
      <c r="GW38" s="541"/>
      <c r="GX38" s="541"/>
      <c r="GY38" s="541"/>
      <c r="GZ38" s="541"/>
      <c r="HA38" s="541"/>
      <c r="HB38" s="541"/>
      <c r="HC38" s="541"/>
      <c r="HD38" s="541"/>
      <c r="HE38" s="541"/>
      <c r="HF38" s="541"/>
      <c r="HG38" s="541"/>
      <c r="HH38" s="541"/>
      <c r="HI38" s="541"/>
      <c r="HJ38" s="541"/>
      <c r="HK38" s="541"/>
      <c r="HL38" s="541"/>
      <c r="HM38" s="541"/>
      <c r="HN38" s="541"/>
      <c r="HO38" s="541"/>
      <c r="HP38" s="541"/>
      <c r="HQ38" s="541"/>
      <c r="HR38" s="541"/>
      <c r="HS38" s="541"/>
      <c r="HT38" s="541"/>
      <c r="HU38" s="541"/>
      <c r="HV38" s="541"/>
      <c r="HW38" s="541"/>
      <c r="HX38" s="541"/>
      <c r="HY38" s="541"/>
      <c r="HZ38" s="541"/>
      <c r="IA38" s="541"/>
      <c r="IB38" s="541"/>
      <c r="IC38" s="541"/>
      <c r="ID38" s="541"/>
      <c r="IE38" s="541"/>
      <c r="IF38" s="541"/>
      <c r="IG38" s="541"/>
      <c r="IH38" s="541"/>
      <c r="II38" s="541"/>
      <c r="IJ38" s="541"/>
      <c r="IK38" s="541"/>
      <c r="IL38" s="541"/>
      <c r="IM38" s="541"/>
      <c r="IN38" s="541"/>
      <c r="IO38" s="541"/>
      <c r="IP38" s="541"/>
      <c r="IQ38" s="541"/>
      <c r="IR38" s="541"/>
      <c r="IS38" s="541"/>
      <c r="IT38" s="541"/>
      <c r="IU38" s="541"/>
      <c r="IV38" s="541"/>
      <c r="IW38" s="541"/>
      <c r="IX38" s="541"/>
      <c r="IY38" s="541"/>
      <c r="IZ38" s="541"/>
      <c r="JA38" s="541"/>
      <c r="JB38" s="541"/>
      <c r="JC38" s="541"/>
      <c r="JD38" s="541"/>
      <c r="JE38" s="541"/>
      <c r="JF38" s="541"/>
      <c r="JG38" s="541"/>
      <c r="JH38" s="541"/>
      <c r="JI38" s="541"/>
      <c r="JJ38" s="541"/>
      <c r="JK38" s="541"/>
      <c r="JL38" s="541"/>
      <c r="JM38" s="541"/>
      <c r="JN38" s="541"/>
      <c r="JO38" s="541"/>
      <c r="JP38" s="541"/>
      <c r="JQ38" s="541"/>
      <c r="JR38" s="541"/>
      <c r="JS38" s="541"/>
      <c r="JT38" s="541"/>
      <c r="JU38" s="541"/>
      <c r="JV38" s="541"/>
      <c r="JW38" s="541"/>
      <c r="JX38" s="541"/>
      <c r="JY38" s="541"/>
      <c r="JZ38" s="541"/>
      <c r="KA38" s="541"/>
      <c r="KB38" s="541"/>
      <c r="KC38" s="541"/>
      <c r="KD38" s="541"/>
      <c r="KE38" s="541"/>
      <c r="KF38" s="541"/>
      <c r="KG38" s="541"/>
      <c r="KH38" s="541"/>
      <c r="KI38" s="541"/>
      <c r="KJ38" s="541"/>
      <c r="KK38" s="541"/>
      <c r="KL38" s="541"/>
      <c r="KM38" s="541"/>
      <c r="KN38" s="541"/>
      <c r="KO38" s="541"/>
      <c r="KP38" s="541"/>
      <c r="KQ38" s="541"/>
      <c r="KR38" s="541"/>
      <c r="KS38" s="541"/>
      <c r="KT38" s="541"/>
      <c r="KU38" s="541"/>
      <c r="KV38" s="541"/>
      <c r="KW38" s="541"/>
      <c r="KX38" s="541"/>
      <c r="KY38" s="541"/>
      <c r="KZ38" s="541"/>
      <c r="LA38" s="541"/>
      <c r="LB38" s="541"/>
      <c r="LC38" s="541"/>
      <c r="LD38" s="541"/>
      <c r="LE38" s="541"/>
      <c r="LF38" s="541"/>
      <c r="LG38" s="541"/>
      <c r="LH38" s="541"/>
      <c r="LI38" s="541"/>
      <c r="LJ38" s="541"/>
      <c r="LK38" s="541"/>
      <c r="LL38" s="541"/>
      <c r="LM38" s="541"/>
      <c r="LN38" s="541"/>
      <c r="LO38" s="541"/>
      <c r="LP38" s="541"/>
      <c r="LQ38" s="541"/>
      <c r="LR38" s="541"/>
      <c r="LS38" s="541"/>
      <c r="LT38" s="541"/>
      <c r="LU38" s="541"/>
      <c r="LV38" s="541"/>
      <c r="LW38" s="541"/>
      <c r="LX38" s="541"/>
      <c r="LY38" s="541"/>
      <c r="LZ38" s="541"/>
      <c r="MA38" s="541"/>
      <c r="MB38" s="541"/>
      <c r="MC38" s="541"/>
      <c r="MD38" s="541"/>
      <c r="ME38" s="541"/>
      <c r="MF38" s="541"/>
      <c r="MG38" s="541"/>
      <c r="MH38" s="541"/>
      <c r="MI38" s="541"/>
      <c r="MJ38" s="541"/>
      <c r="MK38" s="541"/>
      <c r="ML38" s="541"/>
      <c r="MM38" s="541"/>
      <c r="MN38" s="541"/>
      <c r="MO38" s="541"/>
      <c r="MP38" s="541"/>
      <c r="MQ38" s="541"/>
      <c r="MR38" s="541"/>
      <c r="MS38" s="541"/>
      <c r="MT38" s="541"/>
      <c r="MU38" s="541"/>
      <c r="MV38" s="541"/>
      <c r="MW38" s="541"/>
      <c r="MX38" s="541"/>
      <c r="MY38" s="541"/>
      <c r="MZ38" s="541"/>
      <c r="NA38" s="541"/>
      <c r="NB38" s="541"/>
      <c r="NC38" s="541"/>
      <c r="ND38" s="541"/>
      <c r="NE38" s="541"/>
      <c r="NF38" s="541"/>
      <c r="NG38" s="541"/>
      <c r="NH38" s="541"/>
      <c r="NI38" s="541"/>
      <c r="NJ38" s="541"/>
      <c r="NK38" s="541"/>
      <c r="NL38" s="541"/>
      <c r="NM38" s="541"/>
      <c r="NN38" s="541"/>
      <c r="NO38" s="541"/>
      <c r="NP38" s="541"/>
      <c r="NQ38" s="541"/>
      <c r="NR38" s="541"/>
      <c r="NS38" s="541"/>
      <c r="NT38" s="541"/>
      <c r="NU38" s="541"/>
      <c r="NV38" s="541"/>
      <c r="NW38" s="541"/>
      <c r="NX38" s="541"/>
      <c r="NY38" s="541"/>
      <c r="NZ38" s="541"/>
      <c r="OA38" s="541"/>
      <c r="OB38" s="541"/>
      <c r="OC38" s="541"/>
      <c r="OD38" s="541"/>
      <c r="OE38" s="541"/>
      <c r="OF38" s="541"/>
      <c r="OG38" s="541"/>
      <c r="OH38" s="541"/>
      <c r="OI38" s="541"/>
      <c r="OJ38" s="541"/>
      <c r="OK38" s="541"/>
      <c r="OL38" s="541"/>
      <c r="OM38" s="541"/>
      <c r="ON38" s="541"/>
      <c r="OO38" s="541"/>
      <c r="OP38" s="541"/>
      <c r="OQ38" s="541"/>
      <c r="OR38" s="541"/>
      <c r="OS38" s="541"/>
      <c r="OT38" s="541"/>
      <c r="OU38" s="541"/>
      <c r="OV38" s="541"/>
      <c r="OW38" s="541"/>
      <c r="OX38" s="541"/>
      <c r="OY38" s="541"/>
      <c r="OZ38" s="541"/>
      <c r="PA38" s="541"/>
      <c r="PB38" s="541"/>
      <c r="PC38" s="541"/>
      <c r="PD38" s="541"/>
      <c r="PE38" s="541"/>
      <c r="PF38" s="541"/>
      <c r="PG38" s="541"/>
      <c r="PH38" s="541"/>
      <c r="PI38" s="541"/>
      <c r="PJ38" s="541"/>
      <c r="PK38" s="541"/>
      <c r="PL38" s="541"/>
      <c r="PM38" s="541"/>
      <c r="PN38" s="541"/>
      <c r="PO38" s="541"/>
      <c r="PP38" s="541"/>
      <c r="PQ38" s="541"/>
      <c r="PR38" s="541"/>
      <c r="PS38" s="541"/>
      <c r="PT38" s="541"/>
      <c r="PU38" s="541"/>
      <c r="PV38" s="541"/>
      <c r="PW38" s="541"/>
      <c r="PX38" s="541"/>
      <c r="PY38" s="541"/>
      <c r="PZ38" s="541"/>
      <c r="QA38" s="541"/>
      <c r="QB38" s="541"/>
      <c r="QC38" s="541"/>
      <c r="QD38" s="541"/>
      <c r="QE38" s="541"/>
      <c r="QF38" s="541"/>
      <c r="QG38" s="541"/>
      <c r="QH38" s="541"/>
      <c r="QI38" s="541"/>
      <c r="QJ38" s="541"/>
      <c r="QK38" s="541"/>
      <c r="QL38" s="541"/>
      <c r="QM38" s="541"/>
      <c r="QN38" s="541"/>
      <c r="QO38" s="541"/>
      <c r="QP38" s="541"/>
      <c r="QQ38" s="541"/>
      <c r="QR38" s="541"/>
      <c r="QS38" s="541"/>
      <c r="QT38" s="541"/>
      <c r="QU38" s="541"/>
      <c r="QV38" s="541"/>
      <c r="QW38" s="541"/>
      <c r="QX38" s="541"/>
      <c r="QY38" s="541"/>
      <c r="QZ38" s="541"/>
      <c r="RA38" s="541"/>
      <c r="RB38" s="541"/>
      <c r="RC38" s="541"/>
      <c r="RD38" s="541"/>
      <c r="RE38" s="541"/>
      <c r="RF38" s="541"/>
      <c r="RG38" s="541"/>
      <c r="RH38" s="541"/>
      <c r="RI38" s="541"/>
      <c r="RJ38" s="541"/>
      <c r="RK38" s="541"/>
      <c r="RL38" s="541"/>
      <c r="RM38" s="541"/>
      <c r="RN38" s="541"/>
      <c r="RO38" s="541"/>
      <c r="RP38" s="541"/>
      <c r="RQ38" s="541"/>
      <c r="RR38" s="541"/>
      <c r="RS38" s="541"/>
      <c r="RT38" s="541"/>
      <c r="RU38" s="541"/>
      <c r="RV38" s="541"/>
      <c r="RW38" s="541"/>
      <c r="RX38" s="541"/>
      <c r="RY38" s="541"/>
      <c r="RZ38" s="541"/>
      <c r="SA38" s="541"/>
      <c r="SB38" s="541"/>
      <c r="SC38" s="541"/>
      <c r="SD38" s="541"/>
      <c r="SE38" s="541"/>
      <c r="SF38" s="541"/>
      <c r="SG38" s="541"/>
      <c r="SH38" s="541"/>
      <c r="SI38" s="541"/>
      <c r="SJ38" s="541"/>
      <c r="SK38" s="541"/>
      <c r="SL38" s="541"/>
      <c r="SM38" s="541"/>
      <c r="SN38" s="541"/>
      <c r="SO38" s="541"/>
      <c r="SP38" s="541"/>
      <c r="SQ38" s="541"/>
      <c r="SR38" s="541"/>
      <c r="SS38" s="541"/>
      <c r="ST38" s="541"/>
      <c r="SU38" s="541"/>
      <c r="SV38" s="541"/>
      <c r="SW38" s="541"/>
      <c r="SX38" s="541"/>
      <c r="SY38" s="541"/>
      <c r="SZ38" s="541"/>
      <c r="TA38" s="541"/>
      <c r="TB38" s="541"/>
      <c r="TC38" s="541"/>
      <c r="TD38" s="541"/>
      <c r="TE38" s="541"/>
      <c r="TF38" s="541"/>
      <c r="TG38" s="541"/>
      <c r="TH38" s="541"/>
      <c r="TI38" s="541"/>
      <c r="TJ38" s="541"/>
      <c r="TK38" s="541"/>
      <c r="TL38" s="541"/>
      <c r="TM38" s="541"/>
      <c r="TN38" s="541"/>
      <c r="TO38" s="541"/>
      <c r="TP38" s="541"/>
      <c r="TQ38" s="541"/>
      <c r="TR38" s="541"/>
      <c r="TS38" s="541"/>
      <c r="TT38" s="541"/>
      <c r="TU38" s="541"/>
      <c r="TV38" s="541"/>
      <c r="TW38" s="541"/>
      <c r="TX38" s="541"/>
      <c r="TY38" s="541"/>
      <c r="TZ38" s="541"/>
      <c r="UA38" s="541"/>
      <c r="UB38" s="541"/>
      <c r="UC38" s="541"/>
      <c r="UD38" s="541"/>
      <c r="UE38" s="541"/>
      <c r="UF38" s="541"/>
      <c r="UG38" s="541"/>
      <c r="UH38" s="541"/>
      <c r="UI38" s="541"/>
      <c r="UJ38" s="541"/>
      <c r="UK38" s="541"/>
      <c r="UL38" s="541"/>
      <c r="UM38" s="541"/>
      <c r="UN38" s="541"/>
      <c r="UO38" s="541"/>
      <c r="UP38" s="541"/>
      <c r="UQ38" s="541"/>
      <c r="UR38" s="541"/>
      <c r="US38" s="541"/>
      <c r="UT38" s="541"/>
      <c r="UU38" s="541"/>
      <c r="UV38" s="541"/>
      <c r="UW38" s="541"/>
      <c r="UX38" s="541"/>
      <c r="UY38" s="541"/>
      <c r="UZ38" s="541"/>
      <c r="VA38" s="541"/>
      <c r="VB38" s="541"/>
      <c r="VC38" s="541"/>
      <c r="VD38" s="541"/>
      <c r="VE38" s="541"/>
      <c r="VF38" s="541"/>
      <c r="VG38" s="541"/>
      <c r="VH38" s="541"/>
      <c r="VI38" s="541"/>
      <c r="VJ38" s="541"/>
      <c r="VK38" s="541"/>
      <c r="VL38" s="541"/>
      <c r="VM38" s="541"/>
      <c r="VN38" s="541"/>
      <c r="VO38" s="541"/>
      <c r="VP38" s="541"/>
      <c r="VQ38" s="541"/>
      <c r="VR38" s="541"/>
      <c r="VS38" s="541"/>
      <c r="VT38" s="541"/>
      <c r="VU38" s="541"/>
      <c r="VV38" s="541"/>
      <c r="VW38" s="541"/>
      <c r="VX38" s="541"/>
      <c r="VY38" s="541"/>
      <c r="VZ38" s="541"/>
      <c r="WA38" s="541"/>
      <c r="WB38" s="541"/>
      <c r="WC38" s="541"/>
      <c r="WD38" s="541"/>
      <c r="WE38" s="541"/>
      <c r="WF38" s="541"/>
      <c r="WG38" s="541"/>
      <c r="WH38" s="541"/>
      <c r="WI38" s="541"/>
      <c r="WJ38" s="541"/>
      <c r="WK38" s="541"/>
      <c r="WL38" s="541"/>
      <c r="WM38" s="541"/>
      <c r="WN38" s="541"/>
      <c r="WO38" s="541"/>
      <c r="WP38" s="541"/>
      <c r="WQ38" s="541"/>
      <c r="WR38" s="541"/>
      <c r="WS38" s="541"/>
      <c r="WT38" s="541"/>
      <c r="WU38" s="541"/>
      <c r="WV38" s="541"/>
      <c r="WW38" s="541"/>
      <c r="WX38" s="541"/>
      <c r="WY38" s="541"/>
      <c r="WZ38" s="541"/>
      <c r="XA38" s="541"/>
      <c r="XB38" s="541"/>
      <c r="XC38" s="541"/>
      <c r="XD38" s="541"/>
      <c r="XE38" s="541"/>
      <c r="XF38" s="541"/>
      <c r="XG38" s="541"/>
      <c r="XH38" s="541"/>
      <c r="XI38" s="541"/>
      <c r="XJ38" s="541"/>
      <c r="XK38" s="541"/>
      <c r="XL38" s="541"/>
      <c r="XM38" s="541"/>
      <c r="XN38" s="541"/>
      <c r="XO38" s="541"/>
      <c r="XP38" s="541"/>
      <c r="XQ38" s="541"/>
      <c r="XR38" s="541"/>
      <c r="XS38" s="541"/>
      <c r="XT38" s="541"/>
      <c r="XU38" s="541"/>
      <c r="XV38" s="541"/>
      <c r="XW38" s="541"/>
      <c r="XX38" s="541"/>
      <c r="XY38" s="541"/>
      <c r="XZ38" s="541"/>
      <c r="YA38" s="541"/>
      <c r="YB38" s="541"/>
      <c r="YC38" s="541"/>
      <c r="YD38" s="541"/>
      <c r="YE38" s="541"/>
      <c r="YF38" s="541"/>
      <c r="YG38" s="541"/>
      <c r="YH38" s="541"/>
      <c r="YI38" s="541"/>
      <c r="YJ38" s="541"/>
      <c r="YK38" s="541"/>
      <c r="YL38" s="541"/>
      <c r="YM38" s="541"/>
      <c r="YN38" s="541"/>
      <c r="YO38" s="541"/>
      <c r="YP38" s="541"/>
      <c r="YQ38" s="541"/>
      <c r="YR38" s="541"/>
      <c r="YS38" s="541"/>
      <c r="YT38" s="541"/>
      <c r="YU38" s="541"/>
      <c r="YV38" s="541"/>
      <c r="YW38" s="541"/>
      <c r="YX38" s="541"/>
      <c r="YY38" s="541"/>
      <c r="YZ38" s="541"/>
      <c r="ZA38" s="541"/>
      <c r="ZB38" s="541"/>
      <c r="ZC38" s="541"/>
      <c r="ZD38" s="541"/>
      <c r="ZE38" s="541"/>
      <c r="ZF38" s="541"/>
      <c r="ZG38" s="541"/>
      <c r="ZH38" s="541"/>
      <c r="ZI38" s="541"/>
      <c r="ZJ38" s="541"/>
      <c r="ZK38" s="541"/>
      <c r="ZL38" s="541"/>
      <c r="ZM38" s="541"/>
      <c r="ZN38" s="541"/>
      <c r="ZO38" s="541"/>
      <c r="ZP38" s="541"/>
      <c r="ZQ38" s="541"/>
      <c r="ZR38" s="541"/>
      <c r="ZS38" s="541"/>
      <c r="ZT38" s="541"/>
      <c r="ZU38" s="541"/>
      <c r="ZV38" s="541"/>
      <c r="ZW38" s="541"/>
      <c r="ZX38" s="541"/>
      <c r="ZY38" s="541"/>
      <c r="ZZ38" s="541"/>
      <c r="AAA38" s="541"/>
      <c r="AAB38" s="541"/>
      <c r="AAC38" s="541"/>
      <c r="AAD38" s="541"/>
      <c r="AAE38" s="541"/>
      <c r="AAF38" s="541"/>
      <c r="AAG38" s="541"/>
      <c r="AAH38" s="541"/>
      <c r="AAI38" s="541"/>
      <c r="AAJ38" s="541"/>
      <c r="AAK38" s="541"/>
      <c r="AAL38" s="541"/>
      <c r="AAM38" s="541"/>
      <c r="AAN38" s="541"/>
      <c r="AAO38" s="541"/>
      <c r="AAP38" s="541"/>
      <c r="AAQ38" s="541"/>
      <c r="AAR38" s="541"/>
      <c r="AAS38" s="541"/>
      <c r="AAT38" s="541"/>
      <c r="AAU38" s="541"/>
      <c r="AAV38" s="541"/>
      <c r="AAW38" s="541"/>
      <c r="AAX38" s="541"/>
      <c r="AAY38" s="541"/>
      <c r="AAZ38" s="541"/>
      <c r="ABA38" s="541"/>
      <c r="ABB38" s="541"/>
      <c r="ABC38" s="541"/>
      <c r="ABD38" s="541"/>
      <c r="ABE38" s="541"/>
      <c r="ABF38" s="541"/>
      <c r="ABG38" s="541"/>
      <c r="ABH38" s="541"/>
      <c r="ABI38" s="541"/>
      <c r="ABJ38" s="541"/>
      <c r="ABK38" s="541"/>
      <c r="ABL38" s="541"/>
      <c r="ABM38" s="541"/>
      <c r="ABN38" s="541"/>
      <c r="ABO38" s="541"/>
      <c r="ABP38" s="541"/>
      <c r="ABQ38" s="541"/>
      <c r="ABR38" s="541"/>
      <c r="ABS38" s="541"/>
      <c r="ABT38" s="541"/>
      <c r="ABU38" s="541"/>
      <c r="ABV38" s="541"/>
      <c r="ABW38" s="541"/>
      <c r="ABX38" s="541"/>
      <c r="ABY38" s="541"/>
      <c r="ABZ38" s="541"/>
      <c r="ACA38" s="541"/>
      <c r="ACB38" s="541"/>
      <c r="ACC38" s="541"/>
      <c r="ACD38" s="541"/>
      <c r="ACE38" s="541"/>
      <c r="ACF38" s="541"/>
      <c r="ACG38" s="541"/>
      <c r="ACH38" s="541"/>
      <c r="ACI38" s="541"/>
      <c r="ACJ38" s="541"/>
      <c r="ACK38" s="541"/>
      <c r="ACL38" s="541"/>
      <c r="ACM38" s="541"/>
      <c r="ACN38" s="541"/>
      <c r="ACO38" s="541"/>
      <c r="ACP38" s="541"/>
      <c r="ACQ38" s="541"/>
      <c r="ACR38" s="541"/>
      <c r="ACS38" s="541"/>
      <c r="ACT38" s="541"/>
      <c r="ACU38" s="541"/>
      <c r="ACV38" s="541"/>
      <c r="ACW38" s="541"/>
      <c r="ACX38" s="541"/>
      <c r="ACY38" s="541"/>
      <c r="ACZ38" s="541"/>
      <c r="ADA38" s="541"/>
      <c r="ADB38" s="541"/>
      <c r="ADC38" s="541"/>
      <c r="ADD38" s="541"/>
      <c r="ADE38" s="541"/>
      <c r="ADF38" s="541"/>
      <c r="ADG38" s="541"/>
      <c r="ADH38" s="541"/>
      <c r="ADI38" s="541"/>
      <c r="ADJ38" s="541"/>
      <c r="ADK38" s="541"/>
      <c r="ADL38" s="541"/>
      <c r="ADM38" s="541"/>
      <c r="ADN38" s="541"/>
      <c r="ADO38" s="541"/>
      <c r="ADP38" s="541"/>
      <c r="ADQ38" s="541"/>
      <c r="ADR38" s="541"/>
      <c r="ADS38" s="541"/>
      <c r="ADT38" s="541"/>
      <c r="ADU38" s="541"/>
      <c r="ADV38" s="541"/>
      <c r="ADW38" s="541"/>
      <c r="ADX38" s="541"/>
      <c r="ADY38" s="541"/>
      <c r="ADZ38" s="541"/>
      <c r="AEA38" s="541"/>
      <c r="AEB38" s="541"/>
      <c r="AEC38" s="541"/>
      <c r="AED38" s="541"/>
      <c r="AEE38" s="541"/>
      <c r="AEF38" s="541"/>
      <c r="AEG38" s="541"/>
      <c r="AEH38" s="541"/>
      <c r="AEI38" s="541"/>
      <c r="AEJ38" s="541"/>
      <c r="AEK38" s="541"/>
      <c r="AEL38" s="541"/>
      <c r="AEM38" s="541"/>
      <c r="AEN38" s="541"/>
      <c r="AEO38" s="541"/>
      <c r="AEP38" s="541"/>
      <c r="AEQ38" s="541"/>
      <c r="AER38" s="541"/>
      <c r="AES38" s="541"/>
      <c r="AET38" s="541"/>
      <c r="AEU38" s="541"/>
      <c r="AEV38" s="541"/>
      <c r="AEW38" s="541"/>
      <c r="AEX38" s="541"/>
      <c r="AEY38" s="541"/>
      <c r="AEZ38" s="541"/>
      <c r="AFA38" s="541"/>
      <c r="AFB38" s="541"/>
      <c r="AFC38" s="541"/>
      <c r="AFD38" s="541"/>
      <c r="AFE38" s="541"/>
      <c r="AFF38" s="541"/>
      <c r="AFG38" s="541"/>
      <c r="AFH38" s="541"/>
      <c r="AFI38" s="541"/>
      <c r="AFJ38" s="541"/>
      <c r="AFK38" s="541"/>
      <c r="AFL38" s="541"/>
      <c r="AFM38" s="541"/>
      <c r="AFN38" s="541"/>
      <c r="AFO38" s="541"/>
      <c r="AFP38" s="541"/>
      <c r="AFQ38" s="541"/>
      <c r="AFR38" s="541"/>
      <c r="AFS38" s="541"/>
      <c r="AFT38" s="541"/>
      <c r="AFU38" s="541"/>
      <c r="AFV38" s="541"/>
      <c r="AFW38" s="541"/>
      <c r="AFX38" s="541"/>
      <c r="AFY38" s="541"/>
      <c r="AFZ38" s="541"/>
      <c r="AGA38" s="541"/>
      <c r="AGB38" s="541"/>
      <c r="AGC38" s="541"/>
      <c r="AGD38" s="541"/>
      <c r="AGE38" s="541"/>
      <c r="AGF38" s="541"/>
      <c r="AGG38" s="541"/>
      <c r="AGH38" s="541"/>
      <c r="AGI38" s="541"/>
      <c r="AGJ38" s="541"/>
      <c r="AGK38" s="541"/>
      <c r="AGL38" s="541"/>
      <c r="AGM38" s="541"/>
      <c r="AGN38" s="541"/>
      <c r="AGO38" s="541"/>
      <c r="AGP38" s="541"/>
      <c r="AGQ38" s="541"/>
      <c r="AGR38" s="541"/>
      <c r="AGS38" s="541"/>
      <c r="AGT38" s="541"/>
      <c r="AGU38" s="541"/>
      <c r="AGV38" s="541"/>
      <c r="AGW38" s="541"/>
      <c r="AGX38" s="541"/>
      <c r="AGY38" s="541"/>
      <c r="AGZ38" s="541"/>
      <c r="AHA38" s="541"/>
      <c r="AHB38" s="541"/>
      <c r="AHC38" s="541"/>
      <c r="AHD38" s="541"/>
      <c r="AHE38" s="541"/>
      <c r="AHF38" s="541"/>
      <c r="AHG38" s="541"/>
      <c r="AHH38" s="541"/>
      <c r="AHI38" s="541"/>
      <c r="AHJ38" s="541"/>
      <c r="AHK38" s="541"/>
      <c r="AHL38" s="541"/>
      <c r="AHM38" s="541"/>
      <c r="AHN38" s="541"/>
      <c r="AHO38" s="541"/>
      <c r="AHP38" s="541"/>
      <c r="AHQ38" s="541"/>
      <c r="AHR38" s="541"/>
      <c r="AHS38" s="541"/>
      <c r="AHT38" s="541"/>
      <c r="AHU38" s="541"/>
      <c r="AHV38" s="541"/>
      <c r="AHW38" s="541"/>
      <c r="AHX38" s="541"/>
      <c r="AHY38" s="541"/>
      <c r="AHZ38" s="541"/>
      <c r="AIA38" s="541"/>
      <c r="AIB38" s="541"/>
      <c r="AIC38" s="541"/>
      <c r="AID38" s="541"/>
      <c r="AIE38" s="541"/>
      <c r="AIF38" s="541"/>
      <c r="AIG38" s="541"/>
      <c r="AIH38" s="541"/>
      <c r="AII38" s="541"/>
      <c r="AIJ38" s="541"/>
      <c r="AIK38" s="541"/>
      <c r="AIL38" s="541"/>
      <c r="AIM38" s="541"/>
      <c r="AIN38" s="541"/>
      <c r="AIO38" s="541"/>
      <c r="AIP38" s="541"/>
      <c r="AIQ38" s="541"/>
      <c r="AIR38" s="541"/>
      <c r="AIS38" s="541"/>
      <c r="AIT38" s="541"/>
      <c r="AIU38" s="541"/>
      <c r="AIV38" s="541"/>
      <c r="AIW38" s="541"/>
      <c r="AIX38" s="541"/>
      <c r="AIY38" s="541"/>
      <c r="AIZ38" s="541"/>
      <c r="AJA38" s="541"/>
      <c r="AJB38" s="541"/>
      <c r="AJC38" s="541"/>
      <c r="AJD38" s="541"/>
      <c r="AJE38" s="541"/>
      <c r="AJF38" s="541"/>
      <c r="AJG38" s="541"/>
      <c r="AJH38" s="541"/>
      <c r="AJI38" s="541"/>
      <c r="AJJ38" s="541"/>
      <c r="AJK38" s="541"/>
      <c r="AJL38" s="541"/>
      <c r="AJM38" s="541"/>
      <c r="AJN38" s="541"/>
      <c r="AJO38" s="541"/>
      <c r="AJP38" s="541"/>
      <c r="AJQ38" s="541"/>
      <c r="AJR38" s="541"/>
      <c r="AJS38" s="541"/>
      <c r="AJT38" s="541"/>
      <c r="AJU38" s="541"/>
      <c r="AJV38" s="541"/>
      <c r="AJW38" s="541"/>
      <c r="AJX38" s="541"/>
      <c r="AJY38" s="541"/>
      <c r="AJZ38" s="541"/>
      <c r="AKA38" s="541"/>
      <c r="AKB38" s="541"/>
      <c r="AKC38" s="541"/>
      <c r="AKD38" s="541"/>
      <c r="AKE38" s="541"/>
      <c r="AKF38" s="541"/>
      <c r="AKG38" s="541"/>
      <c r="AKH38" s="541"/>
      <c r="AKI38" s="541"/>
      <c r="AKJ38" s="541"/>
      <c r="AKK38" s="541"/>
      <c r="AKL38" s="541"/>
      <c r="AKM38" s="541"/>
      <c r="AKN38" s="541"/>
      <c r="AKO38" s="541"/>
      <c r="AKP38" s="541"/>
      <c r="AKQ38" s="541"/>
      <c r="AKR38" s="541"/>
      <c r="AKS38" s="541"/>
      <c r="AKT38" s="541"/>
      <c r="AKU38" s="541"/>
      <c r="AKV38" s="541"/>
      <c r="AKW38" s="541"/>
      <c r="AKX38" s="541"/>
      <c r="AKY38" s="541"/>
      <c r="AKZ38" s="541"/>
      <c r="ALA38" s="541"/>
      <c r="ALB38" s="541"/>
      <c r="ALC38" s="541"/>
      <c r="ALD38" s="541"/>
      <c r="ALE38" s="541"/>
      <c r="ALF38" s="541"/>
      <c r="ALG38" s="541"/>
      <c r="ALH38" s="541"/>
      <c r="ALI38" s="541"/>
      <c r="ALJ38" s="541"/>
      <c r="ALK38" s="541"/>
      <c r="ALL38" s="541"/>
      <c r="ALM38" s="541"/>
      <c r="ALN38" s="541"/>
      <c r="ALO38" s="541"/>
      <c r="ALP38" s="541"/>
      <c r="ALQ38" s="541"/>
      <c r="ALR38" s="541"/>
      <c r="ALS38" s="541"/>
      <c r="ALT38" s="541"/>
      <c r="ALU38" s="541"/>
      <c r="ALV38" s="541"/>
      <c r="ALW38" s="541"/>
      <c r="ALX38" s="541"/>
      <c r="ALY38" s="541"/>
      <c r="ALZ38" s="541"/>
      <c r="AMA38" s="541"/>
      <c r="AMB38" s="541"/>
      <c r="AMC38" s="541"/>
      <c r="AMD38" s="541"/>
      <c r="AME38" s="541"/>
      <c r="AMF38" s="541"/>
      <c r="AMG38" s="541"/>
      <c r="AMH38" s="541"/>
      <c r="AMI38" s="541"/>
      <c r="AMJ38" s="541"/>
      <c r="AMK38" s="541"/>
      <c r="AML38" s="541"/>
      <c r="AMM38" s="541"/>
      <c r="AMN38" s="541"/>
      <c r="AMO38" s="541"/>
      <c r="AMP38" s="541"/>
      <c r="AMQ38" s="541"/>
      <c r="AMR38" s="541"/>
      <c r="AMS38" s="541"/>
      <c r="AMT38" s="541"/>
      <c r="AMU38" s="541"/>
      <c r="AMV38" s="541"/>
      <c r="AMW38" s="541"/>
      <c r="AMX38" s="541"/>
      <c r="AMY38" s="541"/>
      <c r="AMZ38" s="541"/>
      <c r="ANA38" s="541"/>
      <c r="ANB38" s="541"/>
      <c r="ANC38" s="541"/>
      <c r="AND38" s="541"/>
      <c r="ANE38" s="541"/>
      <c r="ANF38" s="541"/>
      <c r="ANG38" s="541"/>
      <c r="ANH38" s="541"/>
      <c r="ANI38" s="541"/>
      <c r="ANJ38" s="541"/>
      <c r="ANK38" s="541"/>
      <c r="ANL38" s="541"/>
      <c r="ANM38" s="541"/>
      <c r="ANN38" s="541"/>
      <c r="ANO38" s="541"/>
      <c r="ANP38" s="541"/>
      <c r="ANQ38" s="541"/>
      <c r="ANR38" s="541"/>
      <c r="ANS38" s="541"/>
      <c r="ANT38" s="541"/>
      <c r="ANU38" s="541"/>
      <c r="ANV38" s="541"/>
      <c r="ANW38" s="541"/>
      <c r="ANX38" s="541"/>
      <c r="ANY38" s="541"/>
      <c r="ANZ38" s="541"/>
      <c r="AOA38" s="541"/>
      <c r="AOB38" s="541"/>
      <c r="AOC38" s="541"/>
      <c r="AOD38" s="541"/>
      <c r="AOE38" s="541"/>
      <c r="AOF38" s="541"/>
      <c r="AOG38" s="541"/>
      <c r="AOH38" s="541"/>
      <c r="AOI38" s="541"/>
      <c r="AOJ38" s="541"/>
      <c r="AOK38" s="541"/>
      <c r="AOL38" s="541"/>
      <c r="AOM38" s="541"/>
      <c r="AON38" s="541"/>
      <c r="AOO38" s="541"/>
      <c r="AOP38" s="541"/>
      <c r="AOQ38" s="541"/>
      <c r="AOR38" s="541"/>
      <c r="AOS38" s="541"/>
      <c r="AOT38" s="541"/>
      <c r="AOU38" s="541"/>
      <c r="AOV38" s="541"/>
      <c r="AOW38" s="541"/>
      <c r="AOX38" s="541"/>
      <c r="AOY38" s="541"/>
      <c r="AOZ38" s="541"/>
      <c r="APA38" s="541"/>
      <c r="APB38" s="541"/>
      <c r="APC38" s="541"/>
      <c r="APD38" s="541"/>
      <c r="APE38" s="541"/>
      <c r="APF38" s="541"/>
      <c r="APG38" s="541"/>
      <c r="APH38" s="541"/>
      <c r="API38" s="541"/>
      <c r="APJ38" s="541"/>
      <c r="APK38" s="541"/>
      <c r="APL38" s="541"/>
      <c r="APM38" s="541"/>
      <c r="APN38" s="541"/>
      <c r="APO38" s="541"/>
      <c r="APP38" s="541"/>
      <c r="APQ38" s="541"/>
      <c r="APR38" s="541"/>
      <c r="APS38" s="541"/>
      <c r="APT38" s="541"/>
      <c r="APU38" s="541"/>
      <c r="APV38" s="541"/>
      <c r="APW38" s="541"/>
      <c r="APX38" s="541"/>
      <c r="APY38" s="541"/>
      <c r="APZ38" s="541"/>
      <c r="AQA38" s="541"/>
      <c r="AQB38" s="541"/>
      <c r="AQC38" s="541"/>
      <c r="AQD38" s="541"/>
      <c r="AQE38" s="541"/>
      <c r="AQF38" s="541"/>
      <c r="AQG38" s="541"/>
      <c r="AQH38" s="541"/>
      <c r="AQI38" s="541"/>
      <c r="AQJ38" s="541"/>
      <c r="AQK38" s="541"/>
      <c r="AQL38" s="541"/>
      <c r="AQM38" s="541"/>
      <c r="AQN38" s="541"/>
      <c r="AQO38" s="541"/>
      <c r="AQP38" s="541"/>
      <c r="AQQ38" s="541"/>
      <c r="AQR38" s="541"/>
      <c r="AQS38" s="541"/>
      <c r="AQT38" s="541"/>
      <c r="AQU38" s="541"/>
      <c r="AQV38" s="541"/>
      <c r="AQW38" s="541"/>
      <c r="AQX38" s="541"/>
      <c r="AQY38" s="541"/>
      <c r="AQZ38" s="541"/>
      <c r="ARA38" s="541"/>
      <c r="ARB38" s="541"/>
      <c r="ARC38" s="541"/>
      <c r="ARD38" s="541"/>
      <c r="ARE38" s="541"/>
      <c r="ARF38" s="541"/>
      <c r="ARG38" s="541"/>
      <c r="ARH38" s="541"/>
      <c r="ARI38" s="541"/>
      <c r="ARJ38" s="541"/>
      <c r="ARK38" s="541"/>
      <c r="ARL38" s="541"/>
      <c r="ARM38" s="541"/>
      <c r="ARN38" s="541"/>
      <c r="ARO38" s="541"/>
      <c r="ARP38" s="541"/>
      <c r="ARQ38" s="541"/>
      <c r="ARR38" s="541"/>
      <c r="ARS38" s="541"/>
      <c r="ART38" s="541"/>
    </row>
    <row r="39" spans="1:1164" s="658" customFormat="1">
      <c r="A39" s="613" t="s">
        <v>214</v>
      </c>
      <c r="B39" s="578" t="s">
        <v>110</v>
      </c>
      <c r="C39" s="659">
        <v>20</v>
      </c>
      <c r="D39" s="659">
        <v>200</v>
      </c>
      <c r="E39" s="581">
        <v>0</v>
      </c>
      <c r="F39" s="581">
        <v>0</v>
      </c>
      <c r="G39" s="581">
        <v>0</v>
      </c>
      <c r="H39" s="581">
        <v>0</v>
      </c>
      <c r="I39" s="581">
        <v>0</v>
      </c>
      <c r="J39" s="581">
        <v>0</v>
      </c>
      <c r="K39" s="581">
        <v>0</v>
      </c>
      <c r="L39" s="581">
        <v>0</v>
      </c>
      <c r="M39" s="581">
        <v>0</v>
      </c>
      <c r="N39" s="581">
        <v>0</v>
      </c>
      <c r="O39" s="581">
        <v>0</v>
      </c>
      <c r="P39" s="581">
        <v>0</v>
      </c>
      <c r="Q39" s="581">
        <v>0</v>
      </c>
      <c r="R39" s="581">
        <v>0</v>
      </c>
      <c r="S39" s="581">
        <v>0</v>
      </c>
      <c r="T39" s="581">
        <v>0</v>
      </c>
      <c r="U39" s="581">
        <v>0</v>
      </c>
      <c r="V39" s="581">
        <v>0</v>
      </c>
      <c r="W39" s="581">
        <v>0</v>
      </c>
      <c r="X39" s="581">
        <v>0</v>
      </c>
      <c r="Y39" s="581">
        <v>0</v>
      </c>
      <c r="Z39" s="581">
        <v>0</v>
      </c>
      <c r="AA39" s="581">
        <v>0</v>
      </c>
      <c r="AB39" s="581">
        <v>0</v>
      </c>
      <c r="AC39" s="581">
        <v>0</v>
      </c>
      <c r="AD39" s="581">
        <v>0</v>
      </c>
      <c r="AE39" s="581">
        <v>0</v>
      </c>
      <c r="AF39" s="581">
        <v>0</v>
      </c>
      <c r="AG39" s="581">
        <v>0</v>
      </c>
      <c r="AH39" s="581">
        <v>0</v>
      </c>
      <c r="AI39" s="581">
        <v>0</v>
      </c>
      <c r="AJ39" s="581">
        <v>0</v>
      </c>
      <c r="AK39" s="581">
        <v>0</v>
      </c>
      <c r="AL39" s="581">
        <v>0</v>
      </c>
      <c r="AM39" s="581">
        <v>0</v>
      </c>
      <c r="AN39" s="581">
        <v>0</v>
      </c>
      <c r="AO39" s="581">
        <v>0</v>
      </c>
      <c r="AP39" s="581">
        <v>0</v>
      </c>
      <c r="AQ39" s="581">
        <v>0</v>
      </c>
      <c r="AR39" s="581">
        <v>0</v>
      </c>
      <c r="AS39" s="581">
        <v>0</v>
      </c>
      <c r="AT39" s="581">
        <v>0</v>
      </c>
      <c r="AU39" s="581">
        <v>0</v>
      </c>
      <c r="AV39" s="581">
        <v>0</v>
      </c>
      <c r="AW39" s="581">
        <v>0</v>
      </c>
      <c r="AX39" s="581">
        <v>0</v>
      </c>
      <c r="AY39" s="581">
        <v>0</v>
      </c>
      <c r="AZ39" s="581">
        <v>0</v>
      </c>
      <c r="BA39" s="688"/>
      <c r="BB39" s="581"/>
      <c r="BC39" s="581"/>
      <c r="BD39" s="581"/>
      <c r="BE39" s="689"/>
      <c r="BF39" s="581"/>
      <c r="BG39" s="581"/>
      <c r="BH39" s="581"/>
      <c r="BI39" s="688"/>
      <c r="BJ39" s="581">
        <f t="shared" si="2"/>
        <v>20</v>
      </c>
      <c r="BK39" s="581">
        <f t="shared" si="3"/>
        <v>200</v>
      </c>
      <c r="BL39" s="541"/>
      <c r="BM39" s="42"/>
      <c r="BN39" s="624"/>
      <c r="BO39" s="624"/>
      <c r="BP39" s="541"/>
      <c r="BQ39" s="541"/>
      <c r="BR39" s="541"/>
      <c r="BS39" s="541"/>
      <c r="BT39" s="541"/>
      <c r="BU39" s="541"/>
      <c r="BV39" s="541"/>
      <c r="BW39" s="541"/>
      <c r="BX39" s="541"/>
      <c r="BY39" s="541"/>
      <c r="BZ39" s="541"/>
      <c r="CA39" s="541"/>
      <c r="CB39" s="541"/>
      <c r="CC39" s="541"/>
      <c r="CD39" s="541"/>
      <c r="CE39" s="541"/>
      <c r="CF39" s="541"/>
      <c r="CG39" s="541"/>
      <c r="CH39" s="541"/>
      <c r="CI39" s="541"/>
      <c r="CJ39" s="541"/>
      <c r="CK39" s="541"/>
      <c r="CL39" s="541"/>
      <c r="CM39" s="541"/>
      <c r="CN39" s="541"/>
      <c r="CO39" s="541"/>
      <c r="CP39" s="541"/>
      <c r="CQ39" s="541"/>
      <c r="CR39" s="541"/>
      <c r="CS39" s="541"/>
      <c r="CT39" s="541"/>
      <c r="CU39" s="541"/>
      <c r="CV39" s="541"/>
      <c r="CW39" s="541"/>
      <c r="CX39" s="541"/>
      <c r="CY39" s="541"/>
      <c r="CZ39" s="541"/>
      <c r="DA39" s="541"/>
      <c r="DB39" s="541"/>
      <c r="DC39" s="541"/>
      <c r="DD39" s="541"/>
      <c r="DE39" s="541"/>
      <c r="DF39" s="541"/>
      <c r="DG39" s="541"/>
      <c r="DH39" s="541"/>
      <c r="DI39" s="541"/>
      <c r="DJ39" s="541"/>
      <c r="DK39" s="541"/>
      <c r="DL39" s="541"/>
      <c r="DM39" s="541"/>
      <c r="DN39" s="541"/>
      <c r="DO39" s="541"/>
      <c r="DP39" s="541"/>
      <c r="DQ39" s="541"/>
      <c r="DR39" s="541"/>
      <c r="DS39" s="541"/>
      <c r="DT39" s="541"/>
      <c r="DU39" s="541"/>
      <c r="DV39" s="541"/>
      <c r="DW39" s="541"/>
      <c r="DX39" s="541"/>
      <c r="DY39" s="541"/>
      <c r="DZ39" s="541"/>
      <c r="EA39" s="541"/>
      <c r="EB39" s="541"/>
      <c r="EC39" s="541"/>
      <c r="ED39" s="541"/>
      <c r="EE39" s="541"/>
      <c r="EF39" s="541"/>
      <c r="EG39" s="541"/>
      <c r="EH39" s="541"/>
      <c r="EI39" s="541"/>
      <c r="EJ39" s="541"/>
      <c r="EK39" s="541"/>
      <c r="EL39" s="541"/>
      <c r="EM39" s="541"/>
      <c r="EN39" s="541"/>
      <c r="EO39" s="541"/>
      <c r="EP39" s="541"/>
      <c r="EQ39" s="541"/>
      <c r="ER39" s="541"/>
      <c r="ES39" s="541"/>
      <c r="ET39" s="541"/>
      <c r="EU39" s="541"/>
      <c r="EV39" s="541"/>
      <c r="EW39" s="541"/>
      <c r="EX39" s="541"/>
      <c r="EY39" s="541"/>
      <c r="EZ39" s="541"/>
      <c r="FA39" s="541"/>
      <c r="FB39" s="541"/>
      <c r="FC39" s="541"/>
      <c r="FD39" s="541"/>
      <c r="FE39" s="541"/>
      <c r="FF39" s="541"/>
      <c r="FG39" s="541"/>
      <c r="FH39" s="541"/>
      <c r="FI39" s="541"/>
      <c r="FJ39" s="541"/>
      <c r="FK39" s="541"/>
      <c r="FL39" s="541"/>
      <c r="FM39" s="541"/>
      <c r="FN39" s="541"/>
      <c r="FO39" s="541"/>
      <c r="FP39" s="541"/>
      <c r="FQ39" s="541"/>
      <c r="FR39" s="541"/>
      <c r="FS39" s="541"/>
      <c r="FT39" s="541"/>
      <c r="FU39" s="541"/>
      <c r="FV39" s="541"/>
      <c r="FW39" s="541"/>
      <c r="FX39" s="541"/>
      <c r="FY39" s="541"/>
      <c r="FZ39" s="541"/>
      <c r="GA39" s="541"/>
      <c r="GB39" s="541"/>
      <c r="GC39" s="541"/>
      <c r="GD39" s="541"/>
      <c r="GE39" s="541"/>
      <c r="GF39" s="541"/>
      <c r="GG39" s="541"/>
      <c r="GH39" s="541"/>
      <c r="GI39" s="541"/>
      <c r="GJ39" s="541"/>
      <c r="GK39" s="541"/>
      <c r="GL39" s="541"/>
      <c r="GM39" s="541"/>
      <c r="GN39" s="541"/>
      <c r="GO39" s="541"/>
      <c r="GP39" s="541"/>
      <c r="GQ39" s="541"/>
      <c r="GR39" s="541"/>
      <c r="GS39" s="541"/>
      <c r="GT39" s="541"/>
      <c r="GU39" s="541"/>
      <c r="GV39" s="541"/>
      <c r="GW39" s="541"/>
      <c r="GX39" s="541"/>
      <c r="GY39" s="541"/>
      <c r="GZ39" s="541"/>
      <c r="HA39" s="541"/>
      <c r="HB39" s="541"/>
      <c r="HC39" s="541"/>
      <c r="HD39" s="541"/>
      <c r="HE39" s="541"/>
      <c r="HF39" s="541"/>
      <c r="HG39" s="541"/>
      <c r="HH39" s="541"/>
      <c r="HI39" s="541"/>
      <c r="HJ39" s="541"/>
      <c r="HK39" s="541"/>
      <c r="HL39" s="541"/>
      <c r="HM39" s="541"/>
      <c r="HN39" s="541"/>
      <c r="HO39" s="541"/>
      <c r="HP39" s="541"/>
      <c r="HQ39" s="541"/>
      <c r="HR39" s="541"/>
      <c r="HS39" s="541"/>
      <c r="HT39" s="541"/>
      <c r="HU39" s="541"/>
      <c r="HV39" s="541"/>
      <c r="HW39" s="541"/>
      <c r="HX39" s="541"/>
      <c r="HY39" s="541"/>
      <c r="HZ39" s="541"/>
      <c r="IA39" s="541"/>
      <c r="IB39" s="541"/>
      <c r="IC39" s="541"/>
      <c r="ID39" s="541"/>
      <c r="IE39" s="541"/>
      <c r="IF39" s="541"/>
      <c r="IG39" s="541"/>
      <c r="IH39" s="541"/>
      <c r="II39" s="541"/>
      <c r="IJ39" s="541"/>
      <c r="IK39" s="541"/>
      <c r="IL39" s="541"/>
      <c r="IM39" s="541"/>
      <c r="IN39" s="541"/>
      <c r="IO39" s="541"/>
      <c r="IP39" s="541"/>
      <c r="IQ39" s="541"/>
      <c r="IR39" s="541"/>
      <c r="IS39" s="541"/>
      <c r="IT39" s="541"/>
      <c r="IU39" s="541"/>
      <c r="IV39" s="541"/>
      <c r="IW39" s="541"/>
      <c r="IX39" s="541"/>
      <c r="IY39" s="541"/>
      <c r="IZ39" s="541"/>
      <c r="JA39" s="541"/>
      <c r="JB39" s="541"/>
      <c r="JC39" s="541"/>
      <c r="JD39" s="541"/>
      <c r="JE39" s="541"/>
      <c r="JF39" s="541"/>
      <c r="JG39" s="541"/>
      <c r="JH39" s="541"/>
      <c r="JI39" s="541"/>
      <c r="JJ39" s="541"/>
      <c r="JK39" s="541"/>
      <c r="JL39" s="541"/>
      <c r="JM39" s="541"/>
      <c r="JN39" s="541"/>
      <c r="JO39" s="541"/>
      <c r="JP39" s="541"/>
      <c r="JQ39" s="541"/>
      <c r="JR39" s="541"/>
      <c r="JS39" s="541"/>
      <c r="JT39" s="541"/>
      <c r="JU39" s="541"/>
      <c r="JV39" s="541"/>
      <c r="JW39" s="541"/>
      <c r="JX39" s="541"/>
      <c r="JY39" s="541"/>
      <c r="JZ39" s="541"/>
      <c r="KA39" s="541"/>
      <c r="KB39" s="541"/>
      <c r="KC39" s="541"/>
      <c r="KD39" s="541"/>
      <c r="KE39" s="541"/>
      <c r="KF39" s="541"/>
      <c r="KG39" s="541"/>
      <c r="KH39" s="541"/>
      <c r="KI39" s="541"/>
      <c r="KJ39" s="541"/>
      <c r="KK39" s="541"/>
      <c r="KL39" s="541"/>
      <c r="KM39" s="541"/>
      <c r="KN39" s="541"/>
      <c r="KO39" s="541"/>
      <c r="KP39" s="541"/>
      <c r="KQ39" s="541"/>
      <c r="KR39" s="541"/>
      <c r="KS39" s="541"/>
      <c r="KT39" s="541"/>
      <c r="KU39" s="541"/>
      <c r="KV39" s="541"/>
      <c r="KW39" s="541"/>
      <c r="KX39" s="541"/>
      <c r="KY39" s="541"/>
      <c r="KZ39" s="541"/>
      <c r="LA39" s="541"/>
      <c r="LB39" s="541"/>
      <c r="LC39" s="541"/>
      <c r="LD39" s="541"/>
      <c r="LE39" s="541"/>
      <c r="LF39" s="541"/>
      <c r="LG39" s="541"/>
      <c r="LH39" s="541"/>
      <c r="LI39" s="541"/>
      <c r="LJ39" s="541"/>
      <c r="LK39" s="541"/>
      <c r="LL39" s="541"/>
      <c r="LM39" s="541"/>
      <c r="LN39" s="541"/>
      <c r="LO39" s="541"/>
      <c r="LP39" s="541"/>
      <c r="LQ39" s="541"/>
      <c r="LR39" s="541"/>
      <c r="LS39" s="541"/>
      <c r="LT39" s="541"/>
      <c r="LU39" s="541"/>
      <c r="LV39" s="541"/>
      <c r="LW39" s="541"/>
      <c r="LX39" s="541"/>
      <c r="LY39" s="541"/>
      <c r="LZ39" s="541"/>
      <c r="MA39" s="541"/>
      <c r="MB39" s="541"/>
      <c r="MC39" s="541"/>
      <c r="MD39" s="541"/>
      <c r="ME39" s="541"/>
      <c r="MF39" s="541"/>
      <c r="MG39" s="541"/>
      <c r="MH39" s="541"/>
      <c r="MI39" s="541"/>
      <c r="MJ39" s="541"/>
      <c r="MK39" s="541"/>
      <c r="ML39" s="541"/>
      <c r="MM39" s="541"/>
      <c r="MN39" s="541"/>
      <c r="MO39" s="541"/>
      <c r="MP39" s="541"/>
      <c r="MQ39" s="541"/>
      <c r="MR39" s="541"/>
      <c r="MS39" s="541"/>
      <c r="MT39" s="541"/>
      <c r="MU39" s="541"/>
      <c r="MV39" s="541"/>
      <c r="MW39" s="541"/>
      <c r="MX39" s="541"/>
      <c r="MY39" s="541"/>
      <c r="MZ39" s="541"/>
      <c r="NA39" s="541"/>
      <c r="NB39" s="541"/>
      <c r="NC39" s="541"/>
      <c r="ND39" s="541"/>
      <c r="NE39" s="541"/>
      <c r="NF39" s="541"/>
      <c r="NG39" s="541"/>
      <c r="NH39" s="541"/>
      <c r="NI39" s="541"/>
      <c r="NJ39" s="541"/>
      <c r="NK39" s="541"/>
      <c r="NL39" s="541"/>
      <c r="NM39" s="541"/>
      <c r="NN39" s="541"/>
      <c r="NO39" s="541"/>
      <c r="NP39" s="541"/>
      <c r="NQ39" s="541"/>
      <c r="NR39" s="541"/>
      <c r="NS39" s="541"/>
      <c r="NT39" s="541"/>
      <c r="NU39" s="541"/>
      <c r="NV39" s="541"/>
      <c r="NW39" s="541"/>
      <c r="NX39" s="541"/>
      <c r="NY39" s="541"/>
      <c r="NZ39" s="541"/>
      <c r="OA39" s="541"/>
      <c r="OB39" s="541"/>
      <c r="OC39" s="541"/>
      <c r="OD39" s="541"/>
      <c r="OE39" s="541"/>
      <c r="OF39" s="541"/>
      <c r="OG39" s="541"/>
      <c r="OH39" s="541"/>
      <c r="OI39" s="541"/>
      <c r="OJ39" s="541"/>
      <c r="OK39" s="541"/>
      <c r="OL39" s="541"/>
      <c r="OM39" s="541"/>
      <c r="ON39" s="541"/>
      <c r="OO39" s="541"/>
      <c r="OP39" s="541"/>
      <c r="OQ39" s="541"/>
      <c r="OR39" s="541"/>
      <c r="OS39" s="541"/>
      <c r="OT39" s="541"/>
      <c r="OU39" s="541"/>
      <c r="OV39" s="541"/>
      <c r="OW39" s="541"/>
      <c r="OX39" s="541"/>
      <c r="OY39" s="541"/>
      <c r="OZ39" s="541"/>
      <c r="PA39" s="541"/>
      <c r="PB39" s="541"/>
      <c r="PC39" s="541"/>
      <c r="PD39" s="541"/>
      <c r="PE39" s="541"/>
      <c r="PF39" s="541"/>
      <c r="PG39" s="541"/>
      <c r="PH39" s="541"/>
      <c r="PI39" s="541"/>
      <c r="PJ39" s="541"/>
      <c r="PK39" s="541"/>
      <c r="PL39" s="541"/>
      <c r="PM39" s="541"/>
      <c r="PN39" s="541"/>
      <c r="PO39" s="541"/>
      <c r="PP39" s="541"/>
      <c r="PQ39" s="541"/>
      <c r="PR39" s="541"/>
      <c r="PS39" s="541"/>
      <c r="PT39" s="541"/>
      <c r="PU39" s="541"/>
      <c r="PV39" s="541"/>
      <c r="PW39" s="541"/>
      <c r="PX39" s="541"/>
      <c r="PY39" s="541"/>
      <c r="PZ39" s="541"/>
      <c r="QA39" s="541"/>
      <c r="QB39" s="541"/>
      <c r="QC39" s="541"/>
      <c r="QD39" s="541"/>
      <c r="QE39" s="541"/>
      <c r="QF39" s="541"/>
      <c r="QG39" s="541"/>
      <c r="QH39" s="541"/>
      <c r="QI39" s="541"/>
      <c r="QJ39" s="541"/>
      <c r="QK39" s="541"/>
      <c r="QL39" s="541"/>
      <c r="QM39" s="541"/>
      <c r="QN39" s="541"/>
      <c r="QO39" s="541"/>
      <c r="QP39" s="541"/>
      <c r="QQ39" s="541"/>
      <c r="QR39" s="541"/>
      <c r="QS39" s="541"/>
      <c r="QT39" s="541"/>
      <c r="QU39" s="541"/>
      <c r="QV39" s="541"/>
      <c r="QW39" s="541"/>
      <c r="QX39" s="541"/>
      <c r="QY39" s="541"/>
      <c r="QZ39" s="541"/>
      <c r="RA39" s="541"/>
      <c r="RB39" s="541"/>
      <c r="RC39" s="541"/>
      <c r="RD39" s="541"/>
      <c r="RE39" s="541"/>
      <c r="RF39" s="541"/>
      <c r="RG39" s="541"/>
      <c r="RH39" s="541"/>
      <c r="RI39" s="541"/>
      <c r="RJ39" s="541"/>
      <c r="RK39" s="541"/>
      <c r="RL39" s="541"/>
      <c r="RM39" s="541"/>
      <c r="RN39" s="541"/>
      <c r="RO39" s="541"/>
      <c r="RP39" s="541"/>
      <c r="RQ39" s="541"/>
      <c r="RR39" s="541"/>
      <c r="RS39" s="541"/>
      <c r="RT39" s="541"/>
      <c r="RU39" s="541"/>
      <c r="RV39" s="541"/>
      <c r="RW39" s="541"/>
      <c r="RX39" s="541"/>
      <c r="RY39" s="541"/>
      <c r="RZ39" s="541"/>
      <c r="SA39" s="541"/>
      <c r="SB39" s="541"/>
      <c r="SC39" s="541"/>
      <c r="SD39" s="541"/>
      <c r="SE39" s="541"/>
      <c r="SF39" s="541"/>
      <c r="SG39" s="541"/>
      <c r="SH39" s="541"/>
      <c r="SI39" s="541"/>
      <c r="SJ39" s="541"/>
      <c r="SK39" s="541"/>
      <c r="SL39" s="541"/>
      <c r="SM39" s="541"/>
      <c r="SN39" s="541"/>
      <c r="SO39" s="541"/>
      <c r="SP39" s="541"/>
      <c r="SQ39" s="541"/>
      <c r="SR39" s="541"/>
      <c r="SS39" s="541"/>
      <c r="ST39" s="541"/>
      <c r="SU39" s="541"/>
      <c r="SV39" s="541"/>
      <c r="SW39" s="541"/>
      <c r="SX39" s="541"/>
      <c r="SY39" s="541"/>
      <c r="SZ39" s="541"/>
      <c r="TA39" s="541"/>
      <c r="TB39" s="541"/>
      <c r="TC39" s="541"/>
      <c r="TD39" s="541"/>
      <c r="TE39" s="541"/>
      <c r="TF39" s="541"/>
      <c r="TG39" s="541"/>
      <c r="TH39" s="541"/>
      <c r="TI39" s="541"/>
      <c r="TJ39" s="541"/>
      <c r="TK39" s="541"/>
      <c r="TL39" s="541"/>
      <c r="TM39" s="541"/>
      <c r="TN39" s="541"/>
      <c r="TO39" s="541"/>
      <c r="TP39" s="541"/>
      <c r="TQ39" s="541"/>
      <c r="TR39" s="541"/>
      <c r="TS39" s="541"/>
      <c r="TT39" s="541"/>
      <c r="TU39" s="541"/>
      <c r="TV39" s="541"/>
      <c r="TW39" s="541"/>
      <c r="TX39" s="541"/>
      <c r="TY39" s="541"/>
      <c r="TZ39" s="541"/>
      <c r="UA39" s="541"/>
      <c r="UB39" s="541"/>
      <c r="UC39" s="541"/>
      <c r="UD39" s="541"/>
      <c r="UE39" s="541"/>
      <c r="UF39" s="541"/>
      <c r="UG39" s="541"/>
      <c r="UH39" s="541"/>
      <c r="UI39" s="541"/>
      <c r="UJ39" s="541"/>
      <c r="UK39" s="541"/>
      <c r="UL39" s="541"/>
      <c r="UM39" s="541"/>
      <c r="UN39" s="541"/>
      <c r="UO39" s="541"/>
      <c r="UP39" s="541"/>
      <c r="UQ39" s="541"/>
      <c r="UR39" s="541"/>
      <c r="US39" s="541"/>
      <c r="UT39" s="541"/>
      <c r="UU39" s="541"/>
      <c r="UV39" s="541"/>
      <c r="UW39" s="541"/>
      <c r="UX39" s="541"/>
      <c r="UY39" s="541"/>
      <c r="UZ39" s="541"/>
      <c r="VA39" s="541"/>
      <c r="VB39" s="541"/>
      <c r="VC39" s="541"/>
      <c r="VD39" s="541"/>
      <c r="VE39" s="541"/>
      <c r="VF39" s="541"/>
      <c r="VG39" s="541"/>
      <c r="VH39" s="541"/>
      <c r="VI39" s="541"/>
      <c r="VJ39" s="541"/>
      <c r="VK39" s="541"/>
      <c r="VL39" s="541"/>
      <c r="VM39" s="541"/>
      <c r="VN39" s="541"/>
      <c r="VO39" s="541"/>
      <c r="VP39" s="541"/>
      <c r="VQ39" s="541"/>
      <c r="VR39" s="541"/>
      <c r="VS39" s="541"/>
      <c r="VT39" s="541"/>
      <c r="VU39" s="541"/>
      <c r="VV39" s="541"/>
      <c r="VW39" s="541"/>
      <c r="VX39" s="541"/>
      <c r="VY39" s="541"/>
      <c r="VZ39" s="541"/>
      <c r="WA39" s="541"/>
      <c r="WB39" s="541"/>
      <c r="WC39" s="541"/>
      <c r="WD39" s="541"/>
      <c r="WE39" s="541"/>
      <c r="WF39" s="541"/>
      <c r="WG39" s="541"/>
      <c r="WH39" s="541"/>
      <c r="WI39" s="541"/>
      <c r="WJ39" s="541"/>
      <c r="WK39" s="541"/>
      <c r="WL39" s="541"/>
      <c r="WM39" s="541"/>
      <c r="WN39" s="541"/>
      <c r="WO39" s="541"/>
      <c r="WP39" s="541"/>
      <c r="WQ39" s="541"/>
      <c r="WR39" s="541"/>
      <c r="WS39" s="541"/>
      <c r="WT39" s="541"/>
      <c r="WU39" s="541"/>
      <c r="WV39" s="541"/>
      <c r="WW39" s="541"/>
      <c r="WX39" s="541"/>
      <c r="WY39" s="541"/>
      <c r="WZ39" s="541"/>
      <c r="XA39" s="541"/>
      <c r="XB39" s="541"/>
      <c r="XC39" s="541"/>
      <c r="XD39" s="541"/>
      <c r="XE39" s="541"/>
      <c r="XF39" s="541"/>
      <c r="XG39" s="541"/>
      <c r="XH39" s="541"/>
      <c r="XI39" s="541"/>
      <c r="XJ39" s="541"/>
      <c r="XK39" s="541"/>
      <c r="XL39" s="541"/>
      <c r="XM39" s="541"/>
      <c r="XN39" s="541"/>
      <c r="XO39" s="541"/>
      <c r="XP39" s="541"/>
      <c r="XQ39" s="541"/>
      <c r="XR39" s="541"/>
      <c r="XS39" s="541"/>
      <c r="XT39" s="541"/>
      <c r="XU39" s="541"/>
      <c r="XV39" s="541"/>
      <c r="XW39" s="541"/>
      <c r="XX39" s="541"/>
      <c r="XY39" s="541"/>
      <c r="XZ39" s="541"/>
      <c r="YA39" s="541"/>
      <c r="YB39" s="541"/>
      <c r="YC39" s="541"/>
      <c r="YD39" s="541"/>
      <c r="YE39" s="541"/>
      <c r="YF39" s="541"/>
      <c r="YG39" s="541"/>
      <c r="YH39" s="541"/>
      <c r="YI39" s="541"/>
      <c r="YJ39" s="541"/>
      <c r="YK39" s="541"/>
      <c r="YL39" s="541"/>
      <c r="YM39" s="541"/>
      <c r="YN39" s="541"/>
      <c r="YO39" s="541"/>
      <c r="YP39" s="541"/>
      <c r="YQ39" s="541"/>
      <c r="YR39" s="541"/>
      <c r="YS39" s="541"/>
      <c r="YT39" s="541"/>
      <c r="YU39" s="541"/>
      <c r="YV39" s="541"/>
      <c r="YW39" s="541"/>
      <c r="YX39" s="541"/>
      <c r="YY39" s="541"/>
      <c r="YZ39" s="541"/>
      <c r="ZA39" s="541"/>
      <c r="ZB39" s="541"/>
      <c r="ZC39" s="541"/>
      <c r="ZD39" s="541"/>
      <c r="ZE39" s="541"/>
      <c r="ZF39" s="541"/>
      <c r="ZG39" s="541"/>
      <c r="ZH39" s="541"/>
      <c r="ZI39" s="541"/>
      <c r="ZJ39" s="541"/>
      <c r="ZK39" s="541"/>
      <c r="ZL39" s="541"/>
      <c r="ZM39" s="541"/>
      <c r="ZN39" s="541"/>
      <c r="ZO39" s="541"/>
      <c r="ZP39" s="541"/>
      <c r="ZQ39" s="541"/>
      <c r="ZR39" s="541"/>
      <c r="ZS39" s="541"/>
      <c r="ZT39" s="541"/>
      <c r="ZU39" s="541"/>
      <c r="ZV39" s="541"/>
      <c r="ZW39" s="541"/>
      <c r="ZX39" s="541"/>
      <c r="ZY39" s="541"/>
      <c r="ZZ39" s="541"/>
      <c r="AAA39" s="541"/>
      <c r="AAB39" s="541"/>
      <c r="AAC39" s="541"/>
      <c r="AAD39" s="541"/>
      <c r="AAE39" s="541"/>
      <c r="AAF39" s="541"/>
      <c r="AAG39" s="541"/>
      <c r="AAH39" s="541"/>
      <c r="AAI39" s="541"/>
      <c r="AAJ39" s="541"/>
      <c r="AAK39" s="541"/>
      <c r="AAL39" s="541"/>
      <c r="AAM39" s="541"/>
      <c r="AAN39" s="541"/>
      <c r="AAO39" s="541"/>
      <c r="AAP39" s="541"/>
      <c r="AAQ39" s="541"/>
      <c r="AAR39" s="541"/>
      <c r="AAS39" s="541"/>
      <c r="AAT39" s="541"/>
      <c r="AAU39" s="541"/>
      <c r="AAV39" s="541"/>
      <c r="AAW39" s="541"/>
      <c r="AAX39" s="541"/>
      <c r="AAY39" s="541"/>
      <c r="AAZ39" s="541"/>
      <c r="ABA39" s="541"/>
      <c r="ABB39" s="541"/>
      <c r="ABC39" s="541"/>
      <c r="ABD39" s="541"/>
      <c r="ABE39" s="541"/>
      <c r="ABF39" s="541"/>
      <c r="ABG39" s="541"/>
      <c r="ABH39" s="541"/>
      <c r="ABI39" s="541"/>
      <c r="ABJ39" s="541"/>
      <c r="ABK39" s="541"/>
      <c r="ABL39" s="541"/>
      <c r="ABM39" s="541"/>
      <c r="ABN39" s="541"/>
      <c r="ABO39" s="541"/>
      <c r="ABP39" s="541"/>
      <c r="ABQ39" s="541"/>
      <c r="ABR39" s="541"/>
      <c r="ABS39" s="541"/>
      <c r="ABT39" s="541"/>
      <c r="ABU39" s="541"/>
      <c r="ABV39" s="541"/>
      <c r="ABW39" s="541"/>
      <c r="ABX39" s="541"/>
      <c r="ABY39" s="541"/>
      <c r="ABZ39" s="541"/>
      <c r="ACA39" s="541"/>
      <c r="ACB39" s="541"/>
      <c r="ACC39" s="541"/>
      <c r="ACD39" s="541"/>
      <c r="ACE39" s="541"/>
      <c r="ACF39" s="541"/>
      <c r="ACG39" s="541"/>
      <c r="ACH39" s="541"/>
      <c r="ACI39" s="541"/>
      <c r="ACJ39" s="541"/>
      <c r="ACK39" s="541"/>
      <c r="ACL39" s="541"/>
      <c r="ACM39" s="541"/>
      <c r="ACN39" s="541"/>
      <c r="ACO39" s="541"/>
      <c r="ACP39" s="541"/>
      <c r="ACQ39" s="541"/>
      <c r="ACR39" s="541"/>
      <c r="ACS39" s="541"/>
      <c r="ACT39" s="541"/>
      <c r="ACU39" s="541"/>
      <c r="ACV39" s="541"/>
      <c r="ACW39" s="541"/>
      <c r="ACX39" s="541"/>
      <c r="ACY39" s="541"/>
      <c r="ACZ39" s="541"/>
      <c r="ADA39" s="541"/>
      <c r="ADB39" s="541"/>
      <c r="ADC39" s="541"/>
      <c r="ADD39" s="541"/>
      <c r="ADE39" s="541"/>
      <c r="ADF39" s="541"/>
      <c r="ADG39" s="541"/>
      <c r="ADH39" s="541"/>
      <c r="ADI39" s="541"/>
      <c r="ADJ39" s="541"/>
      <c r="ADK39" s="541"/>
      <c r="ADL39" s="541"/>
      <c r="ADM39" s="541"/>
      <c r="ADN39" s="541"/>
      <c r="ADO39" s="541"/>
      <c r="ADP39" s="541"/>
      <c r="ADQ39" s="541"/>
      <c r="ADR39" s="541"/>
      <c r="ADS39" s="541"/>
      <c r="ADT39" s="541"/>
      <c r="ADU39" s="541"/>
      <c r="ADV39" s="541"/>
      <c r="ADW39" s="541"/>
      <c r="ADX39" s="541"/>
      <c r="ADY39" s="541"/>
      <c r="ADZ39" s="541"/>
      <c r="AEA39" s="541"/>
      <c r="AEB39" s="541"/>
      <c r="AEC39" s="541"/>
      <c r="AED39" s="541"/>
      <c r="AEE39" s="541"/>
      <c r="AEF39" s="541"/>
      <c r="AEG39" s="541"/>
      <c r="AEH39" s="541"/>
      <c r="AEI39" s="541"/>
      <c r="AEJ39" s="541"/>
      <c r="AEK39" s="541"/>
      <c r="AEL39" s="541"/>
      <c r="AEM39" s="541"/>
      <c r="AEN39" s="541"/>
      <c r="AEO39" s="541"/>
      <c r="AEP39" s="541"/>
      <c r="AEQ39" s="541"/>
      <c r="AER39" s="541"/>
      <c r="AES39" s="541"/>
      <c r="AET39" s="541"/>
      <c r="AEU39" s="541"/>
      <c r="AEV39" s="541"/>
      <c r="AEW39" s="541"/>
      <c r="AEX39" s="541"/>
      <c r="AEY39" s="541"/>
      <c r="AEZ39" s="541"/>
      <c r="AFA39" s="541"/>
      <c r="AFB39" s="541"/>
      <c r="AFC39" s="541"/>
      <c r="AFD39" s="541"/>
      <c r="AFE39" s="541"/>
      <c r="AFF39" s="541"/>
      <c r="AFG39" s="541"/>
      <c r="AFH39" s="541"/>
      <c r="AFI39" s="541"/>
      <c r="AFJ39" s="541"/>
      <c r="AFK39" s="541"/>
      <c r="AFL39" s="541"/>
      <c r="AFM39" s="541"/>
      <c r="AFN39" s="541"/>
      <c r="AFO39" s="541"/>
      <c r="AFP39" s="541"/>
      <c r="AFQ39" s="541"/>
      <c r="AFR39" s="541"/>
      <c r="AFS39" s="541"/>
      <c r="AFT39" s="541"/>
      <c r="AFU39" s="541"/>
      <c r="AFV39" s="541"/>
      <c r="AFW39" s="541"/>
      <c r="AFX39" s="541"/>
      <c r="AFY39" s="541"/>
      <c r="AFZ39" s="541"/>
      <c r="AGA39" s="541"/>
      <c r="AGB39" s="541"/>
      <c r="AGC39" s="541"/>
      <c r="AGD39" s="541"/>
      <c r="AGE39" s="541"/>
      <c r="AGF39" s="541"/>
      <c r="AGG39" s="541"/>
      <c r="AGH39" s="541"/>
      <c r="AGI39" s="541"/>
      <c r="AGJ39" s="541"/>
      <c r="AGK39" s="541"/>
      <c r="AGL39" s="541"/>
      <c r="AGM39" s="541"/>
      <c r="AGN39" s="541"/>
      <c r="AGO39" s="541"/>
      <c r="AGP39" s="541"/>
      <c r="AGQ39" s="541"/>
      <c r="AGR39" s="541"/>
      <c r="AGS39" s="541"/>
      <c r="AGT39" s="541"/>
      <c r="AGU39" s="541"/>
      <c r="AGV39" s="541"/>
      <c r="AGW39" s="541"/>
      <c r="AGX39" s="541"/>
      <c r="AGY39" s="541"/>
      <c r="AGZ39" s="541"/>
      <c r="AHA39" s="541"/>
      <c r="AHB39" s="541"/>
      <c r="AHC39" s="541"/>
      <c r="AHD39" s="541"/>
      <c r="AHE39" s="541"/>
      <c r="AHF39" s="541"/>
      <c r="AHG39" s="541"/>
      <c r="AHH39" s="541"/>
      <c r="AHI39" s="541"/>
      <c r="AHJ39" s="541"/>
      <c r="AHK39" s="541"/>
      <c r="AHL39" s="541"/>
      <c r="AHM39" s="541"/>
      <c r="AHN39" s="541"/>
      <c r="AHO39" s="541"/>
      <c r="AHP39" s="541"/>
      <c r="AHQ39" s="541"/>
      <c r="AHR39" s="541"/>
      <c r="AHS39" s="541"/>
      <c r="AHT39" s="541"/>
      <c r="AHU39" s="541"/>
      <c r="AHV39" s="541"/>
      <c r="AHW39" s="541"/>
      <c r="AHX39" s="541"/>
      <c r="AHY39" s="541"/>
      <c r="AHZ39" s="541"/>
      <c r="AIA39" s="541"/>
      <c r="AIB39" s="541"/>
      <c r="AIC39" s="541"/>
      <c r="AID39" s="541"/>
      <c r="AIE39" s="541"/>
      <c r="AIF39" s="541"/>
      <c r="AIG39" s="541"/>
      <c r="AIH39" s="541"/>
      <c r="AII39" s="541"/>
      <c r="AIJ39" s="541"/>
      <c r="AIK39" s="541"/>
      <c r="AIL39" s="541"/>
      <c r="AIM39" s="541"/>
      <c r="AIN39" s="541"/>
      <c r="AIO39" s="541"/>
      <c r="AIP39" s="541"/>
      <c r="AIQ39" s="541"/>
      <c r="AIR39" s="541"/>
      <c r="AIS39" s="541"/>
      <c r="AIT39" s="541"/>
      <c r="AIU39" s="541"/>
      <c r="AIV39" s="541"/>
      <c r="AIW39" s="541"/>
      <c r="AIX39" s="541"/>
      <c r="AIY39" s="541"/>
      <c r="AIZ39" s="541"/>
      <c r="AJA39" s="541"/>
      <c r="AJB39" s="541"/>
      <c r="AJC39" s="541"/>
      <c r="AJD39" s="541"/>
      <c r="AJE39" s="541"/>
      <c r="AJF39" s="541"/>
      <c r="AJG39" s="541"/>
      <c r="AJH39" s="541"/>
      <c r="AJI39" s="541"/>
      <c r="AJJ39" s="541"/>
      <c r="AJK39" s="541"/>
      <c r="AJL39" s="541"/>
      <c r="AJM39" s="541"/>
      <c r="AJN39" s="541"/>
      <c r="AJO39" s="541"/>
      <c r="AJP39" s="541"/>
      <c r="AJQ39" s="541"/>
      <c r="AJR39" s="541"/>
      <c r="AJS39" s="541"/>
      <c r="AJT39" s="541"/>
      <c r="AJU39" s="541"/>
      <c r="AJV39" s="541"/>
      <c r="AJW39" s="541"/>
      <c r="AJX39" s="541"/>
      <c r="AJY39" s="541"/>
      <c r="AJZ39" s="541"/>
      <c r="AKA39" s="541"/>
      <c r="AKB39" s="541"/>
      <c r="AKC39" s="541"/>
      <c r="AKD39" s="541"/>
      <c r="AKE39" s="541"/>
      <c r="AKF39" s="541"/>
      <c r="AKG39" s="541"/>
      <c r="AKH39" s="541"/>
      <c r="AKI39" s="541"/>
      <c r="AKJ39" s="541"/>
      <c r="AKK39" s="541"/>
      <c r="AKL39" s="541"/>
      <c r="AKM39" s="541"/>
      <c r="AKN39" s="541"/>
      <c r="AKO39" s="541"/>
      <c r="AKP39" s="541"/>
      <c r="AKQ39" s="541"/>
      <c r="AKR39" s="541"/>
      <c r="AKS39" s="541"/>
      <c r="AKT39" s="541"/>
      <c r="AKU39" s="541"/>
      <c r="AKV39" s="541"/>
      <c r="AKW39" s="541"/>
      <c r="AKX39" s="541"/>
      <c r="AKY39" s="541"/>
      <c r="AKZ39" s="541"/>
      <c r="ALA39" s="541"/>
      <c r="ALB39" s="541"/>
      <c r="ALC39" s="541"/>
      <c r="ALD39" s="541"/>
      <c r="ALE39" s="541"/>
      <c r="ALF39" s="541"/>
      <c r="ALG39" s="541"/>
      <c r="ALH39" s="541"/>
      <c r="ALI39" s="541"/>
      <c r="ALJ39" s="541"/>
      <c r="ALK39" s="541"/>
      <c r="ALL39" s="541"/>
      <c r="ALM39" s="541"/>
      <c r="ALN39" s="541"/>
      <c r="ALO39" s="541"/>
      <c r="ALP39" s="541"/>
      <c r="ALQ39" s="541"/>
      <c r="ALR39" s="541"/>
      <c r="ALS39" s="541"/>
      <c r="ALT39" s="541"/>
      <c r="ALU39" s="541"/>
      <c r="ALV39" s="541"/>
      <c r="ALW39" s="541"/>
      <c r="ALX39" s="541"/>
      <c r="ALY39" s="541"/>
      <c r="ALZ39" s="541"/>
      <c r="AMA39" s="541"/>
      <c r="AMB39" s="541"/>
      <c r="AMC39" s="541"/>
      <c r="AMD39" s="541"/>
      <c r="AME39" s="541"/>
      <c r="AMF39" s="541"/>
      <c r="AMG39" s="541"/>
      <c r="AMH39" s="541"/>
      <c r="AMI39" s="541"/>
      <c r="AMJ39" s="541"/>
      <c r="AMK39" s="541"/>
      <c r="AML39" s="541"/>
      <c r="AMM39" s="541"/>
      <c r="AMN39" s="541"/>
      <c r="AMO39" s="541"/>
      <c r="AMP39" s="541"/>
      <c r="AMQ39" s="541"/>
      <c r="AMR39" s="541"/>
      <c r="AMS39" s="541"/>
      <c r="AMT39" s="541"/>
      <c r="AMU39" s="541"/>
      <c r="AMV39" s="541"/>
      <c r="AMW39" s="541"/>
      <c r="AMX39" s="541"/>
      <c r="AMY39" s="541"/>
      <c r="AMZ39" s="541"/>
      <c r="ANA39" s="541"/>
      <c r="ANB39" s="541"/>
      <c r="ANC39" s="541"/>
      <c r="AND39" s="541"/>
      <c r="ANE39" s="541"/>
      <c r="ANF39" s="541"/>
      <c r="ANG39" s="541"/>
      <c r="ANH39" s="541"/>
      <c r="ANI39" s="541"/>
      <c r="ANJ39" s="541"/>
      <c r="ANK39" s="541"/>
      <c r="ANL39" s="541"/>
      <c r="ANM39" s="541"/>
      <c r="ANN39" s="541"/>
      <c r="ANO39" s="541"/>
      <c r="ANP39" s="541"/>
      <c r="ANQ39" s="541"/>
      <c r="ANR39" s="541"/>
      <c r="ANS39" s="541"/>
      <c r="ANT39" s="541"/>
      <c r="ANU39" s="541"/>
      <c r="ANV39" s="541"/>
      <c r="ANW39" s="541"/>
      <c r="ANX39" s="541"/>
      <c r="ANY39" s="541"/>
      <c r="ANZ39" s="541"/>
      <c r="AOA39" s="541"/>
      <c r="AOB39" s="541"/>
      <c r="AOC39" s="541"/>
      <c r="AOD39" s="541"/>
      <c r="AOE39" s="541"/>
      <c r="AOF39" s="541"/>
      <c r="AOG39" s="541"/>
      <c r="AOH39" s="541"/>
      <c r="AOI39" s="541"/>
      <c r="AOJ39" s="541"/>
      <c r="AOK39" s="541"/>
      <c r="AOL39" s="541"/>
      <c r="AOM39" s="541"/>
      <c r="AON39" s="541"/>
      <c r="AOO39" s="541"/>
      <c r="AOP39" s="541"/>
      <c r="AOQ39" s="541"/>
      <c r="AOR39" s="541"/>
      <c r="AOS39" s="541"/>
      <c r="AOT39" s="541"/>
      <c r="AOU39" s="541"/>
      <c r="AOV39" s="541"/>
      <c r="AOW39" s="541"/>
      <c r="AOX39" s="541"/>
      <c r="AOY39" s="541"/>
      <c r="AOZ39" s="541"/>
      <c r="APA39" s="541"/>
      <c r="APB39" s="541"/>
      <c r="APC39" s="541"/>
      <c r="APD39" s="541"/>
      <c r="APE39" s="541"/>
      <c r="APF39" s="541"/>
      <c r="APG39" s="541"/>
      <c r="APH39" s="541"/>
      <c r="API39" s="541"/>
      <c r="APJ39" s="541"/>
      <c r="APK39" s="541"/>
      <c r="APL39" s="541"/>
      <c r="APM39" s="541"/>
      <c r="APN39" s="541"/>
      <c r="APO39" s="541"/>
      <c r="APP39" s="541"/>
      <c r="APQ39" s="541"/>
      <c r="APR39" s="541"/>
      <c r="APS39" s="541"/>
      <c r="APT39" s="541"/>
      <c r="APU39" s="541"/>
      <c r="APV39" s="541"/>
      <c r="APW39" s="541"/>
      <c r="APX39" s="541"/>
      <c r="APY39" s="541"/>
      <c r="APZ39" s="541"/>
      <c r="AQA39" s="541"/>
      <c r="AQB39" s="541"/>
      <c r="AQC39" s="541"/>
      <c r="AQD39" s="541"/>
      <c r="AQE39" s="541"/>
      <c r="AQF39" s="541"/>
      <c r="AQG39" s="541"/>
      <c r="AQH39" s="541"/>
      <c r="AQI39" s="541"/>
      <c r="AQJ39" s="541"/>
      <c r="AQK39" s="541"/>
      <c r="AQL39" s="541"/>
      <c r="AQM39" s="541"/>
      <c r="AQN39" s="541"/>
      <c r="AQO39" s="541"/>
      <c r="AQP39" s="541"/>
      <c r="AQQ39" s="541"/>
      <c r="AQR39" s="541"/>
      <c r="AQS39" s="541"/>
      <c r="AQT39" s="541"/>
      <c r="AQU39" s="541"/>
      <c r="AQV39" s="541"/>
      <c r="AQW39" s="541"/>
      <c r="AQX39" s="541"/>
      <c r="AQY39" s="541"/>
      <c r="AQZ39" s="541"/>
      <c r="ARA39" s="541"/>
      <c r="ARB39" s="541"/>
      <c r="ARC39" s="541"/>
      <c r="ARD39" s="541"/>
      <c r="ARE39" s="541"/>
      <c r="ARF39" s="541"/>
      <c r="ARG39" s="541"/>
      <c r="ARH39" s="541"/>
      <c r="ARI39" s="541"/>
      <c r="ARJ39" s="541"/>
      <c r="ARK39" s="541"/>
      <c r="ARL39" s="541"/>
      <c r="ARM39" s="541"/>
      <c r="ARN39" s="541"/>
      <c r="ARO39" s="541"/>
      <c r="ARP39" s="541"/>
      <c r="ARQ39" s="541"/>
      <c r="ARR39" s="541"/>
      <c r="ARS39" s="541"/>
      <c r="ART39" s="541"/>
    </row>
    <row r="40" spans="1:1164" s="658" customFormat="1">
      <c r="A40" s="611" t="s">
        <v>215</v>
      </c>
      <c r="B40" s="603"/>
      <c r="C40" s="687"/>
      <c r="D40" s="581">
        <f>SUM(D32:D39)</f>
        <v>43079675</v>
      </c>
      <c r="E40" s="598"/>
      <c r="F40" s="581">
        <f>SUM(F32:F39)</f>
        <v>4751650</v>
      </c>
      <c r="G40" s="598"/>
      <c r="H40" s="581">
        <f>SUM(H32:H39)</f>
        <v>7293974</v>
      </c>
      <c r="I40" s="598"/>
      <c r="J40" s="581">
        <f>SUM(J32:J39)</f>
        <v>34100108</v>
      </c>
      <c r="K40" s="598"/>
      <c r="L40" s="581">
        <f>SUM(L32:L39)</f>
        <v>16886807</v>
      </c>
      <c r="M40" s="598"/>
      <c r="N40" s="581">
        <f>SUM(N32:N39)</f>
        <v>31813163</v>
      </c>
      <c r="O40" s="598"/>
      <c r="P40" s="581">
        <f>SUM(P32:P39)</f>
        <v>25946538</v>
      </c>
      <c r="Q40" s="598"/>
      <c r="R40" s="581">
        <f>SUM(R32:R39)</f>
        <v>13669815</v>
      </c>
      <c r="S40" s="598"/>
      <c r="T40" s="581">
        <f>SUM(T32:T39)</f>
        <v>4218249</v>
      </c>
      <c r="U40" s="579"/>
      <c r="V40" s="581">
        <f>SUM(V32:V39)</f>
        <v>32454090</v>
      </c>
      <c r="W40" s="579"/>
      <c r="X40" s="581">
        <f>SUM(X32:X39)</f>
        <v>93272267</v>
      </c>
      <c r="Y40" s="691"/>
      <c r="Z40" s="581">
        <f>SUM(Z32:Z39)</f>
        <v>91270520</v>
      </c>
      <c r="AA40" s="579"/>
      <c r="AB40" s="581">
        <f>SUM(AB32:AB39)</f>
        <v>116958547</v>
      </c>
      <c r="AC40" s="598"/>
      <c r="AD40" s="581">
        <f>SUM(AD32:AD39)</f>
        <v>159090584</v>
      </c>
      <c r="AE40" s="598"/>
      <c r="AF40" s="581">
        <f>SUM(AF32:AF39)</f>
        <v>125066082</v>
      </c>
      <c r="AG40" s="579"/>
      <c r="AH40" s="581">
        <f>SUM(AH32:AH39)</f>
        <v>160598253</v>
      </c>
      <c r="AI40" s="579"/>
      <c r="AJ40" s="581">
        <f>SUM(AJ32:AJ39)</f>
        <v>169280661</v>
      </c>
      <c r="AK40" s="661"/>
      <c r="AL40" s="581">
        <f>SUM(AL32:AL39)</f>
        <v>132465272</v>
      </c>
      <c r="AM40" s="669"/>
      <c r="AN40" s="581">
        <f>SUM(AN32:AN39)</f>
        <v>190473760</v>
      </c>
      <c r="AO40" s="579"/>
      <c r="AP40" s="581">
        <f>SUM(AP32:AP39)</f>
        <v>200067670</v>
      </c>
      <c r="AQ40" s="579"/>
      <c r="AR40" s="581">
        <f>SUM(AR32:AR39)</f>
        <v>283073265.61000001</v>
      </c>
      <c r="AS40" s="579"/>
      <c r="AT40" s="581">
        <f>SUM(AT32:AT39)</f>
        <v>390744592</v>
      </c>
      <c r="AU40" s="579"/>
      <c r="AV40" s="581">
        <f>SUM(AV32:AV39)</f>
        <v>374330974</v>
      </c>
      <c r="AW40" s="581"/>
      <c r="AX40" s="581">
        <f>SUM(AX32:AX39)</f>
        <v>351243980</v>
      </c>
      <c r="AY40" s="581"/>
      <c r="AZ40" s="581">
        <f>SUM(AZ32:AZ39)</f>
        <v>309146653</v>
      </c>
      <c r="BA40" s="664"/>
      <c r="BB40" s="581"/>
      <c r="BC40" s="581"/>
      <c r="BD40" s="581"/>
      <c r="BE40" s="664"/>
      <c r="BF40" s="581"/>
      <c r="BG40" s="581"/>
      <c r="BH40" s="581"/>
      <c r="BI40" s="664"/>
      <c r="BJ40" s="581"/>
      <c r="BK40" s="581">
        <f t="shared" si="3"/>
        <v>3356545499.6100001</v>
      </c>
      <c r="BL40" s="541"/>
      <c r="BM40" s="42"/>
      <c r="BN40" s="624"/>
      <c r="BO40" s="624"/>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41"/>
      <c r="IK40" s="541"/>
      <c r="IL40" s="541"/>
      <c r="IM40" s="541"/>
      <c r="IN40" s="541"/>
      <c r="IO40" s="541"/>
      <c r="IP40" s="541"/>
      <c r="IQ40" s="541"/>
      <c r="IR40" s="541"/>
      <c r="IS40" s="541"/>
      <c r="IT40" s="541"/>
      <c r="IU40" s="541"/>
      <c r="IV40" s="541"/>
      <c r="IW40" s="541"/>
      <c r="IX40" s="541"/>
      <c r="IY40" s="541"/>
      <c r="IZ40" s="541"/>
      <c r="JA40" s="541"/>
      <c r="JB40" s="541"/>
      <c r="JC40" s="541"/>
      <c r="JD40" s="541"/>
      <c r="JE40" s="541"/>
      <c r="JF40" s="541"/>
      <c r="JG40" s="541"/>
      <c r="JH40" s="541"/>
      <c r="JI40" s="541"/>
      <c r="JJ40" s="541"/>
      <c r="JK40" s="541"/>
      <c r="JL40" s="541"/>
      <c r="JM40" s="541"/>
      <c r="JN40" s="541"/>
      <c r="JO40" s="541"/>
      <c r="JP40" s="541"/>
      <c r="JQ40" s="541"/>
      <c r="JR40" s="541"/>
      <c r="JS40" s="541"/>
      <c r="JT40" s="541"/>
      <c r="JU40" s="541"/>
      <c r="JV40" s="541"/>
      <c r="JW40" s="541"/>
      <c r="JX40" s="541"/>
      <c r="JY40" s="541"/>
      <c r="JZ40" s="541"/>
      <c r="KA40" s="541"/>
      <c r="KB40" s="541"/>
      <c r="KC40" s="541"/>
      <c r="KD40" s="541"/>
      <c r="KE40" s="541"/>
      <c r="KF40" s="541"/>
      <c r="KG40" s="541"/>
      <c r="KH40" s="541"/>
      <c r="KI40" s="541"/>
      <c r="KJ40" s="541"/>
      <c r="KK40" s="541"/>
      <c r="KL40" s="541"/>
      <c r="KM40" s="541"/>
      <c r="KN40" s="541"/>
      <c r="KO40" s="541"/>
      <c r="KP40" s="541"/>
      <c r="KQ40" s="541"/>
      <c r="KR40" s="541"/>
      <c r="KS40" s="541"/>
      <c r="KT40" s="541"/>
      <c r="KU40" s="541"/>
      <c r="KV40" s="541"/>
      <c r="KW40" s="541"/>
      <c r="KX40" s="541"/>
      <c r="KY40" s="541"/>
      <c r="KZ40" s="541"/>
      <c r="LA40" s="541"/>
      <c r="LB40" s="541"/>
      <c r="LC40" s="541"/>
      <c r="LD40" s="541"/>
      <c r="LE40" s="541"/>
      <c r="LF40" s="541"/>
      <c r="LG40" s="541"/>
      <c r="LH40" s="541"/>
      <c r="LI40" s="541"/>
      <c r="LJ40" s="541"/>
      <c r="LK40" s="541"/>
      <c r="LL40" s="541"/>
      <c r="LM40" s="541"/>
      <c r="LN40" s="541"/>
      <c r="LO40" s="541"/>
      <c r="LP40" s="541"/>
      <c r="LQ40" s="541"/>
      <c r="LR40" s="541"/>
      <c r="LS40" s="541"/>
      <c r="LT40" s="541"/>
      <c r="LU40" s="541"/>
      <c r="LV40" s="541"/>
      <c r="LW40" s="541"/>
      <c r="LX40" s="541"/>
      <c r="LY40" s="541"/>
      <c r="LZ40" s="541"/>
      <c r="MA40" s="541"/>
      <c r="MB40" s="541"/>
      <c r="MC40" s="541"/>
      <c r="MD40" s="541"/>
      <c r="ME40" s="541"/>
      <c r="MF40" s="541"/>
      <c r="MG40" s="541"/>
      <c r="MH40" s="541"/>
      <c r="MI40" s="541"/>
      <c r="MJ40" s="541"/>
      <c r="MK40" s="541"/>
      <c r="ML40" s="541"/>
      <c r="MM40" s="541"/>
      <c r="MN40" s="541"/>
      <c r="MO40" s="541"/>
      <c r="MP40" s="541"/>
      <c r="MQ40" s="541"/>
      <c r="MR40" s="541"/>
      <c r="MS40" s="541"/>
      <c r="MT40" s="541"/>
      <c r="MU40" s="541"/>
      <c r="MV40" s="541"/>
      <c r="MW40" s="541"/>
      <c r="MX40" s="541"/>
      <c r="MY40" s="541"/>
      <c r="MZ40" s="541"/>
      <c r="NA40" s="541"/>
      <c r="NB40" s="541"/>
      <c r="NC40" s="541"/>
      <c r="ND40" s="541"/>
      <c r="NE40" s="541"/>
      <c r="NF40" s="541"/>
      <c r="NG40" s="541"/>
      <c r="NH40" s="541"/>
      <c r="NI40" s="541"/>
      <c r="NJ40" s="541"/>
      <c r="NK40" s="541"/>
      <c r="NL40" s="541"/>
      <c r="NM40" s="541"/>
      <c r="NN40" s="541"/>
      <c r="NO40" s="541"/>
      <c r="NP40" s="541"/>
      <c r="NQ40" s="541"/>
      <c r="NR40" s="541"/>
      <c r="NS40" s="541"/>
      <c r="NT40" s="541"/>
      <c r="NU40" s="541"/>
      <c r="NV40" s="541"/>
      <c r="NW40" s="541"/>
      <c r="NX40" s="541"/>
      <c r="NY40" s="541"/>
      <c r="NZ40" s="541"/>
      <c r="OA40" s="541"/>
      <c r="OB40" s="541"/>
      <c r="OC40" s="541"/>
      <c r="OD40" s="541"/>
      <c r="OE40" s="541"/>
      <c r="OF40" s="541"/>
      <c r="OG40" s="541"/>
      <c r="OH40" s="541"/>
      <c r="OI40" s="541"/>
      <c r="OJ40" s="541"/>
      <c r="OK40" s="541"/>
      <c r="OL40" s="541"/>
      <c r="OM40" s="541"/>
      <c r="ON40" s="541"/>
      <c r="OO40" s="541"/>
      <c r="OP40" s="541"/>
      <c r="OQ40" s="541"/>
      <c r="OR40" s="541"/>
      <c r="OS40" s="541"/>
      <c r="OT40" s="541"/>
      <c r="OU40" s="541"/>
      <c r="OV40" s="541"/>
      <c r="OW40" s="541"/>
      <c r="OX40" s="541"/>
      <c r="OY40" s="541"/>
      <c r="OZ40" s="541"/>
      <c r="PA40" s="541"/>
      <c r="PB40" s="541"/>
      <c r="PC40" s="541"/>
      <c r="PD40" s="541"/>
      <c r="PE40" s="541"/>
      <c r="PF40" s="541"/>
      <c r="PG40" s="541"/>
      <c r="PH40" s="541"/>
      <c r="PI40" s="541"/>
      <c r="PJ40" s="541"/>
      <c r="PK40" s="541"/>
      <c r="PL40" s="541"/>
      <c r="PM40" s="541"/>
      <c r="PN40" s="541"/>
      <c r="PO40" s="541"/>
      <c r="PP40" s="541"/>
      <c r="PQ40" s="541"/>
      <c r="PR40" s="541"/>
      <c r="PS40" s="541"/>
      <c r="PT40" s="541"/>
      <c r="PU40" s="541"/>
      <c r="PV40" s="541"/>
      <c r="PW40" s="541"/>
      <c r="PX40" s="541"/>
      <c r="PY40" s="541"/>
      <c r="PZ40" s="541"/>
      <c r="QA40" s="541"/>
      <c r="QB40" s="541"/>
      <c r="QC40" s="541"/>
      <c r="QD40" s="541"/>
      <c r="QE40" s="541"/>
      <c r="QF40" s="541"/>
      <c r="QG40" s="541"/>
      <c r="QH40" s="541"/>
      <c r="QI40" s="541"/>
      <c r="QJ40" s="541"/>
      <c r="QK40" s="541"/>
      <c r="QL40" s="541"/>
      <c r="QM40" s="541"/>
      <c r="QN40" s="541"/>
      <c r="QO40" s="541"/>
      <c r="QP40" s="541"/>
      <c r="QQ40" s="541"/>
      <c r="QR40" s="541"/>
      <c r="QS40" s="541"/>
      <c r="QT40" s="541"/>
      <c r="QU40" s="541"/>
      <c r="QV40" s="541"/>
      <c r="QW40" s="541"/>
      <c r="QX40" s="541"/>
      <c r="QY40" s="541"/>
      <c r="QZ40" s="541"/>
      <c r="RA40" s="541"/>
      <c r="RB40" s="541"/>
      <c r="RC40" s="541"/>
      <c r="RD40" s="541"/>
      <c r="RE40" s="541"/>
      <c r="RF40" s="541"/>
      <c r="RG40" s="541"/>
      <c r="RH40" s="541"/>
      <c r="RI40" s="541"/>
      <c r="RJ40" s="541"/>
      <c r="RK40" s="541"/>
      <c r="RL40" s="541"/>
      <c r="RM40" s="541"/>
      <c r="RN40" s="541"/>
      <c r="RO40" s="541"/>
      <c r="RP40" s="541"/>
      <c r="RQ40" s="541"/>
      <c r="RR40" s="541"/>
      <c r="RS40" s="541"/>
      <c r="RT40" s="541"/>
      <c r="RU40" s="541"/>
      <c r="RV40" s="541"/>
      <c r="RW40" s="541"/>
      <c r="RX40" s="541"/>
      <c r="RY40" s="541"/>
      <c r="RZ40" s="541"/>
      <c r="SA40" s="541"/>
      <c r="SB40" s="541"/>
      <c r="SC40" s="541"/>
      <c r="SD40" s="541"/>
      <c r="SE40" s="541"/>
      <c r="SF40" s="541"/>
      <c r="SG40" s="541"/>
      <c r="SH40" s="541"/>
      <c r="SI40" s="541"/>
      <c r="SJ40" s="541"/>
      <c r="SK40" s="541"/>
      <c r="SL40" s="541"/>
      <c r="SM40" s="541"/>
      <c r="SN40" s="541"/>
      <c r="SO40" s="541"/>
      <c r="SP40" s="541"/>
      <c r="SQ40" s="541"/>
      <c r="SR40" s="541"/>
      <c r="SS40" s="541"/>
      <c r="ST40" s="541"/>
      <c r="SU40" s="541"/>
      <c r="SV40" s="541"/>
      <c r="SW40" s="541"/>
      <c r="SX40" s="541"/>
      <c r="SY40" s="541"/>
      <c r="SZ40" s="541"/>
      <c r="TA40" s="541"/>
      <c r="TB40" s="541"/>
      <c r="TC40" s="541"/>
      <c r="TD40" s="541"/>
      <c r="TE40" s="541"/>
      <c r="TF40" s="541"/>
      <c r="TG40" s="541"/>
      <c r="TH40" s="541"/>
      <c r="TI40" s="541"/>
      <c r="TJ40" s="541"/>
      <c r="TK40" s="541"/>
      <c r="TL40" s="541"/>
      <c r="TM40" s="541"/>
      <c r="TN40" s="541"/>
      <c r="TO40" s="541"/>
      <c r="TP40" s="541"/>
      <c r="TQ40" s="541"/>
      <c r="TR40" s="541"/>
      <c r="TS40" s="541"/>
      <c r="TT40" s="541"/>
      <c r="TU40" s="541"/>
      <c r="TV40" s="541"/>
      <c r="TW40" s="541"/>
      <c r="TX40" s="541"/>
      <c r="TY40" s="541"/>
      <c r="TZ40" s="541"/>
      <c r="UA40" s="541"/>
      <c r="UB40" s="541"/>
      <c r="UC40" s="541"/>
      <c r="UD40" s="541"/>
      <c r="UE40" s="541"/>
      <c r="UF40" s="541"/>
      <c r="UG40" s="541"/>
      <c r="UH40" s="541"/>
      <c r="UI40" s="541"/>
      <c r="UJ40" s="541"/>
      <c r="UK40" s="541"/>
      <c r="UL40" s="541"/>
      <c r="UM40" s="541"/>
      <c r="UN40" s="541"/>
      <c r="UO40" s="541"/>
      <c r="UP40" s="541"/>
      <c r="UQ40" s="541"/>
      <c r="UR40" s="541"/>
      <c r="US40" s="541"/>
      <c r="UT40" s="541"/>
      <c r="UU40" s="541"/>
      <c r="UV40" s="541"/>
      <c r="UW40" s="541"/>
      <c r="UX40" s="541"/>
      <c r="UY40" s="541"/>
      <c r="UZ40" s="541"/>
      <c r="VA40" s="541"/>
      <c r="VB40" s="541"/>
      <c r="VC40" s="541"/>
      <c r="VD40" s="541"/>
      <c r="VE40" s="541"/>
      <c r="VF40" s="541"/>
      <c r="VG40" s="541"/>
      <c r="VH40" s="541"/>
      <c r="VI40" s="541"/>
      <c r="VJ40" s="541"/>
      <c r="VK40" s="541"/>
      <c r="VL40" s="541"/>
      <c r="VM40" s="541"/>
      <c r="VN40" s="541"/>
      <c r="VO40" s="541"/>
      <c r="VP40" s="541"/>
      <c r="VQ40" s="541"/>
      <c r="VR40" s="541"/>
      <c r="VS40" s="541"/>
      <c r="VT40" s="541"/>
      <c r="VU40" s="541"/>
      <c r="VV40" s="541"/>
      <c r="VW40" s="541"/>
      <c r="VX40" s="541"/>
      <c r="VY40" s="541"/>
      <c r="VZ40" s="541"/>
      <c r="WA40" s="541"/>
      <c r="WB40" s="541"/>
      <c r="WC40" s="541"/>
      <c r="WD40" s="541"/>
      <c r="WE40" s="541"/>
      <c r="WF40" s="541"/>
      <c r="WG40" s="541"/>
      <c r="WH40" s="541"/>
      <c r="WI40" s="541"/>
      <c r="WJ40" s="541"/>
      <c r="WK40" s="541"/>
      <c r="WL40" s="541"/>
      <c r="WM40" s="541"/>
      <c r="WN40" s="541"/>
      <c r="WO40" s="541"/>
      <c r="WP40" s="541"/>
      <c r="WQ40" s="541"/>
      <c r="WR40" s="541"/>
      <c r="WS40" s="541"/>
      <c r="WT40" s="541"/>
      <c r="WU40" s="541"/>
      <c r="WV40" s="541"/>
      <c r="WW40" s="541"/>
      <c r="WX40" s="541"/>
      <c r="WY40" s="541"/>
      <c r="WZ40" s="541"/>
      <c r="XA40" s="541"/>
      <c r="XB40" s="541"/>
      <c r="XC40" s="541"/>
      <c r="XD40" s="541"/>
      <c r="XE40" s="541"/>
      <c r="XF40" s="541"/>
      <c r="XG40" s="541"/>
      <c r="XH40" s="541"/>
      <c r="XI40" s="541"/>
      <c r="XJ40" s="541"/>
      <c r="XK40" s="541"/>
      <c r="XL40" s="541"/>
      <c r="XM40" s="541"/>
      <c r="XN40" s="541"/>
      <c r="XO40" s="541"/>
      <c r="XP40" s="541"/>
      <c r="XQ40" s="541"/>
      <c r="XR40" s="541"/>
      <c r="XS40" s="541"/>
      <c r="XT40" s="541"/>
      <c r="XU40" s="541"/>
      <c r="XV40" s="541"/>
      <c r="XW40" s="541"/>
      <c r="XX40" s="541"/>
      <c r="XY40" s="541"/>
      <c r="XZ40" s="541"/>
      <c r="YA40" s="541"/>
      <c r="YB40" s="541"/>
      <c r="YC40" s="541"/>
      <c r="YD40" s="541"/>
      <c r="YE40" s="541"/>
      <c r="YF40" s="541"/>
      <c r="YG40" s="541"/>
      <c r="YH40" s="541"/>
      <c r="YI40" s="541"/>
      <c r="YJ40" s="541"/>
      <c r="YK40" s="541"/>
      <c r="YL40" s="541"/>
      <c r="YM40" s="541"/>
      <c r="YN40" s="541"/>
      <c r="YO40" s="541"/>
      <c r="YP40" s="541"/>
      <c r="YQ40" s="541"/>
      <c r="YR40" s="541"/>
      <c r="YS40" s="541"/>
      <c r="YT40" s="541"/>
      <c r="YU40" s="541"/>
      <c r="YV40" s="541"/>
      <c r="YW40" s="541"/>
      <c r="YX40" s="541"/>
      <c r="YY40" s="541"/>
      <c r="YZ40" s="541"/>
      <c r="ZA40" s="541"/>
      <c r="ZB40" s="541"/>
      <c r="ZC40" s="541"/>
      <c r="ZD40" s="541"/>
      <c r="ZE40" s="541"/>
      <c r="ZF40" s="541"/>
      <c r="ZG40" s="541"/>
      <c r="ZH40" s="541"/>
      <c r="ZI40" s="541"/>
      <c r="ZJ40" s="541"/>
      <c r="ZK40" s="541"/>
      <c r="ZL40" s="541"/>
      <c r="ZM40" s="541"/>
      <c r="ZN40" s="541"/>
      <c r="ZO40" s="541"/>
      <c r="ZP40" s="541"/>
      <c r="ZQ40" s="541"/>
      <c r="ZR40" s="541"/>
      <c r="ZS40" s="541"/>
      <c r="ZT40" s="541"/>
      <c r="ZU40" s="541"/>
      <c r="ZV40" s="541"/>
      <c r="ZW40" s="541"/>
      <c r="ZX40" s="541"/>
      <c r="ZY40" s="541"/>
      <c r="ZZ40" s="541"/>
      <c r="AAA40" s="541"/>
      <c r="AAB40" s="541"/>
      <c r="AAC40" s="541"/>
      <c r="AAD40" s="541"/>
      <c r="AAE40" s="541"/>
      <c r="AAF40" s="541"/>
      <c r="AAG40" s="541"/>
      <c r="AAH40" s="541"/>
      <c r="AAI40" s="541"/>
      <c r="AAJ40" s="541"/>
      <c r="AAK40" s="541"/>
      <c r="AAL40" s="541"/>
      <c r="AAM40" s="541"/>
      <c r="AAN40" s="541"/>
      <c r="AAO40" s="541"/>
      <c r="AAP40" s="541"/>
      <c r="AAQ40" s="541"/>
      <c r="AAR40" s="541"/>
      <c r="AAS40" s="541"/>
      <c r="AAT40" s="541"/>
      <c r="AAU40" s="541"/>
      <c r="AAV40" s="541"/>
      <c r="AAW40" s="541"/>
      <c r="AAX40" s="541"/>
      <c r="AAY40" s="541"/>
      <c r="AAZ40" s="541"/>
      <c r="ABA40" s="541"/>
      <c r="ABB40" s="541"/>
      <c r="ABC40" s="541"/>
      <c r="ABD40" s="541"/>
      <c r="ABE40" s="541"/>
      <c r="ABF40" s="541"/>
      <c r="ABG40" s="541"/>
      <c r="ABH40" s="541"/>
      <c r="ABI40" s="541"/>
      <c r="ABJ40" s="541"/>
      <c r="ABK40" s="541"/>
      <c r="ABL40" s="541"/>
      <c r="ABM40" s="541"/>
      <c r="ABN40" s="541"/>
      <c r="ABO40" s="541"/>
      <c r="ABP40" s="541"/>
      <c r="ABQ40" s="541"/>
      <c r="ABR40" s="541"/>
      <c r="ABS40" s="541"/>
      <c r="ABT40" s="541"/>
      <c r="ABU40" s="541"/>
      <c r="ABV40" s="541"/>
      <c r="ABW40" s="541"/>
      <c r="ABX40" s="541"/>
      <c r="ABY40" s="541"/>
      <c r="ABZ40" s="541"/>
      <c r="ACA40" s="541"/>
      <c r="ACB40" s="541"/>
      <c r="ACC40" s="541"/>
      <c r="ACD40" s="541"/>
      <c r="ACE40" s="541"/>
      <c r="ACF40" s="541"/>
      <c r="ACG40" s="541"/>
      <c r="ACH40" s="541"/>
      <c r="ACI40" s="541"/>
      <c r="ACJ40" s="541"/>
      <c r="ACK40" s="541"/>
      <c r="ACL40" s="541"/>
      <c r="ACM40" s="541"/>
      <c r="ACN40" s="541"/>
      <c r="ACO40" s="541"/>
      <c r="ACP40" s="541"/>
      <c r="ACQ40" s="541"/>
      <c r="ACR40" s="541"/>
      <c r="ACS40" s="541"/>
      <c r="ACT40" s="541"/>
      <c r="ACU40" s="541"/>
      <c r="ACV40" s="541"/>
      <c r="ACW40" s="541"/>
      <c r="ACX40" s="541"/>
      <c r="ACY40" s="541"/>
      <c r="ACZ40" s="541"/>
      <c r="ADA40" s="541"/>
      <c r="ADB40" s="541"/>
      <c r="ADC40" s="541"/>
      <c r="ADD40" s="541"/>
      <c r="ADE40" s="541"/>
      <c r="ADF40" s="541"/>
      <c r="ADG40" s="541"/>
      <c r="ADH40" s="541"/>
      <c r="ADI40" s="541"/>
      <c r="ADJ40" s="541"/>
      <c r="ADK40" s="541"/>
      <c r="ADL40" s="541"/>
      <c r="ADM40" s="541"/>
      <c r="ADN40" s="541"/>
      <c r="ADO40" s="541"/>
      <c r="ADP40" s="541"/>
      <c r="ADQ40" s="541"/>
      <c r="ADR40" s="541"/>
      <c r="ADS40" s="541"/>
      <c r="ADT40" s="541"/>
      <c r="ADU40" s="541"/>
      <c r="ADV40" s="541"/>
      <c r="ADW40" s="541"/>
      <c r="ADX40" s="541"/>
      <c r="ADY40" s="541"/>
      <c r="ADZ40" s="541"/>
      <c r="AEA40" s="541"/>
      <c r="AEB40" s="541"/>
      <c r="AEC40" s="541"/>
      <c r="AED40" s="541"/>
      <c r="AEE40" s="541"/>
      <c r="AEF40" s="541"/>
      <c r="AEG40" s="541"/>
      <c r="AEH40" s="541"/>
      <c r="AEI40" s="541"/>
      <c r="AEJ40" s="541"/>
      <c r="AEK40" s="541"/>
      <c r="AEL40" s="541"/>
      <c r="AEM40" s="541"/>
      <c r="AEN40" s="541"/>
      <c r="AEO40" s="541"/>
      <c r="AEP40" s="541"/>
      <c r="AEQ40" s="541"/>
      <c r="AER40" s="541"/>
      <c r="AES40" s="541"/>
      <c r="AET40" s="541"/>
      <c r="AEU40" s="541"/>
      <c r="AEV40" s="541"/>
      <c r="AEW40" s="541"/>
      <c r="AEX40" s="541"/>
      <c r="AEY40" s="541"/>
      <c r="AEZ40" s="541"/>
      <c r="AFA40" s="541"/>
      <c r="AFB40" s="541"/>
      <c r="AFC40" s="541"/>
      <c r="AFD40" s="541"/>
      <c r="AFE40" s="541"/>
      <c r="AFF40" s="541"/>
      <c r="AFG40" s="541"/>
      <c r="AFH40" s="541"/>
      <c r="AFI40" s="541"/>
      <c r="AFJ40" s="541"/>
      <c r="AFK40" s="541"/>
      <c r="AFL40" s="541"/>
      <c r="AFM40" s="541"/>
      <c r="AFN40" s="541"/>
      <c r="AFO40" s="541"/>
      <c r="AFP40" s="541"/>
      <c r="AFQ40" s="541"/>
      <c r="AFR40" s="541"/>
      <c r="AFS40" s="541"/>
      <c r="AFT40" s="541"/>
      <c r="AFU40" s="541"/>
      <c r="AFV40" s="541"/>
      <c r="AFW40" s="541"/>
      <c r="AFX40" s="541"/>
      <c r="AFY40" s="541"/>
      <c r="AFZ40" s="541"/>
      <c r="AGA40" s="541"/>
      <c r="AGB40" s="541"/>
      <c r="AGC40" s="541"/>
      <c r="AGD40" s="541"/>
      <c r="AGE40" s="541"/>
      <c r="AGF40" s="541"/>
      <c r="AGG40" s="541"/>
      <c r="AGH40" s="541"/>
      <c r="AGI40" s="541"/>
      <c r="AGJ40" s="541"/>
      <c r="AGK40" s="541"/>
      <c r="AGL40" s="541"/>
      <c r="AGM40" s="541"/>
      <c r="AGN40" s="541"/>
      <c r="AGO40" s="541"/>
      <c r="AGP40" s="541"/>
      <c r="AGQ40" s="541"/>
      <c r="AGR40" s="541"/>
      <c r="AGS40" s="541"/>
      <c r="AGT40" s="541"/>
      <c r="AGU40" s="541"/>
      <c r="AGV40" s="541"/>
      <c r="AGW40" s="541"/>
      <c r="AGX40" s="541"/>
      <c r="AGY40" s="541"/>
      <c r="AGZ40" s="541"/>
      <c r="AHA40" s="541"/>
      <c r="AHB40" s="541"/>
      <c r="AHC40" s="541"/>
      <c r="AHD40" s="541"/>
      <c r="AHE40" s="541"/>
      <c r="AHF40" s="541"/>
      <c r="AHG40" s="541"/>
      <c r="AHH40" s="541"/>
      <c r="AHI40" s="541"/>
      <c r="AHJ40" s="541"/>
      <c r="AHK40" s="541"/>
      <c r="AHL40" s="541"/>
      <c r="AHM40" s="541"/>
      <c r="AHN40" s="541"/>
      <c r="AHO40" s="541"/>
      <c r="AHP40" s="541"/>
      <c r="AHQ40" s="541"/>
      <c r="AHR40" s="541"/>
      <c r="AHS40" s="541"/>
      <c r="AHT40" s="541"/>
      <c r="AHU40" s="541"/>
      <c r="AHV40" s="541"/>
      <c r="AHW40" s="541"/>
      <c r="AHX40" s="541"/>
      <c r="AHY40" s="541"/>
      <c r="AHZ40" s="541"/>
      <c r="AIA40" s="541"/>
      <c r="AIB40" s="541"/>
      <c r="AIC40" s="541"/>
      <c r="AID40" s="541"/>
      <c r="AIE40" s="541"/>
      <c r="AIF40" s="541"/>
      <c r="AIG40" s="541"/>
      <c r="AIH40" s="541"/>
      <c r="AII40" s="541"/>
      <c r="AIJ40" s="541"/>
      <c r="AIK40" s="541"/>
      <c r="AIL40" s="541"/>
      <c r="AIM40" s="541"/>
      <c r="AIN40" s="541"/>
      <c r="AIO40" s="541"/>
      <c r="AIP40" s="541"/>
      <c r="AIQ40" s="541"/>
      <c r="AIR40" s="541"/>
      <c r="AIS40" s="541"/>
      <c r="AIT40" s="541"/>
      <c r="AIU40" s="541"/>
      <c r="AIV40" s="541"/>
      <c r="AIW40" s="541"/>
      <c r="AIX40" s="541"/>
      <c r="AIY40" s="541"/>
      <c r="AIZ40" s="541"/>
      <c r="AJA40" s="541"/>
      <c r="AJB40" s="541"/>
      <c r="AJC40" s="541"/>
      <c r="AJD40" s="541"/>
      <c r="AJE40" s="541"/>
      <c r="AJF40" s="541"/>
      <c r="AJG40" s="541"/>
      <c r="AJH40" s="541"/>
      <c r="AJI40" s="541"/>
      <c r="AJJ40" s="541"/>
      <c r="AJK40" s="541"/>
      <c r="AJL40" s="541"/>
      <c r="AJM40" s="541"/>
      <c r="AJN40" s="541"/>
      <c r="AJO40" s="541"/>
      <c r="AJP40" s="541"/>
      <c r="AJQ40" s="541"/>
      <c r="AJR40" s="541"/>
      <c r="AJS40" s="541"/>
      <c r="AJT40" s="541"/>
      <c r="AJU40" s="541"/>
      <c r="AJV40" s="541"/>
      <c r="AJW40" s="541"/>
      <c r="AJX40" s="541"/>
      <c r="AJY40" s="541"/>
      <c r="AJZ40" s="541"/>
      <c r="AKA40" s="541"/>
      <c r="AKB40" s="541"/>
      <c r="AKC40" s="541"/>
      <c r="AKD40" s="541"/>
      <c r="AKE40" s="541"/>
      <c r="AKF40" s="541"/>
      <c r="AKG40" s="541"/>
      <c r="AKH40" s="541"/>
      <c r="AKI40" s="541"/>
      <c r="AKJ40" s="541"/>
      <c r="AKK40" s="541"/>
      <c r="AKL40" s="541"/>
      <c r="AKM40" s="541"/>
      <c r="AKN40" s="541"/>
      <c r="AKO40" s="541"/>
      <c r="AKP40" s="541"/>
      <c r="AKQ40" s="541"/>
      <c r="AKR40" s="541"/>
      <c r="AKS40" s="541"/>
      <c r="AKT40" s="541"/>
      <c r="AKU40" s="541"/>
      <c r="AKV40" s="541"/>
      <c r="AKW40" s="541"/>
      <c r="AKX40" s="541"/>
      <c r="AKY40" s="541"/>
      <c r="AKZ40" s="541"/>
      <c r="ALA40" s="541"/>
      <c r="ALB40" s="541"/>
      <c r="ALC40" s="541"/>
      <c r="ALD40" s="541"/>
      <c r="ALE40" s="541"/>
      <c r="ALF40" s="541"/>
      <c r="ALG40" s="541"/>
      <c r="ALH40" s="541"/>
      <c r="ALI40" s="541"/>
      <c r="ALJ40" s="541"/>
      <c r="ALK40" s="541"/>
      <c r="ALL40" s="541"/>
      <c r="ALM40" s="541"/>
      <c r="ALN40" s="541"/>
      <c r="ALO40" s="541"/>
      <c r="ALP40" s="541"/>
      <c r="ALQ40" s="541"/>
      <c r="ALR40" s="541"/>
      <c r="ALS40" s="541"/>
      <c r="ALT40" s="541"/>
      <c r="ALU40" s="541"/>
      <c r="ALV40" s="541"/>
      <c r="ALW40" s="541"/>
      <c r="ALX40" s="541"/>
      <c r="ALY40" s="541"/>
      <c r="ALZ40" s="541"/>
      <c r="AMA40" s="541"/>
      <c r="AMB40" s="541"/>
      <c r="AMC40" s="541"/>
      <c r="AMD40" s="541"/>
      <c r="AME40" s="541"/>
      <c r="AMF40" s="541"/>
      <c r="AMG40" s="541"/>
      <c r="AMH40" s="541"/>
      <c r="AMI40" s="541"/>
      <c r="AMJ40" s="541"/>
      <c r="AMK40" s="541"/>
      <c r="AML40" s="541"/>
      <c r="AMM40" s="541"/>
      <c r="AMN40" s="541"/>
      <c r="AMO40" s="541"/>
      <c r="AMP40" s="541"/>
      <c r="AMQ40" s="541"/>
      <c r="AMR40" s="541"/>
      <c r="AMS40" s="541"/>
      <c r="AMT40" s="541"/>
      <c r="AMU40" s="541"/>
      <c r="AMV40" s="541"/>
      <c r="AMW40" s="541"/>
      <c r="AMX40" s="541"/>
      <c r="AMY40" s="541"/>
      <c r="AMZ40" s="541"/>
      <c r="ANA40" s="541"/>
      <c r="ANB40" s="541"/>
      <c r="ANC40" s="541"/>
      <c r="AND40" s="541"/>
      <c r="ANE40" s="541"/>
      <c r="ANF40" s="541"/>
      <c r="ANG40" s="541"/>
      <c r="ANH40" s="541"/>
      <c r="ANI40" s="541"/>
      <c r="ANJ40" s="541"/>
      <c r="ANK40" s="541"/>
      <c r="ANL40" s="541"/>
      <c r="ANM40" s="541"/>
      <c r="ANN40" s="541"/>
      <c r="ANO40" s="541"/>
      <c r="ANP40" s="541"/>
      <c r="ANQ40" s="541"/>
      <c r="ANR40" s="541"/>
      <c r="ANS40" s="541"/>
      <c r="ANT40" s="541"/>
      <c r="ANU40" s="541"/>
      <c r="ANV40" s="541"/>
      <c r="ANW40" s="541"/>
      <c r="ANX40" s="541"/>
      <c r="ANY40" s="541"/>
      <c r="ANZ40" s="541"/>
      <c r="AOA40" s="541"/>
      <c r="AOB40" s="541"/>
      <c r="AOC40" s="541"/>
      <c r="AOD40" s="541"/>
      <c r="AOE40" s="541"/>
      <c r="AOF40" s="541"/>
      <c r="AOG40" s="541"/>
      <c r="AOH40" s="541"/>
      <c r="AOI40" s="541"/>
      <c r="AOJ40" s="541"/>
      <c r="AOK40" s="541"/>
      <c r="AOL40" s="541"/>
      <c r="AOM40" s="541"/>
      <c r="AON40" s="541"/>
      <c r="AOO40" s="541"/>
      <c r="AOP40" s="541"/>
      <c r="AOQ40" s="541"/>
      <c r="AOR40" s="541"/>
      <c r="AOS40" s="541"/>
      <c r="AOT40" s="541"/>
      <c r="AOU40" s="541"/>
      <c r="AOV40" s="541"/>
      <c r="AOW40" s="541"/>
      <c r="AOX40" s="541"/>
      <c r="AOY40" s="541"/>
      <c r="AOZ40" s="541"/>
      <c r="APA40" s="541"/>
      <c r="APB40" s="541"/>
      <c r="APC40" s="541"/>
      <c r="APD40" s="541"/>
      <c r="APE40" s="541"/>
      <c r="APF40" s="541"/>
      <c r="APG40" s="541"/>
      <c r="APH40" s="541"/>
      <c r="API40" s="541"/>
      <c r="APJ40" s="541"/>
      <c r="APK40" s="541"/>
      <c r="APL40" s="541"/>
      <c r="APM40" s="541"/>
      <c r="APN40" s="541"/>
      <c r="APO40" s="541"/>
      <c r="APP40" s="541"/>
      <c r="APQ40" s="541"/>
      <c r="APR40" s="541"/>
      <c r="APS40" s="541"/>
      <c r="APT40" s="541"/>
      <c r="APU40" s="541"/>
      <c r="APV40" s="541"/>
      <c r="APW40" s="541"/>
      <c r="APX40" s="541"/>
      <c r="APY40" s="541"/>
      <c r="APZ40" s="541"/>
      <c r="AQA40" s="541"/>
      <c r="AQB40" s="541"/>
      <c r="AQC40" s="541"/>
      <c r="AQD40" s="541"/>
      <c r="AQE40" s="541"/>
      <c r="AQF40" s="541"/>
      <c r="AQG40" s="541"/>
      <c r="AQH40" s="541"/>
      <c r="AQI40" s="541"/>
      <c r="AQJ40" s="541"/>
      <c r="AQK40" s="541"/>
      <c r="AQL40" s="541"/>
      <c r="AQM40" s="541"/>
      <c r="AQN40" s="541"/>
      <c r="AQO40" s="541"/>
      <c r="AQP40" s="541"/>
      <c r="AQQ40" s="541"/>
      <c r="AQR40" s="541"/>
      <c r="AQS40" s="541"/>
      <c r="AQT40" s="541"/>
      <c r="AQU40" s="541"/>
      <c r="AQV40" s="541"/>
      <c r="AQW40" s="541"/>
      <c r="AQX40" s="541"/>
      <c r="AQY40" s="541"/>
      <c r="AQZ40" s="541"/>
      <c r="ARA40" s="541"/>
      <c r="ARB40" s="541"/>
      <c r="ARC40" s="541"/>
      <c r="ARD40" s="541"/>
      <c r="ARE40" s="541"/>
      <c r="ARF40" s="541"/>
      <c r="ARG40" s="541"/>
      <c r="ARH40" s="541"/>
      <c r="ARI40" s="541"/>
      <c r="ARJ40" s="541"/>
      <c r="ARK40" s="541"/>
      <c r="ARL40" s="541"/>
      <c r="ARM40" s="541"/>
      <c r="ARN40" s="541"/>
      <c r="ARO40" s="541"/>
      <c r="ARP40" s="541"/>
      <c r="ARQ40" s="541"/>
      <c r="ARR40" s="541"/>
      <c r="ARS40" s="541"/>
      <c r="ART40" s="541"/>
    </row>
    <row r="41" spans="1:1164">
      <c r="A41" s="596"/>
      <c r="B41" s="430"/>
      <c r="C41" s="684"/>
      <c r="D41" s="608"/>
      <c r="E41" s="608"/>
      <c r="F41" s="608"/>
      <c r="G41" s="608"/>
      <c r="H41" s="608"/>
      <c r="I41" s="608"/>
      <c r="J41" s="608"/>
      <c r="K41" s="608"/>
      <c r="L41" s="608"/>
      <c r="M41" s="608"/>
      <c r="N41" s="608"/>
      <c r="O41" s="608"/>
      <c r="P41" s="608"/>
      <c r="Q41" s="608"/>
      <c r="R41" s="608"/>
      <c r="S41" s="608"/>
      <c r="T41" s="608"/>
      <c r="U41" s="586"/>
      <c r="V41" s="586"/>
      <c r="W41" s="586"/>
      <c r="X41" s="608"/>
      <c r="Y41" s="692"/>
      <c r="Z41" s="681"/>
      <c r="AA41" s="586"/>
      <c r="AB41" s="623"/>
      <c r="AC41" s="608"/>
      <c r="AD41" s="608"/>
      <c r="AE41" s="608"/>
      <c r="AF41" s="608"/>
      <c r="AG41" s="586"/>
      <c r="AH41" s="623"/>
      <c r="AI41" s="586"/>
      <c r="AJ41" s="623"/>
      <c r="AK41" s="673"/>
      <c r="AL41" s="673"/>
      <c r="AM41" s="675"/>
      <c r="AN41" s="676"/>
      <c r="AO41" s="586"/>
      <c r="AP41" s="586"/>
      <c r="AQ41" s="586"/>
      <c r="AR41" s="586"/>
      <c r="AS41" s="586"/>
      <c r="AT41" s="586"/>
      <c r="AU41" s="586"/>
      <c r="AV41" s="623"/>
      <c r="AW41" s="645"/>
      <c r="AX41" s="645"/>
      <c r="AY41" s="693"/>
      <c r="AZ41" s="693"/>
      <c r="BA41" s="685"/>
      <c r="BB41" s="645"/>
      <c r="BC41" s="645"/>
      <c r="BD41" s="645"/>
      <c r="BE41" s="645"/>
      <c r="BF41" s="645"/>
      <c r="BG41" s="645"/>
      <c r="BH41" s="645"/>
      <c r="BI41" s="685"/>
      <c r="BJ41" s="645"/>
      <c r="BK41" s="645"/>
      <c r="BL41" s="541"/>
      <c r="BM41" s="42"/>
      <c r="BO41" s="624"/>
    </row>
    <row r="42" spans="1:1164">
      <c r="A42" s="591" t="s">
        <v>216</v>
      </c>
      <c r="B42" s="594" t="s">
        <v>196</v>
      </c>
      <c r="C42" s="670">
        <v>7375</v>
      </c>
      <c r="D42" s="670">
        <v>14496</v>
      </c>
      <c r="E42" s="595">
        <v>0</v>
      </c>
      <c r="F42" s="595">
        <v>0</v>
      </c>
      <c r="G42" s="595">
        <v>0</v>
      </c>
      <c r="H42" s="595">
        <v>0</v>
      </c>
      <c r="I42" s="595">
        <v>0</v>
      </c>
      <c r="J42" s="595">
        <v>0</v>
      </c>
      <c r="K42" s="595">
        <v>0</v>
      </c>
      <c r="L42" s="595">
        <v>0</v>
      </c>
      <c r="M42" s="595">
        <v>0</v>
      </c>
      <c r="N42" s="595">
        <v>0</v>
      </c>
      <c r="O42" s="595">
        <v>0</v>
      </c>
      <c r="P42" s="595">
        <v>0</v>
      </c>
      <c r="Q42" s="595">
        <v>0</v>
      </c>
      <c r="R42" s="595">
        <v>0</v>
      </c>
      <c r="S42" s="595">
        <v>0</v>
      </c>
      <c r="T42" s="595">
        <v>0</v>
      </c>
      <c r="U42" s="595">
        <v>0</v>
      </c>
      <c r="V42" s="595">
        <v>0</v>
      </c>
      <c r="W42" s="595">
        <v>0</v>
      </c>
      <c r="X42" s="595">
        <v>0</v>
      </c>
      <c r="Y42" s="595">
        <v>0</v>
      </c>
      <c r="Z42" s="595">
        <v>0</v>
      </c>
      <c r="AA42" s="595">
        <v>0</v>
      </c>
      <c r="AB42" s="595">
        <v>0</v>
      </c>
      <c r="AC42" s="595">
        <v>0</v>
      </c>
      <c r="AD42" s="595">
        <v>0</v>
      </c>
      <c r="AE42" s="595">
        <v>0</v>
      </c>
      <c r="AF42" s="595">
        <v>0</v>
      </c>
      <c r="AG42" s="595">
        <v>0</v>
      </c>
      <c r="AH42" s="595">
        <v>0</v>
      </c>
      <c r="AI42" s="595">
        <v>0</v>
      </c>
      <c r="AJ42" s="595">
        <v>0</v>
      </c>
      <c r="AK42" s="595">
        <v>0</v>
      </c>
      <c r="AL42" s="595">
        <v>0</v>
      </c>
      <c r="AM42" s="595">
        <v>0</v>
      </c>
      <c r="AN42" s="595">
        <v>0</v>
      </c>
      <c r="AO42" s="595">
        <v>0</v>
      </c>
      <c r="AP42" s="595">
        <v>0</v>
      </c>
      <c r="AQ42" s="595">
        <v>0</v>
      </c>
      <c r="AR42" s="595">
        <v>0</v>
      </c>
      <c r="AS42" s="595">
        <v>0</v>
      </c>
      <c r="AT42" s="595">
        <v>0</v>
      </c>
      <c r="AU42" s="595">
        <v>0</v>
      </c>
      <c r="AV42" s="595">
        <v>0</v>
      </c>
      <c r="AW42" s="595">
        <v>0</v>
      </c>
      <c r="AX42" s="595">
        <v>0</v>
      </c>
      <c r="AY42" s="595">
        <v>0</v>
      </c>
      <c r="AZ42" s="595">
        <v>0</v>
      </c>
      <c r="BA42" s="594"/>
      <c r="BB42" s="595"/>
      <c r="BC42" s="595"/>
      <c r="BD42" s="595"/>
      <c r="BE42" s="594"/>
      <c r="BF42" s="595"/>
      <c r="BG42" s="595"/>
      <c r="BH42" s="595"/>
      <c r="BI42" s="594"/>
      <c r="BJ42" s="604">
        <f>C42+G42+I42+K42+M42+O42+Q42+S42+U42+W42+Y42+AA42+AC42+AE42+AG42+AI42+AK42+AM42+AO42+AQ42+AS42+AU42+AW42+AY42+BB42+BF42</f>
        <v>7375</v>
      </c>
      <c r="BK42" s="595">
        <f>D42+H42+J42+L42+N42+P42+R42+T42+V42+X42+Z42+AB42+AD42+AF42+AH42+AJ42+AL42+AN42+AP42+AR42+AT42+AV42+AX42+AZ42+BD42+BH42</f>
        <v>14496</v>
      </c>
      <c r="BL42" s="541"/>
      <c r="BM42" s="42"/>
      <c r="BO42" s="624"/>
    </row>
    <row r="43" spans="1:1164">
      <c r="A43" s="596"/>
      <c r="B43" s="430"/>
      <c r="C43" s="684"/>
      <c r="D43" s="684"/>
      <c r="E43" s="608"/>
      <c r="F43" s="608"/>
      <c r="G43" s="608"/>
      <c r="H43" s="608"/>
      <c r="I43" s="608"/>
      <c r="J43" s="608"/>
      <c r="K43" s="608"/>
      <c r="L43" s="608"/>
      <c r="M43" s="608"/>
      <c r="N43" s="608"/>
      <c r="O43" s="608"/>
      <c r="P43" s="608"/>
      <c r="Q43" s="608"/>
      <c r="R43" s="608"/>
      <c r="S43" s="608"/>
      <c r="T43" s="608"/>
      <c r="U43" s="586"/>
      <c r="V43" s="586"/>
      <c r="W43" s="586"/>
      <c r="X43" s="586"/>
      <c r="Y43" s="586"/>
      <c r="Z43" s="586"/>
      <c r="AA43" s="586"/>
      <c r="AB43" s="586"/>
      <c r="AC43" s="586"/>
      <c r="AD43" s="586"/>
      <c r="AE43" s="608"/>
      <c r="AF43" s="608"/>
      <c r="AG43" s="586"/>
      <c r="AH43" s="586"/>
      <c r="AI43" s="586"/>
      <c r="AJ43" s="586"/>
      <c r="AK43" s="586"/>
      <c r="AL43" s="586"/>
      <c r="AM43" s="586"/>
      <c r="AN43" s="586"/>
      <c r="AO43" s="586"/>
      <c r="AP43" s="586"/>
      <c r="AQ43" s="686"/>
      <c r="AR43" s="686"/>
      <c r="AS43" s="586"/>
      <c r="AT43" s="586"/>
      <c r="AU43" s="586"/>
      <c r="AV43" s="623"/>
      <c r="AW43" s="645"/>
      <c r="AX43" s="645"/>
      <c r="AY43" s="693"/>
      <c r="AZ43" s="693"/>
      <c r="BA43" s="685"/>
      <c r="BB43" s="645"/>
      <c r="BC43" s="645"/>
      <c r="BD43" s="645"/>
      <c r="BE43" s="645"/>
      <c r="BF43" s="645"/>
      <c r="BG43" s="645"/>
      <c r="BH43" s="645"/>
      <c r="BI43" s="685"/>
      <c r="BJ43" s="645"/>
      <c r="BK43" s="645"/>
      <c r="BL43" s="541"/>
      <c r="BM43" s="42"/>
      <c r="BO43" s="624"/>
    </row>
    <row r="44" spans="1:1164" s="658" customFormat="1">
      <c r="A44" s="577" t="s">
        <v>217</v>
      </c>
      <c r="B44" s="578" t="s">
        <v>110</v>
      </c>
      <c r="C44" s="659">
        <v>14650</v>
      </c>
      <c r="D44" s="659">
        <v>416593</v>
      </c>
      <c r="E44" s="581">
        <v>0</v>
      </c>
      <c r="F44" s="581">
        <v>0</v>
      </c>
      <c r="G44" s="581">
        <v>0</v>
      </c>
      <c r="H44" s="581">
        <v>0</v>
      </c>
      <c r="I44" s="581">
        <v>0</v>
      </c>
      <c r="J44" s="581">
        <v>0</v>
      </c>
      <c r="K44" s="581">
        <v>0</v>
      </c>
      <c r="L44" s="581">
        <v>0</v>
      </c>
      <c r="M44" s="581">
        <v>0</v>
      </c>
      <c r="N44" s="581">
        <v>0</v>
      </c>
      <c r="O44" s="581">
        <v>0</v>
      </c>
      <c r="P44" s="581">
        <v>0</v>
      </c>
      <c r="Q44" s="581">
        <v>0</v>
      </c>
      <c r="R44" s="581">
        <v>0</v>
      </c>
      <c r="S44" s="581">
        <v>0</v>
      </c>
      <c r="T44" s="581">
        <v>0</v>
      </c>
      <c r="U44" s="581">
        <v>0</v>
      </c>
      <c r="V44" s="581">
        <v>0</v>
      </c>
      <c r="W44" s="581">
        <v>0</v>
      </c>
      <c r="X44" s="581">
        <v>0</v>
      </c>
      <c r="Y44" s="581">
        <v>0</v>
      </c>
      <c r="Z44" s="581">
        <v>0</v>
      </c>
      <c r="AA44" s="581">
        <v>0</v>
      </c>
      <c r="AB44" s="581">
        <v>0</v>
      </c>
      <c r="AC44" s="581">
        <v>0</v>
      </c>
      <c r="AD44" s="581">
        <v>0</v>
      </c>
      <c r="AE44" s="581">
        <v>0</v>
      </c>
      <c r="AF44" s="581">
        <v>0</v>
      </c>
      <c r="AG44" s="581">
        <v>0</v>
      </c>
      <c r="AH44" s="581">
        <v>0</v>
      </c>
      <c r="AI44" s="581">
        <v>0</v>
      </c>
      <c r="AJ44" s="581">
        <v>0</v>
      </c>
      <c r="AK44" s="661">
        <v>2277</v>
      </c>
      <c r="AL44" s="661">
        <v>676222</v>
      </c>
      <c r="AM44" s="662">
        <v>7299.1380000000008</v>
      </c>
      <c r="AN44" s="662">
        <v>1774751.7110904008</v>
      </c>
      <c r="AO44" s="579">
        <v>29645</v>
      </c>
      <c r="AP44" s="579">
        <v>7006547</v>
      </c>
      <c r="AQ44" s="579">
        <v>27478.491000000002</v>
      </c>
      <c r="AR44" s="579">
        <v>4967521.97</v>
      </c>
      <c r="AS44" s="579">
        <v>26927</v>
      </c>
      <c r="AT44" s="579">
        <v>5902204</v>
      </c>
      <c r="AU44" s="619">
        <v>6087</v>
      </c>
      <c r="AV44" s="619">
        <v>996294</v>
      </c>
      <c r="AW44" s="619">
        <v>22668</v>
      </c>
      <c r="AX44" s="619">
        <v>3952594</v>
      </c>
      <c r="AY44" s="581">
        <v>67271</v>
      </c>
      <c r="AZ44" s="581">
        <v>16050607</v>
      </c>
      <c r="BA44" s="664"/>
      <c r="BB44" s="581"/>
      <c r="BC44" s="664"/>
      <c r="BD44" s="581"/>
      <c r="BE44" s="664"/>
      <c r="BF44" s="581"/>
      <c r="BG44" s="664"/>
      <c r="BH44" s="581"/>
      <c r="BI44" s="664"/>
      <c r="BJ44" s="581">
        <f>C44+G44+I44+K44+M44+O44+Q44+S44+U44+W44+Y44+AA44+AC44+AE44+AG44+AI44+AK44+AM44+AO44+AQ44+AS44+AU44+AW44+AY44+BB44+BF44</f>
        <v>204302.62900000002</v>
      </c>
      <c r="BK44" s="581">
        <f>D44+H44+J44+L44+N44+P44+R44+T44+V44+X44+Z44+AB44+AD44+AF44+AH44+AJ44+AL44+AN44+AP44+AR44+AT44+AV44+AX44+AZ44+BD44+BH44</f>
        <v>41743334.6810904</v>
      </c>
      <c r="BL44" s="541"/>
      <c r="BM44" s="42"/>
      <c r="BN44" s="541"/>
      <c r="BO44" s="624"/>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41"/>
      <c r="IK44" s="541"/>
      <c r="IL44" s="541"/>
      <c r="IM44" s="541"/>
      <c r="IN44" s="541"/>
      <c r="IO44" s="541"/>
      <c r="IP44" s="541"/>
      <c r="IQ44" s="541"/>
      <c r="IR44" s="541"/>
      <c r="IS44" s="541"/>
      <c r="IT44" s="541"/>
      <c r="IU44" s="541"/>
      <c r="IV44" s="541"/>
      <c r="IW44" s="541"/>
      <c r="IX44" s="541"/>
      <c r="IY44" s="541"/>
      <c r="IZ44" s="541"/>
      <c r="JA44" s="541"/>
      <c r="JB44" s="541"/>
      <c r="JC44" s="541"/>
      <c r="JD44" s="541"/>
      <c r="JE44" s="541"/>
      <c r="JF44" s="541"/>
      <c r="JG44" s="541"/>
      <c r="JH44" s="541"/>
      <c r="JI44" s="541"/>
      <c r="JJ44" s="541"/>
      <c r="JK44" s="541"/>
      <c r="JL44" s="541"/>
      <c r="JM44" s="541"/>
      <c r="JN44" s="541"/>
      <c r="JO44" s="541"/>
      <c r="JP44" s="541"/>
      <c r="JQ44" s="541"/>
      <c r="JR44" s="541"/>
      <c r="JS44" s="541"/>
      <c r="JT44" s="541"/>
      <c r="JU44" s="541"/>
      <c r="JV44" s="541"/>
      <c r="JW44" s="541"/>
      <c r="JX44" s="541"/>
      <c r="JY44" s="541"/>
      <c r="JZ44" s="541"/>
      <c r="KA44" s="541"/>
      <c r="KB44" s="541"/>
      <c r="KC44" s="541"/>
      <c r="KD44" s="541"/>
      <c r="KE44" s="541"/>
      <c r="KF44" s="541"/>
      <c r="KG44" s="541"/>
      <c r="KH44" s="541"/>
      <c r="KI44" s="541"/>
      <c r="KJ44" s="541"/>
      <c r="KK44" s="541"/>
      <c r="KL44" s="541"/>
      <c r="KM44" s="541"/>
      <c r="KN44" s="541"/>
      <c r="KO44" s="541"/>
      <c r="KP44" s="541"/>
      <c r="KQ44" s="541"/>
      <c r="KR44" s="541"/>
      <c r="KS44" s="541"/>
      <c r="KT44" s="541"/>
      <c r="KU44" s="541"/>
      <c r="KV44" s="541"/>
      <c r="KW44" s="541"/>
      <c r="KX44" s="541"/>
      <c r="KY44" s="541"/>
      <c r="KZ44" s="541"/>
      <c r="LA44" s="541"/>
      <c r="LB44" s="541"/>
      <c r="LC44" s="541"/>
      <c r="LD44" s="541"/>
      <c r="LE44" s="541"/>
      <c r="LF44" s="541"/>
      <c r="LG44" s="541"/>
      <c r="LH44" s="541"/>
      <c r="LI44" s="541"/>
      <c r="LJ44" s="541"/>
      <c r="LK44" s="541"/>
      <c r="LL44" s="541"/>
      <c r="LM44" s="541"/>
      <c r="LN44" s="541"/>
      <c r="LO44" s="541"/>
      <c r="LP44" s="541"/>
      <c r="LQ44" s="541"/>
      <c r="LR44" s="541"/>
      <c r="LS44" s="541"/>
      <c r="LT44" s="541"/>
      <c r="LU44" s="541"/>
      <c r="LV44" s="541"/>
      <c r="LW44" s="541"/>
      <c r="LX44" s="541"/>
      <c r="LY44" s="541"/>
      <c r="LZ44" s="541"/>
      <c r="MA44" s="541"/>
      <c r="MB44" s="541"/>
      <c r="MC44" s="541"/>
      <c r="MD44" s="541"/>
      <c r="ME44" s="541"/>
      <c r="MF44" s="541"/>
      <c r="MG44" s="541"/>
      <c r="MH44" s="541"/>
      <c r="MI44" s="541"/>
      <c r="MJ44" s="541"/>
      <c r="MK44" s="541"/>
      <c r="ML44" s="541"/>
      <c r="MM44" s="541"/>
      <c r="MN44" s="541"/>
      <c r="MO44" s="541"/>
      <c r="MP44" s="541"/>
      <c r="MQ44" s="541"/>
      <c r="MR44" s="541"/>
      <c r="MS44" s="541"/>
      <c r="MT44" s="541"/>
      <c r="MU44" s="541"/>
      <c r="MV44" s="541"/>
      <c r="MW44" s="541"/>
      <c r="MX44" s="541"/>
      <c r="MY44" s="541"/>
      <c r="MZ44" s="541"/>
      <c r="NA44" s="541"/>
      <c r="NB44" s="541"/>
      <c r="NC44" s="541"/>
      <c r="ND44" s="541"/>
      <c r="NE44" s="541"/>
      <c r="NF44" s="541"/>
      <c r="NG44" s="541"/>
      <c r="NH44" s="541"/>
      <c r="NI44" s="541"/>
      <c r="NJ44" s="541"/>
      <c r="NK44" s="541"/>
      <c r="NL44" s="541"/>
      <c r="NM44" s="541"/>
      <c r="NN44" s="541"/>
      <c r="NO44" s="541"/>
      <c r="NP44" s="541"/>
      <c r="NQ44" s="541"/>
      <c r="NR44" s="541"/>
      <c r="NS44" s="541"/>
      <c r="NT44" s="541"/>
      <c r="NU44" s="541"/>
      <c r="NV44" s="541"/>
      <c r="NW44" s="541"/>
      <c r="NX44" s="541"/>
      <c r="NY44" s="541"/>
      <c r="NZ44" s="541"/>
      <c r="OA44" s="541"/>
      <c r="OB44" s="541"/>
      <c r="OC44" s="541"/>
      <c r="OD44" s="541"/>
      <c r="OE44" s="541"/>
      <c r="OF44" s="541"/>
      <c r="OG44" s="541"/>
      <c r="OH44" s="541"/>
      <c r="OI44" s="541"/>
      <c r="OJ44" s="541"/>
      <c r="OK44" s="541"/>
      <c r="OL44" s="541"/>
      <c r="OM44" s="541"/>
      <c r="ON44" s="541"/>
      <c r="OO44" s="541"/>
      <c r="OP44" s="541"/>
      <c r="OQ44" s="541"/>
      <c r="OR44" s="541"/>
      <c r="OS44" s="541"/>
      <c r="OT44" s="541"/>
      <c r="OU44" s="541"/>
      <c r="OV44" s="541"/>
      <c r="OW44" s="541"/>
      <c r="OX44" s="541"/>
      <c r="OY44" s="541"/>
      <c r="OZ44" s="541"/>
      <c r="PA44" s="541"/>
      <c r="PB44" s="541"/>
      <c r="PC44" s="541"/>
      <c r="PD44" s="541"/>
      <c r="PE44" s="541"/>
      <c r="PF44" s="541"/>
      <c r="PG44" s="541"/>
      <c r="PH44" s="541"/>
      <c r="PI44" s="541"/>
      <c r="PJ44" s="541"/>
      <c r="PK44" s="541"/>
      <c r="PL44" s="541"/>
      <c r="PM44" s="541"/>
      <c r="PN44" s="541"/>
      <c r="PO44" s="541"/>
      <c r="PP44" s="541"/>
      <c r="PQ44" s="541"/>
      <c r="PR44" s="541"/>
      <c r="PS44" s="541"/>
      <c r="PT44" s="541"/>
      <c r="PU44" s="541"/>
      <c r="PV44" s="541"/>
      <c r="PW44" s="541"/>
      <c r="PX44" s="541"/>
      <c r="PY44" s="541"/>
      <c r="PZ44" s="541"/>
      <c r="QA44" s="541"/>
      <c r="QB44" s="541"/>
      <c r="QC44" s="541"/>
      <c r="QD44" s="541"/>
      <c r="QE44" s="541"/>
      <c r="QF44" s="541"/>
      <c r="QG44" s="541"/>
      <c r="QH44" s="541"/>
      <c r="QI44" s="541"/>
      <c r="QJ44" s="541"/>
      <c r="QK44" s="541"/>
      <c r="QL44" s="541"/>
      <c r="QM44" s="541"/>
      <c r="QN44" s="541"/>
      <c r="QO44" s="541"/>
      <c r="QP44" s="541"/>
      <c r="QQ44" s="541"/>
      <c r="QR44" s="541"/>
      <c r="QS44" s="541"/>
      <c r="QT44" s="541"/>
      <c r="QU44" s="541"/>
      <c r="QV44" s="541"/>
      <c r="QW44" s="541"/>
      <c r="QX44" s="541"/>
      <c r="QY44" s="541"/>
      <c r="QZ44" s="541"/>
      <c r="RA44" s="541"/>
      <c r="RB44" s="541"/>
      <c r="RC44" s="541"/>
      <c r="RD44" s="541"/>
      <c r="RE44" s="541"/>
      <c r="RF44" s="541"/>
      <c r="RG44" s="541"/>
      <c r="RH44" s="541"/>
      <c r="RI44" s="541"/>
      <c r="RJ44" s="541"/>
      <c r="RK44" s="541"/>
      <c r="RL44" s="541"/>
      <c r="RM44" s="541"/>
      <c r="RN44" s="541"/>
      <c r="RO44" s="541"/>
      <c r="RP44" s="541"/>
      <c r="RQ44" s="541"/>
      <c r="RR44" s="541"/>
      <c r="RS44" s="541"/>
      <c r="RT44" s="541"/>
      <c r="RU44" s="541"/>
      <c r="RV44" s="541"/>
      <c r="RW44" s="541"/>
      <c r="RX44" s="541"/>
      <c r="RY44" s="541"/>
      <c r="RZ44" s="541"/>
      <c r="SA44" s="541"/>
      <c r="SB44" s="541"/>
      <c r="SC44" s="541"/>
      <c r="SD44" s="541"/>
      <c r="SE44" s="541"/>
      <c r="SF44" s="541"/>
      <c r="SG44" s="541"/>
      <c r="SH44" s="541"/>
      <c r="SI44" s="541"/>
      <c r="SJ44" s="541"/>
      <c r="SK44" s="541"/>
      <c r="SL44" s="541"/>
      <c r="SM44" s="541"/>
      <c r="SN44" s="541"/>
      <c r="SO44" s="541"/>
      <c r="SP44" s="541"/>
      <c r="SQ44" s="541"/>
      <c r="SR44" s="541"/>
      <c r="SS44" s="541"/>
      <c r="ST44" s="541"/>
      <c r="SU44" s="541"/>
      <c r="SV44" s="541"/>
      <c r="SW44" s="541"/>
      <c r="SX44" s="541"/>
      <c r="SY44" s="541"/>
      <c r="SZ44" s="541"/>
      <c r="TA44" s="541"/>
      <c r="TB44" s="541"/>
      <c r="TC44" s="541"/>
      <c r="TD44" s="541"/>
      <c r="TE44" s="541"/>
      <c r="TF44" s="541"/>
      <c r="TG44" s="541"/>
      <c r="TH44" s="541"/>
      <c r="TI44" s="541"/>
      <c r="TJ44" s="541"/>
      <c r="TK44" s="541"/>
      <c r="TL44" s="541"/>
      <c r="TM44" s="541"/>
      <c r="TN44" s="541"/>
      <c r="TO44" s="541"/>
      <c r="TP44" s="541"/>
      <c r="TQ44" s="541"/>
      <c r="TR44" s="541"/>
      <c r="TS44" s="541"/>
      <c r="TT44" s="541"/>
      <c r="TU44" s="541"/>
      <c r="TV44" s="541"/>
      <c r="TW44" s="541"/>
      <c r="TX44" s="541"/>
      <c r="TY44" s="541"/>
      <c r="TZ44" s="541"/>
      <c r="UA44" s="541"/>
      <c r="UB44" s="541"/>
      <c r="UC44" s="541"/>
      <c r="UD44" s="541"/>
      <c r="UE44" s="541"/>
      <c r="UF44" s="541"/>
      <c r="UG44" s="541"/>
      <c r="UH44" s="541"/>
      <c r="UI44" s="541"/>
      <c r="UJ44" s="541"/>
      <c r="UK44" s="541"/>
      <c r="UL44" s="541"/>
      <c r="UM44" s="541"/>
      <c r="UN44" s="541"/>
      <c r="UO44" s="541"/>
      <c r="UP44" s="541"/>
      <c r="UQ44" s="541"/>
      <c r="UR44" s="541"/>
      <c r="US44" s="541"/>
      <c r="UT44" s="541"/>
      <c r="UU44" s="541"/>
      <c r="UV44" s="541"/>
      <c r="UW44" s="541"/>
      <c r="UX44" s="541"/>
      <c r="UY44" s="541"/>
      <c r="UZ44" s="541"/>
      <c r="VA44" s="541"/>
      <c r="VB44" s="541"/>
      <c r="VC44" s="541"/>
      <c r="VD44" s="541"/>
      <c r="VE44" s="541"/>
      <c r="VF44" s="541"/>
      <c r="VG44" s="541"/>
      <c r="VH44" s="541"/>
      <c r="VI44" s="541"/>
      <c r="VJ44" s="541"/>
      <c r="VK44" s="541"/>
      <c r="VL44" s="541"/>
      <c r="VM44" s="541"/>
      <c r="VN44" s="541"/>
      <c r="VO44" s="541"/>
      <c r="VP44" s="541"/>
      <c r="VQ44" s="541"/>
      <c r="VR44" s="541"/>
      <c r="VS44" s="541"/>
      <c r="VT44" s="541"/>
      <c r="VU44" s="541"/>
      <c r="VV44" s="541"/>
      <c r="VW44" s="541"/>
      <c r="VX44" s="541"/>
      <c r="VY44" s="541"/>
      <c r="VZ44" s="541"/>
      <c r="WA44" s="541"/>
      <c r="WB44" s="541"/>
      <c r="WC44" s="541"/>
      <c r="WD44" s="541"/>
      <c r="WE44" s="541"/>
      <c r="WF44" s="541"/>
      <c r="WG44" s="541"/>
      <c r="WH44" s="541"/>
      <c r="WI44" s="541"/>
      <c r="WJ44" s="541"/>
      <c r="WK44" s="541"/>
      <c r="WL44" s="541"/>
      <c r="WM44" s="541"/>
      <c r="WN44" s="541"/>
      <c r="WO44" s="541"/>
      <c r="WP44" s="541"/>
      <c r="WQ44" s="541"/>
      <c r="WR44" s="541"/>
      <c r="WS44" s="541"/>
      <c r="WT44" s="541"/>
      <c r="WU44" s="541"/>
      <c r="WV44" s="541"/>
      <c r="WW44" s="541"/>
      <c r="WX44" s="541"/>
      <c r="WY44" s="541"/>
      <c r="WZ44" s="541"/>
      <c r="XA44" s="541"/>
      <c r="XB44" s="541"/>
      <c r="XC44" s="541"/>
      <c r="XD44" s="541"/>
      <c r="XE44" s="541"/>
      <c r="XF44" s="541"/>
      <c r="XG44" s="541"/>
      <c r="XH44" s="541"/>
      <c r="XI44" s="541"/>
      <c r="XJ44" s="541"/>
      <c r="XK44" s="541"/>
      <c r="XL44" s="541"/>
      <c r="XM44" s="541"/>
      <c r="XN44" s="541"/>
      <c r="XO44" s="541"/>
      <c r="XP44" s="541"/>
      <c r="XQ44" s="541"/>
      <c r="XR44" s="541"/>
      <c r="XS44" s="541"/>
      <c r="XT44" s="541"/>
      <c r="XU44" s="541"/>
      <c r="XV44" s="541"/>
      <c r="XW44" s="541"/>
      <c r="XX44" s="541"/>
      <c r="XY44" s="541"/>
      <c r="XZ44" s="541"/>
      <c r="YA44" s="541"/>
      <c r="YB44" s="541"/>
      <c r="YC44" s="541"/>
      <c r="YD44" s="541"/>
      <c r="YE44" s="541"/>
      <c r="YF44" s="541"/>
      <c r="YG44" s="541"/>
      <c r="YH44" s="541"/>
      <c r="YI44" s="541"/>
      <c r="YJ44" s="541"/>
      <c r="YK44" s="541"/>
      <c r="YL44" s="541"/>
      <c r="YM44" s="541"/>
      <c r="YN44" s="541"/>
      <c r="YO44" s="541"/>
      <c r="YP44" s="541"/>
      <c r="YQ44" s="541"/>
      <c r="YR44" s="541"/>
      <c r="YS44" s="541"/>
      <c r="YT44" s="541"/>
      <c r="YU44" s="541"/>
      <c r="YV44" s="541"/>
      <c r="YW44" s="541"/>
      <c r="YX44" s="541"/>
      <c r="YY44" s="541"/>
      <c r="YZ44" s="541"/>
      <c r="ZA44" s="541"/>
      <c r="ZB44" s="541"/>
      <c r="ZC44" s="541"/>
      <c r="ZD44" s="541"/>
      <c r="ZE44" s="541"/>
      <c r="ZF44" s="541"/>
      <c r="ZG44" s="541"/>
      <c r="ZH44" s="541"/>
      <c r="ZI44" s="541"/>
      <c r="ZJ44" s="541"/>
      <c r="ZK44" s="541"/>
      <c r="ZL44" s="541"/>
      <c r="ZM44" s="541"/>
      <c r="ZN44" s="541"/>
      <c r="ZO44" s="541"/>
      <c r="ZP44" s="541"/>
      <c r="ZQ44" s="541"/>
      <c r="ZR44" s="541"/>
      <c r="ZS44" s="541"/>
      <c r="ZT44" s="541"/>
      <c r="ZU44" s="541"/>
      <c r="ZV44" s="541"/>
      <c r="ZW44" s="541"/>
      <c r="ZX44" s="541"/>
      <c r="ZY44" s="541"/>
      <c r="ZZ44" s="541"/>
      <c r="AAA44" s="541"/>
      <c r="AAB44" s="541"/>
      <c r="AAC44" s="541"/>
      <c r="AAD44" s="541"/>
      <c r="AAE44" s="541"/>
      <c r="AAF44" s="541"/>
      <c r="AAG44" s="541"/>
      <c r="AAH44" s="541"/>
      <c r="AAI44" s="541"/>
      <c r="AAJ44" s="541"/>
      <c r="AAK44" s="541"/>
      <c r="AAL44" s="541"/>
      <c r="AAM44" s="541"/>
      <c r="AAN44" s="541"/>
      <c r="AAO44" s="541"/>
      <c r="AAP44" s="541"/>
      <c r="AAQ44" s="541"/>
      <c r="AAR44" s="541"/>
      <c r="AAS44" s="541"/>
      <c r="AAT44" s="541"/>
      <c r="AAU44" s="541"/>
      <c r="AAV44" s="541"/>
      <c r="AAW44" s="541"/>
      <c r="AAX44" s="541"/>
      <c r="AAY44" s="541"/>
      <c r="AAZ44" s="541"/>
      <c r="ABA44" s="541"/>
      <c r="ABB44" s="541"/>
      <c r="ABC44" s="541"/>
      <c r="ABD44" s="541"/>
      <c r="ABE44" s="541"/>
      <c r="ABF44" s="541"/>
      <c r="ABG44" s="541"/>
      <c r="ABH44" s="541"/>
      <c r="ABI44" s="541"/>
      <c r="ABJ44" s="541"/>
      <c r="ABK44" s="541"/>
      <c r="ABL44" s="541"/>
      <c r="ABM44" s="541"/>
      <c r="ABN44" s="541"/>
      <c r="ABO44" s="541"/>
      <c r="ABP44" s="541"/>
      <c r="ABQ44" s="541"/>
      <c r="ABR44" s="541"/>
      <c r="ABS44" s="541"/>
      <c r="ABT44" s="541"/>
      <c r="ABU44" s="541"/>
      <c r="ABV44" s="541"/>
      <c r="ABW44" s="541"/>
      <c r="ABX44" s="541"/>
      <c r="ABY44" s="541"/>
      <c r="ABZ44" s="541"/>
      <c r="ACA44" s="541"/>
      <c r="ACB44" s="541"/>
      <c r="ACC44" s="541"/>
      <c r="ACD44" s="541"/>
      <c r="ACE44" s="541"/>
      <c r="ACF44" s="541"/>
      <c r="ACG44" s="541"/>
      <c r="ACH44" s="541"/>
      <c r="ACI44" s="541"/>
      <c r="ACJ44" s="541"/>
      <c r="ACK44" s="541"/>
      <c r="ACL44" s="541"/>
      <c r="ACM44" s="541"/>
      <c r="ACN44" s="541"/>
      <c r="ACO44" s="541"/>
      <c r="ACP44" s="541"/>
      <c r="ACQ44" s="541"/>
      <c r="ACR44" s="541"/>
      <c r="ACS44" s="541"/>
      <c r="ACT44" s="541"/>
      <c r="ACU44" s="541"/>
      <c r="ACV44" s="541"/>
      <c r="ACW44" s="541"/>
      <c r="ACX44" s="541"/>
      <c r="ACY44" s="541"/>
      <c r="ACZ44" s="541"/>
      <c r="ADA44" s="541"/>
      <c r="ADB44" s="541"/>
      <c r="ADC44" s="541"/>
      <c r="ADD44" s="541"/>
      <c r="ADE44" s="541"/>
      <c r="ADF44" s="541"/>
      <c r="ADG44" s="541"/>
      <c r="ADH44" s="541"/>
      <c r="ADI44" s="541"/>
      <c r="ADJ44" s="541"/>
      <c r="ADK44" s="541"/>
      <c r="ADL44" s="541"/>
      <c r="ADM44" s="541"/>
      <c r="ADN44" s="541"/>
      <c r="ADO44" s="541"/>
      <c r="ADP44" s="541"/>
      <c r="ADQ44" s="541"/>
      <c r="ADR44" s="541"/>
      <c r="ADS44" s="541"/>
      <c r="ADT44" s="541"/>
      <c r="ADU44" s="541"/>
      <c r="ADV44" s="541"/>
      <c r="ADW44" s="541"/>
      <c r="ADX44" s="541"/>
      <c r="ADY44" s="541"/>
      <c r="ADZ44" s="541"/>
      <c r="AEA44" s="541"/>
      <c r="AEB44" s="541"/>
      <c r="AEC44" s="541"/>
      <c r="AED44" s="541"/>
      <c r="AEE44" s="541"/>
      <c r="AEF44" s="541"/>
      <c r="AEG44" s="541"/>
      <c r="AEH44" s="541"/>
      <c r="AEI44" s="541"/>
      <c r="AEJ44" s="541"/>
      <c r="AEK44" s="541"/>
      <c r="AEL44" s="541"/>
      <c r="AEM44" s="541"/>
      <c r="AEN44" s="541"/>
      <c r="AEO44" s="541"/>
      <c r="AEP44" s="541"/>
      <c r="AEQ44" s="541"/>
      <c r="AER44" s="541"/>
      <c r="AES44" s="541"/>
      <c r="AET44" s="541"/>
      <c r="AEU44" s="541"/>
      <c r="AEV44" s="541"/>
      <c r="AEW44" s="541"/>
      <c r="AEX44" s="541"/>
      <c r="AEY44" s="541"/>
      <c r="AEZ44" s="541"/>
      <c r="AFA44" s="541"/>
      <c r="AFB44" s="541"/>
      <c r="AFC44" s="541"/>
      <c r="AFD44" s="541"/>
      <c r="AFE44" s="541"/>
      <c r="AFF44" s="541"/>
      <c r="AFG44" s="541"/>
      <c r="AFH44" s="541"/>
      <c r="AFI44" s="541"/>
      <c r="AFJ44" s="541"/>
      <c r="AFK44" s="541"/>
      <c r="AFL44" s="541"/>
      <c r="AFM44" s="541"/>
      <c r="AFN44" s="541"/>
      <c r="AFO44" s="541"/>
      <c r="AFP44" s="541"/>
      <c r="AFQ44" s="541"/>
      <c r="AFR44" s="541"/>
      <c r="AFS44" s="541"/>
      <c r="AFT44" s="541"/>
      <c r="AFU44" s="541"/>
      <c r="AFV44" s="541"/>
      <c r="AFW44" s="541"/>
      <c r="AFX44" s="541"/>
      <c r="AFY44" s="541"/>
      <c r="AFZ44" s="541"/>
      <c r="AGA44" s="541"/>
      <c r="AGB44" s="541"/>
      <c r="AGC44" s="541"/>
      <c r="AGD44" s="541"/>
      <c r="AGE44" s="541"/>
      <c r="AGF44" s="541"/>
      <c r="AGG44" s="541"/>
      <c r="AGH44" s="541"/>
      <c r="AGI44" s="541"/>
      <c r="AGJ44" s="541"/>
      <c r="AGK44" s="541"/>
      <c r="AGL44" s="541"/>
      <c r="AGM44" s="541"/>
      <c r="AGN44" s="541"/>
      <c r="AGO44" s="541"/>
      <c r="AGP44" s="541"/>
      <c r="AGQ44" s="541"/>
      <c r="AGR44" s="541"/>
      <c r="AGS44" s="541"/>
      <c r="AGT44" s="541"/>
      <c r="AGU44" s="541"/>
      <c r="AGV44" s="541"/>
      <c r="AGW44" s="541"/>
      <c r="AGX44" s="541"/>
      <c r="AGY44" s="541"/>
      <c r="AGZ44" s="541"/>
      <c r="AHA44" s="541"/>
      <c r="AHB44" s="541"/>
      <c r="AHC44" s="541"/>
      <c r="AHD44" s="541"/>
      <c r="AHE44" s="541"/>
      <c r="AHF44" s="541"/>
      <c r="AHG44" s="541"/>
      <c r="AHH44" s="541"/>
      <c r="AHI44" s="541"/>
      <c r="AHJ44" s="541"/>
      <c r="AHK44" s="541"/>
      <c r="AHL44" s="541"/>
      <c r="AHM44" s="541"/>
      <c r="AHN44" s="541"/>
      <c r="AHO44" s="541"/>
      <c r="AHP44" s="541"/>
      <c r="AHQ44" s="541"/>
      <c r="AHR44" s="541"/>
      <c r="AHS44" s="541"/>
      <c r="AHT44" s="541"/>
      <c r="AHU44" s="541"/>
      <c r="AHV44" s="541"/>
      <c r="AHW44" s="541"/>
      <c r="AHX44" s="541"/>
      <c r="AHY44" s="541"/>
      <c r="AHZ44" s="541"/>
      <c r="AIA44" s="541"/>
      <c r="AIB44" s="541"/>
      <c r="AIC44" s="541"/>
      <c r="AID44" s="541"/>
      <c r="AIE44" s="541"/>
      <c r="AIF44" s="541"/>
      <c r="AIG44" s="541"/>
      <c r="AIH44" s="541"/>
      <c r="AII44" s="541"/>
      <c r="AIJ44" s="541"/>
      <c r="AIK44" s="541"/>
      <c r="AIL44" s="541"/>
      <c r="AIM44" s="541"/>
      <c r="AIN44" s="541"/>
      <c r="AIO44" s="541"/>
      <c r="AIP44" s="541"/>
      <c r="AIQ44" s="541"/>
      <c r="AIR44" s="541"/>
      <c r="AIS44" s="541"/>
      <c r="AIT44" s="541"/>
      <c r="AIU44" s="541"/>
      <c r="AIV44" s="541"/>
      <c r="AIW44" s="541"/>
      <c r="AIX44" s="541"/>
      <c r="AIY44" s="541"/>
      <c r="AIZ44" s="541"/>
      <c r="AJA44" s="541"/>
      <c r="AJB44" s="541"/>
      <c r="AJC44" s="541"/>
      <c r="AJD44" s="541"/>
      <c r="AJE44" s="541"/>
      <c r="AJF44" s="541"/>
      <c r="AJG44" s="541"/>
      <c r="AJH44" s="541"/>
      <c r="AJI44" s="541"/>
      <c r="AJJ44" s="541"/>
      <c r="AJK44" s="541"/>
      <c r="AJL44" s="541"/>
      <c r="AJM44" s="541"/>
      <c r="AJN44" s="541"/>
      <c r="AJO44" s="541"/>
      <c r="AJP44" s="541"/>
      <c r="AJQ44" s="541"/>
      <c r="AJR44" s="541"/>
      <c r="AJS44" s="541"/>
      <c r="AJT44" s="541"/>
      <c r="AJU44" s="541"/>
      <c r="AJV44" s="541"/>
      <c r="AJW44" s="541"/>
      <c r="AJX44" s="541"/>
      <c r="AJY44" s="541"/>
      <c r="AJZ44" s="541"/>
      <c r="AKA44" s="541"/>
      <c r="AKB44" s="541"/>
      <c r="AKC44" s="541"/>
      <c r="AKD44" s="541"/>
      <c r="AKE44" s="541"/>
      <c r="AKF44" s="541"/>
      <c r="AKG44" s="541"/>
      <c r="AKH44" s="541"/>
      <c r="AKI44" s="541"/>
      <c r="AKJ44" s="541"/>
      <c r="AKK44" s="541"/>
      <c r="AKL44" s="541"/>
      <c r="AKM44" s="541"/>
      <c r="AKN44" s="541"/>
      <c r="AKO44" s="541"/>
      <c r="AKP44" s="541"/>
      <c r="AKQ44" s="541"/>
      <c r="AKR44" s="541"/>
      <c r="AKS44" s="541"/>
      <c r="AKT44" s="541"/>
      <c r="AKU44" s="541"/>
      <c r="AKV44" s="541"/>
      <c r="AKW44" s="541"/>
      <c r="AKX44" s="541"/>
      <c r="AKY44" s="541"/>
      <c r="AKZ44" s="541"/>
      <c r="ALA44" s="541"/>
      <c r="ALB44" s="541"/>
      <c r="ALC44" s="541"/>
      <c r="ALD44" s="541"/>
      <c r="ALE44" s="541"/>
      <c r="ALF44" s="541"/>
      <c r="ALG44" s="541"/>
      <c r="ALH44" s="541"/>
      <c r="ALI44" s="541"/>
      <c r="ALJ44" s="541"/>
      <c r="ALK44" s="541"/>
      <c r="ALL44" s="541"/>
      <c r="ALM44" s="541"/>
      <c r="ALN44" s="541"/>
      <c r="ALO44" s="541"/>
      <c r="ALP44" s="541"/>
      <c r="ALQ44" s="541"/>
      <c r="ALR44" s="541"/>
      <c r="ALS44" s="541"/>
      <c r="ALT44" s="541"/>
      <c r="ALU44" s="541"/>
      <c r="ALV44" s="541"/>
      <c r="ALW44" s="541"/>
      <c r="ALX44" s="541"/>
      <c r="ALY44" s="541"/>
      <c r="ALZ44" s="541"/>
      <c r="AMA44" s="541"/>
      <c r="AMB44" s="541"/>
      <c r="AMC44" s="541"/>
      <c r="AMD44" s="541"/>
      <c r="AME44" s="541"/>
      <c r="AMF44" s="541"/>
      <c r="AMG44" s="541"/>
      <c r="AMH44" s="541"/>
      <c r="AMI44" s="541"/>
      <c r="AMJ44" s="541"/>
      <c r="AMK44" s="541"/>
      <c r="AML44" s="541"/>
      <c r="AMM44" s="541"/>
      <c r="AMN44" s="541"/>
      <c r="AMO44" s="541"/>
      <c r="AMP44" s="541"/>
      <c r="AMQ44" s="541"/>
      <c r="AMR44" s="541"/>
      <c r="AMS44" s="541"/>
      <c r="AMT44" s="541"/>
      <c r="AMU44" s="541"/>
      <c r="AMV44" s="541"/>
      <c r="AMW44" s="541"/>
      <c r="AMX44" s="541"/>
      <c r="AMY44" s="541"/>
      <c r="AMZ44" s="541"/>
      <c r="ANA44" s="541"/>
      <c r="ANB44" s="541"/>
      <c r="ANC44" s="541"/>
      <c r="AND44" s="541"/>
      <c r="ANE44" s="541"/>
      <c r="ANF44" s="541"/>
      <c r="ANG44" s="541"/>
      <c r="ANH44" s="541"/>
      <c r="ANI44" s="541"/>
      <c r="ANJ44" s="541"/>
      <c r="ANK44" s="541"/>
      <c r="ANL44" s="541"/>
      <c r="ANM44" s="541"/>
      <c r="ANN44" s="541"/>
      <c r="ANO44" s="541"/>
      <c r="ANP44" s="541"/>
      <c r="ANQ44" s="541"/>
      <c r="ANR44" s="541"/>
      <c r="ANS44" s="541"/>
      <c r="ANT44" s="541"/>
      <c r="ANU44" s="541"/>
      <c r="ANV44" s="541"/>
      <c r="ANW44" s="541"/>
      <c r="ANX44" s="541"/>
      <c r="ANY44" s="541"/>
      <c r="ANZ44" s="541"/>
      <c r="AOA44" s="541"/>
      <c r="AOB44" s="541"/>
      <c r="AOC44" s="541"/>
      <c r="AOD44" s="541"/>
      <c r="AOE44" s="541"/>
      <c r="AOF44" s="541"/>
      <c r="AOG44" s="541"/>
      <c r="AOH44" s="541"/>
      <c r="AOI44" s="541"/>
      <c r="AOJ44" s="541"/>
      <c r="AOK44" s="541"/>
      <c r="AOL44" s="541"/>
      <c r="AOM44" s="541"/>
      <c r="AON44" s="541"/>
      <c r="AOO44" s="541"/>
      <c r="AOP44" s="541"/>
      <c r="AOQ44" s="541"/>
      <c r="AOR44" s="541"/>
      <c r="AOS44" s="541"/>
      <c r="AOT44" s="541"/>
      <c r="AOU44" s="541"/>
      <c r="AOV44" s="541"/>
      <c r="AOW44" s="541"/>
      <c r="AOX44" s="541"/>
      <c r="AOY44" s="541"/>
      <c r="AOZ44" s="541"/>
      <c r="APA44" s="541"/>
      <c r="APB44" s="541"/>
      <c r="APC44" s="541"/>
      <c r="APD44" s="541"/>
      <c r="APE44" s="541"/>
      <c r="APF44" s="541"/>
      <c r="APG44" s="541"/>
      <c r="APH44" s="541"/>
      <c r="API44" s="541"/>
      <c r="APJ44" s="541"/>
      <c r="APK44" s="541"/>
      <c r="APL44" s="541"/>
      <c r="APM44" s="541"/>
      <c r="APN44" s="541"/>
      <c r="APO44" s="541"/>
      <c r="APP44" s="541"/>
      <c r="APQ44" s="541"/>
      <c r="APR44" s="541"/>
      <c r="APS44" s="541"/>
      <c r="APT44" s="541"/>
      <c r="APU44" s="541"/>
      <c r="APV44" s="541"/>
      <c r="APW44" s="541"/>
      <c r="APX44" s="541"/>
      <c r="APY44" s="541"/>
      <c r="APZ44" s="541"/>
      <c r="AQA44" s="541"/>
      <c r="AQB44" s="541"/>
      <c r="AQC44" s="541"/>
      <c r="AQD44" s="541"/>
      <c r="AQE44" s="541"/>
      <c r="AQF44" s="541"/>
      <c r="AQG44" s="541"/>
      <c r="AQH44" s="541"/>
      <c r="AQI44" s="541"/>
      <c r="AQJ44" s="541"/>
      <c r="AQK44" s="541"/>
      <c r="AQL44" s="541"/>
      <c r="AQM44" s="541"/>
      <c r="AQN44" s="541"/>
      <c r="AQO44" s="541"/>
      <c r="AQP44" s="541"/>
      <c r="AQQ44" s="541"/>
      <c r="AQR44" s="541"/>
      <c r="AQS44" s="541"/>
      <c r="AQT44" s="541"/>
      <c r="AQU44" s="541"/>
      <c r="AQV44" s="541"/>
      <c r="AQW44" s="541"/>
      <c r="AQX44" s="541"/>
      <c r="AQY44" s="541"/>
      <c r="AQZ44" s="541"/>
      <c r="ARA44" s="541"/>
      <c r="ARB44" s="541"/>
      <c r="ARC44" s="541"/>
      <c r="ARD44" s="541"/>
      <c r="ARE44" s="541"/>
      <c r="ARF44" s="541"/>
      <c r="ARG44" s="541"/>
      <c r="ARH44" s="541"/>
      <c r="ARI44" s="541"/>
      <c r="ARJ44" s="541"/>
      <c r="ARK44" s="541"/>
      <c r="ARL44" s="541"/>
      <c r="ARM44" s="541"/>
      <c r="ARN44" s="541"/>
      <c r="ARO44" s="541"/>
      <c r="ARP44" s="541"/>
      <c r="ARQ44" s="541"/>
      <c r="ARR44" s="541"/>
      <c r="ARS44" s="541"/>
      <c r="ART44" s="541"/>
    </row>
    <row r="45" spans="1:1164">
      <c r="A45" s="593"/>
      <c r="B45" s="541"/>
      <c r="C45" s="694"/>
      <c r="D45" s="694"/>
      <c r="E45" s="635"/>
      <c r="F45" s="635"/>
      <c r="G45" s="608"/>
      <c r="H45" s="608"/>
      <c r="I45" s="608"/>
      <c r="J45" s="608"/>
      <c r="K45" s="608"/>
      <c r="L45" s="608"/>
      <c r="M45" s="608"/>
      <c r="N45" s="608"/>
      <c r="O45" s="608"/>
      <c r="P45" s="608"/>
      <c r="Q45" s="608"/>
      <c r="R45" s="608"/>
      <c r="S45" s="608"/>
      <c r="T45" s="608"/>
      <c r="U45" s="586"/>
      <c r="V45" s="586"/>
      <c r="W45" s="586"/>
      <c r="X45" s="586"/>
      <c r="Y45" s="586"/>
      <c r="Z45" s="586"/>
      <c r="AA45" s="586"/>
      <c r="AB45" s="586"/>
      <c r="AC45" s="586"/>
      <c r="AD45" s="586"/>
      <c r="AE45" s="608"/>
      <c r="AF45" s="608"/>
      <c r="AG45" s="586"/>
      <c r="AH45" s="586"/>
      <c r="AI45" s="586"/>
      <c r="AJ45" s="586"/>
      <c r="AK45" s="586"/>
      <c r="AL45" s="586"/>
      <c r="AM45" s="586"/>
      <c r="AN45" s="586"/>
      <c r="AO45" s="586"/>
      <c r="AP45" s="586"/>
      <c r="AQ45" s="586"/>
      <c r="AR45" s="586"/>
      <c r="AS45" s="586"/>
      <c r="AT45" s="586"/>
      <c r="AU45" s="586"/>
      <c r="AV45" s="586"/>
      <c r="AW45" s="608"/>
      <c r="AX45" s="608"/>
      <c r="AY45" s="680"/>
      <c r="AZ45" s="680"/>
      <c r="BA45" s="586"/>
      <c r="BB45" s="608"/>
      <c r="BC45" s="608"/>
      <c r="BD45" s="608"/>
      <c r="BE45" s="608"/>
      <c r="BF45" s="608"/>
      <c r="BG45" s="608"/>
      <c r="BH45" s="608"/>
      <c r="BI45" s="586"/>
      <c r="BJ45" s="608"/>
      <c r="BK45" s="608"/>
      <c r="BL45" s="541"/>
      <c r="BM45" s="42"/>
      <c r="BO45" s="624"/>
    </row>
    <row r="46" spans="1:1164">
      <c r="A46" s="591" t="s">
        <v>218</v>
      </c>
      <c r="B46" s="430"/>
      <c r="C46" s="684"/>
      <c r="D46" s="684"/>
      <c r="E46" s="608"/>
      <c r="F46" s="608"/>
      <c r="G46" s="608"/>
      <c r="H46" s="608"/>
      <c r="I46" s="608"/>
      <c r="J46" s="608"/>
      <c r="K46" s="608"/>
      <c r="L46" s="608"/>
      <c r="M46" s="608"/>
      <c r="N46" s="608"/>
      <c r="O46" s="608"/>
      <c r="P46" s="608"/>
      <c r="Q46" s="608"/>
      <c r="R46" s="608"/>
      <c r="S46" s="608"/>
      <c r="T46" s="608"/>
      <c r="U46" s="586"/>
      <c r="V46" s="586"/>
      <c r="W46" s="586"/>
      <c r="X46" s="586"/>
      <c r="Y46" s="586"/>
      <c r="Z46" s="586"/>
      <c r="AA46" s="586"/>
      <c r="AB46" s="586"/>
      <c r="AC46" s="586"/>
      <c r="AD46" s="586"/>
      <c r="AE46" s="608"/>
      <c r="AF46" s="608"/>
      <c r="AG46" s="586"/>
      <c r="AH46" s="586"/>
      <c r="AI46" s="586"/>
      <c r="AJ46" s="586"/>
      <c r="AK46" s="586"/>
      <c r="AL46" s="586"/>
      <c r="AM46" s="586"/>
      <c r="AN46" s="586"/>
      <c r="AO46" s="586"/>
      <c r="AP46" s="586"/>
      <c r="AQ46" s="586"/>
      <c r="AR46" s="586"/>
      <c r="AS46" s="586"/>
      <c r="AT46" s="586"/>
      <c r="AU46" s="586"/>
      <c r="AV46" s="586"/>
      <c r="AW46" s="650"/>
      <c r="AX46" s="650"/>
      <c r="AY46" s="608"/>
      <c r="AZ46" s="648"/>
      <c r="BA46" s="686"/>
      <c r="BB46" s="650"/>
      <c r="BC46" s="650"/>
      <c r="BD46" s="650"/>
      <c r="BE46" s="650"/>
      <c r="BF46" s="650"/>
      <c r="BG46" s="650"/>
      <c r="BH46" s="650"/>
      <c r="BI46" s="686"/>
      <c r="BJ46" s="650"/>
      <c r="BK46" s="650"/>
      <c r="BL46" s="541"/>
      <c r="BM46" s="42"/>
      <c r="BN46" s="624"/>
      <c r="BO46" s="624"/>
    </row>
    <row r="47" spans="1:1164">
      <c r="A47" s="593" t="s">
        <v>219</v>
      </c>
      <c r="B47" s="594" t="s">
        <v>110</v>
      </c>
      <c r="C47" s="595">
        <v>0</v>
      </c>
      <c r="D47" s="595">
        <v>0</v>
      </c>
      <c r="E47" s="595">
        <v>0</v>
      </c>
      <c r="F47" s="595">
        <v>0</v>
      </c>
      <c r="G47" s="595">
        <v>0</v>
      </c>
      <c r="H47" s="595">
        <v>0</v>
      </c>
      <c r="I47" s="595">
        <v>0</v>
      </c>
      <c r="J47" s="595">
        <v>0</v>
      </c>
      <c r="K47" s="608">
        <v>1147</v>
      </c>
      <c r="L47" s="608">
        <v>7003</v>
      </c>
      <c r="M47" s="608">
        <v>0</v>
      </c>
      <c r="N47" s="608">
        <v>0</v>
      </c>
      <c r="O47" s="608">
        <v>0</v>
      </c>
      <c r="P47" s="608">
        <v>0</v>
      </c>
      <c r="Q47" s="608">
        <v>0</v>
      </c>
      <c r="R47" s="608">
        <v>0</v>
      </c>
      <c r="S47" s="608">
        <v>0</v>
      </c>
      <c r="T47" s="608">
        <v>0</v>
      </c>
      <c r="U47" s="608">
        <v>0</v>
      </c>
      <c r="V47" s="608">
        <v>0</v>
      </c>
      <c r="W47" s="608">
        <v>0</v>
      </c>
      <c r="X47" s="608">
        <v>0</v>
      </c>
      <c r="Y47" s="608">
        <v>0</v>
      </c>
      <c r="Z47" s="608">
        <v>0</v>
      </c>
      <c r="AA47" s="608">
        <v>0</v>
      </c>
      <c r="AB47" s="608">
        <v>0</v>
      </c>
      <c r="AC47" s="608">
        <v>0</v>
      </c>
      <c r="AD47" s="608">
        <v>0</v>
      </c>
      <c r="AE47" s="608">
        <v>0</v>
      </c>
      <c r="AF47" s="608">
        <v>0</v>
      </c>
      <c r="AG47" s="608">
        <v>0</v>
      </c>
      <c r="AH47" s="608">
        <v>0</v>
      </c>
      <c r="AI47" s="608">
        <v>0</v>
      </c>
      <c r="AJ47" s="608">
        <v>0</v>
      </c>
      <c r="AK47" s="608">
        <v>0</v>
      </c>
      <c r="AL47" s="608">
        <v>0</v>
      </c>
      <c r="AM47" s="608">
        <v>0</v>
      </c>
      <c r="AN47" s="608">
        <v>0</v>
      </c>
      <c r="AO47" s="608">
        <v>0</v>
      </c>
      <c r="AP47" s="608">
        <v>0</v>
      </c>
      <c r="AQ47" s="608">
        <v>0</v>
      </c>
      <c r="AR47" s="608">
        <v>0</v>
      </c>
      <c r="AS47" s="608">
        <v>0</v>
      </c>
      <c r="AT47" s="608">
        <v>0</v>
      </c>
      <c r="AU47" s="608">
        <v>0</v>
      </c>
      <c r="AV47" s="608">
        <v>0</v>
      </c>
      <c r="AW47" s="608">
        <v>0</v>
      </c>
      <c r="AX47" s="608">
        <v>0</v>
      </c>
      <c r="AY47" s="608">
        <v>0</v>
      </c>
      <c r="AZ47" s="608">
        <v>0</v>
      </c>
      <c r="BA47" s="608"/>
      <c r="BB47" s="608"/>
      <c r="BC47" s="608"/>
      <c r="BD47" s="608"/>
      <c r="BE47" s="608"/>
      <c r="BF47" s="608"/>
      <c r="BG47" s="608"/>
      <c r="BH47" s="608"/>
      <c r="BI47" s="608"/>
      <c r="BJ47" s="608">
        <f t="shared" ref="BJ47:BJ56" si="4">C47+G47+I47+K47+M47+O47+Q47+S47+U47+W47+Y47+AA47+AC47+AE47+AG47+AI47+AK47+AM47+AO47+AQ47+AS47+AU47+AW47+AY47+BB47+BF47</f>
        <v>1147</v>
      </c>
      <c r="BK47" s="595">
        <f t="shared" ref="BK47:BK57" si="5">D47+H47+J47+L47+N47+P47+R47+T47+V47+X47+Z47+AB47+AD47+AF47+AH47+AJ47+AL47+AN47+AP47+AR47+AT47+AV47+AX47+AZ47+BD47+BH47</f>
        <v>7003</v>
      </c>
      <c r="BL47" s="541"/>
      <c r="BM47" s="42"/>
      <c r="BN47" s="624"/>
      <c r="BO47" s="624"/>
    </row>
    <row r="48" spans="1:1164">
      <c r="A48" s="593" t="s">
        <v>220</v>
      </c>
      <c r="B48" s="594" t="s">
        <v>110</v>
      </c>
      <c r="C48" s="595">
        <v>0</v>
      </c>
      <c r="D48" s="595">
        <v>0</v>
      </c>
      <c r="E48" s="595">
        <v>4251</v>
      </c>
      <c r="F48" s="595">
        <f>E48*152.52</f>
        <v>648362.52</v>
      </c>
      <c r="G48" s="595">
        <v>6372</v>
      </c>
      <c r="H48" s="595">
        <f>G48*171.41</f>
        <v>1092224.52</v>
      </c>
      <c r="I48" s="595">
        <v>6602</v>
      </c>
      <c r="J48" s="595">
        <v>1034863</v>
      </c>
      <c r="K48" s="595">
        <v>6202</v>
      </c>
      <c r="L48" s="595">
        <f>K48*137.45</f>
        <v>852464.89999999991</v>
      </c>
      <c r="M48" s="595">
        <v>8424</v>
      </c>
      <c r="N48" s="595">
        <f>M48*151.73</f>
        <v>1278173.52</v>
      </c>
      <c r="O48" s="595">
        <v>7097</v>
      </c>
      <c r="P48" s="595">
        <f>O48*168.02</f>
        <v>1192437.9400000002</v>
      </c>
      <c r="Q48" s="595">
        <v>7098</v>
      </c>
      <c r="R48" s="595">
        <f>Q48*176</f>
        <v>1249248</v>
      </c>
      <c r="S48" s="595">
        <v>10960</v>
      </c>
      <c r="T48" s="595">
        <v>2013960</v>
      </c>
      <c r="U48" s="608">
        <v>27221</v>
      </c>
      <c r="V48" s="608">
        <v>2779727</v>
      </c>
      <c r="W48" s="608">
        <v>35985</v>
      </c>
      <c r="X48" s="608">
        <v>3885665</v>
      </c>
      <c r="Y48" s="608">
        <v>27985</v>
      </c>
      <c r="Z48" s="608">
        <v>5062003</v>
      </c>
      <c r="AA48" s="623">
        <v>17245</v>
      </c>
      <c r="AB48" s="623">
        <v>4617226</v>
      </c>
      <c r="AC48" s="595">
        <v>20697</v>
      </c>
      <c r="AD48" s="595">
        <v>6315851</v>
      </c>
      <c r="AE48" s="595">
        <v>20632</v>
      </c>
      <c r="AF48" s="595">
        <v>6099237</v>
      </c>
      <c r="AG48" s="623">
        <v>19412</v>
      </c>
      <c r="AH48" s="586">
        <v>5642890</v>
      </c>
      <c r="AI48" s="623">
        <v>18159</v>
      </c>
      <c r="AJ48" s="586">
        <v>3804561</v>
      </c>
      <c r="AK48" s="673">
        <v>17173</v>
      </c>
      <c r="AL48" s="673">
        <v>4180355</v>
      </c>
      <c r="AM48" s="676">
        <v>28262</v>
      </c>
      <c r="AN48" s="676">
        <v>4203131</v>
      </c>
      <c r="AO48" s="586">
        <v>15670</v>
      </c>
      <c r="AP48" s="586">
        <v>2882617</v>
      </c>
      <c r="AQ48" s="586">
        <v>10240</v>
      </c>
      <c r="AR48" s="586">
        <v>1069318</v>
      </c>
      <c r="AS48" s="586">
        <v>11860.36</v>
      </c>
      <c r="AT48" s="586">
        <v>1238563</v>
      </c>
      <c r="AU48" s="623">
        <v>13194</v>
      </c>
      <c r="AV48" s="623">
        <v>1377850</v>
      </c>
      <c r="AW48" s="623">
        <v>11926</v>
      </c>
      <c r="AX48" s="623">
        <v>1245433</v>
      </c>
      <c r="AY48" s="608">
        <v>11187</v>
      </c>
      <c r="AZ48" s="608">
        <v>1168258</v>
      </c>
      <c r="BA48" s="686"/>
      <c r="BB48" s="608"/>
      <c r="BC48" s="650"/>
      <c r="BD48" s="608"/>
      <c r="BE48" s="608"/>
      <c r="BF48" s="624"/>
      <c r="BG48" s="624"/>
      <c r="BH48" s="624"/>
      <c r="BI48" s="686"/>
      <c r="BJ48" s="608">
        <f t="shared" si="4"/>
        <v>359603.36</v>
      </c>
      <c r="BK48" s="595">
        <f t="shared" si="5"/>
        <v>64286056.879999995</v>
      </c>
      <c r="BL48" s="541"/>
      <c r="BM48" s="42"/>
      <c r="BN48" s="624"/>
      <c r="BO48" s="624"/>
    </row>
    <row r="49" spans="1:1165">
      <c r="A49" s="593" t="s">
        <v>221</v>
      </c>
      <c r="B49" s="594" t="s">
        <v>110</v>
      </c>
      <c r="C49" s="670">
        <v>15484</v>
      </c>
      <c r="D49" s="670">
        <v>117282</v>
      </c>
      <c r="E49" s="595">
        <v>0</v>
      </c>
      <c r="F49" s="595">
        <v>0</v>
      </c>
      <c r="G49" s="595">
        <v>0</v>
      </c>
      <c r="H49" s="595">
        <v>0</v>
      </c>
      <c r="I49" s="595">
        <v>0</v>
      </c>
      <c r="J49" s="595">
        <v>0</v>
      </c>
      <c r="K49" s="595">
        <v>0</v>
      </c>
      <c r="L49" s="595">
        <v>0</v>
      </c>
      <c r="M49" s="595">
        <v>0</v>
      </c>
      <c r="N49" s="594"/>
      <c r="O49" s="595"/>
      <c r="P49" s="594"/>
      <c r="Q49" s="595">
        <v>0</v>
      </c>
      <c r="R49" s="595">
        <v>0</v>
      </c>
      <c r="S49" s="595">
        <v>0</v>
      </c>
      <c r="T49" s="595">
        <v>0</v>
      </c>
      <c r="U49" s="595">
        <v>0</v>
      </c>
      <c r="V49" s="595">
        <v>0</v>
      </c>
      <c r="W49" s="595">
        <v>0</v>
      </c>
      <c r="X49" s="595">
        <v>0</v>
      </c>
      <c r="Y49" s="595">
        <v>0</v>
      </c>
      <c r="Z49" s="595">
        <v>0</v>
      </c>
      <c r="AA49" s="595">
        <v>0</v>
      </c>
      <c r="AB49" s="595">
        <v>0</v>
      </c>
      <c r="AC49" s="595">
        <v>0</v>
      </c>
      <c r="AD49" s="595">
        <v>0</v>
      </c>
      <c r="AE49" s="595">
        <v>0</v>
      </c>
      <c r="AF49" s="595">
        <v>0</v>
      </c>
      <c r="AG49" s="595">
        <v>0</v>
      </c>
      <c r="AH49" s="595">
        <v>0</v>
      </c>
      <c r="AI49" s="595">
        <v>0</v>
      </c>
      <c r="AJ49" s="595">
        <v>0</v>
      </c>
      <c r="AK49" s="595">
        <v>0</v>
      </c>
      <c r="AL49" s="595">
        <v>0</v>
      </c>
      <c r="AM49" s="595">
        <v>0</v>
      </c>
      <c r="AN49" s="595">
        <v>0</v>
      </c>
      <c r="AO49" s="595">
        <v>0</v>
      </c>
      <c r="AP49" s="595">
        <v>0</v>
      </c>
      <c r="AQ49" s="595">
        <v>0</v>
      </c>
      <c r="AR49" s="595">
        <v>0</v>
      </c>
      <c r="AS49" s="595">
        <v>0</v>
      </c>
      <c r="AT49" s="595">
        <v>0</v>
      </c>
      <c r="AU49" s="608">
        <v>0</v>
      </c>
      <c r="AV49" s="608">
        <v>0</v>
      </c>
      <c r="AW49" s="608">
        <v>0</v>
      </c>
      <c r="AX49" s="608">
        <v>0</v>
      </c>
      <c r="AY49" s="608">
        <v>0</v>
      </c>
      <c r="AZ49" s="608">
        <v>0</v>
      </c>
      <c r="BA49" s="608"/>
      <c r="BB49" s="608"/>
      <c r="BC49" s="608"/>
      <c r="BD49" s="608"/>
      <c r="BE49" s="608"/>
      <c r="BF49" s="608"/>
      <c r="BG49" s="608"/>
      <c r="BH49" s="608"/>
      <c r="BI49" s="608"/>
      <c r="BJ49" s="608">
        <f t="shared" si="4"/>
        <v>15484</v>
      </c>
      <c r="BK49" s="595">
        <f t="shared" si="5"/>
        <v>117282</v>
      </c>
      <c r="BL49" s="541"/>
      <c r="BM49" s="42"/>
      <c r="BO49" s="624"/>
    </row>
    <row r="50" spans="1:1165">
      <c r="A50" s="593" t="s">
        <v>222</v>
      </c>
      <c r="B50" s="594" t="s">
        <v>110</v>
      </c>
      <c r="C50" s="670">
        <v>726030</v>
      </c>
      <c r="D50" s="670">
        <v>1479044</v>
      </c>
      <c r="E50" s="595">
        <v>25328</v>
      </c>
      <c r="F50" s="595">
        <v>63319</v>
      </c>
      <c r="G50" s="595">
        <v>26919</v>
      </c>
      <c r="H50" s="595">
        <v>68046</v>
      </c>
      <c r="I50" s="595">
        <v>25118</v>
      </c>
      <c r="J50" s="595">
        <v>62795</v>
      </c>
      <c r="K50" s="595">
        <v>20082</v>
      </c>
      <c r="L50" s="595">
        <v>50205</v>
      </c>
      <c r="M50" s="595">
        <v>28693</v>
      </c>
      <c r="N50" s="595">
        <v>71734</v>
      </c>
      <c r="O50" s="595">
        <v>22513</v>
      </c>
      <c r="P50" s="595">
        <v>56283</v>
      </c>
      <c r="Q50" s="595">
        <v>23495</v>
      </c>
      <c r="R50" s="595">
        <v>58729</v>
      </c>
      <c r="S50" s="595">
        <v>23217</v>
      </c>
      <c r="T50" s="595">
        <v>58043</v>
      </c>
      <c r="U50" s="608">
        <v>22999</v>
      </c>
      <c r="V50" s="608">
        <v>57499</v>
      </c>
      <c r="W50" s="608">
        <v>23025</v>
      </c>
      <c r="X50" s="608">
        <v>57564</v>
      </c>
      <c r="Y50" s="608">
        <v>11020</v>
      </c>
      <c r="Z50" s="608">
        <v>27550</v>
      </c>
      <c r="AA50" s="623">
        <v>32795</v>
      </c>
      <c r="AB50" s="623">
        <v>234039</v>
      </c>
      <c r="AC50" s="595">
        <v>6970</v>
      </c>
      <c r="AD50" s="595">
        <v>74168</v>
      </c>
      <c r="AE50" s="595">
        <v>0</v>
      </c>
      <c r="AF50" s="595">
        <v>0</v>
      </c>
      <c r="AG50" s="595">
        <v>0</v>
      </c>
      <c r="AH50" s="595">
        <v>0</v>
      </c>
      <c r="AI50" s="595">
        <v>0</v>
      </c>
      <c r="AJ50" s="595">
        <v>0</v>
      </c>
      <c r="AK50" s="430">
        <v>0</v>
      </c>
      <c r="AL50" s="430">
        <v>0</v>
      </c>
      <c r="AM50" s="595">
        <v>0</v>
      </c>
      <c r="AN50" s="595">
        <v>0</v>
      </c>
      <c r="AO50" s="595">
        <v>0</v>
      </c>
      <c r="AP50" s="595">
        <v>0</v>
      </c>
      <c r="AQ50" s="595">
        <v>0</v>
      </c>
      <c r="AR50" s="595">
        <v>0</v>
      </c>
      <c r="AS50" s="595">
        <v>0</v>
      </c>
      <c r="AT50" s="595">
        <v>0</v>
      </c>
      <c r="AU50" s="608">
        <v>0</v>
      </c>
      <c r="AV50" s="608">
        <v>0</v>
      </c>
      <c r="AW50" s="608">
        <v>0</v>
      </c>
      <c r="AX50" s="608">
        <v>0</v>
      </c>
      <c r="AY50" s="608">
        <v>0</v>
      </c>
      <c r="AZ50" s="608">
        <v>0</v>
      </c>
      <c r="BA50" s="608"/>
      <c r="BB50" s="608"/>
      <c r="BC50" s="608"/>
      <c r="BD50" s="608"/>
      <c r="BE50" s="608"/>
      <c r="BF50" s="608"/>
      <c r="BG50" s="608"/>
      <c r="BH50" s="608"/>
      <c r="BI50" s="608"/>
      <c r="BJ50" s="608">
        <f t="shared" si="4"/>
        <v>992876</v>
      </c>
      <c r="BK50" s="595">
        <f t="shared" si="5"/>
        <v>2355699</v>
      </c>
      <c r="BL50" s="541"/>
      <c r="BM50" s="42"/>
      <c r="BN50" s="624"/>
      <c r="BO50" s="624"/>
    </row>
    <row r="51" spans="1:1165">
      <c r="A51" s="593" t="s">
        <v>223</v>
      </c>
      <c r="B51" s="594" t="s">
        <v>110</v>
      </c>
      <c r="C51" s="595">
        <v>0</v>
      </c>
      <c r="D51" s="595">
        <v>0</v>
      </c>
      <c r="E51" s="595">
        <v>0</v>
      </c>
      <c r="F51" s="595">
        <v>0</v>
      </c>
      <c r="G51" s="595">
        <v>0</v>
      </c>
      <c r="H51" s="595">
        <v>0</v>
      </c>
      <c r="I51" s="595">
        <v>0</v>
      </c>
      <c r="J51" s="595">
        <v>0</v>
      </c>
      <c r="K51" s="595">
        <v>0</v>
      </c>
      <c r="L51" s="595">
        <v>0</v>
      </c>
      <c r="M51" s="595">
        <v>0</v>
      </c>
      <c r="N51" s="595">
        <v>0</v>
      </c>
      <c r="O51" s="595">
        <v>0</v>
      </c>
      <c r="P51" s="595">
        <v>0</v>
      </c>
      <c r="Q51" s="595">
        <v>0</v>
      </c>
      <c r="R51" s="595">
        <v>0</v>
      </c>
      <c r="S51" s="595">
        <v>0</v>
      </c>
      <c r="T51" s="595">
        <v>0</v>
      </c>
      <c r="U51" s="595">
        <v>383</v>
      </c>
      <c r="V51" s="595">
        <v>765</v>
      </c>
      <c r="W51" s="608">
        <v>0</v>
      </c>
      <c r="X51" s="608">
        <v>0</v>
      </c>
      <c r="Y51" s="595">
        <v>0</v>
      </c>
      <c r="Z51" s="595">
        <v>0</v>
      </c>
      <c r="AA51" s="595">
        <v>0</v>
      </c>
      <c r="AB51" s="595">
        <v>0</v>
      </c>
      <c r="AC51" s="595">
        <v>0</v>
      </c>
      <c r="AD51" s="595">
        <v>0</v>
      </c>
      <c r="AE51" s="623">
        <v>0</v>
      </c>
      <c r="AF51" s="586">
        <v>0</v>
      </c>
      <c r="AG51" s="623">
        <v>74351</v>
      </c>
      <c r="AH51" s="586">
        <v>892825</v>
      </c>
      <c r="AI51" s="623">
        <v>19634</v>
      </c>
      <c r="AJ51" s="586">
        <v>240248</v>
      </c>
      <c r="AK51" s="673">
        <v>14559</v>
      </c>
      <c r="AL51" s="673">
        <v>179079</v>
      </c>
      <c r="AM51" s="676">
        <v>45530</v>
      </c>
      <c r="AN51" s="676">
        <v>663502</v>
      </c>
      <c r="AO51" s="586">
        <v>5541</v>
      </c>
      <c r="AP51" s="586">
        <v>55410</v>
      </c>
      <c r="AQ51" s="586">
        <v>26615</v>
      </c>
      <c r="AR51" s="586">
        <v>266150</v>
      </c>
      <c r="AS51" s="586">
        <v>18785</v>
      </c>
      <c r="AT51" s="586">
        <v>187850</v>
      </c>
      <c r="AU51" s="623">
        <v>7194</v>
      </c>
      <c r="AV51" s="623">
        <v>71940</v>
      </c>
      <c r="AW51" s="623">
        <v>18517</v>
      </c>
      <c r="AX51" s="623">
        <v>185170</v>
      </c>
      <c r="AY51" s="608">
        <v>10825</v>
      </c>
      <c r="AZ51" s="608">
        <v>96912</v>
      </c>
      <c r="BA51" s="586"/>
      <c r="BB51" s="608"/>
      <c r="BC51" s="608"/>
      <c r="BD51" s="608"/>
      <c r="BE51" s="608"/>
      <c r="BF51" s="624"/>
      <c r="BG51" s="624"/>
      <c r="BH51" s="624"/>
      <c r="BI51" s="586"/>
      <c r="BJ51" s="608">
        <f t="shared" si="4"/>
        <v>241934</v>
      </c>
      <c r="BK51" s="595">
        <f t="shared" si="5"/>
        <v>2839851</v>
      </c>
      <c r="BL51" s="541"/>
      <c r="BM51" s="42"/>
      <c r="BN51" s="624"/>
      <c r="BO51" s="624"/>
    </row>
    <row r="52" spans="1:1165">
      <c r="A52" s="593" t="s">
        <v>224</v>
      </c>
      <c r="B52" s="594" t="s">
        <v>110</v>
      </c>
      <c r="C52" s="670">
        <f>3289694+1373449</f>
        <v>4663143</v>
      </c>
      <c r="D52" s="670">
        <f>2397929+1888074</f>
        <v>4286003</v>
      </c>
      <c r="E52" s="595">
        <v>364608</v>
      </c>
      <c r="F52" s="595">
        <v>146990</v>
      </c>
      <c r="G52" s="595">
        <f>174432+4347</f>
        <v>178779</v>
      </c>
      <c r="H52" s="595">
        <f>45723+8694</f>
        <v>54417</v>
      </c>
      <c r="I52" s="595">
        <f>215504+938</f>
        <v>216442</v>
      </c>
      <c r="J52" s="595">
        <f>258607+1876</f>
        <v>260483</v>
      </c>
      <c r="K52" s="595">
        <f>151644+910</f>
        <v>152554</v>
      </c>
      <c r="L52" s="595">
        <f>181971+1820</f>
        <v>183791</v>
      </c>
      <c r="M52" s="595">
        <v>221770</v>
      </c>
      <c r="N52" s="595">
        <v>226326</v>
      </c>
      <c r="O52" s="595">
        <v>256693</v>
      </c>
      <c r="P52" s="595">
        <v>309181</v>
      </c>
      <c r="Q52" s="595">
        <v>203597</v>
      </c>
      <c r="R52" s="595">
        <v>244317</v>
      </c>
      <c r="S52" s="595">
        <v>208631</v>
      </c>
      <c r="T52" s="595">
        <v>252009</v>
      </c>
      <c r="U52" s="608">
        <v>214533</v>
      </c>
      <c r="V52" s="608">
        <v>409289</v>
      </c>
      <c r="W52" s="608">
        <v>119778</v>
      </c>
      <c r="X52" s="608">
        <v>143973</v>
      </c>
      <c r="Y52" s="608">
        <v>234367</v>
      </c>
      <c r="Z52" s="608">
        <v>457335</v>
      </c>
      <c r="AA52" s="623">
        <v>0</v>
      </c>
      <c r="AB52" s="623">
        <v>0</v>
      </c>
      <c r="AC52" s="595">
        <v>65083</v>
      </c>
      <c r="AD52" s="595">
        <v>7810</v>
      </c>
      <c r="AE52" s="595">
        <v>43813</v>
      </c>
      <c r="AF52" s="595">
        <v>52576</v>
      </c>
      <c r="AG52" s="623">
        <v>10812</v>
      </c>
      <c r="AH52" s="586">
        <v>12975</v>
      </c>
      <c r="AI52" s="623">
        <v>67802</v>
      </c>
      <c r="AJ52" s="586">
        <v>81363</v>
      </c>
      <c r="AK52" s="673">
        <v>116850</v>
      </c>
      <c r="AL52" s="673">
        <v>245820</v>
      </c>
      <c r="AM52" s="676">
        <v>84688</v>
      </c>
      <c r="AN52" s="676">
        <v>101626</v>
      </c>
      <c r="AO52" s="586">
        <v>56663</v>
      </c>
      <c r="AP52" s="586">
        <v>67995</v>
      </c>
      <c r="AQ52" s="586">
        <v>72059</v>
      </c>
      <c r="AR52" s="586">
        <v>86471</v>
      </c>
      <c r="AS52" s="586">
        <v>107761</v>
      </c>
      <c r="AT52" s="586">
        <v>186574</v>
      </c>
      <c r="AU52" s="623">
        <v>29371</v>
      </c>
      <c r="AV52" s="623">
        <v>56215</v>
      </c>
      <c r="AW52" s="623">
        <v>2470</v>
      </c>
      <c r="AX52" s="623">
        <v>55104</v>
      </c>
      <c r="AY52" s="608">
        <v>16113</v>
      </c>
      <c r="AZ52" s="608">
        <v>254745</v>
      </c>
      <c r="BA52" s="686"/>
      <c r="BB52" s="608"/>
      <c r="BC52" s="650"/>
      <c r="BD52" s="608"/>
      <c r="BE52" s="608"/>
      <c r="BF52" s="624"/>
      <c r="BG52" s="624"/>
      <c r="BH52" s="624"/>
      <c r="BI52" s="686"/>
      <c r="BJ52" s="608">
        <f t="shared" si="4"/>
        <v>7343772</v>
      </c>
      <c r="BK52" s="595">
        <f t="shared" si="5"/>
        <v>8036398</v>
      </c>
      <c r="BL52" s="541"/>
      <c r="BM52" s="42"/>
      <c r="BO52" s="624"/>
    </row>
    <row r="53" spans="1:1165">
      <c r="A53" s="593" t="s">
        <v>225</v>
      </c>
      <c r="B53" s="594" t="s">
        <v>110</v>
      </c>
      <c r="C53" s="670">
        <v>21941</v>
      </c>
      <c r="D53" s="670">
        <v>389352</v>
      </c>
      <c r="E53" s="595">
        <v>0</v>
      </c>
      <c r="F53" s="595">
        <v>0</v>
      </c>
      <c r="G53" s="595">
        <v>0</v>
      </c>
      <c r="H53" s="595">
        <v>0</v>
      </c>
      <c r="I53" s="595">
        <v>0</v>
      </c>
      <c r="J53" s="595">
        <v>0</v>
      </c>
      <c r="K53" s="595">
        <v>0</v>
      </c>
      <c r="L53" s="595">
        <v>0</v>
      </c>
      <c r="M53" s="595">
        <v>0</v>
      </c>
      <c r="N53" s="595">
        <v>0</v>
      </c>
      <c r="O53" s="595">
        <v>0</v>
      </c>
      <c r="P53" s="595">
        <v>0</v>
      </c>
      <c r="Q53" s="595">
        <v>0</v>
      </c>
      <c r="R53" s="595">
        <v>0</v>
      </c>
      <c r="S53" s="595">
        <v>0</v>
      </c>
      <c r="T53" s="595">
        <v>0</v>
      </c>
      <c r="U53" s="595">
        <v>0</v>
      </c>
      <c r="V53" s="595">
        <v>0</v>
      </c>
      <c r="W53" s="595">
        <v>0</v>
      </c>
      <c r="X53" s="595">
        <v>0</v>
      </c>
      <c r="Y53" s="595">
        <v>0</v>
      </c>
      <c r="Z53" s="595">
        <v>0</v>
      </c>
      <c r="AA53" s="595">
        <v>0</v>
      </c>
      <c r="AB53" s="595">
        <v>0</v>
      </c>
      <c r="AC53" s="595">
        <v>0</v>
      </c>
      <c r="AD53" s="595">
        <v>0</v>
      </c>
      <c r="AE53" s="595">
        <v>0</v>
      </c>
      <c r="AF53" s="595">
        <v>0</v>
      </c>
      <c r="AG53" s="595">
        <v>0</v>
      </c>
      <c r="AH53" s="595">
        <v>0</v>
      </c>
      <c r="AI53" s="595">
        <v>0</v>
      </c>
      <c r="AJ53" s="595">
        <v>0</v>
      </c>
      <c r="AK53" s="595">
        <v>0</v>
      </c>
      <c r="AL53" s="595">
        <v>0</v>
      </c>
      <c r="AM53" s="595">
        <v>0</v>
      </c>
      <c r="AN53" s="595">
        <v>0</v>
      </c>
      <c r="AO53" s="595">
        <v>0</v>
      </c>
      <c r="AP53" s="595">
        <v>0</v>
      </c>
      <c r="AQ53" s="595">
        <v>0</v>
      </c>
      <c r="AR53" s="595">
        <v>0</v>
      </c>
      <c r="AS53" s="595">
        <v>0</v>
      </c>
      <c r="AT53" s="595">
        <v>0</v>
      </c>
      <c r="AU53" s="608">
        <v>0</v>
      </c>
      <c r="AV53" s="608">
        <v>0</v>
      </c>
      <c r="AW53" s="608">
        <v>0</v>
      </c>
      <c r="AX53" s="608">
        <v>0</v>
      </c>
      <c r="AY53" s="608">
        <v>0</v>
      </c>
      <c r="AZ53" s="608">
        <v>0</v>
      </c>
      <c r="BA53" s="608"/>
      <c r="BB53" s="608"/>
      <c r="BC53" s="608"/>
      <c r="BD53" s="608"/>
      <c r="BE53" s="608"/>
      <c r="BF53" s="608"/>
      <c r="BG53" s="608"/>
      <c r="BH53" s="608"/>
      <c r="BI53" s="608"/>
      <c r="BJ53" s="608">
        <f t="shared" si="4"/>
        <v>21941</v>
      </c>
      <c r="BK53" s="595">
        <f t="shared" si="5"/>
        <v>389352</v>
      </c>
      <c r="BL53" s="541"/>
      <c r="BM53" s="42"/>
      <c r="BO53" s="624"/>
    </row>
    <row r="54" spans="1:1165">
      <c r="A54" s="593" t="s">
        <v>226</v>
      </c>
      <c r="B54" s="594" t="s">
        <v>110</v>
      </c>
      <c r="C54" s="670">
        <v>10695</v>
      </c>
      <c r="D54" s="670">
        <v>53687</v>
      </c>
      <c r="E54" s="595">
        <v>163</v>
      </c>
      <c r="F54" s="595">
        <v>978</v>
      </c>
      <c r="G54" s="595">
        <v>440</v>
      </c>
      <c r="H54" s="595">
        <v>2639</v>
      </c>
      <c r="I54" s="595">
        <v>235</v>
      </c>
      <c r="J54" s="595">
        <v>1412</v>
      </c>
      <c r="K54" s="595">
        <v>169</v>
      </c>
      <c r="L54" s="595">
        <v>1014</v>
      </c>
      <c r="M54" s="595">
        <v>85</v>
      </c>
      <c r="N54" s="595">
        <v>3199</v>
      </c>
      <c r="O54" s="595">
        <v>2685</v>
      </c>
      <c r="P54" s="595">
        <v>85148</v>
      </c>
      <c r="Q54" s="595">
        <v>3540</v>
      </c>
      <c r="R54" s="595">
        <v>131580</v>
      </c>
      <c r="S54" s="595">
        <v>7460</v>
      </c>
      <c r="T54" s="595">
        <v>241564</v>
      </c>
      <c r="U54" s="608">
        <v>3891</v>
      </c>
      <c r="V54" s="608">
        <v>197740</v>
      </c>
      <c r="W54" s="608">
        <v>0</v>
      </c>
      <c r="X54" s="608">
        <v>0</v>
      </c>
      <c r="Y54" s="608">
        <v>7701</v>
      </c>
      <c r="Z54" s="608">
        <v>472291</v>
      </c>
      <c r="AA54" s="595">
        <v>3100</v>
      </c>
      <c r="AB54" s="595">
        <v>204400</v>
      </c>
      <c r="AC54" s="595">
        <v>2692</v>
      </c>
      <c r="AD54" s="595">
        <v>172726</v>
      </c>
      <c r="AE54" s="595">
        <v>3611</v>
      </c>
      <c r="AF54" s="595">
        <v>248699</v>
      </c>
      <c r="AG54" s="623">
        <v>4211</v>
      </c>
      <c r="AH54" s="586">
        <v>227451</v>
      </c>
      <c r="AI54" s="623">
        <v>3297</v>
      </c>
      <c r="AJ54" s="586">
        <v>170422</v>
      </c>
      <c r="AK54" s="673">
        <v>440</v>
      </c>
      <c r="AL54" s="673">
        <v>61527</v>
      </c>
      <c r="AM54" s="676">
        <v>3307</v>
      </c>
      <c r="AN54" s="676">
        <v>215618</v>
      </c>
      <c r="AO54" s="586">
        <v>352</v>
      </c>
      <c r="AP54" s="586">
        <v>41571</v>
      </c>
      <c r="AQ54" s="586">
        <v>1708</v>
      </c>
      <c r="AR54" s="586">
        <v>203314</v>
      </c>
      <c r="AS54" s="586">
        <v>2434</v>
      </c>
      <c r="AT54" s="586">
        <v>203198</v>
      </c>
      <c r="AU54" s="623">
        <v>480</v>
      </c>
      <c r="AV54" s="623">
        <v>50618</v>
      </c>
      <c r="AW54" s="623">
        <v>377</v>
      </c>
      <c r="AX54" s="623">
        <v>36155</v>
      </c>
      <c r="AY54" s="608">
        <v>1891</v>
      </c>
      <c r="AZ54" s="608">
        <v>158266</v>
      </c>
      <c r="BA54" s="686"/>
      <c r="BB54" s="608"/>
      <c r="BC54" s="586"/>
      <c r="BD54" s="608"/>
      <c r="BE54" s="586"/>
      <c r="BF54" s="624"/>
      <c r="BG54" s="586"/>
      <c r="BH54" s="624"/>
      <c r="BI54" s="586"/>
      <c r="BJ54" s="608">
        <f t="shared" si="4"/>
        <v>64801</v>
      </c>
      <c r="BK54" s="595">
        <f t="shared" si="5"/>
        <v>3184239</v>
      </c>
      <c r="BL54" s="541"/>
      <c r="BM54" s="42"/>
      <c r="BO54" s="624"/>
    </row>
    <row r="55" spans="1:1165">
      <c r="A55" s="593" t="s">
        <v>227</v>
      </c>
      <c r="B55" s="594" t="s">
        <v>110</v>
      </c>
      <c r="C55" s="595">
        <v>0</v>
      </c>
      <c r="D55" s="595">
        <v>0</v>
      </c>
      <c r="E55" s="595">
        <v>0</v>
      </c>
      <c r="F55" s="595">
        <v>0</v>
      </c>
      <c r="G55" s="595">
        <v>0</v>
      </c>
      <c r="H55" s="595">
        <v>0</v>
      </c>
      <c r="I55" s="595">
        <v>0</v>
      </c>
      <c r="J55" s="595">
        <v>0</v>
      </c>
      <c r="K55" s="595">
        <v>0</v>
      </c>
      <c r="L55" s="595">
        <v>0</v>
      </c>
      <c r="M55" s="595">
        <v>0</v>
      </c>
      <c r="N55" s="595">
        <v>0</v>
      </c>
      <c r="O55" s="595">
        <v>0</v>
      </c>
      <c r="P55" s="595">
        <v>0</v>
      </c>
      <c r="Q55" s="595">
        <v>0</v>
      </c>
      <c r="R55" s="595">
        <v>0</v>
      </c>
      <c r="S55" s="595">
        <v>0</v>
      </c>
      <c r="T55" s="595">
        <v>0</v>
      </c>
      <c r="U55" s="595">
        <v>0</v>
      </c>
      <c r="V55" s="595">
        <v>0</v>
      </c>
      <c r="W55" s="595">
        <v>0</v>
      </c>
      <c r="X55" s="595">
        <v>0</v>
      </c>
      <c r="Y55" s="595">
        <v>0</v>
      </c>
      <c r="Z55" s="595">
        <v>0</v>
      </c>
      <c r="AA55" s="595">
        <v>0</v>
      </c>
      <c r="AB55" s="595">
        <v>0</v>
      </c>
      <c r="AC55" s="595">
        <v>0</v>
      </c>
      <c r="AD55" s="595">
        <v>0</v>
      </c>
      <c r="AE55" s="623">
        <v>0</v>
      </c>
      <c r="AF55" s="586">
        <v>0</v>
      </c>
      <c r="AG55" s="623">
        <v>0</v>
      </c>
      <c r="AH55" s="586">
        <v>0</v>
      </c>
      <c r="AI55" s="623">
        <v>0</v>
      </c>
      <c r="AJ55" s="586">
        <v>0</v>
      </c>
      <c r="AK55" s="430">
        <v>0</v>
      </c>
      <c r="AL55" s="430">
        <v>0</v>
      </c>
      <c r="AM55" s="586">
        <v>0</v>
      </c>
      <c r="AN55" s="586">
        <v>0</v>
      </c>
      <c r="AO55" s="586">
        <v>0</v>
      </c>
      <c r="AP55" s="586">
        <v>0</v>
      </c>
      <c r="AQ55" s="586">
        <v>0</v>
      </c>
      <c r="AR55" s="586">
        <v>0</v>
      </c>
      <c r="AS55" s="586">
        <v>729.37</v>
      </c>
      <c r="AT55" s="586">
        <v>49004</v>
      </c>
      <c r="AU55" s="623">
        <v>1659</v>
      </c>
      <c r="AV55" s="623">
        <v>125641</v>
      </c>
      <c r="AW55" s="623">
        <v>1191</v>
      </c>
      <c r="AX55" s="623">
        <v>75940</v>
      </c>
      <c r="AY55" s="608">
        <v>577.38</v>
      </c>
      <c r="AZ55" s="608">
        <v>49749</v>
      </c>
      <c r="BA55" s="625"/>
      <c r="BB55" s="682"/>
      <c r="BC55" s="682"/>
      <c r="BD55" s="682"/>
      <c r="BE55" s="682"/>
      <c r="BF55" s="624"/>
      <c r="BG55" s="624"/>
      <c r="BH55" s="624"/>
      <c r="BI55" s="625"/>
      <c r="BJ55" s="608">
        <f t="shared" si="4"/>
        <v>4156.75</v>
      </c>
      <c r="BK55" s="595">
        <f t="shared" si="5"/>
        <v>300334</v>
      </c>
      <c r="BL55" s="541"/>
      <c r="BM55" s="42"/>
      <c r="BO55" s="624"/>
    </row>
    <row r="56" spans="1:1165">
      <c r="A56" s="593" t="s">
        <v>228</v>
      </c>
      <c r="B56" s="594" t="s">
        <v>110</v>
      </c>
      <c r="C56" s="670">
        <v>34436</v>
      </c>
      <c r="D56" s="670">
        <v>252771</v>
      </c>
      <c r="E56" s="595">
        <v>1131</v>
      </c>
      <c r="F56" s="595">
        <v>11094</v>
      </c>
      <c r="G56" s="595">
        <f>946+68046</f>
        <v>68992</v>
      </c>
      <c r="H56" s="595">
        <f>11952+68046</f>
        <v>79998</v>
      </c>
      <c r="I56" s="595">
        <v>1176</v>
      </c>
      <c r="J56" s="595">
        <v>12750</v>
      </c>
      <c r="K56" s="595">
        <f>994+44766</f>
        <v>45760</v>
      </c>
      <c r="L56" s="595">
        <f>11500+134298</f>
        <v>145798</v>
      </c>
      <c r="M56" s="595">
        <v>53134</v>
      </c>
      <c r="N56" s="595">
        <v>157932</v>
      </c>
      <c r="O56" s="595">
        <v>846</v>
      </c>
      <c r="P56" s="595">
        <v>8936</v>
      </c>
      <c r="Q56" s="595">
        <v>126053</v>
      </c>
      <c r="R56" s="595">
        <v>363382</v>
      </c>
      <c r="S56" s="595">
        <v>72176</v>
      </c>
      <c r="T56" s="595">
        <v>209528</v>
      </c>
      <c r="U56" s="608">
        <v>1697</v>
      </c>
      <c r="V56" s="608">
        <v>20364</v>
      </c>
      <c r="W56" s="608">
        <v>1709</v>
      </c>
      <c r="X56" s="608">
        <v>20503</v>
      </c>
      <c r="Y56" s="608">
        <v>171401</v>
      </c>
      <c r="Z56" s="608">
        <v>1853010</v>
      </c>
      <c r="AA56" s="623">
        <v>14611</v>
      </c>
      <c r="AB56" s="623">
        <v>160718</v>
      </c>
      <c r="AC56" s="595">
        <v>22575</v>
      </c>
      <c r="AD56" s="595">
        <v>225745</v>
      </c>
      <c r="AE56" s="595">
        <v>22984</v>
      </c>
      <c r="AF56" s="595">
        <v>249946</v>
      </c>
      <c r="AG56" s="623">
        <v>67077</v>
      </c>
      <c r="AH56" s="586">
        <v>656898</v>
      </c>
      <c r="AI56" s="623">
        <v>38596</v>
      </c>
      <c r="AJ56" s="586">
        <v>385960</v>
      </c>
      <c r="AK56" s="673">
        <v>13003</v>
      </c>
      <c r="AL56" s="673">
        <v>130030</v>
      </c>
      <c r="AM56" s="676">
        <v>2360</v>
      </c>
      <c r="AN56" s="676">
        <v>14160</v>
      </c>
      <c r="AO56" s="586">
        <v>0</v>
      </c>
      <c r="AP56" s="586">
        <v>0</v>
      </c>
      <c r="AQ56" s="586">
        <v>0</v>
      </c>
      <c r="AR56" s="586">
        <v>0</v>
      </c>
      <c r="AS56" s="586">
        <v>0</v>
      </c>
      <c r="AT56" s="586">
        <v>0</v>
      </c>
      <c r="AU56" s="608">
        <v>0</v>
      </c>
      <c r="AV56" s="608">
        <v>0</v>
      </c>
      <c r="AW56" s="608">
        <v>0</v>
      </c>
      <c r="AX56" s="608">
        <v>0</v>
      </c>
      <c r="AY56" s="608">
        <v>0</v>
      </c>
      <c r="AZ56" s="608">
        <v>0</v>
      </c>
      <c r="BA56" s="608"/>
      <c r="BB56" s="608"/>
      <c r="BC56" s="608"/>
      <c r="BD56" s="608"/>
      <c r="BE56" s="608"/>
      <c r="BF56" s="608"/>
      <c r="BG56" s="608"/>
      <c r="BH56" s="608"/>
      <c r="BI56" s="608"/>
      <c r="BJ56" s="608">
        <f t="shared" si="4"/>
        <v>758586</v>
      </c>
      <c r="BK56" s="595">
        <f t="shared" si="5"/>
        <v>4948429</v>
      </c>
      <c r="BL56" s="541"/>
      <c r="BM56" s="42"/>
      <c r="BO56" s="624"/>
    </row>
    <row r="57" spans="1:1165">
      <c r="A57" s="596" t="s">
        <v>229</v>
      </c>
      <c r="B57" s="430"/>
      <c r="C57" s="684"/>
      <c r="D57" s="684">
        <f>SUM(D47:D56)</f>
        <v>6578139</v>
      </c>
      <c r="E57" s="608"/>
      <c r="F57" s="608">
        <f>SUM(F47:F56)</f>
        <v>870743.52</v>
      </c>
      <c r="G57" s="608"/>
      <c r="H57" s="608">
        <f>SUM(H47:H56)</f>
        <v>1297324.52</v>
      </c>
      <c r="I57" s="608"/>
      <c r="J57" s="608">
        <f>SUM(J47:J56)</f>
        <v>1372303</v>
      </c>
      <c r="K57" s="608"/>
      <c r="L57" s="608">
        <f>SUM(L47:L56)</f>
        <v>1240275.8999999999</v>
      </c>
      <c r="M57" s="608"/>
      <c r="N57" s="608">
        <f>SUM(N48:N56)</f>
        <v>1737364.52</v>
      </c>
      <c r="O57" s="608"/>
      <c r="P57" s="608">
        <f>SUM(P47:P56)</f>
        <v>1651985.9400000002</v>
      </c>
      <c r="Q57" s="608"/>
      <c r="R57" s="608">
        <f>SUM(R47:R56)</f>
        <v>2047256</v>
      </c>
      <c r="S57" s="608"/>
      <c r="T57" s="608">
        <f>SUM(T47:T56)</f>
        <v>2775104</v>
      </c>
      <c r="U57" s="608"/>
      <c r="V57" s="608">
        <f>SUM(V47:V56)</f>
        <v>3465384</v>
      </c>
      <c r="W57" s="608"/>
      <c r="X57" s="608">
        <f>SUM(X47:X56)</f>
        <v>4107705</v>
      </c>
      <c r="Y57" s="608"/>
      <c r="Z57" s="608">
        <f>SUM(Z47:Z56)</f>
        <v>7872189</v>
      </c>
      <c r="AA57" s="608"/>
      <c r="AB57" s="608">
        <f>SUM(AB47:AB56)</f>
        <v>5216383</v>
      </c>
      <c r="AC57" s="608"/>
      <c r="AD57" s="608">
        <f>SUM(AD47:AD56)</f>
        <v>6796300</v>
      </c>
      <c r="AE57" s="608"/>
      <c r="AF57" s="608">
        <f>SUM(AF47:AF56)</f>
        <v>6650458</v>
      </c>
      <c r="AG57" s="608"/>
      <c r="AH57" s="608">
        <f>SUM(AH47:AH56)</f>
        <v>7433039</v>
      </c>
      <c r="AI57" s="608"/>
      <c r="AJ57" s="608">
        <f>SUM(AJ47:AJ56)</f>
        <v>4682554</v>
      </c>
      <c r="AK57" s="673"/>
      <c r="AL57" s="673">
        <v>4796811</v>
      </c>
      <c r="AM57" s="675"/>
      <c r="AN57" s="676">
        <f>SUM(AN47:AN56)</f>
        <v>5198037</v>
      </c>
      <c r="AO57" s="608"/>
      <c r="AP57" s="608">
        <f>SUM(AP47:AP56)</f>
        <v>3047593</v>
      </c>
      <c r="AQ57" s="608"/>
      <c r="AR57" s="608">
        <f>SUM(AR47:AR56)</f>
        <v>1625253</v>
      </c>
      <c r="AS57" s="608"/>
      <c r="AT57" s="608">
        <f>SUM(AT47:AT56)</f>
        <v>1865189</v>
      </c>
      <c r="AU57" s="608"/>
      <c r="AV57" s="608">
        <f>SUM(AV47:AV56)</f>
        <v>1682264</v>
      </c>
      <c r="AW57" s="608"/>
      <c r="AX57" s="623">
        <f>SUM(AX47:AX56)</f>
        <v>1597802</v>
      </c>
      <c r="AY57" s="680"/>
      <c r="AZ57" s="608">
        <f>SUM(AZ47:AZ56)</f>
        <v>1727930</v>
      </c>
      <c r="BA57" s="680"/>
      <c r="BB57" s="682"/>
      <c r="BC57" s="682"/>
      <c r="BD57" s="682"/>
      <c r="BE57" s="682"/>
      <c r="BF57" s="682"/>
      <c r="BG57" s="682"/>
      <c r="BH57" s="624"/>
      <c r="BI57" s="586"/>
      <c r="BJ57" s="682"/>
      <c r="BK57" s="595">
        <f t="shared" si="5"/>
        <v>86464643.879999995</v>
      </c>
      <c r="BL57" s="541"/>
      <c r="BM57" s="42"/>
      <c r="BO57" s="624"/>
    </row>
    <row r="58" spans="1:1165">
      <c r="A58" s="599"/>
      <c r="B58" s="430"/>
      <c r="C58" s="684"/>
      <c r="D58" s="684"/>
      <c r="E58" s="608"/>
      <c r="F58" s="608"/>
      <c r="G58" s="608"/>
      <c r="H58" s="608"/>
      <c r="I58" s="608"/>
      <c r="J58" s="608"/>
      <c r="K58" s="608"/>
      <c r="L58" s="608"/>
      <c r="M58" s="608"/>
      <c r="N58" s="608"/>
      <c r="O58" s="608"/>
      <c r="P58" s="608"/>
      <c r="Q58" s="608"/>
      <c r="R58" s="608"/>
      <c r="S58" s="608"/>
      <c r="T58" s="608"/>
      <c r="U58" s="586"/>
      <c r="V58" s="586"/>
      <c r="W58" s="586"/>
      <c r="X58" s="586"/>
      <c r="Y58" s="672"/>
      <c r="Z58" s="672"/>
      <c r="AA58" s="623"/>
      <c r="AB58" s="623"/>
      <c r="AC58" s="608"/>
      <c r="AD58" s="608"/>
      <c r="AE58" s="608"/>
      <c r="AF58" s="608"/>
      <c r="AG58" s="586"/>
      <c r="AH58" s="623"/>
      <c r="AI58" s="586"/>
      <c r="AJ58" s="623"/>
      <c r="AK58" s="586"/>
      <c r="AL58" s="623"/>
      <c r="AM58" s="586"/>
      <c r="AN58" s="586"/>
      <c r="AO58" s="586"/>
      <c r="AP58" s="586"/>
      <c r="AQ58" s="586"/>
      <c r="AR58" s="586"/>
      <c r="AS58" s="586"/>
      <c r="AT58" s="586"/>
      <c r="AU58" s="586"/>
      <c r="AV58" s="623"/>
      <c r="AW58" s="650"/>
      <c r="AX58" s="650"/>
      <c r="AY58" s="648"/>
      <c r="AZ58" s="648"/>
      <c r="BA58" s="686"/>
      <c r="BB58" s="650"/>
      <c r="BC58" s="650"/>
      <c r="BD58" s="650"/>
      <c r="BE58" s="650"/>
      <c r="BF58" s="650"/>
      <c r="BG58" s="650"/>
      <c r="BH58" s="650"/>
      <c r="BI58" s="686"/>
      <c r="BJ58" s="650"/>
      <c r="BK58" s="650"/>
      <c r="BL58" s="541"/>
      <c r="BM58" s="42"/>
      <c r="BN58" s="624"/>
      <c r="BO58" s="624"/>
    </row>
    <row r="59" spans="1:1165" s="658" customFormat="1">
      <c r="A59" s="577" t="s">
        <v>230</v>
      </c>
      <c r="B59" s="578" t="s">
        <v>110</v>
      </c>
      <c r="C59" s="659">
        <v>60997330</v>
      </c>
      <c r="D59" s="659">
        <v>352328323</v>
      </c>
      <c r="E59" s="581">
        <v>3151470</v>
      </c>
      <c r="F59" s="581">
        <v>60717341</v>
      </c>
      <c r="G59" s="581">
        <v>3254403</v>
      </c>
      <c r="H59" s="581">
        <v>68251534</v>
      </c>
      <c r="I59" s="581">
        <v>3702197</v>
      </c>
      <c r="J59" s="581">
        <v>87460645</v>
      </c>
      <c r="K59" s="581">
        <v>3952768</v>
      </c>
      <c r="L59" s="581">
        <v>99640822</v>
      </c>
      <c r="M59" s="581">
        <v>3692665</v>
      </c>
      <c r="N59" s="581">
        <v>105930163</v>
      </c>
      <c r="O59" s="581">
        <v>3785977</v>
      </c>
      <c r="P59" s="581">
        <v>119532775</v>
      </c>
      <c r="Q59" s="581">
        <v>3825535</v>
      </c>
      <c r="R59" s="581">
        <v>137136740</v>
      </c>
      <c r="S59" s="581">
        <v>3709806</v>
      </c>
      <c r="T59" s="581">
        <v>144944239</v>
      </c>
      <c r="U59" s="598">
        <v>3789743</v>
      </c>
      <c r="V59" s="598">
        <v>158003510</v>
      </c>
      <c r="W59" s="598">
        <v>3830472</v>
      </c>
      <c r="X59" s="598">
        <v>166799208</v>
      </c>
      <c r="Y59" s="598">
        <v>4831172</v>
      </c>
      <c r="Z59" s="598">
        <v>214253964</v>
      </c>
      <c r="AA59" s="619">
        <v>5114267</v>
      </c>
      <c r="AB59" s="619">
        <v>228561597</v>
      </c>
      <c r="AC59" s="598">
        <v>5655459</v>
      </c>
      <c r="AD59" s="598">
        <v>251762799</v>
      </c>
      <c r="AE59" s="581">
        <v>5470875</v>
      </c>
      <c r="AF59" s="581">
        <v>248439413</v>
      </c>
      <c r="AG59" s="579">
        <v>5034977</v>
      </c>
      <c r="AH59" s="579">
        <v>234017491</v>
      </c>
      <c r="AI59" s="579">
        <v>6062404</v>
      </c>
      <c r="AJ59" s="579">
        <v>280656243</v>
      </c>
      <c r="AK59" s="661">
        <v>5814923</v>
      </c>
      <c r="AL59" s="661">
        <v>268381210</v>
      </c>
      <c r="AM59" s="662">
        <v>5692147</v>
      </c>
      <c r="AN59" s="662">
        <v>260534172</v>
      </c>
      <c r="AO59" s="579">
        <v>5609555</v>
      </c>
      <c r="AP59" s="579">
        <v>249348279</v>
      </c>
      <c r="AQ59" s="579">
        <v>6231483.5099999998</v>
      </c>
      <c r="AR59" s="579">
        <v>268018086</v>
      </c>
      <c r="AS59" s="579">
        <v>6204588.1899999995</v>
      </c>
      <c r="AT59" s="579">
        <v>257838999</v>
      </c>
      <c r="AU59" s="619">
        <v>6204695</v>
      </c>
      <c r="AV59" s="619">
        <v>258211794</v>
      </c>
      <c r="AW59" s="695">
        <v>6262538</v>
      </c>
      <c r="AX59" s="695">
        <v>266402673</v>
      </c>
      <c r="AY59" s="598">
        <v>6026581</v>
      </c>
      <c r="AZ59" s="598">
        <v>266405945</v>
      </c>
      <c r="BA59" s="663"/>
      <c r="BB59" s="598"/>
      <c r="BC59" s="598"/>
      <c r="BD59" s="598"/>
      <c r="BE59" s="598"/>
      <c r="BF59" s="598"/>
      <c r="BG59" s="598"/>
      <c r="BH59" s="598"/>
      <c r="BI59" s="598"/>
      <c r="BJ59" s="598">
        <f>C59+G59+I59+K59+M59+O59+Q59+S59+U59+W59+Y59+AA59+AC59+AE59+AG59+AI59+AK59+AM59+AO59+AQ59+AS59+AU59+AW59+AY59+BB59+BF59</f>
        <v>174756560.69999999</v>
      </c>
      <c r="BK59" s="581">
        <f>D59+H59+J59+L59+N59+P59+R59+T59+V59+X59+Z59+AB59+AD59+AF59+AH59+AJ59+AL59+AN59+AP59+AR59+AT59+AV59+AX59+AZ59+BD59+BH59</f>
        <v>4992860624</v>
      </c>
      <c r="BL59" s="541"/>
      <c r="BM59" s="42"/>
      <c r="BN59" s="541"/>
      <c r="BO59" s="541"/>
      <c r="BP59" s="624"/>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41"/>
      <c r="IK59" s="541"/>
      <c r="IL59" s="541"/>
      <c r="IM59" s="541"/>
      <c r="IN59" s="541"/>
      <c r="IO59" s="541"/>
      <c r="IP59" s="541"/>
      <c r="IQ59" s="541"/>
      <c r="IR59" s="541"/>
      <c r="IS59" s="541"/>
      <c r="IT59" s="541"/>
      <c r="IU59" s="541"/>
      <c r="IV59" s="541"/>
      <c r="IW59" s="541"/>
      <c r="IX59" s="541"/>
      <c r="IY59" s="541"/>
      <c r="IZ59" s="541"/>
      <c r="JA59" s="541"/>
      <c r="JB59" s="541"/>
      <c r="JC59" s="541"/>
      <c r="JD59" s="541"/>
      <c r="JE59" s="541"/>
      <c r="JF59" s="541"/>
      <c r="JG59" s="541"/>
      <c r="JH59" s="541"/>
      <c r="JI59" s="541"/>
      <c r="JJ59" s="541"/>
      <c r="JK59" s="541"/>
      <c r="JL59" s="541"/>
      <c r="JM59" s="541"/>
      <c r="JN59" s="541"/>
      <c r="JO59" s="541"/>
      <c r="JP59" s="541"/>
      <c r="JQ59" s="541"/>
      <c r="JR59" s="541"/>
      <c r="JS59" s="541"/>
      <c r="JT59" s="541"/>
      <c r="JU59" s="541"/>
      <c r="JV59" s="541"/>
      <c r="JW59" s="541"/>
      <c r="JX59" s="541"/>
      <c r="JY59" s="541"/>
      <c r="JZ59" s="541"/>
      <c r="KA59" s="541"/>
      <c r="KB59" s="541"/>
      <c r="KC59" s="541"/>
      <c r="KD59" s="541"/>
      <c r="KE59" s="541"/>
      <c r="KF59" s="541"/>
      <c r="KG59" s="541"/>
      <c r="KH59" s="541"/>
      <c r="KI59" s="541"/>
      <c r="KJ59" s="541"/>
      <c r="KK59" s="541"/>
      <c r="KL59" s="541"/>
      <c r="KM59" s="541"/>
      <c r="KN59" s="541"/>
      <c r="KO59" s="541"/>
      <c r="KP59" s="541"/>
      <c r="KQ59" s="541"/>
      <c r="KR59" s="541"/>
      <c r="KS59" s="541"/>
      <c r="KT59" s="541"/>
      <c r="KU59" s="541"/>
      <c r="KV59" s="541"/>
      <c r="KW59" s="541"/>
      <c r="KX59" s="541"/>
      <c r="KY59" s="541"/>
      <c r="KZ59" s="541"/>
      <c r="LA59" s="541"/>
      <c r="LB59" s="541"/>
      <c r="LC59" s="541"/>
      <c r="LD59" s="541"/>
      <c r="LE59" s="541"/>
      <c r="LF59" s="541"/>
      <c r="LG59" s="541"/>
      <c r="LH59" s="541"/>
      <c r="LI59" s="541"/>
      <c r="LJ59" s="541"/>
      <c r="LK59" s="541"/>
      <c r="LL59" s="541"/>
      <c r="LM59" s="541"/>
      <c r="LN59" s="541"/>
      <c r="LO59" s="541"/>
      <c r="LP59" s="541"/>
      <c r="LQ59" s="541"/>
      <c r="LR59" s="541"/>
      <c r="LS59" s="541"/>
      <c r="LT59" s="541"/>
      <c r="LU59" s="541"/>
      <c r="LV59" s="541"/>
      <c r="LW59" s="541"/>
      <c r="LX59" s="541"/>
      <c r="LY59" s="541"/>
      <c r="LZ59" s="541"/>
      <c r="MA59" s="541"/>
      <c r="MB59" s="541"/>
      <c r="MC59" s="541"/>
      <c r="MD59" s="541"/>
      <c r="ME59" s="541"/>
      <c r="MF59" s="541"/>
      <c r="MG59" s="541"/>
      <c r="MH59" s="541"/>
      <c r="MI59" s="541"/>
      <c r="MJ59" s="541"/>
      <c r="MK59" s="541"/>
      <c r="ML59" s="541"/>
      <c r="MM59" s="541"/>
      <c r="MN59" s="541"/>
      <c r="MO59" s="541"/>
      <c r="MP59" s="541"/>
      <c r="MQ59" s="541"/>
      <c r="MR59" s="541"/>
      <c r="MS59" s="541"/>
      <c r="MT59" s="541"/>
      <c r="MU59" s="541"/>
      <c r="MV59" s="541"/>
      <c r="MW59" s="541"/>
      <c r="MX59" s="541"/>
      <c r="MY59" s="541"/>
      <c r="MZ59" s="541"/>
      <c r="NA59" s="541"/>
      <c r="NB59" s="541"/>
      <c r="NC59" s="541"/>
      <c r="ND59" s="541"/>
      <c r="NE59" s="541"/>
      <c r="NF59" s="541"/>
      <c r="NG59" s="541"/>
      <c r="NH59" s="541"/>
      <c r="NI59" s="541"/>
      <c r="NJ59" s="541"/>
      <c r="NK59" s="541"/>
      <c r="NL59" s="541"/>
      <c r="NM59" s="541"/>
      <c r="NN59" s="541"/>
      <c r="NO59" s="541"/>
      <c r="NP59" s="541"/>
      <c r="NQ59" s="541"/>
      <c r="NR59" s="541"/>
      <c r="NS59" s="541"/>
      <c r="NT59" s="541"/>
      <c r="NU59" s="541"/>
      <c r="NV59" s="541"/>
      <c r="NW59" s="541"/>
      <c r="NX59" s="541"/>
      <c r="NY59" s="541"/>
      <c r="NZ59" s="541"/>
      <c r="OA59" s="541"/>
      <c r="OB59" s="541"/>
      <c r="OC59" s="541"/>
      <c r="OD59" s="541"/>
      <c r="OE59" s="541"/>
      <c r="OF59" s="541"/>
      <c r="OG59" s="541"/>
      <c r="OH59" s="541"/>
      <c r="OI59" s="541"/>
      <c r="OJ59" s="541"/>
      <c r="OK59" s="541"/>
      <c r="OL59" s="541"/>
      <c r="OM59" s="541"/>
      <c r="ON59" s="541"/>
      <c r="OO59" s="541"/>
      <c r="OP59" s="541"/>
      <c r="OQ59" s="541"/>
      <c r="OR59" s="541"/>
      <c r="OS59" s="541"/>
      <c r="OT59" s="541"/>
      <c r="OU59" s="541"/>
      <c r="OV59" s="541"/>
      <c r="OW59" s="541"/>
      <c r="OX59" s="541"/>
      <c r="OY59" s="541"/>
      <c r="OZ59" s="541"/>
      <c r="PA59" s="541"/>
      <c r="PB59" s="541"/>
      <c r="PC59" s="541"/>
      <c r="PD59" s="541"/>
      <c r="PE59" s="541"/>
      <c r="PF59" s="541"/>
      <c r="PG59" s="541"/>
      <c r="PH59" s="541"/>
      <c r="PI59" s="541"/>
      <c r="PJ59" s="541"/>
      <c r="PK59" s="541"/>
      <c r="PL59" s="541"/>
      <c r="PM59" s="541"/>
      <c r="PN59" s="541"/>
      <c r="PO59" s="541"/>
      <c r="PP59" s="541"/>
      <c r="PQ59" s="541"/>
      <c r="PR59" s="541"/>
      <c r="PS59" s="541"/>
      <c r="PT59" s="541"/>
      <c r="PU59" s="541"/>
      <c r="PV59" s="541"/>
      <c r="PW59" s="541"/>
      <c r="PX59" s="541"/>
      <c r="PY59" s="541"/>
      <c r="PZ59" s="541"/>
      <c r="QA59" s="541"/>
      <c r="QB59" s="541"/>
      <c r="QC59" s="541"/>
      <c r="QD59" s="541"/>
      <c r="QE59" s="541"/>
      <c r="QF59" s="541"/>
      <c r="QG59" s="541"/>
      <c r="QH59" s="541"/>
      <c r="QI59" s="541"/>
      <c r="QJ59" s="541"/>
      <c r="QK59" s="541"/>
      <c r="QL59" s="541"/>
      <c r="QM59" s="541"/>
      <c r="QN59" s="541"/>
      <c r="QO59" s="541"/>
      <c r="QP59" s="541"/>
      <c r="QQ59" s="541"/>
      <c r="QR59" s="541"/>
      <c r="QS59" s="541"/>
      <c r="QT59" s="541"/>
      <c r="QU59" s="541"/>
      <c r="QV59" s="541"/>
      <c r="QW59" s="541"/>
      <c r="QX59" s="541"/>
      <c r="QY59" s="541"/>
      <c r="QZ59" s="541"/>
      <c r="RA59" s="541"/>
      <c r="RB59" s="541"/>
      <c r="RC59" s="541"/>
      <c r="RD59" s="541"/>
      <c r="RE59" s="541"/>
      <c r="RF59" s="541"/>
      <c r="RG59" s="541"/>
      <c r="RH59" s="541"/>
      <c r="RI59" s="541"/>
      <c r="RJ59" s="541"/>
      <c r="RK59" s="541"/>
      <c r="RL59" s="541"/>
      <c r="RM59" s="541"/>
      <c r="RN59" s="541"/>
      <c r="RO59" s="541"/>
      <c r="RP59" s="541"/>
      <c r="RQ59" s="541"/>
      <c r="RR59" s="541"/>
      <c r="RS59" s="541"/>
      <c r="RT59" s="541"/>
      <c r="RU59" s="541"/>
      <c r="RV59" s="541"/>
      <c r="RW59" s="541"/>
      <c r="RX59" s="541"/>
      <c r="RY59" s="541"/>
      <c r="RZ59" s="541"/>
      <c r="SA59" s="541"/>
      <c r="SB59" s="541"/>
      <c r="SC59" s="541"/>
      <c r="SD59" s="541"/>
      <c r="SE59" s="541"/>
      <c r="SF59" s="541"/>
      <c r="SG59" s="541"/>
      <c r="SH59" s="541"/>
      <c r="SI59" s="541"/>
      <c r="SJ59" s="541"/>
      <c r="SK59" s="541"/>
      <c r="SL59" s="541"/>
      <c r="SM59" s="541"/>
      <c r="SN59" s="541"/>
      <c r="SO59" s="541"/>
      <c r="SP59" s="541"/>
      <c r="SQ59" s="541"/>
      <c r="SR59" s="541"/>
      <c r="SS59" s="541"/>
      <c r="ST59" s="541"/>
      <c r="SU59" s="541"/>
      <c r="SV59" s="541"/>
      <c r="SW59" s="541"/>
      <c r="SX59" s="541"/>
      <c r="SY59" s="541"/>
      <c r="SZ59" s="541"/>
      <c r="TA59" s="541"/>
      <c r="TB59" s="541"/>
      <c r="TC59" s="541"/>
      <c r="TD59" s="541"/>
      <c r="TE59" s="541"/>
      <c r="TF59" s="541"/>
      <c r="TG59" s="541"/>
      <c r="TH59" s="541"/>
      <c r="TI59" s="541"/>
      <c r="TJ59" s="541"/>
      <c r="TK59" s="541"/>
      <c r="TL59" s="541"/>
      <c r="TM59" s="541"/>
      <c r="TN59" s="541"/>
      <c r="TO59" s="541"/>
      <c r="TP59" s="541"/>
      <c r="TQ59" s="541"/>
      <c r="TR59" s="541"/>
      <c r="TS59" s="541"/>
      <c r="TT59" s="541"/>
      <c r="TU59" s="541"/>
      <c r="TV59" s="541"/>
      <c r="TW59" s="541"/>
      <c r="TX59" s="541"/>
      <c r="TY59" s="541"/>
      <c r="TZ59" s="541"/>
      <c r="UA59" s="541"/>
      <c r="UB59" s="541"/>
      <c r="UC59" s="541"/>
      <c r="UD59" s="541"/>
      <c r="UE59" s="541"/>
      <c r="UF59" s="541"/>
      <c r="UG59" s="541"/>
      <c r="UH59" s="541"/>
      <c r="UI59" s="541"/>
      <c r="UJ59" s="541"/>
      <c r="UK59" s="541"/>
      <c r="UL59" s="541"/>
      <c r="UM59" s="541"/>
      <c r="UN59" s="541"/>
      <c r="UO59" s="541"/>
      <c r="UP59" s="541"/>
      <c r="UQ59" s="541"/>
      <c r="UR59" s="541"/>
      <c r="US59" s="541"/>
      <c r="UT59" s="541"/>
      <c r="UU59" s="541"/>
      <c r="UV59" s="541"/>
      <c r="UW59" s="541"/>
      <c r="UX59" s="541"/>
      <c r="UY59" s="541"/>
      <c r="UZ59" s="541"/>
      <c r="VA59" s="541"/>
      <c r="VB59" s="541"/>
      <c r="VC59" s="541"/>
      <c r="VD59" s="541"/>
      <c r="VE59" s="541"/>
      <c r="VF59" s="541"/>
      <c r="VG59" s="541"/>
      <c r="VH59" s="541"/>
      <c r="VI59" s="541"/>
      <c r="VJ59" s="541"/>
      <c r="VK59" s="541"/>
      <c r="VL59" s="541"/>
      <c r="VM59" s="541"/>
      <c r="VN59" s="541"/>
      <c r="VO59" s="541"/>
      <c r="VP59" s="541"/>
      <c r="VQ59" s="541"/>
      <c r="VR59" s="541"/>
      <c r="VS59" s="541"/>
      <c r="VT59" s="541"/>
      <c r="VU59" s="541"/>
      <c r="VV59" s="541"/>
      <c r="VW59" s="541"/>
      <c r="VX59" s="541"/>
      <c r="VY59" s="541"/>
      <c r="VZ59" s="541"/>
      <c r="WA59" s="541"/>
      <c r="WB59" s="541"/>
      <c r="WC59" s="541"/>
      <c r="WD59" s="541"/>
      <c r="WE59" s="541"/>
      <c r="WF59" s="541"/>
      <c r="WG59" s="541"/>
      <c r="WH59" s="541"/>
      <c r="WI59" s="541"/>
      <c r="WJ59" s="541"/>
      <c r="WK59" s="541"/>
      <c r="WL59" s="541"/>
      <c r="WM59" s="541"/>
      <c r="WN59" s="541"/>
      <c r="WO59" s="541"/>
      <c r="WP59" s="541"/>
      <c r="WQ59" s="541"/>
      <c r="WR59" s="541"/>
      <c r="WS59" s="541"/>
      <c r="WT59" s="541"/>
      <c r="WU59" s="541"/>
      <c r="WV59" s="541"/>
      <c r="WW59" s="541"/>
      <c r="WX59" s="541"/>
      <c r="WY59" s="541"/>
      <c r="WZ59" s="541"/>
      <c r="XA59" s="541"/>
      <c r="XB59" s="541"/>
      <c r="XC59" s="541"/>
      <c r="XD59" s="541"/>
      <c r="XE59" s="541"/>
      <c r="XF59" s="541"/>
      <c r="XG59" s="541"/>
      <c r="XH59" s="541"/>
      <c r="XI59" s="541"/>
      <c r="XJ59" s="541"/>
      <c r="XK59" s="541"/>
      <c r="XL59" s="541"/>
      <c r="XM59" s="541"/>
      <c r="XN59" s="541"/>
      <c r="XO59" s="541"/>
      <c r="XP59" s="541"/>
      <c r="XQ59" s="541"/>
      <c r="XR59" s="541"/>
      <c r="XS59" s="541"/>
      <c r="XT59" s="541"/>
      <c r="XU59" s="541"/>
      <c r="XV59" s="541"/>
      <c r="XW59" s="541"/>
      <c r="XX59" s="541"/>
      <c r="XY59" s="541"/>
      <c r="XZ59" s="541"/>
      <c r="YA59" s="541"/>
      <c r="YB59" s="541"/>
      <c r="YC59" s="541"/>
      <c r="YD59" s="541"/>
      <c r="YE59" s="541"/>
      <c r="YF59" s="541"/>
      <c r="YG59" s="541"/>
      <c r="YH59" s="541"/>
      <c r="YI59" s="541"/>
      <c r="YJ59" s="541"/>
      <c r="YK59" s="541"/>
      <c r="YL59" s="541"/>
      <c r="YM59" s="541"/>
      <c r="YN59" s="541"/>
      <c r="YO59" s="541"/>
      <c r="YP59" s="541"/>
      <c r="YQ59" s="541"/>
      <c r="YR59" s="541"/>
      <c r="YS59" s="541"/>
      <c r="YT59" s="541"/>
      <c r="YU59" s="541"/>
      <c r="YV59" s="541"/>
      <c r="YW59" s="541"/>
      <c r="YX59" s="541"/>
      <c r="YY59" s="541"/>
      <c r="YZ59" s="541"/>
      <c r="ZA59" s="541"/>
      <c r="ZB59" s="541"/>
      <c r="ZC59" s="541"/>
      <c r="ZD59" s="541"/>
      <c r="ZE59" s="541"/>
      <c r="ZF59" s="541"/>
      <c r="ZG59" s="541"/>
      <c r="ZH59" s="541"/>
      <c r="ZI59" s="541"/>
      <c r="ZJ59" s="541"/>
      <c r="ZK59" s="541"/>
      <c r="ZL59" s="541"/>
      <c r="ZM59" s="541"/>
      <c r="ZN59" s="541"/>
      <c r="ZO59" s="541"/>
      <c r="ZP59" s="541"/>
      <c r="ZQ59" s="541"/>
      <c r="ZR59" s="541"/>
      <c r="ZS59" s="541"/>
      <c r="ZT59" s="541"/>
      <c r="ZU59" s="541"/>
      <c r="ZV59" s="541"/>
      <c r="ZW59" s="541"/>
      <c r="ZX59" s="541"/>
      <c r="ZY59" s="541"/>
      <c r="ZZ59" s="541"/>
      <c r="AAA59" s="541"/>
      <c r="AAB59" s="541"/>
      <c r="AAC59" s="541"/>
      <c r="AAD59" s="541"/>
      <c r="AAE59" s="541"/>
      <c r="AAF59" s="541"/>
      <c r="AAG59" s="541"/>
      <c r="AAH59" s="541"/>
      <c r="AAI59" s="541"/>
      <c r="AAJ59" s="541"/>
      <c r="AAK59" s="541"/>
      <c r="AAL59" s="541"/>
      <c r="AAM59" s="541"/>
      <c r="AAN59" s="541"/>
      <c r="AAO59" s="541"/>
      <c r="AAP59" s="541"/>
      <c r="AAQ59" s="541"/>
      <c r="AAR59" s="541"/>
      <c r="AAS59" s="541"/>
      <c r="AAT59" s="541"/>
      <c r="AAU59" s="541"/>
      <c r="AAV59" s="541"/>
      <c r="AAW59" s="541"/>
      <c r="AAX59" s="541"/>
      <c r="AAY59" s="541"/>
      <c r="AAZ59" s="541"/>
      <c r="ABA59" s="541"/>
      <c r="ABB59" s="541"/>
      <c r="ABC59" s="541"/>
      <c r="ABD59" s="541"/>
      <c r="ABE59" s="541"/>
      <c r="ABF59" s="541"/>
      <c r="ABG59" s="541"/>
      <c r="ABH59" s="541"/>
      <c r="ABI59" s="541"/>
      <c r="ABJ59" s="541"/>
      <c r="ABK59" s="541"/>
      <c r="ABL59" s="541"/>
      <c r="ABM59" s="541"/>
      <c r="ABN59" s="541"/>
      <c r="ABO59" s="541"/>
      <c r="ABP59" s="541"/>
      <c r="ABQ59" s="541"/>
      <c r="ABR59" s="541"/>
      <c r="ABS59" s="541"/>
      <c r="ABT59" s="541"/>
      <c r="ABU59" s="541"/>
      <c r="ABV59" s="541"/>
      <c r="ABW59" s="541"/>
      <c r="ABX59" s="541"/>
      <c r="ABY59" s="541"/>
      <c r="ABZ59" s="541"/>
      <c r="ACA59" s="541"/>
      <c r="ACB59" s="541"/>
      <c r="ACC59" s="541"/>
      <c r="ACD59" s="541"/>
      <c r="ACE59" s="541"/>
      <c r="ACF59" s="541"/>
      <c r="ACG59" s="541"/>
      <c r="ACH59" s="541"/>
      <c r="ACI59" s="541"/>
      <c r="ACJ59" s="541"/>
      <c r="ACK59" s="541"/>
      <c r="ACL59" s="541"/>
      <c r="ACM59" s="541"/>
      <c r="ACN59" s="541"/>
      <c r="ACO59" s="541"/>
      <c r="ACP59" s="541"/>
      <c r="ACQ59" s="541"/>
      <c r="ACR59" s="541"/>
      <c r="ACS59" s="541"/>
      <c r="ACT59" s="541"/>
      <c r="ACU59" s="541"/>
      <c r="ACV59" s="541"/>
      <c r="ACW59" s="541"/>
      <c r="ACX59" s="541"/>
      <c r="ACY59" s="541"/>
      <c r="ACZ59" s="541"/>
      <c r="ADA59" s="541"/>
      <c r="ADB59" s="541"/>
      <c r="ADC59" s="541"/>
      <c r="ADD59" s="541"/>
      <c r="ADE59" s="541"/>
      <c r="ADF59" s="541"/>
      <c r="ADG59" s="541"/>
      <c r="ADH59" s="541"/>
      <c r="ADI59" s="541"/>
      <c r="ADJ59" s="541"/>
      <c r="ADK59" s="541"/>
      <c r="ADL59" s="541"/>
      <c r="ADM59" s="541"/>
      <c r="ADN59" s="541"/>
      <c r="ADO59" s="541"/>
      <c r="ADP59" s="541"/>
      <c r="ADQ59" s="541"/>
      <c r="ADR59" s="541"/>
      <c r="ADS59" s="541"/>
      <c r="ADT59" s="541"/>
      <c r="ADU59" s="541"/>
      <c r="ADV59" s="541"/>
      <c r="ADW59" s="541"/>
      <c r="ADX59" s="541"/>
      <c r="ADY59" s="541"/>
      <c r="ADZ59" s="541"/>
      <c r="AEA59" s="541"/>
      <c r="AEB59" s="541"/>
      <c r="AEC59" s="541"/>
      <c r="AED59" s="541"/>
      <c r="AEE59" s="541"/>
      <c r="AEF59" s="541"/>
      <c r="AEG59" s="541"/>
      <c r="AEH59" s="541"/>
      <c r="AEI59" s="541"/>
      <c r="AEJ59" s="541"/>
      <c r="AEK59" s="541"/>
      <c r="AEL59" s="541"/>
      <c r="AEM59" s="541"/>
      <c r="AEN59" s="541"/>
      <c r="AEO59" s="541"/>
      <c r="AEP59" s="541"/>
      <c r="AEQ59" s="541"/>
      <c r="AER59" s="541"/>
      <c r="AES59" s="541"/>
      <c r="AET59" s="541"/>
      <c r="AEU59" s="541"/>
      <c r="AEV59" s="541"/>
      <c r="AEW59" s="541"/>
      <c r="AEX59" s="541"/>
      <c r="AEY59" s="541"/>
      <c r="AEZ59" s="541"/>
      <c r="AFA59" s="541"/>
      <c r="AFB59" s="541"/>
      <c r="AFC59" s="541"/>
      <c r="AFD59" s="541"/>
      <c r="AFE59" s="541"/>
      <c r="AFF59" s="541"/>
      <c r="AFG59" s="541"/>
      <c r="AFH59" s="541"/>
      <c r="AFI59" s="541"/>
      <c r="AFJ59" s="541"/>
      <c r="AFK59" s="541"/>
      <c r="AFL59" s="541"/>
      <c r="AFM59" s="541"/>
      <c r="AFN59" s="541"/>
      <c r="AFO59" s="541"/>
      <c r="AFP59" s="541"/>
      <c r="AFQ59" s="541"/>
      <c r="AFR59" s="541"/>
      <c r="AFS59" s="541"/>
      <c r="AFT59" s="541"/>
      <c r="AFU59" s="541"/>
      <c r="AFV59" s="541"/>
      <c r="AFW59" s="541"/>
      <c r="AFX59" s="541"/>
      <c r="AFY59" s="541"/>
      <c r="AFZ59" s="541"/>
      <c r="AGA59" s="541"/>
      <c r="AGB59" s="541"/>
      <c r="AGC59" s="541"/>
      <c r="AGD59" s="541"/>
      <c r="AGE59" s="541"/>
      <c r="AGF59" s="541"/>
      <c r="AGG59" s="541"/>
      <c r="AGH59" s="541"/>
      <c r="AGI59" s="541"/>
      <c r="AGJ59" s="541"/>
      <c r="AGK59" s="541"/>
      <c r="AGL59" s="541"/>
      <c r="AGM59" s="541"/>
      <c r="AGN59" s="541"/>
      <c r="AGO59" s="541"/>
      <c r="AGP59" s="541"/>
      <c r="AGQ59" s="541"/>
      <c r="AGR59" s="541"/>
      <c r="AGS59" s="541"/>
      <c r="AGT59" s="541"/>
      <c r="AGU59" s="541"/>
      <c r="AGV59" s="541"/>
      <c r="AGW59" s="541"/>
      <c r="AGX59" s="541"/>
      <c r="AGY59" s="541"/>
      <c r="AGZ59" s="541"/>
      <c r="AHA59" s="541"/>
      <c r="AHB59" s="541"/>
      <c r="AHC59" s="541"/>
      <c r="AHD59" s="541"/>
      <c r="AHE59" s="541"/>
      <c r="AHF59" s="541"/>
      <c r="AHG59" s="541"/>
      <c r="AHH59" s="541"/>
      <c r="AHI59" s="541"/>
      <c r="AHJ59" s="541"/>
      <c r="AHK59" s="541"/>
      <c r="AHL59" s="541"/>
      <c r="AHM59" s="541"/>
      <c r="AHN59" s="541"/>
      <c r="AHO59" s="541"/>
      <c r="AHP59" s="541"/>
      <c r="AHQ59" s="541"/>
      <c r="AHR59" s="541"/>
      <c r="AHS59" s="541"/>
      <c r="AHT59" s="541"/>
      <c r="AHU59" s="541"/>
      <c r="AHV59" s="541"/>
      <c r="AHW59" s="541"/>
      <c r="AHX59" s="541"/>
      <c r="AHY59" s="541"/>
      <c r="AHZ59" s="541"/>
      <c r="AIA59" s="541"/>
      <c r="AIB59" s="541"/>
      <c r="AIC59" s="541"/>
      <c r="AID59" s="541"/>
      <c r="AIE59" s="541"/>
      <c r="AIF59" s="541"/>
      <c r="AIG59" s="541"/>
      <c r="AIH59" s="541"/>
      <c r="AII59" s="541"/>
      <c r="AIJ59" s="541"/>
      <c r="AIK59" s="541"/>
      <c r="AIL59" s="541"/>
      <c r="AIM59" s="541"/>
      <c r="AIN59" s="541"/>
      <c r="AIO59" s="541"/>
      <c r="AIP59" s="541"/>
      <c r="AIQ59" s="541"/>
      <c r="AIR59" s="541"/>
      <c r="AIS59" s="541"/>
      <c r="AIT59" s="541"/>
      <c r="AIU59" s="541"/>
      <c r="AIV59" s="541"/>
      <c r="AIW59" s="541"/>
      <c r="AIX59" s="541"/>
      <c r="AIY59" s="541"/>
      <c r="AIZ59" s="541"/>
      <c r="AJA59" s="541"/>
      <c r="AJB59" s="541"/>
      <c r="AJC59" s="541"/>
      <c r="AJD59" s="541"/>
      <c r="AJE59" s="541"/>
      <c r="AJF59" s="541"/>
      <c r="AJG59" s="541"/>
      <c r="AJH59" s="541"/>
      <c r="AJI59" s="541"/>
      <c r="AJJ59" s="541"/>
      <c r="AJK59" s="541"/>
      <c r="AJL59" s="541"/>
      <c r="AJM59" s="541"/>
      <c r="AJN59" s="541"/>
      <c r="AJO59" s="541"/>
      <c r="AJP59" s="541"/>
      <c r="AJQ59" s="541"/>
      <c r="AJR59" s="541"/>
      <c r="AJS59" s="541"/>
      <c r="AJT59" s="541"/>
      <c r="AJU59" s="541"/>
      <c r="AJV59" s="541"/>
      <c r="AJW59" s="541"/>
      <c r="AJX59" s="541"/>
      <c r="AJY59" s="541"/>
      <c r="AJZ59" s="541"/>
      <c r="AKA59" s="541"/>
      <c r="AKB59" s="541"/>
      <c r="AKC59" s="541"/>
      <c r="AKD59" s="541"/>
      <c r="AKE59" s="541"/>
      <c r="AKF59" s="541"/>
      <c r="AKG59" s="541"/>
      <c r="AKH59" s="541"/>
      <c r="AKI59" s="541"/>
      <c r="AKJ59" s="541"/>
      <c r="AKK59" s="541"/>
      <c r="AKL59" s="541"/>
      <c r="AKM59" s="541"/>
      <c r="AKN59" s="541"/>
      <c r="AKO59" s="541"/>
      <c r="AKP59" s="541"/>
      <c r="AKQ59" s="541"/>
      <c r="AKR59" s="541"/>
      <c r="AKS59" s="541"/>
      <c r="AKT59" s="541"/>
      <c r="AKU59" s="541"/>
      <c r="AKV59" s="541"/>
      <c r="AKW59" s="541"/>
      <c r="AKX59" s="541"/>
      <c r="AKY59" s="541"/>
      <c r="AKZ59" s="541"/>
      <c r="ALA59" s="541"/>
      <c r="ALB59" s="541"/>
      <c r="ALC59" s="541"/>
      <c r="ALD59" s="541"/>
      <c r="ALE59" s="541"/>
      <c r="ALF59" s="541"/>
      <c r="ALG59" s="541"/>
      <c r="ALH59" s="541"/>
      <c r="ALI59" s="541"/>
      <c r="ALJ59" s="541"/>
      <c r="ALK59" s="541"/>
      <c r="ALL59" s="541"/>
      <c r="ALM59" s="541"/>
      <c r="ALN59" s="541"/>
      <c r="ALO59" s="541"/>
      <c r="ALP59" s="541"/>
      <c r="ALQ59" s="541"/>
      <c r="ALR59" s="541"/>
      <c r="ALS59" s="541"/>
      <c r="ALT59" s="541"/>
      <c r="ALU59" s="541"/>
      <c r="ALV59" s="541"/>
      <c r="ALW59" s="541"/>
      <c r="ALX59" s="541"/>
      <c r="ALY59" s="541"/>
      <c r="ALZ59" s="541"/>
      <c r="AMA59" s="541"/>
      <c r="AMB59" s="541"/>
      <c r="AMC59" s="541"/>
      <c r="AMD59" s="541"/>
      <c r="AME59" s="541"/>
      <c r="AMF59" s="541"/>
      <c r="AMG59" s="541"/>
      <c r="AMH59" s="541"/>
      <c r="AMI59" s="541"/>
      <c r="AMJ59" s="541"/>
      <c r="AMK59" s="541"/>
      <c r="AML59" s="541"/>
      <c r="AMM59" s="541"/>
      <c r="AMN59" s="541"/>
      <c r="AMO59" s="541"/>
      <c r="AMP59" s="541"/>
      <c r="AMQ59" s="541"/>
      <c r="AMR59" s="541"/>
      <c r="AMS59" s="541"/>
      <c r="AMT59" s="541"/>
      <c r="AMU59" s="541"/>
      <c r="AMV59" s="541"/>
      <c r="AMW59" s="541"/>
      <c r="AMX59" s="541"/>
      <c r="AMY59" s="541"/>
      <c r="AMZ59" s="541"/>
      <c r="ANA59" s="541"/>
      <c r="ANB59" s="541"/>
      <c r="ANC59" s="541"/>
      <c r="AND59" s="541"/>
      <c r="ANE59" s="541"/>
      <c r="ANF59" s="541"/>
      <c r="ANG59" s="541"/>
      <c r="ANH59" s="541"/>
      <c r="ANI59" s="541"/>
      <c r="ANJ59" s="541"/>
      <c r="ANK59" s="541"/>
      <c r="ANL59" s="541"/>
      <c r="ANM59" s="541"/>
      <c r="ANN59" s="541"/>
      <c r="ANO59" s="541"/>
      <c r="ANP59" s="541"/>
      <c r="ANQ59" s="541"/>
      <c r="ANR59" s="541"/>
      <c r="ANS59" s="541"/>
      <c r="ANT59" s="541"/>
      <c r="ANU59" s="541"/>
      <c r="ANV59" s="541"/>
      <c r="ANW59" s="541"/>
      <c r="ANX59" s="541"/>
      <c r="ANY59" s="541"/>
      <c r="ANZ59" s="541"/>
      <c r="AOA59" s="541"/>
      <c r="AOB59" s="541"/>
      <c r="AOC59" s="541"/>
      <c r="AOD59" s="541"/>
      <c r="AOE59" s="541"/>
      <c r="AOF59" s="541"/>
      <c r="AOG59" s="541"/>
      <c r="AOH59" s="541"/>
      <c r="AOI59" s="541"/>
      <c r="AOJ59" s="541"/>
      <c r="AOK59" s="541"/>
      <c r="AOL59" s="541"/>
      <c r="AOM59" s="541"/>
      <c r="AON59" s="541"/>
      <c r="AOO59" s="541"/>
      <c r="AOP59" s="541"/>
      <c r="AOQ59" s="541"/>
      <c r="AOR59" s="541"/>
      <c r="AOS59" s="541"/>
      <c r="AOT59" s="541"/>
      <c r="AOU59" s="541"/>
      <c r="AOV59" s="541"/>
      <c r="AOW59" s="541"/>
      <c r="AOX59" s="541"/>
      <c r="AOY59" s="541"/>
      <c r="AOZ59" s="541"/>
      <c r="APA59" s="541"/>
      <c r="APB59" s="541"/>
      <c r="APC59" s="541"/>
      <c r="APD59" s="541"/>
      <c r="APE59" s="541"/>
      <c r="APF59" s="541"/>
      <c r="APG59" s="541"/>
      <c r="APH59" s="541"/>
      <c r="API59" s="541"/>
      <c r="APJ59" s="541"/>
      <c r="APK59" s="541"/>
      <c r="APL59" s="541"/>
      <c r="APM59" s="541"/>
      <c r="APN59" s="541"/>
      <c r="APO59" s="541"/>
      <c r="APP59" s="541"/>
      <c r="APQ59" s="541"/>
      <c r="APR59" s="541"/>
      <c r="APS59" s="541"/>
      <c r="APT59" s="541"/>
      <c r="APU59" s="541"/>
      <c r="APV59" s="541"/>
      <c r="APW59" s="541"/>
      <c r="APX59" s="541"/>
      <c r="APY59" s="541"/>
      <c r="APZ59" s="541"/>
      <c r="AQA59" s="541"/>
      <c r="AQB59" s="541"/>
      <c r="AQC59" s="541"/>
      <c r="AQD59" s="541"/>
      <c r="AQE59" s="541"/>
      <c r="AQF59" s="541"/>
      <c r="AQG59" s="541"/>
      <c r="AQH59" s="541"/>
      <c r="AQI59" s="541"/>
      <c r="AQJ59" s="541"/>
      <c r="AQK59" s="541"/>
      <c r="AQL59" s="541"/>
      <c r="AQM59" s="541"/>
      <c r="AQN59" s="541"/>
      <c r="AQO59" s="541"/>
      <c r="AQP59" s="541"/>
      <c r="AQQ59" s="541"/>
      <c r="AQR59" s="541"/>
      <c r="AQS59" s="541"/>
      <c r="AQT59" s="541"/>
      <c r="AQU59" s="541"/>
      <c r="AQV59" s="541"/>
      <c r="AQW59" s="541"/>
      <c r="AQX59" s="541"/>
      <c r="AQY59" s="541"/>
      <c r="AQZ59" s="541"/>
      <c r="ARA59" s="541"/>
      <c r="ARB59" s="541"/>
      <c r="ARC59" s="541"/>
      <c r="ARD59" s="541"/>
      <c r="ARE59" s="541"/>
      <c r="ARF59" s="541"/>
      <c r="ARG59" s="541"/>
      <c r="ARH59" s="541"/>
      <c r="ARI59" s="541"/>
      <c r="ARJ59" s="541"/>
      <c r="ARK59" s="541"/>
      <c r="ARL59" s="541"/>
      <c r="ARM59" s="541"/>
      <c r="ARN59" s="541"/>
      <c r="ARO59" s="541"/>
      <c r="ARP59" s="541"/>
      <c r="ARQ59" s="541"/>
      <c r="ARR59" s="541"/>
      <c r="ARS59" s="541"/>
      <c r="ART59" s="541"/>
      <c r="ARU59" s="541"/>
    </row>
    <row r="60" spans="1:1165">
      <c r="A60" s="591"/>
      <c r="B60" s="594"/>
      <c r="C60" s="670"/>
      <c r="D60" s="670"/>
      <c r="E60" s="595"/>
      <c r="F60" s="595"/>
      <c r="G60" s="595"/>
      <c r="H60" s="595"/>
      <c r="I60" s="595"/>
      <c r="J60" s="595"/>
      <c r="K60" s="595"/>
      <c r="L60" s="595"/>
      <c r="M60" s="595"/>
      <c r="N60" s="595"/>
      <c r="O60" s="595"/>
      <c r="P60" s="595"/>
      <c r="Q60" s="595"/>
      <c r="R60" s="595"/>
      <c r="S60" s="595"/>
      <c r="T60" s="595"/>
      <c r="U60" s="672"/>
      <c r="V60" s="672"/>
      <c r="W60" s="586"/>
      <c r="X60" s="586"/>
      <c r="Y60" s="586"/>
      <c r="Z60" s="586"/>
      <c r="AA60" s="586"/>
      <c r="AB60" s="586"/>
      <c r="AC60" s="595"/>
      <c r="AD60" s="595"/>
      <c r="AE60" s="595"/>
      <c r="AF60" s="595"/>
      <c r="AG60" s="586"/>
      <c r="AH60" s="586"/>
      <c r="AI60" s="586"/>
      <c r="AJ60" s="586"/>
      <c r="AK60" s="586"/>
      <c r="AL60" s="586"/>
      <c r="AM60" s="586"/>
      <c r="AN60" s="586"/>
      <c r="AO60" s="586"/>
      <c r="AP60" s="586"/>
      <c r="AQ60" s="586"/>
      <c r="AR60" s="586"/>
      <c r="AS60" s="586"/>
      <c r="AT60" s="586"/>
      <c r="AU60" s="623"/>
      <c r="AV60" s="623"/>
      <c r="AW60" s="650"/>
      <c r="AX60" s="650"/>
      <c r="AY60" s="648"/>
      <c r="AZ60" s="648"/>
      <c r="BA60" s="686"/>
      <c r="BB60" s="608"/>
      <c r="BC60" s="608"/>
      <c r="BD60" s="608"/>
      <c r="BE60" s="608"/>
      <c r="BF60" s="608"/>
      <c r="BG60" s="608"/>
      <c r="BH60" s="608"/>
      <c r="BI60" s="686"/>
      <c r="BJ60" s="608"/>
      <c r="BK60" s="608"/>
      <c r="BL60" s="541"/>
      <c r="BM60" s="42"/>
      <c r="BP60" s="624"/>
    </row>
    <row r="61" spans="1:1165">
      <c r="A61" s="591" t="s">
        <v>231</v>
      </c>
      <c r="B61" s="430"/>
      <c r="C61" s="684"/>
      <c r="D61" s="684"/>
      <c r="E61" s="608"/>
      <c r="F61" s="608"/>
      <c r="G61" s="608"/>
      <c r="H61" s="608"/>
      <c r="I61" s="608"/>
      <c r="J61" s="608"/>
      <c r="K61" s="608"/>
      <c r="L61" s="608"/>
      <c r="M61" s="608"/>
      <c r="N61" s="608"/>
      <c r="O61" s="608"/>
      <c r="P61" s="608"/>
      <c r="Q61" s="608"/>
      <c r="R61" s="608"/>
      <c r="S61" s="608"/>
      <c r="T61" s="608"/>
      <c r="U61" s="586"/>
      <c r="V61" s="586"/>
      <c r="W61" s="586"/>
      <c r="X61" s="586"/>
      <c r="Y61" s="586"/>
      <c r="Z61" s="586"/>
      <c r="AA61" s="586"/>
      <c r="AB61" s="586"/>
      <c r="AC61" s="595"/>
      <c r="AD61" s="595"/>
      <c r="AE61" s="608"/>
      <c r="AF61" s="608"/>
      <c r="AG61" s="586"/>
      <c r="AH61" s="586"/>
      <c r="AI61" s="586"/>
      <c r="AJ61" s="586"/>
      <c r="AK61" s="586"/>
      <c r="AL61" s="586"/>
      <c r="AM61" s="586"/>
      <c r="AN61" s="586"/>
      <c r="AO61" s="586"/>
      <c r="AP61" s="586"/>
      <c r="AQ61" s="586"/>
      <c r="AR61" s="586"/>
      <c r="AS61" s="586"/>
      <c r="AT61" s="586"/>
      <c r="AU61" s="586"/>
      <c r="AV61" s="586"/>
      <c r="AW61" s="650"/>
      <c r="AX61" s="650"/>
      <c r="AY61" s="648"/>
      <c r="AZ61" s="648"/>
      <c r="BA61" s="686"/>
      <c r="BB61" s="608"/>
      <c r="BC61" s="608"/>
      <c r="BD61" s="608"/>
      <c r="BE61" s="608"/>
      <c r="BF61" s="608"/>
      <c r="BG61" s="608"/>
      <c r="BH61" s="608"/>
      <c r="BI61" s="686"/>
      <c r="BJ61" s="608"/>
      <c r="BK61" s="608"/>
      <c r="BL61" s="541"/>
      <c r="BM61" s="42"/>
      <c r="BP61" s="624"/>
    </row>
    <row r="62" spans="1:1165">
      <c r="A62" s="593" t="s">
        <v>335</v>
      </c>
      <c r="B62" s="594" t="s">
        <v>110</v>
      </c>
      <c r="C62" s="595">
        <v>0</v>
      </c>
      <c r="D62" s="595">
        <v>0</v>
      </c>
      <c r="E62" s="595">
        <v>0</v>
      </c>
      <c r="F62" s="595">
        <v>0</v>
      </c>
      <c r="G62" s="595">
        <v>0</v>
      </c>
      <c r="H62" s="595">
        <v>0</v>
      </c>
      <c r="I62" s="595">
        <v>7836</v>
      </c>
      <c r="J62" s="595">
        <v>32070</v>
      </c>
      <c r="K62" s="595">
        <v>5033</v>
      </c>
      <c r="L62" s="595">
        <v>17486</v>
      </c>
      <c r="M62" s="595">
        <v>126766</v>
      </c>
      <c r="N62" s="595">
        <v>69696</v>
      </c>
      <c r="O62" s="595">
        <v>142939</v>
      </c>
      <c r="P62" s="595">
        <v>1039428</v>
      </c>
      <c r="Q62" s="595">
        <v>122114</v>
      </c>
      <c r="R62" s="595">
        <v>677247</v>
      </c>
      <c r="S62" s="595">
        <v>175345</v>
      </c>
      <c r="T62" s="595">
        <v>890820</v>
      </c>
      <c r="U62" s="608">
        <v>220304</v>
      </c>
      <c r="V62" s="608">
        <v>1286308</v>
      </c>
      <c r="W62" s="608">
        <v>172316</v>
      </c>
      <c r="X62" s="608">
        <v>1026723</v>
      </c>
      <c r="Y62" s="608">
        <v>78303</v>
      </c>
      <c r="Z62" s="608">
        <v>300542</v>
      </c>
      <c r="AA62" s="623">
        <v>133683</v>
      </c>
      <c r="AB62" s="623">
        <v>719267</v>
      </c>
      <c r="AC62" s="595">
        <v>148082</v>
      </c>
      <c r="AD62" s="595">
        <v>898292</v>
      </c>
      <c r="AE62" s="586">
        <v>256859</v>
      </c>
      <c r="AF62" s="586">
        <v>1435187</v>
      </c>
      <c r="AG62" s="586">
        <v>110173</v>
      </c>
      <c r="AH62" s="586">
        <v>659783</v>
      </c>
      <c r="AI62" s="586">
        <v>426127</v>
      </c>
      <c r="AJ62" s="586">
        <v>2480317</v>
      </c>
      <c r="AK62" s="673">
        <v>505750</v>
      </c>
      <c r="AL62" s="673">
        <v>3292862</v>
      </c>
      <c r="AM62" s="676">
        <v>453971</v>
      </c>
      <c r="AN62" s="676">
        <v>2858956</v>
      </c>
      <c r="AO62" s="586">
        <v>310670</v>
      </c>
      <c r="AP62" s="586">
        <v>2580202</v>
      </c>
      <c r="AQ62" s="586">
        <v>294884.75</v>
      </c>
      <c r="AR62" s="586">
        <v>2029283</v>
      </c>
      <c r="AS62" s="586">
        <v>184080.68</v>
      </c>
      <c r="AT62" s="586">
        <v>2023384</v>
      </c>
      <c r="AU62" s="623">
        <v>519620</v>
      </c>
      <c r="AV62" s="623">
        <v>4190023</v>
      </c>
      <c r="AW62" s="623">
        <v>589339</v>
      </c>
      <c r="AX62" s="623">
        <v>5726287</v>
      </c>
      <c r="AY62" s="608">
        <v>479467.53</v>
      </c>
      <c r="AZ62" s="608">
        <v>3712515.5</v>
      </c>
      <c r="BA62" s="686"/>
      <c r="BB62" s="608"/>
      <c r="BC62" s="608"/>
      <c r="BD62" s="608"/>
      <c r="BE62" s="608"/>
      <c r="BF62" s="624"/>
      <c r="BG62" s="586"/>
      <c r="BH62" s="624"/>
      <c r="BI62" s="586"/>
      <c r="BJ62" s="608">
        <f t="shared" ref="BJ62:BJ66" si="6">C62+G62+I62+K62+M62+O62+Q62+S62+U62+W62+Y62+AA62+AC62+AE62+AG62+AI62+AK62+AM62+AO62+AQ62+AS62+AU62+AW62+AY62+BB62+BF62</f>
        <v>5463662.96</v>
      </c>
      <c r="BK62" s="595">
        <f t="shared" ref="BK62:BK67" si="7">D62+H62+J62+L62+N62+P62+R62+T62+V62+X62+Z62+AB62+AD62+AF62+AH62+AJ62+AL62+AN62+AP62+AR62+AT62+AV62+AX62+AZ62+BD62+BH62</f>
        <v>37946678.5</v>
      </c>
      <c r="BL62" s="541"/>
      <c r="BM62" s="42"/>
      <c r="BP62" s="624"/>
    </row>
    <row r="63" spans="1:1165">
      <c r="A63" s="593" t="s">
        <v>336</v>
      </c>
      <c r="B63" s="594" t="s">
        <v>110</v>
      </c>
      <c r="C63" s="595">
        <v>0</v>
      </c>
      <c r="D63" s="595">
        <v>0</v>
      </c>
      <c r="E63" s="595">
        <v>0</v>
      </c>
      <c r="F63" s="595">
        <v>0</v>
      </c>
      <c r="G63" s="595">
        <v>0</v>
      </c>
      <c r="H63" s="595">
        <v>0</v>
      </c>
      <c r="I63" s="595">
        <v>5470</v>
      </c>
      <c r="J63" s="595">
        <v>30635</v>
      </c>
      <c r="K63" s="595">
        <v>60</v>
      </c>
      <c r="L63" s="595">
        <v>240</v>
      </c>
      <c r="M63" s="595">
        <v>46422</v>
      </c>
      <c r="N63" s="595">
        <v>52966</v>
      </c>
      <c r="O63" s="595">
        <v>11451</v>
      </c>
      <c r="P63" s="595">
        <v>14134</v>
      </c>
      <c r="Q63" s="595">
        <v>5370</v>
      </c>
      <c r="R63" s="595">
        <v>19875</v>
      </c>
      <c r="S63" s="595">
        <v>2025</v>
      </c>
      <c r="T63" s="595">
        <v>36255</v>
      </c>
      <c r="U63" s="608">
        <v>24026</v>
      </c>
      <c r="V63" s="608">
        <v>116680</v>
      </c>
      <c r="W63" s="608">
        <v>31123</v>
      </c>
      <c r="X63" s="608">
        <v>143716</v>
      </c>
      <c r="Y63" s="608">
        <v>32471</v>
      </c>
      <c r="Z63" s="608">
        <v>162435</v>
      </c>
      <c r="AA63" s="623">
        <v>47361</v>
      </c>
      <c r="AB63" s="623">
        <v>244227</v>
      </c>
      <c r="AC63" s="608">
        <v>121884</v>
      </c>
      <c r="AD63" s="608">
        <v>605423</v>
      </c>
      <c r="AE63" s="586">
        <v>88338</v>
      </c>
      <c r="AF63" s="586">
        <v>438168</v>
      </c>
      <c r="AG63" s="586">
        <v>126389</v>
      </c>
      <c r="AH63" s="586">
        <v>635400</v>
      </c>
      <c r="AI63" s="586">
        <v>148469</v>
      </c>
      <c r="AJ63" s="586">
        <v>803927</v>
      </c>
      <c r="AK63" s="673">
        <v>237095</v>
      </c>
      <c r="AL63" s="673">
        <v>1369608</v>
      </c>
      <c r="AM63" s="676">
        <v>176792</v>
      </c>
      <c r="AN63" s="676">
        <v>963578</v>
      </c>
      <c r="AO63" s="586">
        <v>182314</v>
      </c>
      <c r="AP63" s="586">
        <v>1116035</v>
      </c>
      <c r="AQ63" s="586">
        <v>269339.58</v>
      </c>
      <c r="AR63" s="586">
        <v>1763786</v>
      </c>
      <c r="AS63" s="586">
        <v>188796.26</v>
      </c>
      <c r="AT63" s="586">
        <v>1192908</v>
      </c>
      <c r="AU63" s="623">
        <v>177397</v>
      </c>
      <c r="AV63" s="623">
        <v>1177292</v>
      </c>
      <c r="AW63" s="623">
        <v>350885</v>
      </c>
      <c r="AX63" s="623">
        <v>1349499</v>
      </c>
      <c r="AY63" s="608">
        <v>118305</v>
      </c>
      <c r="AZ63" s="608">
        <v>823364</v>
      </c>
      <c r="BA63" s="586"/>
      <c r="BB63" s="608"/>
      <c r="BC63" s="586"/>
      <c r="BD63" s="608"/>
      <c r="BE63" s="586"/>
      <c r="BF63" s="624"/>
      <c r="BG63" s="586"/>
      <c r="BH63" s="624"/>
      <c r="BI63" s="586"/>
      <c r="BJ63" s="608">
        <f t="shared" si="6"/>
        <v>2391782.84</v>
      </c>
      <c r="BK63" s="595">
        <f t="shared" si="7"/>
        <v>13060151</v>
      </c>
      <c r="BL63" s="541"/>
      <c r="BM63" s="42"/>
      <c r="BP63" s="624"/>
    </row>
    <row r="64" spans="1:1165">
      <c r="A64" s="593" t="s">
        <v>337</v>
      </c>
      <c r="B64" s="594" t="s">
        <v>110</v>
      </c>
      <c r="C64" s="595">
        <v>0</v>
      </c>
      <c r="D64" s="595">
        <v>0</v>
      </c>
      <c r="E64" s="595">
        <v>0</v>
      </c>
      <c r="F64" s="595">
        <v>0</v>
      </c>
      <c r="G64" s="595">
        <v>0</v>
      </c>
      <c r="H64" s="595">
        <v>0</v>
      </c>
      <c r="I64" s="595">
        <v>109307</v>
      </c>
      <c r="J64" s="595">
        <v>218616</v>
      </c>
      <c r="K64" s="595">
        <v>72474</v>
      </c>
      <c r="L64" s="595">
        <v>144945</v>
      </c>
      <c r="M64" s="595">
        <v>47557</v>
      </c>
      <c r="N64" s="595">
        <v>94712</v>
      </c>
      <c r="O64" s="595">
        <v>63113</v>
      </c>
      <c r="P64" s="595">
        <v>125867</v>
      </c>
      <c r="Q64" s="595">
        <v>89478</v>
      </c>
      <c r="R64" s="595">
        <v>178958</v>
      </c>
      <c r="S64" s="595">
        <v>112599</v>
      </c>
      <c r="T64" s="595">
        <v>1092626</v>
      </c>
      <c r="U64" s="608">
        <v>153364</v>
      </c>
      <c r="V64" s="608">
        <v>1683493</v>
      </c>
      <c r="W64" s="608">
        <v>134927</v>
      </c>
      <c r="X64" s="608">
        <v>1260593</v>
      </c>
      <c r="Y64" s="608">
        <v>84595</v>
      </c>
      <c r="Z64" s="608">
        <v>701259</v>
      </c>
      <c r="AA64" s="623">
        <v>44485</v>
      </c>
      <c r="AB64" s="673">
        <v>469114</v>
      </c>
      <c r="AC64" s="595">
        <v>140597</v>
      </c>
      <c r="AD64" s="595">
        <v>428656</v>
      </c>
      <c r="AE64" s="586">
        <v>94634</v>
      </c>
      <c r="AF64" s="586">
        <v>927877</v>
      </c>
      <c r="AG64" s="586">
        <v>118062</v>
      </c>
      <c r="AH64" s="586">
        <v>1877173</v>
      </c>
      <c r="AI64" s="586">
        <v>50242</v>
      </c>
      <c r="AJ64" s="586">
        <v>633258</v>
      </c>
      <c r="AK64" s="673">
        <v>549600</v>
      </c>
      <c r="AL64" s="673">
        <v>3303495</v>
      </c>
      <c r="AM64" s="676">
        <v>210401</v>
      </c>
      <c r="AN64" s="676">
        <v>1324367</v>
      </c>
      <c r="AO64" s="586">
        <v>416078</v>
      </c>
      <c r="AP64" s="586">
        <v>2715818</v>
      </c>
      <c r="AQ64" s="586">
        <v>273067.73</v>
      </c>
      <c r="AR64" s="586">
        <v>1889434</v>
      </c>
      <c r="AS64" s="586">
        <v>257623.28</v>
      </c>
      <c r="AT64" s="586">
        <v>1864118</v>
      </c>
      <c r="AU64" s="623">
        <v>252791</v>
      </c>
      <c r="AV64" s="623">
        <v>1944452</v>
      </c>
      <c r="AW64" s="623">
        <v>352261</v>
      </c>
      <c r="AX64" s="623">
        <v>3543190</v>
      </c>
      <c r="AY64" s="608">
        <v>299143</v>
      </c>
      <c r="AZ64" s="608">
        <v>2814594</v>
      </c>
      <c r="BA64" s="686"/>
      <c r="BB64" s="608"/>
      <c r="BC64" s="608"/>
      <c r="BD64" s="608"/>
      <c r="BE64" s="608"/>
      <c r="BF64" s="624"/>
      <c r="BG64" s="586"/>
      <c r="BH64" s="624"/>
      <c r="BI64" s="586"/>
      <c r="BJ64" s="608">
        <f t="shared" si="6"/>
        <v>3926399.01</v>
      </c>
      <c r="BK64" s="595">
        <f t="shared" si="7"/>
        <v>29236615</v>
      </c>
      <c r="BL64" s="541"/>
      <c r="BM64" s="42"/>
      <c r="BP64" s="624"/>
    </row>
    <row r="65" spans="1:1165">
      <c r="A65" s="593" t="s">
        <v>338</v>
      </c>
      <c r="B65" s="594" t="s">
        <v>110</v>
      </c>
      <c r="C65" s="595">
        <v>0</v>
      </c>
      <c r="D65" s="595">
        <v>0</v>
      </c>
      <c r="E65" s="595">
        <v>0</v>
      </c>
      <c r="F65" s="595">
        <v>0</v>
      </c>
      <c r="G65" s="595">
        <v>0</v>
      </c>
      <c r="H65" s="595">
        <v>0</v>
      </c>
      <c r="I65" s="595">
        <v>21673</v>
      </c>
      <c r="J65" s="595">
        <v>54371</v>
      </c>
      <c r="K65" s="595">
        <v>125405</v>
      </c>
      <c r="L65" s="595">
        <v>343272</v>
      </c>
      <c r="M65" s="595">
        <v>236768</v>
      </c>
      <c r="N65" s="595">
        <v>1146541</v>
      </c>
      <c r="O65" s="595">
        <v>1057832</v>
      </c>
      <c r="P65" s="595">
        <v>1937243</v>
      </c>
      <c r="Q65" s="595">
        <v>1147184</v>
      </c>
      <c r="R65" s="595">
        <v>3300083</v>
      </c>
      <c r="S65" s="595">
        <v>933608</v>
      </c>
      <c r="T65" s="595">
        <v>2435871</v>
      </c>
      <c r="U65" s="608">
        <v>539628</v>
      </c>
      <c r="V65" s="608">
        <v>1586184</v>
      </c>
      <c r="W65" s="608">
        <v>759955</v>
      </c>
      <c r="X65" s="608">
        <v>1928983</v>
      </c>
      <c r="Y65" s="608">
        <v>563731</v>
      </c>
      <c r="Z65" s="608">
        <v>2489603</v>
      </c>
      <c r="AA65" s="586">
        <v>781523</v>
      </c>
      <c r="AB65" s="586">
        <v>4121913</v>
      </c>
      <c r="AC65" s="595">
        <v>1025359</v>
      </c>
      <c r="AD65" s="595">
        <v>5201858</v>
      </c>
      <c r="AE65" s="586">
        <v>2445633</v>
      </c>
      <c r="AF65" s="586">
        <v>10268681</v>
      </c>
      <c r="AG65" s="586">
        <v>1894690</v>
      </c>
      <c r="AH65" s="586">
        <v>8834803</v>
      </c>
      <c r="AI65" s="586">
        <v>1706340</v>
      </c>
      <c r="AJ65" s="586">
        <v>7672398</v>
      </c>
      <c r="AK65" s="673">
        <v>1429967</v>
      </c>
      <c r="AL65" s="673">
        <v>6333052</v>
      </c>
      <c r="AM65" s="676">
        <v>1577080</v>
      </c>
      <c r="AN65" s="676">
        <v>7723332</v>
      </c>
      <c r="AO65" s="586">
        <v>1689533</v>
      </c>
      <c r="AP65" s="586">
        <v>7590537</v>
      </c>
      <c r="AQ65" s="586">
        <v>1903951.02</v>
      </c>
      <c r="AR65" s="586">
        <v>8844934</v>
      </c>
      <c r="AS65" s="586">
        <v>1563907.82</v>
      </c>
      <c r="AT65" s="586">
        <v>7269988.0600000005</v>
      </c>
      <c r="AU65" s="623">
        <v>1175262</v>
      </c>
      <c r="AV65" s="623">
        <v>5756683</v>
      </c>
      <c r="AW65" s="623">
        <v>1682388</v>
      </c>
      <c r="AX65" s="623">
        <v>7831502</v>
      </c>
      <c r="AY65" s="608">
        <v>1648382</v>
      </c>
      <c r="AZ65" s="608">
        <v>8037588</v>
      </c>
      <c r="BA65" s="586"/>
      <c r="BB65" s="608"/>
      <c r="BC65" s="586"/>
      <c r="BD65" s="608"/>
      <c r="BE65" s="586"/>
      <c r="BF65" s="624"/>
      <c r="BG65" s="586"/>
      <c r="BH65" s="624"/>
      <c r="BI65" s="586"/>
      <c r="BJ65" s="608">
        <f t="shared" si="6"/>
        <v>25909799.84</v>
      </c>
      <c r="BK65" s="595">
        <f t="shared" si="7"/>
        <v>110709420.06</v>
      </c>
      <c r="BL65" s="541"/>
      <c r="BM65" s="42"/>
      <c r="BP65" s="624"/>
    </row>
    <row r="66" spans="1:1165">
      <c r="A66" s="593" t="s">
        <v>232</v>
      </c>
      <c r="B66" s="594" t="s">
        <v>110</v>
      </c>
      <c r="C66" s="670">
        <f>681+84</f>
        <v>765</v>
      </c>
      <c r="D66" s="670">
        <f>4020+3486</f>
        <v>7506</v>
      </c>
      <c r="E66" s="595">
        <v>0</v>
      </c>
      <c r="F66" s="595">
        <v>0</v>
      </c>
      <c r="G66" s="595">
        <v>0</v>
      </c>
      <c r="H66" s="595">
        <v>0</v>
      </c>
      <c r="I66" s="595">
        <v>50</v>
      </c>
      <c r="J66" s="595">
        <v>1250</v>
      </c>
      <c r="K66" s="595">
        <v>0</v>
      </c>
      <c r="L66" s="595">
        <v>0</v>
      </c>
      <c r="M66" s="595">
        <v>0</v>
      </c>
      <c r="N66" s="595">
        <v>0</v>
      </c>
      <c r="O66" s="595">
        <v>0</v>
      </c>
      <c r="P66" s="595">
        <v>0</v>
      </c>
      <c r="Q66" s="595">
        <v>20</v>
      </c>
      <c r="R66" s="595">
        <v>40</v>
      </c>
      <c r="S66" s="586">
        <v>0</v>
      </c>
      <c r="T66" s="586">
        <v>0</v>
      </c>
      <c r="U66" s="586">
        <v>0</v>
      </c>
      <c r="V66" s="586">
        <v>0</v>
      </c>
      <c r="W66" s="586">
        <v>0</v>
      </c>
      <c r="X66" s="586">
        <v>0</v>
      </c>
      <c r="Y66" s="586">
        <v>0</v>
      </c>
      <c r="Z66" s="586">
        <v>0</v>
      </c>
      <c r="AA66" s="623">
        <v>0</v>
      </c>
      <c r="AB66" s="623">
        <v>0</v>
      </c>
      <c r="AC66" s="586">
        <v>0</v>
      </c>
      <c r="AD66" s="586">
        <v>0</v>
      </c>
      <c r="AE66" s="586">
        <v>0</v>
      </c>
      <c r="AF66" s="586">
        <v>0</v>
      </c>
      <c r="AG66" s="586">
        <v>0</v>
      </c>
      <c r="AH66" s="586">
        <v>0</v>
      </c>
      <c r="AI66" s="586">
        <v>92</v>
      </c>
      <c r="AJ66" s="586">
        <v>21823</v>
      </c>
      <c r="AK66" s="673">
        <v>0</v>
      </c>
      <c r="AL66" s="430">
        <v>0</v>
      </c>
      <c r="AM66" s="586">
        <v>0</v>
      </c>
      <c r="AN66" s="586">
        <v>0</v>
      </c>
      <c r="AO66" s="586">
        <v>0</v>
      </c>
      <c r="AP66" s="586">
        <v>0</v>
      </c>
      <c r="AQ66" s="586">
        <v>0</v>
      </c>
      <c r="AR66" s="586">
        <v>0</v>
      </c>
      <c r="AS66" s="586">
        <v>1100</v>
      </c>
      <c r="AT66" s="586">
        <v>55000</v>
      </c>
      <c r="AU66" s="623">
        <v>0</v>
      </c>
      <c r="AV66" s="623">
        <v>0</v>
      </c>
      <c r="AW66" s="586">
        <v>868</v>
      </c>
      <c r="AX66" s="623">
        <v>47740</v>
      </c>
      <c r="AY66" s="608">
        <v>0</v>
      </c>
      <c r="AZ66" s="608">
        <v>0</v>
      </c>
      <c r="BA66" s="625"/>
      <c r="BB66" s="682"/>
      <c r="BC66" s="682"/>
      <c r="BD66" s="682"/>
      <c r="BE66" s="682"/>
      <c r="BF66" s="624"/>
      <c r="BG66" s="624"/>
      <c r="BH66" s="624"/>
      <c r="BI66" s="625"/>
      <c r="BJ66" s="608">
        <f t="shared" si="6"/>
        <v>2895</v>
      </c>
      <c r="BK66" s="595">
        <f t="shared" si="7"/>
        <v>133359</v>
      </c>
      <c r="BL66" s="541"/>
      <c r="BM66" s="42"/>
      <c r="BP66" s="624"/>
    </row>
    <row r="67" spans="1:1165">
      <c r="A67" s="596" t="s">
        <v>233</v>
      </c>
      <c r="B67" s="430"/>
      <c r="C67" s="684"/>
      <c r="D67" s="684">
        <f>SUM(D62:D66)</f>
        <v>7506</v>
      </c>
      <c r="E67" s="608"/>
      <c r="F67" s="608">
        <f>SUM(F62:F66)</f>
        <v>0</v>
      </c>
      <c r="G67" s="608"/>
      <c r="H67" s="608">
        <v>0</v>
      </c>
      <c r="I67" s="608"/>
      <c r="J67" s="608">
        <f>SUM(J62:J66)</f>
        <v>336942</v>
      </c>
      <c r="K67" s="608"/>
      <c r="L67" s="608">
        <f>SUM(L62:L66)</f>
        <v>505943</v>
      </c>
      <c r="M67" s="608"/>
      <c r="N67" s="608">
        <f>SUM(N62:N66)</f>
        <v>1363915</v>
      </c>
      <c r="O67" s="608"/>
      <c r="P67" s="608">
        <f>SUM(P62:P66)</f>
        <v>3116672</v>
      </c>
      <c r="Q67" s="608"/>
      <c r="R67" s="608">
        <f>SUM(R62:R66)</f>
        <v>4176203</v>
      </c>
      <c r="S67" s="608"/>
      <c r="T67" s="608">
        <f>SUM(T62:T66)</f>
        <v>4455572</v>
      </c>
      <c r="U67" s="586"/>
      <c r="V67" s="586">
        <f>SUM(V62:V66)</f>
        <v>4672665</v>
      </c>
      <c r="W67" s="586"/>
      <c r="X67" s="608">
        <f>SUM(X62:X66)</f>
        <v>4360015</v>
      </c>
      <c r="Y67" s="586"/>
      <c r="Z67" s="608">
        <f>SUM(Z62:Z66)</f>
        <v>3653839</v>
      </c>
      <c r="AA67" s="586"/>
      <c r="AB67" s="623">
        <f>SUM(AB62:AB66)</f>
        <v>5554521</v>
      </c>
      <c r="AC67" s="595"/>
      <c r="AD67" s="595">
        <f>SUM(AD62:AD66)</f>
        <v>7134229</v>
      </c>
      <c r="AE67" s="586"/>
      <c r="AF67" s="623">
        <f>SUM(AF62:AF66)</f>
        <v>13069913</v>
      </c>
      <c r="AG67" s="586"/>
      <c r="AH67" s="586">
        <f>SUM(AH62:AH66)</f>
        <v>12007159</v>
      </c>
      <c r="AI67" s="586"/>
      <c r="AJ67" s="586">
        <f>SUM(AJ62:AJ66)</f>
        <v>11611723</v>
      </c>
      <c r="AK67" s="586"/>
      <c r="AL67" s="673">
        <v>14299017</v>
      </c>
      <c r="AM67" s="586"/>
      <c r="AN67" s="586">
        <f>SUM(AN62:AN66)</f>
        <v>12870233</v>
      </c>
      <c r="AO67" s="586"/>
      <c r="AP67" s="586">
        <f>SUM(AP62:AP66)</f>
        <v>14002592</v>
      </c>
      <c r="AQ67" s="586"/>
      <c r="AR67" s="586">
        <v>14527437</v>
      </c>
      <c r="AS67" s="586"/>
      <c r="AT67" s="586">
        <f>SUM(AT62:AT66)</f>
        <v>12405398.060000001</v>
      </c>
      <c r="AU67" s="586"/>
      <c r="AV67" s="623">
        <v>13068450</v>
      </c>
      <c r="AW67" s="586"/>
      <c r="AX67" s="623">
        <f>SUM(AX62:AX66)</f>
        <v>18498218</v>
      </c>
      <c r="AY67" s="608"/>
      <c r="AZ67" s="608">
        <v>15388061</v>
      </c>
      <c r="BA67" s="680"/>
      <c r="BB67" s="608"/>
      <c r="BC67" s="586"/>
      <c r="BD67" s="608"/>
      <c r="BE67" s="586"/>
      <c r="BF67" s="624"/>
      <c r="BG67" s="624"/>
      <c r="BH67" s="624"/>
      <c r="BI67" s="586"/>
      <c r="BJ67" s="608"/>
      <c r="BK67" s="595">
        <f t="shared" si="7"/>
        <v>191086223.06</v>
      </c>
      <c r="BL67" s="541"/>
      <c r="BM67" s="42"/>
      <c r="BP67" s="624"/>
    </row>
    <row r="68" spans="1:1165">
      <c r="A68" s="599"/>
      <c r="B68" s="430"/>
      <c r="C68" s="684"/>
      <c r="D68" s="684"/>
      <c r="E68" s="608"/>
      <c r="F68" s="608"/>
      <c r="G68" s="608"/>
      <c r="H68" s="608"/>
      <c r="I68" s="608"/>
      <c r="J68" s="608"/>
      <c r="K68" s="608"/>
      <c r="L68" s="608"/>
      <c r="M68" s="608"/>
      <c r="N68" s="608"/>
      <c r="O68" s="608"/>
      <c r="P68" s="608"/>
      <c r="Q68" s="608"/>
      <c r="R68" s="608"/>
      <c r="S68" s="608"/>
      <c r="T68" s="608"/>
      <c r="U68" s="586"/>
      <c r="V68" s="586"/>
      <c r="W68" s="586"/>
      <c r="X68" s="608"/>
      <c r="Y68" s="586"/>
      <c r="Z68" s="608"/>
      <c r="AA68" s="586"/>
      <c r="AB68" s="623"/>
      <c r="AC68" s="595"/>
      <c r="AD68" s="595"/>
      <c r="AE68" s="586"/>
      <c r="AF68" s="623"/>
      <c r="AG68" s="586"/>
      <c r="AH68" s="623"/>
      <c r="AI68" s="586"/>
      <c r="AJ68" s="623"/>
      <c r="AK68" s="586"/>
      <c r="AL68" s="623"/>
      <c r="AM68" s="586"/>
      <c r="AN68" s="586"/>
      <c r="AO68" s="586"/>
      <c r="AP68" s="586"/>
      <c r="AQ68" s="586"/>
      <c r="AR68" s="586"/>
      <c r="AS68" s="586"/>
      <c r="AT68" s="586"/>
      <c r="AU68" s="586"/>
      <c r="AV68" s="623"/>
      <c r="AW68" s="650"/>
      <c r="AX68" s="650"/>
      <c r="AY68" s="608"/>
      <c r="AZ68" s="608"/>
      <c r="BA68" s="686"/>
      <c r="BB68" s="608"/>
      <c r="BC68" s="608"/>
      <c r="BD68" s="608"/>
      <c r="BE68" s="608"/>
      <c r="BF68" s="608"/>
      <c r="BG68" s="608"/>
      <c r="BH68" s="608"/>
      <c r="BI68" s="686"/>
      <c r="BJ68" s="608"/>
      <c r="BK68" s="608"/>
      <c r="BL68" s="541"/>
      <c r="BM68" s="42"/>
      <c r="BP68" s="624"/>
    </row>
    <row r="69" spans="1:1165" s="658" customFormat="1">
      <c r="A69" s="577" t="s">
        <v>234</v>
      </c>
      <c r="B69" s="578" t="s">
        <v>235</v>
      </c>
      <c r="C69" s="659"/>
      <c r="D69" s="659">
        <v>48</v>
      </c>
      <c r="E69" s="579">
        <v>0</v>
      </c>
      <c r="F69" s="579">
        <v>0</v>
      </c>
      <c r="G69" s="579">
        <v>0</v>
      </c>
      <c r="H69" s="579">
        <v>0</v>
      </c>
      <c r="I69" s="579">
        <v>0</v>
      </c>
      <c r="J69" s="579">
        <v>0</v>
      </c>
      <c r="K69" s="581">
        <v>6539544</v>
      </c>
      <c r="L69" s="581">
        <v>68978807</v>
      </c>
      <c r="M69" s="581">
        <v>5692193</v>
      </c>
      <c r="N69" s="581">
        <v>45155034</v>
      </c>
      <c r="O69" s="581">
        <v>7070062</v>
      </c>
      <c r="P69" s="581">
        <v>64367369</v>
      </c>
      <c r="Q69" s="581">
        <v>29232453</v>
      </c>
      <c r="R69" s="581">
        <v>256963424</v>
      </c>
      <c r="S69" s="581">
        <v>30331701</v>
      </c>
      <c r="T69" s="581">
        <v>246517116</v>
      </c>
      <c r="U69" s="598">
        <v>35220858</v>
      </c>
      <c r="V69" s="598">
        <v>302495527</v>
      </c>
      <c r="W69" s="598">
        <v>37505444</v>
      </c>
      <c r="X69" s="598">
        <v>427446772</v>
      </c>
      <c r="Y69" s="598">
        <v>31182964</v>
      </c>
      <c r="Z69" s="598">
        <v>429928200</v>
      </c>
      <c r="AA69" s="619">
        <v>33358098</v>
      </c>
      <c r="AB69" s="619">
        <v>456926660</v>
      </c>
      <c r="AC69" s="581">
        <v>41453238</v>
      </c>
      <c r="AD69" s="581">
        <v>565061845</v>
      </c>
      <c r="AE69" s="579">
        <v>22649491</v>
      </c>
      <c r="AF69" s="579">
        <v>486770824</v>
      </c>
      <c r="AG69" s="579">
        <v>27716403</v>
      </c>
      <c r="AH69" s="579">
        <v>470342571</v>
      </c>
      <c r="AI69" s="579">
        <v>23451750</v>
      </c>
      <c r="AJ69" s="579">
        <v>480150004</v>
      </c>
      <c r="AK69" s="661">
        <v>47425602</v>
      </c>
      <c r="AL69" s="661">
        <v>442006326</v>
      </c>
      <c r="AM69" s="662">
        <v>40421889</v>
      </c>
      <c r="AN69" s="662">
        <v>421193947</v>
      </c>
      <c r="AO69" s="579">
        <v>52274315</v>
      </c>
      <c r="AP69" s="579">
        <v>642392647</v>
      </c>
      <c r="AQ69" s="579">
        <v>51641931</v>
      </c>
      <c r="AR69" s="579">
        <v>640057980</v>
      </c>
      <c r="AS69" s="579">
        <v>42300118</v>
      </c>
      <c r="AT69" s="579">
        <v>713684538</v>
      </c>
      <c r="AU69" s="619">
        <v>21679930</v>
      </c>
      <c r="AV69" s="619">
        <v>499534159</v>
      </c>
      <c r="AW69" s="695">
        <v>34371491</v>
      </c>
      <c r="AX69" s="695">
        <v>650344132</v>
      </c>
      <c r="AY69" s="581">
        <v>35478981</v>
      </c>
      <c r="AZ69" s="581">
        <v>661857630</v>
      </c>
      <c r="BA69" s="664"/>
      <c r="BB69" s="581"/>
      <c r="BC69" s="664"/>
      <c r="BD69" s="581"/>
      <c r="BE69" s="664"/>
      <c r="BF69" s="581"/>
      <c r="BG69" s="664"/>
      <c r="BH69" s="581"/>
      <c r="BI69" s="664"/>
      <c r="BJ69" s="581">
        <f>C69+G69+I69+K69+M69+O69+Q69+S69+U69+W69+Y69+AA69+AC69+AE69+AG69+AI69+AK69+AM69+AO69+AQ69+AS69+AU69+AW69+AY69+BB69+BF69</f>
        <v>656998456</v>
      </c>
      <c r="BK69" s="581">
        <f>D69+H69+J69+L69+N69+P69+R69+T69+V69+X69+Z69+AB69+AD69+AF69+AH69+AJ69+AL69+AN69+AP69+AR69+AT69+AV69+AX69+AZ69+BD69+BH69</f>
        <v>8972175560</v>
      </c>
      <c r="BL69" s="541"/>
      <c r="BM69" s="42"/>
      <c r="BN69" s="541"/>
      <c r="BO69" s="541"/>
      <c r="BP69" s="624"/>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41"/>
      <c r="IK69" s="541"/>
      <c r="IL69" s="541"/>
      <c r="IM69" s="541"/>
      <c r="IN69" s="541"/>
      <c r="IO69" s="541"/>
      <c r="IP69" s="541"/>
      <c r="IQ69" s="541"/>
      <c r="IR69" s="541"/>
      <c r="IS69" s="541"/>
      <c r="IT69" s="541"/>
      <c r="IU69" s="541"/>
      <c r="IV69" s="541"/>
      <c r="IW69" s="541"/>
      <c r="IX69" s="541"/>
      <c r="IY69" s="541"/>
      <c r="IZ69" s="541"/>
      <c r="JA69" s="541"/>
      <c r="JB69" s="541"/>
      <c r="JC69" s="541"/>
      <c r="JD69" s="541"/>
      <c r="JE69" s="541"/>
      <c r="JF69" s="541"/>
      <c r="JG69" s="541"/>
      <c r="JH69" s="541"/>
      <c r="JI69" s="541"/>
      <c r="JJ69" s="541"/>
      <c r="JK69" s="541"/>
      <c r="JL69" s="541"/>
      <c r="JM69" s="541"/>
      <c r="JN69" s="541"/>
      <c r="JO69" s="541"/>
      <c r="JP69" s="541"/>
      <c r="JQ69" s="541"/>
      <c r="JR69" s="541"/>
      <c r="JS69" s="541"/>
      <c r="JT69" s="541"/>
      <c r="JU69" s="541"/>
      <c r="JV69" s="541"/>
      <c r="JW69" s="541"/>
      <c r="JX69" s="541"/>
      <c r="JY69" s="541"/>
      <c r="JZ69" s="541"/>
      <c r="KA69" s="541"/>
      <c r="KB69" s="541"/>
      <c r="KC69" s="541"/>
      <c r="KD69" s="541"/>
      <c r="KE69" s="541"/>
      <c r="KF69" s="541"/>
      <c r="KG69" s="541"/>
      <c r="KH69" s="541"/>
      <c r="KI69" s="541"/>
      <c r="KJ69" s="541"/>
      <c r="KK69" s="541"/>
      <c r="KL69" s="541"/>
      <c r="KM69" s="541"/>
      <c r="KN69" s="541"/>
      <c r="KO69" s="541"/>
      <c r="KP69" s="541"/>
      <c r="KQ69" s="541"/>
      <c r="KR69" s="541"/>
      <c r="KS69" s="541"/>
      <c r="KT69" s="541"/>
      <c r="KU69" s="541"/>
      <c r="KV69" s="541"/>
      <c r="KW69" s="541"/>
      <c r="KX69" s="541"/>
      <c r="KY69" s="541"/>
      <c r="KZ69" s="541"/>
      <c r="LA69" s="541"/>
      <c r="LB69" s="541"/>
      <c r="LC69" s="541"/>
      <c r="LD69" s="541"/>
      <c r="LE69" s="541"/>
      <c r="LF69" s="541"/>
      <c r="LG69" s="541"/>
      <c r="LH69" s="541"/>
      <c r="LI69" s="541"/>
      <c r="LJ69" s="541"/>
      <c r="LK69" s="541"/>
      <c r="LL69" s="541"/>
      <c r="LM69" s="541"/>
      <c r="LN69" s="541"/>
      <c r="LO69" s="541"/>
      <c r="LP69" s="541"/>
      <c r="LQ69" s="541"/>
      <c r="LR69" s="541"/>
      <c r="LS69" s="541"/>
      <c r="LT69" s="541"/>
      <c r="LU69" s="541"/>
      <c r="LV69" s="541"/>
      <c r="LW69" s="541"/>
      <c r="LX69" s="541"/>
      <c r="LY69" s="541"/>
      <c r="LZ69" s="541"/>
      <c r="MA69" s="541"/>
      <c r="MB69" s="541"/>
      <c r="MC69" s="541"/>
      <c r="MD69" s="541"/>
      <c r="ME69" s="541"/>
      <c r="MF69" s="541"/>
      <c r="MG69" s="541"/>
      <c r="MH69" s="541"/>
      <c r="MI69" s="541"/>
      <c r="MJ69" s="541"/>
      <c r="MK69" s="541"/>
      <c r="ML69" s="541"/>
      <c r="MM69" s="541"/>
      <c r="MN69" s="541"/>
      <c r="MO69" s="541"/>
      <c r="MP69" s="541"/>
      <c r="MQ69" s="541"/>
      <c r="MR69" s="541"/>
      <c r="MS69" s="541"/>
      <c r="MT69" s="541"/>
      <c r="MU69" s="541"/>
      <c r="MV69" s="541"/>
      <c r="MW69" s="541"/>
      <c r="MX69" s="541"/>
      <c r="MY69" s="541"/>
      <c r="MZ69" s="541"/>
      <c r="NA69" s="541"/>
      <c r="NB69" s="541"/>
      <c r="NC69" s="541"/>
      <c r="ND69" s="541"/>
      <c r="NE69" s="541"/>
      <c r="NF69" s="541"/>
      <c r="NG69" s="541"/>
      <c r="NH69" s="541"/>
      <c r="NI69" s="541"/>
      <c r="NJ69" s="541"/>
      <c r="NK69" s="541"/>
      <c r="NL69" s="541"/>
      <c r="NM69" s="541"/>
      <c r="NN69" s="541"/>
      <c r="NO69" s="541"/>
      <c r="NP69" s="541"/>
      <c r="NQ69" s="541"/>
      <c r="NR69" s="541"/>
      <c r="NS69" s="541"/>
      <c r="NT69" s="541"/>
      <c r="NU69" s="541"/>
      <c r="NV69" s="541"/>
      <c r="NW69" s="541"/>
      <c r="NX69" s="541"/>
      <c r="NY69" s="541"/>
      <c r="NZ69" s="541"/>
      <c r="OA69" s="541"/>
      <c r="OB69" s="541"/>
      <c r="OC69" s="541"/>
      <c r="OD69" s="541"/>
      <c r="OE69" s="541"/>
      <c r="OF69" s="541"/>
      <c r="OG69" s="541"/>
      <c r="OH69" s="541"/>
      <c r="OI69" s="541"/>
      <c r="OJ69" s="541"/>
      <c r="OK69" s="541"/>
      <c r="OL69" s="541"/>
      <c r="OM69" s="541"/>
      <c r="ON69" s="541"/>
      <c r="OO69" s="541"/>
      <c r="OP69" s="541"/>
      <c r="OQ69" s="541"/>
      <c r="OR69" s="541"/>
      <c r="OS69" s="541"/>
      <c r="OT69" s="541"/>
      <c r="OU69" s="541"/>
      <c r="OV69" s="541"/>
      <c r="OW69" s="541"/>
      <c r="OX69" s="541"/>
      <c r="OY69" s="541"/>
      <c r="OZ69" s="541"/>
      <c r="PA69" s="541"/>
      <c r="PB69" s="541"/>
      <c r="PC69" s="541"/>
      <c r="PD69" s="541"/>
      <c r="PE69" s="541"/>
      <c r="PF69" s="541"/>
      <c r="PG69" s="541"/>
      <c r="PH69" s="541"/>
      <c r="PI69" s="541"/>
      <c r="PJ69" s="541"/>
      <c r="PK69" s="541"/>
      <c r="PL69" s="541"/>
      <c r="PM69" s="541"/>
      <c r="PN69" s="541"/>
      <c r="PO69" s="541"/>
      <c r="PP69" s="541"/>
      <c r="PQ69" s="541"/>
      <c r="PR69" s="541"/>
      <c r="PS69" s="541"/>
      <c r="PT69" s="541"/>
      <c r="PU69" s="541"/>
      <c r="PV69" s="541"/>
      <c r="PW69" s="541"/>
      <c r="PX69" s="541"/>
      <c r="PY69" s="541"/>
      <c r="PZ69" s="541"/>
      <c r="QA69" s="541"/>
      <c r="QB69" s="541"/>
      <c r="QC69" s="541"/>
      <c r="QD69" s="541"/>
      <c r="QE69" s="541"/>
      <c r="QF69" s="541"/>
      <c r="QG69" s="541"/>
      <c r="QH69" s="541"/>
      <c r="QI69" s="541"/>
      <c r="QJ69" s="541"/>
      <c r="QK69" s="541"/>
      <c r="QL69" s="541"/>
      <c r="QM69" s="541"/>
      <c r="QN69" s="541"/>
      <c r="QO69" s="541"/>
      <c r="QP69" s="541"/>
      <c r="QQ69" s="541"/>
      <c r="QR69" s="541"/>
      <c r="QS69" s="541"/>
      <c r="QT69" s="541"/>
      <c r="QU69" s="541"/>
      <c r="QV69" s="541"/>
      <c r="QW69" s="541"/>
      <c r="QX69" s="541"/>
      <c r="QY69" s="541"/>
      <c r="QZ69" s="541"/>
      <c r="RA69" s="541"/>
      <c r="RB69" s="541"/>
      <c r="RC69" s="541"/>
      <c r="RD69" s="541"/>
      <c r="RE69" s="541"/>
      <c r="RF69" s="541"/>
      <c r="RG69" s="541"/>
      <c r="RH69" s="541"/>
      <c r="RI69" s="541"/>
      <c r="RJ69" s="541"/>
      <c r="RK69" s="541"/>
      <c r="RL69" s="541"/>
      <c r="RM69" s="541"/>
      <c r="RN69" s="541"/>
      <c r="RO69" s="541"/>
      <c r="RP69" s="541"/>
      <c r="RQ69" s="541"/>
      <c r="RR69" s="541"/>
      <c r="RS69" s="541"/>
      <c r="RT69" s="541"/>
      <c r="RU69" s="541"/>
      <c r="RV69" s="541"/>
      <c r="RW69" s="541"/>
      <c r="RX69" s="541"/>
      <c r="RY69" s="541"/>
      <c r="RZ69" s="541"/>
      <c r="SA69" s="541"/>
      <c r="SB69" s="541"/>
      <c r="SC69" s="541"/>
      <c r="SD69" s="541"/>
      <c r="SE69" s="541"/>
      <c r="SF69" s="541"/>
      <c r="SG69" s="541"/>
      <c r="SH69" s="541"/>
      <c r="SI69" s="541"/>
      <c r="SJ69" s="541"/>
      <c r="SK69" s="541"/>
      <c r="SL69" s="541"/>
      <c r="SM69" s="541"/>
      <c r="SN69" s="541"/>
      <c r="SO69" s="541"/>
      <c r="SP69" s="541"/>
      <c r="SQ69" s="541"/>
      <c r="SR69" s="541"/>
      <c r="SS69" s="541"/>
      <c r="ST69" s="541"/>
      <c r="SU69" s="541"/>
      <c r="SV69" s="541"/>
      <c r="SW69" s="541"/>
      <c r="SX69" s="541"/>
      <c r="SY69" s="541"/>
      <c r="SZ69" s="541"/>
      <c r="TA69" s="541"/>
      <c r="TB69" s="541"/>
      <c r="TC69" s="541"/>
      <c r="TD69" s="541"/>
      <c r="TE69" s="541"/>
      <c r="TF69" s="541"/>
      <c r="TG69" s="541"/>
      <c r="TH69" s="541"/>
      <c r="TI69" s="541"/>
      <c r="TJ69" s="541"/>
      <c r="TK69" s="541"/>
      <c r="TL69" s="541"/>
      <c r="TM69" s="541"/>
      <c r="TN69" s="541"/>
      <c r="TO69" s="541"/>
      <c r="TP69" s="541"/>
      <c r="TQ69" s="541"/>
      <c r="TR69" s="541"/>
      <c r="TS69" s="541"/>
      <c r="TT69" s="541"/>
      <c r="TU69" s="541"/>
      <c r="TV69" s="541"/>
      <c r="TW69" s="541"/>
      <c r="TX69" s="541"/>
      <c r="TY69" s="541"/>
      <c r="TZ69" s="541"/>
      <c r="UA69" s="541"/>
      <c r="UB69" s="541"/>
      <c r="UC69" s="541"/>
      <c r="UD69" s="541"/>
      <c r="UE69" s="541"/>
      <c r="UF69" s="541"/>
      <c r="UG69" s="541"/>
      <c r="UH69" s="541"/>
      <c r="UI69" s="541"/>
      <c r="UJ69" s="541"/>
      <c r="UK69" s="541"/>
      <c r="UL69" s="541"/>
      <c r="UM69" s="541"/>
      <c r="UN69" s="541"/>
      <c r="UO69" s="541"/>
      <c r="UP69" s="541"/>
      <c r="UQ69" s="541"/>
      <c r="UR69" s="541"/>
      <c r="US69" s="541"/>
      <c r="UT69" s="541"/>
      <c r="UU69" s="541"/>
      <c r="UV69" s="541"/>
      <c r="UW69" s="541"/>
      <c r="UX69" s="541"/>
      <c r="UY69" s="541"/>
      <c r="UZ69" s="541"/>
      <c r="VA69" s="541"/>
      <c r="VB69" s="541"/>
      <c r="VC69" s="541"/>
      <c r="VD69" s="541"/>
      <c r="VE69" s="541"/>
      <c r="VF69" s="541"/>
      <c r="VG69" s="541"/>
      <c r="VH69" s="541"/>
      <c r="VI69" s="541"/>
      <c r="VJ69" s="541"/>
      <c r="VK69" s="541"/>
      <c r="VL69" s="541"/>
      <c r="VM69" s="541"/>
      <c r="VN69" s="541"/>
      <c r="VO69" s="541"/>
      <c r="VP69" s="541"/>
      <c r="VQ69" s="541"/>
      <c r="VR69" s="541"/>
      <c r="VS69" s="541"/>
      <c r="VT69" s="541"/>
      <c r="VU69" s="541"/>
      <c r="VV69" s="541"/>
      <c r="VW69" s="541"/>
      <c r="VX69" s="541"/>
      <c r="VY69" s="541"/>
      <c r="VZ69" s="541"/>
      <c r="WA69" s="541"/>
      <c r="WB69" s="541"/>
      <c r="WC69" s="541"/>
      <c r="WD69" s="541"/>
      <c r="WE69" s="541"/>
      <c r="WF69" s="541"/>
      <c r="WG69" s="541"/>
      <c r="WH69" s="541"/>
      <c r="WI69" s="541"/>
      <c r="WJ69" s="541"/>
      <c r="WK69" s="541"/>
      <c r="WL69" s="541"/>
      <c r="WM69" s="541"/>
      <c r="WN69" s="541"/>
      <c r="WO69" s="541"/>
      <c r="WP69" s="541"/>
      <c r="WQ69" s="541"/>
      <c r="WR69" s="541"/>
      <c r="WS69" s="541"/>
      <c r="WT69" s="541"/>
      <c r="WU69" s="541"/>
      <c r="WV69" s="541"/>
      <c r="WW69" s="541"/>
      <c r="WX69" s="541"/>
      <c r="WY69" s="541"/>
      <c r="WZ69" s="541"/>
      <c r="XA69" s="541"/>
      <c r="XB69" s="541"/>
      <c r="XC69" s="541"/>
      <c r="XD69" s="541"/>
      <c r="XE69" s="541"/>
      <c r="XF69" s="541"/>
      <c r="XG69" s="541"/>
      <c r="XH69" s="541"/>
      <c r="XI69" s="541"/>
      <c r="XJ69" s="541"/>
      <c r="XK69" s="541"/>
      <c r="XL69" s="541"/>
      <c r="XM69" s="541"/>
      <c r="XN69" s="541"/>
      <c r="XO69" s="541"/>
      <c r="XP69" s="541"/>
      <c r="XQ69" s="541"/>
      <c r="XR69" s="541"/>
      <c r="XS69" s="541"/>
      <c r="XT69" s="541"/>
      <c r="XU69" s="541"/>
      <c r="XV69" s="541"/>
      <c r="XW69" s="541"/>
      <c r="XX69" s="541"/>
      <c r="XY69" s="541"/>
      <c r="XZ69" s="541"/>
      <c r="YA69" s="541"/>
      <c r="YB69" s="541"/>
      <c r="YC69" s="541"/>
      <c r="YD69" s="541"/>
      <c r="YE69" s="541"/>
      <c r="YF69" s="541"/>
      <c r="YG69" s="541"/>
      <c r="YH69" s="541"/>
      <c r="YI69" s="541"/>
      <c r="YJ69" s="541"/>
      <c r="YK69" s="541"/>
      <c r="YL69" s="541"/>
      <c r="YM69" s="541"/>
      <c r="YN69" s="541"/>
      <c r="YO69" s="541"/>
      <c r="YP69" s="541"/>
      <c r="YQ69" s="541"/>
      <c r="YR69" s="541"/>
      <c r="YS69" s="541"/>
      <c r="YT69" s="541"/>
      <c r="YU69" s="541"/>
      <c r="YV69" s="541"/>
      <c r="YW69" s="541"/>
      <c r="YX69" s="541"/>
      <c r="YY69" s="541"/>
      <c r="YZ69" s="541"/>
      <c r="ZA69" s="541"/>
      <c r="ZB69" s="541"/>
      <c r="ZC69" s="541"/>
      <c r="ZD69" s="541"/>
      <c r="ZE69" s="541"/>
      <c r="ZF69" s="541"/>
      <c r="ZG69" s="541"/>
      <c r="ZH69" s="541"/>
      <c r="ZI69" s="541"/>
      <c r="ZJ69" s="541"/>
      <c r="ZK69" s="541"/>
      <c r="ZL69" s="541"/>
      <c r="ZM69" s="541"/>
      <c r="ZN69" s="541"/>
      <c r="ZO69" s="541"/>
      <c r="ZP69" s="541"/>
      <c r="ZQ69" s="541"/>
      <c r="ZR69" s="541"/>
      <c r="ZS69" s="541"/>
      <c r="ZT69" s="541"/>
      <c r="ZU69" s="541"/>
      <c r="ZV69" s="541"/>
      <c r="ZW69" s="541"/>
      <c r="ZX69" s="541"/>
      <c r="ZY69" s="541"/>
      <c r="ZZ69" s="541"/>
      <c r="AAA69" s="541"/>
      <c r="AAB69" s="541"/>
      <c r="AAC69" s="541"/>
      <c r="AAD69" s="541"/>
      <c r="AAE69" s="541"/>
      <c r="AAF69" s="541"/>
      <c r="AAG69" s="541"/>
      <c r="AAH69" s="541"/>
      <c r="AAI69" s="541"/>
      <c r="AAJ69" s="541"/>
      <c r="AAK69" s="541"/>
      <c r="AAL69" s="541"/>
      <c r="AAM69" s="541"/>
      <c r="AAN69" s="541"/>
      <c r="AAO69" s="541"/>
      <c r="AAP69" s="541"/>
      <c r="AAQ69" s="541"/>
      <c r="AAR69" s="541"/>
      <c r="AAS69" s="541"/>
      <c r="AAT69" s="541"/>
      <c r="AAU69" s="541"/>
      <c r="AAV69" s="541"/>
      <c r="AAW69" s="541"/>
      <c r="AAX69" s="541"/>
      <c r="AAY69" s="541"/>
      <c r="AAZ69" s="541"/>
      <c r="ABA69" s="541"/>
      <c r="ABB69" s="541"/>
      <c r="ABC69" s="541"/>
      <c r="ABD69" s="541"/>
      <c r="ABE69" s="541"/>
      <c r="ABF69" s="541"/>
      <c r="ABG69" s="541"/>
      <c r="ABH69" s="541"/>
      <c r="ABI69" s="541"/>
      <c r="ABJ69" s="541"/>
      <c r="ABK69" s="541"/>
      <c r="ABL69" s="541"/>
      <c r="ABM69" s="541"/>
      <c r="ABN69" s="541"/>
      <c r="ABO69" s="541"/>
      <c r="ABP69" s="541"/>
      <c r="ABQ69" s="541"/>
      <c r="ABR69" s="541"/>
      <c r="ABS69" s="541"/>
      <c r="ABT69" s="541"/>
      <c r="ABU69" s="541"/>
      <c r="ABV69" s="541"/>
      <c r="ABW69" s="541"/>
      <c r="ABX69" s="541"/>
      <c r="ABY69" s="541"/>
      <c r="ABZ69" s="541"/>
      <c r="ACA69" s="541"/>
      <c r="ACB69" s="541"/>
      <c r="ACC69" s="541"/>
      <c r="ACD69" s="541"/>
      <c r="ACE69" s="541"/>
      <c r="ACF69" s="541"/>
      <c r="ACG69" s="541"/>
      <c r="ACH69" s="541"/>
      <c r="ACI69" s="541"/>
      <c r="ACJ69" s="541"/>
      <c r="ACK69" s="541"/>
      <c r="ACL69" s="541"/>
      <c r="ACM69" s="541"/>
      <c r="ACN69" s="541"/>
      <c r="ACO69" s="541"/>
      <c r="ACP69" s="541"/>
      <c r="ACQ69" s="541"/>
      <c r="ACR69" s="541"/>
      <c r="ACS69" s="541"/>
      <c r="ACT69" s="541"/>
      <c r="ACU69" s="541"/>
      <c r="ACV69" s="541"/>
      <c r="ACW69" s="541"/>
      <c r="ACX69" s="541"/>
      <c r="ACY69" s="541"/>
      <c r="ACZ69" s="541"/>
      <c r="ADA69" s="541"/>
      <c r="ADB69" s="541"/>
      <c r="ADC69" s="541"/>
      <c r="ADD69" s="541"/>
      <c r="ADE69" s="541"/>
      <c r="ADF69" s="541"/>
      <c r="ADG69" s="541"/>
      <c r="ADH69" s="541"/>
      <c r="ADI69" s="541"/>
      <c r="ADJ69" s="541"/>
      <c r="ADK69" s="541"/>
      <c r="ADL69" s="541"/>
      <c r="ADM69" s="541"/>
      <c r="ADN69" s="541"/>
      <c r="ADO69" s="541"/>
      <c r="ADP69" s="541"/>
      <c r="ADQ69" s="541"/>
      <c r="ADR69" s="541"/>
      <c r="ADS69" s="541"/>
      <c r="ADT69" s="541"/>
      <c r="ADU69" s="541"/>
      <c r="ADV69" s="541"/>
      <c r="ADW69" s="541"/>
      <c r="ADX69" s="541"/>
      <c r="ADY69" s="541"/>
      <c r="ADZ69" s="541"/>
      <c r="AEA69" s="541"/>
      <c r="AEB69" s="541"/>
      <c r="AEC69" s="541"/>
      <c r="AED69" s="541"/>
      <c r="AEE69" s="541"/>
      <c r="AEF69" s="541"/>
      <c r="AEG69" s="541"/>
      <c r="AEH69" s="541"/>
      <c r="AEI69" s="541"/>
      <c r="AEJ69" s="541"/>
      <c r="AEK69" s="541"/>
      <c r="AEL69" s="541"/>
      <c r="AEM69" s="541"/>
      <c r="AEN69" s="541"/>
      <c r="AEO69" s="541"/>
      <c r="AEP69" s="541"/>
      <c r="AEQ69" s="541"/>
      <c r="AER69" s="541"/>
      <c r="AES69" s="541"/>
      <c r="AET69" s="541"/>
      <c r="AEU69" s="541"/>
      <c r="AEV69" s="541"/>
      <c r="AEW69" s="541"/>
      <c r="AEX69" s="541"/>
      <c r="AEY69" s="541"/>
      <c r="AEZ69" s="541"/>
      <c r="AFA69" s="541"/>
      <c r="AFB69" s="541"/>
      <c r="AFC69" s="541"/>
      <c r="AFD69" s="541"/>
      <c r="AFE69" s="541"/>
      <c r="AFF69" s="541"/>
      <c r="AFG69" s="541"/>
      <c r="AFH69" s="541"/>
      <c r="AFI69" s="541"/>
      <c r="AFJ69" s="541"/>
      <c r="AFK69" s="541"/>
      <c r="AFL69" s="541"/>
      <c r="AFM69" s="541"/>
      <c r="AFN69" s="541"/>
      <c r="AFO69" s="541"/>
      <c r="AFP69" s="541"/>
      <c r="AFQ69" s="541"/>
      <c r="AFR69" s="541"/>
      <c r="AFS69" s="541"/>
      <c r="AFT69" s="541"/>
      <c r="AFU69" s="541"/>
      <c r="AFV69" s="541"/>
      <c r="AFW69" s="541"/>
      <c r="AFX69" s="541"/>
      <c r="AFY69" s="541"/>
      <c r="AFZ69" s="541"/>
      <c r="AGA69" s="541"/>
      <c r="AGB69" s="541"/>
      <c r="AGC69" s="541"/>
      <c r="AGD69" s="541"/>
      <c r="AGE69" s="541"/>
      <c r="AGF69" s="541"/>
      <c r="AGG69" s="541"/>
      <c r="AGH69" s="541"/>
      <c r="AGI69" s="541"/>
      <c r="AGJ69" s="541"/>
      <c r="AGK69" s="541"/>
      <c r="AGL69" s="541"/>
      <c r="AGM69" s="541"/>
      <c r="AGN69" s="541"/>
      <c r="AGO69" s="541"/>
      <c r="AGP69" s="541"/>
      <c r="AGQ69" s="541"/>
      <c r="AGR69" s="541"/>
      <c r="AGS69" s="541"/>
      <c r="AGT69" s="541"/>
      <c r="AGU69" s="541"/>
      <c r="AGV69" s="541"/>
      <c r="AGW69" s="541"/>
      <c r="AGX69" s="541"/>
      <c r="AGY69" s="541"/>
      <c r="AGZ69" s="541"/>
      <c r="AHA69" s="541"/>
      <c r="AHB69" s="541"/>
      <c r="AHC69" s="541"/>
      <c r="AHD69" s="541"/>
      <c r="AHE69" s="541"/>
      <c r="AHF69" s="541"/>
      <c r="AHG69" s="541"/>
      <c r="AHH69" s="541"/>
      <c r="AHI69" s="541"/>
      <c r="AHJ69" s="541"/>
      <c r="AHK69" s="541"/>
      <c r="AHL69" s="541"/>
      <c r="AHM69" s="541"/>
      <c r="AHN69" s="541"/>
      <c r="AHO69" s="541"/>
      <c r="AHP69" s="541"/>
      <c r="AHQ69" s="541"/>
      <c r="AHR69" s="541"/>
      <c r="AHS69" s="541"/>
      <c r="AHT69" s="541"/>
      <c r="AHU69" s="541"/>
      <c r="AHV69" s="541"/>
      <c r="AHW69" s="541"/>
      <c r="AHX69" s="541"/>
      <c r="AHY69" s="541"/>
      <c r="AHZ69" s="541"/>
      <c r="AIA69" s="541"/>
      <c r="AIB69" s="541"/>
      <c r="AIC69" s="541"/>
      <c r="AID69" s="541"/>
      <c r="AIE69" s="541"/>
      <c r="AIF69" s="541"/>
      <c r="AIG69" s="541"/>
      <c r="AIH69" s="541"/>
      <c r="AII69" s="541"/>
      <c r="AIJ69" s="541"/>
      <c r="AIK69" s="541"/>
      <c r="AIL69" s="541"/>
      <c r="AIM69" s="541"/>
      <c r="AIN69" s="541"/>
      <c r="AIO69" s="541"/>
      <c r="AIP69" s="541"/>
      <c r="AIQ69" s="541"/>
      <c r="AIR69" s="541"/>
      <c r="AIS69" s="541"/>
      <c r="AIT69" s="541"/>
      <c r="AIU69" s="541"/>
      <c r="AIV69" s="541"/>
      <c r="AIW69" s="541"/>
      <c r="AIX69" s="541"/>
      <c r="AIY69" s="541"/>
      <c r="AIZ69" s="541"/>
      <c r="AJA69" s="541"/>
      <c r="AJB69" s="541"/>
      <c r="AJC69" s="541"/>
      <c r="AJD69" s="541"/>
      <c r="AJE69" s="541"/>
      <c r="AJF69" s="541"/>
      <c r="AJG69" s="541"/>
      <c r="AJH69" s="541"/>
      <c r="AJI69" s="541"/>
      <c r="AJJ69" s="541"/>
      <c r="AJK69" s="541"/>
      <c r="AJL69" s="541"/>
      <c r="AJM69" s="541"/>
      <c r="AJN69" s="541"/>
      <c r="AJO69" s="541"/>
      <c r="AJP69" s="541"/>
      <c r="AJQ69" s="541"/>
      <c r="AJR69" s="541"/>
      <c r="AJS69" s="541"/>
      <c r="AJT69" s="541"/>
      <c r="AJU69" s="541"/>
      <c r="AJV69" s="541"/>
      <c r="AJW69" s="541"/>
      <c r="AJX69" s="541"/>
      <c r="AJY69" s="541"/>
      <c r="AJZ69" s="541"/>
      <c r="AKA69" s="541"/>
      <c r="AKB69" s="541"/>
      <c r="AKC69" s="541"/>
      <c r="AKD69" s="541"/>
      <c r="AKE69" s="541"/>
      <c r="AKF69" s="541"/>
      <c r="AKG69" s="541"/>
      <c r="AKH69" s="541"/>
      <c r="AKI69" s="541"/>
      <c r="AKJ69" s="541"/>
      <c r="AKK69" s="541"/>
      <c r="AKL69" s="541"/>
      <c r="AKM69" s="541"/>
      <c r="AKN69" s="541"/>
      <c r="AKO69" s="541"/>
      <c r="AKP69" s="541"/>
      <c r="AKQ69" s="541"/>
      <c r="AKR69" s="541"/>
      <c r="AKS69" s="541"/>
      <c r="AKT69" s="541"/>
      <c r="AKU69" s="541"/>
      <c r="AKV69" s="541"/>
      <c r="AKW69" s="541"/>
      <c r="AKX69" s="541"/>
      <c r="AKY69" s="541"/>
      <c r="AKZ69" s="541"/>
      <c r="ALA69" s="541"/>
      <c r="ALB69" s="541"/>
      <c r="ALC69" s="541"/>
      <c r="ALD69" s="541"/>
      <c r="ALE69" s="541"/>
      <c r="ALF69" s="541"/>
      <c r="ALG69" s="541"/>
      <c r="ALH69" s="541"/>
      <c r="ALI69" s="541"/>
      <c r="ALJ69" s="541"/>
      <c r="ALK69" s="541"/>
      <c r="ALL69" s="541"/>
      <c r="ALM69" s="541"/>
      <c r="ALN69" s="541"/>
      <c r="ALO69" s="541"/>
      <c r="ALP69" s="541"/>
      <c r="ALQ69" s="541"/>
      <c r="ALR69" s="541"/>
      <c r="ALS69" s="541"/>
      <c r="ALT69" s="541"/>
      <c r="ALU69" s="541"/>
      <c r="ALV69" s="541"/>
      <c r="ALW69" s="541"/>
      <c r="ALX69" s="541"/>
      <c r="ALY69" s="541"/>
      <c r="ALZ69" s="541"/>
      <c r="AMA69" s="541"/>
      <c r="AMB69" s="541"/>
      <c r="AMC69" s="541"/>
      <c r="AMD69" s="541"/>
      <c r="AME69" s="541"/>
      <c r="AMF69" s="541"/>
      <c r="AMG69" s="541"/>
      <c r="AMH69" s="541"/>
      <c r="AMI69" s="541"/>
      <c r="AMJ69" s="541"/>
      <c r="AMK69" s="541"/>
      <c r="AML69" s="541"/>
      <c r="AMM69" s="541"/>
      <c r="AMN69" s="541"/>
      <c r="AMO69" s="541"/>
      <c r="AMP69" s="541"/>
      <c r="AMQ69" s="541"/>
      <c r="AMR69" s="541"/>
      <c r="AMS69" s="541"/>
      <c r="AMT69" s="541"/>
      <c r="AMU69" s="541"/>
      <c r="AMV69" s="541"/>
      <c r="AMW69" s="541"/>
      <c r="AMX69" s="541"/>
      <c r="AMY69" s="541"/>
      <c r="AMZ69" s="541"/>
      <c r="ANA69" s="541"/>
      <c r="ANB69" s="541"/>
      <c r="ANC69" s="541"/>
      <c r="AND69" s="541"/>
      <c r="ANE69" s="541"/>
      <c r="ANF69" s="541"/>
      <c r="ANG69" s="541"/>
      <c r="ANH69" s="541"/>
      <c r="ANI69" s="541"/>
      <c r="ANJ69" s="541"/>
      <c r="ANK69" s="541"/>
      <c r="ANL69" s="541"/>
      <c r="ANM69" s="541"/>
      <c r="ANN69" s="541"/>
      <c r="ANO69" s="541"/>
      <c r="ANP69" s="541"/>
      <c r="ANQ69" s="541"/>
      <c r="ANR69" s="541"/>
      <c r="ANS69" s="541"/>
      <c r="ANT69" s="541"/>
      <c r="ANU69" s="541"/>
      <c r="ANV69" s="541"/>
      <c r="ANW69" s="541"/>
      <c r="ANX69" s="541"/>
      <c r="ANY69" s="541"/>
      <c r="ANZ69" s="541"/>
      <c r="AOA69" s="541"/>
      <c r="AOB69" s="541"/>
      <c r="AOC69" s="541"/>
      <c r="AOD69" s="541"/>
      <c r="AOE69" s="541"/>
      <c r="AOF69" s="541"/>
      <c r="AOG69" s="541"/>
      <c r="AOH69" s="541"/>
      <c r="AOI69" s="541"/>
      <c r="AOJ69" s="541"/>
      <c r="AOK69" s="541"/>
      <c r="AOL69" s="541"/>
      <c r="AOM69" s="541"/>
      <c r="AON69" s="541"/>
      <c r="AOO69" s="541"/>
      <c r="AOP69" s="541"/>
      <c r="AOQ69" s="541"/>
      <c r="AOR69" s="541"/>
      <c r="AOS69" s="541"/>
      <c r="AOT69" s="541"/>
      <c r="AOU69" s="541"/>
      <c r="AOV69" s="541"/>
      <c r="AOW69" s="541"/>
      <c r="AOX69" s="541"/>
      <c r="AOY69" s="541"/>
      <c r="AOZ69" s="541"/>
      <c r="APA69" s="541"/>
      <c r="APB69" s="541"/>
      <c r="APC69" s="541"/>
      <c r="APD69" s="541"/>
      <c r="APE69" s="541"/>
      <c r="APF69" s="541"/>
      <c r="APG69" s="541"/>
      <c r="APH69" s="541"/>
      <c r="API69" s="541"/>
      <c r="APJ69" s="541"/>
      <c r="APK69" s="541"/>
      <c r="APL69" s="541"/>
      <c r="APM69" s="541"/>
      <c r="APN69" s="541"/>
      <c r="APO69" s="541"/>
      <c r="APP69" s="541"/>
      <c r="APQ69" s="541"/>
      <c r="APR69" s="541"/>
      <c r="APS69" s="541"/>
      <c r="APT69" s="541"/>
      <c r="APU69" s="541"/>
      <c r="APV69" s="541"/>
      <c r="APW69" s="541"/>
      <c r="APX69" s="541"/>
      <c r="APY69" s="541"/>
      <c r="APZ69" s="541"/>
      <c r="AQA69" s="541"/>
      <c r="AQB69" s="541"/>
      <c r="AQC69" s="541"/>
      <c r="AQD69" s="541"/>
      <c r="AQE69" s="541"/>
      <c r="AQF69" s="541"/>
      <c r="AQG69" s="541"/>
      <c r="AQH69" s="541"/>
      <c r="AQI69" s="541"/>
      <c r="AQJ69" s="541"/>
      <c r="AQK69" s="541"/>
      <c r="AQL69" s="541"/>
      <c r="AQM69" s="541"/>
      <c r="AQN69" s="541"/>
      <c r="AQO69" s="541"/>
      <c r="AQP69" s="541"/>
      <c r="AQQ69" s="541"/>
      <c r="AQR69" s="541"/>
      <c r="AQS69" s="541"/>
      <c r="AQT69" s="541"/>
      <c r="AQU69" s="541"/>
      <c r="AQV69" s="541"/>
      <c r="AQW69" s="541"/>
      <c r="AQX69" s="541"/>
      <c r="AQY69" s="541"/>
      <c r="AQZ69" s="541"/>
      <c r="ARA69" s="541"/>
      <c r="ARB69" s="541"/>
      <c r="ARC69" s="541"/>
      <c r="ARD69" s="541"/>
      <c r="ARE69" s="541"/>
      <c r="ARF69" s="541"/>
      <c r="ARG69" s="541"/>
      <c r="ARH69" s="541"/>
      <c r="ARI69" s="541"/>
      <c r="ARJ69" s="541"/>
      <c r="ARK69" s="541"/>
      <c r="ARL69" s="541"/>
      <c r="ARM69" s="541"/>
      <c r="ARN69" s="541"/>
      <c r="ARO69" s="541"/>
      <c r="ARP69" s="541"/>
      <c r="ARQ69" s="541"/>
      <c r="ARR69" s="541"/>
      <c r="ARS69" s="541"/>
      <c r="ART69" s="541"/>
      <c r="ARU69" s="541"/>
    </row>
    <row r="70" spans="1:1165">
      <c r="A70" s="591"/>
      <c r="B70" s="594"/>
      <c r="C70" s="670"/>
      <c r="D70" s="670"/>
      <c r="E70" s="595"/>
      <c r="F70" s="595"/>
      <c r="G70" s="595"/>
      <c r="H70" s="595"/>
      <c r="I70" s="595"/>
      <c r="J70" s="595"/>
      <c r="K70" s="595"/>
      <c r="L70" s="595"/>
      <c r="M70" s="595"/>
      <c r="N70" s="595"/>
      <c r="O70" s="595"/>
      <c r="P70" s="595"/>
      <c r="Q70" s="595"/>
      <c r="R70" s="595"/>
      <c r="S70" s="595"/>
      <c r="T70" s="595"/>
      <c r="U70" s="586"/>
      <c r="V70" s="586"/>
      <c r="W70" s="672"/>
      <c r="X70" s="672"/>
      <c r="Y70" s="608"/>
      <c r="Z70" s="608"/>
      <c r="AA70" s="623"/>
      <c r="AB70" s="623"/>
      <c r="AC70" s="608"/>
      <c r="AD70" s="608"/>
      <c r="AE70" s="586"/>
      <c r="AF70" s="586"/>
      <c r="AG70" s="586"/>
      <c r="AH70" s="586"/>
      <c r="AI70" s="586"/>
      <c r="AJ70" s="586"/>
      <c r="AK70" s="623"/>
      <c r="AL70" s="586"/>
      <c r="AM70" s="586"/>
      <c r="AN70" s="586"/>
      <c r="AO70" s="586"/>
      <c r="AP70" s="586"/>
      <c r="AQ70" s="586"/>
      <c r="AR70" s="586"/>
      <c r="AS70" s="586"/>
      <c r="AT70" s="586"/>
      <c r="AU70" s="623"/>
      <c r="AV70" s="623"/>
      <c r="AW70" s="650"/>
      <c r="AX70" s="650"/>
      <c r="AY70" s="648"/>
      <c r="AZ70" s="648"/>
      <c r="BA70" s="686"/>
      <c r="BB70" s="608"/>
      <c r="BC70" s="608"/>
      <c r="BD70" s="608"/>
      <c r="BE70" s="608"/>
      <c r="BF70" s="608"/>
      <c r="BG70" s="608"/>
      <c r="BH70" s="608"/>
      <c r="BI70" s="686"/>
      <c r="BJ70" s="608"/>
      <c r="BK70" s="608"/>
      <c r="BL70" s="541"/>
      <c r="BM70" s="42"/>
      <c r="BP70" s="624"/>
    </row>
    <row r="71" spans="1:1165">
      <c r="A71" s="591" t="s">
        <v>236</v>
      </c>
      <c r="B71" s="594" t="s">
        <v>110</v>
      </c>
      <c r="C71" s="670">
        <v>548</v>
      </c>
      <c r="D71" s="670">
        <v>16491</v>
      </c>
      <c r="E71" s="595">
        <v>0</v>
      </c>
      <c r="F71" s="595">
        <v>0</v>
      </c>
      <c r="G71" s="595">
        <v>0</v>
      </c>
      <c r="H71" s="595">
        <v>0</v>
      </c>
      <c r="I71" s="595">
        <v>0</v>
      </c>
      <c r="J71" s="595">
        <v>0</v>
      </c>
      <c r="K71" s="595">
        <v>0</v>
      </c>
      <c r="L71" s="595">
        <v>0</v>
      </c>
      <c r="M71" s="595">
        <v>257</v>
      </c>
      <c r="N71" s="595">
        <v>1029</v>
      </c>
      <c r="O71" s="595">
        <v>578</v>
      </c>
      <c r="P71" s="595">
        <v>3149</v>
      </c>
      <c r="Q71" s="595">
        <v>1060</v>
      </c>
      <c r="R71" s="595">
        <v>5301</v>
      </c>
      <c r="S71" s="595">
        <v>521</v>
      </c>
      <c r="T71" s="595">
        <v>2688</v>
      </c>
      <c r="U71" s="608">
        <v>0</v>
      </c>
      <c r="V71" s="608">
        <v>0</v>
      </c>
      <c r="W71" s="608">
        <v>0</v>
      </c>
      <c r="X71" s="608">
        <v>0</v>
      </c>
      <c r="Y71" s="608">
        <v>0</v>
      </c>
      <c r="Z71" s="608">
        <v>0</v>
      </c>
      <c r="AA71" s="623">
        <v>22</v>
      </c>
      <c r="AB71" s="623">
        <v>160</v>
      </c>
      <c r="AC71" s="608">
        <v>169</v>
      </c>
      <c r="AD71" s="608">
        <v>1300</v>
      </c>
      <c r="AE71" s="586">
        <v>445</v>
      </c>
      <c r="AF71" s="586">
        <v>5171</v>
      </c>
      <c r="AG71" s="586">
        <v>2365</v>
      </c>
      <c r="AH71" s="586">
        <v>18897</v>
      </c>
      <c r="AI71" s="586">
        <v>7271</v>
      </c>
      <c r="AJ71" s="586">
        <v>58165</v>
      </c>
      <c r="AK71" s="623">
        <v>0</v>
      </c>
      <c r="AL71" s="586">
        <v>0</v>
      </c>
      <c r="AM71" s="623">
        <v>0</v>
      </c>
      <c r="AN71" s="586">
        <v>0</v>
      </c>
      <c r="AO71" s="623">
        <v>0</v>
      </c>
      <c r="AP71" s="586">
        <v>0</v>
      </c>
      <c r="AQ71" s="623">
        <v>0</v>
      </c>
      <c r="AR71" s="586">
        <v>0</v>
      </c>
      <c r="AS71" s="623">
        <v>0</v>
      </c>
      <c r="AT71" s="586">
        <v>0</v>
      </c>
      <c r="AU71" s="623">
        <v>0</v>
      </c>
      <c r="AV71" s="586">
        <v>0</v>
      </c>
      <c r="AW71" s="623">
        <v>0</v>
      </c>
      <c r="AX71" s="586">
        <v>0</v>
      </c>
      <c r="AY71" s="623">
        <v>0</v>
      </c>
      <c r="AZ71" s="586">
        <v>0</v>
      </c>
      <c r="BA71" s="586"/>
      <c r="BB71" s="623"/>
      <c r="BC71" s="625"/>
      <c r="BD71" s="586"/>
      <c r="BE71" s="608"/>
      <c r="BF71" s="623"/>
      <c r="BG71" s="625"/>
      <c r="BH71" s="586"/>
      <c r="BI71" s="586"/>
      <c r="BJ71" s="608">
        <f>C71+G71+I71+K71+M71+O71+Q71+S71+U71+W71+Y71+AA71+AC71+AE71+AG71+AI71+AK71+AM71+AO71+AQ71+AS71+AU71+AW71+AY71+BB71+BF71</f>
        <v>13236</v>
      </c>
      <c r="BK71" s="595">
        <f>D71+H71+J71+L71+N71+P71+R71+T71+V71+X71+Z71+AB71+AD71+AF71+AH71+AJ71+AL71+AN71+AP71+AR71+AT71+AV71+AX71+AZ71+BD71+BH71</f>
        <v>112351</v>
      </c>
      <c r="BL71" s="541"/>
      <c r="BM71" s="42"/>
      <c r="BP71" s="624"/>
    </row>
    <row r="72" spans="1:1165">
      <c r="A72" s="599"/>
      <c r="B72" s="594"/>
      <c r="C72" s="670"/>
      <c r="D72" s="670"/>
      <c r="E72" s="595"/>
      <c r="F72" s="595"/>
      <c r="G72" s="595"/>
      <c r="H72" s="595"/>
      <c r="I72" s="595"/>
      <c r="J72" s="595"/>
      <c r="K72" s="595"/>
      <c r="L72" s="595"/>
      <c r="M72" s="595"/>
      <c r="N72" s="595"/>
      <c r="O72" s="595"/>
      <c r="P72" s="595"/>
      <c r="Q72" s="595"/>
      <c r="R72" s="595"/>
      <c r="S72" s="595"/>
      <c r="T72" s="595"/>
      <c r="U72" s="672"/>
      <c r="V72" s="672"/>
      <c r="W72" s="586"/>
      <c r="X72" s="586"/>
      <c r="Y72" s="586"/>
      <c r="Z72" s="586"/>
      <c r="AA72" s="623"/>
      <c r="AB72" s="623"/>
      <c r="AC72" s="595"/>
      <c r="AD72" s="595"/>
      <c r="AE72" s="586"/>
      <c r="AF72" s="586"/>
      <c r="AG72" s="586"/>
      <c r="AH72" s="586"/>
      <c r="AI72" s="586"/>
      <c r="AJ72" s="586"/>
      <c r="AK72" s="586"/>
      <c r="AL72" s="586"/>
      <c r="AM72" s="586"/>
      <c r="AN72" s="586"/>
      <c r="AO72" s="586"/>
      <c r="AP72" s="586"/>
      <c r="AQ72" s="586"/>
      <c r="AR72" s="586"/>
      <c r="AS72" s="586"/>
      <c r="AT72" s="586"/>
      <c r="AU72" s="623"/>
      <c r="AV72" s="623"/>
      <c r="AW72" s="650"/>
      <c r="AX72" s="650"/>
      <c r="AY72" s="648"/>
      <c r="AZ72" s="648"/>
      <c r="BA72" s="686"/>
      <c r="BB72" s="650"/>
      <c r="BC72" s="650"/>
      <c r="BD72" s="650"/>
      <c r="BE72" s="650"/>
      <c r="BF72" s="650"/>
      <c r="BG72" s="650"/>
      <c r="BH72" s="650"/>
      <c r="BI72" s="686"/>
      <c r="BJ72" s="650"/>
      <c r="BK72" s="650"/>
      <c r="BL72" s="541"/>
      <c r="BM72" s="42"/>
      <c r="BP72" s="624"/>
    </row>
    <row r="73" spans="1:1165" s="658" customFormat="1">
      <c r="A73" s="577" t="s">
        <v>237</v>
      </c>
      <c r="B73" s="603"/>
      <c r="C73" s="687"/>
      <c r="D73" s="687"/>
      <c r="E73" s="598"/>
      <c r="F73" s="598"/>
      <c r="G73" s="598"/>
      <c r="H73" s="598"/>
      <c r="I73" s="598"/>
      <c r="J73" s="598"/>
      <c r="K73" s="598"/>
      <c r="L73" s="598"/>
      <c r="M73" s="598"/>
      <c r="N73" s="598"/>
      <c r="O73" s="598"/>
      <c r="P73" s="598"/>
      <c r="Q73" s="598"/>
      <c r="R73" s="598"/>
      <c r="S73" s="598"/>
      <c r="T73" s="598"/>
      <c r="U73" s="579"/>
      <c r="V73" s="579"/>
      <c r="W73" s="620"/>
      <c r="X73" s="620"/>
      <c r="Y73" s="579"/>
      <c r="Z73" s="579"/>
      <c r="AA73" s="619"/>
      <c r="AB73" s="619"/>
      <c r="AC73" s="581"/>
      <c r="AD73" s="581"/>
      <c r="AE73" s="579"/>
      <c r="AF73" s="579"/>
      <c r="AG73" s="579"/>
      <c r="AH73" s="579"/>
      <c r="AI73" s="579"/>
      <c r="AJ73" s="579"/>
      <c r="AK73" s="579"/>
      <c r="AL73" s="579"/>
      <c r="AM73" s="579"/>
      <c r="AN73" s="579"/>
      <c r="AO73" s="579"/>
      <c r="AP73" s="579"/>
      <c r="AQ73" s="579"/>
      <c r="AR73" s="579"/>
      <c r="AS73" s="579"/>
      <c r="AT73" s="579"/>
      <c r="AU73" s="619"/>
      <c r="AV73" s="619"/>
      <c r="AW73" s="657"/>
      <c r="AX73" s="657"/>
      <c r="AY73" s="581"/>
      <c r="AZ73" s="581"/>
      <c r="BA73" s="663"/>
      <c r="BB73" s="598"/>
      <c r="BC73" s="598"/>
      <c r="BD73" s="598"/>
      <c r="BE73" s="598"/>
      <c r="BF73" s="598"/>
      <c r="BG73" s="598"/>
      <c r="BH73" s="598"/>
      <c r="BI73" s="663"/>
      <c r="BJ73" s="598"/>
      <c r="BK73" s="598"/>
      <c r="BL73" s="541"/>
      <c r="BM73" s="42"/>
      <c r="BN73" s="541"/>
      <c r="BO73" s="541"/>
      <c r="BP73" s="624"/>
      <c r="BQ73" s="541"/>
      <c r="BR73" s="541"/>
      <c r="BS73" s="541"/>
      <c r="BT73" s="541"/>
      <c r="BU73" s="541"/>
      <c r="BV73" s="541"/>
      <c r="BW73" s="541"/>
      <c r="BX73" s="541"/>
      <c r="BY73" s="541"/>
      <c r="BZ73" s="541"/>
      <c r="CA73" s="541"/>
      <c r="CB73" s="541"/>
      <c r="CC73" s="541"/>
      <c r="CD73" s="541"/>
      <c r="CE73" s="541"/>
      <c r="CF73" s="541"/>
      <c r="CG73" s="541"/>
      <c r="CH73" s="541"/>
      <c r="CI73" s="541"/>
      <c r="CJ73" s="541"/>
      <c r="CK73" s="541"/>
      <c r="CL73" s="541"/>
      <c r="CM73" s="541"/>
      <c r="CN73" s="541"/>
      <c r="CO73" s="541"/>
      <c r="CP73" s="541"/>
      <c r="CQ73" s="541"/>
      <c r="CR73" s="541"/>
      <c r="CS73" s="541"/>
      <c r="CT73" s="541"/>
      <c r="CU73" s="541"/>
      <c r="CV73" s="541"/>
      <c r="CW73" s="541"/>
      <c r="CX73" s="541"/>
      <c r="CY73" s="541"/>
      <c r="CZ73" s="541"/>
      <c r="DA73" s="541"/>
      <c r="DB73" s="541"/>
      <c r="DC73" s="541"/>
      <c r="DD73" s="541"/>
      <c r="DE73" s="541"/>
      <c r="DF73" s="541"/>
      <c r="DG73" s="541"/>
      <c r="DH73" s="541"/>
      <c r="DI73" s="541"/>
      <c r="DJ73" s="541"/>
      <c r="DK73" s="541"/>
      <c r="DL73" s="541"/>
      <c r="DM73" s="541"/>
      <c r="DN73" s="541"/>
      <c r="DO73" s="541"/>
      <c r="DP73" s="541"/>
      <c r="DQ73" s="541"/>
      <c r="DR73" s="541"/>
      <c r="DS73" s="541"/>
      <c r="DT73" s="541"/>
      <c r="DU73" s="541"/>
      <c r="DV73" s="541"/>
      <c r="DW73" s="541"/>
      <c r="DX73" s="541"/>
      <c r="DY73" s="541"/>
      <c r="DZ73" s="541"/>
      <c r="EA73" s="541"/>
      <c r="EB73" s="541"/>
      <c r="EC73" s="541"/>
      <c r="ED73" s="541"/>
      <c r="EE73" s="541"/>
      <c r="EF73" s="541"/>
      <c r="EG73" s="541"/>
      <c r="EH73" s="541"/>
      <c r="EI73" s="541"/>
      <c r="EJ73" s="541"/>
      <c r="EK73" s="541"/>
      <c r="EL73" s="541"/>
      <c r="EM73" s="541"/>
      <c r="EN73" s="541"/>
      <c r="EO73" s="541"/>
      <c r="EP73" s="541"/>
      <c r="EQ73" s="541"/>
      <c r="ER73" s="541"/>
      <c r="ES73" s="541"/>
      <c r="ET73" s="541"/>
      <c r="EU73" s="541"/>
      <c r="EV73" s="541"/>
      <c r="EW73" s="541"/>
      <c r="EX73" s="541"/>
      <c r="EY73" s="541"/>
      <c r="EZ73" s="541"/>
      <c r="FA73" s="541"/>
      <c r="FB73" s="541"/>
      <c r="FC73" s="541"/>
      <c r="FD73" s="541"/>
      <c r="FE73" s="541"/>
      <c r="FF73" s="541"/>
      <c r="FG73" s="541"/>
      <c r="FH73" s="541"/>
      <c r="FI73" s="541"/>
      <c r="FJ73" s="541"/>
      <c r="FK73" s="541"/>
      <c r="FL73" s="541"/>
      <c r="FM73" s="541"/>
      <c r="FN73" s="541"/>
      <c r="FO73" s="541"/>
      <c r="FP73" s="541"/>
      <c r="FQ73" s="541"/>
      <c r="FR73" s="541"/>
      <c r="FS73" s="541"/>
      <c r="FT73" s="541"/>
      <c r="FU73" s="541"/>
      <c r="FV73" s="541"/>
      <c r="FW73" s="541"/>
      <c r="FX73" s="541"/>
      <c r="FY73" s="541"/>
      <c r="FZ73" s="541"/>
      <c r="GA73" s="541"/>
      <c r="GB73" s="541"/>
      <c r="GC73" s="541"/>
      <c r="GD73" s="541"/>
      <c r="GE73" s="541"/>
      <c r="GF73" s="541"/>
      <c r="GG73" s="541"/>
      <c r="GH73" s="541"/>
      <c r="GI73" s="541"/>
      <c r="GJ73" s="541"/>
      <c r="GK73" s="541"/>
      <c r="GL73" s="541"/>
      <c r="GM73" s="541"/>
      <c r="GN73" s="541"/>
      <c r="GO73" s="541"/>
      <c r="GP73" s="541"/>
      <c r="GQ73" s="541"/>
      <c r="GR73" s="541"/>
      <c r="GS73" s="541"/>
      <c r="GT73" s="541"/>
      <c r="GU73" s="541"/>
      <c r="GV73" s="541"/>
      <c r="GW73" s="541"/>
      <c r="GX73" s="541"/>
      <c r="GY73" s="541"/>
      <c r="GZ73" s="541"/>
      <c r="HA73" s="541"/>
      <c r="HB73" s="541"/>
      <c r="HC73" s="541"/>
      <c r="HD73" s="541"/>
      <c r="HE73" s="541"/>
      <c r="HF73" s="541"/>
      <c r="HG73" s="541"/>
      <c r="HH73" s="541"/>
      <c r="HI73" s="541"/>
      <c r="HJ73" s="541"/>
      <c r="HK73" s="541"/>
      <c r="HL73" s="541"/>
      <c r="HM73" s="541"/>
      <c r="HN73" s="541"/>
      <c r="HO73" s="541"/>
      <c r="HP73" s="541"/>
      <c r="HQ73" s="541"/>
      <c r="HR73" s="541"/>
      <c r="HS73" s="541"/>
      <c r="HT73" s="541"/>
      <c r="HU73" s="541"/>
      <c r="HV73" s="541"/>
      <c r="HW73" s="541"/>
      <c r="HX73" s="541"/>
      <c r="HY73" s="541"/>
      <c r="HZ73" s="541"/>
      <c r="IA73" s="541"/>
      <c r="IB73" s="541"/>
      <c r="IC73" s="541"/>
      <c r="ID73" s="541"/>
      <c r="IE73" s="541"/>
      <c r="IF73" s="541"/>
      <c r="IG73" s="541"/>
      <c r="IH73" s="541"/>
      <c r="II73" s="541"/>
      <c r="IJ73" s="541"/>
      <c r="IK73" s="541"/>
      <c r="IL73" s="541"/>
      <c r="IM73" s="541"/>
      <c r="IN73" s="541"/>
      <c r="IO73" s="541"/>
      <c r="IP73" s="541"/>
      <c r="IQ73" s="541"/>
      <c r="IR73" s="541"/>
      <c r="IS73" s="541"/>
      <c r="IT73" s="541"/>
      <c r="IU73" s="541"/>
      <c r="IV73" s="541"/>
      <c r="IW73" s="541"/>
      <c r="IX73" s="541"/>
      <c r="IY73" s="541"/>
      <c r="IZ73" s="541"/>
      <c r="JA73" s="541"/>
      <c r="JB73" s="541"/>
      <c r="JC73" s="541"/>
      <c r="JD73" s="541"/>
      <c r="JE73" s="541"/>
      <c r="JF73" s="541"/>
      <c r="JG73" s="541"/>
      <c r="JH73" s="541"/>
      <c r="JI73" s="541"/>
      <c r="JJ73" s="541"/>
      <c r="JK73" s="541"/>
      <c r="JL73" s="541"/>
      <c r="JM73" s="541"/>
      <c r="JN73" s="541"/>
      <c r="JO73" s="541"/>
      <c r="JP73" s="541"/>
      <c r="JQ73" s="541"/>
      <c r="JR73" s="541"/>
      <c r="JS73" s="541"/>
      <c r="JT73" s="541"/>
      <c r="JU73" s="541"/>
      <c r="JV73" s="541"/>
      <c r="JW73" s="541"/>
      <c r="JX73" s="541"/>
      <c r="JY73" s="541"/>
      <c r="JZ73" s="541"/>
      <c r="KA73" s="541"/>
      <c r="KB73" s="541"/>
      <c r="KC73" s="541"/>
      <c r="KD73" s="541"/>
      <c r="KE73" s="541"/>
      <c r="KF73" s="541"/>
      <c r="KG73" s="541"/>
      <c r="KH73" s="541"/>
      <c r="KI73" s="541"/>
      <c r="KJ73" s="541"/>
      <c r="KK73" s="541"/>
      <c r="KL73" s="541"/>
      <c r="KM73" s="541"/>
      <c r="KN73" s="541"/>
      <c r="KO73" s="541"/>
      <c r="KP73" s="541"/>
      <c r="KQ73" s="541"/>
      <c r="KR73" s="541"/>
      <c r="KS73" s="541"/>
      <c r="KT73" s="541"/>
      <c r="KU73" s="541"/>
      <c r="KV73" s="541"/>
      <c r="KW73" s="541"/>
      <c r="KX73" s="541"/>
      <c r="KY73" s="541"/>
      <c r="KZ73" s="541"/>
      <c r="LA73" s="541"/>
      <c r="LB73" s="541"/>
      <c r="LC73" s="541"/>
      <c r="LD73" s="541"/>
      <c r="LE73" s="541"/>
      <c r="LF73" s="541"/>
      <c r="LG73" s="541"/>
      <c r="LH73" s="541"/>
      <c r="LI73" s="541"/>
      <c r="LJ73" s="541"/>
      <c r="LK73" s="541"/>
      <c r="LL73" s="541"/>
      <c r="LM73" s="541"/>
      <c r="LN73" s="541"/>
      <c r="LO73" s="541"/>
      <c r="LP73" s="541"/>
      <c r="LQ73" s="541"/>
      <c r="LR73" s="541"/>
      <c r="LS73" s="541"/>
      <c r="LT73" s="541"/>
      <c r="LU73" s="541"/>
      <c r="LV73" s="541"/>
      <c r="LW73" s="541"/>
      <c r="LX73" s="541"/>
      <c r="LY73" s="541"/>
      <c r="LZ73" s="541"/>
      <c r="MA73" s="541"/>
      <c r="MB73" s="541"/>
      <c r="MC73" s="541"/>
      <c r="MD73" s="541"/>
      <c r="ME73" s="541"/>
      <c r="MF73" s="541"/>
      <c r="MG73" s="541"/>
      <c r="MH73" s="541"/>
      <c r="MI73" s="541"/>
      <c r="MJ73" s="541"/>
      <c r="MK73" s="541"/>
      <c r="ML73" s="541"/>
      <c r="MM73" s="541"/>
      <c r="MN73" s="541"/>
      <c r="MO73" s="541"/>
      <c r="MP73" s="541"/>
      <c r="MQ73" s="541"/>
      <c r="MR73" s="541"/>
      <c r="MS73" s="541"/>
      <c r="MT73" s="541"/>
      <c r="MU73" s="541"/>
      <c r="MV73" s="541"/>
      <c r="MW73" s="541"/>
      <c r="MX73" s="541"/>
      <c r="MY73" s="541"/>
      <c r="MZ73" s="541"/>
      <c r="NA73" s="541"/>
      <c r="NB73" s="541"/>
      <c r="NC73" s="541"/>
      <c r="ND73" s="541"/>
      <c r="NE73" s="541"/>
      <c r="NF73" s="541"/>
      <c r="NG73" s="541"/>
      <c r="NH73" s="541"/>
      <c r="NI73" s="541"/>
      <c r="NJ73" s="541"/>
      <c r="NK73" s="541"/>
      <c r="NL73" s="541"/>
      <c r="NM73" s="541"/>
      <c r="NN73" s="541"/>
      <c r="NO73" s="541"/>
      <c r="NP73" s="541"/>
      <c r="NQ73" s="541"/>
      <c r="NR73" s="541"/>
      <c r="NS73" s="541"/>
      <c r="NT73" s="541"/>
      <c r="NU73" s="541"/>
      <c r="NV73" s="541"/>
      <c r="NW73" s="541"/>
      <c r="NX73" s="541"/>
      <c r="NY73" s="541"/>
      <c r="NZ73" s="541"/>
      <c r="OA73" s="541"/>
      <c r="OB73" s="541"/>
      <c r="OC73" s="541"/>
      <c r="OD73" s="541"/>
      <c r="OE73" s="541"/>
      <c r="OF73" s="541"/>
      <c r="OG73" s="541"/>
      <c r="OH73" s="541"/>
      <c r="OI73" s="541"/>
      <c r="OJ73" s="541"/>
      <c r="OK73" s="541"/>
      <c r="OL73" s="541"/>
      <c r="OM73" s="541"/>
      <c r="ON73" s="541"/>
      <c r="OO73" s="541"/>
      <c r="OP73" s="541"/>
      <c r="OQ73" s="541"/>
      <c r="OR73" s="541"/>
      <c r="OS73" s="541"/>
      <c r="OT73" s="541"/>
      <c r="OU73" s="541"/>
      <c r="OV73" s="541"/>
      <c r="OW73" s="541"/>
      <c r="OX73" s="541"/>
      <c r="OY73" s="541"/>
      <c r="OZ73" s="541"/>
      <c r="PA73" s="541"/>
      <c r="PB73" s="541"/>
      <c r="PC73" s="541"/>
      <c r="PD73" s="541"/>
      <c r="PE73" s="541"/>
      <c r="PF73" s="541"/>
      <c r="PG73" s="541"/>
      <c r="PH73" s="541"/>
      <c r="PI73" s="541"/>
      <c r="PJ73" s="541"/>
      <c r="PK73" s="541"/>
      <c r="PL73" s="541"/>
      <c r="PM73" s="541"/>
      <c r="PN73" s="541"/>
      <c r="PO73" s="541"/>
      <c r="PP73" s="541"/>
      <c r="PQ73" s="541"/>
      <c r="PR73" s="541"/>
      <c r="PS73" s="541"/>
      <c r="PT73" s="541"/>
      <c r="PU73" s="541"/>
      <c r="PV73" s="541"/>
      <c r="PW73" s="541"/>
      <c r="PX73" s="541"/>
      <c r="PY73" s="541"/>
      <c r="PZ73" s="541"/>
      <c r="QA73" s="541"/>
      <c r="QB73" s="541"/>
      <c r="QC73" s="541"/>
      <c r="QD73" s="541"/>
      <c r="QE73" s="541"/>
      <c r="QF73" s="541"/>
      <c r="QG73" s="541"/>
      <c r="QH73" s="541"/>
      <c r="QI73" s="541"/>
      <c r="QJ73" s="541"/>
      <c r="QK73" s="541"/>
      <c r="QL73" s="541"/>
      <c r="QM73" s="541"/>
      <c r="QN73" s="541"/>
      <c r="QO73" s="541"/>
      <c r="QP73" s="541"/>
      <c r="QQ73" s="541"/>
      <c r="QR73" s="541"/>
      <c r="QS73" s="541"/>
      <c r="QT73" s="541"/>
      <c r="QU73" s="541"/>
      <c r="QV73" s="541"/>
      <c r="QW73" s="541"/>
      <c r="QX73" s="541"/>
      <c r="QY73" s="541"/>
      <c r="QZ73" s="541"/>
      <c r="RA73" s="541"/>
      <c r="RB73" s="541"/>
      <c r="RC73" s="541"/>
      <c r="RD73" s="541"/>
      <c r="RE73" s="541"/>
      <c r="RF73" s="541"/>
      <c r="RG73" s="541"/>
      <c r="RH73" s="541"/>
      <c r="RI73" s="541"/>
      <c r="RJ73" s="541"/>
      <c r="RK73" s="541"/>
      <c r="RL73" s="541"/>
      <c r="RM73" s="541"/>
      <c r="RN73" s="541"/>
      <c r="RO73" s="541"/>
      <c r="RP73" s="541"/>
      <c r="RQ73" s="541"/>
      <c r="RR73" s="541"/>
      <c r="RS73" s="541"/>
      <c r="RT73" s="541"/>
      <c r="RU73" s="541"/>
      <c r="RV73" s="541"/>
      <c r="RW73" s="541"/>
      <c r="RX73" s="541"/>
      <c r="RY73" s="541"/>
      <c r="RZ73" s="541"/>
      <c r="SA73" s="541"/>
      <c r="SB73" s="541"/>
      <c r="SC73" s="541"/>
      <c r="SD73" s="541"/>
      <c r="SE73" s="541"/>
      <c r="SF73" s="541"/>
      <c r="SG73" s="541"/>
      <c r="SH73" s="541"/>
      <c r="SI73" s="541"/>
      <c r="SJ73" s="541"/>
      <c r="SK73" s="541"/>
      <c r="SL73" s="541"/>
      <c r="SM73" s="541"/>
      <c r="SN73" s="541"/>
      <c r="SO73" s="541"/>
      <c r="SP73" s="541"/>
      <c r="SQ73" s="541"/>
      <c r="SR73" s="541"/>
      <c r="SS73" s="541"/>
      <c r="ST73" s="541"/>
      <c r="SU73" s="541"/>
      <c r="SV73" s="541"/>
      <c r="SW73" s="541"/>
      <c r="SX73" s="541"/>
      <c r="SY73" s="541"/>
      <c r="SZ73" s="541"/>
      <c r="TA73" s="541"/>
      <c r="TB73" s="541"/>
      <c r="TC73" s="541"/>
      <c r="TD73" s="541"/>
      <c r="TE73" s="541"/>
      <c r="TF73" s="541"/>
      <c r="TG73" s="541"/>
      <c r="TH73" s="541"/>
      <c r="TI73" s="541"/>
      <c r="TJ73" s="541"/>
      <c r="TK73" s="541"/>
      <c r="TL73" s="541"/>
      <c r="TM73" s="541"/>
      <c r="TN73" s="541"/>
      <c r="TO73" s="541"/>
      <c r="TP73" s="541"/>
      <c r="TQ73" s="541"/>
      <c r="TR73" s="541"/>
      <c r="TS73" s="541"/>
      <c r="TT73" s="541"/>
      <c r="TU73" s="541"/>
      <c r="TV73" s="541"/>
      <c r="TW73" s="541"/>
      <c r="TX73" s="541"/>
      <c r="TY73" s="541"/>
      <c r="TZ73" s="541"/>
      <c r="UA73" s="541"/>
      <c r="UB73" s="541"/>
      <c r="UC73" s="541"/>
      <c r="UD73" s="541"/>
      <c r="UE73" s="541"/>
      <c r="UF73" s="541"/>
      <c r="UG73" s="541"/>
      <c r="UH73" s="541"/>
      <c r="UI73" s="541"/>
      <c r="UJ73" s="541"/>
      <c r="UK73" s="541"/>
      <c r="UL73" s="541"/>
      <c r="UM73" s="541"/>
      <c r="UN73" s="541"/>
      <c r="UO73" s="541"/>
      <c r="UP73" s="541"/>
      <c r="UQ73" s="541"/>
      <c r="UR73" s="541"/>
      <c r="US73" s="541"/>
      <c r="UT73" s="541"/>
      <c r="UU73" s="541"/>
      <c r="UV73" s="541"/>
      <c r="UW73" s="541"/>
      <c r="UX73" s="541"/>
      <c r="UY73" s="541"/>
      <c r="UZ73" s="541"/>
      <c r="VA73" s="541"/>
      <c r="VB73" s="541"/>
      <c r="VC73" s="541"/>
      <c r="VD73" s="541"/>
      <c r="VE73" s="541"/>
      <c r="VF73" s="541"/>
      <c r="VG73" s="541"/>
      <c r="VH73" s="541"/>
      <c r="VI73" s="541"/>
      <c r="VJ73" s="541"/>
      <c r="VK73" s="541"/>
      <c r="VL73" s="541"/>
      <c r="VM73" s="541"/>
      <c r="VN73" s="541"/>
      <c r="VO73" s="541"/>
      <c r="VP73" s="541"/>
      <c r="VQ73" s="541"/>
      <c r="VR73" s="541"/>
      <c r="VS73" s="541"/>
      <c r="VT73" s="541"/>
      <c r="VU73" s="541"/>
      <c r="VV73" s="541"/>
      <c r="VW73" s="541"/>
      <c r="VX73" s="541"/>
      <c r="VY73" s="541"/>
      <c r="VZ73" s="541"/>
      <c r="WA73" s="541"/>
      <c r="WB73" s="541"/>
      <c r="WC73" s="541"/>
      <c r="WD73" s="541"/>
      <c r="WE73" s="541"/>
      <c r="WF73" s="541"/>
      <c r="WG73" s="541"/>
      <c r="WH73" s="541"/>
      <c r="WI73" s="541"/>
      <c r="WJ73" s="541"/>
      <c r="WK73" s="541"/>
      <c r="WL73" s="541"/>
      <c r="WM73" s="541"/>
      <c r="WN73" s="541"/>
      <c r="WO73" s="541"/>
      <c r="WP73" s="541"/>
      <c r="WQ73" s="541"/>
      <c r="WR73" s="541"/>
      <c r="WS73" s="541"/>
      <c r="WT73" s="541"/>
      <c r="WU73" s="541"/>
      <c r="WV73" s="541"/>
      <c r="WW73" s="541"/>
      <c r="WX73" s="541"/>
      <c r="WY73" s="541"/>
      <c r="WZ73" s="541"/>
      <c r="XA73" s="541"/>
      <c r="XB73" s="541"/>
      <c r="XC73" s="541"/>
      <c r="XD73" s="541"/>
      <c r="XE73" s="541"/>
      <c r="XF73" s="541"/>
      <c r="XG73" s="541"/>
      <c r="XH73" s="541"/>
      <c r="XI73" s="541"/>
      <c r="XJ73" s="541"/>
      <c r="XK73" s="541"/>
      <c r="XL73" s="541"/>
      <c r="XM73" s="541"/>
      <c r="XN73" s="541"/>
      <c r="XO73" s="541"/>
      <c r="XP73" s="541"/>
      <c r="XQ73" s="541"/>
      <c r="XR73" s="541"/>
      <c r="XS73" s="541"/>
      <c r="XT73" s="541"/>
      <c r="XU73" s="541"/>
      <c r="XV73" s="541"/>
      <c r="XW73" s="541"/>
      <c r="XX73" s="541"/>
      <c r="XY73" s="541"/>
      <c r="XZ73" s="541"/>
      <c r="YA73" s="541"/>
      <c r="YB73" s="541"/>
      <c r="YC73" s="541"/>
      <c r="YD73" s="541"/>
      <c r="YE73" s="541"/>
      <c r="YF73" s="541"/>
      <c r="YG73" s="541"/>
      <c r="YH73" s="541"/>
      <c r="YI73" s="541"/>
      <c r="YJ73" s="541"/>
      <c r="YK73" s="541"/>
      <c r="YL73" s="541"/>
      <c r="YM73" s="541"/>
      <c r="YN73" s="541"/>
      <c r="YO73" s="541"/>
      <c r="YP73" s="541"/>
      <c r="YQ73" s="541"/>
      <c r="YR73" s="541"/>
      <c r="YS73" s="541"/>
      <c r="YT73" s="541"/>
      <c r="YU73" s="541"/>
      <c r="YV73" s="541"/>
      <c r="YW73" s="541"/>
      <c r="YX73" s="541"/>
      <c r="YY73" s="541"/>
      <c r="YZ73" s="541"/>
      <c r="ZA73" s="541"/>
      <c r="ZB73" s="541"/>
      <c r="ZC73" s="541"/>
      <c r="ZD73" s="541"/>
      <c r="ZE73" s="541"/>
      <c r="ZF73" s="541"/>
      <c r="ZG73" s="541"/>
      <c r="ZH73" s="541"/>
      <c r="ZI73" s="541"/>
      <c r="ZJ73" s="541"/>
      <c r="ZK73" s="541"/>
      <c r="ZL73" s="541"/>
      <c r="ZM73" s="541"/>
      <c r="ZN73" s="541"/>
      <c r="ZO73" s="541"/>
      <c r="ZP73" s="541"/>
      <c r="ZQ73" s="541"/>
      <c r="ZR73" s="541"/>
      <c r="ZS73" s="541"/>
      <c r="ZT73" s="541"/>
      <c r="ZU73" s="541"/>
      <c r="ZV73" s="541"/>
      <c r="ZW73" s="541"/>
      <c r="ZX73" s="541"/>
      <c r="ZY73" s="541"/>
      <c r="ZZ73" s="541"/>
      <c r="AAA73" s="541"/>
      <c r="AAB73" s="541"/>
      <c r="AAC73" s="541"/>
      <c r="AAD73" s="541"/>
      <c r="AAE73" s="541"/>
      <c r="AAF73" s="541"/>
      <c r="AAG73" s="541"/>
      <c r="AAH73" s="541"/>
      <c r="AAI73" s="541"/>
      <c r="AAJ73" s="541"/>
      <c r="AAK73" s="541"/>
      <c r="AAL73" s="541"/>
      <c r="AAM73" s="541"/>
      <c r="AAN73" s="541"/>
      <c r="AAO73" s="541"/>
      <c r="AAP73" s="541"/>
      <c r="AAQ73" s="541"/>
      <c r="AAR73" s="541"/>
      <c r="AAS73" s="541"/>
      <c r="AAT73" s="541"/>
      <c r="AAU73" s="541"/>
      <c r="AAV73" s="541"/>
      <c r="AAW73" s="541"/>
      <c r="AAX73" s="541"/>
      <c r="AAY73" s="541"/>
      <c r="AAZ73" s="541"/>
      <c r="ABA73" s="541"/>
      <c r="ABB73" s="541"/>
      <c r="ABC73" s="541"/>
      <c r="ABD73" s="541"/>
      <c r="ABE73" s="541"/>
      <c r="ABF73" s="541"/>
      <c r="ABG73" s="541"/>
      <c r="ABH73" s="541"/>
      <c r="ABI73" s="541"/>
      <c r="ABJ73" s="541"/>
      <c r="ABK73" s="541"/>
      <c r="ABL73" s="541"/>
      <c r="ABM73" s="541"/>
      <c r="ABN73" s="541"/>
      <c r="ABO73" s="541"/>
      <c r="ABP73" s="541"/>
      <c r="ABQ73" s="541"/>
      <c r="ABR73" s="541"/>
      <c r="ABS73" s="541"/>
      <c r="ABT73" s="541"/>
      <c r="ABU73" s="541"/>
      <c r="ABV73" s="541"/>
      <c r="ABW73" s="541"/>
      <c r="ABX73" s="541"/>
      <c r="ABY73" s="541"/>
      <c r="ABZ73" s="541"/>
      <c r="ACA73" s="541"/>
      <c r="ACB73" s="541"/>
      <c r="ACC73" s="541"/>
      <c r="ACD73" s="541"/>
      <c r="ACE73" s="541"/>
      <c r="ACF73" s="541"/>
      <c r="ACG73" s="541"/>
      <c r="ACH73" s="541"/>
      <c r="ACI73" s="541"/>
      <c r="ACJ73" s="541"/>
      <c r="ACK73" s="541"/>
      <c r="ACL73" s="541"/>
      <c r="ACM73" s="541"/>
      <c r="ACN73" s="541"/>
      <c r="ACO73" s="541"/>
      <c r="ACP73" s="541"/>
      <c r="ACQ73" s="541"/>
      <c r="ACR73" s="541"/>
      <c r="ACS73" s="541"/>
      <c r="ACT73" s="541"/>
      <c r="ACU73" s="541"/>
      <c r="ACV73" s="541"/>
      <c r="ACW73" s="541"/>
      <c r="ACX73" s="541"/>
      <c r="ACY73" s="541"/>
      <c r="ACZ73" s="541"/>
      <c r="ADA73" s="541"/>
      <c r="ADB73" s="541"/>
      <c r="ADC73" s="541"/>
      <c r="ADD73" s="541"/>
      <c r="ADE73" s="541"/>
      <c r="ADF73" s="541"/>
      <c r="ADG73" s="541"/>
      <c r="ADH73" s="541"/>
      <c r="ADI73" s="541"/>
      <c r="ADJ73" s="541"/>
      <c r="ADK73" s="541"/>
      <c r="ADL73" s="541"/>
      <c r="ADM73" s="541"/>
      <c r="ADN73" s="541"/>
      <c r="ADO73" s="541"/>
      <c r="ADP73" s="541"/>
      <c r="ADQ73" s="541"/>
      <c r="ADR73" s="541"/>
      <c r="ADS73" s="541"/>
      <c r="ADT73" s="541"/>
      <c r="ADU73" s="541"/>
      <c r="ADV73" s="541"/>
      <c r="ADW73" s="541"/>
      <c r="ADX73" s="541"/>
      <c r="ADY73" s="541"/>
      <c r="ADZ73" s="541"/>
      <c r="AEA73" s="541"/>
      <c r="AEB73" s="541"/>
      <c r="AEC73" s="541"/>
      <c r="AED73" s="541"/>
      <c r="AEE73" s="541"/>
      <c r="AEF73" s="541"/>
      <c r="AEG73" s="541"/>
      <c r="AEH73" s="541"/>
      <c r="AEI73" s="541"/>
      <c r="AEJ73" s="541"/>
      <c r="AEK73" s="541"/>
      <c r="AEL73" s="541"/>
      <c r="AEM73" s="541"/>
      <c r="AEN73" s="541"/>
      <c r="AEO73" s="541"/>
      <c r="AEP73" s="541"/>
      <c r="AEQ73" s="541"/>
      <c r="AER73" s="541"/>
      <c r="AES73" s="541"/>
      <c r="AET73" s="541"/>
      <c r="AEU73" s="541"/>
      <c r="AEV73" s="541"/>
      <c r="AEW73" s="541"/>
      <c r="AEX73" s="541"/>
      <c r="AEY73" s="541"/>
      <c r="AEZ73" s="541"/>
      <c r="AFA73" s="541"/>
      <c r="AFB73" s="541"/>
      <c r="AFC73" s="541"/>
      <c r="AFD73" s="541"/>
      <c r="AFE73" s="541"/>
      <c r="AFF73" s="541"/>
      <c r="AFG73" s="541"/>
      <c r="AFH73" s="541"/>
      <c r="AFI73" s="541"/>
      <c r="AFJ73" s="541"/>
      <c r="AFK73" s="541"/>
      <c r="AFL73" s="541"/>
      <c r="AFM73" s="541"/>
      <c r="AFN73" s="541"/>
      <c r="AFO73" s="541"/>
      <c r="AFP73" s="541"/>
      <c r="AFQ73" s="541"/>
      <c r="AFR73" s="541"/>
      <c r="AFS73" s="541"/>
      <c r="AFT73" s="541"/>
      <c r="AFU73" s="541"/>
      <c r="AFV73" s="541"/>
      <c r="AFW73" s="541"/>
      <c r="AFX73" s="541"/>
      <c r="AFY73" s="541"/>
      <c r="AFZ73" s="541"/>
      <c r="AGA73" s="541"/>
      <c r="AGB73" s="541"/>
      <c r="AGC73" s="541"/>
      <c r="AGD73" s="541"/>
      <c r="AGE73" s="541"/>
      <c r="AGF73" s="541"/>
      <c r="AGG73" s="541"/>
      <c r="AGH73" s="541"/>
      <c r="AGI73" s="541"/>
      <c r="AGJ73" s="541"/>
      <c r="AGK73" s="541"/>
      <c r="AGL73" s="541"/>
      <c r="AGM73" s="541"/>
      <c r="AGN73" s="541"/>
      <c r="AGO73" s="541"/>
      <c r="AGP73" s="541"/>
      <c r="AGQ73" s="541"/>
      <c r="AGR73" s="541"/>
      <c r="AGS73" s="541"/>
      <c r="AGT73" s="541"/>
      <c r="AGU73" s="541"/>
      <c r="AGV73" s="541"/>
      <c r="AGW73" s="541"/>
      <c r="AGX73" s="541"/>
      <c r="AGY73" s="541"/>
      <c r="AGZ73" s="541"/>
      <c r="AHA73" s="541"/>
      <c r="AHB73" s="541"/>
      <c r="AHC73" s="541"/>
      <c r="AHD73" s="541"/>
      <c r="AHE73" s="541"/>
      <c r="AHF73" s="541"/>
      <c r="AHG73" s="541"/>
      <c r="AHH73" s="541"/>
      <c r="AHI73" s="541"/>
      <c r="AHJ73" s="541"/>
      <c r="AHK73" s="541"/>
      <c r="AHL73" s="541"/>
      <c r="AHM73" s="541"/>
      <c r="AHN73" s="541"/>
      <c r="AHO73" s="541"/>
      <c r="AHP73" s="541"/>
      <c r="AHQ73" s="541"/>
      <c r="AHR73" s="541"/>
      <c r="AHS73" s="541"/>
      <c r="AHT73" s="541"/>
      <c r="AHU73" s="541"/>
      <c r="AHV73" s="541"/>
      <c r="AHW73" s="541"/>
      <c r="AHX73" s="541"/>
      <c r="AHY73" s="541"/>
      <c r="AHZ73" s="541"/>
      <c r="AIA73" s="541"/>
      <c r="AIB73" s="541"/>
      <c r="AIC73" s="541"/>
      <c r="AID73" s="541"/>
      <c r="AIE73" s="541"/>
      <c r="AIF73" s="541"/>
      <c r="AIG73" s="541"/>
      <c r="AIH73" s="541"/>
      <c r="AII73" s="541"/>
      <c r="AIJ73" s="541"/>
      <c r="AIK73" s="541"/>
      <c r="AIL73" s="541"/>
      <c r="AIM73" s="541"/>
      <c r="AIN73" s="541"/>
      <c r="AIO73" s="541"/>
      <c r="AIP73" s="541"/>
      <c r="AIQ73" s="541"/>
      <c r="AIR73" s="541"/>
      <c r="AIS73" s="541"/>
      <c r="AIT73" s="541"/>
      <c r="AIU73" s="541"/>
      <c r="AIV73" s="541"/>
      <c r="AIW73" s="541"/>
      <c r="AIX73" s="541"/>
      <c r="AIY73" s="541"/>
      <c r="AIZ73" s="541"/>
      <c r="AJA73" s="541"/>
      <c r="AJB73" s="541"/>
      <c r="AJC73" s="541"/>
      <c r="AJD73" s="541"/>
      <c r="AJE73" s="541"/>
      <c r="AJF73" s="541"/>
      <c r="AJG73" s="541"/>
      <c r="AJH73" s="541"/>
      <c r="AJI73" s="541"/>
      <c r="AJJ73" s="541"/>
      <c r="AJK73" s="541"/>
      <c r="AJL73" s="541"/>
      <c r="AJM73" s="541"/>
      <c r="AJN73" s="541"/>
      <c r="AJO73" s="541"/>
      <c r="AJP73" s="541"/>
      <c r="AJQ73" s="541"/>
      <c r="AJR73" s="541"/>
      <c r="AJS73" s="541"/>
      <c r="AJT73" s="541"/>
      <c r="AJU73" s="541"/>
      <c r="AJV73" s="541"/>
      <c r="AJW73" s="541"/>
      <c r="AJX73" s="541"/>
      <c r="AJY73" s="541"/>
      <c r="AJZ73" s="541"/>
      <c r="AKA73" s="541"/>
      <c r="AKB73" s="541"/>
      <c r="AKC73" s="541"/>
      <c r="AKD73" s="541"/>
      <c r="AKE73" s="541"/>
      <c r="AKF73" s="541"/>
      <c r="AKG73" s="541"/>
      <c r="AKH73" s="541"/>
      <c r="AKI73" s="541"/>
      <c r="AKJ73" s="541"/>
      <c r="AKK73" s="541"/>
      <c r="AKL73" s="541"/>
      <c r="AKM73" s="541"/>
      <c r="AKN73" s="541"/>
      <c r="AKO73" s="541"/>
      <c r="AKP73" s="541"/>
      <c r="AKQ73" s="541"/>
      <c r="AKR73" s="541"/>
      <c r="AKS73" s="541"/>
      <c r="AKT73" s="541"/>
      <c r="AKU73" s="541"/>
      <c r="AKV73" s="541"/>
      <c r="AKW73" s="541"/>
      <c r="AKX73" s="541"/>
      <c r="AKY73" s="541"/>
      <c r="AKZ73" s="541"/>
      <c r="ALA73" s="541"/>
      <c r="ALB73" s="541"/>
      <c r="ALC73" s="541"/>
      <c r="ALD73" s="541"/>
      <c r="ALE73" s="541"/>
      <c r="ALF73" s="541"/>
      <c r="ALG73" s="541"/>
      <c r="ALH73" s="541"/>
      <c r="ALI73" s="541"/>
      <c r="ALJ73" s="541"/>
      <c r="ALK73" s="541"/>
      <c r="ALL73" s="541"/>
      <c r="ALM73" s="541"/>
      <c r="ALN73" s="541"/>
      <c r="ALO73" s="541"/>
      <c r="ALP73" s="541"/>
      <c r="ALQ73" s="541"/>
      <c r="ALR73" s="541"/>
      <c r="ALS73" s="541"/>
      <c r="ALT73" s="541"/>
      <c r="ALU73" s="541"/>
      <c r="ALV73" s="541"/>
      <c r="ALW73" s="541"/>
      <c r="ALX73" s="541"/>
      <c r="ALY73" s="541"/>
      <c r="ALZ73" s="541"/>
      <c r="AMA73" s="541"/>
      <c r="AMB73" s="541"/>
      <c r="AMC73" s="541"/>
      <c r="AMD73" s="541"/>
      <c r="AME73" s="541"/>
      <c r="AMF73" s="541"/>
      <c r="AMG73" s="541"/>
      <c r="AMH73" s="541"/>
      <c r="AMI73" s="541"/>
      <c r="AMJ73" s="541"/>
      <c r="AMK73" s="541"/>
      <c r="AML73" s="541"/>
      <c r="AMM73" s="541"/>
      <c r="AMN73" s="541"/>
      <c r="AMO73" s="541"/>
      <c r="AMP73" s="541"/>
      <c r="AMQ73" s="541"/>
      <c r="AMR73" s="541"/>
      <c r="AMS73" s="541"/>
      <c r="AMT73" s="541"/>
      <c r="AMU73" s="541"/>
      <c r="AMV73" s="541"/>
      <c r="AMW73" s="541"/>
      <c r="AMX73" s="541"/>
      <c r="AMY73" s="541"/>
      <c r="AMZ73" s="541"/>
      <c r="ANA73" s="541"/>
      <c r="ANB73" s="541"/>
      <c r="ANC73" s="541"/>
      <c r="AND73" s="541"/>
      <c r="ANE73" s="541"/>
      <c r="ANF73" s="541"/>
      <c r="ANG73" s="541"/>
      <c r="ANH73" s="541"/>
      <c r="ANI73" s="541"/>
      <c r="ANJ73" s="541"/>
      <c r="ANK73" s="541"/>
      <c r="ANL73" s="541"/>
      <c r="ANM73" s="541"/>
      <c r="ANN73" s="541"/>
      <c r="ANO73" s="541"/>
      <c r="ANP73" s="541"/>
      <c r="ANQ73" s="541"/>
      <c r="ANR73" s="541"/>
      <c r="ANS73" s="541"/>
      <c r="ANT73" s="541"/>
      <c r="ANU73" s="541"/>
      <c r="ANV73" s="541"/>
      <c r="ANW73" s="541"/>
      <c r="ANX73" s="541"/>
      <c r="ANY73" s="541"/>
      <c r="ANZ73" s="541"/>
      <c r="AOA73" s="541"/>
      <c r="AOB73" s="541"/>
      <c r="AOC73" s="541"/>
      <c r="AOD73" s="541"/>
      <c r="AOE73" s="541"/>
      <c r="AOF73" s="541"/>
      <c r="AOG73" s="541"/>
      <c r="AOH73" s="541"/>
      <c r="AOI73" s="541"/>
      <c r="AOJ73" s="541"/>
      <c r="AOK73" s="541"/>
      <c r="AOL73" s="541"/>
      <c r="AOM73" s="541"/>
      <c r="AON73" s="541"/>
      <c r="AOO73" s="541"/>
      <c r="AOP73" s="541"/>
      <c r="AOQ73" s="541"/>
      <c r="AOR73" s="541"/>
      <c r="AOS73" s="541"/>
      <c r="AOT73" s="541"/>
      <c r="AOU73" s="541"/>
      <c r="AOV73" s="541"/>
      <c r="AOW73" s="541"/>
      <c r="AOX73" s="541"/>
      <c r="AOY73" s="541"/>
      <c r="AOZ73" s="541"/>
      <c r="APA73" s="541"/>
      <c r="APB73" s="541"/>
      <c r="APC73" s="541"/>
      <c r="APD73" s="541"/>
      <c r="APE73" s="541"/>
      <c r="APF73" s="541"/>
      <c r="APG73" s="541"/>
      <c r="APH73" s="541"/>
      <c r="API73" s="541"/>
      <c r="APJ73" s="541"/>
      <c r="APK73" s="541"/>
      <c r="APL73" s="541"/>
      <c r="APM73" s="541"/>
      <c r="APN73" s="541"/>
      <c r="APO73" s="541"/>
      <c r="APP73" s="541"/>
      <c r="APQ73" s="541"/>
      <c r="APR73" s="541"/>
      <c r="APS73" s="541"/>
      <c r="APT73" s="541"/>
      <c r="APU73" s="541"/>
      <c r="APV73" s="541"/>
      <c r="APW73" s="541"/>
      <c r="APX73" s="541"/>
      <c r="APY73" s="541"/>
      <c r="APZ73" s="541"/>
      <c r="AQA73" s="541"/>
      <c r="AQB73" s="541"/>
      <c r="AQC73" s="541"/>
      <c r="AQD73" s="541"/>
      <c r="AQE73" s="541"/>
      <c r="AQF73" s="541"/>
      <c r="AQG73" s="541"/>
      <c r="AQH73" s="541"/>
      <c r="AQI73" s="541"/>
      <c r="AQJ73" s="541"/>
      <c r="AQK73" s="541"/>
      <c r="AQL73" s="541"/>
      <c r="AQM73" s="541"/>
      <c r="AQN73" s="541"/>
      <c r="AQO73" s="541"/>
      <c r="AQP73" s="541"/>
      <c r="AQQ73" s="541"/>
      <c r="AQR73" s="541"/>
      <c r="AQS73" s="541"/>
      <c r="AQT73" s="541"/>
      <c r="AQU73" s="541"/>
      <c r="AQV73" s="541"/>
      <c r="AQW73" s="541"/>
      <c r="AQX73" s="541"/>
      <c r="AQY73" s="541"/>
      <c r="AQZ73" s="541"/>
      <c r="ARA73" s="541"/>
      <c r="ARB73" s="541"/>
      <c r="ARC73" s="541"/>
      <c r="ARD73" s="541"/>
      <c r="ARE73" s="541"/>
      <c r="ARF73" s="541"/>
      <c r="ARG73" s="541"/>
      <c r="ARH73" s="541"/>
      <c r="ARI73" s="541"/>
      <c r="ARJ73" s="541"/>
      <c r="ARK73" s="541"/>
      <c r="ARL73" s="541"/>
      <c r="ARM73" s="541"/>
      <c r="ARN73" s="541"/>
      <c r="ARO73" s="541"/>
      <c r="ARP73" s="541"/>
      <c r="ARQ73" s="541"/>
      <c r="ARR73" s="541"/>
      <c r="ARS73" s="541"/>
      <c r="ART73" s="541"/>
      <c r="ARU73" s="541"/>
    </row>
    <row r="74" spans="1:1165" s="658" customFormat="1">
      <c r="A74" s="613" t="s">
        <v>238</v>
      </c>
      <c r="B74" s="578" t="s">
        <v>110</v>
      </c>
      <c r="C74" s="659">
        <v>4099</v>
      </c>
      <c r="D74" s="659">
        <v>1029757</v>
      </c>
      <c r="E74" s="579">
        <v>0</v>
      </c>
      <c r="F74" s="579">
        <v>0</v>
      </c>
      <c r="G74" s="579">
        <v>0</v>
      </c>
      <c r="H74" s="579">
        <v>0</v>
      </c>
      <c r="I74" s="579">
        <v>0</v>
      </c>
      <c r="J74" s="579">
        <v>0</v>
      </c>
      <c r="K74" s="579">
        <v>0</v>
      </c>
      <c r="L74" s="579">
        <v>0</v>
      </c>
      <c r="M74" s="579">
        <v>0</v>
      </c>
      <c r="N74" s="579">
        <v>0</v>
      </c>
      <c r="O74" s="579">
        <v>0</v>
      </c>
      <c r="P74" s="579">
        <v>0</v>
      </c>
      <c r="Q74" s="579">
        <v>0</v>
      </c>
      <c r="R74" s="579">
        <v>0</v>
      </c>
      <c r="S74" s="579">
        <v>0</v>
      </c>
      <c r="T74" s="579">
        <v>0</v>
      </c>
      <c r="U74" s="579">
        <v>0</v>
      </c>
      <c r="V74" s="579">
        <v>0</v>
      </c>
      <c r="W74" s="579">
        <v>0</v>
      </c>
      <c r="X74" s="579">
        <v>0</v>
      </c>
      <c r="Y74" s="579">
        <v>0</v>
      </c>
      <c r="Z74" s="579">
        <v>0</v>
      </c>
      <c r="AA74" s="579">
        <v>0</v>
      </c>
      <c r="AB74" s="579">
        <v>0</v>
      </c>
      <c r="AC74" s="579">
        <v>0</v>
      </c>
      <c r="AD74" s="579">
        <v>0</v>
      </c>
      <c r="AE74" s="579">
        <v>0</v>
      </c>
      <c r="AF74" s="579">
        <v>0</v>
      </c>
      <c r="AG74" s="579">
        <v>0</v>
      </c>
      <c r="AH74" s="579">
        <v>0</v>
      </c>
      <c r="AI74" s="579">
        <v>0</v>
      </c>
      <c r="AJ74" s="579">
        <v>0</v>
      </c>
      <c r="AK74" s="579">
        <v>0</v>
      </c>
      <c r="AL74" s="579">
        <v>0</v>
      </c>
      <c r="AM74" s="579">
        <v>0</v>
      </c>
      <c r="AN74" s="579">
        <v>0</v>
      </c>
      <c r="AO74" s="579">
        <v>0</v>
      </c>
      <c r="AP74" s="579">
        <v>0</v>
      </c>
      <c r="AQ74" s="579">
        <v>0</v>
      </c>
      <c r="AR74" s="579">
        <v>0</v>
      </c>
      <c r="AS74" s="579">
        <v>0</v>
      </c>
      <c r="AT74" s="579">
        <v>0</v>
      </c>
      <c r="AU74" s="579">
        <v>0</v>
      </c>
      <c r="AV74" s="579">
        <v>0</v>
      </c>
      <c r="AW74" s="581">
        <v>0</v>
      </c>
      <c r="AX74" s="581">
        <v>0</v>
      </c>
      <c r="AY74" s="581">
        <v>0</v>
      </c>
      <c r="AZ74" s="581">
        <v>0</v>
      </c>
      <c r="BA74" s="620"/>
      <c r="BB74" s="581"/>
      <c r="BC74" s="581"/>
      <c r="BD74" s="581"/>
      <c r="BE74" s="581"/>
      <c r="BF74" s="581"/>
      <c r="BG74" s="581"/>
      <c r="BH74" s="581"/>
      <c r="BI74" s="581"/>
      <c r="BJ74" s="581">
        <f t="shared" ref="BJ74:BJ83" si="8">C74+G74+I74+K74+M74+O74+Q74+S74+U74+W74+Y74+AA74+AC74+AE74+AG74+AI74+AK74+AM74+AO74+AQ74+AS74+AU74+AW74+AY74+BB74+BF74</f>
        <v>4099</v>
      </c>
      <c r="BK74" s="581">
        <f t="shared" ref="BK74:BK84" si="9">D74+H74+J74+L74+N74+P74+R74+T74+V74+X74+Z74+AB74+AD74+AF74+AH74+AJ74+AL74+AN74+AP74+AR74+AT74+AV74+AX74+AZ74+BD74+BH74</f>
        <v>1029757</v>
      </c>
      <c r="BL74" s="541"/>
      <c r="BM74" s="42"/>
      <c r="BN74" s="624"/>
      <c r="BO74" s="624"/>
      <c r="BP74" s="624"/>
      <c r="BQ74" s="541"/>
      <c r="BR74" s="541"/>
      <c r="BS74" s="541"/>
      <c r="BT74" s="541"/>
      <c r="BU74" s="541"/>
      <c r="BV74" s="541"/>
      <c r="BW74" s="541"/>
      <c r="BX74" s="541"/>
      <c r="BY74" s="541"/>
      <c r="BZ74" s="541"/>
      <c r="CA74" s="541"/>
      <c r="CB74" s="541"/>
      <c r="CC74" s="541"/>
      <c r="CD74" s="541"/>
      <c r="CE74" s="541"/>
      <c r="CF74" s="541"/>
      <c r="CG74" s="541"/>
      <c r="CH74" s="541"/>
      <c r="CI74" s="541"/>
      <c r="CJ74" s="541"/>
      <c r="CK74" s="541"/>
      <c r="CL74" s="541"/>
      <c r="CM74" s="541"/>
      <c r="CN74" s="541"/>
      <c r="CO74" s="541"/>
      <c r="CP74" s="541"/>
      <c r="CQ74" s="541"/>
      <c r="CR74" s="541"/>
      <c r="CS74" s="541"/>
      <c r="CT74" s="541"/>
      <c r="CU74" s="541"/>
      <c r="CV74" s="541"/>
      <c r="CW74" s="541"/>
      <c r="CX74" s="541"/>
      <c r="CY74" s="541"/>
      <c r="CZ74" s="541"/>
      <c r="DA74" s="541"/>
      <c r="DB74" s="541"/>
      <c r="DC74" s="541"/>
      <c r="DD74" s="541"/>
      <c r="DE74" s="541"/>
      <c r="DF74" s="541"/>
      <c r="DG74" s="541"/>
      <c r="DH74" s="541"/>
      <c r="DI74" s="541"/>
      <c r="DJ74" s="541"/>
      <c r="DK74" s="541"/>
      <c r="DL74" s="541"/>
      <c r="DM74" s="541"/>
      <c r="DN74" s="541"/>
      <c r="DO74" s="541"/>
      <c r="DP74" s="541"/>
      <c r="DQ74" s="541"/>
      <c r="DR74" s="541"/>
      <c r="DS74" s="541"/>
      <c r="DT74" s="541"/>
      <c r="DU74" s="541"/>
      <c r="DV74" s="541"/>
      <c r="DW74" s="541"/>
      <c r="DX74" s="541"/>
      <c r="DY74" s="541"/>
      <c r="DZ74" s="541"/>
      <c r="EA74" s="541"/>
      <c r="EB74" s="541"/>
      <c r="EC74" s="541"/>
      <c r="ED74" s="541"/>
      <c r="EE74" s="541"/>
      <c r="EF74" s="541"/>
      <c r="EG74" s="541"/>
      <c r="EH74" s="541"/>
      <c r="EI74" s="541"/>
      <c r="EJ74" s="541"/>
      <c r="EK74" s="541"/>
      <c r="EL74" s="541"/>
      <c r="EM74" s="541"/>
      <c r="EN74" s="541"/>
      <c r="EO74" s="541"/>
      <c r="EP74" s="541"/>
      <c r="EQ74" s="541"/>
      <c r="ER74" s="541"/>
      <c r="ES74" s="541"/>
      <c r="ET74" s="541"/>
      <c r="EU74" s="541"/>
      <c r="EV74" s="541"/>
      <c r="EW74" s="541"/>
      <c r="EX74" s="541"/>
      <c r="EY74" s="541"/>
      <c r="EZ74" s="541"/>
      <c r="FA74" s="541"/>
      <c r="FB74" s="541"/>
      <c r="FC74" s="541"/>
      <c r="FD74" s="541"/>
      <c r="FE74" s="541"/>
      <c r="FF74" s="541"/>
      <c r="FG74" s="541"/>
      <c r="FH74" s="541"/>
      <c r="FI74" s="541"/>
      <c r="FJ74" s="541"/>
      <c r="FK74" s="541"/>
      <c r="FL74" s="541"/>
      <c r="FM74" s="541"/>
      <c r="FN74" s="541"/>
      <c r="FO74" s="541"/>
      <c r="FP74" s="541"/>
      <c r="FQ74" s="541"/>
      <c r="FR74" s="541"/>
      <c r="FS74" s="541"/>
      <c r="FT74" s="541"/>
      <c r="FU74" s="541"/>
      <c r="FV74" s="541"/>
      <c r="FW74" s="541"/>
      <c r="FX74" s="541"/>
      <c r="FY74" s="541"/>
      <c r="FZ74" s="541"/>
      <c r="GA74" s="541"/>
      <c r="GB74" s="541"/>
      <c r="GC74" s="541"/>
      <c r="GD74" s="541"/>
      <c r="GE74" s="541"/>
      <c r="GF74" s="541"/>
      <c r="GG74" s="541"/>
      <c r="GH74" s="541"/>
      <c r="GI74" s="541"/>
      <c r="GJ74" s="541"/>
      <c r="GK74" s="541"/>
      <c r="GL74" s="541"/>
      <c r="GM74" s="541"/>
      <c r="GN74" s="541"/>
      <c r="GO74" s="541"/>
      <c r="GP74" s="541"/>
      <c r="GQ74" s="541"/>
      <c r="GR74" s="541"/>
      <c r="GS74" s="541"/>
      <c r="GT74" s="541"/>
      <c r="GU74" s="541"/>
      <c r="GV74" s="541"/>
      <c r="GW74" s="541"/>
      <c r="GX74" s="541"/>
      <c r="GY74" s="541"/>
      <c r="GZ74" s="541"/>
      <c r="HA74" s="541"/>
      <c r="HB74" s="541"/>
      <c r="HC74" s="541"/>
      <c r="HD74" s="541"/>
      <c r="HE74" s="541"/>
      <c r="HF74" s="541"/>
      <c r="HG74" s="541"/>
      <c r="HH74" s="541"/>
      <c r="HI74" s="541"/>
      <c r="HJ74" s="541"/>
      <c r="HK74" s="541"/>
      <c r="HL74" s="541"/>
      <c r="HM74" s="541"/>
      <c r="HN74" s="541"/>
      <c r="HO74" s="541"/>
      <c r="HP74" s="541"/>
      <c r="HQ74" s="541"/>
      <c r="HR74" s="541"/>
      <c r="HS74" s="541"/>
      <c r="HT74" s="541"/>
      <c r="HU74" s="541"/>
      <c r="HV74" s="541"/>
      <c r="HW74" s="541"/>
      <c r="HX74" s="541"/>
      <c r="HY74" s="541"/>
      <c r="HZ74" s="541"/>
      <c r="IA74" s="541"/>
      <c r="IB74" s="541"/>
      <c r="IC74" s="541"/>
      <c r="ID74" s="541"/>
      <c r="IE74" s="541"/>
      <c r="IF74" s="541"/>
      <c r="IG74" s="541"/>
      <c r="IH74" s="541"/>
      <c r="II74" s="541"/>
      <c r="IJ74" s="541"/>
      <c r="IK74" s="541"/>
      <c r="IL74" s="541"/>
      <c r="IM74" s="541"/>
      <c r="IN74" s="541"/>
      <c r="IO74" s="541"/>
      <c r="IP74" s="541"/>
      <c r="IQ74" s="541"/>
      <c r="IR74" s="541"/>
      <c r="IS74" s="541"/>
      <c r="IT74" s="541"/>
      <c r="IU74" s="541"/>
      <c r="IV74" s="541"/>
      <c r="IW74" s="541"/>
      <c r="IX74" s="541"/>
      <c r="IY74" s="541"/>
      <c r="IZ74" s="541"/>
      <c r="JA74" s="541"/>
      <c r="JB74" s="541"/>
      <c r="JC74" s="541"/>
      <c r="JD74" s="541"/>
      <c r="JE74" s="541"/>
      <c r="JF74" s="541"/>
      <c r="JG74" s="541"/>
      <c r="JH74" s="541"/>
      <c r="JI74" s="541"/>
      <c r="JJ74" s="541"/>
      <c r="JK74" s="541"/>
      <c r="JL74" s="541"/>
      <c r="JM74" s="541"/>
      <c r="JN74" s="541"/>
      <c r="JO74" s="541"/>
      <c r="JP74" s="541"/>
      <c r="JQ74" s="541"/>
      <c r="JR74" s="541"/>
      <c r="JS74" s="541"/>
      <c r="JT74" s="541"/>
      <c r="JU74" s="541"/>
      <c r="JV74" s="541"/>
      <c r="JW74" s="541"/>
      <c r="JX74" s="541"/>
      <c r="JY74" s="541"/>
      <c r="JZ74" s="541"/>
      <c r="KA74" s="541"/>
      <c r="KB74" s="541"/>
      <c r="KC74" s="541"/>
      <c r="KD74" s="541"/>
      <c r="KE74" s="541"/>
      <c r="KF74" s="541"/>
      <c r="KG74" s="541"/>
      <c r="KH74" s="541"/>
      <c r="KI74" s="541"/>
      <c r="KJ74" s="541"/>
      <c r="KK74" s="541"/>
      <c r="KL74" s="541"/>
      <c r="KM74" s="541"/>
      <c r="KN74" s="541"/>
      <c r="KO74" s="541"/>
      <c r="KP74" s="541"/>
      <c r="KQ74" s="541"/>
      <c r="KR74" s="541"/>
      <c r="KS74" s="541"/>
      <c r="KT74" s="541"/>
      <c r="KU74" s="541"/>
      <c r="KV74" s="541"/>
      <c r="KW74" s="541"/>
      <c r="KX74" s="541"/>
      <c r="KY74" s="541"/>
      <c r="KZ74" s="541"/>
      <c r="LA74" s="541"/>
      <c r="LB74" s="541"/>
      <c r="LC74" s="541"/>
      <c r="LD74" s="541"/>
      <c r="LE74" s="541"/>
      <c r="LF74" s="541"/>
      <c r="LG74" s="541"/>
      <c r="LH74" s="541"/>
      <c r="LI74" s="541"/>
      <c r="LJ74" s="541"/>
      <c r="LK74" s="541"/>
      <c r="LL74" s="541"/>
      <c r="LM74" s="541"/>
      <c r="LN74" s="541"/>
      <c r="LO74" s="541"/>
      <c r="LP74" s="541"/>
      <c r="LQ74" s="541"/>
      <c r="LR74" s="541"/>
      <c r="LS74" s="541"/>
      <c r="LT74" s="541"/>
      <c r="LU74" s="541"/>
      <c r="LV74" s="541"/>
      <c r="LW74" s="541"/>
      <c r="LX74" s="541"/>
      <c r="LY74" s="541"/>
      <c r="LZ74" s="541"/>
      <c r="MA74" s="541"/>
      <c r="MB74" s="541"/>
      <c r="MC74" s="541"/>
      <c r="MD74" s="541"/>
      <c r="ME74" s="541"/>
      <c r="MF74" s="541"/>
      <c r="MG74" s="541"/>
      <c r="MH74" s="541"/>
      <c r="MI74" s="541"/>
      <c r="MJ74" s="541"/>
      <c r="MK74" s="541"/>
      <c r="ML74" s="541"/>
      <c r="MM74" s="541"/>
      <c r="MN74" s="541"/>
      <c r="MO74" s="541"/>
      <c r="MP74" s="541"/>
      <c r="MQ74" s="541"/>
      <c r="MR74" s="541"/>
      <c r="MS74" s="541"/>
      <c r="MT74" s="541"/>
      <c r="MU74" s="541"/>
      <c r="MV74" s="541"/>
      <c r="MW74" s="541"/>
      <c r="MX74" s="541"/>
      <c r="MY74" s="541"/>
      <c r="MZ74" s="541"/>
      <c r="NA74" s="541"/>
      <c r="NB74" s="541"/>
      <c r="NC74" s="541"/>
      <c r="ND74" s="541"/>
      <c r="NE74" s="541"/>
      <c r="NF74" s="541"/>
      <c r="NG74" s="541"/>
      <c r="NH74" s="541"/>
      <c r="NI74" s="541"/>
      <c r="NJ74" s="541"/>
      <c r="NK74" s="541"/>
      <c r="NL74" s="541"/>
      <c r="NM74" s="541"/>
      <c r="NN74" s="541"/>
      <c r="NO74" s="541"/>
      <c r="NP74" s="541"/>
      <c r="NQ74" s="541"/>
      <c r="NR74" s="541"/>
      <c r="NS74" s="541"/>
      <c r="NT74" s="541"/>
      <c r="NU74" s="541"/>
      <c r="NV74" s="541"/>
      <c r="NW74" s="541"/>
      <c r="NX74" s="541"/>
      <c r="NY74" s="541"/>
      <c r="NZ74" s="541"/>
      <c r="OA74" s="541"/>
      <c r="OB74" s="541"/>
      <c r="OC74" s="541"/>
      <c r="OD74" s="541"/>
      <c r="OE74" s="541"/>
      <c r="OF74" s="541"/>
      <c r="OG74" s="541"/>
      <c r="OH74" s="541"/>
      <c r="OI74" s="541"/>
      <c r="OJ74" s="541"/>
      <c r="OK74" s="541"/>
      <c r="OL74" s="541"/>
      <c r="OM74" s="541"/>
      <c r="ON74" s="541"/>
      <c r="OO74" s="541"/>
      <c r="OP74" s="541"/>
      <c r="OQ74" s="541"/>
      <c r="OR74" s="541"/>
      <c r="OS74" s="541"/>
      <c r="OT74" s="541"/>
      <c r="OU74" s="541"/>
      <c r="OV74" s="541"/>
      <c r="OW74" s="541"/>
      <c r="OX74" s="541"/>
      <c r="OY74" s="541"/>
      <c r="OZ74" s="541"/>
      <c r="PA74" s="541"/>
      <c r="PB74" s="541"/>
      <c r="PC74" s="541"/>
      <c r="PD74" s="541"/>
      <c r="PE74" s="541"/>
      <c r="PF74" s="541"/>
      <c r="PG74" s="541"/>
      <c r="PH74" s="541"/>
      <c r="PI74" s="541"/>
      <c r="PJ74" s="541"/>
      <c r="PK74" s="541"/>
      <c r="PL74" s="541"/>
      <c r="PM74" s="541"/>
      <c r="PN74" s="541"/>
      <c r="PO74" s="541"/>
      <c r="PP74" s="541"/>
      <c r="PQ74" s="541"/>
      <c r="PR74" s="541"/>
      <c r="PS74" s="541"/>
      <c r="PT74" s="541"/>
      <c r="PU74" s="541"/>
      <c r="PV74" s="541"/>
      <c r="PW74" s="541"/>
      <c r="PX74" s="541"/>
      <c r="PY74" s="541"/>
      <c r="PZ74" s="541"/>
      <c r="QA74" s="541"/>
      <c r="QB74" s="541"/>
      <c r="QC74" s="541"/>
      <c r="QD74" s="541"/>
      <c r="QE74" s="541"/>
      <c r="QF74" s="541"/>
      <c r="QG74" s="541"/>
      <c r="QH74" s="541"/>
      <c r="QI74" s="541"/>
      <c r="QJ74" s="541"/>
      <c r="QK74" s="541"/>
      <c r="QL74" s="541"/>
      <c r="QM74" s="541"/>
      <c r="QN74" s="541"/>
      <c r="QO74" s="541"/>
      <c r="QP74" s="541"/>
      <c r="QQ74" s="541"/>
      <c r="QR74" s="541"/>
      <c r="QS74" s="541"/>
      <c r="QT74" s="541"/>
      <c r="QU74" s="541"/>
      <c r="QV74" s="541"/>
      <c r="QW74" s="541"/>
      <c r="QX74" s="541"/>
      <c r="QY74" s="541"/>
      <c r="QZ74" s="541"/>
      <c r="RA74" s="541"/>
      <c r="RB74" s="541"/>
      <c r="RC74" s="541"/>
      <c r="RD74" s="541"/>
      <c r="RE74" s="541"/>
      <c r="RF74" s="541"/>
      <c r="RG74" s="541"/>
      <c r="RH74" s="541"/>
      <c r="RI74" s="541"/>
      <c r="RJ74" s="541"/>
      <c r="RK74" s="541"/>
      <c r="RL74" s="541"/>
      <c r="RM74" s="541"/>
      <c r="RN74" s="541"/>
      <c r="RO74" s="541"/>
      <c r="RP74" s="541"/>
      <c r="RQ74" s="541"/>
      <c r="RR74" s="541"/>
      <c r="RS74" s="541"/>
      <c r="RT74" s="541"/>
      <c r="RU74" s="541"/>
      <c r="RV74" s="541"/>
      <c r="RW74" s="541"/>
      <c r="RX74" s="541"/>
      <c r="RY74" s="541"/>
      <c r="RZ74" s="541"/>
      <c r="SA74" s="541"/>
      <c r="SB74" s="541"/>
      <c r="SC74" s="541"/>
      <c r="SD74" s="541"/>
      <c r="SE74" s="541"/>
      <c r="SF74" s="541"/>
      <c r="SG74" s="541"/>
      <c r="SH74" s="541"/>
      <c r="SI74" s="541"/>
      <c r="SJ74" s="541"/>
      <c r="SK74" s="541"/>
      <c r="SL74" s="541"/>
      <c r="SM74" s="541"/>
      <c r="SN74" s="541"/>
      <c r="SO74" s="541"/>
      <c r="SP74" s="541"/>
      <c r="SQ74" s="541"/>
      <c r="SR74" s="541"/>
      <c r="SS74" s="541"/>
      <c r="ST74" s="541"/>
      <c r="SU74" s="541"/>
      <c r="SV74" s="541"/>
      <c r="SW74" s="541"/>
      <c r="SX74" s="541"/>
      <c r="SY74" s="541"/>
      <c r="SZ74" s="541"/>
      <c r="TA74" s="541"/>
      <c r="TB74" s="541"/>
      <c r="TC74" s="541"/>
      <c r="TD74" s="541"/>
      <c r="TE74" s="541"/>
      <c r="TF74" s="541"/>
      <c r="TG74" s="541"/>
      <c r="TH74" s="541"/>
      <c r="TI74" s="541"/>
      <c r="TJ74" s="541"/>
      <c r="TK74" s="541"/>
      <c r="TL74" s="541"/>
      <c r="TM74" s="541"/>
      <c r="TN74" s="541"/>
      <c r="TO74" s="541"/>
      <c r="TP74" s="541"/>
      <c r="TQ74" s="541"/>
      <c r="TR74" s="541"/>
      <c r="TS74" s="541"/>
      <c r="TT74" s="541"/>
      <c r="TU74" s="541"/>
      <c r="TV74" s="541"/>
      <c r="TW74" s="541"/>
      <c r="TX74" s="541"/>
      <c r="TY74" s="541"/>
      <c r="TZ74" s="541"/>
      <c r="UA74" s="541"/>
      <c r="UB74" s="541"/>
      <c r="UC74" s="541"/>
      <c r="UD74" s="541"/>
      <c r="UE74" s="541"/>
      <c r="UF74" s="541"/>
      <c r="UG74" s="541"/>
      <c r="UH74" s="541"/>
      <c r="UI74" s="541"/>
      <c r="UJ74" s="541"/>
      <c r="UK74" s="541"/>
      <c r="UL74" s="541"/>
      <c r="UM74" s="541"/>
      <c r="UN74" s="541"/>
      <c r="UO74" s="541"/>
      <c r="UP74" s="541"/>
      <c r="UQ74" s="541"/>
      <c r="UR74" s="541"/>
      <c r="US74" s="541"/>
      <c r="UT74" s="541"/>
      <c r="UU74" s="541"/>
      <c r="UV74" s="541"/>
      <c r="UW74" s="541"/>
      <c r="UX74" s="541"/>
      <c r="UY74" s="541"/>
      <c r="UZ74" s="541"/>
      <c r="VA74" s="541"/>
      <c r="VB74" s="541"/>
      <c r="VC74" s="541"/>
      <c r="VD74" s="541"/>
      <c r="VE74" s="541"/>
      <c r="VF74" s="541"/>
      <c r="VG74" s="541"/>
      <c r="VH74" s="541"/>
      <c r="VI74" s="541"/>
      <c r="VJ74" s="541"/>
      <c r="VK74" s="541"/>
      <c r="VL74" s="541"/>
      <c r="VM74" s="541"/>
      <c r="VN74" s="541"/>
      <c r="VO74" s="541"/>
      <c r="VP74" s="541"/>
      <c r="VQ74" s="541"/>
      <c r="VR74" s="541"/>
      <c r="VS74" s="541"/>
      <c r="VT74" s="541"/>
      <c r="VU74" s="541"/>
      <c r="VV74" s="541"/>
      <c r="VW74" s="541"/>
      <c r="VX74" s="541"/>
      <c r="VY74" s="541"/>
      <c r="VZ74" s="541"/>
      <c r="WA74" s="541"/>
      <c r="WB74" s="541"/>
      <c r="WC74" s="541"/>
      <c r="WD74" s="541"/>
      <c r="WE74" s="541"/>
      <c r="WF74" s="541"/>
      <c r="WG74" s="541"/>
      <c r="WH74" s="541"/>
      <c r="WI74" s="541"/>
      <c r="WJ74" s="541"/>
      <c r="WK74" s="541"/>
      <c r="WL74" s="541"/>
      <c r="WM74" s="541"/>
      <c r="WN74" s="541"/>
      <c r="WO74" s="541"/>
      <c r="WP74" s="541"/>
      <c r="WQ74" s="541"/>
      <c r="WR74" s="541"/>
      <c r="WS74" s="541"/>
      <c r="WT74" s="541"/>
      <c r="WU74" s="541"/>
      <c r="WV74" s="541"/>
      <c r="WW74" s="541"/>
      <c r="WX74" s="541"/>
      <c r="WY74" s="541"/>
      <c r="WZ74" s="541"/>
      <c r="XA74" s="541"/>
      <c r="XB74" s="541"/>
      <c r="XC74" s="541"/>
      <c r="XD74" s="541"/>
      <c r="XE74" s="541"/>
      <c r="XF74" s="541"/>
      <c r="XG74" s="541"/>
      <c r="XH74" s="541"/>
      <c r="XI74" s="541"/>
      <c r="XJ74" s="541"/>
      <c r="XK74" s="541"/>
      <c r="XL74" s="541"/>
      <c r="XM74" s="541"/>
      <c r="XN74" s="541"/>
      <c r="XO74" s="541"/>
      <c r="XP74" s="541"/>
      <c r="XQ74" s="541"/>
      <c r="XR74" s="541"/>
      <c r="XS74" s="541"/>
      <c r="XT74" s="541"/>
      <c r="XU74" s="541"/>
      <c r="XV74" s="541"/>
      <c r="XW74" s="541"/>
      <c r="XX74" s="541"/>
      <c r="XY74" s="541"/>
      <c r="XZ74" s="541"/>
      <c r="YA74" s="541"/>
      <c r="YB74" s="541"/>
      <c r="YC74" s="541"/>
      <c r="YD74" s="541"/>
      <c r="YE74" s="541"/>
      <c r="YF74" s="541"/>
      <c r="YG74" s="541"/>
      <c r="YH74" s="541"/>
      <c r="YI74" s="541"/>
      <c r="YJ74" s="541"/>
      <c r="YK74" s="541"/>
      <c r="YL74" s="541"/>
      <c r="YM74" s="541"/>
      <c r="YN74" s="541"/>
      <c r="YO74" s="541"/>
      <c r="YP74" s="541"/>
      <c r="YQ74" s="541"/>
      <c r="YR74" s="541"/>
      <c r="YS74" s="541"/>
      <c r="YT74" s="541"/>
      <c r="YU74" s="541"/>
      <c r="YV74" s="541"/>
      <c r="YW74" s="541"/>
      <c r="YX74" s="541"/>
      <c r="YY74" s="541"/>
      <c r="YZ74" s="541"/>
      <c r="ZA74" s="541"/>
      <c r="ZB74" s="541"/>
      <c r="ZC74" s="541"/>
      <c r="ZD74" s="541"/>
      <c r="ZE74" s="541"/>
      <c r="ZF74" s="541"/>
      <c r="ZG74" s="541"/>
      <c r="ZH74" s="541"/>
      <c r="ZI74" s="541"/>
      <c r="ZJ74" s="541"/>
      <c r="ZK74" s="541"/>
      <c r="ZL74" s="541"/>
      <c r="ZM74" s="541"/>
      <c r="ZN74" s="541"/>
      <c r="ZO74" s="541"/>
      <c r="ZP74" s="541"/>
      <c r="ZQ74" s="541"/>
      <c r="ZR74" s="541"/>
      <c r="ZS74" s="541"/>
      <c r="ZT74" s="541"/>
      <c r="ZU74" s="541"/>
      <c r="ZV74" s="541"/>
      <c r="ZW74" s="541"/>
      <c r="ZX74" s="541"/>
      <c r="ZY74" s="541"/>
      <c r="ZZ74" s="541"/>
      <c r="AAA74" s="541"/>
      <c r="AAB74" s="541"/>
      <c r="AAC74" s="541"/>
      <c r="AAD74" s="541"/>
      <c r="AAE74" s="541"/>
      <c r="AAF74" s="541"/>
      <c r="AAG74" s="541"/>
      <c r="AAH74" s="541"/>
      <c r="AAI74" s="541"/>
      <c r="AAJ74" s="541"/>
      <c r="AAK74" s="541"/>
      <c r="AAL74" s="541"/>
      <c r="AAM74" s="541"/>
      <c r="AAN74" s="541"/>
      <c r="AAO74" s="541"/>
      <c r="AAP74" s="541"/>
      <c r="AAQ74" s="541"/>
      <c r="AAR74" s="541"/>
      <c r="AAS74" s="541"/>
      <c r="AAT74" s="541"/>
      <c r="AAU74" s="541"/>
      <c r="AAV74" s="541"/>
      <c r="AAW74" s="541"/>
      <c r="AAX74" s="541"/>
      <c r="AAY74" s="541"/>
      <c r="AAZ74" s="541"/>
      <c r="ABA74" s="541"/>
      <c r="ABB74" s="541"/>
      <c r="ABC74" s="541"/>
      <c r="ABD74" s="541"/>
      <c r="ABE74" s="541"/>
      <c r="ABF74" s="541"/>
      <c r="ABG74" s="541"/>
      <c r="ABH74" s="541"/>
      <c r="ABI74" s="541"/>
      <c r="ABJ74" s="541"/>
      <c r="ABK74" s="541"/>
      <c r="ABL74" s="541"/>
      <c r="ABM74" s="541"/>
      <c r="ABN74" s="541"/>
      <c r="ABO74" s="541"/>
      <c r="ABP74" s="541"/>
      <c r="ABQ74" s="541"/>
      <c r="ABR74" s="541"/>
      <c r="ABS74" s="541"/>
      <c r="ABT74" s="541"/>
      <c r="ABU74" s="541"/>
      <c r="ABV74" s="541"/>
      <c r="ABW74" s="541"/>
      <c r="ABX74" s="541"/>
      <c r="ABY74" s="541"/>
      <c r="ABZ74" s="541"/>
      <c r="ACA74" s="541"/>
      <c r="ACB74" s="541"/>
      <c r="ACC74" s="541"/>
      <c r="ACD74" s="541"/>
      <c r="ACE74" s="541"/>
      <c r="ACF74" s="541"/>
      <c r="ACG74" s="541"/>
      <c r="ACH74" s="541"/>
      <c r="ACI74" s="541"/>
      <c r="ACJ74" s="541"/>
      <c r="ACK74" s="541"/>
      <c r="ACL74" s="541"/>
      <c r="ACM74" s="541"/>
      <c r="ACN74" s="541"/>
      <c r="ACO74" s="541"/>
      <c r="ACP74" s="541"/>
      <c r="ACQ74" s="541"/>
      <c r="ACR74" s="541"/>
      <c r="ACS74" s="541"/>
      <c r="ACT74" s="541"/>
      <c r="ACU74" s="541"/>
      <c r="ACV74" s="541"/>
      <c r="ACW74" s="541"/>
      <c r="ACX74" s="541"/>
      <c r="ACY74" s="541"/>
      <c r="ACZ74" s="541"/>
      <c r="ADA74" s="541"/>
      <c r="ADB74" s="541"/>
      <c r="ADC74" s="541"/>
      <c r="ADD74" s="541"/>
      <c r="ADE74" s="541"/>
      <c r="ADF74" s="541"/>
      <c r="ADG74" s="541"/>
      <c r="ADH74" s="541"/>
      <c r="ADI74" s="541"/>
      <c r="ADJ74" s="541"/>
      <c r="ADK74" s="541"/>
      <c r="ADL74" s="541"/>
      <c r="ADM74" s="541"/>
      <c r="ADN74" s="541"/>
      <c r="ADO74" s="541"/>
      <c r="ADP74" s="541"/>
      <c r="ADQ74" s="541"/>
      <c r="ADR74" s="541"/>
      <c r="ADS74" s="541"/>
      <c r="ADT74" s="541"/>
      <c r="ADU74" s="541"/>
      <c r="ADV74" s="541"/>
      <c r="ADW74" s="541"/>
      <c r="ADX74" s="541"/>
      <c r="ADY74" s="541"/>
      <c r="ADZ74" s="541"/>
      <c r="AEA74" s="541"/>
      <c r="AEB74" s="541"/>
      <c r="AEC74" s="541"/>
      <c r="AED74" s="541"/>
      <c r="AEE74" s="541"/>
      <c r="AEF74" s="541"/>
      <c r="AEG74" s="541"/>
      <c r="AEH74" s="541"/>
      <c r="AEI74" s="541"/>
      <c r="AEJ74" s="541"/>
      <c r="AEK74" s="541"/>
      <c r="AEL74" s="541"/>
      <c r="AEM74" s="541"/>
      <c r="AEN74" s="541"/>
      <c r="AEO74" s="541"/>
      <c r="AEP74" s="541"/>
      <c r="AEQ74" s="541"/>
      <c r="AER74" s="541"/>
      <c r="AES74" s="541"/>
      <c r="AET74" s="541"/>
      <c r="AEU74" s="541"/>
      <c r="AEV74" s="541"/>
      <c r="AEW74" s="541"/>
      <c r="AEX74" s="541"/>
      <c r="AEY74" s="541"/>
      <c r="AEZ74" s="541"/>
      <c r="AFA74" s="541"/>
      <c r="AFB74" s="541"/>
      <c r="AFC74" s="541"/>
      <c r="AFD74" s="541"/>
      <c r="AFE74" s="541"/>
      <c r="AFF74" s="541"/>
      <c r="AFG74" s="541"/>
      <c r="AFH74" s="541"/>
      <c r="AFI74" s="541"/>
      <c r="AFJ74" s="541"/>
      <c r="AFK74" s="541"/>
      <c r="AFL74" s="541"/>
      <c r="AFM74" s="541"/>
      <c r="AFN74" s="541"/>
      <c r="AFO74" s="541"/>
      <c r="AFP74" s="541"/>
      <c r="AFQ74" s="541"/>
      <c r="AFR74" s="541"/>
      <c r="AFS74" s="541"/>
      <c r="AFT74" s="541"/>
      <c r="AFU74" s="541"/>
      <c r="AFV74" s="541"/>
      <c r="AFW74" s="541"/>
      <c r="AFX74" s="541"/>
      <c r="AFY74" s="541"/>
      <c r="AFZ74" s="541"/>
      <c r="AGA74" s="541"/>
      <c r="AGB74" s="541"/>
      <c r="AGC74" s="541"/>
      <c r="AGD74" s="541"/>
      <c r="AGE74" s="541"/>
      <c r="AGF74" s="541"/>
      <c r="AGG74" s="541"/>
      <c r="AGH74" s="541"/>
      <c r="AGI74" s="541"/>
      <c r="AGJ74" s="541"/>
      <c r="AGK74" s="541"/>
      <c r="AGL74" s="541"/>
      <c r="AGM74" s="541"/>
      <c r="AGN74" s="541"/>
      <c r="AGO74" s="541"/>
      <c r="AGP74" s="541"/>
      <c r="AGQ74" s="541"/>
      <c r="AGR74" s="541"/>
      <c r="AGS74" s="541"/>
      <c r="AGT74" s="541"/>
      <c r="AGU74" s="541"/>
      <c r="AGV74" s="541"/>
      <c r="AGW74" s="541"/>
      <c r="AGX74" s="541"/>
      <c r="AGY74" s="541"/>
      <c r="AGZ74" s="541"/>
      <c r="AHA74" s="541"/>
      <c r="AHB74" s="541"/>
      <c r="AHC74" s="541"/>
      <c r="AHD74" s="541"/>
      <c r="AHE74" s="541"/>
      <c r="AHF74" s="541"/>
      <c r="AHG74" s="541"/>
      <c r="AHH74" s="541"/>
      <c r="AHI74" s="541"/>
      <c r="AHJ74" s="541"/>
      <c r="AHK74" s="541"/>
      <c r="AHL74" s="541"/>
      <c r="AHM74" s="541"/>
      <c r="AHN74" s="541"/>
      <c r="AHO74" s="541"/>
      <c r="AHP74" s="541"/>
      <c r="AHQ74" s="541"/>
      <c r="AHR74" s="541"/>
      <c r="AHS74" s="541"/>
      <c r="AHT74" s="541"/>
      <c r="AHU74" s="541"/>
      <c r="AHV74" s="541"/>
      <c r="AHW74" s="541"/>
      <c r="AHX74" s="541"/>
      <c r="AHY74" s="541"/>
      <c r="AHZ74" s="541"/>
      <c r="AIA74" s="541"/>
      <c r="AIB74" s="541"/>
      <c r="AIC74" s="541"/>
      <c r="AID74" s="541"/>
      <c r="AIE74" s="541"/>
      <c r="AIF74" s="541"/>
      <c r="AIG74" s="541"/>
      <c r="AIH74" s="541"/>
      <c r="AII74" s="541"/>
      <c r="AIJ74" s="541"/>
      <c r="AIK74" s="541"/>
      <c r="AIL74" s="541"/>
      <c r="AIM74" s="541"/>
      <c r="AIN74" s="541"/>
      <c r="AIO74" s="541"/>
      <c r="AIP74" s="541"/>
      <c r="AIQ74" s="541"/>
      <c r="AIR74" s="541"/>
      <c r="AIS74" s="541"/>
      <c r="AIT74" s="541"/>
      <c r="AIU74" s="541"/>
      <c r="AIV74" s="541"/>
      <c r="AIW74" s="541"/>
      <c r="AIX74" s="541"/>
      <c r="AIY74" s="541"/>
      <c r="AIZ74" s="541"/>
      <c r="AJA74" s="541"/>
      <c r="AJB74" s="541"/>
      <c r="AJC74" s="541"/>
      <c r="AJD74" s="541"/>
      <c r="AJE74" s="541"/>
      <c r="AJF74" s="541"/>
      <c r="AJG74" s="541"/>
      <c r="AJH74" s="541"/>
      <c r="AJI74" s="541"/>
      <c r="AJJ74" s="541"/>
      <c r="AJK74" s="541"/>
      <c r="AJL74" s="541"/>
      <c r="AJM74" s="541"/>
      <c r="AJN74" s="541"/>
      <c r="AJO74" s="541"/>
      <c r="AJP74" s="541"/>
      <c r="AJQ74" s="541"/>
      <c r="AJR74" s="541"/>
      <c r="AJS74" s="541"/>
      <c r="AJT74" s="541"/>
      <c r="AJU74" s="541"/>
      <c r="AJV74" s="541"/>
      <c r="AJW74" s="541"/>
      <c r="AJX74" s="541"/>
      <c r="AJY74" s="541"/>
      <c r="AJZ74" s="541"/>
      <c r="AKA74" s="541"/>
      <c r="AKB74" s="541"/>
      <c r="AKC74" s="541"/>
      <c r="AKD74" s="541"/>
      <c r="AKE74" s="541"/>
      <c r="AKF74" s="541"/>
      <c r="AKG74" s="541"/>
      <c r="AKH74" s="541"/>
      <c r="AKI74" s="541"/>
      <c r="AKJ74" s="541"/>
      <c r="AKK74" s="541"/>
      <c r="AKL74" s="541"/>
      <c r="AKM74" s="541"/>
      <c r="AKN74" s="541"/>
      <c r="AKO74" s="541"/>
      <c r="AKP74" s="541"/>
      <c r="AKQ74" s="541"/>
      <c r="AKR74" s="541"/>
      <c r="AKS74" s="541"/>
      <c r="AKT74" s="541"/>
      <c r="AKU74" s="541"/>
      <c r="AKV74" s="541"/>
      <c r="AKW74" s="541"/>
      <c r="AKX74" s="541"/>
      <c r="AKY74" s="541"/>
      <c r="AKZ74" s="541"/>
      <c r="ALA74" s="541"/>
      <c r="ALB74" s="541"/>
      <c r="ALC74" s="541"/>
      <c r="ALD74" s="541"/>
      <c r="ALE74" s="541"/>
      <c r="ALF74" s="541"/>
      <c r="ALG74" s="541"/>
      <c r="ALH74" s="541"/>
      <c r="ALI74" s="541"/>
      <c r="ALJ74" s="541"/>
      <c r="ALK74" s="541"/>
      <c r="ALL74" s="541"/>
      <c r="ALM74" s="541"/>
      <c r="ALN74" s="541"/>
      <c r="ALO74" s="541"/>
      <c r="ALP74" s="541"/>
      <c r="ALQ74" s="541"/>
      <c r="ALR74" s="541"/>
      <c r="ALS74" s="541"/>
      <c r="ALT74" s="541"/>
      <c r="ALU74" s="541"/>
      <c r="ALV74" s="541"/>
      <c r="ALW74" s="541"/>
      <c r="ALX74" s="541"/>
      <c r="ALY74" s="541"/>
      <c r="ALZ74" s="541"/>
      <c r="AMA74" s="541"/>
      <c r="AMB74" s="541"/>
      <c r="AMC74" s="541"/>
      <c r="AMD74" s="541"/>
      <c r="AME74" s="541"/>
      <c r="AMF74" s="541"/>
      <c r="AMG74" s="541"/>
      <c r="AMH74" s="541"/>
      <c r="AMI74" s="541"/>
      <c r="AMJ74" s="541"/>
      <c r="AMK74" s="541"/>
      <c r="AML74" s="541"/>
      <c r="AMM74" s="541"/>
      <c r="AMN74" s="541"/>
      <c r="AMO74" s="541"/>
      <c r="AMP74" s="541"/>
      <c r="AMQ74" s="541"/>
      <c r="AMR74" s="541"/>
      <c r="AMS74" s="541"/>
      <c r="AMT74" s="541"/>
      <c r="AMU74" s="541"/>
      <c r="AMV74" s="541"/>
      <c r="AMW74" s="541"/>
      <c r="AMX74" s="541"/>
      <c r="AMY74" s="541"/>
      <c r="AMZ74" s="541"/>
      <c r="ANA74" s="541"/>
      <c r="ANB74" s="541"/>
      <c r="ANC74" s="541"/>
      <c r="AND74" s="541"/>
      <c r="ANE74" s="541"/>
      <c r="ANF74" s="541"/>
      <c r="ANG74" s="541"/>
      <c r="ANH74" s="541"/>
      <c r="ANI74" s="541"/>
      <c r="ANJ74" s="541"/>
      <c r="ANK74" s="541"/>
      <c r="ANL74" s="541"/>
      <c r="ANM74" s="541"/>
      <c r="ANN74" s="541"/>
      <c r="ANO74" s="541"/>
      <c r="ANP74" s="541"/>
      <c r="ANQ74" s="541"/>
      <c r="ANR74" s="541"/>
      <c r="ANS74" s="541"/>
      <c r="ANT74" s="541"/>
      <c r="ANU74" s="541"/>
      <c r="ANV74" s="541"/>
      <c r="ANW74" s="541"/>
      <c r="ANX74" s="541"/>
      <c r="ANY74" s="541"/>
      <c r="ANZ74" s="541"/>
      <c r="AOA74" s="541"/>
      <c r="AOB74" s="541"/>
      <c r="AOC74" s="541"/>
      <c r="AOD74" s="541"/>
      <c r="AOE74" s="541"/>
      <c r="AOF74" s="541"/>
      <c r="AOG74" s="541"/>
      <c r="AOH74" s="541"/>
      <c r="AOI74" s="541"/>
      <c r="AOJ74" s="541"/>
      <c r="AOK74" s="541"/>
      <c r="AOL74" s="541"/>
      <c r="AOM74" s="541"/>
      <c r="AON74" s="541"/>
      <c r="AOO74" s="541"/>
      <c r="AOP74" s="541"/>
      <c r="AOQ74" s="541"/>
      <c r="AOR74" s="541"/>
      <c r="AOS74" s="541"/>
      <c r="AOT74" s="541"/>
      <c r="AOU74" s="541"/>
      <c r="AOV74" s="541"/>
      <c r="AOW74" s="541"/>
      <c r="AOX74" s="541"/>
      <c r="AOY74" s="541"/>
      <c r="AOZ74" s="541"/>
      <c r="APA74" s="541"/>
      <c r="APB74" s="541"/>
      <c r="APC74" s="541"/>
      <c r="APD74" s="541"/>
      <c r="APE74" s="541"/>
      <c r="APF74" s="541"/>
      <c r="APG74" s="541"/>
      <c r="APH74" s="541"/>
      <c r="API74" s="541"/>
      <c r="APJ74" s="541"/>
      <c r="APK74" s="541"/>
      <c r="APL74" s="541"/>
      <c r="APM74" s="541"/>
      <c r="APN74" s="541"/>
      <c r="APO74" s="541"/>
      <c r="APP74" s="541"/>
      <c r="APQ74" s="541"/>
      <c r="APR74" s="541"/>
      <c r="APS74" s="541"/>
      <c r="APT74" s="541"/>
      <c r="APU74" s="541"/>
      <c r="APV74" s="541"/>
      <c r="APW74" s="541"/>
      <c r="APX74" s="541"/>
      <c r="APY74" s="541"/>
      <c r="APZ74" s="541"/>
      <c r="AQA74" s="541"/>
      <c r="AQB74" s="541"/>
      <c r="AQC74" s="541"/>
      <c r="AQD74" s="541"/>
      <c r="AQE74" s="541"/>
      <c r="AQF74" s="541"/>
      <c r="AQG74" s="541"/>
      <c r="AQH74" s="541"/>
      <c r="AQI74" s="541"/>
      <c r="AQJ74" s="541"/>
      <c r="AQK74" s="541"/>
      <c r="AQL74" s="541"/>
      <c r="AQM74" s="541"/>
      <c r="AQN74" s="541"/>
      <c r="AQO74" s="541"/>
      <c r="AQP74" s="541"/>
      <c r="AQQ74" s="541"/>
      <c r="AQR74" s="541"/>
      <c r="AQS74" s="541"/>
      <c r="AQT74" s="541"/>
      <c r="AQU74" s="541"/>
      <c r="AQV74" s="541"/>
      <c r="AQW74" s="541"/>
      <c r="AQX74" s="541"/>
      <c r="AQY74" s="541"/>
      <c r="AQZ74" s="541"/>
      <c r="ARA74" s="541"/>
      <c r="ARB74" s="541"/>
      <c r="ARC74" s="541"/>
      <c r="ARD74" s="541"/>
      <c r="ARE74" s="541"/>
      <c r="ARF74" s="541"/>
      <c r="ARG74" s="541"/>
      <c r="ARH74" s="541"/>
      <c r="ARI74" s="541"/>
      <c r="ARJ74" s="541"/>
      <c r="ARK74" s="541"/>
      <c r="ARL74" s="541"/>
      <c r="ARM74" s="541"/>
      <c r="ARN74" s="541"/>
      <c r="ARO74" s="541"/>
      <c r="ARP74" s="541"/>
      <c r="ARQ74" s="541"/>
      <c r="ARR74" s="541"/>
      <c r="ARS74" s="541"/>
      <c r="ART74" s="541"/>
      <c r="ARU74" s="541"/>
    </row>
    <row r="75" spans="1:1165" s="658" customFormat="1">
      <c r="A75" s="613" t="s">
        <v>239</v>
      </c>
      <c r="B75" s="578" t="s">
        <v>110</v>
      </c>
      <c r="C75" s="579">
        <v>0</v>
      </c>
      <c r="D75" s="579">
        <v>0</v>
      </c>
      <c r="E75" s="579">
        <v>0</v>
      </c>
      <c r="F75" s="579">
        <v>0</v>
      </c>
      <c r="G75" s="579">
        <v>0</v>
      </c>
      <c r="H75" s="579">
        <v>0</v>
      </c>
      <c r="I75" s="579">
        <v>0</v>
      </c>
      <c r="J75" s="579">
        <v>0</v>
      </c>
      <c r="K75" s="579">
        <v>0</v>
      </c>
      <c r="L75" s="579">
        <v>0</v>
      </c>
      <c r="M75" s="579">
        <v>0</v>
      </c>
      <c r="N75" s="579">
        <v>0</v>
      </c>
      <c r="O75" s="579">
        <v>145</v>
      </c>
      <c r="P75" s="579">
        <v>45000</v>
      </c>
      <c r="Q75" s="581">
        <v>585</v>
      </c>
      <c r="R75" s="581">
        <v>50000</v>
      </c>
      <c r="S75" s="598">
        <v>0</v>
      </c>
      <c r="T75" s="598">
        <v>0</v>
      </c>
      <c r="U75" s="598">
        <v>0</v>
      </c>
      <c r="V75" s="598">
        <v>0</v>
      </c>
      <c r="W75" s="598">
        <v>740</v>
      </c>
      <c r="X75" s="598">
        <v>1041390</v>
      </c>
      <c r="Y75" s="598">
        <v>748</v>
      </c>
      <c r="Z75" s="598">
        <v>824801</v>
      </c>
      <c r="AA75" s="619">
        <v>1086</v>
      </c>
      <c r="AB75" s="619">
        <v>399869</v>
      </c>
      <c r="AC75" s="581">
        <v>5358</v>
      </c>
      <c r="AD75" s="581">
        <v>1757075</v>
      </c>
      <c r="AE75" s="579">
        <v>2034</v>
      </c>
      <c r="AF75" s="579">
        <v>559171</v>
      </c>
      <c r="AG75" s="579">
        <v>1028</v>
      </c>
      <c r="AH75" s="579">
        <v>316058</v>
      </c>
      <c r="AI75" s="579">
        <v>0</v>
      </c>
      <c r="AJ75" s="579">
        <v>0</v>
      </c>
      <c r="AK75" s="661">
        <v>946</v>
      </c>
      <c r="AL75" s="661">
        <v>283695</v>
      </c>
      <c r="AM75" s="662">
        <v>958</v>
      </c>
      <c r="AN75" s="662">
        <v>287457</v>
      </c>
      <c r="AO75" s="579">
        <v>0</v>
      </c>
      <c r="AP75" s="579">
        <v>0</v>
      </c>
      <c r="AQ75" s="579">
        <v>0</v>
      </c>
      <c r="AR75" s="579">
        <v>0</v>
      </c>
      <c r="AS75" s="579">
        <v>0</v>
      </c>
      <c r="AT75" s="579">
        <v>0</v>
      </c>
      <c r="AU75" s="619">
        <v>0</v>
      </c>
      <c r="AV75" s="619">
        <v>0</v>
      </c>
      <c r="AW75" s="581">
        <v>0</v>
      </c>
      <c r="AX75" s="581">
        <v>0</v>
      </c>
      <c r="AY75" s="581">
        <v>0</v>
      </c>
      <c r="AZ75" s="581">
        <v>0</v>
      </c>
      <c r="BA75" s="663"/>
      <c r="BB75" s="598"/>
      <c r="BC75" s="598"/>
      <c r="BD75" s="598"/>
      <c r="BE75" s="598"/>
      <c r="BF75" s="598"/>
      <c r="BG75" s="598"/>
      <c r="BH75" s="598"/>
      <c r="BI75" s="598"/>
      <c r="BJ75" s="598">
        <f t="shared" si="8"/>
        <v>13628</v>
      </c>
      <c r="BK75" s="581">
        <f t="shared" si="9"/>
        <v>5564516</v>
      </c>
      <c r="BL75" s="541"/>
      <c r="BM75" s="42"/>
      <c r="BN75" s="624"/>
      <c r="BO75" s="624"/>
      <c r="BP75" s="624"/>
      <c r="BQ75" s="541"/>
      <c r="BR75" s="541"/>
      <c r="BS75" s="541"/>
      <c r="BT75" s="541"/>
      <c r="BU75" s="541"/>
      <c r="BV75" s="541"/>
      <c r="BW75" s="541"/>
      <c r="BX75" s="541"/>
      <c r="BY75" s="541"/>
      <c r="BZ75" s="541"/>
      <c r="CA75" s="541"/>
      <c r="CB75" s="541"/>
      <c r="CC75" s="541"/>
      <c r="CD75" s="541"/>
      <c r="CE75" s="541"/>
      <c r="CF75" s="541"/>
      <c r="CG75" s="541"/>
      <c r="CH75" s="541"/>
      <c r="CI75" s="541"/>
      <c r="CJ75" s="541"/>
      <c r="CK75" s="541"/>
      <c r="CL75" s="541"/>
      <c r="CM75" s="541"/>
      <c r="CN75" s="541"/>
      <c r="CO75" s="541"/>
      <c r="CP75" s="541"/>
      <c r="CQ75" s="541"/>
      <c r="CR75" s="541"/>
      <c r="CS75" s="541"/>
      <c r="CT75" s="541"/>
      <c r="CU75" s="541"/>
      <c r="CV75" s="541"/>
      <c r="CW75" s="541"/>
      <c r="CX75" s="541"/>
      <c r="CY75" s="541"/>
      <c r="CZ75" s="541"/>
      <c r="DA75" s="541"/>
      <c r="DB75" s="541"/>
      <c r="DC75" s="541"/>
      <c r="DD75" s="541"/>
      <c r="DE75" s="541"/>
      <c r="DF75" s="541"/>
      <c r="DG75" s="541"/>
      <c r="DH75" s="541"/>
      <c r="DI75" s="541"/>
      <c r="DJ75" s="541"/>
      <c r="DK75" s="541"/>
      <c r="DL75" s="541"/>
      <c r="DM75" s="541"/>
      <c r="DN75" s="541"/>
      <c r="DO75" s="541"/>
      <c r="DP75" s="541"/>
      <c r="DQ75" s="541"/>
      <c r="DR75" s="541"/>
      <c r="DS75" s="541"/>
      <c r="DT75" s="541"/>
      <c r="DU75" s="541"/>
      <c r="DV75" s="541"/>
      <c r="DW75" s="541"/>
      <c r="DX75" s="541"/>
      <c r="DY75" s="541"/>
      <c r="DZ75" s="541"/>
      <c r="EA75" s="541"/>
      <c r="EB75" s="541"/>
      <c r="EC75" s="541"/>
      <c r="ED75" s="541"/>
      <c r="EE75" s="541"/>
      <c r="EF75" s="541"/>
      <c r="EG75" s="541"/>
      <c r="EH75" s="541"/>
      <c r="EI75" s="541"/>
      <c r="EJ75" s="541"/>
      <c r="EK75" s="541"/>
      <c r="EL75" s="541"/>
      <c r="EM75" s="541"/>
      <c r="EN75" s="541"/>
      <c r="EO75" s="541"/>
      <c r="EP75" s="541"/>
      <c r="EQ75" s="541"/>
      <c r="ER75" s="541"/>
      <c r="ES75" s="541"/>
      <c r="ET75" s="541"/>
      <c r="EU75" s="541"/>
      <c r="EV75" s="541"/>
      <c r="EW75" s="541"/>
      <c r="EX75" s="541"/>
      <c r="EY75" s="541"/>
      <c r="EZ75" s="541"/>
      <c r="FA75" s="541"/>
      <c r="FB75" s="541"/>
      <c r="FC75" s="541"/>
      <c r="FD75" s="541"/>
      <c r="FE75" s="541"/>
      <c r="FF75" s="541"/>
      <c r="FG75" s="541"/>
      <c r="FH75" s="541"/>
      <c r="FI75" s="541"/>
      <c r="FJ75" s="541"/>
      <c r="FK75" s="541"/>
      <c r="FL75" s="541"/>
      <c r="FM75" s="541"/>
      <c r="FN75" s="541"/>
      <c r="FO75" s="541"/>
      <c r="FP75" s="541"/>
      <c r="FQ75" s="541"/>
      <c r="FR75" s="541"/>
      <c r="FS75" s="541"/>
      <c r="FT75" s="541"/>
      <c r="FU75" s="541"/>
      <c r="FV75" s="541"/>
      <c r="FW75" s="541"/>
      <c r="FX75" s="541"/>
      <c r="FY75" s="541"/>
      <c r="FZ75" s="541"/>
      <c r="GA75" s="541"/>
      <c r="GB75" s="541"/>
      <c r="GC75" s="541"/>
      <c r="GD75" s="541"/>
      <c r="GE75" s="541"/>
      <c r="GF75" s="541"/>
      <c r="GG75" s="541"/>
      <c r="GH75" s="541"/>
      <c r="GI75" s="541"/>
      <c r="GJ75" s="541"/>
      <c r="GK75" s="541"/>
      <c r="GL75" s="541"/>
      <c r="GM75" s="541"/>
      <c r="GN75" s="541"/>
      <c r="GO75" s="541"/>
      <c r="GP75" s="541"/>
      <c r="GQ75" s="541"/>
      <c r="GR75" s="541"/>
      <c r="GS75" s="541"/>
      <c r="GT75" s="541"/>
      <c r="GU75" s="541"/>
      <c r="GV75" s="541"/>
      <c r="GW75" s="541"/>
      <c r="GX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E75" s="541"/>
      <c r="IF75" s="541"/>
      <c r="IG75" s="541"/>
      <c r="IH75" s="541"/>
      <c r="II75" s="541"/>
      <c r="IJ75" s="541"/>
      <c r="IK75" s="541"/>
      <c r="IL75" s="541"/>
      <c r="IM75" s="541"/>
      <c r="IN75" s="541"/>
      <c r="IO75" s="541"/>
      <c r="IP75" s="541"/>
      <c r="IQ75" s="541"/>
      <c r="IR75" s="541"/>
      <c r="IS75" s="541"/>
      <c r="IT75" s="541"/>
      <c r="IU75" s="541"/>
      <c r="IV75" s="541"/>
      <c r="IW75" s="541"/>
      <c r="IX75" s="541"/>
      <c r="IY75" s="541"/>
      <c r="IZ75" s="541"/>
      <c r="JA75" s="541"/>
      <c r="JB75" s="541"/>
      <c r="JC75" s="541"/>
      <c r="JD75" s="541"/>
      <c r="JE75" s="541"/>
      <c r="JF75" s="541"/>
      <c r="JG75" s="541"/>
      <c r="JH75" s="541"/>
      <c r="JI75" s="541"/>
      <c r="JJ75" s="541"/>
      <c r="JK75" s="541"/>
      <c r="JL75" s="541"/>
      <c r="JM75" s="541"/>
      <c r="JN75" s="541"/>
      <c r="JO75" s="541"/>
      <c r="JP75" s="541"/>
      <c r="JQ75" s="541"/>
      <c r="JR75" s="541"/>
      <c r="JS75" s="541"/>
      <c r="JT75" s="541"/>
      <c r="JU75" s="541"/>
      <c r="JV75" s="541"/>
      <c r="JW75" s="541"/>
      <c r="JX75" s="541"/>
      <c r="JY75" s="541"/>
      <c r="JZ75" s="541"/>
      <c r="KA75" s="541"/>
      <c r="KB75" s="541"/>
      <c r="KC75" s="541"/>
      <c r="KD75" s="541"/>
      <c r="KE75" s="541"/>
      <c r="KF75" s="541"/>
      <c r="KG75" s="541"/>
      <c r="KH75" s="541"/>
      <c r="KI75" s="541"/>
      <c r="KJ75" s="541"/>
      <c r="KK75" s="541"/>
      <c r="KL75" s="541"/>
      <c r="KM75" s="541"/>
      <c r="KN75" s="541"/>
      <c r="KO75" s="541"/>
      <c r="KP75" s="541"/>
      <c r="KQ75" s="541"/>
      <c r="KR75" s="541"/>
      <c r="KS75" s="541"/>
      <c r="KT75" s="541"/>
      <c r="KU75" s="541"/>
      <c r="KV75" s="541"/>
      <c r="KW75" s="541"/>
      <c r="KX75" s="541"/>
      <c r="KY75" s="541"/>
      <c r="KZ75" s="541"/>
      <c r="LA75" s="541"/>
      <c r="LB75" s="541"/>
      <c r="LC75" s="541"/>
      <c r="LD75" s="541"/>
      <c r="LE75" s="541"/>
      <c r="LF75" s="541"/>
      <c r="LG75" s="541"/>
      <c r="LH75" s="541"/>
      <c r="LI75" s="541"/>
      <c r="LJ75" s="541"/>
      <c r="LK75" s="541"/>
      <c r="LL75" s="541"/>
      <c r="LM75" s="541"/>
      <c r="LN75" s="541"/>
      <c r="LO75" s="541"/>
      <c r="LP75" s="541"/>
      <c r="LQ75" s="541"/>
      <c r="LR75" s="541"/>
      <c r="LS75" s="541"/>
      <c r="LT75" s="541"/>
      <c r="LU75" s="541"/>
      <c r="LV75" s="541"/>
      <c r="LW75" s="541"/>
      <c r="LX75" s="541"/>
      <c r="LY75" s="541"/>
      <c r="LZ75" s="541"/>
      <c r="MA75" s="541"/>
      <c r="MB75" s="541"/>
      <c r="MC75" s="541"/>
      <c r="MD75" s="541"/>
      <c r="ME75" s="541"/>
      <c r="MF75" s="541"/>
      <c r="MG75" s="541"/>
      <c r="MH75" s="541"/>
      <c r="MI75" s="541"/>
      <c r="MJ75" s="541"/>
      <c r="MK75" s="541"/>
      <c r="ML75" s="541"/>
      <c r="MM75" s="541"/>
      <c r="MN75" s="541"/>
      <c r="MO75" s="541"/>
      <c r="MP75" s="541"/>
      <c r="MQ75" s="541"/>
      <c r="MR75" s="541"/>
      <c r="MS75" s="541"/>
      <c r="MT75" s="541"/>
      <c r="MU75" s="541"/>
      <c r="MV75" s="541"/>
      <c r="MW75" s="541"/>
      <c r="MX75" s="541"/>
      <c r="MY75" s="541"/>
      <c r="MZ75" s="541"/>
      <c r="NA75" s="541"/>
      <c r="NB75" s="541"/>
      <c r="NC75" s="541"/>
      <c r="ND75" s="541"/>
      <c r="NE75" s="541"/>
      <c r="NF75" s="541"/>
      <c r="NG75" s="541"/>
      <c r="NH75" s="541"/>
      <c r="NI75" s="541"/>
      <c r="NJ75" s="541"/>
      <c r="NK75" s="541"/>
      <c r="NL75" s="541"/>
      <c r="NM75" s="541"/>
      <c r="NN75" s="541"/>
      <c r="NO75" s="541"/>
      <c r="NP75" s="541"/>
      <c r="NQ75" s="541"/>
      <c r="NR75" s="541"/>
      <c r="NS75" s="541"/>
      <c r="NT75" s="541"/>
      <c r="NU75" s="541"/>
      <c r="NV75" s="541"/>
      <c r="NW75" s="541"/>
      <c r="NX75" s="541"/>
      <c r="NY75" s="541"/>
      <c r="NZ75" s="541"/>
      <c r="OA75" s="541"/>
      <c r="OB75" s="541"/>
      <c r="OC75" s="541"/>
      <c r="OD75" s="541"/>
      <c r="OE75" s="541"/>
      <c r="OF75" s="541"/>
      <c r="OG75" s="541"/>
      <c r="OH75" s="541"/>
      <c r="OI75" s="541"/>
      <c r="OJ75" s="541"/>
      <c r="OK75" s="541"/>
      <c r="OL75" s="541"/>
      <c r="OM75" s="541"/>
      <c r="ON75" s="541"/>
      <c r="OO75" s="541"/>
      <c r="OP75" s="541"/>
      <c r="OQ75" s="541"/>
      <c r="OR75" s="541"/>
      <c r="OS75" s="541"/>
      <c r="OT75" s="541"/>
      <c r="OU75" s="541"/>
      <c r="OV75" s="541"/>
      <c r="OW75" s="541"/>
      <c r="OX75" s="541"/>
      <c r="OY75" s="541"/>
      <c r="OZ75" s="541"/>
      <c r="PA75" s="541"/>
      <c r="PB75" s="541"/>
      <c r="PC75" s="541"/>
      <c r="PD75" s="541"/>
      <c r="PE75" s="541"/>
      <c r="PF75" s="541"/>
      <c r="PG75" s="541"/>
      <c r="PH75" s="541"/>
      <c r="PI75" s="541"/>
      <c r="PJ75" s="541"/>
      <c r="PK75" s="541"/>
      <c r="PL75" s="541"/>
      <c r="PM75" s="541"/>
      <c r="PN75" s="541"/>
      <c r="PO75" s="541"/>
      <c r="PP75" s="541"/>
      <c r="PQ75" s="541"/>
      <c r="PR75" s="541"/>
      <c r="PS75" s="541"/>
      <c r="PT75" s="541"/>
      <c r="PU75" s="541"/>
      <c r="PV75" s="541"/>
      <c r="PW75" s="541"/>
      <c r="PX75" s="541"/>
      <c r="PY75" s="541"/>
      <c r="PZ75" s="541"/>
      <c r="QA75" s="541"/>
      <c r="QB75" s="541"/>
      <c r="QC75" s="541"/>
      <c r="QD75" s="541"/>
      <c r="QE75" s="541"/>
      <c r="QF75" s="541"/>
      <c r="QG75" s="541"/>
      <c r="QH75" s="541"/>
      <c r="QI75" s="541"/>
      <c r="QJ75" s="541"/>
      <c r="QK75" s="541"/>
      <c r="QL75" s="541"/>
      <c r="QM75" s="541"/>
      <c r="QN75" s="541"/>
      <c r="QO75" s="541"/>
      <c r="QP75" s="541"/>
      <c r="QQ75" s="541"/>
      <c r="QR75" s="541"/>
      <c r="QS75" s="541"/>
      <c r="QT75" s="541"/>
      <c r="QU75" s="541"/>
      <c r="QV75" s="541"/>
      <c r="QW75" s="541"/>
      <c r="QX75" s="541"/>
      <c r="QY75" s="541"/>
      <c r="QZ75" s="541"/>
      <c r="RA75" s="541"/>
      <c r="RB75" s="541"/>
      <c r="RC75" s="541"/>
      <c r="RD75" s="541"/>
      <c r="RE75" s="541"/>
      <c r="RF75" s="541"/>
      <c r="RG75" s="541"/>
      <c r="RH75" s="541"/>
      <c r="RI75" s="541"/>
      <c r="RJ75" s="541"/>
      <c r="RK75" s="541"/>
      <c r="RL75" s="541"/>
      <c r="RM75" s="541"/>
      <c r="RN75" s="541"/>
      <c r="RO75" s="541"/>
      <c r="RP75" s="541"/>
      <c r="RQ75" s="541"/>
      <c r="RR75" s="541"/>
      <c r="RS75" s="541"/>
      <c r="RT75" s="541"/>
      <c r="RU75" s="541"/>
      <c r="RV75" s="541"/>
      <c r="RW75" s="541"/>
      <c r="RX75" s="541"/>
      <c r="RY75" s="541"/>
      <c r="RZ75" s="541"/>
      <c r="SA75" s="541"/>
      <c r="SB75" s="541"/>
      <c r="SC75" s="541"/>
      <c r="SD75" s="541"/>
      <c r="SE75" s="541"/>
      <c r="SF75" s="541"/>
      <c r="SG75" s="541"/>
      <c r="SH75" s="541"/>
      <c r="SI75" s="541"/>
      <c r="SJ75" s="541"/>
      <c r="SK75" s="541"/>
      <c r="SL75" s="541"/>
      <c r="SM75" s="541"/>
      <c r="SN75" s="541"/>
      <c r="SO75" s="541"/>
      <c r="SP75" s="541"/>
      <c r="SQ75" s="541"/>
      <c r="SR75" s="541"/>
      <c r="SS75" s="541"/>
      <c r="ST75" s="541"/>
      <c r="SU75" s="541"/>
      <c r="SV75" s="541"/>
      <c r="SW75" s="541"/>
      <c r="SX75" s="541"/>
      <c r="SY75" s="541"/>
      <c r="SZ75" s="541"/>
      <c r="TA75" s="541"/>
      <c r="TB75" s="541"/>
      <c r="TC75" s="541"/>
      <c r="TD75" s="541"/>
      <c r="TE75" s="541"/>
      <c r="TF75" s="541"/>
      <c r="TG75" s="541"/>
      <c r="TH75" s="541"/>
      <c r="TI75" s="541"/>
      <c r="TJ75" s="541"/>
      <c r="TK75" s="541"/>
      <c r="TL75" s="541"/>
      <c r="TM75" s="541"/>
      <c r="TN75" s="541"/>
      <c r="TO75" s="541"/>
      <c r="TP75" s="541"/>
      <c r="TQ75" s="541"/>
      <c r="TR75" s="541"/>
      <c r="TS75" s="541"/>
      <c r="TT75" s="541"/>
      <c r="TU75" s="541"/>
      <c r="TV75" s="541"/>
      <c r="TW75" s="541"/>
      <c r="TX75" s="541"/>
      <c r="TY75" s="541"/>
      <c r="TZ75" s="541"/>
      <c r="UA75" s="541"/>
      <c r="UB75" s="541"/>
      <c r="UC75" s="541"/>
      <c r="UD75" s="541"/>
      <c r="UE75" s="541"/>
      <c r="UF75" s="541"/>
      <c r="UG75" s="541"/>
      <c r="UH75" s="541"/>
      <c r="UI75" s="541"/>
      <c r="UJ75" s="541"/>
      <c r="UK75" s="541"/>
      <c r="UL75" s="541"/>
      <c r="UM75" s="541"/>
      <c r="UN75" s="541"/>
      <c r="UO75" s="541"/>
      <c r="UP75" s="541"/>
      <c r="UQ75" s="541"/>
      <c r="UR75" s="541"/>
      <c r="US75" s="541"/>
      <c r="UT75" s="541"/>
      <c r="UU75" s="541"/>
      <c r="UV75" s="541"/>
      <c r="UW75" s="541"/>
      <c r="UX75" s="541"/>
      <c r="UY75" s="541"/>
      <c r="UZ75" s="541"/>
      <c r="VA75" s="541"/>
      <c r="VB75" s="541"/>
      <c r="VC75" s="541"/>
      <c r="VD75" s="541"/>
      <c r="VE75" s="541"/>
      <c r="VF75" s="541"/>
      <c r="VG75" s="541"/>
      <c r="VH75" s="541"/>
      <c r="VI75" s="541"/>
      <c r="VJ75" s="541"/>
      <c r="VK75" s="541"/>
      <c r="VL75" s="541"/>
      <c r="VM75" s="541"/>
      <c r="VN75" s="541"/>
      <c r="VO75" s="541"/>
      <c r="VP75" s="541"/>
      <c r="VQ75" s="541"/>
      <c r="VR75" s="541"/>
      <c r="VS75" s="541"/>
      <c r="VT75" s="541"/>
      <c r="VU75" s="541"/>
      <c r="VV75" s="541"/>
      <c r="VW75" s="541"/>
      <c r="VX75" s="541"/>
      <c r="VY75" s="541"/>
      <c r="VZ75" s="541"/>
      <c r="WA75" s="541"/>
      <c r="WB75" s="541"/>
      <c r="WC75" s="541"/>
      <c r="WD75" s="541"/>
      <c r="WE75" s="541"/>
      <c r="WF75" s="541"/>
      <c r="WG75" s="541"/>
      <c r="WH75" s="541"/>
      <c r="WI75" s="541"/>
      <c r="WJ75" s="541"/>
      <c r="WK75" s="541"/>
      <c r="WL75" s="541"/>
      <c r="WM75" s="541"/>
      <c r="WN75" s="541"/>
      <c r="WO75" s="541"/>
      <c r="WP75" s="541"/>
      <c r="WQ75" s="541"/>
      <c r="WR75" s="541"/>
      <c r="WS75" s="541"/>
      <c r="WT75" s="541"/>
      <c r="WU75" s="541"/>
      <c r="WV75" s="541"/>
      <c r="WW75" s="541"/>
      <c r="WX75" s="541"/>
      <c r="WY75" s="541"/>
      <c r="WZ75" s="541"/>
      <c r="XA75" s="541"/>
      <c r="XB75" s="541"/>
      <c r="XC75" s="541"/>
      <c r="XD75" s="541"/>
      <c r="XE75" s="541"/>
      <c r="XF75" s="541"/>
      <c r="XG75" s="541"/>
      <c r="XH75" s="541"/>
      <c r="XI75" s="541"/>
      <c r="XJ75" s="541"/>
      <c r="XK75" s="541"/>
      <c r="XL75" s="541"/>
      <c r="XM75" s="541"/>
      <c r="XN75" s="541"/>
      <c r="XO75" s="541"/>
      <c r="XP75" s="541"/>
      <c r="XQ75" s="541"/>
      <c r="XR75" s="541"/>
      <c r="XS75" s="541"/>
      <c r="XT75" s="541"/>
      <c r="XU75" s="541"/>
      <c r="XV75" s="541"/>
      <c r="XW75" s="541"/>
      <c r="XX75" s="541"/>
      <c r="XY75" s="541"/>
      <c r="XZ75" s="541"/>
      <c r="YA75" s="541"/>
      <c r="YB75" s="541"/>
      <c r="YC75" s="541"/>
      <c r="YD75" s="541"/>
      <c r="YE75" s="541"/>
      <c r="YF75" s="541"/>
      <c r="YG75" s="541"/>
      <c r="YH75" s="541"/>
      <c r="YI75" s="541"/>
      <c r="YJ75" s="541"/>
      <c r="YK75" s="541"/>
      <c r="YL75" s="541"/>
      <c r="YM75" s="541"/>
      <c r="YN75" s="541"/>
      <c r="YO75" s="541"/>
      <c r="YP75" s="541"/>
      <c r="YQ75" s="541"/>
      <c r="YR75" s="541"/>
      <c r="YS75" s="541"/>
      <c r="YT75" s="541"/>
      <c r="YU75" s="541"/>
      <c r="YV75" s="541"/>
      <c r="YW75" s="541"/>
      <c r="YX75" s="541"/>
      <c r="YY75" s="541"/>
      <c r="YZ75" s="541"/>
      <c r="ZA75" s="541"/>
      <c r="ZB75" s="541"/>
      <c r="ZC75" s="541"/>
      <c r="ZD75" s="541"/>
      <c r="ZE75" s="541"/>
      <c r="ZF75" s="541"/>
      <c r="ZG75" s="541"/>
      <c r="ZH75" s="541"/>
      <c r="ZI75" s="541"/>
      <c r="ZJ75" s="541"/>
      <c r="ZK75" s="541"/>
      <c r="ZL75" s="541"/>
      <c r="ZM75" s="541"/>
      <c r="ZN75" s="541"/>
      <c r="ZO75" s="541"/>
      <c r="ZP75" s="541"/>
      <c r="ZQ75" s="541"/>
      <c r="ZR75" s="541"/>
      <c r="ZS75" s="541"/>
      <c r="ZT75" s="541"/>
      <c r="ZU75" s="541"/>
      <c r="ZV75" s="541"/>
      <c r="ZW75" s="541"/>
      <c r="ZX75" s="541"/>
      <c r="ZY75" s="541"/>
      <c r="ZZ75" s="541"/>
      <c r="AAA75" s="541"/>
      <c r="AAB75" s="541"/>
      <c r="AAC75" s="541"/>
      <c r="AAD75" s="541"/>
      <c r="AAE75" s="541"/>
      <c r="AAF75" s="541"/>
      <c r="AAG75" s="541"/>
      <c r="AAH75" s="541"/>
      <c r="AAI75" s="541"/>
      <c r="AAJ75" s="541"/>
      <c r="AAK75" s="541"/>
      <c r="AAL75" s="541"/>
      <c r="AAM75" s="541"/>
      <c r="AAN75" s="541"/>
      <c r="AAO75" s="541"/>
      <c r="AAP75" s="541"/>
      <c r="AAQ75" s="541"/>
      <c r="AAR75" s="541"/>
      <c r="AAS75" s="541"/>
      <c r="AAT75" s="541"/>
      <c r="AAU75" s="541"/>
      <c r="AAV75" s="541"/>
      <c r="AAW75" s="541"/>
      <c r="AAX75" s="541"/>
      <c r="AAY75" s="541"/>
      <c r="AAZ75" s="541"/>
      <c r="ABA75" s="541"/>
      <c r="ABB75" s="541"/>
      <c r="ABC75" s="541"/>
      <c r="ABD75" s="541"/>
      <c r="ABE75" s="541"/>
      <c r="ABF75" s="541"/>
      <c r="ABG75" s="541"/>
      <c r="ABH75" s="541"/>
      <c r="ABI75" s="541"/>
      <c r="ABJ75" s="541"/>
      <c r="ABK75" s="541"/>
      <c r="ABL75" s="541"/>
      <c r="ABM75" s="541"/>
      <c r="ABN75" s="541"/>
      <c r="ABO75" s="541"/>
      <c r="ABP75" s="541"/>
      <c r="ABQ75" s="541"/>
      <c r="ABR75" s="541"/>
      <c r="ABS75" s="541"/>
      <c r="ABT75" s="541"/>
      <c r="ABU75" s="541"/>
      <c r="ABV75" s="541"/>
      <c r="ABW75" s="541"/>
      <c r="ABX75" s="541"/>
      <c r="ABY75" s="541"/>
      <c r="ABZ75" s="541"/>
      <c r="ACA75" s="541"/>
      <c r="ACB75" s="541"/>
      <c r="ACC75" s="541"/>
      <c r="ACD75" s="541"/>
      <c r="ACE75" s="541"/>
      <c r="ACF75" s="541"/>
      <c r="ACG75" s="541"/>
      <c r="ACH75" s="541"/>
      <c r="ACI75" s="541"/>
      <c r="ACJ75" s="541"/>
      <c r="ACK75" s="541"/>
      <c r="ACL75" s="541"/>
      <c r="ACM75" s="541"/>
      <c r="ACN75" s="541"/>
      <c r="ACO75" s="541"/>
      <c r="ACP75" s="541"/>
      <c r="ACQ75" s="541"/>
      <c r="ACR75" s="541"/>
      <c r="ACS75" s="541"/>
      <c r="ACT75" s="541"/>
      <c r="ACU75" s="541"/>
      <c r="ACV75" s="541"/>
      <c r="ACW75" s="541"/>
      <c r="ACX75" s="541"/>
      <c r="ACY75" s="541"/>
      <c r="ACZ75" s="541"/>
      <c r="ADA75" s="541"/>
      <c r="ADB75" s="541"/>
      <c r="ADC75" s="541"/>
      <c r="ADD75" s="541"/>
      <c r="ADE75" s="541"/>
      <c r="ADF75" s="541"/>
      <c r="ADG75" s="541"/>
      <c r="ADH75" s="541"/>
      <c r="ADI75" s="541"/>
      <c r="ADJ75" s="541"/>
      <c r="ADK75" s="541"/>
      <c r="ADL75" s="541"/>
      <c r="ADM75" s="541"/>
      <c r="ADN75" s="541"/>
      <c r="ADO75" s="541"/>
      <c r="ADP75" s="541"/>
      <c r="ADQ75" s="541"/>
      <c r="ADR75" s="541"/>
      <c r="ADS75" s="541"/>
      <c r="ADT75" s="541"/>
      <c r="ADU75" s="541"/>
      <c r="ADV75" s="541"/>
      <c r="ADW75" s="541"/>
      <c r="ADX75" s="541"/>
      <c r="ADY75" s="541"/>
      <c r="ADZ75" s="541"/>
      <c r="AEA75" s="541"/>
      <c r="AEB75" s="541"/>
      <c r="AEC75" s="541"/>
      <c r="AED75" s="541"/>
      <c r="AEE75" s="541"/>
      <c r="AEF75" s="541"/>
      <c r="AEG75" s="541"/>
      <c r="AEH75" s="541"/>
      <c r="AEI75" s="541"/>
      <c r="AEJ75" s="541"/>
      <c r="AEK75" s="541"/>
      <c r="AEL75" s="541"/>
      <c r="AEM75" s="541"/>
      <c r="AEN75" s="541"/>
      <c r="AEO75" s="541"/>
      <c r="AEP75" s="541"/>
      <c r="AEQ75" s="541"/>
      <c r="AER75" s="541"/>
      <c r="AES75" s="541"/>
      <c r="AET75" s="541"/>
      <c r="AEU75" s="541"/>
      <c r="AEV75" s="541"/>
      <c r="AEW75" s="541"/>
      <c r="AEX75" s="541"/>
      <c r="AEY75" s="541"/>
      <c r="AEZ75" s="541"/>
      <c r="AFA75" s="541"/>
      <c r="AFB75" s="541"/>
      <c r="AFC75" s="541"/>
      <c r="AFD75" s="541"/>
      <c r="AFE75" s="541"/>
      <c r="AFF75" s="541"/>
      <c r="AFG75" s="541"/>
      <c r="AFH75" s="541"/>
      <c r="AFI75" s="541"/>
      <c r="AFJ75" s="541"/>
      <c r="AFK75" s="541"/>
      <c r="AFL75" s="541"/>
      <c r="AFM75" s="541"/>
      <c r="AFN75" s="541"/>
      <c r="AFO75" s="541"/>
      <c r="AFP75" s="541"/>
      <c r="AFQ75" s="541"/>
      <c r="AFR75" s="541"/>
      <c r="AFS75" s="541"/>
      <c r="AFT75" s="541"/>
      <c r="AFU75" s="541"/>
      <c r="AFV75" s="541"/>
      <c r="AFW75" s="541"/>
      <c r="AFX75" s="541"/>
      <c r="AFY75" s="541"/>
      <c r="AFZ75" s="541"/>
      <c r="AGA75" s="541"/>
      <c r="AGB75" s="541"/>
      <c r="AGC75" s="541"/>
      <c r="AGD75" s="541"/>
      <c r="AGE75" s="541"/>
      <c r="AGF75" s="541"/>
      <c r="AGG75" s="541"/>
      <c r="AGH75" s="541"/>
      <c r="AGI75" s="541"/>
      <c r="AGJ75" s="541"/>
      <c r="AGK75" s="541"/>
      <c r="AGL75" s="541"/>
      <c r="AGM75" s="541"/>
      <c r="AGN75" s="541"/>
      <c r="AGO75" s="541"/>
      <c r="AGP75" s="541"/>
      <c r="AGQ75" s="541"/>
      <c r="AGR75" s="541"/>
      <c r="AGS75" s="541"/>
      <c r="AGT75" s="541"/>
      <c r="AGU75" s="541"/>
      <c r="AGV75" s="541"/>
      <c r="AGW75" s="541"/>
      <c r="AGX75" s="541"/>
      <c r="AGY75" s="541"/>
      <c r="AGZ75" s="541"/>
      <c r="AHA75" s="541"/>
      <c r="AHB75" s="541"/>
      <c r="AHC75" s="541"/>
      <c r="AHD75" s="541"/>
      <c r="AHE75" s="541"/>
      <c r="AHF75" s="541"/>
      <c r="AHG75" s="541"/>
      <c r="AHH75" s="541"/>
      <c r="AHI75" s="541"/>
      <c r="AHJ75" s="541"/>
      <c r="AHK75" s="541"/>
      <c r="AHL75" s="541"/>
      <c r="AHM75" s="541"/>
      <c r="AHN75" s="541"/>
      <c r="AHO75" s="541"/>
      <c r="AHP75" s="541"/>
      <c r="AHQ75" s="541"/>
      <c r="AHR75" s="541"/>
      <c r="AHS75" s="541"/>
      <c r="AHT75" s="541"/>
      <c r="AHU75" s="541"/>
      <c r="AHV75" s="541"/>
      <c r="AHW75" s="541"/>
      <c r="AHX75" s="541"/>
      <c r="AHY75" s="541"/>
      <c r="AHZ75" s="541"/>
      <c r="AIA75" s="541"/>
      <c r="AIB75" s="541"/>
      <c r="AIC75" s="541"/>
      <c r="AID75" s="541"/>
      <c r="AIE75" s="541"/>
      <c r="AIF75" s="541"/>
      <c r="AIG75" s="541"/>
      <c r="AIH75" s="541"/>
      <c r="AII75" s="541"/>
      <c r="AIJ75" s="541"/>
      <c r="AIK75" s="541"/>
      <c r="AIL75" s="541"/>
      <c r="AIM75" s="541"/>
      <c r="AIN75" s="541"/>
      <c r="AIO75" s="541"/>
      <c r="AIP75" s="541"/>
      <c r="AIQ75" s="541"/>
      <c r="AIR75" s="541"/>
      <c r="AIS75" s="541"/>
      <c r="AIT75" s="541"/>
      <c r="AIU75" s="541"/>
      <c r="AIV75" s="541"/>
      <c r="AIW75" s="541"/>
      <c r="AIX75" s="541"/>
      <c r="AIY75" s="541"/>
      <c r="AIZ75" s="541"/>
      <c r="AJA75" s="541"/>
      <c r="AJB75" s="541"/>
      <c r="AJC75" s="541"/>
      <c r="AJD75" s="541"/>
      <c r="AJE75" s="541"/>
      <c r="AJF75" s="541"/>
      <c r="AJG75" s="541"/>
      <c r="AJH75" s="541"/>
      <c r="AJI75" s="541"/>
      <c r="AJJ75" s="541"/>
      <c r="AJK75" s="541"/>
      <c r="AJL75" s="541"/>
      <c r="AJM75" s="541"/>
      <c r="AJN75" s="541"/>
      <c r="AJO75" s="541"/>
      <c r="AJP75" s="541"/>
      <c r="AJQ75" s="541"/>
      <c r="AJR75" s="541"/>
      <c r="AJS75" s="541"/>
      <c r="AJT75" s="541"/>
      <c r="AJU75" s="541"/>
      <c r="AJV75" s="541"/>
      <c r="AJW75" s="541"/>
      <c r="AJX75" s="541"/>
      <c r="AJY75" s="541"/>
      <c r="AJZ75" s="541"/>
      <c r="AKA75" s="541"/>
      <c r="AKB75" s="541"/>
      <c r="AKC75" s="541"/>
      <c r="AKD75" s="541"/>
      <c r="AKE75" s="541"/>
      <c r="AKF75" s="541"/>
      <c r="AKG75" s="541"/>
      <c r="AKH75" s="541"/>
      <c r="AKI75" s="541"/>
      <c r="AKJ75" s="541"/>
      <c r="AKK75" s="541"/>
      <c r="AKL75" s="541"/>
      <c r="AKM75" s="541"/>
      <c r="AKN75" s="541"/>
      <c r="AKO75" s="541"/>
      <c r="AKP75" s="541"/>
      <c r="AKQ75" s="541"/>
      <c r="AKR75" s="541"/>
      <c r="AKS75" s="541"/>
      <c r="AKT75" s="541"/>
      <c r="AKU75" s="541"/>
      <c r="AKV75" s="541"/>
      <c r="AKW75" s="541"/>
      <c r="AKX75" s="541"/>
      <c r="AKY75" s="541"/>
      <c r="AKZ75" s="541"/>
      <c r="ALA75" s="541"/>
      <c r="ALB75" s="541"/>
      <c r="ALC75" s="541"/>
      <c r="ALD75" s="541"/>
      <c r="ALE75" s="541"/>
      <c r="ALF75" s="541"/>
      <c r="ALG75" s="541"/>
      <c r="ALH75" s="541"/>
      <c r="ALI75" s="541"/>
      <c r="ALJ75" s="541"/>
      <c r="ALK75" s="541"/>
      <c r="ALL75" s="541"/>
      <c r="ALM75" s="541"/>
      <c r="ALN75" s="541"/>
      <c r="ALO75" s="541"/>
      <c r="ALP75" s="541"/>
      <c r="ALQ75" s="541"/>
      <c r="ALR75" s="541"/>
      <c r="ALS75" s="541"/>
      <c r="ALT75" s="541"/>
      <c r="ALU75" s="541"/>
      <c r="ALV75" s="541"/>
      <c r="ALW75" s="541"/>
      <c r="ALX75" s="541"/>
      <c r="ALY75" s="541"/>
      <c r="ALZ75" s="541"/>
      <c r="AMA75" s="541"/>
      <c r="AMB75" s="541"/>
      <c r="AMC75" s="541"/>
      <c r="AMD75" s="541"/>
      <c r="AME75" s="541"/>
      <c r="AMF75" s="541"/>
      <c r="AMG75" s="541"/>
      <c r="AMH75" s="541"/>
      <c r="AMI75" s="541"/>
      <c r="AMJ75" s="541"/>
      <c r="AMK75" s="541"/>
      <c r="AML75" s="541"/>
      <c r="AMM75" s="541"/>
      <c r="AMN75" s="541"/>
      <c r="AMO75" s="541"/>
      <c r="AMP75" s="541"/>
      <c r="AMQ75" s="541"/>
      <c r="AMR75" s="541"/>
      <c r="AMS75" s="541"/>
      <c r="AMT75" s="541"/>
      <c r="AMU75" s="541"/>
      <c r="AMV75" s="541"/>
      <c r="AMW75" s="541"/>
      <c r="AMX75" s="541"/>
      <c r="AMY75" s="541"/>
      <c r="AMZ75" s="541"/>
      <c r="ANA75" s="541"/>
      <c r="ANB75" s="541"/>
      <c r="ANC75" s="541"/>
      <c r="AND75" s="541"/>
      <c r="ANE75" s="541"/>
      <c r="ANF75" s="541"/>
      <c r="ANG75" s="541"/>
      <c r="ANH75" s="541"/>
      <c r="ANI75" s="541"/>
      <c r="ANJ75" s="541"/>
      <c r="ANK75" s="541"/>
      <c r="ANL75" s="541"/>
      <c r="ANM75" s="541"/>
      <c r="ANN75" s="541"/>
      <c r="ANO75" s="541"/>
      <c r="ANP75" s="541"/>
      <c r="ANQ75" s="541"/>
      <c r="ANR75" s="541"/>
      <c r="ANS75" s="541"/>
      <c r="ANT75" s="541"/>
      <c r="ANU75" s="541"/>
      <c r="ANV75" s="541"/>
      <c r="ANW75" s="541"/>
      <c r="ANX75" s="541"/>
      <c r="ANY75" s="541"/>
      <c r="ANZ75" s="541"/>
      <c r="AOA75" s="541"/>
      <c r="AOB75" s="541"/>
      <c r="AOC75" s="541"/>
      <c r="AOD75" s="541"/>
      <c r="AOE75" s="541"/>
      <c r="AOF75" s="541"/>
      <c r="AOG75" s="541"/>
      <c r="AOH75" s="541"/>
      <c r="AOI75" s="541"/>
      <c r="AOJ75" s="541"/>
      <c r="AOK75" s="541"/>
      <c r="AOL75" s="541"/>
      <c r="AOM75" s="541"/>
      <c r="AON75" s="541"/>
      <c r="AOO75" s="541"/>
      <c r="AOP75" s="541"/>
      <c r="AOQ75" s="541"/>
      <c r="AOR75" s="541"/>
      <c r="AOS75" s="541"/>
      <c r="AOT75" s="541"/>
      <c r="AOU75" s="541"/>
      <c r="AOV75" s="541"/>
      <c r="AOW75" s="541"/>
      <c r="AOX75" s="541"/>
      <c r="AOY75" s="541"/>
      <c r="AOZ75" s="541"/>
      <c r="APA75" s="541"/>
      <c r="APB75" s="541"/>
      <c r="APC75" s="541"/>
      <c r="APD75" s="541"/>
      <c r="APE75" s="541"/>
      <c r="APF75" s="541"/>
      <c r="APG75" s="541"/>
      <c r="APH75" s="541"/>
      <c r="API75" s="541"/>
      <c r="APJ75" s="541"/>
      <c r="APK75" s="541"/>
      <c r="APL75" s="541"/>
      <c r="APM75" s="541"/>
      <c r="APN75" s="541"/>
      <c r="APO75" s="541"/>
      <c r="APP75" s="541"/>
      <c r="APQ75" s="541"/>
      <c r="APR75" s="541"/>
      <c r="APS75" s="541"/>
      <c r="APT75" s="541"/>
      <c r="APU75" s="541"/>
      <c r="APV75" s="541"/>
      <c r="APW75" s="541"/>
      <c r="APX75" s="541"/>
      <c r="APY75" s="541"/>
      <c r="APZ75" s="541"/>
      <c r="AQA75" s="541"/>
      <c r="AQB75" s="541"/>
      <c r="AQC75" s="541"/>
      <c r="AQD75" s="541"/>
      <c r="AQE75" s="541"/>
      <c r="AQF75" s="541"/>
      <c r="AQG75" s="541"/>
      <c r="AQH75" s="541"/>
      <c r="AQI75" s="541"/>
      <c r="AQJ75" s="541"/>
      <c r="AQK75" s="541"/>
      <c r="AQL75" s="541"/>
      <c r="AQM75" s="541"/>
      <c r="AQN75" s="541"/>
      <c r="AQO75" s="541"/>
      <c r="AQP75" s="541"/>
      <c r="AQQ75" s="541"/>
      <c r="AQR75" s="541"/>
      <c r="AQS75" s="541"/>
      <c r="AQT75" s="541"/>
      <c r="AQU75" s="541"/>
      <c r="AQV75" s="541"/>
      <c r="AQW75" s="541"/>
      <c r="AQX75" s="541"/>
      <c r="AQY75" s="541"/>
      <c r="AQZ75" s="541"/>
      <c r="ARA75" s="541"/>
      <c r="ARB75" s="541"/>
      <c r="ARC75" s="541"/>
      <c r="ARD75" s="541"/>
      <c r="ARE75" s="541"/>
      <c r="ARF75" s="541"/>
      <c r="ARG75" s="541"/>
      <c r="ARH75" s="541"/>
      <c r="ARI75" s="541"/>
      <c r="ARJ75" s="541"/>
      <c r="ARK75" s="541"/>
      <c r="ARL75" s="541"/>
      <c r="ARM75" s="541"/>
      <c r="ARN75" s="541"/>
      <c r="ARO75" s="541"/>
      <c r="ARP75" s="541"/>
      <c r="ARQ75" s="541"/>
      <c r="ARR75" s="541"/>
      <c r="ARS75" s="541"/>
      <c r="ART75" s="541"/>
      <c r="ARU75" s="541"/>
    </row>
    <row r="76" spans="1:1165" s="658" customFormat="1">
      <c r="A76" s="613" t="s">
        <v>240</v>
      </c>
      <c r="B76" s="578" t="s">
        <v>110</v>
      </c>
      <c r="C76" s="659">
        <v>1059</v>
      </c>
      <c r="D76" s="659">
        <v>38904</v>
      </c>
      <c r="E76" s="579">
        <v>0</v>
      </c>
      <c r="F76" s="579">
        <v>0</v>
      </c>
      <c r="G76" s="579">
        <v>0</v>
      </c>
      <c r="H76" s="579">
        <v>0</v>
      </c>
      <c r="I76" s="579">
        <v>0</v>
      </c>
      <c r="J76" s="579">
        <v>0</v>
      </c>
      <c r="K76" s="579">
        <v>0</v>
      </c>
      <c r="L76" s="579">
        <v>0</v>
      </c>
      <c r="M76" s="579">
        <v>0</v>
      </c>
      <c r="N76" s="579">
        <v>0</v>
      </c>
      <c r="O76" s="579">
        <v>0</v>
      </c>
      <c r="P76" s="579">
        <v>0</v>
      </c>
      <c r="Q76" s="579">
        <v>0</v>
      </c>
      <c r="R76" s="579">
        <v>0</v>
      </c>
      <c r="S76" s="579">
        <v>0</v>
      </c>
      <c r="T76" s="579">
        <v>0</v>
      </c>
      <c r="U76" s="579">
        <v>0</v>
      </c>
      <c r="V76" s="579">
        <v>0</v>
      </c>
      <c r="W76" s="579">
        <v>0</v>
      </c>
      <c r="X76" s="579">
        <v>0</v>
      </c>
      <c r="Y76" s="579">
        <v>0</v>
      </c>
      <c r="Z76" s="579">
        <v>0</v>
      </c>
      <c r="AA76" s="579">
        <v>0</v>
      </c>
      <c r="AB76" s="579">
        <v>0</v>
      </c>
      <c r="AC76" s="579">
        <v>0</v>
      </c>
      <c r="AD76" s="579">
        <v>0</v>
      </c>
      <c r="AE76" s="579">
        <v>0</v>
      </c>
      <c r="AF76" s="579">
        <v>0</v>
      </c>
      <c r="AG76" s="579">
        <v>0</v>
      </c>
      <c r="AH76" s="579">
        <v>0</v>
      </c>
      <c r="AI76" s="579">
        <v>40</v>
      </c>
      <c r="AJ76" s="579">
        <v>12000</v>
      </c>
      <c r="AK76" s="661">
        <v>220</v>
      </c>
      <c r="AL76" s="661">
        <v>11000</v>
      </c>
      <c r="AM76" s="662">
        <v>316</v>
      </c>
      <c r="AN76" s="662">
        <v>77050</v>
      </c>
      <c r="AO76" s="579">
        <v>2876</v>
      </c>
      <c r="AP76" s="579">
        <v>490050</v>
      </c>
      <c r="AQ76" s="579">
        <v>4732</v>
      </c>
      <c r="AR76" s="579">
        <v>931700</v>
      </c>
      <c r="AS76" s="579">
        <v>1585</v>
      </c>
      <c r="AT76" s="579">
        <v>399970</v>
      </c>
      <c r="AU76" s="619">
        <v>928</v>
      </c>
      <c r="AV76" s="619">
        <v>208436</v>
      </c>
      <c r="AW76" s="598">
        <v>639</v>
      </c>
      <c r="AX76" s="598">
        <v>171900</v>
      </c>
      <c r="AY76" s="581">
        <v>1487</v>
      </c>
      <c r="AZ76" s="581">
        <v>445555</v>
      </c>
      <c r="BA76" s="664"/>
      <c r="BB76" s="581"/>
      <c r="BC76" s="664"/>
      <c r="BD76" s="581"/>
      <c r="BE76" s="664"/>
      <c r="BF76" s="598"/>
      <c r="BG76" s="664"/>
      <c r="BH76" s="598"/>
      <c r="BI76" s="664"/>
      <c r="BJ76" s="598">
        <f t="shared" si="8"/>
        <v>13882</v>
      </c>
      <c r="BK76" s="581">
        <f t="shared" si="9"/>
        <v>2786565</v>
      </c>
      <c r="BL76" s="541"/>
      <c r="BM76" s="42"/>
      <c r="BN76" s="624"/>
      <c r="BO76" s="541"/>
      <c r="BP76" s="624"/>
      <c r="BQ76" s="541"/>
      <c r="BR76" s="541"/>
      <c r="BS76" s="541"/>
      <c r="BT76" s="541"/>
      <c r="BU76" s="541"/>
      <c r="BV76" s="541"/>
      <c r="BW76" s="541"/>
      <c r="BX76" s="541"/>
      <c r="BY76" s="541"/>
      <c r="BZ76" s="541"/>
      <c r="CA76" s="541"/>
      <c r="CB76" s="541"/>
      <c r="CC76" s="541"/>
      <c r="CD76" s="541"/>
      <c r="CE76" s="541"/>
      <c r="CF76" s="541"/>
      <c r="CG76" s="541"/>
      <c r="CH76" s="541"/>
      <c r="CI76" s="541"/>
      <c r="CJ76" s="541"/>
      <c r="CK76" s="541"/>
      <c r="CL76" s="541"/>
      <c r="CM76" s="541"/>
      <c r="CN76" s="541"/>
      <c r="CO76" s="541"/>
      <c r="CP76" s="541"/>
      <c r="CQ76" s="541"/>
      <c r="CR76" s="541"/>
      <c r="CS76" s="541"/>
      <c r="CT76" s="541"/>
      <c r="CU76" s="541"/>
      <c r="CV76" s="541"/>
      <c r="CW76" s="541"/>
      <c r="CX76" s="541"/>
      <c r="CY76" s="541"/>
      <c r="CZ76" s="541"/>
      <c r="DA76" s="541"/>
      <c r="DB76" s="541"/>
      <c r="DC76" s="541"/>
      <c r="DD76" s="541"/>
      <c r="DE76" s="541"/>
      <c r="DF76" s="541"/>
      <c r="DG76" s="541"/>
      <c r="DH76" s="541"/>
      <c r="DI76" s="541"/>
      <c r="DJ76" s="541"/>
      <c r="DK76" s="541"/>
      <c r="DL76" s="541"/>
      <c r="DM76" s="541"/>
      <c r="DN76" s="541"/>
      <c r="DO76" s="541"/>
      <c r="DP76" s="541"/>
      <c r="DQ76" s="541"/>
      <c r="DR76" s="541"/>
      <c r="DS76" s="541"/>
      <c r="DT76" s="541"/>
      <c r="DU76" s="541"/>
      <c r="DV76" s="541"/>
      <c r="DW76" s="541"/>
      <c r="DX76" s="541"/>
      <c r="DY76" s="541"/>
      <c r="DZ76" s="541"/>
      <c r="EA76" s="541"/>
      <c r="EB76" s="541"/>
      <c r="EC76" s="541"/>
      <c r="ED76" s="541"/>
      <c r="EE76" s="541"/>
      <c r="EF76" s="541"/>
      <c r="EG76" s="541"/>
      <c r="EH76" s="541"/>
      <c r="EI76" s="541"/>
      <c r="EJ76" s="541"/>
      <c r="EK76" s="541"/>
      <c r="EL76" s="541"/>
      <c r="EM76" s="541"/>
      <c r="EN76" s="541"/>
      <c r="EO76" s="541"/>
      <c r="EP76" s="541"/>
      <c r="EQ76" s="541"/>
      <c r="ER76" s="541"/>
      <c r="ES76" s="541"/>
      <c r="ET76" s="541"/>
      <c r="EU76" s="541"/>
      <c r="EV76" s="541"/>
      <c r="EW76" s="541"/>
      <c r="EX76" s="541"/>
      <c r="EY76" s="541"/>
      <c r="EZ76" s="541"/>
      <c r="FA76" s="541"/>
      <c r="FB76" s="541"/>
      <c r="FC76" s="541"/>
      <c r="FD76" s="541"/>
      <c r="FE76" s="541"/>
      <c r="FF76" s="541"/>
      <c r="FG76" s="541"/>
      <c r="FH76" s="541"/>
      <c r="FI76" s="541"/>
      <c r="FJ76" s="541"/>
      <c r="FK76" s="541"/>
      <c r="FL76" s="541"/>
      <c r="FM76" s="541"/>
      <c r="FN76" s="541"/>
      <c r="FO76" s="541"/>
      <c r="FP76" s="541"/>
      <c r="FQ76" s="541"/>
      <c r="FR76" s="541"/>
      <c r="FS76" s="541"/>
      <c r="FT76" s="541"/>
      <c r="FU76" s="541"/>
      <c r="FV76" s="541"/>
      <c r="FW76" s="541"/>
      <c r="FX76" s="541"/>
      <c r="FY76" s="541"/>
      <c r="FZ76" s="541"/>
      <c r="GA76" s="541"/>
      <c r="GB76" s="541"/>
      <c r="GC76" s="541"/>
      <c r="GD76" s="541"/>
      <c r="GE76" s="541"/>
      <c r="GF76" s="541"/>
      <c r="GG76" s="541"/>
      <c r="GH76" s="541"/>
      <c r="GI76" s="541"/>
      <c r="GJ76" s="541"/>
      <c r="GK76" s="541"/>
      <c r="GL76" s="541"/>
      <c r="GM76" s="541"/>
      <c r="GN76" s="541"/>
      <c r="GO76" s="541"/>
      <c r="GP76" s="541"/>
      <c r="GQ76" s="541"/>
      <c r="GR76" s="541"/>
      <c r="GS76" s="541"/>
      <c r="GT76" s="541"/>
      <c r="GU76" s="541"/>
      <c r="GV76" s="541"/>
      <c r="GW76" s="541"/>
      <c r="GX76" s="541"/>
      <c r="GY76" s="541"/>
      <c r="GZ76" s="541"/>
      <c r="HA76" s="541"/>
      <c r="HB76" s="541"/>
      <c r="HC76" s="541"/>
      <c r="HD76" s="541"/>
      <c r="HE76" s="541"/>
      <c r="HF76" s="541"/>
      <c r="HG76" s="541"/>
      <c r="HH76" s="541"/>
      <c r="HI76" s="541"/>
      <c r="HJ76" s="541"/>
      <c r="HK76" s="541"/>
      <c r="HL76" s="541"/>
      <c r="HM76" s="541"/>
      <c r="HN76" s="541"/>
      <c r="HO76" s="541"/>
      <c r="HP76" s="541"/>
      <c r="HQ76" s="541"/>
      <c r="HR76" s="541"/>
      <c r="HS76" s="541"/>
      <c r="HT76" s="541"/>
      <c r="HU76" s="541"/>
      <c r="HV76" s="541"/>
      <c r="HW76" s="541"/>
      <c r="HX76" s="541"/>
      <c r="HY76" s="541"/>
      <c r="HZ76" s="541"/>
      <c r="IA76" s="541"/>
      <c r="IB76" s="541"/>
      <c r="IC76" s="541"/>
      <c r="ID76" s="541"/>
      <c r="IE76" s="541"/>
      <c r="IF76" s="541"/>
      <c r="IG76" s="541"/>
      <c r="IH76" s="541"/>
      <c r="II76" s="541"/>
      <c r="IJ76" s="541"/>
      <c r="IK76" s="541"/>
      <c r="IL76" s="541"/>
      <c r="IM76" s="541"/>
      <c r="IN76" s="541"/>
      <c r="IO76" s="541"/>
      <c r="IP76" s="541"/>
      <c r="IQ76" s="541"/>
      <c r="IR76" s="541"/>
      <c r="IS76" s="541"/>
      <c r="IT76" s="541"/>
      <c r="IU76" s="541"/>
      <c r="IV76" s="541"/>
      <c r="IW76" s="541"/>
      <c r="IX76" s="541"/>
      <c r="IY76" s="541"/>
      <c r="IZ76" s="541"/>
      <c r="JA76" s="541"/>
      <c r="JB76" s="541"/>
      <c r="JC76" s="541"/>
      <c r="JD76" s="541"/>
      <c r="JE76" s="541"/>
      <c r="JF76" s="541"/>
      <c r="JG76" s="541"/>
      <c r="JH76" s="541"/>
      <c r="JI76" s="541"/>
      <c r="JJ76" s="541"/>
      <c r="JK76" s="541"/>
      <c r="JL76" s="541"/>
      <c r="JM76" s="541"/>
      <c r="JN76" s="541"/>
      <c r="JO76" s="541"/>
      <c r="JP76" s="541"/>
      <c r="JQ76" s="541"/>
      <c r="JR76" s="541"/>
      <c r="JS76" s="541"/>
      <c r="JT76" s="541"/>
      <c r="JU76" s="541"/>
      <c r="JV76" s="541"/>
      <c r="JW76" s="541"/>
      <c r="JX76" s="541"/>
      <c r="JY76" s="541"/>
      <c r="JZ76" s="541"/>
      <c r="KA76" s="541"/>
      <c r="KB76" s="541"/>
      <c r="KC76" s="541"/>
      <c r="KD76" s="541"/>
      <c r="KE76" s="541"/>
      <c r="KF76" s="541"/>
      <c r="KG76" s="541"/>
      <c r="KH76" s="541"/>
      <c r="KI76" s="541"/>
      <c r="KJ76" s="541"/>
      <c r="KK76" s="541"/>
      <c r="KL76" s="541"/>
      <c r="KM76" s="541"/>
      <c r="KN76" s="541"/>
      <c r="KO76" s="541"/>
      <c r="KP76" s="541"/>
      <c r="KQ76" s="541"/>
      <c r="KR76" s="541"/>
      <c r="KS76" s="541"/>
      <c r="KT76" s="541"/>
      <c r="KU76" s="541"/>
      <c r="KV76" s="541"/>
      <c r="KW76" s="541"/>
      <c r="KX76" s="541"/>
      <c r="KY76" s="541"/>
      <c r="KZ76" s="541"/>
      <c r="LA76" s="541"/>
      <c r="LB76" s="541"/>
      <c r="LC76" s="541"/>
      <c r="LD76" s="541"/>
      <c r="LE76" s="541"/>
      <c r="LF76" s="541"/>
      <c r="LG76" s="541"/>
      <c r="LH76" s="541"/>
      <c r="LI76" s="541"/>
      <c r="LJ76" s="541"/>
      <c r="LK76" s="541"/>
      <c r="LL76" s="541"/>
      <c r="LM76" s="541"/>
      <c r="LN76" s="541"/>
      <c r="LO76" s="541"/>
      <c r="LP76" s="541"/>
      <c r="LQ76" s="541"/>
      <c r="LR76" s="541"/>
      <c r="LS76" s="541"/>
      <c r="LT76" s="541"/>
      <c r="LU76" s="541"/>
      <c r="LV76" s="541"/>
      <c r="LW76" s="541"/>
      <c r="LX76" s="541"/>
      <c r="LY76" s="541"/>
      <c r="LZ76" s="541"/>
      <c r="MA76" s="541"/>
      <c r="MB76" s="541"/>
      <c r="MC76" s="541"/>
      <c r="MD76" s="541"/>
      <c r="ME76" s="541"/>
      <c r="MF76" s="541"/>
      <c r="MG76" s="541"/>
      <c r="MH76" s="541"/>
      <c r="MI76" s="541"/>
      <c r="MJ76" s="541"/>
      <c r="MK76" s="541"/>
      <c r="ML76" s="541"/>
      <c r="MM76" s="541"/>
      <c r="MN76" s="541"/>
      <c r="MO76" s="541"/>
      <c r="MP76" s="541"/>
      <c r="MQ76" s="541"/>
      <c r="MR76" s="541"/>
      <c r="MS76" s="541"/>
      <c r="MT76" s="541"/>
      <c r="MU76" s="541"/>
      <c r="MV76" s="541"/>
      <c r="MW76" s="541"/>
      <c r="MX76" s="541"/>
      <c r="MY76" s="541"/>
      <c r="MZ76" s="541"/>
      <c r="NA76" s="541"/>
      <c r="NB76" s="541"/>
      <c r="NC76" s="541"/>
      <c r="ND76" s="541"/>
      <c r="NE76" s="541"/>
      <c r="NF76" s="541"/>
      <c r="NG76" s="541"/>
      <c r="NH76" s="541"/>
      <c r="NI76" s="541"/>
      <c r="NJ76" s="541"/>
      <c r="NK76" s="541"/>
      <c r="NL76" s="541"/>
      <c r="NM76" s="541"/>
      <c r="NN76" s="541"/>
      <c r="NO76" s="541"/>
      <c r="NP76" s="541"/>
      <c r="NQ76" s="541"/>
      <c r="NR76" s="541"/>
      <c r="NS76" s="541"/>
      <c r="NT76" s="541"/>
      <c r="NU76" s="541"/>
      <c r="NV76" s="541"/>
      <c r="NW76" s="541"/>
      <c r="NX76" s="541"/>
      <c r="NY76" s="541"/>
      <c r="NZ76" s="541"/>
      <c r="OA76" s="541"/>
      <c r="OB76" s="541"/>
      <c r="OC76" s="541"/>
      <c r="OD76" s="541"/>
      <c r="OE76" s="541"/>
      <c r="OF76" s="541"/>
      <c r="OG76" s="541"/>
      <c r="OH76" s="541"/>
      <c r="OI76" s="541"/>
      <c r="OJ76" s="541"/>
      <c r="OK76" s="541"/>
      <c r="OL76" s="541"/>
      <c r="OM76" s="541"/>
      <c r="ON76" s="541"/>
      <c r="OO76" s="541"/>
      <c r="OP76" s="541"/>
      <c r="OQ76" s="541"/>
      <c r="OR76" s="541"/>
      <c r="OS76" s="541"/>
      <c r="OT76" s="541"/>
      <c r="OU76" s="541"/>
      <c r="OV76" s="541"/>
      <c r="OW76" s="541"/>
      <c r="OX76" s="541"/>
      <c r="OY76" s="541"/>
      <c r="OZ76" s="541"/>
      <c r="PA76" s="541"/>
      <c r="PB76" s="541"/>
      <c r="PC76" s="541"/>
      <c r="PD76" s="541"/>
      <c r="PE76" s="541"/>
      <c r="PF76" s="541"/>
      <c r="PG76" s="541"/>
      <c r="PH76" s="541"/>
      <c r="PI76" s="541"/>
      <c r="PJ76" s="541"/>
      <c r="PK76" s="541"/>
      <c r="PL76" s="541"/>
      <c r="PM76" s="541"/>
      <c r="PN76" s="541"/>
      <c r="PO76" s="541"/>
      <c r="PP76" s="541"/>
      <c r="PQ76" s="541"/>
      <c r="PR76" s="541"/>
      <c r="PS76" s="541"/>
      <c r="PT76" s="541"/>
      <c r="PU76" s="541"/>
      <c r="PV76" s="541"/>
      <c r="PW76" s="541"/>
      <c r="PX76" s="541"/>
      <c r="PY76" s="541"/>
      <c r="PZ76" s="541"/>
      <c r="QA76" s="541"/>
      <c r="QB76" s="541"/>
      <c r="QC76" s="541"/>
      <c r="QD76" s="541"/>
      <c r="QE76" s="541"/>
      <c r="QF76" s="541"/>
      <c r="QG76" s="541"/>
      <c r="QH76" s="541"/>
      <c r="QI76" s="541"/>
      <c r="QJ76" s="541"/>
      <c r="QK76" s="541"/>
      <c r="QL76" s="541"/>
      <c r="QM76" s="541"/>
      <c r="QN76" s="541"/>
      <c r="QO76" s="541"/>
      <c r="QP76" s="541"/>
      <c r="QQ76" s="541"/>
      <c r="QR76" s="541"/>
      <c r="QS76" s="541"/>
      <c r="QT76" s="541"/>
      <c r="QU76" s="541"/>
      <c r="QV76" s="541"/>
      <c r="QW76" s="541"/>
      <c r="QX76" s="541"/>
      <c r="QY76" s="541"/>
      <c r="QZ76" s="541"/>
      <c r="RA76" s="541"/>
      <c r="RB76" s="541"/>
      <c r="RC76" s="541"/>
      <c r="RD76" s="541"/>
      <c r="RE76" s="541"/>
      <c r="RF76" s="541"/>
      <c r="RG76" s="541"/>
      <c r="RH76" s="541"/>
      <c r="RI76" s="541"/>
      <c r="RJ76" s="541"/>
      <c r="RK76" s="541"/>
      <c r="RL76" s="541"/>
      <c r="RM76" s="541"/>
      <c r="RN76" s="541"/>
      <c r="RO76" s="541"/>
      <c r="RP76" s="541"/>
      <c r="RQ76" s="541"/>
      <c r="RR76" s="541"/>
      <c r="RS76" s="541"/>
      <c r="RT76" s="541"/>
      <c r="RU76" s="541"/>
      <c r="RV76" s="541"/>
      <c r="RW76" s="541"/>
      <c r="RX76" s="541"/>
      <c r="RY76" s="541"/>
      <c r="RZ76" s="541"/>
      <c r="SA76" s="541"/>
      <c r="SB76" s="541"/>
      <c r="SC76" s="541"/>
      <c r="SD76" s="541"/>
      <c r="SE76" s="541"/>
      <c r="SF76" s="541"/>
      <c r="SG76" s="541"/>
      <c r="SH76" s="541"/>
      <c r="SI76" s="541"/>
      <c r="SJ76" s="541"/>
      <c r="SK76" s="541"/>
      <c r="SL76" s="541"/>
      <c r="SM76" s="541"/>
      <c r="SN76" s="541"/>
      <c r="SO76" s="541"/>
      <c r="SP76" s="541"/>
      <c r="SQ76" s="541"/>
      <c r="SR76" s="541"/>
      <c r="SS76" s="541"/>
      <c r="ST76" s="541"/>
      <c r="SU76" s="541"/>
      <c r="SV76" s="541"/>
      <c r="SW76" s="541"/>
      <c r="SX76" s="541"/>
      <c r="SY76" s="541"/>
      <c r="SZ76" s="541"/>
      <c r="TA76" s="541"/>
      <c r="TB76" s="541"/>
      <c r="TC76" s="541"/>
      <c r="TD76" s="541"/>
      <c r="TE76" s="541"/>
      <c r="TF76" s="541"/>
      <c r="TG76" s="541"/>
      <c r="TH76" s="541"/>
      <c r="TI76" s="541"/>
      <c r="TJ76" s="541"/>
      <c r="TK76" s="541"/>
      <c r="TL76" s="541"/>
      <c r="TM76" s="541"/>
      <c r="TN76" s="541"/>
      <c r="TO76" s="541"/>
      <c r="TP76" s="541"/>
      <c r="TQ76" s="541"/>
      <c r="TR76" s="541"/>
      <c r="TS76" s="541"/>
      <c r="TT76" s="541"/>
      <c r="TU76" s="541"/>
      <c r="TV76" s="541"/>
      <c r="TW76" s="541"/>
      <c r="TX76" s="541"/>
      <c r="TY76" s="541"/>
      <c r="TZ76" s="541"/>
      <c r="UA76" s="541"/>
      <c r="UB76" s="541"/>
      <c r="UC76" s="541"/>
      <c r="UD76" s="541"/>
      <c r="UE76" s="541"/>
      <c r="UF76" s="541"/>
      <c r="UG76" s="541"/>
      <c r="UH76" s="541"/>
      <c r="UI76" s="541"/>
      <c r="UJ76" s="541"/>
      <c r="UK76" s="541"/>
      <c r="UL76" s="541"/>
      <c r="UM76" s="541"/>
      <c r="UN76" s="541"/>
      <c r="UO76" s="541"/>
      <c r="UP76" s="541"/>
      <c r="UQ76" s="541"/>
      <c r="UR76" s="541"/>
      <c r="US76" s="541"/>
      <c r="UT76" s="541"/>
      <c r="UU76" s="541"/>
      <c r="UV76" s="541"/>
      <c r="UW76" s="541"/>
      <c r="UX76" s="541"/>
      <c r="UY76" s="541"/>
      <c r="UZ76" s="541"/>
      <c r="VA76" s="541"/>
      <c r="VB76" s="541"/>
      <c r="VC76" s="541"/>
      <c r="VD76" s="541"/>
      <c r="VE76" s="541"/>
      <c r="VF76" s="541"/>
      <c r="VG76" s="541"/>
      <c r="VH76" s="541"/>
      <c r="VI76" s="541"/>
      <c r="VJ76" s="541"/>
      <c r="VK76" s="541"/>
      <c r="VL76" s="541"/>
      <c r="VM76" s="541"/>
      <c r="VN76" s="541"/>
      <c r="VO76" s="541"/>
      <c r="VP76" s="541"/>
      <c r="VQ76" s="541"/>
      <c r="VR76" s="541"/>
      <c r="VS76" s="541"/>
      <c r="VT76" s="541"/>
      <c r="VU76" s="541"/>
      <c r="VV76" s="541"/>
      <c r="VW76" s="541"/>
      <c r="VX76" s="541"/>
      <c r="VY76" s="541"/>
      <c r="VZ76" s="541"/>
      <c r="WA76" s="541"/>
      <c r="WB76" s="541"/>
      <c r="WC76" s="541"/>
      <c r="WD76" s="541"/>
      <c r="WE76" s="541"/>
      <c r="WF76" s="541"/>
      <c r="WG76" s="541"/>
      <c r="WH76" s="541"/>
      <c r="WI76" s="541"/>
      <c r="WJ76" s="541"/>
      <c r="WK76" s="541"/>
      <c r="WL76" s="541"/>
      <c r="WM76" s="541"/>
      <c r="WN76" s="541"/>
      <c r="WO76" s="541"/>
      <c r="WP76" s="541"/>
      <c r="WQ76" s="541"/>
      <c r="WR76" s="541"/>
      <c r="WS76" s="541"/>
      <c r="WT76" s="541"/>
      <c r="WU76" s="541"/>
      <c r="WV76" s="541"/>
      <c r="WW76" s="541"/>
      <c r="WX76" s="541"/>
      <c r="WY76" s="541"/>
      <c r="WZ76" s="541"/>
      <c r="XA76" s="541"/>
      <c r="XB76" s="541"/>
      <c r="XC76" s="541"/>
      <c r="XD76" s="541"/>
      <c r="XE76" s="541"/>
      <c r="XF76" s="541"/>
      <c r="XG76" s="541"/>
      <c r="XH76" s="541"/>
      <c r="XI76" s="541"/>
      <c r="XJ76" s="541"/>
      <c r="XK76" s="541"/>
      <c r="XL76" s="541"/>
      <c r="XM76" s="541"/>
      <c r="XN76" s="541"/>
      <c r="XO76" s="541"/>
      <c r="XP76" s="541"/>
      <c r="XQ76" s="541"/>
      <c r="XR76" s="541"/>
      <c r="XS76" s="541"/>
      <c r="XT76" s="541"/>
      <c r="XU76" s="541"/>
      <c r="XV76" s="541"/>
      <c r="XW76" s="541"/>
      <c r="XX76" s="541"/>
      <c r="XY76" s="541"/>
      <c r="XZ76" s="541"/>
      <c r="YA76" s="541"/>
      <c r="YB76" s="541"/>
      <c r="YC76" s="541"/>
      <c r="YD76" s="541"/>
      <c r="YE76" s="541"/>
      <c r="YF76" s="541"/>
      <c r="YG76" s="541"/>
      <c r="YH76" s="541"/>
      <c r="YI76" s="541"/>
      <c r="YJ76" s="541"/>
      <c r="YK76" s="541"/>
      <c r="YL76" s="541"/>
      <c r="YM76" s="541"/>
      <c r="YN76" s="541"/>
      <c r="YO76" s="541"/>
      <c r="YP76" s="541"/>
      <c r="YQ76" s="541"/>
      <c r="YR76" s="541"/>
      <c r="YS76" s="541"/>
      <c r="YT76" s="541"/>
      <c r="YU76" s="541"/>
      <c r="YV76" s="541"/>
      <c r="YW76" s="541"/>
      <c r="YX76" s="541"/>
      <c r="YY76" s="541"/>
      <c r="YZ76" s="541"/>
      <c r="ZA76" s="541"/>
      <c r="ZB76" s="541"/>
      <c r="ZC76" s="541"/>
      <c r="ZD76" s="541"/>
      <c r="ZE76" s="541"/>
      <c r="ZF76" s="541"/>
      <c r="ZG76" s="541"/>
      <c r="ZH76" s="541"/>
      <c r="ZI76" s="541"/>
      <c r="ZJ76" s="541"/>
      <c r="ZK76" s="541"/>
      <c r="ZL76" s="541"/>
      <c r="ZM76" s="541"/>
      <c r="ZN76" s="541"/>
      <c r="ZO76" s="541"/>
      <c r="ZP76" s="541"/>
      <c r="ZQ76" s="541"/>
      <c r="ZR76" s="541"/>
      <c r="ZS76" s="541"/>
      <c r="ZT76" s="541"/>
      <c r="ZU76" s="541"/>
      <c r="ZV76" s="541"/>
      <c r="ZW76" s="541"/>
      <c r="ZX76" s="541"/>
      <c r="ZY76" s="541"/>
      <c r="ZZ76" s="541"/>
      <c r="AAA76" s="541"/>
      <c r="AAB76" s="541"/>
      <c r="AAC76" s="541"/>
      <c r="AAD76" s="541"/>
      <c r="AAE76" s="541"/>
      <c r="AAF76" s="541"/>
      <c r="AAG76" s="541"/>
      <c r="AAH76" s="541"/>
      <c r="AAI76" s="541"/>
      <c r="AAJ76" s="541"/>
      <c r="AAK76" s="541"/>
      <c r="AAL76" s="541"/>
      <c r="AAM76" s="541"/>
      <c r="AAN76" s="541"/>
      <c r="AAO76" s="541"/>
      <c r="AAP76" s="541"/>
      <c r="AAQ76" s="541"/>
      <c r="AAR76" s="541"/>
      <c r="AAS76" s="541"/>
      <c r="AAT76" s="541"/>
      <c r="AAU76" s="541"/>
      <c r="AAV76" s="541"/>
      <c r="AAW76" s="541"/>
      <c r="AAX76" s="541"/>
      <c r="AAY76" s="541"/>
      <c r="AAZ76" s="541"/>
      <c r="ABA76" s="541"/>
      <c r="ABB76" s="541"/>
      <c r="ABC76" s="541"/>
      <c r="ABD76" s="541"/>
      <c r="ABE76" s="541"/>
      <c r="ABF76" s="541"/>
      <c r="ABG76" s="541"/>
      <c r="ABH76" s="541"/>
      <c r="ABI76" s="541"/>
      <c r="ABJ76" s="541"/>
      <c r="ABK76" s="541"/>
      <c r="ABL76" s="541"/>
      <c r="ABM76" s="541"/>
      <c r="ABN76" s="541"/>
      <c r="ABO76" s="541"/>
      <c r="ABP76" s="541"/>
      <c r="ABQ76" s="541"/>
      <c r="ABR76" s="541"/>
      <c r="ABS76" s="541"/>
      <c r="ABT76" s="541"/>
      <c r="ABU76" s="541"/>
      <c r="ABV76" s="541"/>
      <c r="ABW76" s="541"/>
      <c r="ABX76" s="541"/>
      <c r="ABY76" s="541"/>
      <c r="ABZ76" s="541"/>
      <c r="ACA76" s="541"/>
      <c r="ACB76" s="541"/>
      <c r="ACC76" s="541"/>
      <c r="ACD76" s="541"/>
      <c r="ACE76" s="541"/>
      <c r="ACF76" s="541"/>
      <c r="ACG76" s="541"/>
      <c r="ACH76" s="541"/>
      <c r="ACI76" s="541"/>
      <c r="ACJ76" s="541"/>
      <c r="ACK76" s="541"/>
      <c r="ACL76" s="541"/>
      <c r="ACM76" s="541"/>
      <c r="ACN76" s="541"/>
      <c r="ACO76" s="541"/>
      <c r="ACP76" s="541"/>
      <c r="ACQ76" s="541"/>
      <c r="ACR76" s="541"/>
      <c r="ACS76" s="541"/>
      <c r="ACT76" s="541"/>
      <c r="ACU76" s="541"/>
      <c r="ACV76" s="541"/>
      <c r="ACW76" s="541"/>
      <c r="ACX76" s="541"/>
      <c r="ACY76" s="541"/>
      <c r="ACZ76" s="541"/>
      <c r="ADA76" s="541"/>
      <c r="ADB76" s="541"/>
      <c r="ADC76" s="541"/>
      <c r="ADD76" s="541"/>
      <c r="ADE76" s="541"/>
      <c r="ADF76" s="541"/>
      <c r="ADG76" s="541"/>
      <c r="ADH76" s="541"/>
      <c r="ADI76" s="541"/>
      <c r="ADJ76" s="541"/>
      <c r="ADK76" s="541"/>
      <c r="ADL76" s="541"/>
      <c r="ADM76" s="541"/>
      <c r="ADN76" s="541"/>
      <c r="ADO76" s="541"/>
      <c r="ADP76" s="541"/>
      <c r="ADQ76" s="541"/>
      <c r="ADR76" s="541"/>
      <c r="ADS76" s="541"/>
      <c r="ADT76" s="541"/>
      <c r="ADU76" s="541"/>
      <c r="ADV76" s="541"/>
      <c r="ADW76" s="541"/>
      <c r="ADX76" s="541"/>
      <c r="ADY76" s="541"/>
      <c r="ADZ76" s="541"/>
      <c r="AEA76" s="541"/>
      <c r="AEB76" s="541"/>
      <c r="AEC76" s="541"/>
      <c r="AED76" s="541"/>
      <c r="AEE76" s="541"/>
      <c r="AEF76" s="541"/>
      <c r="AEG76" s="541"/>
      <c r="AEH76" s="541"/>
      <c r="AEI76" s="541"/>
      <c r="AEJ76" s="541"/>
      <c r="AEK76" s="541"/>
      <c r="AEL76" s="541"/>
      <c r="AEM76" s="541"/>
      <c r="AEN76" s="541"/>
      <c r="AEO76" s="541"/>
      <c r="AEP76" s="541"/>
      <c r="AEQ76" s="541"/>
      <c r="AER76" s="541"/>
      <c r="AES76" s="541"/>
      <c r="AET76" s="541"/>
      <c r="AEU76" s="541"/>
      <c r="AEV76" s="541"/>
      <c r="AEW76" s="541"/>
      <c r="AEX76" s="541"/>
      <c r="AEY76" s="541"/>
      <c r="AEZ76" s="541"/>
      <c r="AFA76" s="541"/>
      <c r="AFB76" s="541"/>
      <c r="AFC76" s="541"/>
      <c r="AFD76" s="541"/>
      <c r="AFE76" s="541"/>
      <c r="AFF76" s="541"/>
      <c r="AFG76" s="541"/>
      <c r="AFH76" s="541"/>
      <c r="AFI76" s="541"/>
      <c r="AFJ76" s="541"/>
      <c r="AFK76" s="541"/>
      <c r="AFL76" s="541"/>
      <c r="AFM76" s="541"/>
      <c r="AFN76" s="541"/>
      <c r="AFO76" s="541"/>
      <c r="AFP76" s="541"/>
      <c r="AFQ76" s="541"/>
      <c r="AFR76" s="541"/>
      <c r="AFS76" s="541"/>
      <c r="AFT76" s="541"/>
      <c r="AFU76" s="541"/>
      <c r="AFV76" s="541"/>
      <c r="AFW76" s="541"/>
      <c r="AFX76" s="541"/>
      <c r="AFY76" s="541"/>
      <c r="AFZ76" s="541"/>
      <c r="AGA76" s="541"/>
      <c r="AGB76" s="541"/>
      <c r="AGC76" s="541"/>
      <c r="AGD76" s="541"/>
      <c r="AGE76" s="541"/>
      <c r="AGF76" s="541"/>
      <c r="AGG76" s="541"/>
      <c r="AGH76" s="541"/>
      <c r="AGI76" s="541"/>
      <c r="AGJ76" s="541"/>
      <c r="AGK76" s="541"/>
      <c r="AGL76" s="541"/>
      <c r="AGM76" s="541"/>
      <c r="AGN76" s="541"/>
      <c r="AGO76" s="541"/>
      <c r="AGP76" s="541"/>
      <c r="AGQ76" s="541"/>
      <c r="AGR76" s="541"/>
      <c r="AGS76" s="541"/>
      <c r="AGT76" s="541"/>
      <c r="AGU76" s="541"/>
      <c r="AGV76" s="541"/>
      <c r="AGW76" s="541"/>
      <c r="AGX76" s="541"/>
      <c r="AGY76" s="541"/>
      <c r="AGZ76" s="541"/>
      <c r="AHA76" s="541"/>
      <c r="AHB76" s="541"/>
      <c r="AHC76" s="541"/>
      <c r="AHD76" s="541"/>
      <c r="AHE76" s="541"/>
      <c r="AHF76" s="541"/>
      <c r="AHG76" s="541"/>
      <c r="AHH76" s="541"/>
      <c r="AHI76" s="541"/>
      <c r="AHJ76" s="541"/>
      <c r="AHK76" s="541"/>
      <c r="AHL76" s="541"/>
      <c r="AHM76" s="541"/>
      <c r="AHN76" s="541"/>
      <c r="AHO76" s="541"/>
      <c r="AHP76" s="541"/>
      <c r="AHQ76" s="541"/>
      <c r="AHR76" s="541"/>
      <c r="AHS76" s="541"/>
      <c r="AHT76" s="541"/>
      <c r="AHU76" s="541"/>
      <c r="AHV76" s="541"/>
      <c r="AHW76" s="541"/>
      <c r="AHX76" s="541"/>
      <c r="AHY76" s="541"/>
      <c r="AHZ76" s="541"/>
      <c r="AIA76" s="541"/>
      <c r="AIB76" s="541"/>
      <c r="AIC76" s="541"/>
      <c r="AID76" s="541"/>
      <c r="AIE76" s="541"/>
      <c r="AIF76" s="541"/>
      <c r="AIG76" s="541"/>
      <c r="AIH76" s="541"/>
      <c r="AII76" s="541"/>
      <c r="AIJ76" s="541"/>
      <c r="AIK76" s="541"/>
      <c r="AIL76" s="541"/>
      <c r="AIM76" s="541"/>
      <c r="AIN76" s="541"/>
      <c r="AIO76" s="541"/>
      <c r="AIP76" s="541"/>
      <c r="AIQ76" s="541"/>
      <c r="AIR76" s="541"/>
      <c r="AIS76" s="541"/>
      <c r="AIT76" s="541"/>
      <c r="AIU76" s="541"/>
      <c r="AIV76" s="541"/>
      <c r="AIW76" s="541"/>
      <c r="AIX76" s="541"/>
      <c r="AIY76" s="541"/>
      <c r="AIZ76" s="541"/>
      <c r="AJA76" s="541"/>
      <c r="AJB76" s="541"/>
      <c r="AJC76" s="541"/>
      <c r="AJD76" s="541"/>
      <c r="AJE76" s="541"/>
      <c r="AJF76" s="541"/>
      <c r="AJG76" s="541"/>
      <c r="AJH76" s="541"/>
      <c r="AJI76" s="541"/>
      <c r="AJJ76" s="541"/>
      <c r="AJK76" s="541"/>
      <c r="AJL76" s="541"/>
      <c r="AJM76" s="541"/>
      <c r="AJN76" s="541"/>
      <c r="AJO76" s="541"/>
      <c r="AJP76" s="541"/>
      <c r="AJQ76" s="541"/>
      <c r="AJR76" s="541"/>
      <c r="AJS76" s="541"/>
      <c r="AJT76" s="541"/>
      <c r="AJU76" s="541"/>
      <c r="AJV76" s="541"/>
      <c r="AJW76" s="541"/>
      <c r="AJX76" s="541"/>
      <c r="AJY76" s="541"/>
      <c r="AJZ76" s="541"/>
      <c r="AKA76" s="541"/>
      <c r="AKB76" s="541"/>
      <c r="AKC76" s="541"/>
      <c r="AKD76" s="541"/>
      <c r="AKE76" s="541"/>
      <c r="AKF76" s="541"/>
      <c r="AKG76" s="541"/>
      <c r="AKH76" s="541"/>
      <c r="AKI76" s="541"/>
      <c r="AKJ76" s="541"/>
      <c r="AKK76" s="541"/>
      <c r="AKL76" s="541"/>
      <c r="AKM76" s="541"/>
      <c r="AKN76" s="541"/>
      <c r="AKO76" s="541"/>
      <c r="AKP76" s="541"/>
      <c r="AKQ76" s="541"/>
      <c r="AKR76" s="541"/>
      <c r="AKS76" s="541"/>
      <c r="AKT76" s="541"/>
      <c r="AKU76" s="541"/>
      <c r="AKV76" s="541"/>
      <c r="AKW76" s="541"/>
      <c r="AKX76" s="541"/>
      <c r="AKY76" s="541"/>
      <c r="AKZ76" s="541"/>
      <c r="ALA76" s="541"/>
      <c r="ALB76" s="541"/>
      <c r="ALC76" s="541"/>
      <c r="ALD76" s="541"/>
      <c r="ALE76" s="541"/>
      <c r="ALF76" s="541"/>
      <c r="ALG76" s="541"/>
      <c r="ALH76" s="541"/>
      <c r="ALI76" s="541"/>
      <c r="ALJ76" s="541"/>
      <c r="ALK76" s="541"/>
      <c r="ALL76" s="541"/>
      <c r="ALM76" s="541"/>
      <c r="ALN76" s="541"/>
      <c r="ALO76" s="541"/>
      <c r="ALP76" s="541"/>
      <c r="ALQ76" s="541"/>
      <c r="ALR76" s="541"/>
      <c r="ALS76" s="541"/>
      <c r="ALT76" s="541"/>
      <c r="ALU76" s="541"/>
      <c r="ALV76" s="541"/>
      <c r="ALW76" s="541"/>
      <c r="ALX76" s="541"/>
      <c r="ALY76" s="541"/>
      <c r="ALZ76" s="541"/>
      <c r="AMA76" s="541"/>
      <c r="AMB76" s="541"/>
      <c r="AMC76" s="541"/>
      <c r="AMD76" s="541"/>
      <c r="AME76" s="541"/>
      <c r="AMF76" s="541"/>
      <c r="AMG76" s="541"/>
      <c r="AMH76" s="541"/>
      <c r="AMI76" s="541"/>
      <c r="AMJ76" s="541"/>
      <c r="AMK76" s="541"/>
      <c r="AML76" s="541"/>
      <c r="AMM76" s="541"/>
      <c r="AMN76" s="541"/>
      <c r="AMO76" s="541"/>
      <c r="AMP76" s="541"/>
      <c r="AMQ76" s="541"/>
      <c r="AMR76" s="541"/>
      <c r="AMS76" s="541"/>
      <c r="AMT76" s="541"/>
      <c r="AMU76" s="541"/>
      <c r="AMV76" s="541"/>
      <c r="AMW76" s="541"/>
      <c r="AMX76" s="541"/>
      <c r="AMY76" s="541"/>
      <c r="AMZ76" s="541"/>
      <c r="ANA76" s="541"/>
      <c r="ANB76" s="541"/>
      <c r="ANC76" s="541"/>
      <c r="AND76" s="541"/>
      <c r="ANE76" s="541"/>
      <c r="ANF76" s="541"/>
      <c r="ANG76" s="541"/>
      <c r="ANH76" s="541"/>
      <c r="ANI76" s="541"/>
      <c r="ANJ76" s="541"/>
      <c r="ANK76" s="541"/>
      <c r="ANL76" s="541"/>
      <c r="ANM76" s="541"/>
      <c r="ANN76" s="541"/>
      <c r="ANO76" s="541"/>
      <c r="ANP76" s="541"/>
      <c r="ANQ76" s="541"/>
      <c r="ANR76" s="541"/>
      <c r="ANS76" s="541"/>
      <c r="ANT76" s="541"/>
      <c r="ANU76" s="541"/>
      <c r="ANV76" s="541"/>
      <c r="ANW76" s="541"/>
      <c r="ANX76" s="541"/>
      <c r="ANY76" s="541"/>
      <c r="ANZ76" s="541"/>
      <c r="AOA76" s="541"/>
      <c r="AOB76" s="541"/>
      <c r="AOC76" s="541"/>
      <c r="AOD76" s="541"/>
      <c r="AOE76" s="541"/>
      <c r="AOF76" s="541"/>
      <c r="AOG76" s="541"/>
      <c r="AOH76" s="541"/>
      <c r="AOI76" s="541"/>
      <c r="AOJ76" s="541"/>
      <c r="AOK76" s="541"/>
      <c r="AOL76" s="541"/>
      <c r="AOM76" s="541"/>
      <c r="AON76" s="541"/>
      <c r="AOO76" s="541"/>
      <c r="AOP76" s="541"/>
      <c r="AOQ76" s="541"/>
      <c r="AOR76" s="541"/>
      <c r="AOS76" s="541"/>
      <c r="AOT76" s="541"/>
      <c r="AOU76" s="541"/>
      <c r="AOV76" s="541"/>
      <c r="AOW76" s="541"/>
      <c r="AOX76" s="541"/>
      <c r="AOY76" s="541"/>
      <c r="AOZ76" s="541"/>
      <c r="APA76" s="541"/>
      <c r="APB76" s="541"/>
      <c r="APC76" s="541"/>
      <c r="APD76" s="541"/>
      <c r="APE76" s="541"/>
      <c r="APF76" s="541"/>
      <c r="APG76" s="541"/>
      <c r="APH76" s="541"/>
      <c r="API76" s="541"/>
      <c r="APJ76" s="541"/>
      <c r="APK76" s="541"/>
      <c r="APL76" s="541"/>
      <c r="APM76" s="541"/>
      <c r="APN76" s="541"/>
      <c r="APO76" s="541"/>
      <c r="APP76" s="541"/>
      <c r="APQ76" s="541"/>
      <c r="APR76" s="541"/>
      <c r="APS76" s="541"/>
      <c r="APT76" s="541"/>
      <c r="APU76" s="541"/>
      <c r="APV76" s="541"/>
      <c r="APW76" s="541"/>
      <c r="APX76" s="541"/>
      <c r="APY76" s="541"/>
      <c r="APZ76" s="541"/>
      <c r="AQA76" s="541"/>
      <c r="AQB76" s="541"/>
      <c r="AQC76" s="541"/>
      <c r="AQD76" s="541"/>
      <c r="AQE76" s="541"/>
      <c r="AQF76" s="541"/>
      <c r="AQG76" s="541"/>
      <c r="AQH76" s="541"/>
      <c r="AQI76" s="541"/>
      <c r="AQJ76" s="541"/>
      <c r="AQK76" s="541"/>
      <c r="AQL76" s="541"/>
      <c r="AQM76" s="541"/>
      <c r="AQN76" s="541"/>
      <c r="AQO76" s="541"/>
      <c r="AQP76" s="541"/>
      <c r="AQQ76" s="541"/>
      <c r="AQR76" s="541"/>
      <c r="AQS76" s="541"/>
      <c r="AQT76" s="541"/>
      <c r="AQU76" s="541"/>
      <c r="AQV76" s="541"/>
      <c r="AQW76" s="541"/>
      <c r="AQX76" s="541"/>
      <c r="AQY76" s="541"/>
      <c r="AQZ76" s="541"/>
      <c r="ARA76" s="541"/>
      <c r="ARB76" s="541"/>
      <c r="ARC76" s="541"/>
      <c r="ARD76" s="541"/>
      <c r="ARE76" s="541"/>
      <c r="ARF76" s="541"/>
      <c r="ARG76" s="541"/>
      <c r="ARH76" s="541"/>
      <c r="ARI76" s="541"/>
      <c r="ARJ76" s="541"/>
      <c r="ARK76" s="541"/>
      <c r="ARL76" s="541"/>
      <c r="ARM76" s="541"/>
      <c r="ARN76" s="541"/>
      <c r="ARO76" s="541"/>
      <c r="ARP76" s="541"/>
      <c r="ARQ76" s="541"/>
      <c r="ARR76" s="541"/>
      <c r="ARS76" s="541"/>
      <c r="ART76" s="541"/>
      <c r="ARU76" s="541"/>
    </row>
    <row r="77" spans="1:1165" s="658" customFormat="1">
      <c r="A77" s="613" t="s">
        <v>241</v>
      </c>
      <c r="B77" s="578" t="s">
        <v>110</v>
      </c>
      <c r="C77" s="579">
        <v>0</v>
      </c>
      <c r="D77" s="579">
        <v>0</v>
      </c>
      <c r="E77" s="579">
        <v>0</v>
      </c>
      <c r="F77" s="579">
        <v>0</v>
      </c>
      <c r="G77" s="579">
        <v>0</v>
      </c>
      <c r="H77" s="579">
        <v>0</v>
      </c>
      <c r="I77" s="579">
        <v>0</v>
      </c>
      <c r="J77" s="579">
        <v>0</v>
      </c>
      <c r="K77" s="579">
        <v>0</v>
      </c>
      <c r="L77" s="579">
        <v>0</v>
      </c>
      <c r="M77" s="579">
        <v>0</v>
      </c>
      <c r="N77" s="579">
        <v>0</v>
      </c>
      <c r="O77" s="579">
        <v>0</v>
      </c>
      <c r="P77" s="579">
        <v>0</v>
      </c>
      <c r="Q77" s="579">
        <v>0</v>
      </c>
      <c r="R77" s="579">
        <v>0</v>
      </c>
      <c r="S77" s="579">
        <v>0</v>
      </c>
      <c r="T77" s="579">
        <v>0</v>
      </c>
      <c r="U77" s="579">
        <v>0</v>
      </c>
      <c r="V77" s="579">
        <v>0</v>
      </c>
      <c r="W77" s="579">
        <v>0</v>
      </c>
      <c r="X77" s="579">
        <v>0</v>
      </c>
      <c r="Y77" s="579">
        <v>0</v>
      </c>
      <c r="Z77" s="579">
        <v>0</v>
      </c>
      <c r="AA77" s="579">
        <v>0</v>
      </c>
      <c r="AB77" s="579">
        <v>0</v>
      </c>
      <c r="AC77" s="579">
        <v>0</v>
      </c>
      <c r="AD77" s="579">
        <v>0</v>
      </c>
      <c r="AE77" s="579">
        <v>0</v>
      </c>
      <c r="AF77" s="579">
        <v>0</v>
      </c>
      <c r="AG77" s="579">
        <v>0</v>
      </c>
      <c r="AH77" s="579">
        <v>0</v>
      </c>
      <c r="AI77" s="579">
        <v>25</v>
      </c>
      <c r="AJ77" s="579">
        <v>9016</v>
      </c>
      <c r="AK77" s="661">
        <v>0</v>
      </c>
      <c r="AL77" s="661">
        <v>0</v>
      </c>
      <c r="AM77" s="579">
        <v>0</v>
      </c>
      <c r="AN77" s="579">
        <v>0</v>
      </c>
      <c r="AO77" s="579">
        <v>884</v>
      </c>
      <c r="AP77" s="579">
        <v>544880</v>
      </c>
      <c r="AQ77" s="579">
        <v>100</v>
      </c>
      <c r="AR77" s="579">
        <v>50000</v>
      </c>
      <c r="AS77" s="579">
        <v>0</v>
      </c>
      <c r="AT77" s="579">
        <v>0</v>
      </c>
      <c r="AU77" s="579">
        <v>0</v>
      </c>
      <c r="AV77" s="579">
        <v>0</v>
      </c>
      <c r="AW77" s="581">
        <v>0</v>
      </c>
      <c r="AX77" s="581">
        <v>0</v>
      </c>
      <c r="AY77" s="581">
        <v>0</v>
      </c>
      <c r="AZ77" s="581">
        <v>0</v>
      </c>
      <c r="BA77" s="579"/>
      <c r="BB77" s="598"/>
      <c r="BC77" s="598"/>
      <c r="BD77" s="598"/>
      <c r="BE77" s="598"/>
      <c r="BF77" s="598"/>
      <c r="BG77" s="598"/>
      <c r="BH77" s="598"/>
      <c r="BI77" s="598"/>
      <c r="BJ77" s="598">
        <f t="shared" si="8"/>
        <v>1009</v>
      </c>
      <c r="BK77" s="581">
        <f t="shared" si="9"/>
        <v>603896</v>
      </c>
      <c r="BL77" s="541"/>
      <c r="BM77" s="42"/>
      <c r="BN77" s="541"/>
      <c r="BO77" s="624"/>
      <c r="BP77" s="624"/>
      <c r="BQ77" s="541"/>
      <c r="BR77" s="541"/>
      <c r="BS77" s="541"/>
      <c r="BT77" s="541"/>
      <c r="BU77" s="541"/>
      <c r="BV77" s="541"/>
      <c r="BW77" s="541"/>
      <c r="BX77" s="541"/>
      <c r="BY77" s="541"/>
      <c r="BZ77" s="541"/>
      <c r="CA77" s="541"/>
      <c r="CB77" s="541"/>
      <c r="CC77" s="541"/>
      <c r="CD77" s="541"/>
      <c r="CE77" s="541"/>
      <c r="CF77" s="541"/>
      <c r="CG77" s="541"/>
      <c r="CH77" s="541"/>
      <c r="CI77" s="541"/>
      <c r="CJ77" s="541"/>
      <c r="CK77" s="541"/>
      <c r="CL77" s="541"/>
      <c r="CM77" s="541"/>
      <c r="CN77" s="541"/>
      <c r="CO77" s="541"/>
      <c r="CP77" s="541"/>
      <c r="CQ77" s="541"/>
      <c r="CR77" s="541"/>
      <c r="CS77" s="541"/>
      <c r="CT77" s="541"/>
      <c r="CU77" s="541"/>
      <c r="CV77" s="541"/>
      <c r="CW77" s="541"/>
      <c r="CX77" s="541"/>
      <c r="CY77" s="541"/>
      <c r="CZ77" s="541"/>
      <c r="DA77" s="541"/>
      <c r="DB77" s="541"/>
      <c r="DC77" s="541"/>
      <c r="DD77" s="541"/>
      <c r="DE77" s="541"/>
      <c r="DF77" s="541"/>
      <c r="DG77" s="541"/>
      <c r="DH77" s="541"/>
      <c r="DI77" s="541"/>
      <c r="DJ77" s="541"/>
      <c r="DK77" s="541"/>
      <c r="DL77" s="541"/>
      <c r="DM77" s="541"/>
      <c r="DN77" s="541"/>
      <c r="DO77" s="541"/>
      <c r="DP77" s="541"/>
      <c r="DQ77" s="541"/>
      <c r="DR77" s="541"/>
      <c r="DS77" s="541"/>
      <c r="DT77" s="541"/>
      <c r="DU77" s="541"/>
      <c r="DV77" s="541"/>
      <c r="DW77" s="541"/>
      <c r="DX77" s="541"/>
      <c r="DY77" s="541"/>
      <c r="DZ77" s="541"/>
      <c r="EA77" s="541"/>
      <c r="EB77" s="541"/>
      <c r="EC77" s="541"/>
      <c r="ED77" s="541"/>
      <c r="EE77" s="541"/>
      <c r="EF77" s="541"/>
      <c r="EG77" s="541"/>
      <c r="EH77" s="541"/>
      <c r="EI77" s="541"/>
      <c r="EJ77" s="541"/>
      <c r="EK77" s="541"/>
      <c r="EL77" s="541"/>
      <c r="EM77" s="541"/>
      <c r="EN77" s="541"/>
      <c r="EO77" s="541"/>
      <c r="EP77" s="541"/>
      <c r="EQ77" s="541"/>
      <c r="ER77" s="541"/>
      <c r="ES77" s="541"/>
      <c r="ET77" s="541"/>
      <c r="EU77" s="541"/>
      <c r="EV77" s="541"/>
      <c r="EW77" s="541"/>
      <c r="EX77" s="541"/>
      <c r="EY77" s="541"/>
      <c r="EZ77" s="541"/>
      <c r="FA77" s="541"/>
      <c r="FB77" s="541"/>
      <c r="FC77" s="541"/>
      <c r="FD77" s="541"/>
      <c r="FE77" s="541"/>
      <c r="FF77" s="541"/>
      <c r="FG77" s="541"/>
      <c r="FH77" s="541"/>
      <c r="FI77" s="541"/>
      <c r="FJ77" s="541"/>
      <c r="FK77" s="541"/>
      <c r="FL77" s="541"/>
      <c r="FM77" s="541"/>
      <c r="FN77" s="541"/>
      <c r="FO77" s="541"/>
      <c r="FP77" s="541"/>
      <c r="FQ77" s="541"/>
      <c r="FR77" s="541"/>
      <c r="FS77" s="541"/>
      <c r="FT77" s="541"/>
      <c r="FU77" s="541"/>
      <c r="FV77" s="541"/>
      <c r="FW77" s="541"/>
      <c r="FX77" s="541"/>
      <c r="FY77" s="541"/>
      <c r="FZ77" s="541"/>
      <c r="GA77" s="541"/>
      <c r="GB77" s="541"/>
      <c r="GC77" s="541"/>
      <c r="GD77" s="541"/>
      <c r="GE77" s="541"/>
      <c r="GF77" s="541"/>
      <c r="GG77" s="541"/>
      <c r="GH77" s="541"/>
      <c r="GI77" s="541"/>
      <c r="GJ77" s="541"/>
      <c r="GK77" s="541"/>
      <c r="GL77" s="541"/>
      <c r="GM77" s="541"/>
      <c r="GN77" s="541"/>
      <c r="GO77" s="541"/>
      <c r="GP77" s="541"/>
      <c r="GQ77" s="541"/>
      <c r="GR77" s="541"/>
      <c r="GS77" s="541"/>
      <c r="GT77" s="541"/>
      <c r="GU77" s="541"/>
      <c r="GV77" s="541"/>
      <c r="GW77" s="541"/>
      <c r="GX77" s="541"/>
      <c r="GY77" s="541"/>
      <c r="GZ77" s="541"/>
      <c r="HA77" s="541"/>
      <c r="HB77" s="541"/>
      <c r="HC77" s="541"/>
      <c r="HD77" s="541"/>
      <c r="HE77" s="541"/>
      <c r="HF77" s="541"/>
      <c r="HG77" s="541"/>
      <c r="HH77" s="541"/>
      <c r="HI77" s="541"/>
      <c r="HJ77" s="541"/>
      <c r="HK77" s="541"/>
      <c r="HL77" s="541"/>
      <c r="HM77" s="541"/>
      <c r="HN77" s="541"/>
      <c r="HO77" s="541"/>
      <c r="HP77" s="541"/>
      <c r="HQ77" s="541"/>
      <c r="HR77" s="541"/>
      <c r="HS77" s="541"/>
      <c r="HT77" s="541"/>
      <c r="HU77" s="541"/>
      <c r="HV77" s="541"/>
      <c r="HW77" s="541"/>
      <c r="HX77" s="541"/>
      <c r="HY77" s="541"/>
      <c r="HZ77" s="541"/>
      <c r="IA77" s="541"/>
      <c r="IB77" s="541"/>
      <c r="IC77" s="541"/>
      <c r="ID77" s="541"/>
      <c r="IE77" s="541"/>
      <c r="IF77" s="541"/>
      <c r="IG77" s="541"/>
      <c r="IH77" s="541"/>
      <c r="II77" s="541"/>
      <c r="IJ77" s="541"/>
      <c r="IK77" s="541"/>
      <c r="IL77" s="541"/>
      <c r="IM77" s="541"/>
      <c r="IN77" s="541"/>
      <c r="IO77" s="541"/>
      <c r="IP77" s="541"/>
      <c r="IQ77" s="541"/>
      <c r="IR77" s="541"/>
      <c r="IS77" s="541"/>
      <c r="IT77" s="541"/>
      <c r="IU77" s="541"/>
      <c r="IV77" s="541"/>
      <c r="IW77" s="541"/>
      <c r="IX77" s="541"/>
      <c r="IY77" s="541"/>
      <c r="IZ77" s="541"/>
      <c r="JA77" s="541"/>
      <c r="JB77" s="541"/>
      <c r="JC77" s="541"/>
      <c r="JD77" s="541"/>
      <c r="JE77" s="541"/>
      <c r="JF77" s="541"/>
      <c r="JG77" s="541"/>
      <c r="JH77" s="541"/>
      <c r="JI77" s="541"/>
      <c r="JJ77" s="541"/>
      <c r="JK77" s="541"/>
      <c r="JL77" s="541"/>
      <c r="JM77" s="541"/>
      <c r="JN77" s="541"/>
      <c r="JO77" s="541"/>
      <c r="JP77" s="541"/>
      <c r="JQ77" s="541"/>
      <c r="JR77" s="541"/>
      <c r="JS77" s="541"/>
      <c r="JT77" s="541"/>
      <c r="JU77" s="541"/>
      <c r="JV77" s="541"/>
      <c r="JW77" s="541"/>
      <c r="JX77" s="541"/>
      <c r="JY77" s="541"/>
      <c r="JZ77" s="541"/>
      <c r="KA77" s="541"/>
      <c r="KB77" s="541"/>
      <c r="KC77" s="541"/>
      <c r="KD77" s="541"/>
      <c r="KE77" s="541"/>
      <c r="KF77" s="541"/>
      <c r="KG77" s="541"/>
      <c r="KH77" s="541"/>
      <c r="KI77" s="541"/>
      <c r="KJ77" s="541"/>
      <c r="KK77" s="541"/>
      <c r="KL77" s="541"/>
      <c r="KM77" s="541"/>
      <c r="KN77" s="541"/>
      <c r="KO77" s="541"/>
      <c r="KP77" s="541"/>
      <c r="KQ77" s="541"/>
      <c r="KR77" s="541"/>
      <c r="KS77" s="541"/>
      <c r="KT77" s="541"/>
      <c r="KU77" s="541"/>
      <c r="KV77" s="541"/>
      <c r="KW77" s="541"/>
      <c r="KX77" s="541"/>
      <c r="KY77" s="541"/>
      <c r="KZ77" s="541"/>
      <c r="LA77" s="541"/>
      <c r="LB77" s="541"/>
      <c r="LC77" s="541"/>
      <c r="LD77" s="541"/>
      <c r="LE77" s="541"/>
      <c r="LF77" s="541"/>
      <c r="LG77" s="541"/>
      <c r="LH77" s="541"/>
      <c r="LI77" s="541"/>
      <c r="LJ77" s="541"/>
      <c r="LK77" s="541"/>
      <c r="LL77" s="541"/>
      <c r="LM77" s="541"/>
      <c r="LN77" s="541"/>
      <c r="LO77" s="541"/>
      <c r="LP77" s="541"/>
      <c r="LQ77" s="541"/>
      <c r="LR77" s="541"/>
      <c r="LS77" s="541"/>
      <c r="LT77" s="541"/>
      <c r="LU77" s="541"/>
      <c r="LV77" s="541"/>
      <c r="LW77" s="541"/>
      <c r="LX77" s="541"/>
      <c r="LY77" s="541"/>
      <c r="LZ77" s="541"/>
      <c r="MA77" s="541"/>
      <c r="MB77" s="541"/>
      <c r="MC77" s="541"/>
      <c r="MD77" s="541"/>
      <c r="ME77" s="541"/>
      <c r="MF77" s="541"/>
      <c r="MG77" s="541"/>
      <c r="MH77" s="541"/>
      <c r="MI77" s="541"/>
      <c r="MJ77" s="541"/>
      <c r="MK77" s="541"/>
      <c r="ML77" s="541"/>
      <c r="MM77" s="541"/>
      <c r="MN77" s="541"/>
      <c r="MO77" s="541"/>
      <c r="MP77" s="541"/>
      <c r="MQ77" s="541"/>
      <c r="MR77" s="541"/>
      <c r="MS77" s="541"/>
      <c r="MT77" s="541"/>
      <c r="MU77" s="541"/>
      <c r="MV77" s="541"/>
      <c r="MW77" s="541"/>
      <c r="MX77" s="541"/>
      <c r="MY77" s="541"/>
      <c r="MZ77" s="541"/>
      <c r="NA77" s="541"/>
      <c r="NB77" s="541"/>
      <c r="NC77" s="541"/>
      <c r="ND77" s="541"/>
      <c r="NE77" s="541"/>
      <c r="NF77" s="541"/>
      <c r="NG77" s="541"/>
      <c r="NH77" s="541"/>
      <c r="NI77" s="541"/>
      <c r="NJ77" s="541"/>
      <c r="NK77" s="541"/>
      <c r="NL77" s="541"/>
      <c r="NM77" s="541"/>
      <c r="NN77" s="541"/>
      <c r="NO77" s="541"/>
      <c r="NP77" s="541"/>
      <c r="NQ77" s="541"/>
      <c r="NR77" s="541"/>
      <c r="NS77" s="541"/>
      <c r="NT77" s="541"/>
      <c r="NU77" s="541"/>
      <c r="NV77" s="541"/>
      <c r="NW77" s="541"/>
      <c r="NX77" s="541"/>
      <c r="NY77" s="541"/>
      <c r="NZ77" s="541"/>
      <c r="OA77" s="541"/>
      <c r="OB77" s="541"/>
      <c r="OC77" s="541"/>
      <c r="OD77" s="541"/>
      <c r="OE77" s="541"/>
      <c r="OF77" s="541"/>
      <c r="OG77" s="541"/>
      <c r="OH77" s="541"/>
      <c r="OI77" s="541"/>
      <c r="OJ77" s="541"/>
      <c r="OK77" s="541"/>
      <c r="OL77" s="541"/>
      <c r="OM77" s="541"/>
      <c r="ON77" s="541"/>
      <c r="OO77" s="541"/>
      <c r="OP77" s="541"/>
      <c r="OQ77" s="541"/>
      <c r="OR77" s="541"/>
      <c r="OS77" s="541"/>
      <c r="OT77" s="541"/>
      <c r="OU77" s="541"/>
      <c r="OV77" s="541"/>
      <c r="OW77" s="541"/>
      <c r="OX77" s="541"/>
      <c r="OY77" s="541"/>
      <c r="OZ77" s="541"/>
      <c r="PA77" s="541"/>
      <c r="PB77" s="541"/>
      <c r="PC77" s="541"/>
      <c r="PD77" s="541"/>
      <c r="PE77" s="541"/>
      <c r="PF77" s="541"/>
      <c r="PG77" s="541"/>
      <c r="PH77" s="541"/>
      <c r="PI77" s="541"/>
      <c r="PJ77" s="541"/>
      <c r="PK77" s="541"/>
      <c r="PL77" s="541"/>
      <c r="PM77" s="541"/>
      <c r="PN77" s="541"/>
      <c r="PO77" s="541"/>
      <c r="PP77" s="541"/>
      <c r="PQ77" s="541"/>
      <c r="PR77" s="541"/>
      <c r="PS77" s="541"/>
      <c r="PT77" s="541"/>
      <c r="PU77" s="541"/>
      <c r="PV77" s="541"/>
      <c r="PW77" s="541"/>
      <c r="PX77" s="541"/>
      <c r="PY77" s="541"/>
      <c r="PZ77" s="541"/>
      <c r="QA77" s="541"/>
      <c r="QB77" s="541"/>
      <c r="QC77" s="541"/>
      <c r="QD77" s="541"/>
      <c r="QE77" s="541"/>
      <c r="QF77" s="541"/>
      <c r="QG77" s="541"/>
      <c r="QH77" s="541"/>
      <c r="QI77" s="541"/>
      <c r="QJ77" s="541"/>
      <c r="QK77" s="541"/>
      <c r="QL77" s="541"/>
      <c r="QM77" s="541"/>
      <c r="QN77" s="541"/>
      <c r="QO77" s="541"/>
      <c r="QP77" s="541"/>
      <c r="QQ77" s="541"/>
      <c r="QR77" s="541"/>
      <c r="QS77" s="541"/>
      <c r="QT77" s="541"/>
      <c r="QU77" s="541"/>
      <c r="QV77" s="541"/>
      <c r="QW77" s="541"/>
      <c r="QX77" s="541"/>
      <c r="QY77" s="541"/>
      <c r="QZ77" s="541"/>
      <c r="RA77" s="541"/>
      <c r="RB77" s="541"/>
      <c r="RC77" s="541"/>
      <c r="RD77" s="541"/>
      <c r="RE77" s="541"/>
      <c r="RF77" s="541"/>
      <c r="RG77" s="541"/>
      <c r="RH77" s="541"/>
      <c r="RI77" s="541"/>
      <c r="RJ77" s="541"/>
      <c r="RK77" s="541"/>
      <c r="RL77" s="541"/>
      <c r="RM77" s="541"/>
      <c r="RN77" s="541"/>
      <c r="RO77" s="541"/>
      <c r="RP77" s="541"/>
      <c r="RQ77" s="541"/>
      <c r="RR77" s="541"/>
      <c r="RS77" s="541"/>
      <c r="RT77" s="541"/>
      <c r="RU77" s="541"/>
      <c r="RV77" s="541"/>
      <c r="RW77" s="541"/>
      <c r="RX77" s="541"/>
      <c r="RY77" s="541"/>
      <c r="RZ77" s="541"/>
      <c r="SA77" s="541"/>
      <c r="SB77" s="541"/>
      <c r="SC77" s="541"/>
      <c r="SD77" s="541"/>
      <c r="SE77" s="541"/>
      <c r="SF77" s="541"/>
      <c r="SG77" s="541"/>
      <c r="SH77" s="541"/>
      <c r="SI77" s="541"/>
      <c r="SJ77" s="541"/>
      <c r="SK77" s="541"/>
      <c r="SL77" s="541"/>
      <c r="SM77" s="541"/>
      <c r="SN77" s="541"/>
      <c r="SO77" s="541"/>
      <c r="SP77" s="541"/>
      <c r="SQ77" s="541"/>
      <c r="SR77" s="541"/>
      <c r="SS77" s="541"/>
      <c r="ST77" s="541"/>
      <c r="SU77" s="541"/>
      <c r="SV77" s="541"/>
      <c r="SW77" s="541"/>
      <c r="SX77" s="541"/>
      <c r="SY77" s="541"/>
      <c r="SZ77" s="541"/>
      <c r="TA77" s="541"/>
      <c r="TB77" s="541"/>
      <c r="TC77" s="541"/>
      <c r="TD77" s="541"/>
      <c r="TE77" s="541"/>
      <c r="TF77" s="541"/>
      <c r="TG77" s="541"/>
      <c r="TH77" s="541"/>
      <c r="TI77" s="541"/>
      <c r="TJ77" s="541"/>
      <c r="TK77" s="541"/>
      <c r="TL77" s="541"/>
      <c r="TM77" s="541"/>
      <c r="TN77" s="541"/>
      <c r="TO77" s="541"/>
      <c r="TP77" s="541"/>
      <c r="TQ77" s="541"/>
      <c r="TR77" s="541"/>
      <c r="TS77" s="541"/>
      <c r="TT77" s="541"/>
      <c r="TU77" s="541"/>
      <c r="TV77" s="541"/>
      <c r="TW77" s="541"/>
      <c r="TX77" s="541"/>
      <c r="TY77" s="541"/>
      <c r="TZ77" s="541"/>
      <c r="UA77" s="541"/>
      <c r="UB77" s="541"/>
      <c r="UC77" s="541"/>
      <c r="UD77" s="541"/>
      <c r="UE77" s="541"/>
      <c r="UF77" s="541"/>
      <c r="UG77" s="541"/>
      <c r="UH77" s="541"/>
      <c r="UI77" s="541"/>
      <c r="UJ77" s="541"/>
      <c r="UK77" s="541"/>
      <c r="UL77" s="541"/>
      <c r="UM77" s="541"/>
      <c r="UN77" s="541"/>
      <c r="UO77" s="541"/>
      <c r="UP77" s="541"/>
      <c r="UQ77" s="541"/>
      <c r="UR77" s="541"/>
      <c r="US77" s="541"/>
      <c r="UT77" s="541"/>
      <c r="UU77" s="541"/>
      <c r="UV77" s="541"/>
      <c r="UW77" s="541"/>
      <c r="UX77" s="541"/>
      <c r="UY77" s="541"/>
      <c r="UZ77" s="541"/>
      <c r="VA77" s="541"/>
      <c r="VB77" s="541"/>
      <c r="VC77" s="541"/>
      <c r="VD77" s="541"/>
      <c r="VE77" s="541"/>
      <c r="VF77" s="541"/>
      <c r="VG77" s="541"/>
      <c r="VH77" s="541"/>
      <c r="VI77" s="541"/>
      <c r="VJ77" s="541"/>
      <c r="VK77" s="541"/>
      <c r="VL77" s="541"/>
      <c r="VM77" s="541"/>
      <c r="VN77" s="541"/>
      <c r="VO77" s="541"/>
      <c r="VP77" s="541"/>
      <c r="VQ77" s="541"/>
      <c r="VR77" s="541"/>
      <c r="VS77" s="541"/>
      <c r="VT77" s="541"/>
      <c r="VU77" s="541"/>
      <c r="VV77" s="541"/>
      <c r="VW77" s="541"/>
      <c r="VX77" s="541"/>
      <c r="VY77" s="541"/>
      <c r="VZ77" s="541"/>
      <c r="WA77" s="541"/>
      <c r="WB77" s="541"/>
      <c r="WC77" s="541"/>
      <c r="WD77" s="541"/>
      <c r="WE77" s="541"/>
      <c r="WF77" s="541"/>
      <c r="WG77" s="541"/>
      <c r="WH77" s="541"/>
      <c r="WI77" s="541"/>
      <c r="WJ77" s="541"/>
      <c r="WK77" s="541"/>
      <c r="WL77" s="541"/>
      <c r="WM77" s="541"/>
      <c r="WN77" s="541"/>
      <c r="WO77" s="541"/>
      <c r="WP77" s="541"/>
      <c r="WQ77" s="541"/>
      <c r="WR77" s="541"/>
      <c r="WS77" s="541"/>
      <c r="WT77" s="541"/>
      <c r="WU77" s="541"/>
      <c r="WV77" s="541"/>
      <c r="WW77" s="541"/>
      <c r="WX77" s="541"/>
      <c r="WY77" s="541"/>
      <c r="WZ77" s="541"/>
      <c r="XA77" s="541"/>
      <c r="XB77" s="541"/>
      <c r="XC77" s="541"/>
      <c r="XD77" s="541"/>
      <c r="XE77" s="541"/>
      <c r="XF77" s="541"/>
      <c r="XG77" s="541"/>
      <c r="XH77" s="541"/>
      <c r="XI77" s="541"/>
      <c r="XJ77" s="541"/>
      <c r="XK77" s="541"/>
      <c r="XL77" s="541"/>
      <c r="XM77" s="541"/>
      <c r="XN77" s="541"/>
      <c r="XO77" s="541"/>
      <c r="XP77" s="541"/>
      <c r="XQ77" s="541"/>
      <c r="XR77" s="541"/>
      <c r="XS77" s="541"/>
      <c r="XT77" s="541"/>
      <c r="XU77" s="541"/>
      <c r="XV77" s="541"/>
      <c r="XW77" s="541"/>
      <c r="XX77" s="541"/>
      <c r="XY77" s="541"/>
      <c r="XZ77" s="541"/>
      <c r="YA77" s="541"/>
      <c r="YB77" s="541"/>
      <c r="YC77" s="541"/>
      <c r="YD77" s="541"/>
      <c r="YE77" s="541"/>
      <c r="YF77" s="541"/>
      <c r="YG77" s="541"/>
      <c r="YH77" s="541"/>
      <c r="YI77" s="541"/>
      <c r="YJ77" s="541"/>
      <c r="YK77" s="541"/>
      <c r="YL77" s="541"/>
      <c r="YM77" s="541"/>
      <c r="YN77" s="541"/>
      <c r="YO77" s="541"/>
      <c r="YP77" s="541"/>
      <c r="YQ77" s="541"/>
      <c r="YR77" s="541"/>
      <c r="YS77" s="541"/>
      <c r="YT77" s="541"/>
      <c r="YU77" s="541"/>
      <c r="YV77" s="541"/>
      <c r="YW77" s="541"/>
      <c r="YX77" s="541"/>
      <c r="YY77" s="541"/>
      <c r="YZ77" s="541"/>
      <c r="ZA77" s="541"/>
      <c r="ZB77" s="541"/>
      <c r="ZC77" s="541"/>
      <c r="ZD77" s="541"/>
      <c r="ZE77" s="541"/>
      <c r="ZF77" s="541"/>
      <c r="ZG77" s="541"/>
      <c r="ZH77" s="541"/>
      <c r="ZI77" s="541"/>
      <c r="ZJ77" s="541"/>
      <c r="ZK77" s="541"/>
      <c r="ZL77" s="541"/>
      <c r="ZM77" s="541"/>
      <c r="ZN77" s="541"/>
      <c r="ZO77" s="541"/>
      <c r="ZP77" s="541"/>
      <c r="ZQ77" s="541"/>
      <c r="ZR77" s="541"/>
      <c r="ZS77" s="541"/>
      <c r="ZT77" s="541"/>
      <c r="ZU77" s="541"/>
      <c r="ZV77" s="541"/>
      <c r="ZW77" s="541"/>
      <c r="ZX77" s="541"/>
      <c r="ZY77" s="541"/>
      <c r="ZZ77" s="541"/>
      <c r="AAA77" s="541"/>
      <c r="AAB77" s="541"/>
      <c r="AAC77" s="541"/>
      <c r="AAD77" s="541"/>
      <c r="AAE77" s="541"/>
      <c r="AAF77" s="541"/>
      <c r="AAG77" s="541"/>
      <c r="AAH77" s="541"/>
      <c r="AAI77" s="541"/>
      <c r="AAJ77" s="541"/>
      <c r="AAK77" s="541"/>
      <c r="AAL77" s="541"/>
      <c r="AAM77" s="541"/>
      <c r="AAN77" s="541"/>
      <c r="AAO77" s="541"/>
      <c r="AAP77" s="541"/>
      <c r="AAQ77" s="541"/>
      <c r="AAR77" s="541"/>
      <c r="AAS77" s="541"/>
      <c r="AAT77" s="541"/>
      <c r="AAU77" s="541"/>
      <c r="AAV77" s="541"/>
      <c r="AAW77" s="541"/>
      <c r="AAX77" s="541"/>
      <c r="AAY77" s="541"/>
      <c r="AAZ77" s="541"/>
      <c r="ABA77" s="541"/>
      <c r="ABB77" s="541"/>
      <c r="ABC77" s="541"/>
      <c r="ABD77" s="541"/>
      <c r="ABE77" s="541"/>
      <c r="ABF77" s="541"/>
      <c r="ABG77" s="541"/>
      <c r="ABH77" s="541"/>
      <c r="ABI77" s="541"/>
      <c r="ABJ77" s="541"/>
      <c r="ABK77" s="541"/>
      <c r="ABL77" s="541"/>
      <c r="ABM77" s="541"/>
      <c r="ABN77" s="541"/>
      <c r="ABO77" s="541"/>
      <c r="ABP77" s="541"/>
      <c r="ABQ77" s="541"/>
      <c r="ABR77" s="541"/>
      <c r="ABS77" s="541"/>
      <c r="ABT77" s="541"/>
      <c r="ABU77" s="541"/>
      <c r="ABV77" s="541"/>
      <c r="ABW77" s="541"/>
      <c r="ABX77" s="541"/>
      <c r="ABY77" s="541"/>
      <c r="ABZ77" s="541"/>
      <c r="ACA77" s="541"/>
      <c r="ACB77" s="541"/>
      <c r="ACC77" s="541"/>
      <c r="ACD77" s="541"/>
      <c r="ACE77" s="541"/>
      <c r="ACF77" s="541"/>
      <c r="ACG77" s="541"/>
      <c r="ACH77" s="541"/>
      <c r="ACI77" s="541"/>
      <c r="ACJ77" s="541"/>
      <c r="ACK77" s="541"/>
      <c r="ACL77" s="541"/>
      <c r="ACM77" s="541"/>
      <c r="ACN77" s="541"/>
      <c r="ACO77" s="541"/>
      <c r="ACP77" s="541"/>
      <c r="ACQ77" s="541"/>
      <c r="ACR77" s="541"/>
      <c r="ACS77" s="541"/>
      <c r="ACT77" s="541"/>
      <c r="ACU77" s="541"/>
      <c r="ACV77" s="541"/>
      <c r="ACW77" s="541"/>
      <c r="ACX77" s="541"/>
      <c r="ACY77" s="541"/>
      <c r="ACZ77" s="541"/>
      <c r="ADA77" s="541"/>
      <c r="ADB77" s="541"/>
      <c r="ADC77" s="541"/>
      <c r="ADD77" s="541"/>
      <c r="ADE77" s="541"/>
      <c r="ADF77" s="541"/>
      <c r="ADG77" s="541"/>
      <c r="ADH77" s="541"/>
      <c r="ADI77" s="541"/>
      <c r="ADJ77" s="541"/>
      <c r="ADK77" s="541"/>
      <c r="ADL77" s="541"/>
      <c r="ADM77" s="541"/>
      <c r="ADN77" s="541"/>
      <c r="ADO77" s="541"/>
      <c r="ADP77" s="541"/>
      <c r="ADQ77" s="541"/>
      <c r="ADR77" s="541"/>
      <c r="ADS77" s="541"/>
      <c r="ADT77" s="541"/>
      <c r="ADU77" s="541"/>
      <c r="ADV77" s="541"/>
      <c r="ADW77" s="541"/>
      <c r="ADX77" s="541"/>
      <c r="ADY77" s="541"/>
      <c r="ADZ77" s="541"/>
      <c r="AEA77" s="541"/>
      <c r="AEB77" s="541"/>
      <c r="AEC77" s="541"/>
      <c r="AED77" s="541"/>
      <c r="AEE77" s="541"/>
      <c r="AEF77" s="541"/>
      <c r="AEG77" s="541"/>
      <c r="AEH77" s="541"/>
      <c r="AEI77" s="541"/>
      <c r="AEJ77" s="541"/>
      <c r="AEK77" s="541"/>
      <c r="AEL77" s="541"/>
      <c r="AEM77" s="541"/>
      <c r="AEN77" s="541"/>
      <c r="AEO77" s="541"/>
      <c r="AEP77" s="541"/>
      <c r="AEQ77" s="541"/>
      <c r="AER77" s="541"/>
      <c r="AES77" s="541"/>
      <c r="AET77" s="541"/>
      <c r="AEU77" s="541"/>
      <c r="AEV77" s="541"/>
      <c r="AEW77" s="541"/>
      <c r="AEX77" s="541"/>
      <c r="AEY77" s="541"/>
      <c r="AEZ77" s="541"/>
      <c r="AFA77" s="541"/>
      <c r="AFB77" s="541"/>
      <c r="AFC77" s="541"/>
      <c r="AFD77" s="541"/>
      <c r="AFE77" s="541"/>
      <c r="AFF77" s="541"/>
      <c r="AFG77" s="541"/>
      <c r="AFH77" s="541"/>
      <c r="AFI77" s="541"/>
      <c r="AFJ77" s="541"/>
      <c r="AFK77" s="541"/>
      <c r="AFL77" s="541"/>
      <c r="AFM77" s="541"/>
      <c r="AFN77" s="541"/>
      <c r="AFO77" s="541"/>
      <c r="AFP77" s="541"/>
      <c r="AFQ77" s="541"/>
      <c r="AFR77" s="541"/>
      <c r="AFS77" s="541"/>
      <c r="AFT77" s="541"/>
      <c r="AFU77" s="541"/>
      <c r="AFV77" s="541"/>
      <c r="AFW77" s="541"/>
      <c r="AFX77" s="541"/>
      <c r="AFY77" s="541"/>
      <c r="AFZ77" s="541"/>
      <c r="AGA77" s="541"/>
      <c r="AGB77" s="541"/>
      <c r="AGC77" s="541"/>
      <c r="AGD77" s="541"/>
      <c r="AGE77" s="541"/>
      <c r="AGF77" s="541"/>
      <c r="AGG77" s="541"/>
      <c r="AGH77" s="541"/>
      <c r="AGI77" s="541"/>
      <c r="AGJ77" s="541"/>
      <c r="AGK77" s="541"/>
      <c r="AGL77" s="541"/>
      <c r="AGM77" s="541"/>
      <c r="AGN77" s="541"/>
      <c r="AGO77" s="541"/>
      <c r="AGP77" s="541"/>
      <c r="AGQ77" s="541"/>
      <c r="AGR77" s="541"/>
      <c r="AGS77" s="541"/>
      <c r="AGT77" s="541"/>
      <c r="AGU77" s="541"/>
      <c r="AGV77" s="541"/>
      <c r="AGW77" s="541"/>
      <c r="AGX77" s="541"/>
      <c r="AGY77" s="541"/>
      <c r="AGZ77" s="541"/>
      <c r="AHA77" s="541"/>
      <c r="AHB77" s="541"/>
      <c r="AHC77" s="541"/>
      <c r="AHD77" s="541"/>
      <c r="AHE77" s="541"/>
      <c r="AHF77" s="541"/>
      <c r="AHG77" s="541"/>
      <c r="AHH77" s="541"/>
      <c r="AHI77" s="541"/>
      <c r="AHJ77" s="541"/>
      <c r="AHK77" s="541"/>
      <c r="AHL77" s="541"/>
      <c r="AHM77" s="541"/>
      <c r="AHN77" s="541"/>
      <c r="AHO77" s="541"/>
      <c r="AHP77" s="541"/>
      <c r="AHQ77" s="541"/>
      <c r="AHR77" s="541"/>
      <c r="AHS77" s="541"/>
      <c r="AHT77" s="541"/>
      <c r="AHU77" s="541"/>
      <c r="AHV77" s="541"/>
      <c r="AHW77" s="541"/>
      <c r="AHX77" s="541"/>
      <c r="AHY77" s="541"/>
      <c r="AHZ77" s="541"/>
      <c r="AIA77" s="541"/>
      <c r="AIB77" s="541"/>
      <c r="AIC77" s="541"/>
      <c r="AID77" s="541"/>
      <c r="AIE77" s="541"/>
      <c r="AIF77" s="541"/>
      <c r="AIG77" s="541"/>
      <c r="AIH77" s="541"/>
      <c r="AII77" s="541"/>
      <c r="AIJ77" s="541"/>
      <c r="AIK77" s="541"/>
      <c r="AIL77" s="541"/>
      <c r="AIM77" s="541"/>
      <c r="AIN77" s="541"/>
      <c r="AIO77" s="541"/>
      <c r="AIP77" s="541"/>
      <c r="AIQ77" s="541"/>
      <c r="AIR77" s="541"/>
      <c r="AIS77" s="541"/>
      <c r="AIT77" s="541"/>
      <c r="AIU77" s="541"/>
      <c r="AIV77" s="541"/>
      <c r="AIW77" s="541"/>
      <c r="AIX77" s="541"/>
      <c r="AIY77" s="541"/>
      <c r="AIZ77" s="541"/>
      <c r="AJA77" s="541"/>
      <c r="AJB77" s="541"/>
      <c r="AJC77" s="541"/>
      <c r="AJD77" s="541"/>
      <c r="AJE77" s="541"/>
      <c r="AJF77" s="541"/>
      <c r="AJG77" s="541"/>
      <c r="AJH77" s="541"/>
      <c r="AJI77" s="541"/>
      <c r="AJJ77" s="541"/>
      <c r="AJK77" s="541"/>
      <c r="AJL77" s="541"/>
      <c r="AJM77" s="541"/>
      <c r="AJN77" s="541"/>
      <c r="AJO77" s="541"/>
      <c r="AJP77" s="541"/>
      <c r="AJQ77" s="541"/>
      <c r="AJR77" s="541"/>
      <c r="AJS77" s="541"/>
      <c r="AJT77" s="541"/>
      <c r="AJU77" s="541"/>
      <c r="AJV77" s="541"/>
      <c r="AJW77" s="541"/>
      <c r="AJX77" s="541"/>
      <c r="AJY77" s="541"/>
      <c r="AJZ77" s="541"/>
      <c r="AKA77" s="541"/>
      <c r="AKB77" s="541"/>
      <c r="AKC77" s="541"/>
      <c r="AKD77" s="541"/>
      <c r="AKE77" s="541"/>
      <c r="AKF77" s="541"/>
      <c r="AKG77" s="541"/>
      <c r="AKH77" s="541"/>
      <c r="AKI77" s="541"/>
      <c r="AKJ77" s="541"/>
      <c r="AKK77" s="541"/>
      <c r="AKL77" s="541"/>
      <c r="AKM77" s="541"/>
      <c r="AKN77" s="541"/>
      <c r="AKO77" s="541"/>
      <c r="AKP77" s="541"/>
      <c r="AKQ77" s="541"/>
      <c r="AKR77" s="541"/>
      <c r="AKS77" s="541"/>
      <c r="AKT77" s="541"/>
      <c r="AKU77" s="541"/>
      <c r="AKV77" s="541"/>
      <c r="AKW77" s="541"/>
      <c r="AKX77" s="541"/>
      <c r="AKY77" s="541"/>
      <c r="AKZ77" s="541"/>
      <c r="ALA77" s="541"/>
      <c r="ALB77" s="541"/>
      <c r="ALC77" s="541"/>
      <c r="ALD77" s="541"/>
      <c r="ALE77" s="541"/>
      <c r="ALF77" s="541"/>
      <c r="ALG77" s="541"/>
      <c r="ALH77" s="541"/>
      <c r="ALI77" s="541"/>
      <c r="ALJ77" s="541"/>
      <c r="ALK77" s="541"/>
      <c r="ALL77" s="541"/>
      <c r="ALM77" s="541"/>
      <c r="ALN77" s="541"/>
      <c r="ALO77" s="541"/>
      <c r="ALP77" s="541"/>
      <c r="ALQ77" s="541"/>
      <c r="ALR77" s="541"/>
      <c r="ALS77" s="541"/>
      <c r="ALT77" s="541"/>
      <c r="ALU77" s="541"/>
      <c r="ALV77" s="541"/>
      <c r="ALW77" s="541"/>
      <c r="ALX77" s="541"/>
      <c r="ALY77" s="541"/>
      <c r="ALZ77" s="541"/>
      <c r="AMA77" s="541"/>
      <c r="AMB77" s="541"/>
      <c r="AMC77" s="541"/>
      <c r="AMD77" s="541"/>
      <c r="AME77" s="541"/>
      <c r="AMF77" s="541"/>
      <c r="AMG77" s="541"/>
      <c r="AMH77" s="541"/>
      <c r="AMI77" s="541"/>
      <c r="AMJ77" s="541"/>
      <c r="AMK77" s="541"/>
      <c r="AML77" s="541"/>
      <c r="AMM77" s="541"/>
      <c r="AMN77" s="541"/>
      <c r="AMO77" s="541"/>
      <c r="AMP77" s="541"/>
      <c r="AMQ77" s="541"/>
      <c r="AMR77" s="541"/>
      <c r="AMS77" s="541"/>
      <c r="AMT77" s="541"/>
      <c r="AMU77" s="541"/>
      <c r="AMV77" s="541"/>
      <c r="AMW77" s="541"/>
      <c r="AMX77" s="541"/>
      <c r="AMY77" s="541"/>
      <c r="AMZ77" s="541"/>
      <c r="ANA77" s="541"/>
      <c r="ANB77" s="541"/>
      <c r="ANC77" s="541"/>
      <c r="AND77" s="541"/>
      <c r="ANE77" s="541"/>
      <c r="ANF77" s="541"/>
      <c r="ANG77" s="541"/>
      <c r="ANH77" s="541"/>
      <c r="ANI77" s="541"/>
      <c r="ANJ77" s="541"/>
      <c r="ANK77" s="541"/>
      <c r="ANL77" s="541"/>
      <c r="ANM77" s="541"/>
      <c r="ANN77" s="541"/>
      <c r="ANO77" s="541"/>
      <c r="ANP77" s="541"/>
      <c r="ANQ77" s="541"/>
      <c r="ANR77" s="541"/>
      <c r="ANS77" s="541"/>
      <c r="ANT77" s="541"/>
      <c r="ANU77" s="541"/>
      <c r="ANV77" s="541"/>
      <c r="ANW77" s="541"/>
      <c r="ANX77" s="541"/>
      <c r="ANY77" s="541"/>
      <c r="ANZ77" s="541"/>
      <c r="AOA77" s="541"/>
      <c r="AOB77" s="541"/>
      <c r="AOC77" s="541"/>
      <c r="AOD77" s="541"/>
      <c r="AOE77" s="541"/>
      <c r="AOF77" s="541"/>
      <c r="AOG77" s="541"/>
      <c r="AOH77" s="541"/>
      <c r="AOI77" s="541"/>
      <c r="AOJ77" s="541"/>
      <c r="AOK77" s="541"/>
      <c r="AOL77" s="541"/>
      <c r="AOM77" s="541"/>
      <c r="AON77" s="541"/>
      <c r="AOO77" s="541"/>
      <c r="AOP77" s="541"/>
      <c r="AOQ77" s="541"/>
      <c r="AOR77" s="541"/>
      <c r="AOS77" s="541"/>
      <c r="AOT77" s="541"/>
      <c r="AOU77" s="541"/>
      <c r="AOV77" s="541"/>
      <c r="AOW77" s="541"/>
      <c r="AOX77" s="541"/>
      <c r="AOY77" s="541"/>
      <c r="AOZ77" s="541"/>
      <c r="APA77" s="541"/>
      <c r="APB77" s="541"/>
      <c r="APC77" s="541"/>
      <c r="APD77" s="541"/>
      <c r="APE77" s="541"/>
      <c r="APF77" s="541"/>
      <c r="APG77" s="541"/>
      <c r="APH77" s="541"/>
      <c r="API77" s="541"/>
      <c r="APJ77" s="541"/>
      <c r="APK77" s="541"/>
      <c r="APL77" s="541"/>
      <c r="APM77" s="541"/>
      <c r="APN77" s="541"/>
      <c r="APO77" s="541"/>
      <c r="APP77" s="541"/>
      <c r="APQ77" s="541"/>
      <c r="APR77" s="541"/>
      <c r="APS77" s="541"/>
      <c r="APT77" s="541"/>
      <c r="APU77" s="541"/>
      <c r="APV77" s="541"/>
      <c r="APW77" s="541"/>
      <c r="APX77" s="541"/>
      <c r="APY77" s="541"/>
      <c r="APZ77" s="541"/>
      <c r="AQA77" s="541"/>
      <c r="AQB77" s="541"/>
      <c r="AQC77" s="541"/>
      <c r="AQD77" s="541"/>
      <c r="AQE77" s="541"/>
      <c r="AQF77" s="541"/>
      <c r="AQG77" s="541"/>
      <c r="AQH77" s="541"/>
      <c r="AQI77" s="541"/>
      <c r="AQJ77" s="541"/>
      <c r="AQK77" s="541"/>
      <c r="AQL77" s="541"/>
      <c r="AQM77" s="541"/>
      <c r="AQN77" s="541"/>
      <c r="AQO77" s="541"/>
      <c r="AQP77" s="541"/>
      <c r="AQQ77" s="541"/>
      <c r="AQR77" s="541"/>
      <c r="AQS77" s="541"/>
      <c r="AQT77" s="541"/>
      <c r="AQU77" s="541"/>
      <c r="AQV77" s="541"/>
      <c r="AQW77" s="541"/>
      <c r="AQX77" s="541"/>
      <c r="AQY77" s="541"/>
      <c r="AQZ77" s="541"/>
      <c r="ARA77" s="541"/>
      <c r="ARB77" s="541"/>
      <c r="ARC77" s="541"/>
      <c r="ARD77" s="541"/>
      <c r="ARE77" s="541"/>
      <c r="ARF77" s="541"/>
      <c r="ARG77" s="541"/>
      <c r="ARH77" s="541"/>
      <c r="ARI77" s="541"/>
      <c r="ARJ77" s="541"/>
      <c r="ARK77" s="541"/>
      <c r="ARL77" s="541"/>
      <c r="ARM77" s="541"/>
      <c r="ARN77" s="541"/>
      <c r="ARO77" s="541"/>
      <c r="ARP77" s="541"/>
      <c r="ARQ77" s="541"/>
      <c r="ARR77" s="541"/>
      <c r="ARS77" s="541"/>
      <c r="ART77" s="541"/>
      <c r="ARU77" s="541"/>
    </row>
    <row r="78" spans="1:1165" s="658" customFormat="1">
      <c r="A78" s="613" t="s">
        <v>242</v>
      </c>
      <c r="B78" s="578" t="s">
        <v>110</v>
      </c>
      <c r="C78" s="659">
        <v>84</v>
      </c>
      <c r="D78" s="659">
        <v>713</v>
      </c>
      <c r="E78" s="579">
        <v>0</v>
      </c>
      <c r="F78" s="579">
        <v>0</v>
      </c>
      <c r="G78" s="581">
        <v>44</v>
      </c>
      <c r="H78" s="581">
        <v>661</v>
      </c>
      <c r="I78" s="579">
        <v>0</v>
      </c>
      <c r="J78" s="579">
        <v>0</v>
      </c>
      <c r="K78" s="579">
        <v>0</v>
      </c>
      <c r="L78" s="579">
        <v>0</v>
      </c>
      <c r="M78" s="579">
        <v>0</v>
      </c>
      <c r="N78" s="579">
        <v>0</v>
      </c>
      <c r="O78" s="579">
        <v>0</v>
      </c>
      <c r="P78" s="579">
        <v>0</v>
      </c>
      <c r="Q78" s="579">
        <v>0</v>
      </c>
      <c r="R78" s="579">
        <v>0</v>
      </c>
      <c r="S78" s="579">
        <v>0</v>
      </c>
      <c r="T78" s="579">
        <v>0</v>
      </c>
      <c r="U78" s="579">
        <v>0</v>
      </c>
      <c r="V78" s="579">
        <v>0</v>
      </c>
      <c r="W78" s="579">
        <v>0</v>
      </c>
      <c r="X78" s="579">
        <v>0</v>
      </c>
      <c r="Y78" s="579">
        <v>0</v>
      </c>
      <c r="Z78" s="579">
        <v>0</v>
      </c>
      <c r="AA78" s="579">
        <v>0</v>
      </c>
      <c r="AB78" s="579">
        <v>0</v>
      </c>
      <c r="AC78" s="579">
        <v>0</v>
      </c>
      <c r="AD78" s="579">
        <v>0</v>
      </c>
      <c r="AE78" s="579">
        <v>0</v>
      </c>
      <c r="AF78" s="579">
        <v>0</v>
      </c>
      <c r="AG78" s="579">
        <v>0</v>
      </c>
      <c r="AH78" s="579">
        <v>0</v>
      </c>
      <c r="AI78" s="579">
        <v>0</v>
      </c>
      <c r="AJ78" s="579">
        <v>0</v>
      </c>
      <c r="AK78" s="661">
        <v>0</v>
      </c>
      <c r="AL78" s="661">
        <v>0</v>
      </c>
      <c r="AM78" s="579">
        <v>0</v>
      </c>
      <c r="AN78" s="579">
        <v>0</v>
      </c>
      <c r="AO78" s="579">
        <v>0</v>
      </c>
      <c r="AP78" s="579">
        <v>0</v>
      </c>
      <c r="AQ78" s="579">
        <v>0</v>
      </c>
      <c r="AR78" s="579">
        <v>0</v>
      </c>
      <c r="AS78" s="579">
        <v>0</v>
      </c>
      <c r="AT78" s="579">
        <v>0</v>
      </c>
      <c r="AU78" s="579">
        <v>0</v>
      </c>
      <c r="AV78" s="579">
        <v>0</v>
      </c>
      <c r="AW78" s="598">
        <v>0</v>
      </c>
      <c r="AX78" s="598">
        <v>0</v>
      </c>
      <c r="AY78" s="581">
        <v>0</v>
      </c>
      <c r="AZ78" s="581">
        <v>0</v>
      </c>
      <c r="BA78" s="579"/>
      <c r="BB78" s="598"/>
      <c r="BC78" s="598"/>
      <c r="BD78" s="598"/>
      <c r="BE78" s="598"/>
      <c r="BF78" s="598"/>
      <c r="BG78" s="598"/>
      <c r="BH78" s="598"/>
      <c r="BI78" s="598"/>
      <c r="BJ78" s="598">
        <f t="shared" si="8"/>
        <v>128</v>
      </c>
      <c r="BK78" s="581">
        <f t="shared" si="9"/>
        <v>1374</v>
      </c>
      <c r="BL78" s="541"/>
      <c r="BM78" s="42"/>
      <c r="BN78" s="624"/>
      <c r="BO78" s="541"/>
      <c r="BP78" s="624"/>
      <c r="BQ78" s="541"/>
      <c r="BR78" s="541"/>
      <c r="BS78" s="541"/>
      <c r="BT78" s="541"/>
      <c r="BU78" s="541"/>
      <c r="BV78" s="541"/>
      <c r="BW78" s="541"/>
      <c r="BX78" s="541"/>
      <c r="BY78" s="541"/>
      <c r="BZ78" s="541"/>
      <c r="CA78" s="541"/>
      <c r="CB78" s="541"/>
      <c r="CC78" s="541"/>
      <c r="CD78" s="541"/>
      <c r="CE78" s="541"/>
      <c r="CF78" s="541"/>
      <c r="CG78" s="541"/>
      <c r="CH78" s="541"/>
      <c r="CI78" s="541"/>
      <c r="CJ78" s="541"/>
      <c r="CK78" s="541"/>
      <c r="CL78" s="541"/>
      <c r="CM78" s="541"/>
      <c r="CN78" s="541"/>
      <c r="CO78" s="541"/>
      <c r="CP78" s="541"/>
      <c r="CQ78" s="541"/>
      <c r="CR78" s="541"/>
      <c r="CS78" s="541"/>
      <c r="CT78" s="541"/>
      <c r="CU78" s="541"/>
      <c r="CV78" s="541"/>
      <c r="CW78" s="541"/>
      <c r="CX78" s="541"/>
      <c r="CY78" s="541"/>
      <c r="CZ78" s="541"/>
      <c r="DA78" s="541"/>
      <c r="DB78" s="541"/>
      <c r="DC78" s="541"/>
      <c r="DD78" s="541"/>
      <c r="DE78" s="541"/>
      <c r="DF78" s="541"/>
      <c r="DG78" s="541"/>
      <c r="DH78" s="541"/>
      <c r="DI78" s="541"/>
      <c r="DJ78" s="541"/>
      <c r="DK78" s="541"/>
      <c r="DL78" s="541"/>
      <c r="DM78" s="541"/>
      <c r="DN78" s="541"/>
      <c r="DO78" s="541"/>
      <c r="DP78" s="541"/>
      <c r="DQ78" s="541"/>
      <c r="DR78" s="541"/>
      <c r="DS78" s="541"/>
      <c r="DT78" s="541"/>
      <c r="DU78" s="541"/>
      <c r="DV78" s="541"/>
      <c r="DW78" s="541"/>
      <c r="DX78" s="541"/>
      <c r="DY78" s="541"/>
      <c r="DZ78" s="541"/>
      <c r="EA78" s="541"/>
      <c r="EB78" s="541"/>
      <c r="EC78" s="541"/>
      <c r="ED78" s="541"/>
      <c r="EE78" s="541"/>
      <c r="EF78" s="541"/>
      <c r="EG78" s="541"/>
      <c r="EH78" s="541"/>
      <c r="EI78" s="541"/>
      <c r="EJ78" s="541"/>
      <c r="EK78" s="541"/>
      <c r="EL78" s="541"/>
      <c r="EM78" s="541"/>
      <c r="EN78" s="541"/>
      <c r="EO78" s="541"/>
      <c r="EP78" s="541"/>
      <c r="EQ78" s="541"/>
      <c r="ER78" s="541"/>
      <c r="ES78" s="541"/>
      <c r="ET78" s="541"/>
      <c r="EU78" s="541"/>
      <c r="EV78" s="541"/>
      <c r="EW78" s="541"/>
      <c r="EX78" s="541"/>
      <c r="EY78" s="541"/>
      <c r="EZ78" s="541"/>
      <c r="FA78" s="541"/>
      <c r="FB78" s="541"/>
      <c r="FC78" s="541"/>
      <c r="FD78" s="541"/>
      <c r="FE78" s="541"/>
      <c r="FF78" s="541"/>
      <c r="FG78" s="541"/>
      <c r="FH78" s="541"/>
      <c r="FI78" s="541"/>
      <c r="FJ78" s="541"/>
      <c r="FK78" s="541"/>
      <c r="FL78" s="541"/>
      <c r="FM78" s="541"/>
      <c r="FN78" s="541"/>
      <c r="FO78" s="541"/>
      <c r="FP78" s="541"/>
      <c r="FQ78" s="541"/>
      <c r="FR78" s="541"/>
      <c r="FS78" s="541"/>
      <c r="FT78" s="541"/>
      <c r="FU78" s="541"/>
      <c r="FV78" s="541"/>
      <c r="FW78" s="541"/>
      <c r="FX78" s="541"/>
      <c r="FY78" s="541"/>
      <c r="FZ78" s="541"/>
      <c r="GA78" s="541"/>
      <c r="GB78" s="541"/>
      <c r="GC78" s="541"/>
      <c r="GD78" s="541"/>
      <c r="GE78" s="541"/>
      <c r="GF78" s="541"/>
      <c r="GG78" s="541"/>
      <c r="GH78" s="541"/>
      <c r="GI78" s="541"/>
      <c r="GJ78" s="541"/>
      <c r="GK78" s="541"/>
      <c r="GL78" s="541"/>
      <c r="GM78" s="541"/>
      <c r="GN78" s="541"/>
      <c r="GO78" s="541"/>
      <c r="GP78" s="541"/>
      <c r="GQ78" s="541"/>
      <c r="GR78" s="541"/>
      <c r="GS78" s="541"/>
      <c r="GT78" s="541"/>
      <c r="GU78" s="541"/>
      <c r="GV78" s="541"/>
      <c r="GW78" s="541"/>
      <c r="GX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E78" s="541"/>
      <c r="IF78" s="541"/>
      <c r="IG78" s="541"/>
      <c r="IH78" s="541"/>
      <c r="II78" s="541"/>
      <c r="IJ78" s="541"/>
      <c r="IK78" s="541"/>
      <c r="IL78" s="541"/>
      <c r="IM78" s="541"/>
      <c r="IN78" s="541"/>
      <c r="IO78" s="541"/>
      <c r="IP78" s="541"/>
      <c r="IQ78" s="541"/>
      <c r="IR78" s="541"/>
      <c r="IS78" s="541"/>
      <c r="IT78" s="541"/>
      <c r="IU78" s="541"/>
      <c r="IV78" s="541"/>
      <c r="IW78" s="541"/>
      <c r="IX78" s="541"/>
      <c r="IY78" s="541"/>
      <c r="IZ78" s="541"/>
      <c r="JA78" s="541"/>
      <c r="JB78" s="541"/>
      <c r="JC78" s="541"/>
      <c r="JD78" s="541"/>
      <c r="JE78" s="541"/>
      <c r="JF78" s="541"/>
      <c r="JG78" s="541"/>
      <c r="JH78" s="541"/>
      <c r="JI78" s="541"/>
      <c r="JJ78" s="541"/>
      <c r="JK78" s="541"/>
      <c r="JL78" s="541"/>
      <c r="JM78" s="541"/>
      <c r="JN78" s="541"/>
      <c r="JO78" s="541"/>
      <c r="JP78" s="541"/>
      <c r="JQ78" s="541"/>
      <c r="JR78" s="541"/>
      <c r="JS78" s="541"/>
      <c r="JT78" s="541"/>
      <c r="JU78" s="541"/>
      <c r="JV78" s="541"/>
      <c r="JW78" s="541"/>
      <c r="JX78" s="541"/>
      <c r="JY78" s="541"/>
      <c r="JZ78" s="541"/>
      <c r="KA78" s="541"/>
      <c r="KB78" s="541"/>
      <c r="KC78" s="541"/>
      <c r="KD78" s="541"/>
      <c r="KE78" s="541"/>
      <c r="KF78" s="541"/>
      <c r="KG78" s="541"/>
      <c r="KH78" s="541"/>
      <c r="KI78" s="541"/>
      <c r="KJ78" s="541"/>
      <c r="KK78" s="541"/>
      <c r="KL78" s="541"/>
      <c r="KM78" s="541"/>
      <c r="KN78" s="541"/>
      <c r="KO78" s="541"/>
      <c r="KP78" s="541"/>
      <c r="KQ78" s="541"/>
      <c r="KR78" s="541"/>
      <c r="KS78" s="541"/>
      <c r="KT78" s="541"/>
      <c r="KU78" s="541"/>
      <c r="KV78" s="541"/>
      <c r="KW78" s="541"/>
      <c r="KX78" s="541"/>
      <c r="KY78" s="541"/>
      <c r="KZ78" s="541"/>
      <c r="LA78" s="541"/>
      <c r="LB78" s="541"/>
      <c r="LC78" s="541"/>
      <c r="LD78" s="541"/>
      <c r="LE78" s="541"/>
      <c r="LF78" s="541"/>
      <c r="LG78" s="541"/>
      <c r="LH78" s="541"/>
      <c r="LI78" s="541"/>
      <c r="LJ78" s="541"/>
      <c r="LK78" s="541"/>
      <c r="LL78" s="541"/>
      <c r="LM78" s="541"/>
      <c r="LN78" s="541"/>
      <c r="LO78" s="541"/>
      <c r="LP78" s="541"/>
      <c r="LQ78" s="541"/>
      <c r="LR78" s="541"/>
      <c r="LS78" s="541"/>
      <c r="LT78" s="541"/>
      <c r="LU78" s="541"/>
      <c r="LV78" s="541"/>
      <c r="LW78" s="541"/>
      <c r="LX78" s="541"/>
      <c r="LY78" s="541"/>
      <c r="LZ78" s="541"/>
      <c r="MA78" s="541"/>
      <c r="MB78" s="541"/>
      <c r="MC78" s="541"/>
      <c r="MD78" s="541"/>
      <c r="ME78" s="541"/>
      <c r="MF78" s="541"/>
      <c r="MG78" s="541"/>
      <c r="MH78" s="541"/>
      <c r="MI78" s="541"/>
      <c r="MJ78" s="541"/>
      <c r="MK78" s="541"/>
      <c r="ML78" s="541"/>
      <c r="MM78" s="541"/>
      <c r="MN78" s="541"/>
      <c r="MO78" s="541"/>
      <c r="MP78" s="541"/>
      <c r="MQ78" s="541"/>
      <c r="MR78" s="541"/>
      <c r="MS78" s="541"/>
      <c r="MT78" s="541"/>
      <c r="MU78" s="541"/>
      <c r="MV78" s="541"/>
      <c r="MW78" s="541"/>
      <c r="MX78" s="541"/>
      <c r="MY78" s="541"/>
      <c r="MZ78" s="541"/>
      <c r="NA78" s="541"/>
      <c r="NB78" s="541"/>
      <c r="NC78" s="541"/>
      <c r="ND78" s="541"/>
      <c r="NE78" s="541"/>
      <c r="NF78" s="541"/>
      <c r="NG78" s="541"/>
      <c r="NH78" s="541"/>
      <c r="NI78" s="541"/>
      <c r="NJ78" s="541"/>
      <c r="NK78" s="541"/>
      <c r="NL78" s="541"/>
      <c r="NM78" s="541"/>
      <c r="NN78" s="541"/>
      <c r="NO78" s="541"/>
      <c r="NP78" s="541"/>
      <c r="NQ78" s="541"/>
      <c r="NR78" s="541"/>
      <c r="NS78" s="541"/>
      <c r="NT78" s="541"/>
      <c r="NU78" s="541"/>
      <c r="NV78" s="541"/>
      <c r="NW78" s="541"/>
      <c r="NX78" s="541"/>
      <c r="NY78" s="541"/>
      <c r="NZ78" s="541"/>
      <c r="OA78" s="541"/>
      <c r="OB78" s="541"/>
      <c r="OC78" s="541"/>
      <c r="OD78" s="541"/>
      <c r="OE78" s="541"/>
      <c r="OF78" s="541"/>
      <c r="OG78" s="541"/>
      <c r="OH78" s="541"/>
      <c r="OI78" s="541"/>
      <c r="OJ78" s="541"/>
      <c r="OK78" s="541"/>
      <c r="OL78" s="541"/>
      <c r="OM78" s="541"/>
      <c r="ON78" s="541"/>
      <c r="OO78" s="541"/>
      <c r="OP78" s="541"/>
      <c r="OQ78" s="541"/>
      <c r="OR78" s="541"/>
      <c r="OS78" s="541"/>
      <c r="OT78" s="541"/>
      <c r="OU78" s="541"/>
      <c r="OV78" s="541"/>
      <c r="OW78" s="541"/>
      <c r="OX78" s="541"/>
      <c r="OY78" s="541"/>
      <c r="OZ78" s="541"/>
      <c r="PA78" s="541"/>
      <c r="PB78" s="541"/>
      <c r="PC78" s="541"/>
      <c r="PD78" s="541"/>
      <c r="PE78" s="541"/>
      <c r="PF78" s="541"/>
      <c r="PG78" s="541"/>
      <c r="PH78" s="541"/>
      <c r="PI78" s="541"/>
      <c r="PJ78" s="541"/>
      <c r="PK78" s="541"/>
      <c r="PL78" s="541"/>
      <c r="PM78" s="541"/>
      <c r="PN78" s="541"/>
      <c r="PO78" s="541"/>
      <c r="PP78" s="541"/>
      <c r="PQ78" s="541"/>
      <c r="PR78" s="541"/>
      <c r="PS78" s="541"/>
      <c r="PT78" s="541"/>
      <c r="PU78" s="541"/>
      <c r="PV78" s="541"/>
      <c r="PW78" s="541"/>
      <c r="PX78" s="541"/>
      <c r="PY78" s="541"/>
      <c r="PZ78" s="541"/>
      <c r="QA78" s="541"/>
      <c r="QB78" s="541"/>
      <c r="QC78" s="541"/>
      <c r="QD78" s="541"/>
      <c r="QE78" s="541"/>
      <c r="QF78" s="541"/>
      <c r="QG78" s="541"/>
      <c r="QH78" s="541"/>
      <c r="QI78" s="541"/>
      <c r="QJ78" s="541"/>
      <c r="QK78" s="541"/>
      <c r="QL78" s="541"/>
      <c r="QM78" s="541"/>
      <c r="QN78" s="541"/>
      <c r="QO78" s="541"/>
      <c r="QP78" s="541"/>
      <c r="QQ78" s="541"/>
      <c r="QR78" s="541"/>
      <c r="QS78" s="541"/>
      <c r="QT78" s="541"/>
      <c r="QU78" s="541"/>
      <c r="QV78" s="541"/>
      <c r="QW78" s="541"/>
      <c r="QX78" s="541"/>
      <c r="QY78" s="541"/>
      <c r="QZ78" s="541"/>
      <c r="RA78" s="541"/>
      <c r="RB78" s="541"/>
      <c r="RC78" s="541"/>
      <c r="RD78" s="541"/>
      <c r="RE78" s="541"/>
      <c r="RF78" s="541"/>
      <c r="RG78" s="541"/>
      <c r="RH78" s="541"/>
      <c r="RI78" s="541"/>
      <c r="RJ78" s="541"/>
      <c r="RK78" s="541"/>
      <c r="RL78" s="541"/>
      <c r="RM78" s="541"/>
      <c r="RN78" s="541"/>
      <c r="RO78" s="541"/>
      <c r="RP78" s="541"/>
      <c r="RQ78" s="541"/>
      <c r="RR78" s="541"/>
      <c r="RS78" s="541"/>
      <c r="RT78" s="541"/>
      <c r="RU78" s="541"/>
      <c r="RV78" s="541"/>
      <c r="RW78" s="541"/>
      <c r="RX78" s="541"/>
      <c r="RY78" s="541"/>
      <c r="RZ78" s="541"/>
      <c r="SA78" s="541"/>
      <c r="SB78" s="541"/>
      <c r="SC78" s="541"/>
      <c r="SD78" s="541"/>
      <c r="SE78" s="541"/>
      <c r="SF78" s="541"/>
      <c r="SG78" s="541"/>
      <c r="SH78" s="541"/>
      <c r="SI78" s="541"/>
      <c r="SJ78" s="541"/>
      <c r="SK78" s="541"/>
      <c r="SL78" s="541"/>
      <c r="SM78" s="541"/>
      <c r="SN78" s="541"/>
      <c r="SO78" s="541"/>
      <c r="SP78" s="541"/>
      <c r="SQ78" s="541"/>
      <c r="SR78" s="541"/>
      <c r="SS78" s="541"/>
      <c r="ST78" s="541"/>
      <c r="SU78" s="541"/>
      <c r="SV78" s="541"/>
      <c r="SW78" s="541"/>
      <c r="SX78" s="541"/>
      <c r="SY78" s="541"/>
      <c r="SZ78" s="541"/>
      <c r="TA78" s="541"/>
      <c r="TB78" s="541"/>
      <c r="TC78" s="541"/>
      <c r="TD78" s="541"/>
      <c r="TE78" s="541"/>
      <c r="TF78" s="541"/>
      <c r="TG78" s="541"/>
      <c r="TH78" s="541"/>
      <c r="TI78" s="541"/>
      <c r="TJ78" s="541"/>
      <c r="TK78" s="541"/>
      <c r="TL78" s="541"/>
      <c r="TM78" s="541"/>
      <c r="TN78" s="541"/>
      <c r="TO78" s="541"/>
      <c r="TP78" s="541"/>
      <c r="TQ78" s="541"/>
      <c r="TR78" s="541"/>
      <c r="TS78" s="541"/>
      <c r="TT78" s="541"/>
      <c r="TU78" s="541"/>
      <c r="TV78" s="541"/>
      <c r="TW78" s="541"/>
      <c r="TX78" s="541"/>
      <c r="TY78" s="541"/>
      <c r="TZ78" s="541"/>
      <c r="UA78" s="541"/>
      <c r="UB78" s="541"/>
      <c r="UC78" s="541"/>
      <c r="UD78" s="541"/>
      <c r="UE78" s="541"/>
      <c r="UF78" s="541"/>
      <c r="UG78" s="541"/>
      <c r="UH78" s="541"/>
      <c r="UI78" s="541"/>
      <c r="UJ78" s="541"/>
      <c r="UK78" s="541"/>
      <c r="UL78" s="541"/>
      <c r="UM78" s="541"/>
      <c r="UN78" s="541"/>
      <c r="UO78" s="541"/>
      <c r="UP78" s="541"/>
      <c r="UQ78" s="541"/>
      <c r="UR78" s="541"/>
      <c r="US78" s="541"/>
      <c r="UT78" s="541"/>
      <c r="UU78" s="541"/>
      <c r="UV78" s="541"/>
      <c r="UW78" s="541"/>
      <c r="UX78" s="541"/>
      <c r="UY78" s="541"/>
      <c r="UZ78" s="541"/>
      <c r="VA78" s="541"/>
      <c r="VB78" s="541"/>
      <c r="VC78" s="541"/>
      <c r="VD78" s="541"/>
      <c r="VE78" s="541"/>
      <c r="VF78" s="541"/>
      <c r="VG78" s="541"/>
      <c r="VH78" s="541"/>
      <c r="VI78" s="541"/>
      <c r="VJ78" s="541"/>
      <c r="VK78" s="541"/>
      <c r="VL78" s="541"/>
      <c r="VM78" s="541"/>
      <c r="VN78" s="541"/>
      <c r="VO78" s="541"/>
      <c r="VP78" s="541"/>
      <c r="VQ78" s="541"/>
      <c r="VR78" s="541"/>
      <c r="VS78" s="541"/>
      <c r="VT78" s="541"/>
      <c r="VU78" s="541"/>
      <c r="VV78" s="541"/>
      <c r="VW78" s="541"/>
      <c r="VX78" s="541"/>
      <c r="VY78" s="541"/>
      <c r="VZ78" s="541"/>
      <c r="WA78" s="541"/>
      <c r="WB78" s="541"/>
      <c r="WC78" s="541"/>
      <c r="WD78" s="541"/>
      <c r="WE78" s="541"/>
      <c r="WF78" s="541"/>
      <c r="WG78" s="541"/>
      <c r="WH78" s="541"/>
      <c r="WI78" s="541"/>
      <c r="WJ78" s="541"/>
      <c r="WK78" s="541"/>
      <c r="WL78" s="541"/>
      <c r="WM78" s="541"/>
      <c r="WN78" s="541"/>
      <c r="WO78" s="541"/>
      <c r="WP78" s="541"/>
      <c r="WQ78" s="541"/>
      <c r="WR78" s="541"/>
      <c r="WS78" s="541"/>
      <c r="WT78" s="541"/>
      <c r="WU78" s="541"/>
      <c r="WV78" s="541"/>
      <c r="WW78" s="541"/>
      <c r="WX78" s="541"/>
      <c r="WY78" s="541"/>
      <c r="WZ78" s="541"/>
      <c r="XA78" s="541"/>
      <c r="XB78" s="541"/>
      <c r="XC78" s="541"/>
      <c r="XD78" s="541"/>
      <c r="XE78" s="541"/>
      <c r="XF78" s="541"/>
      <c r="XG78" s="541"/>
      <c r="XH78" s="541"/>
      <c r="XI78" s="541"/>
      <c r="XJ78" s="541"/>
      <c r="XK78" s="541"/>
      <c r="XL78" s="541"/>
      <c r="XM78" s="541"/>
      <c r="XN78" s="541"/>
      <c r="XO78" s="541"/>
      <c r="XP78" s="541"/>
      <c r="XQ78" s="541"/>
      <c r="XR78" s="541"/>
      <c r="XS78" s="541"/>
      <c r="XT78" s="541"/>
      <c r="XU78" s="541"/>
      <c r="XV78" s="541"/>
      <c r="XW78" s="541"/>
      <c r="XX78" s="541"/>
      <c r="XY78" s="541"/>
      <c r="XZ78" s="541"/>
      <c r="YA78" s="541"/>
      <c r="YB78" s="541"/>
      <c r="YC78" s="541"/>
      <c r="YD78" s="541"/>
      <c r="YE78" s="541"/>
      <c r="YF78" s="541"/>
      <c r="YG78" s="541"/>
      <c r="YH78" s="541"/>
      <c r="YI78" s="541"/>
      <c r="YJ78" s="541"/>
      <c r="YK78" s="541"/>
      <c r="YL78" s="541"/>
      <c r="YM78" s="541"/>
      <c r="YN78" s="541"/>
      <c r="YO78" s="541"/>
      <c r="YP78" s="541"/>
      <c r="YQ78" s="541"/>
      <c r="YR78" s="541"/>
      <c r="YS78" s="541"/>
      <c r="YT78" s="541"/>
      <c r="YU78" s="541"/>
      <c r="YV78" s="541"/>
      <c r="YW78" s="541"/>
      <c r="YX78" s="541"/>
      <c r="YY78" s="541"/>
      <c r="YZ78" s="541"/>
      <c r="ZA78" s="541"/>
      <c r="ZB78" s="541"/>
      <c r="ZC78" s="541"/>
      <c r="ZD78" s="541"/>
      <c r="ZE78" s="541"/>
      <c r="ZF78" s="541"/>
      <c r="ZG78" s="541"/>
      <c r="ZH78" s="541"/>
      <c r="ZI78" s="541"/>
      <c r="ZJ78" s="541"/>
      <c r="ZK78" s="541"/>
      <c r="ZL78" s="541"/>
      <c r="ZM78" s="541"/>
      <c r="ZN78" s="541"/>
      <c r="ZO78" s="541"/>
      <c r="ZP78" s="541"/>
      <c r="ZQ78" s="541"/>
      <c r="ZR78" s="541"/>
      <c r="ZS78" s="541"/>
      <c r="ZT78" s="541"/>
      <c r="ZU78" s="541"/>
      <c r="ZV78" s="541"/>
      <c r="ZW78" s="541"/>
      <c r="ZX78" s="541"/>
      <c r="ZY78" s="541"/>
      <c r="ZZ78" s="541"/>
      <c r="AAA78" s="541"/>
      <c r="AAB78" s="541"/>
      <c r="AAC78" s="541"/>
      <c r="AAD78" s="541"/>
      <c r="AAE78" s="541"/>
      <c r="AAF78" s="541"/>
      <c r="AAG78" s="541"/>
      <c r="AAH78" s="541"/>
      <c r="AAI78" s="541"/>
      <c r="AAJ78" s="541"/>
      <c r="AAK78" s="541"/>
      <c r="AAL78" s="541"/>
      <c r="AAM78" s="541"/>
      <c r="AAN78" s="541"/>
      <c r="AAO78" s="541"/>
      <c r="AAP78" s="541"/>
      <c r="AAQ78" s="541"/>
      <c r="AAR78" s="541"/>
      <c r="AAS78" s="541"/>
      <c r="AAT78" s="541"/>
      <c r="AAU78" s="541"/>
      <c r="AAV78" s="541"/>
      <c r="AAW78" s="541"/>
      <c r="AAX78" s="541"/>
      <c r="AAY78" s="541"/>
      <c r="AAZ78" s="541"/>
      <c r="ABA78" s="541"/>
      <c r="ABB78" s="541"/>
      <c r="ABC78" s="541"/>
      <c r="ABD78" s="541"/>
      <c r="ABE78" s="541"/>
      <c r="ABF78" s="541"/>
      <c r="ABG78" s="541"/>
      <c r="ABH78" s="541"/>
      <c r="ABI78" s="541"/>
      <c r="ABJ78" s="541"/>
      <c r="ABK78" s="541"/>
      <c r="ABL78" s="541"/>
      <c r="ABM78" s="541"/>
      <c r="ABN78" s="541"/>
      <c r="ABO78" s="541"/>
      <c r="ABP78" s="541"/>
      <c r="ABQ78" s="541"/>
      <c r="ABR78" s="541"/>
      <c r="ABS78" s="541"/>
      <c r="ABT78" s="541"/>
      <c r="ABU78" s="541"/>
      <c r="ABV78" s="541"/>
      <c r="ABW78" s="541"/>
      <c r="ABX78" s="541"/>
      <c r="ABY78" s="541"/>
      <c r="ABZ78" s="541"/>
      <c r="ACA78" s="541"/>
      <c r="ACB78" s="541"/>
      <c r="ACC78" s="541"/>
      <c r="ACD78" s="541"/>
      <c r="ACE78" s="541"/>
      <c r="ACF78" s="541"/>
      <c r="ACG78" s="541"/>
      <c r="ACH78" s="541"/>
      <c r="ACI78" s="541"/>
      <c r="ACJ78" s="541"/>
      <c r="ACK78" s="541"/>
      <c r="ACL78" s="541"/>
      <c r="ACM78" s="541"/>
      <c r="ACN78" s="541"/>
      <c r="ACO78" s="541"/>
      <c r="ACP78" s="541"/>
      <c r="ACQ78" s="541"/>
      <c r="ACR78" s="541"/>
      <c r="ACS78" s="541"/>
      <c r="ACT78" s="541"/>
      <c r="ACU78" s="541"/>
      <c r="ACV78" s="541"/>
      <c r="ACW78" s="541"/>
      <c r="ACX78" s="541"/>
      <c r="ACY78" s="541"/>
      <c r="ACZ78" s="541"/>
      <c r="ADA78" s="541"/>
      <c r="ADB78" s="541"/>
      <c r="ADC78" s="541"/>
      <c r="ADD78" s="541"/>
      <c r="ADE78" s="541"/>
      <c r="ADF78" s="541"/>
      <c r="ADG78" s="541"/>
      <c r="ADH78" s="541"/>
      <c r="ADI78" s="541"/>
      <c r="ADJ78" s="541"/>
      <c r="ADK78" s="541"/>
      <c r="ADL78" s="541"/>
      <c r="ADM78" s="541"/>
      <c r="ADN78" s="541"/>
      <c r="ADO78" s="541"/>
      <c r="ADP78" s="541"/>
      <c r="ADQ78" s="541"/>
      <c r="ADR78" s="541"/>
      <c r="ADS78" s="541"/>
      <c r="ADT78" s="541"/>
      <c r="ADU78" s="541"/>
      <c r="ADV78" s="541"/>
      <c r="ADW78" s="541"/>
      <c r="ADX78" s="541"/>
      <c r="ADY78" s="541"/>
      <c r="ADZ78" s="541"/>
      <c r="AEA78" s="541"/>
      <c r="AEB78" s="541"/>
      <c r="AEC78" s="541"/>
      <c r="AED78" s="541"/>
      <c r="AEE78" s="541"/>
      <c r="AEF78" s="541"/>
      <c r="AEG78" s="541"/>
      <c r="AEH78" s="541"/>
      <c r="AEI78" s="541"/>
      <c r="AEJ78" s="541"/>
      <c r="AEK78" s="541"/>
      <c r="AEL78" s="541"/>
      <c r="AEM78" s="541"/>
      <c r="AEN78" s="541"/>
      <c r="AEO78" s="541"/>
      <c r="AEP78" s="541"/>
      <c r="AEQ78" s="541"/>
      <c r="AER78" s="541"/>
      <c r="AES78" s="541"/>
      <c r="AET78" s="541"/>
      <c r="AEU78" s="541"/>
      <c r="AEV78" s="541"/>
      <c r="AEW78" s="541"/>
      <c r="AEX78" s="541"/>
      <c r="AEY78" s="541"/>
      <c r="AEZ78" s="541"/>
      <c r="AFA78" s="541"/>
      <c r="AFB78" s="541"/>
      <c r="AFC78" s="541"/>
      <c r="AFD78" s="541"/>
      <c r="AFE78" s="541"/>
      <c r="AFF78" s="541"/>
      <c r="AFG78" s="541"/>
      <c r="AFH78" s="541"/>
      <c r="AFI78" s="541"/>
      <c r="AFJ78" s="541"/>
      <c r="AFK78" s="541"/>
      <c r="AFL78" s="541"/>
      <c r="AFM78" s="541"/>
      <c r="AFN78" s="541"/>
      <c r="AFO78" s="541"/>
      <c r="AFP78" s="541"/>
      <c r="AFQ78" s="541"/>
      <c r="AFR78" s="541"/>
      <c r="AFS78" s="541"/>
      <c r="AFT78" s="541"/>
      <c r="AFU78" s="541"/>
      <c r="AFV78" s="541"/>
      <c r="AFW78" s="541"/>
      <c r="AFX78" s="541"/>
      <c r="AFY78" s="541"/>
      <c r="AFZ78" s="541"/>
      <c r="AGA78" s="541"/>
      <c r="AGB78" s="541"/>
      <c r="AGC78" s="541"/>
      <c r="AGD78" s="541"/>
      <c r="AGE78" s="541"/>
      <c r="AGF78" s="541"/>
      <c r="AGG78" s="541"/>
      <c r="AGH78" s="541"/>
      <c r="AGI78" s="541"/>
      <c r="AGJ78" s="541"/>
      <c r="AGK78" s="541"/>
      <c r="AGL78" s="541"/>
      <c r="AGM78" s="541"/>
      <c r="AGN78" s="541"/>
      <c r="AGO78" s="541"/>
      <c r="AGP78" s="541"/>
      <c r="AGQ78" s="541"/>
      <c r="AGR78" s="541"/>
      <c r="AGS78" s="541"/>
      <c r="AGT78" s="541"/>
      <c r="AGU78" s="541"/>
      <c r="AGV78" s="541"/>
      <c r="AGW78" s="541"/>
      <c r="AGX78" s="541"/>
      <c r="AGY78" s="541"/>
      <c r="AGZ78" s="541"/>
      <c r="AHA78" s="541"/>
      <c r="AHB78" s="541"/>
      <c r="AHC78" s="541"/>
      <c r="AHD78" s="541"/>
      <c r="AHE78" s="541"/>
      <c r="AHF78" s="541"/>
      <c r="AHG78" s="541"/>
      <c r="AHH78" s="541"/>
      <c r="AHI78" s="541"/>
      <c r="AHJ78" s="541"/>
      <c r="AHK78" s="541"/>
      <c r="AHL78" s="541"/>
      <c r="AHM78" s="541"/>
      <c r="AHN78" s="541"/>
      <c r="AHO78" s="541"/>
      <c r="AHP78" s="541"/>
      <c r="AHQ78" s="541"/>
      <c r="AHR78" s="541"/>
      <c r="AHS78" s="541"/>
      <c r="AHT78" s="541"/>
      <c r="AHU78" s="541"/>
      <c r="AHV78" s="541"/>
      <c r="AHW78" s="541"/>
      <c r="AHX78" s="541"/>
      <c r="AHY78" s="541"/>
      <c r="AHZ78" s="541"/>
      <c r="AIA78" s="541"/>
      <c r="AIB78" s="541"/>
      <c r="AIC78" s="541"/>
      <c r="AID78" s="541"/>
      <c r="AIE78" s="541"/>
      <c r="AIF78" s="541"/>
      <c r="AIG78" s="541"/>
      <c r="AIH78" s="541"/>
      <c r="AII78" s="541"/>
      <c r="AIJ78" s="541"/>
      <c r="AIK78" s="541"/>
      <c r="AIL78" s="541"/>
      <c r="AIM78" s="541"/>
      <c r="AIN78" s="541"/>
      <c r="AIO78" s="541"/>
      <c r="AIP78" s="541"/>
      <c r="AIQ78" s="541"/>
      <c r="AIR78" s="541"/>
      <c r="AIS78" s="541"/>
      <c r="AIT78" s="541"/>
      <c r="AIU78" s="541"/>
      <c r="AIV78" s="541"/>
      <c r="AIW78" s="541"/>
      <c r="AIX78" s="541"/>
      <c r="AIY78" s="541"/>
      <c r="AIZ78" s="541"/>
      <c r="AJA78" s="541"/>
      <c r="AJB78" s="541"/>
      <c r="AJC78" s="541"/>
      <c r="AJD78" s="541"/>
      <c r="AJE78" s="541"/>
      <c r="AJF78" s="541"/>
      <c r="AJG78" s="541"/>
      <c r="AJH78" s="541"/>
      <c r="AJI78" s="541"/>
      <c r="AJJ78" s="541"/>
      <c r="AJK78" s="541"/>
      <c r="AJL78" s="541"/>
      <c r="AJM78" s="541"/>
      <c r="AJN78" s="541"/>
      <c r="AJO78" s="541"/>
      <c r="AJP78" s="541"/>
      <c r="AJQ78" s="541"/>
      <c r="AJR78" s="541"/>
      <c r="AJS78" s="541"/>
      <c r="AJT78" s="541"/>
      <c r="AJU78" s="541"/>
      <c r="AJV78" s="541"/>
      <c r="AJW78" s="541"/>
      <c r="AJX78" s="541"/>
      <c r="AJY78" s="541"/>
      <c r="AJZ78" s="541"/>
      <c r="AKA78" s="541"/>
      <c r="AKB78" s="541"/>
      <c r="AKC78" s="541"/>
      <c r="AKD78" s="541"/>
      <c r="AKE78" s="541"/>
      <c r="AKF78" s="541"/>
      <c r="AKG78" s="541"/>
      <c r="AKH78" s="541"/>
      <c r="AKI78" s="541"/>
      <c r="AKJ78" s="541"/>
      <c r="AKK78" s="541"/>
      <c r="AKL78" s="541"/>
      <c r="AKM78" s="541"/>
      <c r="AKN78" s="541"/>
      <c r="AKO78" s="541"/>
      <c r="AKP78" s="541"/>
      <c r="AKQ78" s="541"/>
      <c r="AKR78" s="541"/>
      <c r="AKS78" s="541"/>
      <c r="AKT78" s="541"/>
      <c r="AKU78" s="541"/>
      <c r="AKV78" s="541"/>
      <c r="AKW78" s="541"/>
      <c r="AKX78" s="541"/>
      <c r="AKY78" s="541"/>
      <c r="AKZ78" s="541"/>
      <c r="ALA78" s="541"/>
      <c r="ALB78" s="541"/>
      <c r="ALC78" s="541"/>
      <c r="ALD78" s="541"/>
      <c r="ALE78" s="541"/>
      <c r="ALF78" s="541"/>
      <c r="ALG78" s="541"/>
      <c r="ALH78" s="541"/>
      <c r="ALI78" s="541"/>
      <c r="ALJ78" s="541"/>
      <c r="ALK78" s="541"/>
      <c r="ALL78" s="541"/>
      <c r="ALM78" s="541"/>
      <c r="ALN78" s="541"/>
      <c r="ALO78" s="541"/>
      <c r="ALP78" s="541"/>
      <c r="ALQ78" s="541"/>
      <c r="ALR78" s="541"/>
      <c r="ALS78" s="541"/>
      <c r="ALT78" s="541"/>
      <c r="ALU78" s="541"/>
      <c r="ALV78" s="541"/>
      <c r="ALW78" s="541"/>
      <c r="ALX78" s="541"/>
      <c r="ALY78" s="541"/>
      <c r="ALZ78" s="541"/>
      <c r="AMA78" s="541"/>
      <c r="AMB78" s="541"/>
      <c r="AMC78" s="541"/>
      <c r="AMD78" s="541"/>
      <c r="AME78" s="541"/>
      <c r="AMF78" s="541"/>
      <c r="AMG78" s="541"/>
      <c r="AMH78" s="541"/>
      <c r="AMI78" s="541"/>
      <c r="AMJ78" s="541"/>
      <c r="AMK78" s="541"/>
      <c r="AML78" s="541"/>
      <c r="AMM78" s="541"/>
      <c r="AMN78" s="541"/>
      <c r="AMO78" s="541"/>
      <c r="AMP78" s="541"/>
      <c r="AMQ78" s="541"/>
      <c r="AMR78" s="541"/>
      <c r="AMS78" s="541"/>
      <c r="AMT78" s="541"/>
      <c r="AMU78" s="541"/>
      <c r="AMV78" s="541"/>
      <c r="AMW78" s="541"/>
      <c r="AMX78" s="541"/>
      <c r="AMY78" s="541"/>
      <c r="AMZ78" s="541"/>
      <c r="ANA78" s="541"/>
      <c r="ANB78" s="541"/>
      <c r="ANC78" s="541"/>
      <c r="AND78" s="541"/>
      <c r="ANE78" s="541"/>
      <c r="ANF78" s="541"/>
      <c r="ANG78" s="541"/>
      <c r="ANH78" s="541"/>
      <c r="ANI78" s="541"/>
      <c r="ANJ78" s="541"/>
      <c r="ANK78" s="541"/>
      <c r="ANL78" s="541"/>
      <c r="ANM78" s="541"/>
      <c r="ANN78" s="541"/>
      <c r="ANO78" s="541"/>
      <c r="ANP78" s="541"/>
      <c r="ANQ78" s="541"/>
      <c r="ANR78" s="541"/>
      <c r="ANS78" s="541"/>
      <c r="ANT78" s="541"/>
      <c r="ANU78" s="541"/>
      <c r="ANV78" s="541"/>
      <c r="ANW78" s="541"/>
      <c r="ANX78" s="541"/>
      <c r="ANY78" s="541"/>
      <c r="ANZ78" s="541"/>
      <c r="AOA78" s="541"/>
      <c r="AOB78" s="541"/>
      <c r="AOC78" s="541"/>
      <c r="AOD78" s="541"/>
      <c r="AOE78" s="541"/>
      <c r="AOF78" s="541"/>
      <c r="AOG78" s="541"/>
      <c r="AOH78" s="541"/>
      <c r="AOI78" s="541"/>
      <c r="AOJ78" s="541"/>
      <c r="AOK78" s="541"/>
      <c r="AOL78" s="541"/>
      <c r="AOM78" s="541"/>
      <c r="AON78" s="541"/>
      <c r="AOO78" s="541"/>
      <c r="AOP78" s="541"/>
      <c r="AOQ78" s="541"/>
      <c r="AOR78" s="541"/>
      <c r="AOS78" s="541"/>
      <c r="AOT78" s="541"/>
      <c r="AOU78" s="541"/>
      <c r="AOV78" s="541"/>
      <c r="AOW78" s="541"/>
      <c r="AOX78" s="541"/>
      <c r="AOY78" s="541"/>
      <c r="AOZ78" s="541"/>
      <c r="APA78" s="541"/>
      <c r="APB78" s="541"/>
      <c r="APC78" s="541"/>
      <c r="APD78" s="541"/>
      <c r="APE78" s="541"/>
      <c r="APF78" s="541"/>
      <c r="APG78" s="541"/>
      <c r="APH78" s="541"/>
      <c r="API78" s="541"/>
      <c r="APJ78" s="541"/>
      <c r="APK78" s="541"/>
      <c r="APL78" s="541"/>
      <c r="APM78" s="541"/>
      <c r="APN78" s="541"/>
      <c r="APO78" s="541"/>
      <c r="APP78" s="541"/>
      <c r="APQ78" s="541"/>
      <c r="APR78" s="541"/>
      <c r="APS78" s="541"/>
      <c r="APT78" s="541"/>
      <c r="APU78" s="541"/>
      <c r="APV78" s="541"/>
      <c r="APW78" s="541"/>
      <c r="APX78" s="541"/>
      <c r="APY78" s="541"/>
      <c r="APZ78" s="541"/>
      <c r="AQA78" s="541"/>
      <c r="AQB78" s="541"/>
      <c r="AQC78" s="541"/>
      <c r="AQD78" s="541"/>
      <c r="AQE78" s="541"/>
      <c r="AQF78" s="541"/>
      <c r="AQG78" s="541"/>
      <c r="AQH78" s="541"/>
      <c r="AQI78" s="541"/>
      <c r="AQJ78" s="541"/>
      <c r="AQK78" s="541"/>
      <c r="AQL78" s="541"/>
      <c r="AQM78" s="541"/>
      <c r="AQN78" s="541"/>
      <c r="AQO78" s="541"/>
      <c r="AQP78" s="541"/>
      <c r="AQQ78" s="541"/>
      <c r="AQR78" s="541"/>
      <c r="AQS78" s="541"/>
      <c r="AQT78" s="541"/>
      <c r="AQU78" s="541"/>
      <c r="AQV78" s="541"/>
      <c r="AQW78" s="541"/>
      <c r="AQX78" s="541"/>
      <c r="AQY78" s="541"/>
      <c r="AQZ78" s="541"/>
      <c r="ARA78" s="541"/>
      <c r="ARB78" s="541"/>
      <c r="ARC78" s="541"/>
      <c r="ARD78" s="541"/>
      <c r="ARE78" s="541"/>
      <c r="ARF78" s="541"/>
      <c r="ARG78" s="541"/>
      <c r="ARH78" s="541"/>
      <c r="ARI78" s="541"/>
      <c r="ARJ78" s="541"/>
      <c r="ARK78" s="541"/>
      <c r="ARL78" s="541"/>
      <c r="ARM78" s="541"/>
      <c r="ARN78" s="541"/>
      <c r="ARO78" s="541"/>
      <c r="ARP78" s="541"/>
      <c r="ARQ78" s="541"/>
      <c r="ARR78" s="541"/>
      <c r="ARS78" s="541"/>
      <c r="ART78" s="541"/>
      <c r="ARU78" s="541"/>
    </row>
    <row r="79" spans="1:1165" s="658" customFormat="1">
      <c r="A79" s="613" t="s">
        <v>243</v>
      </c>
      <c r="B79" s="578" t="s">
        <v>110</v>
      </c>
      <c r="C79" s="579">
        <v>0</v>
      </c>
      <c r="D79" s="579">
        <v>0</v>
      </c>
      <c r="E79" s="579">
        <v>0</v>
      </c>
      <c r="F79" s="579">
        <v>0</v>
      </c>
      <c r="G79" s="579">
        <v>0</v>
      </c>
      <c r="H79" s="579">
        <v>0</v>
      </c>
      <c r="I79" s="579">
        <v>0</v>
      </c>
      <c r="J79" s="579">
        <v>0</v>
      </c>
      <c r="K79" s="579">
        <v>0</v>
      </c>
      <c r="L79" s="579">
        <v>0</v>
      </c>
      <c r="M79" s="579">
        <v>0</v>
      </c>
      <c r="N79" s="579">
        <v>0</v>
      </c>
      <c r="O79" s="579">
        <v>0</v>
      </c>
      <c r="P79" s="579">
        <v>0</v>
      </c>
      <c r="Q79" s="579">
        <v>0</v>
      </c>
      <c r="R79" s="579">
        <v>0</v>
      </c>
      <c r="S79" s="579">
        <v>0</v>
      </c>
      <c r="T79" s="579">
        <v>0</v>
      </c>
      <c r="U79" s="579">
        <v>0</v>
      </c>
      <c r="V79" s="579">
        <v>0</v>
      </c>
      <c r="W79" s="579">
        <v>0</v>
      </c>
      <c r="X79" s="579">
        <v>0</v>
      </c>
      <c r="Y79" s="579">
        <v>0</v>
      </c>
      <c r="Z79" s="579">
        <v>0</v>
      </c>
      <c r="AA79" s="579">
        <v>0</v>
      </c>
      <c r="AB79" s="579">
        <v>0</v>
      </c>
      <c r="AC79" s="579">
        <v>0</v>
      </c>
      <c r="AD79" s="579">
        <v>0</v>
      </c>
      <c r="AE79" s="579">
        <v>0</v>
      </c>
      <c r="AF79" s="579">
        <v>0</v>
      </c>
      <c r="AG79" s="579">
        <v>0</v>
      </c>
      <c r="AH79" s="579">
        <v>0</v>
      </c>
      <c r="AI79" s="579">
        <v>0</v>
      </c>
      <c r="AJ79" s="579">
        <v>0</v>
      </c>
      <c r="AK79" s="619">
        <v>0</v>
      </c>
      <c r="AL79" s="579">
        <v>0</v>
      </c>
      <c r="AM79" s="579">
        <v>0</v>
      </c>
      <c r="AN79" s="579">
        <v>0</v>
      </c>
      <c r="AO79" s="579">
        <v>0</v>
      </c>
      <c r="AP79" s="579">
        <v>0</v>
      </c>
      <c r="AQ79" s="579">
        <v>0</v>
      </c>
      <c r="AR79" s="579">
        <v>0</v>
      </c>
      <c r="AS79" s="579">
        <v>0</v>
      </c>
      <c r="AT79" s="579">
        <v>0</v>
      </c>
      <c r="AU79" s="619">
        <v>226.75</v>
      </c>
      <c r="AV79" s="619">
        <v>80620</v>
      </c>
      <c r="AW79" s="581">
        <v>515</v>
      </c>
      <c r="AX79" s="581">
        <v>183099</v>
      </c>
      <c r="AY79" s="581">
        <v>463.94</v>
      </c>
      <c r="AZ79" s="581">
        <v>160461</v>
      </c>
      <c r="BA79" s="663"/>
      <c r="BB79" s="598"/>
      <c r="BC79" s="598"/>
      <c r="BD79" s="598"/>
      <c r="BE79" s="598"/>
      <c r="BF79" s="598"/>
      <c r="BG79" s="598"/>
      <c r="BH79" s="598"/>
      <c r="BI79" s="663"/>
      <c r="BJ79" s="598">
        <f t="shared" si="8"/>
        <v>1205.69</v>
      </c>
      <c r="BK79" s="581">
        <f t="shared" si="9"/>
        <v>424180</v>
      </c>
      <c r="BL79" s="541"/>
      <c r="BM79" s="42"/>
      <c r="BN79" s="541"/>
      <c r="BO79" s="624"/>
      <c r="BP79" s="624"/>
      <c r="BQ79" s="541"/>
      <c r="BR79" s="541"/>
      <c r="BS79" s="541"/>
      <c r="BT79" s="541"/>
      <c r="BU79" s="541"/>
      <c r="BV79" s="541"/>
      <c r="BW79" s="541"/>
      <c r="BX79" s="541"/>
      <c r="BY79" s="541"/>
      <c r="BZ79" s="541"/>
      <c r="CA79" s="541"/>
      <c r="CB79" s="541"/>
      <c r="CC79" s="541"/>
      <c r="CD79" s="541"/>
      <c r="CE79" s="541"/>
      <c r="CF79" s="541"/>
      <c r="CG79" s="541"/>
      <c r="CH79" s="541"/>
      <c r="CI79" s="541"/>
      <c r="CJ79" s="541"/>
      <c r="CK79" s="541"/>
      <c r="CL79" s="541"/>
      <c r="CM79" s="541"/>
      <c r="CN79" s="541"/>
      <c r="CO79" s="541"/>
      <c r="CP79" s="541"/>
      <c r="CQ79" s="541"/>
      <c r="CR79" s="541"/>
      <c r="CS79" s="541"/>
      <c r="CT79" s="541"/>
      <c r="CU79" s="541"/>
      <c r="CV79" s="541"/>
      <c r="CW79" s="541"/>
      <c r="CX79" s="541"/>
      <c r="CY79" s="541"/>
      <c r="CZ79" s="541"/>
      <c r="DA79" s="541"/>
      <c r="DB79" s="541"/>
      <c r="DC79" s="541"/>
      <c r="DD79" s="541"/>
      <c r="DE79" s="541"/>
      <c r="DF79" s="541"/>
      <c r="DG79" s="541"/>
      <c r="DH79" s="541"/>
      <c r="DI79" s="541"/>
      <c r="DJ79" s="541"/>
      <c r="DK79" s="541"/>
      <c r="DL79" s="541"/>
      <c r="DM79" s="541"/>
      <c r="DN79" s="541"/>
      <c r="DO79" s="541"/>
      <c r="DP79" s="541"/>
      <c r="DQ79" s="541"/>
      <c r="DR79" s="541"/>
      <c r="DS79" s="541"/>
      <c r="DT79" s="541"/>
      <c r="DU79" s="541"/>
      <c r="DV79" s="541"/>
      <c r="DW79" s="541"/>
      <c r="DX79" s="541"/>
      <c r="DY79" s="541"/>
      <c r="DZ79" s="541"/>
      <c r="EA79" s="541"/>
      <c r="EB79" s="541"/>
      <c r="EC79" s="541"/>
      <c r="ED79" s="541"/>
      <c r="EE79" s="541"/>
      <c r="EF79" s="541"/>
      <c r="EG79" s="541"/>
      <c r="EH79" s="541"/>
      <c r="EI79" s="541"/>
      <c r="EJ79" s="541"/>
      <c r="EK79" s="541"/>
      <c r="EL79" s="541"/>
      <c r="EM79" s="541"/>
      <c r="EN79" s="541"/>
      <c r="EO79" s="541"/>
      <c r="EP79" s="541"/>
      <c r="EQ79" s="541"/>
      <c r="ER79" s="541"/>
      <c r="ES79" s="541"/>
      <c r="ET79" s="541"/>
      <c r="EU79" s="541"/>
      <c r="EV79" s="541"/>
      <c r="EW79" s="541"/>
      <c r="EX79" s="541"/>
      <c r="EY79" s="541"/>
      <c r="EZ79" s="541"/>
      <c r="FA79" s="541"/>
      <c r="FB79" s="541"/>
      <c r="FC79" s="541"/>
      <c r="FD79" s="541"/>
      <c r="FE79" s="541"/>
      <c r="FF79" s="541"/>
      <c r="FG79" s="541"/>
      <c r="FH79" s="541"/>
      <c r="FI79" s="541"/>
      <c r="FJ79" s="541"/>
      <c r="FK79" s="541"/>
      <c r="FL79" s="541"/>
      <c r="FM79" s="541"/>
      <c r="FN79" s="541"/>
      <c r="FO79" s="541"/>
      <c r="FP79" s="541"/>
      <c r="FQ79" s="541"/>
      <c r="FR79" s="541"/>
      <c r="FS79" s="541"/>
      <c r="FT79" s="541"/>
      <c r="FU79" s="541"/>
      <c r="FV79" s="541"/>
      <c r="FW79" s="541"/>
      <c r="FX79" s="541"/>
      <c r="FY79" s="541"/>
      <c r="FZ79" s="541"/>
      <c r="GA79" s="541"/>
      <c r="GB79" s="541"/>
      <c r="GC79" s="541"/>
      <c r="GD79" s="541"/>
      <c r="GE79" s="541"/>
      <c r="GF79" s="541"/>
      <c r="GG79" s="541"/>
      <c r="GH79" s="541"/>
      <c r="GI79" s="541"/>
      <c r="GJ79" s="541"/>
      <c r="GK79" s="541"/>
      <c r="GL79" s="541"/>
      <c r="GM79" s="541"/>
      <c r="GN79" s="541"/>
      <c r="GO79" s="541"/>
      <c r="GP79" s="541"/>
      <c r="GQ79" s="541"/>
      <c r="GR79" s="541"/>
      <c r="GS79" s="541"/>
      <c r="GT79" s="541"/>
      <c r="GU79" s="541"/>
      <c r="GV79" s="541"/>
      <c r="GW79" s="541"/>
      <c r="GX79" s="541"/>
      <c r="GY79" s="541"/>
      <c r="GZ79" s="541"/>
      <c r="HA79" s="541"/>
      <c r="HB79" s="541"/>
      <c r="HC79" s="541"/>
      <c r="HD79" s="541"/>
      <c r="HE79" s="541"/>
      <c r="HF79" s="541"/>
      <c r="HG79" s="541"/>
      <c r="HH79" s="541"/>
      <c r="HI79" s="541"/>
      <c r="HJ79" s="541"/>
      <c r="HK79" s="541"/>
      <c r="HL79" s="541"/>
      <c r="HM79" s="541"/>
      <c r="HN79" s="541"/>
      <c r="HO79" s="541"/>
      <c r="HP79" s="541"/>
      <c r="HQ79" s="541"/>
      <c r="HR79" s="541"/>
      <c r="HS79" s="541"/>
      <c r="HT79" s="541"/>
      <c r="HU79" s="541"/>
      <c r="HV79" s="541"/>
      <c r="HW79" s="541"/>
      <c r="HX79" s="541"/>
      <c r="HY79" s="541"/>
      <c r="HZ79" s="541"/>
      <c r="IA79" s="541"/>
      <c r="IB79" s="541"/>
      <c r="IC79" s="541"/>
      <c r="ID79" s="541"/>
      <c r="IE79" s="541"/>
      <c r="IF79" s="541"/>
      <c r="IG79" s="541"/>
      <c r="IH79" s="541"/>
      <c r="II79" s="541"/>
      <c r="IJ79" s="541"/>
      <c r="IK79" s="541"/>
      <c r="IL79" s="541"/>
      <c r="IM79" s="541"/>
      <c r="IN79" s="541"/>
      <c r="IO79" s="541"/>
      <c r="IP79" s="541"/>
      <c r="IQ79" s="541"/>
      <c r="IR79" s="541"/>
      <c r="IS79" s="541"/>
      <c r="IT79" s="541"/>
      <c r="IU79" s="541"/>
      <c r="IV79" s="541"/>
      <c r="IW79" s="541"/>
      <c r="IX79" s="541"/>
      <c r="IY79" s="541"/>
      <c r="IZ79" s="541"/>
      <c r="JA79" s="541"/>
      <c r="JB79" s="541"/>
      <c r="JC79" s="541"/>
      <c r="JD79" s="541"/>
      <c r="JE79" s="541"/>
      <c r="JF79" s="541"/>
      <c r="JG79" s="541"/>
      <c r="JH79" s="541"/>
      <c r="JI79" s="541"/>
      <c r="JJ79" s="541"/>
      <c r="JK79" s="541"/>
      <c r="JL79" s="541"/>
      <c r="JM79" s="541"/>
      <c r="JN79" s="541"/>
      <c r="JO79" s="541"/>
      <c r="JP79" s="541"/>
      <c r="JQ79" s="541"/>
      <c r="JR79" s="541"/>
      <c r="JS79" s="541"/>
      <c r="JT79" s="541"/>
      <c r="JU79" s="541"/>
      <c r="JV79" s="541"/>
      <c r="JW79" s="541"/>
      <c r="JX79" s="541"/>
      <c r="JY79" s="541"/>
      <c r="JZ79" s="541"/>
      <c r="KA79" s="541"/>
      <c r="KB79" s="541"/>
      <c r="KC79" s="541"/>
      <c r="KD79" s="541"/>
      <c r="KE79" s="541"/>
      <c r="KF79" s="541"/>
      <c r="KG79" s="541"/>
      <c r="KH79" s="541"/>
      <c r="KI79" s="541"/>
      <c r="KJ79" s="541"/>
      <c r="KK79" s="541"/>
      <c r="KL79" s="541"/>
      <c r="KM79" s="541"/>
      <c r="KN79" s="541"/>
      <c r="KO79" s="541"/>
      <c r="KP79" s="541"/>
      <c r="KQ79" s="541"/>
      <c r="KR79" s="541"/>
      <c r="KS79" s="541"/>
      <c r="KT79" s="541"/>
      <c r="KU79" s="541"/>
      <c r="KV79" s="541"/>
      <c r="KW79" s="541"/>
      <c r="KX79" s="541"/>
      <c r="KY79" s="541"/>
      <c r="KZ79" s="541"/>
      <c r="LA79" s="541"/>
      <c r="LB79" s="541"/>
      <c r="LC79" s="541"/>
      <c r="LD79" s="541"/>
      <c r="LE79" s="541"/>
      <c r="LF79" s="541"/>
      <c r="LG79" s="541"/>
      <c r="LH79" s="541"/>
      <c r="LI79" s="541"/>
      <c r="LJ79" s="541"/>
      <c r="LK79" s="541"/>
      <c r="LL79" s="541"/>
      <c r="LM79" s="541"/>
      <c r="LN79" s="541"/>
      <c r="LO79" s="541"/>
      <c r="LP79" s="541"/>
      <c r="LQ79" s="541"/>
      <c r="LR79" s="541"/>
      <c r="LS79" s="541"/>
      <c r="LT79" s="541"/>
      <c r="LU79" s="541"/>
      <c r="LV79" s="541"/>
      <c r="LW79" s="541"/>
      <c r="LX79" s="541"/>
      <c r="LY79" s="541"/>
      <c r="LZ79" s="541"/>
      <c r="MA79" s="541"/>
      <c r="MB79" s="541"/>
      <c r="MC79" s="541"/>
      <c r="MD79" s="541"/>
      <c r="ME79" s="541"/>
      <c r="MF79" s="541"/>
      <c r="MG79" s="541"/>
      <c r="MH79" s="541"/>
      <c r="MI79" s="541"/>
      <c r="MJ79" s="541"/>
      <c r="MK79" s="541"/>
      <c r="ML79" s="541"/>
      <c r="MM79" s="541"/>
      <c r="MN79" s="541"/>
      <c r="MO79" s="541"/>
      <c r="MP79" s="541"/>
      <c r="MQ79" s="541"/>
      <c r="MR79" s="541"/>
      <c r="MS79" s="541"/>
      <c r="MT79" s="541"/>
      <c r="MU79" s="541"/>
      <c r="MV79" s="541"/>
      <c r="MW79" s="541"/>
      <c r="MX79" s="541"/>
      <c r="MY79" s="541"/>
      <c r="MZ79" s="541"/>
      <c r="NA79" s="541"/>
      <c r="NB79" s="541"/>
      <c r="NC79" s="541"/>
      <c r="ND79" s="541"/>
      <c r="NE79" s="541"/>
      <c r="NF79" s="541"/>
      <c r="NG79" s="541"/>
      <c r="NH79" s="541"/>
      <c r="NI79" s="541"/>
      <c r="NJ79" s="541"/>
      <c r="NK79" s="541"/>
      <c r="NL79" s="541"/>
      <c r="NM79" s="541"/>
      <c r="NN79" s="541"/>
      <c r="NO79" s="541"/>
      <c r="NP79" s="541"/>
      <c r="NQ79" s="541"/>
      <c r="NR79" s="541"/>
      <c r="NS79" s="541"/>
      <c r="NT79" s="541"/>
      <c r="NU79" s="541"/>
      <c r="NV79" s="541"/>
      <c r="NW79" s="541"/>
      <c r="NX79" s="541"/>
      <c r="NY79" s="541"/>
      <c r="NZ79" s="541"/>
      <c r="OA79" s="541"/>
      <c r="OB79" s="541"/>
      <c r="OC79" s="541"/>
      <c r="OD79" s="541"/>
      <c r="OE79" s="541"/>
      <c r="OF79" s="541"/>
      <c r="OG79" s="541"/>
      <c r="OH79" s="541"/>
      <c r="OI79" s="541"/>
      <c r="OJ79" s="541"/>
      <c r="OK79" s="541"/>
      <c r="OL79" s="541"/>
      <c r="OM79" s="541"/>
      <c r="ON79" s="541"/>
      <c r="OO79" s="541"/>
      <c r="OP79" s="541"/>
      <c r="OQ79" s="541"/>
      <c r="OR79" s="541"/>
      <c r="OS79" s="541"/>
      <c r="OT79" s="541"/>
      <c r="OU79" s="541"/>
      <c r="OV79" s="541"/>
      <c r="OW79" s="541"/>
      <c r="OX79" s="541"/>
      <c r="OY79" s="541"/>
      <c r="OZ79" s="541"/>
      <c r="PA79" s="541"/>
      <c r="PB79" s="541"/>
      <c r="PC79" s="541"/>
      <c r="PD79" s="541"/>
      <c r="PE79" s="541"/>
      <c r="PF79" s="541"/>
      <c r="PG79" s="541"/>
      <c r="PH79" s="541"/>
      <c r="PI79" s="541"/>
      <c r="PJ79" s="541"/>
      <c r="PK79" s="541"/>
      <c r="PL79" s="541"/>
      <c r="PM79" s="541"/>
      <c r="PN79" s="541"/>
      <c r="PO79" s="541"/>
      <c r="PP79" s="541"/>
      <c r="PQ79" s="541"/>
      <c r="PR79" s="541"/>
      <c r="PS79" s="541"/>
      <c r="PT79" s="541"/>
      <c r="PU79" s="541"/>
      <c r="PV79" s="541"/>
      <c r="PW79" s="541"/>
      <c r="PX79" s="541"/>
      <c r="PY79" s="541"/>
      <c r="PZ79" s="541"/>
      <c r="QA79" s="541"/>
      <c r="QB79" s="541"/>
      <c r="QC79" s="541"/>
      <c r="QD79" s="541"/>
      <c r="QE79" s="541"/>
      <c r="QF79" s="541"/>
      <c r="QG79" s="541"/>
      <c r="QH79" s="541"/>
      <c r="QI79" s="541"/>
      <c r="QJ79" s="541"/>
      <c r="QK79" s="541"/>
      <c r="QL79" s="541"/>
      <c r="QM79" s="541"/>
      <c r="QN79" s="541"/>
      <c r="QO79" s="541"/>
      <c r="QP79" s="541"/>
      <c r="QQ79" s="541"/>
      <c r="QR79" s="541"/>
      <c r="QS79" s="541"/>
      <c r="QT79" s="541"/>
      <c r="QU79" s="541"/>
      <c r="QV79" s="541"/>
      <c r="QW79" s="541"/>
      <c r="QX79" s="541"/>
      <c r="QY79" s="541"/>
      <c r="QZ79" s="541"/>
      <c r="RA79" s="541"/>
      <c r="RB79" s="541"/>
      <c r="RC79" s="541"/>
      <c r="RD79" s="541"/>
      <c r="RE79" s="541"/>
      <c r="RF79" s="541"/>
      <c r="RG79" s="541"/>
      <c r="RH79" s="541"/>
      <c r="RI79" s="541"/>
      <c r="RJ79" s="541"/>
      <c r="RK79" s="541"/>
      <c r="RL79" s="541"/>
      <c r="RM79" s="541"/>
      <c r="RN79" s="541"/>
      <c r="RO79" s="541"/>
      <c r="RP79" s="541"/>
      <c r="RQ79" s="541"/>
      <c r="RR79" s="541"/>
      <c r="RS79" s="541"/>
      <c r="RT79" s="541"/>
      <c r="RU79" s="541"/>
      <c r="RV79" s="541"/>
      <c r="RW79" s="541"/>
      <c r="RX79" s="541"/>
      <c r="RY79" s="541"/>
      <c r="RZ79" s="541"/>
      <c r="SA79" s="541"/>
      <c r="SB79" s="541"/>
      <c r="SC79" s="541"/>
      <c r="SD79" s="541"/>
      <c r="SE79" s="541"/>
      <c r="SF79" s="541"/>
      <c r="SG79" s="541"/>
      <c r="SH79" s="541"/>
      <c r="SI79" s="541"/>
      <c r="SJ79" s="541"/>
      <c r="SK79" s="541"/>
      <c r="SL79" s="541"/>
      <c r="SM79" s="541"/>
      <c r="SN79" s="541"/>
      <c r="SO79" s="541"/>
      <c r="SP79" s="541"/>
      <c r="SQ79" s="541"/>
      <c r="SR79" s="541"/>
      <c r="SS79" s="541"/>
      <c r="ST79" s="541"/>
      <c r="SU79" s="541"/>
      <c r="SV79" s="541"/>
      <c r="SW79" s="541"/>
      <c r="SX79" s="541"/>
      <c r="SY79" s="541"/>
      <c r="SZ79" s="541"/>
      <c r="TA79" s="541"/>
      <c r="TB79" s="541"/>
      <c r="TC79" s="541"/>
      <c r="TD79" s="541"/>
      <c r="TE79" s="541"/>
      <c r="TF79" s="541"/>
      <c r="TG79" s="541"/>
      <c r="TH79" s="541"/>
      <c r="TI79" s="541"/>
      <c r="TJ79" s="541"/>
      <c r="TK79" s="541"/>
      <c r="TL79" s="541"/>
      <c r="TM79" s="541"/>
      <c r="TN79" s="541"/>
      <c r="TO79" s="541"/>
      <c r="TP79" s="541"/>
      <c r="TQ79" s="541"/>
      <c r="TR79" s="541"/>
      <c r="TS79" s="541"/>
      <c r="TT79" s="541"/>
      <c r="TU79" s="541"/>
      <c r="TV79" s="541"/>
      <c r="TW79" s="541"/>
      <c r="TX79" s="541"/>
      <c r="TY79" s="541"/>
      <c r="TZ79" s="541"/>
      <c r="UA79" s="541"/>
      <c r="UB79" s="541"/>
      <c r="UC79" s="541"/>
      <c r="UD79" s="541"/>
      <c r="UE79" s="541"/>
      <c r="UF79" s="541"/>
      <c r="UG79" s="541"/>
      <c r="UH79" s="541"/>
      <c r="UI79" s="541"/>
      <c r="UJ79" s="541"/>
      <c r="UK79" s="541"/>
      <c r="UL79" s="541"/>
      <c r="UM79" s="541"/>
      <c r="UN79" s="541"/>
      <c r="UO79" s="541"/>
      <c r="UP79" s="541"/>
      <c r="UQ79" s="541"/>
      <c r="UR79" s="541"/>
      <c r="US79" s="541"/>
      <c r="UT79" s="541"/>
      <c r="UU79" s="541"/>
      <c r="UV79" s="541"/>
      <c r="UW79" s="541"/>
      <c r="UX79" s="541"/>
      <c r="UY79" s="541"/>
      <c r="UZ79" s="541"/>
      <c r="VA79" s="541"/>
      <c r="VB79" s="541"/>
      <c r="VC79" s="541"/>
      <c r="VD79" s="541"/>
      <c r="VE79" s="541"/>
      <c r="VF79" s="541"/>
      <c r="VG79" s="541"/>
      <c r="VH79" s="541"/>
      <c r="VI79" s="541"/>
      <c r="VJ79" s="541"/>
      <c r="VK79" s="541"/>
      <c r="VL79" s="541"/>
      <c r="VM79" s="541"/>
      <c r="VN79" s="541"/>
      <c r="VO79" s="541"/>
      <c r="VP79" s="541"/>
      <c r="VQ79" s="541"/>
      <c r="VR79" s="541"/>
      <c r="VS79" s="541"/>
      <c r="VT79" s="541"/>
      <c r="VU79" s="541"/>
      <c r="VV79" s="541"/>
      <c r="VW79" s="541"/>
      <c r="VX79" s="541"/>
      <c r="VY79" s="541"/>
      <c r="VZ79" s="541"/>
      <c r="WA79" s="541"/>
      <c r="WB79" s="541"/>
      <c r="WC79" s="541"/>
      <c r="WD79" s="541"/>
      <c r="WE79" s="541"/>
      <c r="WF79" s="541"/>
      <c r="WG79" s="541"/>
      <c r="WH79" s="541"/>
      <c r="WI79" s="541"/>
      <c r="WJ79" s="541"/>
      <c r="WK79" s="541"/>
      <c r="WL79" s="541"/>
      <c r="WM79" s="541"/>
      <c r="WN79" s="541"/>
      <c r="WO79" s="541"/>
      <c r="WP79" s="541"/>
      <c r="WQ79" s="541"/>
      <c r="WR79" s="541"/>
      <c r="WS79" s="541"/>
      <c r="WT79" s="541"/>
      <c r="WU79" s="541"/>
      <c r="WV79" s="541"/>
      <c r="WW79" s="541"/>
      <c r="WX79" s="541"/>
      <c r="WY79" s="541"/>
      <c r="WZ79" s="541"/>
      <c r="XA79" s="541"/>
      <c r="XB79" s="541"/>
      <c r="XC79" s="541"/>
      <c r="XD79" s="541"/>
      <c r="XE79" s="541"/>
      <c r="XF79" s="541"/>
      <c r="XG79" s="541"/>
      <c r="XH79" s="541"/>
      <c r="XI79" s="541"/>
      <c r="XJ79" s="541"/>
      <c r="XK79" s="541"/>
      <c r="XL79" s="541"/>
      <c r="XM79" s="541"/>
      <c r="XN79" s="541"/>
      <c r="XO79" s="541"/>
      <c r="XP79" s="541"/>
      <c r="XQ79" s="541"/>
      <c r="XR79" s="541"/>
      <c r="XS79" s="541"/>
      <c r="XT79" s="541"/>
      <c r="XU79" s="541"/>
      <c r="XV79" s="541"/>
      <c r="XW79" s="541"/>
      <c r="XX79" s="541"/>
      <c r="XY79" s="541"/>
      <c r="XZ79" s="541"/>
      <c r="YA79" s="541"/>
      <c r="YB79" s="541"/>
      <c r="YC79" s="541"/>
      <c r="YD79" s="541"/>
      <c r="YE79" s="541"/>
      <c r="YF79" s="541"/>
      <c r="YG79" s="541"/>
      <c r="YH79" s="541"/>
      <c r="YI79" s="541"/>
      <c r="YJ79" s="541"/>
      <c r="YK79" s="541"/>
      <c r="YL79" s="541"/>
      <c r="YM79" s="541"/>
      <c r="YN79" s="541"/>
      <c r="YO79" s="541"/>
      <c r="YP79" s="541"/>
      <c r="YQ79" s="541"/>
      <c r="YR79" s="541"/>
      <c r="YS79" s="541"/>
      <c r="YT79" s="541"/>
      <c r="YU79" s="541"/>
      <c r="YV79" s="541"/>
      <c r="YW79" s="541"/>
      <c r="YX79" s="541"/>
      <c r="YY79" s="541"/>
      <c r="YZ79" s="541"/>
      <c r="ZA79" s="541"/>
      <c r="ZB79" s="541"/>
      <c r="ZC79" s="541"/>
      <c r="ZD79" s="541"/>
      <c r="ZE79" s="541"/>
      <c r="ZF79" s="541"/>
      <c r="ZG79" s="541"/>
      <c r="ZH79" s="541"/>
      <c r="ZI79" s="541"/>
      <c r="ZJ79" s="541"/>
      <c r="ZK79" s="541"/>
      <c r="ZL79" s="541"/>
      <c r="ZM79" s="541"/>
      <c r="ZN79" s="541"/>
      <c r="ZO79" s="541"/>
      <c r="ZP79" s="541"/>
      <c r="ZQ79" s="541"/>
      <c r="ZR79" s="541"/>
      <c r="ZS79" s="541"/>
      <c r="ZT79" s="541"/>
      <c r="ZU79" s="541"/>
      <c r="ZV79" s="541"/>
      <c r="ZW79" s="541"/>
      <c r="ZX79" s="541"/>
      <c r="ZY79" s="541"/>
      <c r="ZZ79" s="541"/>
      <c r="AAA79" s="541"/>
      <c r="AAB79" s="541"/>
      <c r="AAC79" s="541"/>
      <c r="AAD79" s="541"/>
      <c r="AAE79" s="541"/>
      <c r="AAF79" s="541"/>
      <c r="AAG79" s="541"/>
      <c r="AAH79" s="541"/>
      <c r="AAI79" s="541"/>
      <c r="AAJ79" s="541"/>
      <c r="AAK79" s="541"/>
      <c r="AAL79" s="541"/>
      <c r="AAM79" s="541"/>
      <c r="AAN79" s="541"/>
      <c r="AAO79" s="541"/>
      <c r="AAP79" s="541"/>
      <c r="AAQ79" s="541"/>
      <c r="AAR79" s="541"/>
      <c r="AAS79" s="541"/>
      <c r="AAT79" s="541"/>
      <c r="AAU79" s="541"/>
      <c r="AAV79" s="541"/>
      <c r="AAW79" s="541"/>
      <c r="AAX79" s="541"/>
      <c r="AAY79" s="541"/>
      <c r="AAZ79" s="541"/>
      <c r="ABA79" s="541"/>
      <c r="ABB79" s="541"/>
      <c r="ABC79" s="541"/>
      <c r="ABD79" s="541"/>
      <c r="ABE79" s="541"/>
      <c r="ABF79" s="541"/>
      <c r="ABG79" s="541"/>
      <c r="ABH79" s="541"/>
      <c r="ABI79" s="541"/>
      <c r="ABJ79" s="541"/>
      <c r="ABK79" s="541"/>
      <c r="ABL79" s="541"/>
      <c r="ABM79" s="541"/>
      <c r="ABN79" s="541"/>
      <c r="ABO79" s="541"/>
      <c r="ABP79" s="541"/>
      <c r="ABQ79" s="541"/>
      <c r="ABR79" s="541"/>
      <c r="ABS79" s="541"/>
      <c r="ABT79" s="541"/>
      <c r="ABU79" s="541"/>
      <c r="ABV79" s="541"/>
      <c r="ABW79" s="541"/>
      <c r="ABX79" s="541"/>
      <c r="ABY79" s="541"/>
      <c r="ABZ79" s="541"/>
      <c r="ACA79" s="541"/>
      <c r="ACB79" s="541"/>
      <c r="ACC79" s="541"/>
      <c r="ACD79" s="541"/>
      <c r="ACE79" s="541"/>
      <c r="ACF79" s="541"/>
      <c r="ACG79" s="541"/>
      <c r="ACH79" s="541"/>
      <c r="ACI79" s="541"/>
      <c r="ACJ79" s="541"/>
      <c r="ACK79" s="541"/>
      <c r="ACL79" s="541"/>
      <c r="ACM79" s="541"/>
      <c r="ACN79" s="541"/>
      <c r="ACO79" s="541"/>
      <c r="ACP79" s="541"/>
      <c r="ACQ79" s="541"/>
      <c r="ACR79" s="541"/>
      <c r="ACS79" s="541"/>
      <c r="ACT79" s="541"/>
      <c r="ACU79" s="541"/>
      <c r="ACV79" s="541"/>
      <c r="ACW79" s="541"/>
      <c r="ACX79" s="541"/>
      <c r="ACY79" s="541"/>
      <c r="ACZ79" s="541"/>
      <c r="ADA79" s="541"/>
      <c r="ADB79" s="541"/>
      <c r="ADC79" s="541"/>
      <c r="ADD79" s="541"/>
      <c r="ADE79" s="541"/>
      <c r="ADF79" s="541"/>
      <c r="ADG79" s="541"/>
      <c r="ADH79" s="541"/>
      <c r="ADI79" s="541"/>
      <c r="ADJ79" s="541"/>
      <c r="ADK79" s="541"/>
      <c r="ADL79" s="541"/>
      <c r="ADM79" s="541"/>
      <c r="ADN79" s="541"/>
      <c r="ADO79" s="541"/>
      <c r="ADP79" s="541"/>
      <c r="ADQ79" s="541"/>
      <c r="ADR79" s="541"/>
      <c r="ADS79" s="541"/>
      <c r="ADT79" s="541"/>
      <c r="ADU79" s="541"/>
      <c r="ADV79" s="541"/>
      <c r="ADW79" s="541"/>
      <c r="ADX79" s="541"/>
      <c r="ADY79" s="541"/>
      <c r="ADZ79" s="541"/>
      <c r="AEA79" s="541"/>
      <c r="AEB79" s="541"/>
      <c r="AEC79" s="541"/>
      <c r="AED79" s="541"/>
      <c r="AEE79" s="541"/>
      <c r="AEF79" s="541"/>
      <c r="AEG79" s="541"/>
      <c r="AEH79" s="541"/>
      <c r="AEI79" s="541"/>
      <c r="AEJ79" s="541"/>
      <c r="AEK79" s="541"/>
      <c r="AEL79" s="541"/>
      <c r="AEM79" s="541"/>
      <c r="AEN79" s="541"/>
      <c r="AEO79" s="541"/>
      <c r="AEP79" s="541"/>
      <c r="AEQ79" s="541"/>
      <c r="AER79" s="541"/>
      <c r="AES79" s="541"/>
      <c r="AET79" s="541"/>
      <c r="AEU79" s="541"/>
      <c r="AEV79" s="541"/>
      <c r="AEW79" s="541"/>
      <c r="AEX79" s="541"/>
      <c r="AEY79" s="541"/>
      <c r="AEZ79" s="541"/>
      <c r="AFA79" s="541"/>
      <c r="AFB79" s="541"/>
      <c r="AFC79" s="541"/>
      <c r="AFD79" s="541"/>
      <c r="AFE79" s="541"/>
      <c r="AFF79" s="541"/>
      <c r="AFG79" s="541"/>
      <c r="AFH79" s="541"/>
      <c r="AFI79" s="541"/>
      <c r="AFJ79" s="541"/>
      <c r="AFK79" s="541"/>
      <c r="AFL79" s="541"/>
      <c r="AFM79" s="541"/>
      <c r="AFN79" s="541"/>
      <c r="AFO79" s="541"/>
      <c r="AFP79" s="541"/>
      <c r="AFQ79" s="541"/>
      <c r="AFR79" s="541"/>
      <c r="AFS79" s="541"/>
      <c r="AFT79" s="541"/>
      <c r="AFU79" s="541"/>
      <c r="AFV79" s="541"/>
      <c r="AFW79" s="541"/>
      <c r="AFX79" s="541"/>
      <c r="AFY79" s="541"/>
      <c r="AFZ79" s="541"/>
      <c r="AGA79" s="541"/>
      <c r="AGB79" s="541"/>
      <c r="AGC79" s="541"/>
      <c r="AGD79" s="541"/>
      <c r="AGE79" s="541"/>
      <c r="AGF79" s="541"/>
      <c r="AGG79" s="541"/>
      <c r="AGH79" s="541"/>
      <c r="AGI79" s="541"/>
      <c r="AGJ79" s="541"/>
      <c r="AGK79" s="541"/>
      <c r="AGL79" s="541"/>
      <c r="AGM79" s="541"/>
      <c r="AGN79" s="541"/>
      <c r="AGO79" s="541"/>
      <c r="AGP79" s="541"/>
      <c r="AGQ79" s="541"/>
      <c r="AGR79" s="541"/>
      <c r="AGS79" s="541"/>
      <c r="AGT79" s="541"/>
      <c r="AGU79" s="541"/>
      <c r="AGV79" s="541"/>
      <c r="AGW79" s="541"/>
      <c r="AGX79" s="541"/>
      <c r="AGY79" s="541"/>
      <c r="AGZ79" s="541"/>
      <c r="AHA79" s="541"/>
      <c r="AHB79" s="541"/>
      <c r="AHC79" s="541"/>
      <c r="AHD79" s="541"/>
      <c r="AHE79" s="541"/>
      <c r="AHF79" s="541"/>
      <c r="AHG79" s="541"/>
      <c r="AHH79" s="541"/>
      <c r="AHI79" s="541"/>
      <c r="AHJ79" s="541"/>
      <c r="AHK79" s="541"/>
      <c r="AHL79" s="541"/>
      <c r="AHM79" s="541"/>
      <c r="AHN79" s="541"/>
      <c r="AHO79" s="541"/>
      <c r="AHP79" s="541"/>
      <c r="AHQ79" s="541"/>
      <c r="AHR79" s="541"/>
      <c r="AHS79" s="541"/>
      <c r="AHT79" s="541"/>
      <c r="AHU79" s="541"/>
      <c r="AHV79" s="541"/>
      <c r="AHW79" s="541"/>
      <c r="AHX79" s="541"/>
      <c r="AHY79" s="541"/>
      <c r="AHZ79" s="541"/>
      <c r="AIA79" s="541"/>
      <c r="AIB79" s="541"/>
      <c r="AIC79" s="541"/>
      <c r="AID79" s="541"/>
      <c r="AIE79" s="541"/>
      <c r="AIF79" s="541"/>
      <c r="AIG79" s="541"/>
      <c r="AIH79" s="541"/>
      <c r="AII79" s="541"/>
      <c r="AIJ79" s="541"/>
      <c r="AIK79" s="541"/>
      <c r="AIL79" s="541"/>
      <c r="AIM79" s="541"/>
      <c r="AIN79" s="541"/>
      <c r="AIO79" s="541"/>
      <c r="AIP79" s="541"/>
      <c r="AIQ79" s="541"/>
      <c r="AIR79" s="541"/>
      <c r="AIS79" s="541"/>
      <c r="AIT79" s="541"/>
      <c r="AIU79" s="541"/>
      <c r="AIV79" s="541"/>
      <c r="AIW79" s="541"/>
      <c r="AIX79" s="541"/>
      <c r="AIY79" s="541"/>
      <c r="AIZ79" s="541"/>
      <c r="AJA79" s="541"/>
      <c r="AJB79" s="541"/>
      <c r="AJC79" s="541"/>
      <c r="AJD79" s="541"/>
      <c r="AJE79" s="541"/>
      <c r="AJF79" s="541"/>
      <c r="AJG79" s="541"/>
      <c r="AJH79" s="541"/>
      <c r="AJI79" s="541"/>
      <c r="AJJ79" s="541"/>
      <c r="AJK79" s="541"/>
      <c r="AJL79" s="541"/>
      <c r="AJM79" s="541"/>
      <c r="AJN79" s="541"/>
      <c r="AJO79" s="541"/>
      <c r="AJP79" s="541"/>
      <c r="AJQ79" s="541"/>
      <c r="AJR79" s="541"/>
      <c r="AJS79" s="541"/>
      <c r="AJT79" s="541"/>
      <c r="AJU79" s="541"/>
      <c r="AJV79" s="541"/>
      <c r="AJW79" s="541"/>
      <c r="AJX79" s="541"/>
      <c r="AJY79" s="541"/>
      <c r="AJZ79" s="541"/>
      <c r="AKA79" s="541"/>
      <c r="AKB79" s="541"/>
      <c r="AKC79" s="541"/>
      <c r="AKD79" s="541"/>
      <c r="AKE79" s="541"/>
      <c r="AKF79" s="541"/>
      <c r="AKG79" s="541"/>
      <c r="AKH79" s="541"/>
      <c r="AKI79" s="541"/>
      <c r="AKJ79" s="541"/>
      <c r="AKK79" s="541"/>
      <c r="AKL79" s="541"/>
      <c r="AKM79" s="541"/>
      <c r="AKN79" s="541"/>
      <c r="AKO79" s="541"/>
      <c r="AKP79" s="541"/>
      <c r="AKQ79" s="541"/>
      <c r="AKR79" s="541"/>
      <c r="AKS79" s="541"/>
      <c r="AKT79" s="541"/>
      <c r="AKU79" s="541"/>
      <c r="AKV79" s="541"/>
      <c r="AKW79" s="541"/>
      <c r="AKX79" s="541"/>
      <c r="AKY79" s="541"/>
      <c r="AKZ79" s="541"/>
      <c r="ALA79" s="541"/>
      <c r="ALB79" s="541"/>
      <c r="ALC79" s="541"/>
      <c r="ALD79" s="541"/>
      <c r="ALE79" s="541"/>
      <c r="ALF79" s="541"/>
      <c r="ALG79" s="541"/>
      <c r="ALH79" s="541"/>
      <c r="ALI79" s="541"/>
      <c r="ALJ79" s="541"/>
      <c r="ALK79" s="541"/>
      <c r="ALL79" s="541"/>
      <c r="ALM79" s="541"/>
      <c r="ALN79" s="541"/>
      <c r="ALO79" s="541"/>
      <c r="ALP79" s="541"/>
      <c r="ALQ79" s="541"/>
      <c r="ALR79" s="541"/>
      <c r="ALS79" s="541"/>
      <c r="ALT79" s="541"/>
      <c r="ALU79" s="541"/>
      <c r="ALV79" s="541"/>
      <c r="ALW79" s="541"/>
      <c r="ALX79" s="541"/>
      <c r="ALY79" s="541"/>
      <c r="ALZ79" s="541"/>
      <c r="AMA79" s="541"/>
      <c r="AMB79" s="541"/>
      <c r="AMC79" s="541"/>
      <c r="AMD79" s="541"/>
      <c r="AME79" s="541"/>
      <c r="AMF79" s="541"/>
      <c r="AMG79" s="541"/>
      <c r="AMH79" s="541"/>
      <c r="AMI79" s="541"/>
      <c r="AMJ79" s="541"/>
      <c r="AMK79" s="541"/>
      <c r="AML79" s="541"/>
      <c r="AMM79" s="541"/>
      <c r="AMN79" s="541"/>
      <c r="AMO79" s="541"/>
      <c r="AMP79" s="541"/>
      <c r="AMQ79" s="541"/>
      <c r="AMR79" s="541"/>
      <c r="AMS79" s="541"/>
      <c r="AMT79" s="541"/>
      <c r="AMU79" s="541"/>
      <c r="AMV79" s="541"/>
      <c r="AMW79" s="541"/>
      <c r="AMX79" s="541"/>
      <c r="AMY79" s="541"/>
      <c r="AMZ79" s="541"/>
      <c r="ANA79" s="541"/>
      <c r="ANB79" s="541"/>
      <c r="ANC79" s="541"/>
      <c r="AND79" s="541"/>
      <c r="ANE79" s="541"/>
      <c r="ANF79" s="541"/>
      <c r="ANG79" s="541"/>
      <c r="ANH79" s="541"/>
      <c r="ANI79" s="541"/>
      <c r="ANJ79" s="541"/>
      <c r="ANK79" s="541"/>
      <c r="ANL79" s="541"/>
      <c r="ANM79" s="541"/>
      <c r="ANN79" s="541"/>
      <c r="ANO79" s="541"/>
      <c r="ANP79" s="541"/>
      <c r="ANQ79" s="541"/>
      <c r="ANR79" s="541"/>
      <c r="ANS79" s="541"/>
      <c r="ANT79" s="541"/>
      <c r="ANU79" s="541"/>
      <c r="ANV79" s="541"/>
      <c r="ANW79" s="541"/>
      <c r="ANX79" s="541"/>
      <c r="ANY79" s="541"/>
      <c r="ANZ79" s="541"/>
      <c r="AOA79" s="541"/>
      <c r="AOB79" s="541"/>
      <c r="AOC79" s="541"/>
      <c r="AOD79" s="541"/>
      <c r="AOE79" s="541"/>
      <c r="AOF79" s="541"/>
      <c r="AOG79" s="541"/>
      <c r="AOH79" s="541"/>
      <c r="AOI79" s="541"/>
      <c r="AOJ79" s="541"/>
      <c r="AOK79" s="541"/>
      <c r="AOL79" s="541"/>
      <c r="AOM79" s="541"/>
      <c r="AON79" s="541"/>
      <c r="AOO79" s="541"/>
      <c r="AOP79" s="541"/>
      <c r="AOQ79" s="541"/>
      <c r="AOR79" s="541"/>
      <c r="AOS79" s="541"/>
      <c r="AOT79" s="541"/>
      <c r="AOU79" s="541"/>
      <c r="AOV79" s="541"/>
      <c r="AOW79" s="541"/>
      <c r="AOX79" s="541"/>
      <c r="AOY79" s="541"/>
      <c r="AOZ79" s="541"/>
      <c r="APA79" s="541"/>
      <c r="APB79" s="541"/>
      <c r="APC79" s="541"/>
      <c r="APD79" s="541"/>
      <c r="APE79" s="541"/>
      <c r="APF79" s="541"/>
      <c r="APG79" s="541"/>
      <c r="APH79" s="541"/>
      <c r="API79" s="541"/>
      <c r="APJ79" s="541"/>
      <c r="APK79" s="541"/>
      <c r="APL79" s="541"/>
      <c r="APM79" s="541"/>
      <c r="APN79" s="541"/>
      <c r="APO79" s="541"/>
      <c r="APP79" s="541"/>
      <c r="APQ79" s="541"/>
      <c r="APR79" s="541"/>
      <c r="APS79" s="541"/>
      <c r="APT79" s="541"/>
      <c r="APU79" s="541"/>
      <c r="APV79" s="541"/>
      <c r="APW79" s="541"/>
      <c r="APX79" s="541"/>
      <c r="APY79" s="541"/>
      <c r="APZ79" s="541"/>
      <c r="AQA79" s="541"/>
      <c r="AQB79" s="541"/>
      <c r="AQC79" s="541"/>
      <c r="AQD79" s="541"/>
      <c r="AQE79" s="541"/>
      <c r="AQF79" s="541"/>
      <c r="AQG79" s="541"/>
      <c r="AQH79" s="541"/>
      <c r="AQI79" s="541"/>
      <c r="AQJ79" s="541"/>
      <c r="AQK79" s="541"/>
      <c r="AQL79" s="541"/>
      <c r="AQM79" s="541"/>
      <c r="AQN79" s="541"/>
      <c r="AQO79" s="541"/>
      <c r="AQP79" s="541"/>
      <c r="AQQ79" s="541"/>
      <c r="AQR79" s="541"/>
      <c r="AQS79" s="541"/>
      <c r="AQT79" s="541"/>
      <c r="AQU79" s="541"/>
      <c r="AQV79" s="541"/>
      <c r="AQW79" s="541"/>
      <c r="AQX79" s="541"/>
      <c r="AQY79" s="541"/>
      <c r="AQZ79" s="541"/>
      <c r="ARA79" s="541"/>
      <c r="ARB79" s="541"/>
      <c r="ARC79" s="541"/>
      <c r="ARD79" s="541"/>
      <c r="ARE79" s="541"/>
      <c r="ARF79" s="541"/>
      <c r="ARG79" s="541"/>
      <c r="ARH79" s="541"/>
      <c r="ARI79" s="541"/>
      <c r="ARJ79" s="541"/>
      <c r="ARK79" s="541"/>
      <c r="ARL79" s="541"/>
      <c r="ARM79" s="541"/>
      <c r="ARN79" s="541"/>
      <c r="ARO79" s="541"/>
      <c r="ARP79" s="541"/>
      <c r="ARQ79" s="541"/>
      <c r="ARR79" s="541"/>
      <c r="ARS79" s="541"/>
      <c r="ART79" s="541"/>
      <c r="ARU79" s="541"/>
    </row>
    <row r="80" spans="1:1165" s="658" customFormat="1">
      <c r="A80" s="613" t="s">
        <v>45</v>
      </c>
      <c r="B80" s="578" t="s">
        <v>110</v>
      </c>
      <c r="C80" s="579">
        <v>0</v>
      </c>
      <c r="D80" s="579">
        <v>0</v>
      </c>
      <c r="E80" s="579">
        <v>0</v>
      </c>
      <c r="F80" s="579">
        <v>0</v>
      </c>
      <c r="G80" s="579">
        <v>0</v>
      </c>
      <c r="H80" s="579">
        <v>0</v>
      </c>
      <c r="I80" s="579">
        <v>0</v>
      </c>
      <c r="J80" s="579">
        <v>0</v>
      </c>
      <c r="K80" s="579">
        <v>0</v>
      </c>
      <c r="L80" s="579">
        <v>0</v>
      </c>
      <c r="M80" s="579">
        <v>0</v>
      </c>
      <c r="N80" s="579">
        <v>0</v>
      </c>
      <c r="O80" s="579">
        <v>0</v>
      </c>
      <c r="P80" s="579">
        <v>0</v>
      </c>
      <c r="Q80" s="579">
        <v>0</v>
      </c>
      <c r="R80" s="579">
        <v>0</v>
      </c>
      <c r="S80" s="579">
        <v>0</v>
      </c>
      <c r="T80" s="579">
        <v>0</v>
      </c>
      <c r="U80" s="579">
        <v>0</v>
      </c>
      <c r="V80" s="579">
        <v>0</v>
      </c>
      <c r="W80" s="579">
        <v>0</v>
      </c>
      <c r="X80" s="579">
        <v>0</v>
      </c>
      <c r="Y80" s="579">
        <v>0</v>
      </c>
      <c r="Z80" s="579">
        <v>0</v>
      </c>
      <c r="AA80" s="579">
        <v>0</v>
      </c>
      <c r="AB80" s="579">
        <v>0</v>
      </c>
      <c r="AC80" s="579">
        <v>0</v>
      </c>
      <c r="AD80" s="579">
        <v>0</v>
      </c>
      <c r="AE80" s="579">
        <v>0</v>
      </c>
      <c r="AF80" s="579">
        <v>0</v>
      </c>
      <c r="AG80" s="579">
        <v>0</v>
      </c>
      <c r="AH80" s="579">
        <v>0</v>
      </c>
      <c r="AI80" s="579">
        <v>0</v>
      </c>
      <c r="AJ80" s="579">
        <v>0</v>
      </c>
      <c r="AK80" s="619">
        <v>0</v>
      </c>
      <c r="AL80" s="579">
        <v>0</v>
      </c>
      <c r="AM80" s="579">
        <v>0</v>
      </c>
      <c r="AN80" s="579">
        <v>0</v>
      </c>
      <c r="AO80" s="579">
        <v>0</v>
      </c>
      <c r="AP80" s="579">
        <v>0</v>
      </c>
      <c r="AQ80" s="579">
        <v>0</v>
      </c>
      <c r="AR80" s="579">
        <v>0</v>
      </c>
      <c r="AS80" s="579">
        <v>0</v>
      </c>
      <c r="AT80" s="579">
        <v>0</v>
      </c>
      <c r="AU80" s="579">
        <v>0</v>
      </c>
      <c r="AV80" s="579">
        <v>0</v>
      </c>
      <c r="AW80" s="598">
        <v>435</v>
      </c>
      <c r="AX80" s="598">
        <v>226690</v>
      </c>
      <c r="AY80" s="581">
        <v>0</v>
      </c>
      <c r="AZ80" s="581">
        <v>0</v>
      </c>
      <c r="BA80" s="663"/>
      <c r="BB80" s="598"/>
      <c r="BC80" s="598"/>
      <c r="BD80" s="598"/>
      <c r="BE80" s="598"/>
      <c r="BF80" s="598"/>
      <c r="BG80" s="598"/>
      <c r="BH80" s="598"/>
      <c r="BI80" s="663"/>
      <c r="BJ80" s="598">
        <f t="shared" si="8"/>
        <v>435</v>
      </c>
      <c r="BK80" s="581">
        <f t="shared" si="9"/>
        <v>226690</v>
      </c>
      <c r="BL80" s="541"/>
      <c r="BM80" s="42"/>
      <c r="BN80" s="624"/>
      <c r="BO80" s="541"/>
      <c r="BP80" s="624"/>
      <c r="BQ80" s="541"/>
      <c r="BR80" s="541"/>
      <c r="BS80" s="541"/>
      <c r="BT80" s="541"/>
      <c r="BU80" s="541"/>
      <c r="BV80" s="541"/>
      <c r="BW80" s="541"/>
      <c r="BX80" s="541"/>
      <c r="BY80" s="541"/>
      <c r="BZ80" s="541"/>
      <c r="CA80" s="541"/>
      <c r="CB80" s="541"/>
      <c r="CC80" s="541"/>
      <c r="CD80" s="541"/>
      <c r="CE80" s="541"/>
      <c r="CF80" s="541"/>
      <c r="CG80" s="541"/>
      <c r="CH80" s="541"/>
      <c r="CI80" s="541"/>
      <c r="CJ80" s="541"/>
      <c r="CK80" s="541"/>
      <c r="CL80" s="541"/>
      <c r="CM80" s="541"/>
      <c r="CN80" s="541"/>
      <c r="CO80" s="541"/>
      <c r="CP80" s="541"/>
      <c r="CQ80" s="541"/>
      <c r="CR80" s="541"/>
      <c r="CS80" s="541"/>
      <c r="CT80" s="541"/>
      <c r="CU80" s="541"/>
      <c r="CV80" s="541"/>
      <c r="CW80" s="541"/>
      <c r="CX80" s="541"/>
      <c r="CY80" s="541"/>
      <c r="CZ80" s="541"/>
      <c r="DA80" s="541"/>
      <c r="DB80" s="541"/>
      <c r="DC80" s="541"/>
      <c r="DD80" s="541"/>
      <c r="DE80" s="541"/>
      <c r="DF80" s="541"/>
      <c r="DG80" s="541"/>
      <c r="DH80" s="541"/>
      <c r="DI80" s="541"/>
      <c r="DJ80" s="541"/>
      <c r="DK80" s="541"/>
      <c r="DL80" s="541"/>
      <c r="DM80" s="541"/>
      <c r="DN80" s="541"/>
      <c r="DO80" s="541"/>
      <c r="DP80" s="541"/>
      <c r="DQ80" s="541"/>
      <c r="DR80" s="541"/>
      <c r="DS80" s="541"/>
      <c r="DT80" s="541"/>
      <c r="DU80" s="541"/>
      <c r="DV80" s="541"/>
      <c r="DW80" s="541"/>
      <c r="DX80" s="541"/>
      <c r="DY80" s="541"/>
      <c r="DZ80" s="541"/>
      <c r="EA80" s="541"/>
      <c r="EB80" s="541"/>
      <c r="EC80" s="541"/>
      <c r="ED80" s="541"/>
      <c r="EE80" s="541"/>
      <c r="EF80" s="541"/>
      <c r="EG80" s="541"/>
      <c r="EH80" s="541"/>
      <c r="EI80" s="541"/>
      <c r="EJ80" s="541"/>
      <c r="EK80" s="541"/>
      <c r="EL80" s="541"/>
      <c r="EM80" s="541"/>
      <c r="EN80" s="541"/>
      <c r="EO80" s="541"/>
      <c r="EP80" s="541"/>
      <c r="EQ80" s="541"/>
      <c r="ER80" s="541"/>
      <c r="ES80" s="541"/>
      <c r="ET80" s="541"/>
      <c r="EU80" s="541"/>
      <c r="EV80" s="541"/>
      <c r="EW80" s="541"/>
      <c r="EX80" s="541"/>
      <c r="EY80" s="541"/>
      <c r="EZ80" s="541"/>
      <c r="FA80" s="541"/>
      <c r="FB80" s="541"/>
      <c r="FC80" s="541"/>
      <c r="FD80" s="541"/>
      <c r="FE80" s="541"/>
      <c r="FF80" s="541"/>
      <c r="FG80" s="541"/>
      <c r="FH80" s="541"/>
      <c r="FI80" s="541"/>
      <c r="FJ80" s="541"/>
      <c r="FK80" s="541"/>
      <c r="FL80" s="541"/>
      <c r="FM80" s="541"/>
      <c r="FN80" s="541"/>
      <c r="FO80" s="541"/>
      <c r="FP80" s="541"/>
      <c r="FQ80" s="541"/>
      <c r="FR80" s="541"/>
      <c r="FS80" s="541"/>
      <c r="FT80" s="541"/>
      <c r="FU80" s="541"/>
      <c r="FV80" s="541"/>
      <c r="FW80" s="541"/>
      <c r="FX80" s="541"/>
      <c r="FY80" s="541"/>
      <c r="FZ80" s="541"/>
      <c r="GA80" s="541"/>
      <c r="GB80" s="541"/>
      <c r="GC80" s="541"/>
      <c r="GD80" s="541"/>
      <c r="GE80" s="541"/>
      <c r="GF80" s="541"/>
      <c r="GG80" s="541"/>
      <c r="GH80" s="541"/>
      <c r="GI80" s="541"/>
      <c r="GJ80" s="541"/>
      <c r="GK80" s="541"/>
      <c r="GL80" s="541"/>
      <c r="GM80" s="541"/>
      <c r="GN80" s="541"/>
      <c r="GO80" s="541"/>
      <c r="GP80" s="541"/>
      <c r="GQ80" s="541"/>
      <c r="GR80" s="541"/>
      <c r="GS80" s="541"/>
      <c r="GT80" s="541"/>
      <c r="GU80" s="541"/>
      <c r="GV80" s="541"/>
      <c r="GW80" s="541"/>
      <c r="GX80" s="541"/>
      <c r="GY80" s="541"/>
      <c r="GZ80" s="541"/>
      <c r="HA80" s="541"/>
      <c r="HB80" s="541"/>
      <c r="HC80" s="541"/>
      <c r="HD80" s="541"/>
      <c r="HE80" s="541"/>
      <c r="HF80" s="541"/>
      <c r="HG80" s="541"/>
      <c r="HH80" s="541"/>
      <c r="HI80" s="541"/>
      <c r="HJ80" s="541"/>
      <c r="HK80" s="541"/>
      <c r="HL80" s="541"/>
      <c r="HM80" s="541"/>
      <c r="HN80" s="541"/>
      <c r="HO80" s="541"/>
      <c r="HP80" s="541"/>
      <c r="HQ80" s="541"/>
      <c r="HR80" s="541"/>
      <c r="HS80" s="541"/>
      <c r="HT80" s="541"/>
      <c r="HU80" s="541"/>
      <c r="HV80" s="541"/>
      <c r="HW80" s="541"/>
      <c r="HX80" s="541"/>
      <c r="HY80" s="541"/>
      <c r="HZ80" s="541"/>
      <c r="IA80" s="541"/>
      <c r="IB80" s="541"/>
      <c r="IC80" s="541"/>
      <c r="ID80" s="541"/>
      <c r="IE80" s="541"/>
      <c r="IF80" s="541"/>
      <c r="IG80" s="541"/>
      <c r="IH80" s="541"/>
      <c r="II80" s="541"/>
      <c r="IJ80" s="541"/>
      <c r="IK80" s="541"/>
      <c r="IL80" s="541"/>
      <c r="IM80" s="541"/>
      <c r="IN80" s="541"/>
      <c r="IO80" s="541"/>
      <c r="IP80" s="541"/>
      <c r="IQ80" s="541"/>
      <c r="IR80" s="541"/>
      <c r="IS80" s="541"/>
      <c r="IT80" s="541"/>
      <c r="IU80" s="541"/>
      <c r="IV80" s="541"/>
      <c r="IW80" s="541"/>
      <c r="IX80" s="541"/>
      <c r="IY80" s="541"/>
      <c r="IZ80" s="541"/>
      <c r="JA80" s="541"/>
      <c r="JB80" s="541"/>
      <c r="JC80" s="541"/>
      <c r="JD80" s="541"/>
      <c r="JE80" s="541"/>
      <c r="JF80" s="541"/>
      <c r="JG80" s="541"/>
      <c r="JH80" s="541"/>
      <c r="JI80" s="541"/>
      <c r="JJ80" s="541"/>
      <c r="JK80" s="541"/>
      <c r="JL80" s="541"/>
      <c r="JM80" s="541"/>
      <c r="JN80" s="541"/>
      <c r="JO80" s="541"/>
      <c r="JP80" s="541"/>
      <c r="JQ80" s="541"/>
      <c r="JR80" s="541"/>
      <c r="JS80" s="541"/>
      <c r="JT80" s="541"/>
      <c r="JU80" s="541"/>
      <c r="JV80" s="541"/>
      <c r="JW80" s="541"/>
      <c r="JX80" s="541"/>
      <c r="JY80" s="541"/>
      <c r="JZ80" s="541"/>
      <c r="KA80" s="541"/>
      <c r="KB80" s="541"/>
      <c r="KC80" s="541"/>
      <c r="KD80" s="541"/>
      <c r="KE80" s="541"/>
      <c r="KF80" s="541"/>
      <c r="KG80" s="541"/>
      <c r="KH80" s="541"/>
      <c r="KI80" s="541"/>
      <c r="KJ80" s="541"/>
      <c r="KK80" s="541"/>
      <c r="KL80" s="541"/>
      <c r="KM80" s="541"/>
      <c r="KN80" s="541"/>
      <c r="KO80" s="541"/>
      <c r="KP80" s="541"/>
      <c r="KQ80" s="541"/>
      <c r="KR80" s="541"/>
      <c r="KS80" s="541"/>
      <c r="KT80" s="541"/>
      <c r="KU80" s="541"/>
      <c r="KV80" s="541"/>
      <c r="KW80" s="541"/>
      <c r="KX80" s="541"/>
      <c r="KY80" s="541"/>
      <c r="KZ80" s="541"/>
      <c r="LA80" s="541"/>
      <c r="LB80" s="541"/>
      <c r="LC80" s="541"/>
      <c r="LD80" s="541"/>
      <c r="LE80" s="541"/>
      <c r="LF80" s="541"/>
      <c r="LG80" s="541"/>
      <c r="LH80" s="541"/>
      <c r="LI80" s="541"/>
      <c r="LJ80" s="541"/>
      <c r="LK80" s="541"/>
      <c r="LL80" s="541"/>
      <c r="LM80" s="541"/>
      <c r="LN80" s="541"/>
      <c r="LO80" s="541"/>
      <c r="LP80" s="541"/>
      <c r="LQ80" s="541"/>
      <c r="LR80" s="541"/>
      <c r="LS80" s="541"/>
      <c r="LT80" s="541"/>
      <c r="LU80" s="541"/>
      <c r="LV80" s="541"/>
      <c r="LW80" s="541"/>
      <c r="LX80" s="541"/>
      <c r="LY80" s="541"/>
      <c r="LZ80" s="541"/>
      <c r="MA80" s="541"/>
      <c r="MB80" s="541"/>
      <c r="MC80" s="541"/>
      <c r="MD80" s="541"/>
      <c r="ME80" s="541"/>
      <c r="MF80" s="541"/>
      <c r="MG80" s="541"/>
      <c r="MH80" s="541"/>
      <c r="MI80" s="541"/>
      <c r="MJ80" s="541"/>
      <c r="MK80" s="541"/>
      <c r="ML80" s="541"/>
      <c r="MM80" s="541"/>
      <c r="MN80" s="541"/>
      <c r="MO80" s="541"/>
      <c r="MP80" s="541"/>
      <c r="MQ80" s="541"/>
      <c r="MR80" s="541"/>
      <c r="MS80" s="541"/>
      <c r="MT80" s="541"/>
      <c r="MU80" s="541"/>
      <c r="MV80" s="541"/>
      <c r="MW80" s="541"/>
      <c r="MX80" s="541"/>
      <c r="MY80" s="541"/>
      <c r="MZ80" s="541"/>
      <c r="NA80" s="541"/>
      <c r="NB80" s="541"/>
      <c r="NC80" s="541"/>
      <c r="ND80" s="541"/>
      <c r="NE80" s="541"/>
      <c r="NF80" s="541"/>
      <c r="NG80" s="541"/>
      <c r="NH80" s="541"/>
      <c r="NI80" s="541"/>
      <c r="NJ80" s="541"/>
      <c r="NK80" s="541"/>
      <c r="NL80" s="541"/>
      <c r="NM80" s="541"/>
      <c r="NN80" s="541"/>
      <c r="NO80" s="541"/>
      <c r="NP80" s="541"/>
      <c r="NQ80" s="541"/>
      <c r="NR80" s="541"/>
      <c r="NS80" s="541"/>
      <c r="NT80" s="541"/>
      <c r="NU80" s="541"/>
      <c r="NV80" s="541"/>
      <c r="NW80" s="541"/>
      <c r="NX80" s="541"/>
      <c r="NY80" s="541"/>
      <c r="NZ80" s="541"/>
      <c r="OA80" s="541"/>
      <c r="OB80" s="541"/>
      <c r="OC80" s="541"/>
      <c r="OD80" s="541"/>
      <c r="OE80" s="541"/>
      <c r="OF80" s="541"/>
      <c r="OG80" s="541"/>
      <c r="OH80" s="541"/>
      <c r="OI80" s="541"/>
      <c r="OJ80" s="541"/>
      <c r="OK80" s="541"/>
      <c r="OL80" s="541"/>
      <c r="OM80" s="541"/>
      <c r="ON80" s="541"/>
      <c r="OO80" s="541"/>
      <c r="OP80" s="541"/>
      <c r="OQ80" s="541"/>
      <c r="OR80" s="541"/>
      <c r="OS80" s="541"/>
      <c r="OT80" s="541"/>
      <c r="OU80" s="541"/>
      <c r="OV80" s="541"/>
      <c r="OW80" s="541"/>
      <c r="OX80" s="541"/>
      <c r="OY80" s="541"/>
      <c r="OZ80" s="541"/>
      <c r="PA80" s="541"/>
      <c r="PB80" s="541"/>
      <c r="PC80" s="541"/>
      <c r="PD80" s="541"/>
      <c r="PE80" s="541"/>
      <c r="PF80" s="541"/>
      <c r="PG80" s="541"/>
      <c r="PH80" s="541"/>
      <c r="PI80" s="541"/>
      <c r="PJ80" s="541"/>
      <c r="PK80" s="541"/>
      <c r="PL80" s="541"/>
      <c r="PM80" s="541"/>
      <c r="PN80" s="541"/>
      <c r="PO80" s="541"/>
      <c r="PP80" s="541"/>
      <c r="PQ80" s="541"/>
      <c r="PR80" s="541"/>
      <c r="PS80" s="541"/>
      <c r="PT80" s="541"/>
      <c r="PU80" s="541"/>
      <c r="PV80" s="541"/>
      <c r="PW80" s="541"/>
      <c r="PX80" s="541"/>
      <c r="PY80" s="541"/>
      <c r="PZ80" s="541"/>
      <c r="QA80" s="541"/>
      <c r="QB80" s="541"/>
      <c r="QC80" s="541"/>
      <c r="QD80" s="541"/>
      <c r="QE80" s="541"/>
      <c r="QF80" s="541"/>
      <c r="QG80" s="541"/>
      <c r="QH80" s="541"/>
      <c r="QI80" s="541"/>
      <c r="QJ80" s="541"/>
      <c r="QK80" s="541"/>
      <c r="QL80" s="541"/>
      <c r="QM80" s="541"/>
      <c r="QN80" s="541"/>
      <c r="QO80" s="541"/>
      <c r="QP80" s="541"/>
      <c r="QQ80" s="541"/>
      <c r="QR80" s="541"/>
      <c r="QS80" s="541"/>
      <c r="QT80" s="541"/>
      <c r="QU80" s="541"/>
      <c r="QV80" s="541"/>
      <c r="QW80" s="541"/>
      <c r="QX80" s="541"/>
      <c r="QY80" s="541"/>
      <c r="QZ80" s="541"/>
      <c r="RA80" s="541"/>
      <c r="RB80" s="541"/>
      <c r="RC80" s="541"/>
      <c r="RD80" s="541"/>
      <c r="RE80" s="541"/>
      <c r="RF80" s="541"/>
      <c r="RG80" s="541"/>
      <c r="RH80" s="541"/>
      <c r="RI80" s="541"/>
      <c r="RJ80" s="541"/>
      <c r="RK80" s="541"/>
      <c r="RL80" s="541"/>
      <c r="RM80" s="541"/>
      <c r="RN80" s="541"/>
      <c r="RO80" s="541"/>
      <c r="RP80" s="541"/>
      <c r="RQ80" s="541"/>
      <c r="RR80" s="541"/>
      <c r="RS80" s="541"/>
      <c r="RT80" s="541"/>
      <c r="RU80" s="541"/>
      <c r="RV80" s="541"/>
      <c r="RW80" s="541"/>
      <c r="RX80" s="541"/>
      <c r="RY80" s="541"/>
      <c r="RZ80" s="541"/>
      <c r="SA80" s="541"/>
      <c r="SB80" s="541"/>
      <c r="SC80" s="541"/>
      <c r="SD80" s="541"/>
      <c r="SE80" s="541"/>
      <c r="SF80" s="541"/>
      <c r="SG80" s="541"/>
      <c r="SH80" s="541"/>
      <c r="SI80" s="541"/>
      <c r="SJ80" s="541"/>
      <c r="SK80" s="541"/>
      <c r="SL80" s="541"/>
      <c r="SM80" s="541"/>
      <c r="SN80" s="541"/>
      <c r="SO80" s="541"/>
      <c r="SP80" s="541"/>
      <c r="SQ80" s="541"/>
      <c r="SR80" s="541"/>
      <c r="SS80" s="541"/>
      <c r="ST80" s="541"/>
      <c r="SU80" s="541"/>
      <c r="SV80" s="541"/>
      <c r="SW80" s="541"/>
      <c r="SX80" s="541"/>
      <c r="SY80" s="541"/>
      <c r="SZ80" s="541"/>
      <c r="TA80" s="541"/>
      <c r="TB80" s="541"/>
      <c r="TC80" s="541"/>
      <c r="TD80" s="541"/>
      <c r="TE80" s="541"/>
      <c r="TF80" s="541"/>
      <c r="TG80" s="541"/>
      <c r="TH80" s="541"/>
      <c r="TI80" s="541"/>
      <c r="TJ80" s="541"/>
      <c r="TK80" s="541"/>
      <c r="TL80" s="541"/>
      <c r="TM80" s="541"/>
      <c r="TN80" s="541"/>
      <c r="TO80" s="541"/>
      <c r="TP80" s="541"/>
      <c r="TQ80" s="541"/>
      <c r="TR80" s="541"/>
      <c r="TS80" s="541"/>
      <c r="TT80" s="541"/>
      <c r="TU80" s="541"/>
      <c r="TV80" s="541"/>
      <c r="TW80" s="541"/>
      <c r="TX80" s="541"/>
      <c r="TY80" s="541"/>
      <c r="TZ80" s="541"/>
      <c r="UA80" s="541"/>
      <c r="UB80" s="541"/>
      <c r="UC80" s="541"/>
      <c r="UD80" s="541"/>
      <c r="UE80" s="541"/>
      <c r="UF80" s="541"/>
      <c r="UG80" s="541"/>
      <c r="UH80" s="541"/>
      <c r="UI80" s="541"/>
      <c r="UJ80" s="541"/>
      <c r="UK80" s="541"/>
      <c r="UL80" s="541"/>
      <c r="UM80" s="541"/>
      <c r="UN80" s="541"/>
      <c r="UO80" s="541"/>
      <c r="UP80" s="541"/>
      <c r="UQ80" s="541"/>
      <c r="UR80" s="541"/>
      <c r="US80" s="541"/>
      <c r="UT80" s="541"/>
      <c r="UU80" s="541"/>
      <c r="UV80" s="541"/>
      <c r="UW80" s="541"/>
      <c r="UX80" s="541"/>
      <c r="UY80" s="541"/>
      <c r="UZ80" s="541"/>
      <c r="VA80" s="541"/>
      <c r="VB80" s="541"/>
      <c r="VC80" s="541"/>
      <c r="VD80" s="541"/>
      <c r="VE80" s="541"/>
      <c r="VF80" s="541"/>
      <c r="VG80" s="541"/>
      <c r="VH80" s="541"/>
      <c r="VI80" s="541"/>
      <c r="VJ80" s="541"/>
      <c r="VK80" s="541"/>
      <c r="VL80" s="541"/>
      <c r="VM80" s="541"/>
      <c r="VN80" s="541"/>
      <c r="VO80" s="541"/>
      <c r="VP80" s="541"/>
      <c r="VQ80" s="541"/>
      <c r="VR80" s="541"/>
      <c r="VS80" s="541"/>
      <c r="VT80" s="541"/>
      <c r="VU80" s="541"/>
      <c r="VV80" s="541"/>
      <c r="VW80" s="541"/>
      <c r="VX80" s="541"/>
      <c r="VY80" s="541"/>
      <c r="VZ80" s="541"/>
      <c r="WA80" s="541"/>
      <c r="WB80" s="541"/>
      <c r="WC80" s="541"/>
      <c r="WD80" s="541"/>
      <c r="WE80" s="541"/>
      <c r="WF80" s="541"/>
      <c r="WG80" s="541"/>
      <c r="WH80" s="541"/>
      <c r="WI80" s="541"/>
      <c r="WJ80" s="541"/>
      <c r="WK80" s="541"/>
      <c r="WL80" s="541"/>
      <c r="WM80" s="541"/>
      <c r="WN80" s="541"/>
      <c r="WO80" s="541"/>
      <c r="WP80" s="541"/>
      <c r="WQ80" s="541"/>
      <c r="WR80" s="541"/>
      <c r="WS80" s="541"/>
      <c r="WT80" s="541"/>
      <c r="WU80" s="541"/>
      <c r="WV80" s="541"/>
      <c r="WW80" s="541"/>
      <c r="WX80" s="541"/>
      <c r="WY80" s="541"/>
      <c r="WZ80" s="541"/>
      <c r="XA80" s="541"/>
      <c r="XB80" s="541"/>
      <c r="XC80" s="541"/>
      <c r="XD80" s="541"/>
      <c r="XE80" s="541"/>
      <c r="XF80" s="541"/>
      <c r="XG80" s="541"/>
      <c r="XH80" s="541"/>
      <c r="XI80" s="541"/>
      <c r="XJ80" s="541"/>
      <c r="XK80" s="541"/>
      <c r="XL80" s="541"/>
      <c r="XM80" s="541"/>
      <c r="XN80" s="541"/>
      <c r="XO80" s="541"/>
      <c r="XP80" s="541"/>
      <c r="XQ80" s="541"/>
      <c r="XR80" s="541"/>
      <c r="XS80" s="541"/>
      <c r="XT80" s="541"/>
      <c r="XU80" s="541"/>
      <c r="XV80" s="541"/>
      <c r="XW80" s="541"/>
      <c r="XX80" s="541"/>
      <c r="XY80" s="541"/>
      <c r="XZ80" s="541"/>
      <c r="YA80" s="541"/>
      <c r="YB80" s="541"/>
      <c r="YC80" s="541"/>
      <c r="YD80" s="541"/>
      <c r="YE80" s="541"/>
      <c r="YF80" s="541"/>
      <c r="YG80" s="541"/>
      <c r="YH80" s="541"/>
      <c r="YI80" s="541"/>
      <c r="YJ80" s="541"/>
      <c r="YK80" s="541"/>
      <c r="YL80" s="541"/>
      <c r="YM80" s="541"/>
      <c r="YN80" s="541"/>
      <c r="YO80" s="541"/>
      <c r="YP80" s="541"/>
      <c r="YQ80" s="541"/>
      <c r="YR80" s="541"/>
      <c r="YS80" s="541"/>
      <c r="YT80" s="541"/>
      <c r="YU80" s="541"/>
      <c r="YV80" s="541"/>
      <c r="YW80" s="541"/>
      <c r="YX80" s="541"/>
      <c r="YY80" s="541"/>
      <c r="YZ80" s="541"/>
      <c r="ZA80" s="541"/>
      <c r="ZB80" s="541"/>
      <c r="ZC80" s="541"/>
      <c r="ZD80" s="541"/>
      <c r="ZE80" s="541"/>
      <c r="ZF80" s="541"/>
      <c r="ZG80" s="541"/>
      <c r="ZH80" s="541"/>
      <c r="ZI80" s="541"/>
      <c r="ZJ80" s="541"/>
      <c r="ZK80" s="541"/>
      <c r="ZL80" s="541"/>
      <c r="ZM80" s="541"/>
      <c r="ZN80" s="541"/>
      <c r="ZO80" s="541"/>
      <c r="ZP80" s="541"/>
      <c r="ZQ80" s="541"/>
      <c r="ZR80" s="541"/>
      <c r="ZS80" s="541"/>
      <c r="ZT80" s="541"/>
      <c r="ZU80" s="541"/>
      <c r="ZV80" s="541"/>
      <c r="ZW80" s="541"/>
      <c r="ZX80" s="541"/>
      <c r="ZY80" s="541"/>
      <c r="ZZ80" s="541"/>
      <c r="AAA80" s="541"/>
      <c r="AAB80" s="541"/>
      <c r="AAC80" s="541"/>
      <c r="AAD80" s="541"/>
      <c r="AAE80" s="541"/>
      <c r="AAF80" s="541"/>
      <c r="AAG80" s="541"/>
      <c r="AAH80" s="541"/>
      <c r="AAI80" s="541"/>
      <c r="AAJ80" s="541"/>
      <c r="AAK80" s="541"/>
      <c r="AAL80" s="541"/>
      <c r="AAM80" s="541"/>
      <c r="AAN80" s="541"/>
      <c r="AAO80" s="541"/>
      <c r="AAP80" s="541"/>
      <c r="AAQ80" s="541"/>
      <c r="AAR80" s="541"/>
      <c r="AAS80" s="541"/>
      <c r="AAT80" s="541"/>
      <c r="AAU80" s="541"/>
      <c r="AAV80" s="541"/>
      <c r="AAW80" s="541"/>
      <c r="AAX80" s="541"/>
      <c r="AAY80" s="541"/>
      <c r="AAZ80" s="541"/>
      <c r="ABA80" s="541"/>
      <c r="ABB80" s="541"/>
      <c r="ABC80" s="541"/>
      <c r="ABD80" s="541"/>
      <c r="ABE80" s="541"/>
      <c r="ABF80" s="541"/>
      <c r="ABG80" s="541"/>
      <c r="ABH80" s="541"/>
      <c r="ABI80" s="541"/>
      <c r="ABJ80" s="541"/>
      <c r="ABK80" s="541"/>
      <c r="ABL80" s="541"/>
      <c r="ABM80" s="541"/>
      <c r="ABN80" s="541"/>
      <c r="ABO80" s="541"/>
      <c r="ABP80" s="541"/>
      <c r="ABQ80" s="541"/>
      <c r="ABR80" s="541"/>
      <c r="ABS80" s="541"/>
      <c r="ABT80" s="541"/>
      <c r="ABU80" s="541"/>
      <c r="ABV80" s="541"/>
      <c r="ABW80" s="541"/>
      <c r="ABX80" s="541"/>
      <c r="ABY80" s="541"/>
      <c r="ABZ80" s="541"/>
      <c r="ACA80" s="541"/>
      <c r="ACB80" s="541"/>
      <c r="ACC80" s="541"/>
      <c r="ACD80" s="541"/>
      <c r="ACE80" s="541"/>
      <c r="ACF80" s="541"/>
      <c r="ACG80" s="541"/>
      <c r="ACH80" s="541"/>
      <c r="ACI80" s="541"/>
      <c r="ACJ80" s="541"/>
      <c r="ACK80" s="541"/>
      <c r="ACL80" s="541"/>
      <c r="ACM80" s="541"/>
      <c r="ACN80" s="541"/>
      <c r="ACO80" s="541"/>
      <c r="ACP80" s="541"/>
      <c r="ACQ80" s="541"/>
      <c r="ACR80" s="541"/>
      <c r="ACS80" s="541"/>
      <c r="ACT80" s="541"/>
      <c r="ACU80" s="541"/>
      <c r="ACV80" s="541"/>
      <c r="ACW80" s="541"/>
      <c r="ACX80" s="541"/>
      <c r="ACY80" s="541"/>
      <c r="ACZ80" s="541"/>
      <c r="ADA80" s="541"/>
      <c r="ADB80" s="541"/>
      <c r="ADC80" s="541"/>
      <c r="ADD80" s="541"/>
      <c r="ADE80" s="541"/>
      <c r="ADF80" s="541"/>
      <c r="ADG80" s="541"/>
      <c r="ADH80" s="541"/>
      <c r="ADI80" s="541"/>
      <c r="ADJ80" s="541"/>
      <c r="ADK80" s="541"/>
      <c r="ADL80" s="541"/>
      <c r="ADM80" s="541"/>
      <c r="ADN80" s="541"/>
      <c r="ADO80" s="541"/>
      <c r="ADP80" s="541"/>
      <c r="ADQ80" s="541"/>
      <c r="ADR80" s="541"/>
      <c r="ADS80" s="541"/>
      <c r="ADT80" s="541"/>
      <c r="ADU80" s="541"/>
      <c r="ADV80" s="541"/>
      <c r="ADW80" s="541"/>
      <c r="ADX80" s="541"/>
      <c r="ADY80" s="541"/>
      <c r="ADZ80" s="541"/>
      <c r="AEA80" s="541"/>
      <c r="AEB80" s="541"/>
      <c r="AEC80" s="541"/>
      <c r="AED80" s="541"/>
      <c r="AEE80" s="541"/>
      <c r="AEF80" s="541"/>
      <c r="AEG80" s="541"/>
      <c r="AEH80" s="541"/>
      <c r="AEI80" s="541"/>
      <c r="AEJ80" s="541"/>
      <c r="AEK80" s="541"/>
      <c r="AEL80" s="541"/>
      <c r="AEM80" s="541"/>
      <c r="AEN80" s="541"/>
      <c r="AEO80" s="541"/>
      <c r="AEP80" s="541"/>
      <c r="AEQ80" s="541"/>
      <c r="AER80" s="541"/>
      <c r="AES80" s="541"/>
      <c r="AET80" s="541"/>
      <c r="AEU80" s="541"/>
      <c r="AEV80" s="541"/>
      <c r="AEW80" s="541"/>
      <c r="AEX80" s="541"/>
      <c r="AEY80" s="541"/>
      <c r="AEZ80" s="541"/>
      <c r="AFA80" s="541"/>
      <c r="AFB80" s="541"/>
      <c r="AFC80" s="541"/>
      <c r="AFD80" s="541"/>
      <c r="AFE80" s="541"/>
      <c r="AFF80" s="541"/>
      <c r="AFG80" s="541"/>
      <c r="AFH80" s="541"/>
      <c r="AFI80" s="541"/>
      <c r="AFJ80" s="541"/>
      <c r="AFK80" s="541"/>
      <c r="AFL80" s="541"/>
      <c r="AFM80" s="541"/>
      <c r="AFN80" s="541"/>
      <c r="AFO80" s="541"/>
      <c r="AFP80" s="541"/>
      <c r="AFQ80" s="541"/>
      <c r="AFR80" s="541"/>
      <c r="AFS80" s="541"/>
      <c r="AFT80" s="541"/>
      <c r="AFU80" s="541"/>
      <c r="AFV80" s="541"/>
      <c r="AFW80" s="541"/>
      <c r="AFX80" s="541"/>
      <c r="AFY80" s="541"/>
      <c r="AFZ80" s="541"/>
      <c r="AGA80" s="541"/>
      <c r="AGB80" s="541"/>
      <c r="AGC80" s="541"/>
      <c r="AGD80" s="541"/>
      <c r="AGE80" s="541"/>
      <c r="AGF80" s="541"/>
      <c r="AGG80" s="541"/>
      <c r="AGH80" s="541"/>
      <c r="AGI80" s="541"/>
      <c r="AGJ80" s="541"/>
      <c r="AGK80" s="541"/>
      <c r="AGL80" s="541"/>
      <c r="AGM80" s="541"/>
      <c r="AGN80" s="541"/>
      <c r="AGO80" s="541"/>
      <c r="AGP80" s="541"/>
      <c r="AGQ80" s="541"/>
      <c r="AGR80" s="541"/>
      <c r="AGS80" s="541"/>
      <c r="AGT80" s="541"/>
      <c r="AGU80" s="541"/>
      <c r="AGV80" s="541"/>
      <c r="AGW80" s="541"/>
      <c r="AGX80" s="541"/>
      <c r="AGY80" s="541"/>
      <c r="AGZ80" s="541"/>
      <c r="AHA80" s="541"/>
      <c r="AHB80" s="541"/>
      <c r="AHC80" s="541"/>
      <c r="AHD80" s="541"/>
      <c r="AHE80" s="541"/>
      <c r="AHF80" s="541"/>
      <c r="AHG80" s="541"/>
      <c r="AHH80" s="541"/>
      <c r="AHI80" s="541"/>
      <c r="AHJ80" s="541"/>
      <c r="AHK80" s="541"/>
      <c r="AHL80" s="541"/>
      <c r="AHM80" s="541"/>
      <c r="AHN80" s="541"/>
      <c r="AHO80" s="541"/>
      <c r="AHP80" s="541"/>
      <c r="AHQ80" s="541"/>
      <c r="AHR80" s="541"/>
      <c r="AHS80" s="541"/>
      <c r="AHT80" s="541"/>
      <c r="AHU80" s="541"/>
      <c r="AHV80" s="541"/>
      <c r="AHW80" s="541"/>
      <c r="AHX80" s="541"/>
      <c r="AHY80" s="541"/>
      <c r="AHZ80" s="541"/>
      <c r="AIA80" s="541"/>
      <c r="AIB80" s="541"/>
      <c r="AIC80" s="541"/>
      <c r="AID80" s="541"/>
      <c r="AIE80" s="541"/>
      <c r="AIF80" s="541"/>
      <c r="AIG80" s="541"/>
      <c r="AIH80" s="541"/>
      <c r="AII80" s="541"/>
      <c r="AIJ80" s="541"/>
      <c r="AIK80" s="541"/>
      <c r="AIL80" s="541"/>
      <c r="AIM80" s="541"/>
      <c r="AIN80" s="541"/>
      <c r="AIO80" s="541"/>
      <c r="AIP80" s="541"/>
      <c r="AIQ80" s="541"/>
      <c r="AIR80" s="541"/>
      <c r="AIS80" s="541"/>
      <c r="AIT80" s="541"/>
      <c r="AIU80" s="541"/>
      <c r="AIV80" s="541"/>
      <c r="AIW80" s="541"/>
      <c r="AIX80" s="541"/>
      <c r="AIY80" s="541"/>
      <c r="AIZ80" s="541"/>
      <c r="AJA80" s="541"/>
      <c r="AJB80" s="541"/>
      <c r="AJC80" s="541"/>
      <c r="AJD80" s="541"/>
      <c r="AJE80" s="541"/>
      <c r="AJF80" s="541"/>
      <c r="AJG80" s="541"/>
      <c r="AJH80" s="541"/>
      <c r="AJI80" s="541"/>
      <c r="AJJ80" s="541"/>
      <c r="AJK80" s="541"/>
      <c r="AJL80" s="541"/>
      <c r="AJM80" s="541"/>
      <c r="AJN80" s="541"/>
      <c r="AJO80" s="541"/>
      <c r="AJP80" s="541"/>
      <c r="AJQ80" s="541"/>
      <c r="AJR80" s="541"/>
      <c r="AJS80" s="541"/>
      <c r="AJT80" s="541"/>
      <c r="AJU80" s="541"/>
      <c r="AJV80" s="541"/>
      <c r="AJW80" s="541"/>
      <c r="AJX80" s="541"/>
      <c r="AJY80" s="541"/>
      <c r="AJZ80" s="541"/>
      <c r="AKA80" s="541"/>
      <c r="AKB80" s="541"/>
      <c r="AKC80" s="541"/>
      <c r="AKD80" s="541"/>
      <c r="AKE80" s="541"/>
      <c r="AKF80" s="541"/>
      <c r="AKG80" s="541"/>
      <c r="AKH80" s="541"/>
      <c r="AKI80" s="541"/>
      <c r="AKJ80" s="541"/>
      <c r="AKK80" s="541"/>
      <c r="AKL80" s="541"/>
      <c r="AKM80" s="541"/>
      <c r="AKN80" s="541"/>
      <c r="AKO80" s="541"/>
      <c r="AKP80" s="541"/>
      <c r="AKQ80" s="541"/>
      <c r="AKR80" s="541"/>
      <c r="AKS80" s="541"/>
      <c r="AKT80" s="541"/>
      <c r="AKU80" s="541"/>
      <c r="AKV80" s="541"/>
      <c r="AKW80" s="541"/>
      <c r="AKX80" s="541"/>
      <c r="AKY80" s="541"/>
      <c r="AKZ80" s="541"/>
      <c r="ALA80" s="541"/>
      <c r="ALB80" s="541"/>
      <c r="ALC80" s="541"/>
      <c r="ALD80" s="541"/>
      <c r="ALE80" s="541"/>
      <c r="ALF80" s="541"/>
      <c r="ALG80" s="541"/>
      <c r="ALH80" s="541"/>
      <c r="ALI80" s="541"/>
      <c r="ALJ80" s="541"/>
      <c r="ALK80" s="541"/>
      <c r="ALL80" s="541"/>
      <c r="ALM80" s="541"/>
      <c r="ALN80" s="541"/>
      <c r="ALO80" s="541"/>
      <c r="ALP80" s="541"/>
      <c r="ALQ80" s="541"/>
      <c r="ALR80" s="541"/>
      <c r="ALS80" s="541"/>
      <c r="ALT80" s="541"/>
      <c r="ALU80" s="541"/>
      <c r="ALV80" s="541"/>
      <c r="ALW80" s="541"/>
      <c r="ALX80" s="541"/>
      <c r="ALY80" s="541"/>
      <c r="ALZ80" s="541"/>
      <c r="AMA80" s="541"/>
      <c r="AMB80" s="541"/>
      <c r="AMC80" s="541"/>
      <c r="AMD80" s="541"/>
      <c r="AME80" s="541"/>
      <c r="AMF80" s="541"/>
      <c r="AMG80" s="541"/>
      <c r="AMH80" s="541"/>
      <c r="AMI80" s="541"/>
      <c r="AMJ80" s="541"/>
      <c r="AMK80" s="541"/>
      <c r="AML80" s="541"/>
      <c r="AMM80" s="541"/>
      <c r="AMN80" s="541"/>
      <c r="AMO80" s="541"/>
      <c r="AMP80" s="541"/>
      <c r="AMQ80" s="541"/>
      <c r="AMR80" s="541"/>
      <c r="AMS80" s="541"/>
      <c r="AMT80" s="541"/>
      <c r="AMU80" s="541"/>
      <c r="AMV80" s="541"/>
      <c r="AMW80" s="541"/>
      <c r="AMX80" s="541"/>
      <c r="AMY80" s="541"/>
      <c r="AMZ80" s="541"/>
      <c r="ANA80" s="541"/>
      <c r="ANB80" s="541"/>
      <c r="ANC80" s="541"/>
      <c r="AND80" s="541"/>
      <c r="ANE80" s="541"/>
      <c r="ANF80" s="541"/>
      <c r="ANG80" s="541"/>
      <c r="ANH80" s="541"/>
      <c r="ANI80" s="541"/>
      <c r="ANJ80" s="541"/>
      <c r="ANK80" s="541"/>
      <c r="ANL80" s="541"/>
      <c r="ANM80" s="541"/>
      <c r="ANN80" s="541"/>
      <c r="ANO80" s="541"/>
      <c r="ANP80" s="541"/>
      <c r="ANQ80" s="541"/>
      <c r="ANR80" s="541"/>
      <c r="ANS80" s="541"/>
      <c r="ANT80" s="541"/>
      <c r="ANU80" s="541"/>
      <c r="ANV80" s="541"/>
      <c r="ANW80" s="541"/>
      <c r="ANX80" s="541"/>
      <c r="ANY80" s="541"/>
      <c r="ANZ80" s="541"/>
      <c r="AOA80" s="541"/>
      <c r="AOB80" s="541"/>
      <c r="AOC80" s="541"/>
      <c r="AOD80" s="541"/>
      <c r="AOE80" s="541"/>
      <c r="AOF80" s="541"/>
      <c r="AOG80" s="541"/>
      <c r="AOH80" s="541"/>
      <c r="AOI80" s="541"/>
      <c r="AOJ80" s="541"/>
      <c r="AOK80" s="541"/>
      <c r="AOL80" s="541"/>
      <c r="AOM80" s="541"/>
      <c r="AON80" s="541"/>
      <c r="AOO80" s="541"/>
      <c r="AOP80" s="541"/>
      <c r="AOQ80" s="541"/>
      <c r="AOR80" s="541"/>
      <c r="AOS80" s="541"/>
      <c r="AOT80" s="541"/>
      <c r="AOU80" s="541"/>
      <c r="AOV80" s="541"/>
      <c r="AOW80" s="541"/>
      <c r="AOX80" s="541"/>
      <c r="AOY80" s="541"/>
      <c r="AOZ80" s="541"/>
      <c r="APA80" s="541"/>
      <c r="APB80" s="541"/>
      <c r="APC80" s="541"/>
      <c r="APD80" s="541"/>
      <c r="APE80" s="541"/>
      <c r="APF80" s="541"/>
      <c r="APG80" s="541"/>
      <c r="APH80" s="541"/>
      <c r="API80" s="541"/>
      <c r="APJ80" s="541"/>
      <c r="APK80" s="541"/>
      <c r="APL80" s="541"/>
      <c r="APM80" s="541"/>
      <c r="APN80" s="541"/>
      <c r="APO80" s="541"/>
      <c r="APP80" s="541"/>
      <c r="APQ80" s="541"/>
      <c r="APR80" s="541"/>
      <c r="APS80" s="541"/>
      <c r="APT80" s="541"/>
      <c r="APU80" s="541"/>
      <c r="APV80" s="541"/>
      <c r="APW80" s="541"/>
      <c r="APX80" s="541"/>
      <c r="APY80" s="541"/>
      <c r="APZ80" s="541"/>
      <c r="AQA80" s="541"/>
      <c r="AQB80" s="541"/>
      <c r="AQC80" s="541"/>
      <c r="AQD80" s="541"/>
      <c r="AQE80" s="541"/>
      <c r="AQF80" s="541"/>
      <c r="AQG80" s="541"/>
      <c r="AQH80" s="541"/>
      <c r="AQI80" s="541"/>
      <c r="AQJ80" s="541"/>
      <c r="AQK80" s="541"/>
      <c r="AQL80" s="541"/>
      <c r="AQM80" s="541"/>
      <c r="AQN80" s="541"/>
      <c r="AQO80" s="541"/>
      <c r="AQP80" s="541"/>
      <c r="AQQ80" s="541"/>
      <c r="AQR80" s="541"/>
      <c r="AQS80" s="541"/>
      <c r="AQT80" s="541"/>
      <c r="AQU80" s="541"/>
      <c r="AQV80" s="541"/>
      <c r="AQW80" s="541"/>
      <c r="AQX80" s="541"/>
      <c r="AQY80" s="541"/>
      <c r="AQZ80" s="541"/>
      <c r="ARA80" s="541"/>
      <c r="ARB80" s="541"/>
      <c r="ARC80" s="541"/>
      <c r="ARD80" s="541"/>
      <c r="ARE80" s="541"/>
      <c r="ARF80" s="541"/>
      <c r="ARG80" s="541"/>
      <c r="ARH80" s="541"/>
      <c r="ARI80" s="541"/>
      <c r="ARJ80" s="541"/>
      <c r="ARK80" s="541"/>
      <c r="ARL80" s="541"/>
      <c r="ARM80" s="541"/>
      <c r="ARN80" s="541"/>
      <c r="ARO80" s="541"/>
      <c r="ARP80" s="541"/>
      <c r="ARQ80" s="541"/>
      <c r="ARR80" s="541"/>
      <c r="ARS80" s="541"/>
      <c r="ART80" s="541"/>
      <c r="ARU80" s="541"/>
    </row>
    <row r="81" spans="1:1165" s="658" customFormat="1">
      <c r="A81" s="613" t="s">
        <v>244</v>
      </c>
      <c r="B81" s="578" t="s">
        <v>110</v>
      </c>
      <c r="C81" s="659">
        <f>1618+1830+46973+843</f>
        <v>51264</v>
      </c>
      <c r="D81" s="659">
        <f>33914+24967+938066+1401</f>
        <v>998348</v>
      </c>
      <c r="E81" s="581">
        <v>2448</v>
      </c>
      <c r="F81" s="581">
        <v>94973</v>
      </c>
      <c r="G81" s="581">
        <f>3156+150</f>
        <v>3306</v>
      </c>
      <c r="H81" s="581">
        <f>142020+200</f>
        <v>142220</v>
      </c>
      <c r="I81" s="581">
        <f>2045+1784</f>
        <v>3829</v>
      </c>
      <c r="J81" s="581">
        <f>85359+2140</f>
        <v>87499</v>
      </c>
      <c r="K81" s="581">
        <v>2503</v>
      </c>
      <c r="L81" s="581">
        <v>112815</v>
      </c>
      <c r="M81" s="581">
        <v>2272</v>
      </c>
      <c r="N81" s="581">
        <v>102224</v>
      </c>
      <c r="O81" s="581">
        <v>2992</v>
      </c>
      <c r="P81" s="581">
        <v>134640</v>
      </c>
      <c r="Q81" s="581">
        <v>1117</v>
      </c>
      <c r="R81" s="581">
        <v>50261</v>
      </c>
      <c r="S81" s="581">
        <v>1334</v>
      </c>
      <c r="T81" s="581">
        <v>60035</v>
      </c>
      <c r="U81" s="579">
        <v>0</v>
      </c>
      <c r="V81" s="579">
        <v>0</v>
      </c>
      <c r="W81" s="598">
        <v>1471</v>
      </c>
      <c r="X81" s="598">
        <v>64842</v>
      </c>
      <c r="Y81" s="598">
        <v>678</v>
      </c>
      <c r="Z81" s="598">
        <v>30445</v>
      </c>
      <c r="AA81" s="619">
        <v>362</v>
      </c>
      <c r="AB81" s="619">
        <v>16266</v>
      </c>
      <c r="AC81" s="581">
        <v>974</v>
      </c>
      <c r="AD81" s="581">
        <v>43791</v>
      </c>
      <c r="AE81" s="579">
        <v>390</v>
      </c>
      <c r="AF81" s="579">
        <v>17538</v>
      </c>
      <c r="AG81" s="579">
        <v>795</v>
      </c>
      <c r="AH81" s="579">
        <v>35746</v>
      </c>
      <c r="AI81" s="579">
        <v>0</v>
      </c>
      <c r="AJ81" s="579">
        <v>0</v>
      </c>
      <c r="AK81" s="579">
        <v>0</v>
      </c>
      <c r="AL81" s="579">
        <v>0</v>
      </c>
      <c r="AM81" s="579">
        <v>0</v>
      </c>
      <c r="AN81" s="579">
        <v>0</v>
      </c>
      <c r="AO81" s="579">
        <v>0</v>
      </c>
      <c r="AP81" s="579">
        <v>0</v>
      </c>
      <c r="AQ81" s="579">
        <v>0</v>
      </c>
      <c r="AR81" s="579">
        <v>0</v>
      </c>
      <c r="AS81" s="579">
        <v>0</v>
      </c>
      <c r="AT81" s="579">
        <v>0</v>
      </c>
      <c r="AU81" s="579">
        <v>0</v>
      </c>
      <c r="AV81" s="579">
        <v>0</v>
      </c>
      <c r="AW81" s="581">
        <v>0</v>
      </c>
      <c r="AX81" s="581">
        <v>0</v>
      </c>
      <c r="AY81" s="581">
        <v>0</v>
      </c>
      <c r="AZ81" s="581">
        <v>0</v>
      </c>
      <c r="BA81" s="579"/>
      <c r="BB81" s="598"/>
      <c r="BC81" s="598"/>
      <c r="BD81" s="598"/>
      <c r="BE81" s="598"/>
      <c r="BF81" s="598"/>
      <c r="BG81" s="598"/>
      <c r="BH81" s="598"/>
      <c r="BI81" s="579"/>
      <c r="BJ81" s="598">
        <f t="shared" si="8"/>
        <v>73287</v>
      </c>
      <c r="BK81" s="581">
        <f t="shared" si="9"/>
        <v>1896670</v>
      </c>
      <c r="BL81" s="541"/>
      <c r="BM81" s="42"/>
      <c r="BN81" s="624"/>
      <c r="BO81" s="624"/>
      <c r="BP81" s="624"/>
      <c r="BQ81" s="541"/>
      <c r="BR81" s="541"/>
      <c r="BS81" s="541"/>
      <c r="BT81" s="541"/>
      <c r="BU81" s="541"/>
      <c r="BV81" s="541"/>
      <c r="BW81" s="541"/>
      <c r="BX81" s="541"/>
      <c r="BY81" s="541"/>
      <c r="BZ81" s="541"/>
      <c r="CA81" s="541"/>
      <c r="CB81" s="541"/>
      <c r="CC81" s="541"/>
      <c r="CD81" s="541"/>
      <c r="CE81" s="541"/>
      <c r="CF81" s="541"/>
      <c r="CG81" s="541"/>
      <c r="CH81" s="541"/>
      <c r="CI81" s="541"/>
      <c r="CJ81" s="541"/>
      <c r="CK81" s="541"/>
      <c r="CL81" s="541"/>
      <c r="CM81" s="541"/>
      <c r="CN81" s="541"/>
      <c r="CO81" s="541"/>
      <c r="CP81" s="541"/>
      <c r="CQ81" s="541"/>
      <c r="CR81" s="541"/>
      <c r="CS81" s="541"/>
      <c r="CT81" s="541"/>
      <c r="CU81" s="541"/>
      <c r="CV81" s="541"/>
      <c r="CW81" s="541"/>
      <c r="CX81" s="541"/>
      <c r="CY81" s="541"/>
      <c r="CZ81" s="541"/>
      <c r="DA81" s="541"/>
      <c r="DB81" s="541"/>
      <c r="DC81" s="541"/>
      <c r="DD81" s="541"/>
      <c r="DE81" s="541"/>
      <c r="DF81" s="541"/>
      <c r="DG81" s="541"/>
      <c r="DH81" s="541"/>
      <c r="DI81" s="541"/>
      <c r="DJ81" s="541"/>
      <c r="DK81" s="541"/>
      <c r="DL81" s="541"/>
      <c r="DM81" s="541"/>
      <c r="DN81" s="541"/>
      <c r="DO81" s="541"/>
      <c r="DP81" s="541"/>
      <c r="DQ81" s="541"/>
      <c r="DR81" s="541"/>
      <c r="DS81" s="541"/>
      <c r="DT81" s="541"/>
      <c r="DU81" s="541"/>
      <c r="DV81" s="541"/>
      <c r="DW81" s="541"/>
      <c r="DX81" s="541"/>
      <c r="DY81" s="541"/>
      <c r="DZ81" s="541"/>
      <c r="EA81" s="541"/>
      <c r="EB81" s="541"/>
      <c r="EC81" s="541"/>
      <c r="ED81" s="541"/>
      <c r="EE81" s="541"/>
      <c r="EF81" s="541"/>
      <c r="EG81" s="541"/>
      <c r="EH81" s="541"/>
      <c r="EI81" s="541"/>
      <c r="EJ81" s="541"/>
      <c r="EK81" s="541"/>
      <c r="EL81" s="541"/>
      <c r="EM81" s="541"/>
      <c r="EN81" s="541"/>
      <c r="EO81" s="541"/>
      <c r="EP81" s="541"/>
      <c r="EQ81" s="541"/>
      <c r="ER81" s="541"/>
      <c r="ES81" s="541"/>
      <c r="ET81" s="541"/>
      <c r="EU81" s="541"/>
      <c r="EV81" s="541"/>
      <c r="EW81" s="541"/>
      <c r="EX81" s="541"/>
      <c r="EY81" s="541"/>
      <c r="EZ81" s="541"/>
      <c r="FA81" s="541"/>
      <c r="FB81" s="541"/>
      <c r="FC81" s="541"/>
      <c r="FD81" s="541"/>
      <c r="FE81" s="541"/>
      <c r="FF81" s="541"/>
      <c r="FG81" s="541"/>
      <c r="FH81" s="541"/>
      <c r="FI81" s="541"/>
      <c r="FJ81" s="541"/>
      <c r="FK81" s="541"/>
      <c r="FL81" s="541"/>
      <c r="FM81" s="541"/>
      <c r="FN81" s="541"/>
      <c r="FO81" s="541"/>
      <c r="FP81" s="541"/>
      <c r="FQ81" s="541"/>
      <c r="FR81" s="541"/>
      <c r="FS81" s="541"/>
      <c r="FT81" s="541"/>
      <c r="FU81" s="541"/>
      <c r="FV81" s="541"/>
      <c r="FW81" s="541"/>
      <c r="FX81" s="541"/>
      <c r="FY81" s="541"/>
      <c r="FZ81" s="541"/>
      <c r="GA81" s="541"/>
      <c r="GB81" s="541"/>
      <c r="GC81" s="541"/>
      <c r="GD81" s="541"/>
      <c r="GE81" s="541"/>
      <c r="GF81" s="541"/>
      <c r="GG81" s="541"/>
      <c r="GH81" s="541"/>
      <c r="GI81" s="541"/>
      <c r="GJ81" s="541"/>
      <c r="GK81" s="541"/>
      <c r="GL81" s="541"/>
      <c r="GM81" s="541"/>
      <c r="GN81" s="541"/>
      <c r="GO81" s="541"/>
      <c r="GP81" s="541"/>
      <c r="GQ81" s="541"/>
      <c r="GR81" s="541"/>
      <c r="GS81" s="541"/>
      <c r="GT81" s="541"/>
      <c r="GU81" s="541"/>
      <c r="GV81" s="541"/>
      <c r="GW81" s="541"/>
      <c r="GX81" s="541"/>
      <c r="GY81" s="541"/>
      <c r="GZ81" s="541"/>
      <c r="HA81" s="541"/>
      <c r="HB81" s="541"/>
      <c r="HC81" s="541"/>
      <c r="HD81" s="541"/>
      <c r="HE81" s="541"/>
      <c r="HF81" s="541"/>
      <c r="HG81" s="541"/>
      <c r="HH81" s="541"/>
      <c r="HI81" s="541"/>
      <c r="HJ81" s="541"/>
      <c r="HK81" s="541"/>
      <c r="HL81" s="541"/>
      <c r="HM81" s="541"/>
      <c r="HN81" s="541"/>
      <c r="HO81" s="541"/>
      <c r="HP81" s="541"/>
      <c r="HQ81" s="541"/>
      <c r="HR81" s="541"/>
      <c r="HS81" s="541"/>
      <c r="HT81" s="541"/>
      <c r="HU81" s="541"/>
      <c r="HV81" s="541"/>
      <c r="HW81" s="541"/>
      <c r="HX81" s="541"/>
      <c r="HY81" s="541"/>
      <c r="HZ81" s="541"/>
      <c r="IA81" s="541"/>
      <c r="IB81" s="541"/>
      <c r="IC81" s="541"/>
      <c r="ID81" s="541"/>
      <c r="IE81" s="541"/>
      <c r="IF81" s="541"/>
      <c r="IG81" s="541"/>
      <c r="IH81" s="541"/>
      <c r="II81" s="541"/>
      <c r="IJ81" s="541"/>
      <c r="IK81" s="541"/>
      <c r="IL81" s="541"/>
      <c r="IM81" s="541"/>
      <c r="IN81" s="541"/>
      <c r="IO81" s="541"/>
      <c r="IP81" s="541"/>
      <c r="IQ81" s="541"/>
      <c r="IR81" s="541"/>
      <c r="IS81" s="541"/>
      <c r="IT81" s="541"/>
      <c r="IU81" s="541"/>
      <c r="IV81" s="541"/>
      <c r="IW81" s="541"/>
      <c r="IX81" s="541"/>
      <c r="IY81" s="541"/>
      <c r="IZ81" s="541"/>
      <c r="JA81" s="541"/>
      <c r="JB81" s="541"/>
      <c r="JC81" s="541"/>
      <c r="JD81" s="541"/>
      <c r="JE81" s="541"/>
      <c r="JF81" s="541"/>
      <c r="JG81" s="541"/>
      <c r="JH81" s="541"/>
      <c r="JI81" s="541"/>
      <c r="JJ81" s="541"/>
      <c r="JK81" s="541"/>
      <c r="JL81" s="541"/>
      <c r="JM81" s="541"/>
      <c r="JN81" s="541"/>
      <c r="JO81" s="541"/>
      <c r="JP81" s="541"/>
      <c r="JQ81" s="541"/>
      <c r="JR81" s="541"/>
      <c r="JS81" s="541"/>
      <c r="JT81" s="541"/>
      <c r="JU81" s="541"/>
      <c r="JV81" s="541"/>
      <c r="JW81" s="541"/>
      <c r="JX81" s="541"/>
      <c r="JY81" s="541"/>
      <c r="JZ81" s="541"/>
      <c r="KA81" s="541"/>
      <c r="KB81" s="541"/>
      <c r="KC81" s="541"/>
      <c r="KD81" s="541"/>
      <c r="KE81" s="541"/>
      <c r="KF81" s="541"/>
      <c r="KG81" s="541"/>
      <c r="KH81" s="541"/>
      <c r="KI81" s="541"/>
      <c r="KJ81" s="541"/>
      <c r="KK81" s="541"/>
      <c r="KL81" s="541"/>
      <c r="KM81" s="541"/>
      <c r="KN81" s="541"/>
      <c r="KO81" s="541"/>
      <c r="KP81" s="541"/>
      <c r="KQ81" s="541"/>
      <c r="KR81" s="541"/>
      <c r="KS81" s="541"/>
      <c r="KT81" s="541"/>
      <c r="KU81" s="541"/>
      <c r="KV81" s="541"/>
      <c r="KW81" s="541"/>
      <c r="KX81" s="541"/>
      <c r="KY81" s="541"/>
      <c r="KZ81" s="541"/>
      <c r="LA81" s="541"/>
      <c r="LB81" s="541"/>
      <c r="LC81" s="541"/>
      <c r="LD81" s="541"/>
      <c r="LE81" s="541"/>
      <c r="LF81" s="541"/>
      <c r="LG81" s="541"/>
      <c r="LH81" s="541"/>
      <c r="LI81" s="541"/>
      <c r="LJ81" s="541"/>
      <c r="LK81" s="541"/>
      <c r="LL81" s="541"/>
      <c r="LM81" s="541"/>
      <c r="LN81" s="541"/>
      <c r="LO81" s="541"/>
      <c r="LP81" s="541"/>
      <c r="LQ81" s="541"/>
      <c r="LR81" s="541"/>
      <c r="LS81" s="541"/>
      <c r="LT81" s="541"/>
      <c r="LU81" s="541"/>
      <c r="LV81" s="541"/>
      <c r="LW81" s="541"/>
      <c r="LX81" s="541"/>
      <c r="LY81" s="541"/>
      <c r="LZ81" s="541"/>
      <c r="MA81" s="541"/>
      <c r="MB81" s="541"/>
      <c r="MC81" s="541"/>
      <c r="MD81" s="541"/>
      <c r="ME81" s="541"/>
      <c r="MF81" s="541"/>
      <c r="MG81" s="541"/>
      <c r="MH81" s="541"/>
      <c r="MI81" s="541"/>
      <c r="MJ81" s="541"/>
      <c r="MK81" s="541"/>
      <c r="ML81" s="541"/>
      <c r="MM81" s="541"/>
      <c r="MN81" s="541"/>
      <c r="MO81" s="541"/>
      <c r="MP81" s="541"/>
      <c r="MQ81" s="541"/>
      <c r="MR81" s="541"/>
      <c r="MS81" s="541"/>
      <c r="MT81" s="541"/>
      <c r="MU81" s="541"/>
      <c r="MV81" s="541"/>
      <c r="MW81" s="541"/>
      <c r="MX81" s="541"/>
      <c r="MY81" s="541"/>
      <c r="MZ81" s="541"/>
      <c r="NA81" s="541"/>
      <c r="NB81" s="541"/>
      <c r="NC81" s="541"/>
      <c r="ND81" s="541"/>
      <c r="NE81" s="541"/>
      <c r="NF81" s="541"/>
      <c r="NG81" s="541"/>
      <c r="NH81" s="541"/>
      <c r="NI81" s="541"/>
      <c r="NJ81" s="541"/>
      <c r="NK81" s="541"/>
      <c r="NL81" s="541"/>
      <c r="NM81" s="541"/>
      <c r="NN81" s="541"/>
      <c r="NO81" s="541"/>
      <c r="NP81" s="541"/>
      <c r="NQ81" s="541"/>
      <c r="NR81" s="541"/>
      <c r="NS81" s="541"/>
      <c r="NT81" s="541"/>
      <c r="NU81" s="541"/>
      <c r="NV81" s="541"/>
      <c r="NW81" s="541"/>
      <c r="NX81" s="541"/>
      <c r="NY81" s="541"/>
      <c r="NZ81" s="541"/>
      <c r="OA81" s="541"/>
      <c r="OB81" s="541"/>
      <c r="OC81" s="541"/>
      <c r="OD81" s="541"/>
      <c r="OE81" s="541"/>
      <c r="OF81" s="541"/>
      <c r="OG81" s="541"/>
      <c r="OH81" s="541"/>
      <c r="OI81" s="541"/>
      <c r="OJ81" s="541"/>
      <c r="OK81" s="541"/>
      <c r="OL81" s="541"/>
      <c r="OM81" s="541"/>
      <c r="ON81" s="541"/>
      <c r="OO81" s="541"/>
      <c r="OP81" s="541"/>
      <c r="OQ81" s="541"/>
      <c r="OR81" s="541"/>
      <c r="OS81" s="541"/>
      <c r="OT81" s="541"/>
      <c r="OU81" s="541"/>
      <c r="OV81" s="541"/>
      <c r="OW81" s="541"/>
      <c r="OX81" s="541"/>
      <c r="OY81" s="541"/>
      <c r="OZ81" s="541"/>
      <c r="PA81" s="541"/>
      <c r="PB81" s="541"/>
      <c r="PC81" s="541"/>
      <c r="PD81" s="541"/>
      <c r="PE81" s="541"/>
      <c r="PF81" s="541"/>
      <c r="PG81" s="541"/>
      <c r="PH81" s="541"/>
      <c r="PI81" s="541"/>
      <c r="PJ81" s="541"/>
      <c r="PK81" s="541"/>
      <c r="PL81" s="541"/>
      <c r="PM81" s="541"/>
      <c r="PN81" s="541"/>
      <c r="PO81" s="541"/>
      <c r="PP81" s="541"/>
      <c r="PQ81" s="541"/>
      <c r="PR81" s="541"/>
      <c r="PS81" s="541"/>
      <c r="PT81" s="541"/>
      <c r="PU81" s="541"/>
      <c r="PV81" s="541"/>
      <c r="PW81" s="541"/>
      <c r="PX81" s="541"/>
      <c r="PY81" s="541"/>
      <c r="PZ81" s="541"/>
      <c r="QA81" s="541"/>
      <c r="QB81" s="541"/>
      <c r="QC81" s="541"/>
      <c r="QD81" s="541"/>
      <c r="QE81" s="541"/>
      <c r="QF81" s="541"/>
      <c r="QG81" s="541"/>
      <c r="QH81" s="541"/>
      <c r="QI81" s="541"/>
      <c r="QJ81" s="541"/>
      <c r="QK81" s="541"/>
      <c r="QL81" s="541"/>
      <c r="QM81" s="541"/>
      <c r="QN81" s="541"/>
      <c r="QO81" s="541"/>
      <c r="QP81" s="541"/>
      <c r="QQ81" s="541"/>
      <c r="QR81" s="541"/>
      <c r="QS81" s="541"/>
      <c r="QT81" s="541"/>
      <c r="QU81" s="541"/>
      <c r="QV81" s="541"/>
      <c r="QW81" s="541"/>
      <c r="QX81" s="541"/>
      <c r="QY81" s="541"/>
      <c r="QZ81" s="541"/>
      <c r="RA81" s="541"/>
      <c r="RB81" s="541"/>
      <c r="RC81" s="541"/>
      <c r="RD81" s="541"/>
      <c r="RE81" s="541"/>
      <c r="RF81" s="541"/>
      <c r="RG81" s="541"/>
      <c r="RH81" s="541"/>
      <c r="RI81" s="541"/>
      <c r="RJ81" s="541"/>
      <c r="RK81" s="541"/>
      <c r="RL81" s="541"/>
      <c r="RM81" s="541"/>
      <c r="RN81" s="541"/>
      <c r="RO81" s="541"/>
      <c r="RP81" s="541"/>
      <c r="RQ81" s="541"/>
      <c r="RR81" s="541"/>
      <c r="RS81" s="541"/>
      <c r="RT81" s="541"/>
      <c r="RU81" s="541"/>
      <c r="RV81" s="541"/>
      <c r="RW81" s="541"/>
      <c r="RX81" s="541"/>
      <c r="RY81" s="541"/>
      <c r="RZ81" s="541"/>
      <c r="SA81" s="541"/>
      <c r="SB81" s="541"/>
      <c r="SC81" s="541"/>
      <c r="SD81" s="541"/>
      <c r="SE81" s="541"/>
      <c r="SF81" s="541"/>
      <c r="SG81" s="541"/>
      <c r="SH81" s="541"/>
      <c r="SI81" s="541"/>
      <c r="SJ81" s="541"/>
      <c r="SK81" s="541"/>
      <c r="SL81" s="541"/>
      <c r="SM81" s="541"/>
      <c r="SN81" s="541"/>
      <c r="SO81" s="541"/>
      <c r="SP81" s="541"/>
      <c r="SQ81" s="541"/>
      <c r="SR81" s="541"/>
      <c r="SS81" s="541"/>
      <c r="ST81" s="541"/>
      <c r="SU81" s="541"/>
      <c r="SV81" s="541"/>
      <c r="SW81" s="541"/>
      <c r="SX81" s="541"/>
      <c r="SY81" s="541"/>
      <c r="SZ81" s="541"/>
      <c r="TA81" s="541"/>
      <c r="TB81" s="541"/>
      <c r="TC81" s="541"/>
      <c r="TD81" s="541"/>
      <c r="TE81" s="541"/>
      <c r="TF81" s="541"/>
      <c r="TG81" s="541"/>
      <c r="TH81" s="541"/>
      <c r="TI81" s="541"/>
      <c r="TJ81" s="541"/>
      <c r="TK81" s="541"/>
      <c r="TL81" s="541"/>
      <c r="TM81" s="541"/>
      <c r="TN81" s="541"/>
      <c r="TO81" s="541"/>
      <c r="TP81" s="541"/>
      <c r="TQ81" s="541"/>
      <c r="TR81" s="541"/>
      <c r="TS81" s="541"/>
      <c r="TT81" s="541"/>
      <c r="TU81" s="541"/>
      <c r="TV81" s="541"/>
      <c r="TW81" s="541"/>
      <c r="TX81" s="541"/>
      <c r="TY81" s="541"/>
      <c r="TZ81" s="541"/>
      <c r="UA81" s="541"/>
      <c r="UB81" s="541"/>
      <c r="UC81" s="541"/>
      <c r="UD81" s="541"/>
      <c r="UE81" s="541"/>
      <c r="UF81" s="541"/>
      <c r="UG81" s="541"/>
      <c r="UH81" s="541"/>
      <c r="UI81" s="541"/>
      <c r="UJ81" s="541"/>
      <c r="UK81" s="541"/>
      <c r="UL81" s="541"/>
      <c r="UM81" s="541"/>
      <c r="UN81" s="541"/>
      <c r="UO81" s="541"/>
      <c r="UP81" s="541"/>
      <c r="UQ81" s="541"/>
      <c r="UR81" s="541"/>
      <c r="US81" s="541"/>
      <c r="UT81" s="541"/>
      <c r="UU81" s="541"/>
      <c r="UV81" s="541"/>
      <c r="UW81" s="541"/>
      <c r="UX81" s="541"/>
      <c r="UY81" s="541"/>
      <c r="UZ81" s="541"/>
      <c r="VA81" s="541"/>
      <c r="VB81" s="541"/>
      <c r="VC81" s="541"/>
      <c r="VD81" s="541"/>
      <c r="VE81" s="541"/>
      <c r="VF81" s="541"/>
      <c r="VG81" s="541"/>
      <c r="VH81" s="541"/>
      <c r="VI81" s="541"/>
      <c r="VJ81" s="541"/>
      <c r="VK81" s="541"/>
      <c r="VL81" s="541"/>
      <c r="VM81" s="541"/>
      <c r="VN81" s="541"/>
      <c r="VO81" s="541"/>
      <c r="VP81" s="541"/>
      <c r="VQ81" s="541"/>
      <c r="VR81" s="541"/>
      <c r="VS81" s="541"/>
      <c r="VT81" s="541"/>
      <c r="VU81" s="541"/>
      <c r="VV81" s="541"/>
      <c r="VW81" s="541"/>
      <c r="VX81" s="541"/>
      <c r="VY81" s="541"/>
      <c r="VZ81" s="541"/>
      <c r="WA81" s="541"/>
      <c r="WB81" s="541"/>
      <c r="WC81" s="541"/>
      <c r="WD81" s="541"/>
      <c r="WE81" s="541"/>
      <c r="WF81" s="541"/>
      <c r="WG81" s="541"/>
      <c r="WH81" s="541"/>
      <c r="WI81" s="541"/>
      <c r="WJ81" s="541"/>
      <c r="WK81" s="541"/>
      <c r="WL81" s="541"/>
      <c r="WM81" s="541"/>
      <c r="WN81" s="541"/>
      <c r="WO81" s="541"/>
      <c r="WP81" s="541"/>
      <c r="WQ81" s="541"/>
      <c r="WR81" s="541"/>
      <c r="WS81" s="541"/>
      <c r="WT81" s="541"/>
      <c r="WU81" s="541"/>
      <c r="WV81" s="541"/>
      <c r="WW81" s="541"/>
      <c r="WX81" s="541"/>
      <c r="WY81" s="541"/>
      <c r="WZ81" s="541"/>
      <c r="XA81" s="541"/>
      <c r="XB81" s="541"/>
      <c r="XC81" s="541"/>
      <c r="XD81" s="541"/>
      <c r="XE81" s="541"/>
      <c r="XF81" s="541"/>
      <c r="XG81" s="541"/>
      <c r="XH81" s="541"/>
      <c r="XI81" s="541"/>
      <c r="XJ81" s="541"/>
      <c r="XK81" s="541"/>
      <c r="XL81" s="541"/>
      <c r="XM81" s="541"/>
      <c r="XN81" s="541"/>
      <c r="XO81" s="541"/>
      <c r="XP81" s="541"/>
      <c r="XQ81" s="541"/>
      <c r="XR81" s="541"/>
      <c r="XS81" s="541"/>
      <c r="XT81" s="541"/>
      <c r="XU81" s="541"/>
      <c r="XV81" s="541"/>
      <c r="XW81" s="541"/>
      <c r="XX81" s="541"/>
      <c r="XY81" s="541"/>
      <c r="XZ81" s="541"/>
      <c r="YA81" s="541"/>
      <c r="YB81" s="541"/>
      <c r="YC81" s="541"/>
      <c r="YD81" s="541"/>
      <c r="YE81" s="541"/>
      <c r="YF81" s="541"/>
      <c r="YG81" s="541"/>
      <c r="YH81" s="541"/>
      <c r="YI81" s="541"/>
      <c r="YJ81" s="541"/>
      <c r="YK81" s="541"/>
      <c r="YL81" s="541"/>
      <c r="YM81" s="541"/>
      <c r="YN81" s="541"/>
      <c r="YO81" s="541"/>
      <c r="YP81" s="541"/>
      <c r="YQ81" s="541"/>
      <c r="YR81" s="541"/>
      <c r="YS81" s="541"/>
      <c r="YT81" s="541"/>
      <c r="YU81" s="541"/>
      <c r="YV81" s="541"/>
      <c r="YW81" s="541"/>
      <c r="YX81" s="541"/>
      <c r="YY81" s="541"/>
      <c r="YZ81" s="541"/>
      <c r="ZA81" s="541"/>
      <c r="ZB81" s="541"/>
      <c r="ZC81" s="541"/>
      <c r="ZD81" s="541"/>
      <c r="ZE81" s="541"/>
      <c r="ZF81" s="541"/>
      <c r="ZG81" s="541"/>
      <c r="ZH81" s="541"/>
      <c r="ZI81" s="541"/>
      <c r="ZJ81" s="541"/>
      <c r="ZK81" s="541"/>
      <c r="ZL81" s="541"/>
      <c r="ZM81" s="541"/>
      <c r="ZN81" s="541"/>
      <c r="ZO81" s="541"/>
      <c r="ZP81" s="541"/>
      <c r="ZQ81" s="541"/>
      <c r="ZR81" s="541"/>
      <c r="ZS81" s="541"/>
      <c r="ZT81" s="541"/>
      <c r="ZU81" s="541"/>
      <c r="ZV81" s="541"/>
      <c r="ZW81" s="541"/>
      <c r="ZX81" s="541"/>
      <c r="ZY81" s="541"/>
      <c r="ZZ81" s="541"/>
      <c r="AAA81" s="541"/>
      <c r="AAB81" s="541"/>
      <c r="AAC81" s="541"/>
      <c r="AAD81" s="541"/>
      <c r="AAE81" s="541"/>
      <c r="AAF81" s="541"/>
      <c r="AAG81" s="541"/>
      <c r="AAH81" s="541"/>
      <c r="AAI81" s="541"/>
      <c r="AAJ81" s="541"/>
      <c r="AAK81" s="541"/>
      <c r="AAL81" s="541"/>
      <c r="AAM81" s="541"/>
      <c r="AAN81" s="541"/>
      <c r="AAO81" s="541"/>
      <c r="AAP81" s="541"/>
      <c r="AAQ81" s="541"/>
      <c r="AAR81" s="541"/>
      <c r="AAS81" s="541"/>
      <c r="AAT81" s="541"/>
      <c r="AAU81" s="541"/>
      <c r="AAV81" s="541"/>
      <c r="AAW81" s="541"/>
      <c r="AAX81" s="541"/>
      <c r="AAY81" s="541"/>
      <c r="AAZ81" s="541"/>
      <c r="ABA81" s="541"/>
      <c r="ABB81" s="541"/>
      <c r="ABC81" s="541"/>
      <c r="ABD81" s="541"/>
      <c r="ABE81" s="541"/>
      <c r="ABF81" s="541"/>
      <c r="ABG81" s="541"/>
      <c r="ABH81" s="541"/>
      <c r="ABI81" s="541"/>
      <c r="ABJ81" s="541"/>
      <c r="ABK81" s="541"/>
      <c r="ABL81" s="541"/>
      <c r="ABM81" s="541"/>
      <c r="ABN81" s="541"/>
      <c r="ABO81" s="541"/>
      <c r="ABP81" s="541"/>
      <c r="ABQ81" s="541"/>
      <c r="ABR81" s="541"/>
      <c r="ABS81" s="541"/>
      <c r="ABT81" s="541"/>
      <c r="ABU81" s="541"/>
      <c r="ABV81" s="541"/>
      <c r="ABW81" s="541"/>
      <c r="ABX81" s="541"/>
      <c r="ABY81" s="541"/>
      <c r="ABZ81" s="541"/>
      <c r="ACA81" s="541"/>
      <c r="ACB81" s="541"/>
      <c r="ACC81" s="541"/>
      <c r="ACD81" s="541"/>
      <c r="ACE81" s="541"/>
      <c r="ACF81" s="541"/>
      <c r="ACG81" s="541"/>
      <c r="ACH81" s="541"/>
      <c r="ACI81" s="541"/>
      <c r="ACJ81" s="541"/>
      <c r="ACK81" s="541"/>
      <c r="ACL81" s="541"/>
      <c r="ACM81" s="541"/>
      <c r="ACN81" s="541"/>
      <c r="ACO81" s="541"/>
      <c r="ACP81" s="541"/>
      <c r="ACQ81" s="541"/>
      <c r="ACR81" s="541"/>
      <c r="ACS81" s="541"/>
      <c r="ACT81" s="541"/>
      <c r="ACU81" s="541"/>
      <c r="ACV81" s="541"/>
      <c r="ACW81" s="541"/>
      <c r="ACX81" s="541"/>
      <c r="ACY81" s="541"/>
      <c r="ACZ81" s="541"/>
      <c r="ADA81" s="541"/>
      <c r="ADB81" s="541"/>
      <c r="ADC81" s="541"/>
      <c r="ADD81" s="541"/>
      <c r="ADE81" s="541"/>
      <c r="ADF81" s="541"/>
      <c r="ADG81" s="541"/>
      <c r="ADH81" s="541"/>
      <c r="ADI81" s="541"/>
      <c r="ADJ81" s="541"/>
      <c r="ADK81" s="541"/>
      <c r="ADL81" s="541"/>
      <c r="ADM81" s="541"/>
      <c r="ADN81" s="541"/>
      <c r="ADO81" s="541"/>
      <c r="ADP81" s="541"/>
      <c r="ADQ81" s="541"/>
      <c r="ADR81" s="541"/>
      <c r="ADS81" s="541"/>
      <c r="ADT81" s="541"/>
      <c r="ADU81" s="541"/>
      <c r="ADV81" s="541"/>
      <c r="ADW81" s="541"/>
      <c r="ADX81" s="541"/>
      <c r="ADY81" s="541"/>
      <c r="ADZ81" s="541"/>
      <c r="AEA81" s="541"/>
      <c r="AEB81" s="541"/>
      <c r="AEC81" s="541"/>
      <c r="AED81" s="541"/>
      <c r="AEE81" s="541"/>
      <c r="AEF81" s="541"/>
      <c r="AEG81" s="541"/>
      <c r="AEH81" s="541"/>
      <c r="AEI81" s="541"/>
      <c r="AEJ81" s="541"/>
      <c r="AEK81" s="541"/>
      <c r="AEL81" s="541"/>
      <c r="AEM81" s="541"/>
      <c r="AEN81" s="541"/>
      <c r="AEO81" s="541"/>
      <c r="AEP81" s="541"/>
      <c r="AEQ81" s="541"/>
      <c r="AER81" s="541"/>
      <c r="AES81" s="541"/>
      <c r="AET81" s="541"/>
      <c r="AEU81" s="541"/>
      <c r="AEV81" s="541"/>
      <c r="AEW81" s="541"/>
      <c r="AEX81" s="541"/>
      <c r="AEY81" s="541"/>
      <c r="AEZ81" s="541"/>
      <c r="AFA81" s="541"/>
      <c r="AFB81" s="541"/>
      <c r="AFC81" s="541"/>
      <c r="AFD81" s="541"/>
      <c r="AFE81" s="541"/>
      <c r="AFF81" s="541"/>
      <c r="AFG81" s="541"/>
      <c r="AFH81" s="541"/>
      <c r="AFI81" s="541"/>
      <c r="AFJ81" s="541"/>
      <c r="AFK81" s="541"/>
      <c r="AFL81" s="541"/>
      <c r="AFM81" s="541"/>
      <c r="AFN81" s="541"/>
      <c r="AFO81" s="541"/>
      <c r="AFP81" s="541"/>
      <c r="AFQ81" s="541"/>
      <c r="AFR81" s="541"/>
      <c r="AFS81" s="541"/>
      <c r="AFT81" s="541"/>
      <c r="AFU81" s="541"/>
      <c r="AFV81" s="541"/>
      <c r="AFW81" s="541"/>
      <c r="AFX81" s="541"/>
      <c r="AFY81" s="541"/>
      <c r="AFZ81" s="541"/>
      <c r="AGA81" s="541"/>
      <c r="AGB81" s="541"/>
      <c r="AGC81" s="541"/>
      <c r="AGD81" s="541"/>
      <c r="AGE81" s="541"/>
      <c r="AGF81" s="541"/>
      <c r="AGG81" s="541"/>
      <c r="AGH81" s="541"/>
      <c r="AGI81" s="541"/>
      <c r="AGJ81" s="541"/>
      <c r="AGK81" s="541"/>
      <c r="AGL81" s="541"/>
      <c r="AGM81" s="541"/>
      <c r="AGN81" s="541"/>
      <c r="AGO81" s="541"/>
      <c r="AGP81" s="541"/>
      <c r="AGQ81" s="541"/>
      <c r="AGR81" s="541"/>
      <c r="AGS81" s="541"/>
      <c r="AGT81" s="541"/>
      <c r="AGU81" s="541"/>
      <c r="AGV81" s="541"/>
      <c r="AGW81" s="541"/>
      <c r="AGX81" s="541"/>
      <c r="AGY81" s="541"/>
      <c r="AGZ81" s="541"/>
      <c r="AHA81" s="541"/>
      <c r="AHB81" s="541"/>
      <c r="AHC81" s="541"/>
      <c r="AHD81" s="541"/>
      <c r="AHE81" s="541"/>
      <c r="AHF81" s="541"/>
      <c r="AHG81" s="541"/>
      <c r="AHH81" s="541"/>
      <c r="AHI81" s="541"/>
      <c r="AHJ81" s="541"/>
      <c r="AHK81" s="541"/>
      <c r="AHL81" s="541"/>
      <c r="AHM81" s="541"/>
      <c r="AHN81" s="541"/>
      <c r="AHO81" s="541"/>
      <c r="AHP81" s="541"/>
      <c r="AHQ81" s="541"/>
      <c r="AHR81" s="541"/>
      <c r="AHS81" s="541"/>
      <c r="AHT81" s="541"/>
      <c r="AHU81" s="541"/>
      <c r="AHV81" s="541"/>
      <c r="AHW81" s="541"/>
      <c r="AHX81" s="541"/>
      <c r="AHY81" s="541"/>
      <c r="AHZ81" s="541"/>
      <c r="AIA81" s="541"/>
      <c r="AIB81" s="541"/>
      <c r="AIC81" s="541"/>
      <c r="AID81" s="541"/>
      <c r="AIE81" s="541"/>
      <c r="AIF81" s="541"/>
      <c r="AIG81" s="541"/>
      <c r="AIH81" s="541"/>
      <c r="AII81" s="541"/>
      <c r="AIJ81" s="541"/>
      <c r="AIK81" s="541"/>
      <c r="AIL81" s="541"/>
      <c r="AIM81" s="541"/>
      <c r="AIN81" s="541"/>
      <c r="AIO81" s="541"/>
      <c r="AIP81" s="541"/>
      <c r="AIQ81" s="541"/>
      <c r="AIR81" s="541"/>
      <c r="AIS81" s="541"/>
      <c r="AIT81" s="541"/>
      <c r="AIU81" s="541"/>
      <c r="AIV81" s="541"/>
      <c r="AIW81" s="541"/>
      <c r="AIX81" s="541"/>
      <c r="AIY81" s="541"/>
      <c r="AIZ81" s="541"/>
      <c r="AJA81" s="541"/>
      <c r="AJB81" s="541"/>
      <c r="AJC81" s="541"/>
      <c r="AJD81" s="541"/>
      <c r="AJE81" s="541"/>
      <c r="AJF81" s="541"/>
      <c r="AJG81" s="541"/>
      <c r="AJH81" s="541"/>
      <c r="AJI81" s="541"/>
      <c r="AJJ81" s="541"/>
      <c r="AJK81" s="541"/>
      <c r="AJL81" s="541"/>
      <c r="AJM81" s="541"/>
      <c r="AJN81" s="541"/>
      <c r="AJO81" s="541"/>
      <c r="AJP81" s="541"/>
      <c r="AJQ81" s="541"/>
      <c r="AJR81" s="541"/>
      <c r="AJS81" s="541"/>
      <c r="AJT81" s="541"/>
      <c r="AJU81" s="541"/>
      <c r="AJV81" s="541"/>
      <c r="AJW81" s="541"/>
      <c r="AJX81" s="541"/>
      <c r="AJY81" s="541"/>
      <c r="AJZ81" s="541"/>
      <c r="AKA81" s="541"/>
      <c r="AKB81" s="541"/>
      <c r="AKC81" s="541"/>
      <c r="AKD81" s="541"/>
      <c r="AKE81" s="541"/>
      <c r="AKF81" s="541"/>
      <c r="AKG81" s="541"/>
      <c r="AKH81" s="541"/>
      <c r="AKI81" s="541"/>
      <c r="AKJ81" s="541"/>
      <c r="AKK81" s="541"/>
      <c r="AKL81" s="541"/>
      <c r="AKM81" s="541"/>
      <c r="AKN81" s="541"/>
      <c r="AKO81" s="541"/>
      <c r="AKP81" s="541"/>
      <c r="AKQ81" s="541"/>
      <c r="AKR81" s="541"/>
      <c r="AKS81" s="541"/>
      <c r="AKT81" s="541"/>
      <c r="AKU81" s="541"/>
      <c r="AKV81" s="541"/>
      <c r="AKW81" s="541"/>
      <c r="AKX81" s="541"/>
      <c r="AKY81" s="541"/>
      <c r="AKZ81" s="541"/>
      <c r="ALA81" s="541"/>
      <c r="ALB81" s="541"/>
      <c r="ALC81" s="541"/>
      <c r="ALD81" s="541"/>
      <c r="ALE81" s="541"/>
      <c r="ALF81" s="541"/>
      <c r="ALG81" s="541"/>
      <c r="ALH81" s="541"/>
      <c r="ALI81" s="541"/>
      <c r="ALJ81" s="541"/>
      <c r="ALK81" s="541"/>
      <c r="ALL81" s="541"/>
      <c r="ALM81" s="541"/>
      <c r="ALN81" s="541"/>
      <c r="ALO81" s="541"/>
      <c r="ALP81" s="541"/>
      <c r="ALQ81" s="541"/>
      <c r="ALR81" s="541"/>
      <c r="ALS81" s="541"/>
      <c r="ALT81" s="541"/>
      <c r="ALU81" s="541"/>
      <c r="ALV81" s="541"/>
      <c r="ALW81" s="541"/>
      <c r="ALX81" s="541"/>
      <c r="ALY81" s="541"/>
      <c r="ALZ81" s="541"/>
      <c r="AMA81" s="541"/>
      <c r="AMB81" s="541"/>
      <c r="AMC81" s="541"/>
      <c r="AMD81" s="541"/>
      <c r="AME81" s="541"/>
      <c r="AMF81" s="541"/>
      <c r="AMG81" s="541"/>
      <c r="AMH81" s="541"/>
      <c r="AMI81" s="541"/>
      <c r="AMJ81" s="541"/>
      <c r="AMK81" s="541"/>
      <c r="AML81" s="541"/>
      <c r="AMM81" s="541"/>
      <c r="AMN81" s="541"/>
      <c r="AMO81" s="541"/>
      <c r="AMP81" s="541"/>
      <c r="AMQ81" s="541"/>
      <c r="AMR81" s="541"/>
      <c r="AMS81" s="541"/>
      <c r="AMT81" s="541"/>
      <c r="AMU81" s="541"/>
      <c r="AMV81" s="541"/>
      <c r="AMW81" s="541"/>
      <c r="AMX81" s="541"/>
      <c r="AMY81" s="541"/>
      <c r="AMZ81" s="541"/>
      <c r="ANA81" s="541"/>
      <c r="ANB81" s="541"/>
      <c r="ANC81" s="541"/>
      <c r="AND81" s="541"/>
      <c r="ANE81" s="541"/>
      <c r="ANF81" s="541"/>
      <c r="ANG81" s="541"/>
      <c r="ANH81" s="541"/>
      <c r="ANI81" s="541"/>
      <c r="ANJ81" s="541"/>
      <c r="ANK81" s="541"/>
      <c r="ANL81" s="541"/>
      <c r="ANM81" s="541"/>
      <c r="ANN81" s="541"/>
      <c r="ANO81" s="541"/>
      <c r="ANP81" s="541"/>
      <c r="ANQ81" s="541"/>
      <c r="ANR81" s="541"/>
      <c r="ANS81" s="541"/>
      <c r="ANT81" s="541"/>
      <c r="ANU81" s="541"/>
      <c r="ANV81" s="541"/>
      <c r="ANW81" s="541"/>
      <c r="ANX81" s="541"/>
      <c r="ANY81" s="541"/>
      <c r="ANZ81" s="541"/>
      <c r="AOA81" s="541"/>
      <c r="AOB81" s="541"/>
      <c r="AOC81" s="541"/>
      <c r="AOD81" s="541"/>
      <c r="AOE81" s="541"/>
      <c r="AOF81" s="541"/>
      <c r="AOG81" s="541"/>
      <c r="AOH81" s="541"/>
      <c r="AOI81" s="541"/>
      <c r="AOJ81" s="541"/>
      <c r="AOK81" s="541"/>
      <c r="AOL81" s="541"/>
      <c r="AOM81" s="541"/>
      <c r="AON81" s="541"/>
      <c r="AOO81" s="541"/>
      <c r="AOP81" s="541"/>
      <c r="AOQ81" s="541"/>
      <c r="AOR81" s="541"/>
      <c r="AOS81" s="541"/>
      <c r="AOT81" s="541"/>
      <c r="AOU81" s="541"/>
      <c r="AOV81" s="541"/>
      <c r="AOW81" s="541"/>
      <c r="AOX81" s="541"/>
      <c r="AOY81" s="541"/>
      <c r="AOZ81" s="541"/>
      <c r="APA81" s="541"/>
      <c r="APB81" s="541"/>
      <c r="APC81" s="541"/>
      <c r="APD81" s="541"/>
      <c r="APE81" s="541"/>
      <c r="APF81" s="541"/>
      <c r="APG81" s="541"/>
      <c r="APH81" s="541"/>
      <c r="API81" s="541"/>
      <c r="APJ81" s="541"/>
      <c r="APK81" s="541"/>
      <c r="APL81" s="541"/>
      <c r="APM81" s="541"/>
      <c r="APN81" s="541"/>
      <c r="APO81" s="541"/>
      <c r="APP81" s="541"/>
      <c r="APQ81" s="541"/>
      <c r="APR81" s="541"/>
      <c r="APS81" s="541"/>
      <c r="APT81" s="541"/>
      <c r="APU81" s="541"/>
      <c r="APV81" s="541"/>
      <c r="APW81" s="541"/>
      <c r="APX81" s="541"/>
      <c r="APY81" s="541"/>
      <c r="APZ81" s="541"/>
      <c r="AQA81" s="541"/>
      <c r="AQB81" s="541"/>
      <c r="AQC81" s="541"/>
      <c r="AQD81" s="541"/>
      <c r="AQE81" s="541"/>
      <c r="AQF81" s="541"/>
      <c r="AQG81" s="541"/>
      <c r="AQH81" s="541"/>
      <c r="AQI81" s="541"/>
      <c r="AQJ81" s="541"/>
      <c r="AQK81" s="541"/>
      <c r="AQL81" s="541"/>
      <c r="AQM81" s="541"/>
      <c r="AQN81" s="541"/>
      <c r="AQO81" s="541"/>
      <c r="AQP81" s="541"/>
      <c r="AQQ81" s="541"/>
      <c r="AQR81" s="541"/>
      <c r="AQS81" s="541"/>
      <c r="AQT81" s="541"/>
      <c r="AQU81" s="541"/>
      <c r="AQV81" s="541"/>
      <c r="AQW81" s="541"/>
      <c r="AQX81" s="541"/>
      <c r="AQY81" s="541"/>
      <c r="AQZ81" s="541"/>
      <c r="ARA81" s="541"/>
      <c r="ARB81" s="541"/>
      <c r="ARC81" s="541"/>
      <c r="ARD81" s="541"/>
      <c r="ARE81" s="541"/>
      <c r="ARF81" s="541"/>
      <c r="ARG81" s="541"/>
      <c r="ARH81" s="541"/>
      <c r="ARI81" s="541"/>
      <c r="ARJ81" s="541"/>
      <c r="ARK81" s="541"/>
      <c r="ARL81" s="541"/>
      <c r="ARM81" s="541"/>
      <c r="ARN81" s="541"/>
      <c r="ARO81" s="541"/>
      <c r="ARP81" s="541"/>
      <c r="ARQ81" s="541"/>
      <c r="ARR81" s="541"/>
      <c r="ARS81" s="541"/>
      <c r="ART81" s="541"/>
      <c r="ARU81" s="541"/>
    </row>
    <row r="82" spans="1:1165" s="658" customFormat="1">
      <c r="A82" s="613" t="s">
        <v>245</v>
      </c>
      <c r="B82" s="578" t="s">
        <v>110</v>
      </c>
      <c r="C82" s="659">
        <v>15681</v>
      </c>
      <c r="D82" s="659">
        <v>110510</v>
      </c>
      <c r="E82" s="581">
        <v>1535</v>
      </c>
      <c r="F82" s="581">
        <v>19230</v>
      </c>
      <c r="G82" s="581">
        <v>847</v>
      </c>
      <c r="H82" s="581">
        <v>13600</v>
      </c>
      <c r="I82" s="581">
        <v>444</v>
      </c>
      <c r="J82" s="581">
        <v>8805</v>
      </c>
      <c r="K82" s="581">
        <v>448</v>
      </c>
      <c r="L82" s="581">
        <v>7958</v>
      </c>
      <c r="M82" s="581">
        <v>160</v>
      </c>
      <c r="N82" s="581">
        <v>2880</v>
      </c>
      <c r="O82" s="579">
        <v>0</v>
      </c>
      <c r="P82" s="579">
        <v>0</v>
      </c>
      <c r="Q82" s="598">
        <v>0</v>
      </c>
      <c r="R82" s="598">
        <v>0</v>
      </c>
      <c r="S82" s="598">
        <v>0</v>
      </c>
      <c r="T82" s="598">
        <v>0</v>
      </c>
      <c r="U82" s="598">
        <v>334</v>
      </c>
      <c r="V82" s="598">
        <v>15035</v>
      </c>
      <c r="W82" s="598">
        <v>59</v>
      </c>
      <c r="X82" s="598">
        <v>2360</v>
      </c>
      <c r="Y82" s="598">
        <v>0</v>
      </c>
      <c r="Z82" s="598">
        <v>0</v>
      </c>
      <c r="AA82" s="579">
        <v>0</v>
      </c>
      <c r="AB82" s="579">
        <v>0</v>
      </c>
      <c r="AC82" s="579">
        <v>0</v>
      </c>
      <c r="AD82" s="579">
        <v>0</v>
      </c>
      <c r="AE82" s="579">
        <v>0</v>
      </c>
      <c r="AF82" s="579">
        <v>0</v>
      </c>
      <c r="AG82" s="579">
        <v>0</v>
      </c>
      <c r="AH82" s="579">
        <v>0</v>
      </c>
      <c r="AI82" s="579">
        <v>0</v>
      </c>
      <c r="AJ82" s="579">
        <v>0</v>
      </c>
      <c r="AK82" s="579">
        <v>0</v>
      </c>
      <c r="AL82" s="579">
        <v>0</v>
      </c>
      <c r="AM82" s="579">
        <v>0</v>
      </c>
      <c r="AN82" s="579">
        <v>0</v>
      </c>
      <c r="AO82" s="579">
        <v>0</v>
      </c>
      <c r="AP82" s="579">
        <v>0</v>
      </c>
      <c r="AQ82" s="579">
        <v>0</v>
      </c>
      <c r="AR82" s="579">
        <v>0</v>
      </c>
      <c r="AS82" s="579">
        <v>0</v>
      </c>
      <c r="AT82" s="579">
        <v>0</v>
      </c>
      <c r="AU82" s="579">
        <v>0</v>
      </c>
      <c r="AV82" s="579">
        <v>0</v>
      </c>
      <c r="AW82" s="598">
        <v>0</v>
      </c>
      <c r="AX82" s="598">
        <v>0</v>
      </c>
      <c r="AY82" s="581">
        <v>0</v>
      </c>
      <c r="AZ82" s="581">
        <v>0</v>
      </c>
      <c r="BA82" s="579"/>
      <c r="BB82" s="598"/>
      <c r="BC82" s="598"/>
      <c r="BD82" s="598"/>
      <c r="BE82" s="598"/>
      <c r="BF82" s="598"/>
      <c r="BG82" s="598"/>
      <c r="BH82" s="598"/>
      <c r="BI82" s="579"/>
      <c r="BJ82" s="598">
        <f t="shared" si="8"/>
        <v>17973</v>
      </c>
      <c r="BK82" s="581">
        <f t="shared" si="9"/>
        <v>161148</v>
      </c>
      <c r="BL82" s="541"/>
      <c r="BM82" s="42"/>
      <c r="BN82" s="624"/>
      <c r="BO82" s="541"/>
      <c r="BP82" s="624"/>
      <c r="BQ82" s="541"/>
      <c r="BR82" s="541"/>
      <c r="BS82" s="541"/>
      <c r="BT82" s="541"/>
      <c r="BU82" s="541"/>
      <c r="BV82" s="541"/>
      <c r="BW82" s="541"/>
      <c r="BX82" s="541"/>
      <c r="BY82" s="541"/>
      <c r="BZ82" s="541"/>
      <c r="CA82" s="541"/>
      <c r="CB82" s="541"/>
      <c r="CC82" s="541"/>
      <c r="CD82" s="541"/>
      <c r="CE82" s="541"/>
      <c r="CF82" s="541"/>
      <c r="CG82" s="541"/>
      <c r="CH82" s="541"/>
      <c r="CI82" s="541"/>
      <c r="CJ82" s="541"/>
      <c r="CK82" s="541"/>
      <c r="CL82" s="541"/>
      <c r="CM82" s="541"/>
      <c r="CN82" s="541"/>
      <c r="CO82" s="541"/>
      <c r="CP82" s="541"/>
      <c r="CQ82" s="541"/>
      <c r="CR82" s="541"/>
      <c r="CS82" s="541"/>
      <c r="CT82" s="541"/>
      <c r="CU82" s="541"/>
      <c r="CV82" s="541"/>
      <c r="CW82" s="541"/>
      <c r="CX82" s="541"/>
      <c r="CY82" s="541"/>
      <c r="CZ82" s="541"/>
      <c r="DA82" s="541"/>
      <c r="DB82" s="541"/>
      <c r="DC82" s="541"/>
      <c r="DD82" s="541"/>
      <c r="DE82" s="541"/>
      <c r="DF82" s="541"/>
      <c r="DG82" s="541"/>
      <c r="DH82" s="541"/>
      <c r="DI82" s="541"/>
      <c r="DJ82" s="541"/>
      <c r="DK82" s="541"/>
      <c r="DL82" s="541"/>
      <c r="DM82" s="541"/>
      <c r="DN82" s="541"/>
      <c r="DO82" s="541"/>
      <c r="DP82" s="541"/>
      <c r="DQ82" s="541"/>
      <c r="DR82" s="541"/>
      <c r="DS82" s="541"/>
      <c r="DT82" s="541"/>
      <c r="DU82" s="541"/>
      <c r="DV82" s="541"/>
      <c r="DW82" s="541"/>
      <c r="DX82" s="541"/>
      <c r="DY82" s="541"/>
      <c r="DZ82" s="541"/>
      <c r="EA82" s="541"/>
      <c r="EB82" s="541"/>
      <c r="EC82" s="541"/>
      <c r="ED82" s="541"/>
      <c r="EE82" s="541"/>
      <c r="EF82" s="541"/>
      <c r="EG82" s="541"/>
      <c r="EH82" s="541"/>
      <c r="EI82" s="541"/>
      <c r="EJ82" s="541"/>
      <c r="EK82" s="541"/>
      <c r="EL82" s="541"/>
      <c r="EM82" s="541"/>
      <c r="EN82" s="541"/>
      <c r="EO82" s="541"/>
      <c r="EP82" s="541"/>
      <c r="EQ82" s="541"/>
      <c r="ER82" s="541"/>
      <c r="ES82" s="541"/>
      <c r="ET82" s="541"/>
      <c r="EU82" s="541"/>
      <c r="EV82" s="541"/>
      <c r="EW82" s="541"/>
      <c r="EX82" s="541"/>
      <c r="EY82" s="541"/>
      <c r="EZ82" s="541"/>
      <c r="FA82" s="541"/>
      <c r="FB82" s="541"/>
      <c r="FC82" s="541"/>
      <c r="FD82" s="541"/>
      <c r="FE82" s="541"/>
      <c r="FF82" s="541"/>
      <c r="FG82" s="541"/>
      <c r="FH82" s="541"/>
      <c r="FI82" s="541"/>
      <c r="FJ82" s="541"/>
      <c r="FK82" s="541"/>
      <c r="FL82" s="541"/>
      <c r="FM82" s="541"/>
      <c r="FN82" s="541"/>
      <c r="FO82" s="541"/>
      <c r="FP82" s="541"/>
      <c r="FQ82" s="541"/>
      <c r="FR82" s="541"/>
      <c r="FS82" s="541"/>
      <c r="FT82" s="541"/>
      <c r="FU82" s="541"/>
      <c r="FV82" s="541"/>
      <c r="FW82" s="541"/>
      <c r="FX82" s="541"/>
      <c r="FY82" s="541"/>
      <c r="FZ82" s="541"/>
      <c r="GA82" s="541"/>
      <c r="GB82" s="541"/>
      <c r="GC82" s="541"/>
      <c r="GD82" s="541"/>
      <c r="GE82" s="541"/>
      <c r="GF82" s="541"/>
      <c r="GG82" s="541"/>
      <c r="GH82" s="541"/>
      <c r="GI82" s="541"/>
      <c r="GJ82" s="541"/>
      <c r="GK82" s="541"/>
      <c r="GL82" s="541"/>
      <c r="GM82" s="541"/>
      <c r="GN82" s="541"/>
      <c r="GO82" s="541"/>
      <c r="GP82" s="541"/>
      <c r="GQ82" s="541"/>
      <c r="GR82" s="541"/>
      <c r="GS82" s="541"/>
      <c r="GT82" s="541"/>
      <c r="GU82" s="541"/>
      <c r="GV82" s="541"/>
      <c r="GW82" s="541"/>
      <c r="GX82" s="541"/>
      <c r="GY82" s="541"/>
      <c r="GZ82" s="541"/>
      <c r="HA82" s="541"/>
      <c r="HB82" s="541"/>
      <c r="HC82" s="541"/>
      <c r="HD82" s="541"/>
      <c r="HE82" s="541"/>
      <c r="HF82" s="541"/>
      <c r="HG82" s="541"/>
      <c r="HH82" s="541"/>
      <c r="HI82" s="541"/>
      <c r="HJ82" s="541"/>
      <c r="HK82" s="541"/>
      <c r="HL82" s="541"/>
      <c r="HM82" s="541"/>
      <c r="HN82" s="541"/>
      <c r="HO82" s="541"/>
      <c r="HP82" s="541"/>
      <c r="HQ82" s="541"/>
      <c r="HR82" s="541"/>
      <c r="HS82" s="541"/>
      <c r="HT82" s="541"/>
      <c r="HU82" s="541"/>
      <c r="HV82" s="541"/>
      <c r="HW82" s="541"/>
      <c r="HX82" s="541"/>
      <c r="HY82" s="541"/>
      <c r="HZ82" s="541"/>
      <c r="IA82" s="541"/>
      <c r="IB82" s="541"/>
      <c r="IC82" s="541"/>
      <c r="ID82" s="541"/>
      <c r="IE82" s="541"/>
      <c r="IF82" s="541"/>
      <c r="IG82" s="541"/>
      <c r="IH82" s="541"/>
      <c r="II82" s="541"/>
      <c r="IJ82" s="541"/>
      <c r="IK82" s="541"/>
      <c r="IL82" s="541"/>
      <c r="IM82" s="541"/>
      <c r="IN82" s="541"/>
      <c r="IO82" s="541"/>
      <c r="IP82" s="541"/>
      <c r="IQ82" s="541"/>
      <c r="IR82" s="541"/>
      <c r="IS82" s="541"/>
      <c r="IT82" s="541"/>
      <c r="IU82" s="541"/>
      <c r="IV82" s="541"/>
      <c r="IW82" s="541"/>
      <c r="IX82" s="541"/>
      <c r="IY82" s="541"/>
      <c r="IZ82" s="541"/>
      <c r="JA82" s="541"/>
      <c r="JB82" s="541"/>
      <c r="JC82" s="541"/>
      <c r="JD82" s="541"/>
      <c r="JE82" s="541"/>
      <c r="JF82" s="541"/>
      <c r="JG82" s="541"/>
      <c r="JH82" s="541"/>
      <c r="JI82" s="541"/>
      <c r="JJ82" s="541"/>
      <c r="JK82" s="541"/>
      <c r="JL82" s="541"/>
      <c r="JM82" s="541"/>
      <c r="JN82" s="541"/>
      <c r="JO82" s="541"/>
      <c r="JP82" s="541"/>
      <c r="JQ82" s="541"/>
      <c r="JR82" s="541"/>
      <c r="JS82" s="541"/>
      <c r="JT82" s="541"/>
      <c r="JU82" s="541"/>
      <c r="JV82" s="541"/>
      <c r="JW82" s="541"/>
      <c r="JX82" s="541"/>
      <c r="JY82" s="541"/>
      <c r="JZ82" s="541"/>
      <c r="KA82" s="541"/>
      <c r="KB82" s="541"/>
      <c r="KC82" s="541"/>
      <c r="KD82" s="541"/>
      <c r="KE82" s="541"/>
      <c r="KF82" s="541"/>
      <c r="KG82" s="541"/>
      <c r="KH82" s="541"/>
      <c r="KI82" s="541"/>
      <c r="KJ82" s="541"/>
      <c r="KK82" s="541"/>
      <c r="KL82" s="541"/>
      <c r="KM82" s="541"/>
      <c r="KN82" s="541"/>
      <c r="KO82" s="541"/>
      <c r="KP82" s="541"/>
      <c r="KQ82" s="541"/>
      <c r="KR82" s="541"/>
      <c r="KS82" s="541"/>
      <c r="KT82" s="541"/>
      <c r="KU82" s="541"/>
      <c r="KV82" s="541"/>
      <c r="KW82" s="541"/>
      <c r="KX82" s="541"/>
      <c r="KY82" s="541"/>
      <c r="KZ82" s="541"/>
      <c r="LA82" s="541"/>
      <c r="LB82" s="541"/>
      <c r="LC82" s="541"/>
      <c r="LD82" s="541"/>
      <c r="LE82" s="541"/>
      <c r="LF82" s="541"/>
      <c r="LG82" s="541"/>
      <c r="LH82" s="541"/>
      <c r="LI82" s="541"/>
      <c r="LJ82" s="541"/>
      <c r="LK82" s="541"/>
      <c r="LL82" s="541"/>
      <c r="LM82" s="541"/>
      <c r="LN82" s="541"/>
      <c r="LO82" s="541"/>
      <c r="LP82" s="541"/>
      <c r="LQ82" s="541"/>
      <c r="LR82" s="541"/>
      <c r="LS82" s="541"/>
      <c r="LT82" s="541"/>
      <c r="LU82" s="541"/>
      <c r="LV82" s="541"/>
      <c r="LW82" s="541"/>
      <c r="LX82" s="541"/>
      <c r="LY82" s="541"/>
      <c r="LZ82" s="541"/>
      <c r="MA82" s="541"/>
      <c r="MB82" s="541"/>
      <c r="MC82" s="541"/>
      <c r="MD82" s="541"/>
      <c r="ME82" s="541"/>
      <c r="MF82" s="541"/>
      <c r="MG82" s="541"/>
      <c r="MH82" s="541"/>
      <c r="MI82" s="541"/>
      <c r="MJ82" s="541"/>
      <c r="MK82" s="541"/>
      <c r="ML82" s="541"/>
      <c r="MM82" s="541"/>
      <c r="MN82" s="541"/>
      <c r="MO82" s="541"/>
      <c r="MP82" s="541"/>
      <c r="MQ82" s="541"/>
      <c r="MR82" s="541"/>
      <c r="MS82" s="541"/>
      <c r="MT82" s="541"/>
      <c r="MU82" s="541"/>
      <c r="MV82" s="541"/>
      <c r="MW82" s="541"/>
      <c r="MX82" s="541"/>
      <c r="MY82" s="541"/>
      <c r="MZ82" s="541"/>
      <c r="NA82" s="541"/>
      <c r="NB82" s="541"/>
      <c r="NC82" s="541"/>
      <c r="ND82" s="541"/>
      <c r="NE82" s="541"/>
      <c r="NF82" s="541"/>
      <c r="NG82" s="541"/>
      <c r="NH82" s="541"/>
      <c r="NI82" s="541"/>
      <c r="NJ82" s="541"/>
      <c r="NK82" s="541"/>
      <c r="NL82" s="541"/>
      <c r="NM82" s="541"/>
      <c r="NN82" s="541"/>
      <c r="NO82" s="541"/>
      <c r="NP82" s="541"/>
      <c r="NQ82" s="541"/>
      <c r="NR82" s="541"/>
      <c r="NS82" s="541"/>
      <c r="NT82" s="541"/>
      <c r="NU82" s="541"/>
      <c r="NV82" s="541"/>
      <c r="NW82" s="541"/>
      <c r="NX82" s="541"/>
      <c r="NY82" s="541"/>
      <c r="NZ82" s="541"/>
      <c r="OA82" s="541"/>
      <c r="OB82" s="541"/>
      <c r="OC82" s="541"/>
      <c r="OD82" s="541"/>
      <c r="OE82" s="541"/>
      <c r="OF82" s="541"/>
      <c r="OG82" s="541"/>
      <c r="OH82" s="541"/>
      <c r="OI82" s="541"/>
      <c r="OJ82" s="541"/>
      <c r="OK82" s="541"/>
      <c r="OL82" s="541"/>
      <c r="OM82" s="541"/>
      <c r="ON82" s="541"/>
      <c r="OO82" s="541"/>
      <c r="OP82" s="541"/>
      <c r="OQ82" s="541"/>
      <c r="OR82" s="541"/>
      <c r="OS82" s="541"/>
      <c r="OT82" s="541"/>
      <c r="OU82" s="541"/>
      <c r="OV82" s="541"/>
      <c r="OW82" s="541"/>
      <c r="OX82" s="541"/>
      <c r="OY82" s="541"/>
      <c r="OZ82" s="541"/>
      <c r="PA82" s="541"/>
      <c r="PB82" s="541"/>
      <c r="PC82" s="541"/>
      <c r="PD82" s="541"/>
      <c r="PE82" s="541"/>
      <c r="PF82" s="541"/>
      <c r="PG82" s="541"/>
      <c r="PH82" s="541"/>
      <c r="PI82" s="541"/>
      <c r="PJ82" s="541"/>
      <c r="PK82" s="541"/>
      <c r="PL82" s="541"/>
      <c r="PM82" s="541"/>
      <c r="PN82" s="541"/>
      <c r="PO82" s="541"/>
      <c r="PP82" s="541"/>
      <c r="PQ82" s="541"/>
      <c r="PR82" s="541"/>
      <c r="PS82" s="541"/>
      <c r="PT82" s="541"/>
      <c r="PU82" s="541"/>
      <c r="PV82" s="541"/>
      <c r="PW82" s="541"/>
      <c r="PX82" s="541"/>
      <c r="PY82" s="541"/>
      <c r="PZ82" s="541"/>
      <c r="QA82" s="541"/>
      <c r="QB82" s="541"/>
      <c r="QC82" s="541"/>
      <c r="QD82" s="541"/>
      <c r="QE82" s="541"/>
      <c r="QF82" s="541"/>
      <c r="QG82" s="541"/>
      <c r="QH82" s="541"/>
      <c r="QI82" s="541"/>
      <c r="QJ82" s="541"/>
      <c r="QK82" s="541"/>
      <c r="QL82" s="541"/>
      <c r="QM82" s="541"/>
      <c r="QN82" s="541"/>
      <c r="QO82" s="541"/>
      <c r="QP82" s="541"/>
      <c r="QQ82" s="541"/>
      <c r="QR82" s="541"/>
      <c r="QS82" s="541"/>
      <c r="QT82" s="541"/>
      <c r="QU82" s="541"/>
      <c r="QV82" s="541"/>
      <c r="QW82" s="541"/>
      <c r="QX82" s="541"/>
      <c r="QY82" s="541"/>
      <c r="QZ82" s="541"/>
      <c r="RA82" s="541"/>
      <c r="RB82" s="541"/>
      <c r="RC82" s="541"/>
      <c r="RD82" s="541"/>
      <c r="RE82" s="541"/>
      <c r="RF82" s="541"/>
      <c r="RG82" s="541"/>
      <c r="RH82" s="541"/>
      <c r="RI82" s="541"/>
      <c r="RJ82" s="541"/>
      <c r="RK82" s="541"/>
      <c r="RL82" s="541"/>
      <c r="RM82" s="541"/>
      <c r="RN82" s="541"/>
      <c r="RO82" s="541"/>
      <c r="RP82" s="541"/>
      <c r="RQ82" s="541"/>
      <c r="RR82" s="541"/>
      <c r="RS82" s="541"/>
      <c r="RT82" s="541"/>
      <c r="RU82" s="541"/>
      <c r="RV82" s="541"/>
      <c r="RW82" s="541"/>
      <c r="RX82" s="541"/>
      <c r="RY82" s="541"/>
      <c r="RZ82" s="541"/>
      <c r="SA82" s="541"/>
      <c r="SB82" s="541"/>
      <c r="SC82" s="541"/>
      <c r="SD82" s="541"/>
      <c r="SE82" s="541"/>
      <c r="SF82" s="541"/>
      <c r="SG82" s="541"/>
      <c r="SH82" s="541"/>
      <c r="SI82" s="541"/>
      <c r="SJ82" s="541"/>
      <c r="SK82" s="541"/>
      <c r="SL82" s="541"/>
      <c r="SM82" s="541"/>
      <c r="SN82" s="541"/>
      <c r="SO82" s="541"/>
      <c r="SP82" s="541"/>
      <c r="SQ82" s="541"/>
      <c r="SR82" s="541"/>
      <c r="SS82" s="541"/>
      <c r="ST82" s="541"/>
      <c r="SU82" s="541"/>
      <c r="SV82" s="541"/>
      <c r="SW82" s="541"/>
      <c r="SX82" s="541"/>
      <c r="SY82" s="541"/>
      <c r="SZ82" s="541"/>
      <c r="TA82" s="541"/>
      <c r="TB82" s="541"/>
      <c r="TC82" s="541"/>
      <c r="TD82" s="541"/>
      <c r="TE82" s="541"/>
      <c r="TF82" s="541"/>
      <c r="TG82" s="541"/>
      <c r="TH82" s="541"/>
      <c r="TI82" s="541"/>
      <c r="TJ82" s="541"/>
      <c r="TK82" s="541"/>
      <c r="TL82" s="541"/>
      <c r="TM82" s="541"/>
      <c r="TN82" s="541"/>
      <c r="TO82" s="541"/>
      <c r="TP82" s="541"/>
      <c r="TQ82" s="541"/>
      <c r="TR82" s="541"/>
      <c r="TS82" s="541"/>
      <c r="TT82" s="541"/>
      <c r="TU82" s="541"/>
      <c r="TV82" s="541"/>
      <c r="TW82" s="541"/>
      <c r="TX82" s="541"/>
      <c r="TY82" s="541"/>
      <c r="TZ82" s="541"/>
      <c r="UA82" s="541"/>
      <c r="UB82" s="541"/>
      <c r="UC82" s="541"/>
      <c r="UD82" s="541"/>
      <c r="UE82" s="541"/>
      <c r="UF82" s="541"/>
      <c r="UG82" s="541"/>
      <c r="UH82" s="541"/>
      <c r="UI82" s="541"/>
      <c r="UJ82" s="541"/>
      <c r="UK82" s="541"/>
      <c r="UL82" s="541"/>
      <c r="UM82" s="541"/>
      <c r="UN82" s="541"/>
      <c r="UO82" s="541"/>
      <c r="UP82" s="541"/>
      <c r="UQ82" s="541"/>
      <c r="UR82" s="541"/>
      <c r="US82" s="541"/>
      <c r="UT82" s="541"/>
      <c r="UU82" s="541"/>
      <c r="UV82" s="541"/>
      <c r="UW82" s="541"/>
      <c r="UX82" s="541"/>
      <c r="UY82" s="541"/>
      <c r="UZ82" s="541"/>
      <c r="VA82" s="541"/>
      <c r="VB82" s="541"/>
      <c r="VC82" s="541"/>
      <c r="VD82" s="541"/>
      <c r="VE82" s="541"/>
      <c r="VF82" s="541"/>
      <c r="VG82" s="541"/>
      <c r="VH82" s="541"/>
      <c r="VI82" s="541"/>
      <c r="VJ82" s="541"/>
      <c r="VK82" s="541"/>
      <c r="VL82" s="541"/>
      <c r="VM82" s="541"/>
      <c r="VN82" s="541"/>
      <c r="VO82" s="541"/>
      <c r="VP82" s="541"/>
      <c r="VQ82" s="541"/>
      <c r="VR82" s="541"/>
      <c r="VS82" s="541"/>
      <c r="VT82" s="541"/>
      <c r="VU82" s="541"/>
      <c r="VV82" s="541"/>
      <c r="VW82" s="541"/>
      <c r="VX82" s="541"/>
      <c r="VY82" s="541"/>
      <c r="VZ82" s="541"/>
      <c r="WA82" s="541"/>
      <c r="WB82" s="541"/>
      <c r="WC82" s="541"/>
      <c r="WD82" s="541"/>
      <c r="WE82" s="541"/>
      <c r="WF82" s="541"/>
      <c r="WG82" s="541"/>
      <c r="WH82" s="541"/>
      <c r="WI82" s="541"/>
      <c r="WJ82" s="541"/>
      <c r="WK82" s="541"/>
      <c r="WL82" s="541"/>
      <c r="WM82" s="541"/>
      <c r="WN82" s="541"/>
      <c r="WO82" s="541"/>
      <c r="WP82" s="541"/>
      <c r="WQ82" s="541"/>
      <c r="WR82" s="541"/>
      <c r="WS82" s="541"/>
      <c r="WT82" s="541"/>
      <c r="WU82" s="541"/>
      <c r="WV82" s="541"/>
      <c r="WW82" s="541"/>
      <c r="WX82" s="541"/>
      <c r="WY82" s="541"/>
      <c r="WZ82" s="541"/>
      <c r="XA82" s="541"/>
      <c r="XB82" s="541"/>
      <c r="XC82" s="541"/>
      <c r="XD82" s="541"/>
      <c r="XE82" s="541"/>
      <c r="XF82" s="541"/>
      <c r="XG82" s="541"/>
      <c r="XH82" s="541"/>
      <c r="XI82" s="541"/>
      <c r="XJ82" s="541"/>
      <c r="XK82" s="541"/>
      <c r="XL82" s="541"/>
      <c r="XM82" s="541"/>
      <c r="XN82" s="541"/>
      <c r="XO82" s="541"/>
      <c r="XP82" s="541"/>
      <c r="XQ82" s="541"/>
      <c r="XR82" s="541"/>
      <c r="XS82" s="541"/>
      <c r="XT82" s="541"/>
      <c r="XU82" s="541"/>
      <c r="XV82" s="541"/>
      <c r="XW82" s="541"/>
      <c r="XX82" s="541"/>
      <c r="XY82" s="541"/>
      <c r="XZ82" s="541"/>
      <c r="YA82" s="541"/>
      <c r="YB82" s="541"/>
      <c r="YC82" s="541"/>
      <c r="YD82" s="541"/>
      <c r="YE82" s="541"/>
      <c r="YF82" s="541"/>
      <c r="YG82" s="541"/>
      <c r="YH82" s="541"/>
      <c r="YI82" s="541"/>
      <c r="YJ82" s="541"/>
      <c r="YK82" s="541"/>
      <c r="YL82" s="541"/>
      <c r="YM82" s="541"/>
      <c r="YN82" s="541"/>
      <c r="YO82" s="541"/>
      <c r="YP82" s="541"/>
      <c r="YQ82" s="541"/>
      <c r="YR82" s="541"/>
      <c r="YS82" s="541"/>
      <c r="YT82" s="541"/>
      <c r="YU82" s="541"/>
      <c r="YV82" s="541"/>
      <c r="YW82" s="541"/>
      <c r="YX82" s="541"/>
      <c r="YY82" s="541"/>
      <c r="YZ82" s="541"/>
      <c r="ZA82" s="541"/>
      <c r="ZB82" s="541"/>
      <c r="ZC82" s="541"/>
      <c r="ZD82" s="541"/>
      <c r="ZE82" s="541"/>
      <c r="ZF82" s="541"/>
      <c r="ZG82" s="541"/>
      <c r="ZH82" s="541"/>
      <c r="ZI82" s="541"/>
      <c r="ZJ82" s="541"/>
      <c r="ZK82" s="541"/>
      <c r="ZL82" s="541"/>
      <c r="ZM82" s="541"/>
      <c r="ZN82" s="541"/>
      <c r="ZO82" s="541"/>
      <c r="ZP82" s="541"/>
      <c r="ZQ82" s="541"/>
      <c r="ZR82" s="541"/>
      <c r="ZS82" s="541"/>
      <c r="ZT82" s="541"/>
      <c r="ZU82" s="541"/>
      <c r="ZV82" s="541"/>
      <c r="ZW82" s="541"/>
      <c r="ZX82" s="541"/>
      <c r="ZY82" s="541"/>
      <c r="ZZ82" s="541"/>
      <c r="AAA82" s="541"/>
      <c r="AAB82" s="541"/>
      <c r="AAC82" s="541"/>
      <c r="AAD82" s="541"/>
      <c r="AAE82" s="541"/>
      <c r="AAF82" s="541"/>
      <c r="AAG82" s="541"/>
      <c r="AAH82" s="541"/>
      <c r="AAI82" s="541"/>
      <c r="AAJ82" s="541"/>
      <c r="AAK82" s="541"/>
      <c r="AAL82" s="541"/>
      <c r="AAM82" s="541"/>
      <c r="AAN82" s="541"/>
      <c r="AAO82" s="541"/>
      <c r="AAP82" s="541"/>
      <c r="AAQ82" s="541"/>
      <c r="AAR82" s="541"/>
      <c r="AAS82" s="541"/>
      <c r="AAT82" s="541"/>
      <c r="AAU82" s="541"/>
      <c r="AAV82" s="541"/>
      <c r="AAW82" s="541"/>
      <c r="AAX82" s="541"/>
      <c r="AAY82" s="541"/>
      <c r="AAZ82" s="541"/>
      <c r="ABA82" s="541"/>
      <c r="ABB82" s="541"/>
      <c r="ABC82" s="541"/>
      <c r="ABD82" s="541"/>
      <c r="ABE82" s="541"/>
      <c r="ABF82" s="541"/>
      <c r="ABG82" s="541"/>
      <c r="ABH82" s="541"/>
      <c r="ABI82" s="541"/>
      <c r="ABJ82" s="541"/>
      <c r="ABK82" s="541"/>
      <c r="ABL82" s="541"/>
      <c r="ABM82" s="541"/>
      <c r="ABN82" s="541"/>
      <c r="ABO82" s="541"/>
      <c r="ABP82" s="541"/>
      <c r="ABQ82" s="541"/>
      <c r="ABR82" s="541"/>
      <c r="ABS82" s="541"/>
      <c r="ABT82" s="541"/>
      <c r="ABU82" s="541"/>
      <c r="ABV82" s="541"/>
      <c r="ABW82" s="541"/>
      <c r="ABX82" s="541"/>
      <c r="ABY82" s="541"/>
      <c r="ABZ82" s="541"/>
      <c r="ACA82" s="541"/>
      <c r="ACB82" s="541"/>
      <c r="ACC82" s="541"/>
      <c r="ACD82" s="541"/>
      <c r="ACE82" s="541"/>
      <c r="ACF82" s="541"/>
      <c r="ACG82" s="541"/>
      <c r="ACH82" s="541"/>
      <c r="ACI82" s="541"/>
      <c r="ACJ82" s="541"/>
      <c r="ACK82" s="541"/>
      <c r="ACL82" s="541"/>
      <c r="ACM82" s="541"/>
      <c r="ACN82" s="541"/>
      <c r="ACO82" s="541"/>
      <c r="ACP82" s="541"/>
      <c r="ACQ82" s="541"/>
      <c r="ACR82" s="541"/>
      <c r="ACS82" s="541"/>
      <c r="ACT82" s="541"/>
      <c r="ACU82" s="541"/>
      <c r="ACV82" s="541"/>
      <c r="ACW82" s="541"/>
      <c r="ACX82" s="541"/>
      <c r="ACY82" s="541"/>
      <c r="ACZ82" s="541"/>
      <c r="ADA82" s="541"/>
      <c r="ADB82" s="541"/>
      <c r="ADC82" s="541"/>
      <c r="ADD82" s="541"/>
      <c r="ADE82" s="541"/>
      <c r="ADF82" s="541"/>
      <c r="ADG82" s="541"/>
      <c r="ADH82" s="541"/>
      <c r="ADI82" s="541"/>
      <c r="ADJ82" s="541"/>
      <c r="ADK82" s="541"/>
      <c r="ADL82" s="541"/>
      <c r="ADM82" s="541"/>
      <c r="ADN82" s="541"/>
      <c r="ADO82" s="541"/>
      <c r="ADP82" s="541"/>
      <c r="ADQ82" s="541"/>
      <c r="ADR82" s="541"/>
      <c r="ADS82" s="541"/>
      <c r="ADT82" s="541"/>
      <c r="ADU82" s="541"/>
      <c r="ADV82" s="541"/>
      <c r="ADW82" s="541"/>
      <c r="ADX82" s="541"/>
      <c r="ADY82" s="541"/>
      <c r="ADZ82" s="541"/>
      <c r="AEA82" s="541"/>
      <c r="AEB82" s="541"/>
      <c r="AEC82" s="541"/>
      <c r="AED82" s="541"/>
      <c r="AEE82" s="541"/>
      <c r="AEF82" s="541"/>
      <c r="AEG82" s="541"/>
      <c r="AEH82" s="541"/>
      <c r="AEI82" s="541"/>
      <c r="AEJ82" s="541"/>
      <c r="AEK82" s="541"/>
      <c r="AEL82" s="541"/>
      <c r="AEM82" s="541"/>
      <c r="AEN82" s="541"/>
      <c r="AEO82" s="541"/>
      <c r="AEP82" s="541"/>
      <c r="AEQ82" s="541"/>
      <c r="AER82" s="541"/>
      <c r="AES82" s="541"/>
      <c r="AET82" s="541"/>
      <c r="AEU82" s="541"/>
      <c r="AEV82" s="541"/>
      <c r="AEW82" s="541"/>
      <c r="AEX82" s="541"/>
      <c r="AEY82" s="541"/>
      <c r="AEZ82" s="541"/>
      <c r="AFA82" s="541"/>
      <c r="AFB82" s="541"/>
      <c r="AFC82" s="541"/>
      <c r="AFD82" s="541"/>
      <c r="AFE82" s="541"/>
      <c r="AFF82" s="541"/>
      <c r="AFG82" s="541"/>
      <c r="AFH82" s="541"/>
      <c r="AFI82" s="541"/>
      <c r="AFJ82" s="541"/>
      <c r="AFK82" s="541"/>
      <c r="AFL82" s="541"/>
      <c r="AFM82" s="541"/>
      <c r="AFN82" s="541"/>
      <c r="AFO82" s="541"/>
      <c r="AFP82" s="541"/>
      <c r="AFQ82" s="541"/>
      <c r="AFR82" s="541"/>
      <c r="AFS82" s="541"/>
      <c r="AFT82" s="541"/>
      <c r="AFU82" s="541"/>
      <c r="AFV82" s="541"/>
      <c r="AFW82" s="541"/>
      <c r="AFX82" s="541"/>
      <c r="AFY82" s="541"/>
      <c r="AFZ82" s="541"/>
      <c r="AGA82" s="541"/>
      <c r="AGB82" s="541"/>
      <c r="AGC82" s="541"/>
      <c r="AGD82" s="541"/>
      <c r="AGE82" s="541"/>
      <c r="AGF82" s="541"/>
      <c r="AGG82" s="541"/>
      <c r="AGH82" s="541"/>
      <c r="AGI82" s="541"/>
      <c r="AGJ82" s="541"/>
      <c r="AGK82" s="541"/>
      <c r="AGL82" s="541"/>
      <c r="AGM82" s="541"/>
      <c r="AGN82" s="541"/>
      <c r="AGO82" s="541"/>
      <c r="AGP82" s="541"/>
      <c r="AGQ82" s="541"/>
      <c r="AGR82" s="541"/>
      <c r="AGS82" s="541"/>
      <c r="AGT82" s="541"/>
      <c r="AGU82" s="541"/>
      <c r="AGV82" s="541"/>
      <c r="AGW82" s="541"/>
      <c r="AGX82" s="541"/>
      <c r="AGY82" s="541"/>
      <c r="AGZ82" s="541"/>
      <c r="AHA82" s="541"/>
      <c r="AHB82" s="541"/>
      <c r="AHC82" s="541"/>
      <c r="AHD82" s="541"/>
      <c r="AHE82" s="541"/>
      <c r="AHF82" s="541"/>
      <c r="AHG82" s="541"/>
      <c r="AHH82" s="541"/>
      <c r="AHI82" s="541"/>
      <c r="AHJ82" s="541"/>
      <c r="AHK82" s="541"/>
      <c r="AHL82" s="541"/>
      <c r="AHM82" s="541"/>
      <c r="AHN82" s="541"/>
      <c r="AHO82" s="541"/>
      <c r="AHP82" s="541"/>
      <c r="AHQ82" s="541"/>
      <c r="AHR82" s="541"/>
      <c r="AHS82" s="541"/>
      <c r="AHT82" s="541"/>
      <c r="AHU82" s="541"/>
      <c r="AHV82" s="541"/>
      <c r="AHW82" s="541"/>
      <c r="AHX82" s="541"/>
      <c r="AHY82" s="541"/>
      <c r="AHZ82" s="541"/>
      <c r="AIA82" s="541"/>
      <c r="AIB82" s="541"/>
      <c r="AIC82" s="541"/>
      <c r="AID82" s="541"/>
      <c r="AIE82" s="541"/>
      <c r="AIF82" s="541"/>
      <c r="AIG82" s="541"/>
      <c r="AIH82" s="541"/>
      <c r="AII82" s="541"/>
      <c r="AIJ82" s="541"/>
      <c r="AIK82" s="541"/>
      <c r="AIL82" s="541"/>
      <c r="AIM82" s="541"/>
      <c r="AIN82" s="541"/>
      <c r="AIO82" s="541"/>
      <c r="AIP82" s="541"/>
      <c r="AIQ82" s="541"/>
      <c r="AIR82" s="541"/>
      <c r="AIS82" s="541"/>
      <c r="AIT82" s="541"/>
      <c r="AIU82" s="541"/>
      <c r="AIV82" s="541"/>
      <c r="AIW82" s="541"/>
      <c r="AIX82" s="541"/>
      <c r="AIY82" s="541"/>
      <c r="AIZ82" s="541"/>
      <c r="AJA82" s="541"/>
      <c r="AJB82" s="541"/>
      <c r="AJC82" s="541"/>
      <c r="AJD82" s="541"/>
      <c r="AJE82" s="541"/>
      <c r="AJF82" s="541"/>
      <c r="AJG82" s="541"/>
      <c r="AJH82" s="541"/>
      <c r="AJI82" s="541"/>
      <c r="AJJ82" s="541"/>
      <c r="AJK82" s="541"/>
      <c r="AJL82" s="541"/>
      <c r="AJM82" s="541"/>
      <c r="AJN82" s="541"/>
      <c r="AJO82" s="541"/>
      <c r="AJP82" s="541"/>
      <c r="AJQ82" s="541"/>
      <c r="AJR82" s="541"/>
      <c r="AJS82" s="541"/>
      <c r="AJT82" s="541"/>
      <c r="AJU82" s="541"/>
      <c r="AJV82" s="541"/>
      <c r="AJW82" s="541"/>
      <c r="AJX82" s="541"/>
      <c r="AJY82" s="541"/>
      <c r="AJZ82" s="541"/>
      <c r="AKA82" s="541"/>
      <c r="AKB82" s="541"/>
      <c r="AKC82" s="541"/>
      <c r="AKD82" s="541"/>
      <c r="AKE82" s="541"/>
      <c r="AKF82" s="541"/>
      <c r="AKG82" s="541"/>
      <c r="AKH82" s="541"/>
      <c r="AKI82" s="541"/>
      <c r="AKJ82" s="541"/>
      <c r="AKK82" s="541"/>
      <c r="AKL82" s="541"/>
      <c r="AKM82" s="541"/>
      <c r="AKN82" s="541"/>
      <c r="AKO82" s="541"/>
      <c r="AKP82" s="541"/>
      <c r="AKQ82" s="541"/>
      <c r="AKR82" s="541"/>
      <c r="AKS82" s="541"/>
      <c r="AKT82" s="541"/>
      <c r="AKU82" s="541"/>
      <c r="AKV82" s="541"/>
      <c r="AKW82" s="541"/>
      <c r="AKX82" s="541"/>
      <c r="AKY82" s="541"/>
      <c r="AKZ82" s="541"/>
      <c r="ALA82" s="541"/>
      <c r="ALB82" s="541"/>
      <c r="ALC82" s="541"/>
      <c r="ALD82" s="541"/>
      <c r="ALE82" s="541"/>
      <c r="ALF82" s="541"/>
      <c r="ALG82" s="541"/>
      <c r="ALH82" s="541"/>
      <c r="ALI82" s="541"/>
      <c r="ALJ82" s="541"/>
      <c r="ALK82" s="541"/>
      <c r="ALL82" s="541"/>
      <c r="ALM82" s="541"/>
      <c r="ALN82" s="541"/>
      <c r="ALO82" s="541"/>
      <c r="ALP82" s="541"/>
      <c r="ALQ82" s="541"/>
      <c r="ALR82" s="541"/>
      <c r="ALS82" s="541"/>
      <c r="ALT82" s="541"/>
      <c r="ALU82" s="541"/>
      <c r="ALV82" s="541"/>
      <c r="ALW82" s="541"/>
      <c r="ALX82" s="541"/>
      <c r="ALY82" s="541"/>
      <c r="ALZ82" s="541"/>
      <c r="AMA82" s="541"/>
      <c r="AMB82" s="541"/>
      <c r="AMC82" s="541"/>
      <c r="AMD82" s="541"/>
      <c r="AME82" s="541"/>
      <c r="AMF82" s="541"/>
      <c r="AMG82" s="541"/>
      <c r="AMH82" s="541"/>
      <c r="AMI82" s="541"/>
      <c r="AMJ82" s="541"/>
      <c r="AMK82" s="541"/>
      <c r="AML82" s="541"/>
      <c r="AMM82" s="541"/>
      <c r="AMN82" s="541"/>
      <c r="AMO82" s="541"/>
      <c r="AMP82" s="541"/>
      <c r="AMQ82" s="541"/>
      <c r="AMR82" s="541"/>
      <c r="AMS82" s="541"/>
      <c r="AMT82" s="541"/>
      <c r="AMU82" s="541"/>
      <c r="AMV82" s="541"/>
      <c r="AMW82" s="541"/>
      <c r="AMX82" s="541"/>
      <c r="AMY82" s="541"/>
      <c r="AMZ82" s="541"/>
      <c r="ANA82" s="541"/>
      <c r="ANB82" s="541"/>
      <c r="ANC82" s="541"/>
      <c r="AND82" s="541"/>
      <c r="ANE82" s="541"/>
      <c r="ANF82" s="541"/>
      <c r="ANG82" s="541"/>
      <c r="ANH82" s="541"/>
      <c r="ANI82" s="541"/>
      <c r="ANJ82" s="541"/>
      <c r="ANK82" s="541"/>
      <c r="ANL82" s="541"/>
      <c r="ANM82" s="541"/>
      <c r="ANN82" s="541"/>
      <c r="ANO82" s="541"/>
      <c r="ANP82" s="541"/>
      <c r="ANQ82" s="541"/>
      <c r="ANR82" s="541"/>
      <c r="ANS82" s="541"/>
      <c r="ANT82" s="541"/>
      <c r="ANU82" s="541"/>
      <c r="ANV82" s="541"/>
      <c r="ANW82" s="541"/>
      <c r="ANX82" s="541"/>
      <c r="ANY82" s="541"/>
      <c r="ANZ82" s="541"/>
      <c r="AOA82" s="541"/>
      <c r="AOB82" s="541"/>
      <c r="AOC82" s="541"/>
      <c r="AOD82" s="541"/>
      <c r="AOE82" s="541"/>
      <c r="AOF82" s="541"/>
      <c r="AOG82" s="541"/>
      <c r="AOH82" s="541"/>
      <c r="AOI82" s="541"/>
      <c r="AOJ82" s="541"/>
      <c r="AOK82" s="541"/>
      <c r="AOL82" s="541"/>
      <c r="AOM82" s="541"/>
      <c r="AON82" s="541"/>
      <c r="AOO82" s="541"/>
      <c r="AOP82" s="541"/>
      <c r="AOQ82" s="541"/>
      <c r="AOR82" s="541"/>
      <c r="AOS82" s="541"/>
      <c r="AOT82" s="541"/>
      <c r="AOU82" s="541"/>
      <c r="AOV82" s="541"/>
      <c r="AOW82" s="541"/>
      <c r="AOX82" s="541"/>
      <c r="AOY82" s="541"/>
      <c r="AOZ82" s="541"/>
      <c r="APA82" s="541"/>
      <c r="APB82" s="541"/>
      <c r="APC82" s="541"/>
      <c r="APD82" s="541"/>
      <c r="APE82" s="541"/>
      <c r="APF82" s="541"/>
      <c r="APG82" s="541"/>
      <c r="APH82" s="541"/>
      <c r="API82" s="541"/>
      <c r="APJ82" s="541"/>
      <c r="APK82" s="541"/>
      <c r="APL82" s="541"/>
      <c r="APM82" s="541"/>
      <c r="APN82" s="541"/>
      <c r="APO82" s="541"/>
      <c r="APP82" s="541"/>
      <c r="APQ82" s="541"/>
      <c r="APR82" s="541"/>
      <c r="APS82" s="541"/>
      <c r="APT82" s="541"/>
      <c r="APU82" s="541"/>
      <c r="APV82" s="541"/>
      <c r="APW82" s="541"/>
      <c r="APX82" s="541"/>
      <c r="APY82" s="541"/>
      <c r="APZ82" s="541"/>
      <c r="AQA82" s="541"/>
      <c r="AQB82" s="541"/>
      <c r="AQC82" s="541"/>
      <c r="AQD82" s="541"/>
      <c r="AQE82" s="541"/>
      <c r="AQF82" s="541"/>
      <c r="AQG82" s="541"/>
      <c r="AQH82" s="541"/>
      <c r="AQI82" s="541"/>
      <c r="AQJ82" s="541"/>
      <c r="AQK82" s="541"/>
      <c r="AQL82" s="541"/>
      <c r="AQM82" s="541"/>
      <c r="AQN82" s="541"/>
      <c r="AQO82" s="541"/>
      <c r="AQP82" s="541"/>
      <c r="AQQ82" s="541"/>
      <c r="AQR82" s="541"/>
      <c r="AQS82" s="541"/>
      <c r="AQT82" s="541"/>
      <c r="AQU82" s="541"/>
      <c r="AQV82" s="541"/>
      <c r="AQW82" s="541"/>
      <c r="AQX82" s="541"/>
      <c r="AQY82" s="541"/>
      <c r="AQZ82" s="541"/>
      <c r="ARA82" s="541"/>
      <c r="ARB82" s="541"/>
      <c r="ARC82" s="541"/>
      <c r="ARD82" s="541"/>
      <c r="ARE82" s="541"/>
      <c r="ARF82" s="541"/>
      <c r="ARG82" s="541"/>
      <c r="ARH82" s="541"/>
      <c r="ARI82" s="541"/>
      <c r="ARJ82" s="541"/>
      <c r="ARK82" s="541"/>
      <c r="ARL82" s="541"/>
      <c r="ARM82" s="541"/>
      <c r="ARN82" s="541"/>
      <c r="ARO82" s="541"/>
      <c r="ARP82" s="541"/>
      <c r="ARQ82" s="541"/>
      <c r="ARR82" s="541"/>
      <c r="ARS82" s="541"/>
      <c r="ART82" s="541"/>
      <c r="ARU82" s="541"/>
    </row>
    <row r="83" spans="1:1165" s="658" customFormat="1">
      <c r="A83" s="613" t="s">
        <v>246</v>
      </c>
      <c r="B83" s="578" t="s">
        <v>110</v>
      </c>
      <c r="C83" s="659">
        <v>239</v>
      </c>
      <c r="D83" s="659">
        <v>2115</v>
      </c>
      <c r="E83" s="581">
        <v>0</v>
      </c>
      <c r="F83" s="581">
        <v>0</v>
      </c>
      <c r="G83" s="581">
        <v>0</v>
      </c>
      <c r="H83" s="581">
        <v>0</v>
      </c>
      <c r="I83" s="581">
        <v>0</v>
      </c>
      <c r="J83" s="581">
        <v>0</v>
      </c>
      <c r="K83" s="581">
        <v>0</v>
      </c>
      <c r="L83" s="581">
        <v>0</v>
      </c>
      <c r="M83" s="581">
        <v>0</v>
      </c>
      <c r="N83" s="581">
        <v>0</v>
      </c>
      <c r="O83" s="581">
        <v>0</v>
      </c>
      <c r="P83" s="581">
        <v>0</v>
      </c>
      <c r="Q83" s="581">
        <v>0</v>
      </c>
      <c r="R83" s="581">
        <v>0</v>
      </c>
      <c r="S83" s="581">
        <v>0</v>
      </c>
      <c r="T83" s="581">
        <v>0</v>
      </c>
      <c r="U83" s="581">
        <v>0</v>
      </c>
      <c r="V83" s="581">
        <v>0</v>
      </c>
      <c r="W83" s="581">
        <v>0</v>
      </c>
      <c r="X83" s="581">
        <v>0</v>
      </c>
      <c r="Y83" s="581">
        <v>0</v>
      </c>
      <c r="Z83" s="581">
        <v>0</v>
      </c>
      <c r="AA83" s="581">
        <v>0</v>
      </c>
      <c r="AB83" s="581">
        <v>0</v>
      </c>
      <c r="AC83" s="581">
        <v>0</v>
      </c>
      <c r="AD83" s="581">
        <v>0</v>
      </c>
      <c r="AE83" s="581">
        <v>0</v>
      </c>
      <c r="AF83" s="581">
        <v>0</v>
      </c>
      <c r="AG83" s="581">
        <v>0</v>
      </c>
      <c r="AH83" s="581">
        <v>0</v>
      </c>
      <c r="AI83" s="581">
        <v>0</v>
      </c>
      <c r="AJ83" s="581">
        <v>0</v>
      </c>
      <c r="AK83" s="581">
        <v>0</v>
      </c>
      <c r="AL83" s="581">
        <v>0</v>
      </c>
      <c r="AM83" s="581">
        <v>0</v>
      </c>
      <c r="AN83" s="581">
        <v>0</v>
      </c>
      <c r="AO83" s="581">
        <v>0</v>
      </c>
      <c r="AP83" s="581">
        <v>0</v>
      </c>
      <c r="AQ83" s="581">
        <v>0</v>
      </c>
      <c r="AR83" s="581">
        <v>0</v>
      </c>
      <c r="AS83" s="581">
        <v>0</v>
      </c>
      <c r="AT83" s="581">
        <v>0</v>
      </c>
      <c r="AU83" s="581">
        <v>0</v>
      </c>
      <c r="AV83" s="581">
        <v>0</v>
      </c>
      <c r="AW83" s="581">
        <v>0</v>
      </c>
      <c r="AX83" s="581">
        <v>0</v>
      </c>
      <c r="AY83" s="581">
        <v>0</v>
      </c>
      <c r="AZ83" s="581">
        <v>0</v>
      </c>
      <c r="BA83" s="578"/>
      <c r="BB83" s="616"/>
      <c r="BC83" s="616"/>
      <c r="BD83" s="616"/>
      <c r="BE83" s="616"/>
      <c r="BF83" s="616"/>
      <c r="BG83" s="616"/>
      <c r="BH83" s="616"/>
      <c r="BI83" s="578"/>
      <c r="BJ83" s="616">
        <f t="shared" si="8"/>
        <v>239</v>
      </c>
      <c r="BK83" s="581">
        <f t="shared" si="9"/>
        <v>2115</v>
      </c>
      <c r="BL83" s="541"/>
      <c r="BM83" s="42"/>
      <c r="BN83" s="541"/>
      <c r="BO83" s="624"/>
      <c r="BP83" s="624"/>
      <c r="BQ83" s="541"/>
      <c r="BR83" s="541"/>
      <c r="BS83" s="541"/>
      <c r="BT83" s="541"/>
      <c r="BU83" s="541"/>
      <c r="BV83" s="541"/>
      <c r="BW83" s="541"/>
      <c r="BX83" s="541"/>
      <c r="BY83" s="541"/>
      <c r="BZ83" s="541"/>
      <c r="CA83" s="541"/>
      <c r="CB83" s="541"/>
      <c r="CC83" s="541"/>
      <c r="CD83" s="541"/>
      <c r="CE83" s="541"/>
      <c r="CF83" s="541"/>
      <c r="CG83" s="541"/>
      <c r="CH83" s="541"/>
      <c r="CI83" s="541"/>
      <c r="CJ83" s="541"/>
      <c r="CK83" s="541"/>
      <c r="CL83" s="541"/>
      <c r="CM83" s="541"/>
      <c r="CN83" s="541"/>
      <c r="CO83" s="541"/>
      <c r="CP83" s="541"/>
      <c r="CQ83" s="541"/>
      <c r="CR83" s="541"/>
      <c r="CS83" s="541"/>
      <c r="CT83" s="541"/>
      <c r="CU83" s="541"/>
      <c r="CV83" s="541"/>
      <c r="CW83" s="541"/>
      <c r="CX83" s="541"/>
      <c r="CY83" s="541"/>
      <c r="CZ83" s="541"/>
      <c r="DA83" s="541"/>
      <c r="DB83" s="541"/>
      <c r="DC83" s="541"/>
      <c r="DD83" s="541"/>
      <c r="DE83" s="541"/>
      <c r="DF83" s="541"/>
      <c r="DG83" s="541"/>
      <c r="DH83" s="541"/>
      <c r="DI83" s="541"/>
      <c r="DJ83" s="541"/>
      <c r="DK83" s="541"/>
      <c r="DL83" s="541"/>
      <c r="DM83" s="541"/>
      <c r="DN83" s="541"/>
      <c r="DO83" s="541"/>
      <c r="DP83" s="541"/>
      <c r="DQ83" s="541"/>
      <c r="DR83" s="541"/>
      <c r="DS83" s="541"/>
      <c r="DT83" s="541"/>
      <c r="DU83" s="541"/>
      <c r="DV83" s="541"/>
      <c r="DW83" s="541"/>
      <c r="DX83" s="541"/>
      <c r="DY83" s="541"/>
      <c r="DZ83" s="541"/>
      <c r="EA83" s="541"/>
      <c r="EB83" s="541"/>
      <c r="EC83" s="541"/>
      <c r="ED83" s="541"/>
      <c r="EE83" s="541"/>
      <c r="EF83" s="541"/>
      <c r="EG83" s="541"/>
      <c r="EH83" s="541"/>
      <c r="EI83" s="541"/>
      <c r="EJ83" s="541"/>
      <c r="EK83" s="541"/>
      <c r="EL83" s="541"/>
      <c r="EM83" s="541"/>
      <c r="EN83" s="541"/>
      <c r="EO83" s="541"/>
      <c r="EP83" s="541"/>
      <c r="EQ83" s="541"/>
      <c r="ER83" s="541"/>
      <c r="ES83" s="541"/>
      <c r="ET83" s="541"/>
      <c r="EU83" s="541"/>
      <c r="EV83" s="541"/>
      <c r="EW83" s="541"/>
      <c r="EX83" s="541"/>
      <c r="EY83" s="541"/>
      <c r="EZ83" s="541"/>
      <c r="FA83" s="541"/>
      <c r="FB83" s="541"/>
      <c r="FC83" s="541"/>
      <c r="FD83" s="541"/>
      <c r="FE83" s="541"/>
      <c r="FF83" s="541"/>
      <c r="FG83" s="541"/>
      <c r="FH83" s="541"/>
      <c r="FI83" s="541"/>
      <c r="FJ83" s="541"/>
      <c r="FK83" s="541"/>
      <c r="FL83" s="541"/>
      <c r="FM83" s="541"/>
      <c r="FN83" s="541"/>
      <c r="FO83" s="541"/>
      <c r="FP83" s="541"/>
      <c r="FQ83" s="541"/>
      <c r="FR83" s="541"/>
      <c r="FS83" s="541"/>
      <c r="FT83" s="541"/>
      <c r="FU83" s="541"/>
      <c r="FV83" s="541"/>
      <c r="FW83" s="541"/>
      <c r="FX83" s="541"/>
      <c r="FY83" s="541"/>
      <c r="FZ83" s="541"/>
      <c r="GA83" s="541"/>
      <c r="GB83" s="541"/>
      <c r="GC83" s="541"/>
      <c r="GD83" s="541"/>
      <c r="GE83" s="541"/>
      <c r="GF83" s="541"/>
      <c r="GG83" s="541"/>
      <c r="GH83" s="541"/>
      <c r="GI83" s="541"/>
      <c r="GJ83" s="541"/>
      <c r="GK83" s="541"/>
      <c r="GL83" s="541"/>
      <c r="GM83" s="541"/>
      <c r="GN83" s="541"/>
      <c r="GO83" s="541"/>
      <c r="GP83" s="541"/>
      <c r="GQ83" s="541"/>
      <c r="GR83" s="541"/>
      <c r="GS83" s="541"/>
      <c r="GT83" s="541"/>
      <c r="GU83" s="541"/>
      <c r="GV83" s="541"/>
      <c r="GW83" s="541"/>
      <c r="GX83" s="541"/>
      <c r="GY83" s="541"/>
      <c r="GZ83" s="541"/>
      <c r="HA83" s="541"/>
      <c r="HB83" s="541"/>
      <c r="HC83" s="541"/>
      <c r="HD83" s="541"/>
      <c r="HE83" s="541"/>
      <c r="HF83" s="541"/>
      <c r="HG83" s="541"/>
      <c r="HH83" s="541"/>
      <c r="HI83" s="541"/>
      <c r="HJ83" s="541"/>
      <c r="HK83" s="541"/>
      <c r="HL83" s="541"/>
      <c r="HM83" s="541"/>
      <c r="HN83" s="541"/>
      <c r="HO83" s="541"/>
      <c r="HP83" s="541"/>
      <c r="HQ83" s="541"/>
      <c r="HR83" s="541"/>
      <c r="HS83" s="541"/>
      <c r="HT83" s="541"/>
      <c r="HU83" s="541"/>
      <c r="HV83" s="541"/>
      <c r="HW83" s="541"/>
      <c r="HX83" s="541"/>
      <c r="HY83" s="541"/>
      <c r="HZ83" s="541"/>
      <c r="IA83" s="541"/>
      <c r="IB83" s="541"/>
      <c r="IC83" s="541"/>
      <c r="ID83" s="541"/>
      <c r="IE83" s="541"/>
      <c r="IF83" s="541"/>
      <c r="IG83" s="541"/>
      <c r="IH83" s="541"/>
      <c r="II83" s="541"/>
      <c r="IJ83" s="541"/>
      <c r="IK83" s="541"/>
      <c r="IL83" s="541"/>
      <c r="IM83" s="541"/>
      <c r="IN83" s="541"/>
      <c r="IO83" s="541"/>
      <c r="IP83" s="541"/>
      <c r="IQ83" s="541"/>
      <c r="IR83" s="541"/>
      <c r="IS83" s="541"/>
      <c r="IT83" s="541"/>
      <c r="IU83" s="541"/>
      <c r="IV83" s="541"/>
      <c r="IW83" s="541"/>
      <c r="IX83" s="541"/>
      <c r="IY83" s="541"/>
      <c r="IZ83" s="541"/>
      <c r="JA83" s="541"/>
      <c r="JB83" s="541"/>
      <c r="JC83" s="541"/>
      <c r="JD83" s="541"/>
      <c r="JE83" s="541"/>
      <c r="JF83" s="541"/>
      <c r="JG83" s="541"/>
      <c r="JH83" s="541"/>
      <c r="JI83" s="541"/>
      <c r="JJ83" s="541"/>
      <c r="JK83" s="541"/>
      <c r="JL83" s="541"/>
      <c r="JM83" s="541"/>
      <c r="JN83" s="541"/>
      <c r="JO83" s="541"/>
      <c r="JP83" s="541"/>
      <c r="JQ83" s="541"/>
      <c r="JR83" s="541"/>
      <c r="JS83" s="541"/>
      <c r="JT83" s="541"/>
      <c r="JU83" s="541"/>
      <c r="JV83" s="541"/>
      <c r="JW83" s="541"/>
      <c r="JX83" s="541"/>
      <c r="JY83" s="541"/>
      <c r="JZ83" s="541"/>
      <c r="KA83" s="541"/>
      <c r="KB83" s="541"/>
      <c r="KC83" s="541"/>
      <c r="KD83" s="541"/>
      <c r="KE83" s="541"/>
      <c r="KF83" s="541"/>
      <c r="KG83" s="541"/>
      <c r="KH83" s="541"/>
      <c r="KI83" s="541"/>
      <c r="KJ83" s="541"/>
      <c r="KK83" s="541"/>
      <c r="KL83" s="541"/>
      <c r="KM83" s="541"/>
      <c r="KN83" s="541"/>
      <c r="KO83" s="541"/>
      <c r="KP83" s="541"/>
      <c r="KQ83" s="541"/>
      <c r="KR83" s="541"/>
      <c r="KS83" s="541"/>
      <c r="KT83" s="541"/>
      <c r="KU83" s="541"/>
      <c r="KV83" s="541"/>
      <c r="KW83" s="541"/>
      <c r="KX83" s="541"/>
      <c r="KY83" s="541"/>
      <c r="KZ83" s="541"/>
      <c r="LA83" s="541"/>
      <c r="LB83" s="541"/>
      <c r="LC83" s="541"/>
      <c r="LD83" s="541"/>
      <c r="LE83" s="541"/>
      <c r="LF83" s="541"/>
      <c r="LG83" s="541"/>
      <c r="LH83" s="541"/>
      <c r="LI83" s="541"/>
      <c r="LJ83" s="541"/>
      <c r="LK83" s="541"/>
      <c r="LL83" s="541"/>
      <c r="LM83" s="541"/>
      <c r="LN83" s="541"/>
      <c r="LO83" s="541"/>
      <c r="LP83" s="541"/>
      <c r="LQ83" s="541"/>
      <c r="LR83" s="541"/>
      <c r="LS83" s="541"/>
      <c r="LT83" s="541"/>
      <c r="LU83" s="541"/>
      <c r="LV83" s="541"/>
      <c r="LW83" s="541"/>
      <c r="LX83" s="541"/>
      <c r="LY83" s="541"/>
      <c r="LZ83" s="541"/>
      <c r="MA83" s="541"/>
      <c r="MB83" s="541"/>
      <c r="MC83" s="541"/>
      <c r="MD83" s="541"/>
      <c r="ME83" s="541"/>
      <c r="MF83" s="541"/>
      <c r="MG83" s="541"/>
      <c r="MH83" s="541"/>
      <c r="MI83" s="541"/>
      <c r="MJ83" s="541"/>
      <c r="MK83" s="541"/>
      <c r="ML83" s="541"/>
      <c r="MM83" s="541"/>
      <c r="MN83" s="541"/>
      <c r="MO83" s="541"/>
      <c r="MP83" s="541"/>
      <c r="MQ83" s="541"/>
      <c r="MR83" s="541"/>
      <c r="MS83" s="541"/>
      <c r="MT83" s="541"/>
      <c r="MU83" s="541"/>
      <c r="MV83" s="541"/>
      <c r="MW83" s="541"/>
      <c r="MX83" s="541"/>
      <c r="MY83" s="541"/>
      <c r="MZ83" s="541"/>
      <c r="NA83" s="541"/>
      <c r="NB83" s="541"/>
      <c r="NC83" s="541"/>
      <c r="ND83" s="541"/>
      <c r="NE83" s="541"/>
      <c r="NF83" s="541"/>
      <c r="NG83" s="541"/>
      <c r="NH83" s="541"/>
      <c r="NI83" s="541"/>
      <c r="NJ83" s="541"/>
      <c r="NK83" s="541"/>
      <c r="NL83" s="541"/>
      <c r="NM83" s="541"/>
      <c r="NN83" s="541"/>
      <c r="NO83" s="541"/>
      <c r="NP83" s="541"/>
      <c r="NQ83" s="541"/>
      <c r="NR83" s="541"/>
      <c r="NS83" s="541"/>
      <c r="NT83" s="541"/>
      <c r="NU83" s="541"/>
      <c r="NV83" s="541"/>
      <c r="NW83" s="541"/>
      <c r="NX83" s="541"/>
      <c r="NY83" s="541"/>
      <c r="NZ83" s="541"/>
      <c r="OA83" s="541"/>
      <c r="OB83" s="541"/>
      <c r="OC83" s="541"/>
      <c r="OD83" s="541"/>
      <c r="OE83" s="541"/>
      <c r="OF83" s="541"/>
      <c r="OG83" s="541"/>
      <c r="OH83" s="541"/>
      <c r="OI83" s="541"/>
      <c r="OJ83" s="541"/>
      <c r="OK83" s="541"/>
      <c r="OL83" s="541"/>
      <c r="OM83" s="541"/>
      <c r="ON83" s="541"/>
      <c r="OO83" s="541"/>
      <c r="OP83" s="541"/>
      <c r="OQ83" s="541"/>
      <c r="OR83" s="541"/>
      <c r="OS83" s="541"/>
      <c r="OT83" s="541"/>
      <c r="OU83" s="541"/>
      <c r="OV83" s="541"/>
      <c r="OW83" s="541"/>
      <c r="OX83" s="541"/>
      <c r="OY83" s="541"/>
      <c r="OZ83" s="541"/>
      <c r="PA83" s="541"/>
      <c r="PB83" s="541"/>
      <c r="PC83" s="541"/>
      <c r="PD83" s="541"/>
      <c r="PE83" s="541"/>
      <c r="PF83" s="541"/>
      <c r="PG83" s="541"/>
      <c r="PH83" s="541"/>
      <c r="PI83" s="541"/>
      <c r="PJ83" s="541"/>
      <c r="PK83" s="541"/>
      <c r="PL83" s="541"/>
      <c r="PM83" s="541"/>
      <c r="PN83" s="541"/>
      <c r="PO83" s="541"/>
      <c r="PP83" s="541"/>
      <c r="PQ83" s="541"/>
      <c r="PR83" s="541"/>
      <c r="PS83" s="541"/>
      <c r="PT83" s="541"/>
      <c r="PU83" s="541"/>
      <c r="PV83" s="541"/>
      <c r="PW83" s="541"/>
      <c r="PX83" s="541"/>
      <c r="PY83" s="541"/>
      <c r="PZ83" s="541"/>
      <c r="QA83" s="541"/>
      <c r="QB83" s="541"/>
      <c r="QC83" s="541"/>
      <c r="QD83" s="541"/>
      <c r="QE83" s="541"/>
      <c r="QF83" s="541"/>
      <c r="QG83" s="541"/>
      <c r="QH83" s="541"/>
      <c r="QI83" s="541"/>
      <c r="QJ83" s="541"/>
      <c r="QK83" s="541"/>
      <c r="QL83" s="541"/>
      <c r="QM83" s="541"/>
      <c r="QN83" s="541"/>
      <c r="QO83" s="541"/>
      <c r="QP83" s="541"/>
      <c r="QQ83" s="541"/>
      <c r="QR83" s="541"/>
      <c r="QS83" s="541"/>
      <c r="QT83" s="541"/>
      <c r="QU83" s="541"/>
      <c r="QV83" s="541"/>
      <c r="QW83" s="541"/>
      <c r="QX83" s="541"/>
      <c r="QY83" s="541"/>
      <c r="QZ83" s="541"/>
      <c r="RA83" s="541"/>
      <c r="RB83" s="541"/>
      <c r="RC83" s="541"/>
      <c r="RD83" s="541"/>
      <c r="RE83" s="541"/>
      <c r="RF83" s="541"/>
      <c r="RG83" s="541"/>
      <c r="RH83" s="541"/>
      <c r="RI83" s="541"/>
      <c r="RJ83" s="541"/>
      <c r="RK83" s="541"/>
      <c r="RL83" s="541"/>
      <c r="RM83" s="541"/>
      <c r="RN83" s="541"/>
      <c r="RO83" s="541"/>
      <c r="RP83" s="541"/>
      <c r="RQ83" s="541"/>
      <c r="RR83" s="541"/>
      <c r="RS83" s="541"/>
      <c r="RT83" s="541"/>
      <c r="RU83" s="541"/>
      <c r="RV83" s="541"/>
      <c r="RW83" s="541"/>
      <c r="RX83" s="541"/>
      <c r="RY83" s="541"/>
      <c r="RZ83" s="541"/>
      <c r="SA83" s="541"/>
      <c r="SB83" s="541"/>
      <c r="SC83" s="541"/>
      <c r="SD83" s="541"/>
      <c r="SE83" s="541"/>
      <c r="SF83" s="541"/>
      <c r="SG83" s="541"/>
      <c r="SH83" s="541"/>
      <c r="SI83" s="541"/>
      <c r="SJ83" s="541"/>
      <c r="SK83" s="541"/>
      <c r="SL83" s="541"/>
      <c r="SM83" s="541"/>
      <c r="SN83" s="541"/>
      <c r="SO83" s="541"/>
      <c r="SP83" s="541"/>
      <c r="SQ83" s="541"/>
      <c r="SR83" s="541"/>
      <c r="SS83" s="541"/>
      <c r="ST83" s="541"/>
      <c r="SU83" s="541"/>
      <c r="SV83" s="541"/>
      <c r="SW83" s="541"/>
      <c r="SX83" s="541"/>
      <c r="SY83" s="541"/>
      <c r="SZ83" s="541"/>
      <c r="TA83" s="541"/>
      <c r="TB83" s="541"/>
      <c r="TC83" s="541"/>
      <c r="TD83" s="541"/>
      <c r="TE83" s="541"/>
      <c r="TF83" s="541"/>
      <c r="TG83" s="541"/>
      <c r="TH83" s="541"/>
      <c r="TI83" s="541"/>
      <c r="TJ83" s="541"/>
      <c r="TK83" s="541"/>
      <c r="TL83" s="541"/>
      <c r="TM83" s="541"/>
      <c r="TN83" s="541"/>
      <c r="TO83" s="541"/>
      <c r="TP83" s="541"/>
      <c r="TQ83" s="541"/>
      <c r="TR83" s="541"/>
      <c r="TS83" s="541"/>
      <c r="TT83" s="541"/>
      <c r="TU83" s="541"/>
      <c r="TV83" s="541"/>
      <c r="TW83" s="541"/>
      <c r="TX83" s="541"/>
      <c r="TY83" s="541"/>
      <c r="TZ83" s="541"/>
      <c r="UA83" s="541"/>
      <c r="UB83" s="541"/>
      <c r="UC83" s="541"/>
      <c r="UD83" s="541"/>
      <c r="UE83" s="541"/>
      <c r="UF83" s="541"/>
      <c r="UG83" s="541"/>
      <c r="UH83" s="541"/>
      <c r="UI83" s="541"/>
      <c r="UJ83" s="541"/>
      <c r="UK83" s="541"/>
      <c r="UL83" s="541"/>
      <c r="UM83" s="541"/>
      <c r="UN83" s="541"/>
      <c r="UO83" s="541"/>
      <c r="UP83" s="541"/>
      <c r="UQ83" s="541"/>
      <c r="UR83" s="541"/>
      <c r="US83" s="541"/>
      <c r="UT83" s="541"/>
      <c r="UU83" s="541"/>
      <c r="UV83" s="541"/>
      <c r="UW83" s="541"/>
      <c r="UX83" s="541"/>
      <c r="UY83" s="541"/>
      <c r="UZ83" s="541"/>
      <c r="VA83" s="541"/>
      <c r="VB83" s="541"/>
      <c r="VC83" s="541"/>
      <c r="VD83" s="541"/>
      <c r="VE83" s="541"/>
      <c r="VF83" s="541"/>
      <c r="VG83" s="541"/>
      <c r="VH83" s="541"/>
      <c r="VI83" s="541"/>
      <c r="VJ83" s="541"/>
      <c r="VK83" s="541"/>
      <c r="VL83" s="541"/>
      <c r="VM83" s="541"/>
      <c r="VN83" s="541"/>
      <c r="VO83" s="541"/>
      <c r="VP83" s="541"/>
      <c r="VQ83" s="541"/>
      <c r="VR83" s="541"/>
      <c r="VS83" s="541"/>
      <c r="VT83" s="541"/>
      <c r="VU83" s="541"/>
      <c r="VV83" s="541"/>
      <c r="VW83" s="541"/>
      <c r="VX83" s="541"/>
      <c r="VY83" s="541"/>
      <c r="VZ83" s="541"/>
      <c r="WA83" s="541"/>
      <c r="WB83" s="541"/>
      <c r="WC83" s="541"/>
      <c r="WD83" s="541"/>
      <c r="WE83" s="541"/>
      <c r="WF83" s="541"/>
      <c r="WG83" s="541"/>
      <c r="WH83" s="541"/>
      <c r="WI83" s="541"/>
      <c r="WJ83" s="541"/>
      <c r="WK83" s="541"/>
      <c r="WL83" s="541"/>
      <c r="WM83" s="541"/>
      <c r="WN83" s="541"/>
      <c r="WO83" s="541"/>
      <c r="WP83" s="541"/>
      <c r="WQ83" s="541"/>
      <c r="WR83" s="541"/>
      <c r="WS83" s="541"/>
      <c r="WT83" s="541"/>
      <c r="WU83" s="541"/>
      <c r="WV83" s="541"/>
      <c r="WW83" s="541"/>
      <c r="WX83" s="541"/>
      <c r="WY83" s="541"/>
      <c r="WZ83" s="541"/>
      <c r="XA83" s="541"/>
      <c r="XB83" s="541"/>
      <c r="XC83" s="541"/>
      <c r="XD83" s="541"/>
      <c r="XE83" s="541"/>
      <c r="XF83" s="541"/>
      <c r="XG83" s="541"/>
      <c r="XH83" s="541"/>
      <c r="XI83" s="541"/>
      <c r="XJ83" s="541"/>
      <c r="XK83" s="541"/>
      <c r="XL83" s="541"/>
      <c r="XM83" s="541"/>
      <c r="XN83" s="541"/>
      <c r="XO83" s="541"/>
      <c r="XP83" s="541"/>
      <c r="XQ83" s="541"/>
      <c r="XR83" s="541"/>
      <c r="XS83" s="541"/>
      <c r="XT83" s="541"/>
      <c r="XU83" s="541"/>
      <c r="XV83" s="541"/>
      <c r="XW83" s="541"/>
      <c r="XX83" s="541"/>
      <c r="XY83" s="541"/>
      <c r="XZ83" s="541"/>
      <c r="YA83" s="541"/>
      <c r="YB83" s="541"/>
      <c r="YC83" s="541"/>
      <c r="YD83" s="541"/>
      <c r="YE83" s="541"/>
      <c r="YF83" s="541"/>
      <c r="YG83" s="541"/>
      <c r="YH83" s="541"/>
      <c r="YI83" s="541"/>
      <c r="YJ83" s="541"/>
      <c r="YK83" s="541"/>
      <c r="YL83" s="541"/>
      <c r="YM83" s="541"/>
      <c r="YN83" s="541"/>
      <c r="YO83" s="541"/>
      <c r="YP83" s="541"/>
      <c r="YQ83" s="541"/>
      <c r="YR83" s="541"/>
      <c r="YS83" s="541"/>
      <c r="YT83" s="541"/>
      <c r="YU83" s="541"/>
      <c r="YV83" s="541"/>
      <c r="YW83" s="541"/>
      <c r="YX83" s="541"/>
      <c r="YY83" s="541"/>
      <c r="YZ83" s="541"/>
      <c r="ZA83" s="541"/>
      <c r="ZB83" s="541"/>
      <c r="ZC83" s="541"/>
      <c r="ZD83" s="541"/>
      <c r="ZE83" s="541"/>
      <c r="ZF83" s="541"/>
      <c r="ZG83" s="541"/>
      <c r="ZH83" s="541"/>
      <c r="ZI83" s="541"/>
      <c r="ZJ83" s="541"/>
      <c r="ZK83" s="541"/>
      <c r="ZL83" s="541"/>
      <c r="ZM83" s="541"/>
      <c r="ZN83" s="541"/>
      <c r="ZO83" s="541"/>
      <c r="ZP83" s="541"/>
      <c r="ZQ83" s="541"/>
      <c r="ZR83" s="541"/>
      <c r="ZS83" s="541"/>
      <c r="ZT83" s="541"/>
      <c r="ZU83" s="541"/>
      <c r="ZV83" s="541"/>
      <c r="ZW83" s="541"/>
      <c r="ZX83" s="541"/>
      <c r="ZY83" s="541"/>
      <c r="ZZ83" s="541"/>
      <c r="AAA83" s="541"/>
      <c r="AAB83" s="541"/>
      <c r="AAC83" s="541"/>
      <c r="AAD83" s="541"/>
      <c r="AAE83" s="541"/>
      <c r="AAF83" s="541"/>
      <c r="AAG83" s="541"/>
      <c r="AAH83" s="541"/>
      <c r="AAI83" s="541"/>
      <c r="AAJ83" s="541"/>
      <c r="AAK83" s="541"/>
      <c r="AAL83" s="541"/>
      <c r="AAM83" s="541"/>
      <c r="AAN83" s="541"/>
      <c r="AAO83" s="541"/>
      <c r="AAP83" s="541"/>
      <c r="AAQ83" s="541"/>
      <c r="AAR83" s="541"/>
      <c r="AAS83" s="541"/>
      <c r="AAT83" s="541"/>
      <c r="AAU83" s="541"/>
      <c r="AAV83" s="541"/>
      <c r="AAW83" s="541"/>
      <c r="AAX83" s="541"/>
      <c r="AAY83" s="541"/>
      <c r="AAZ83" s="541"/>
      <c r="ABA83" s="541"/>
      <c r="ABB83" s="541"/>
      <c r="ABC83" s="541"/>
      <c r="ABD83" s="541"/>
      <c r="ABE83" s="541"/>
      <c r="ABF83" s="541"/>
      <c r="ABG83" s="541"/>
      <c r="ABH83" s="541"/>
      <c r="ABI83" s="541"/>
      <c r="ABJ83" s="541"/>
      <c r="ABK83" s="541"/>
      <c r="ABL83" s="541"/>
      <c r="ABM83" s="541"/>
      <c r="ABN83" s="541"/>
      <c r="ABO83" s="541"/>
      <c r="ABP83" s="541"/>
      <c r="ABQ83" s="541"/>
      <c r="ABR83" s="541"/>
      <c r="ABS83" s="541"/>
      <c r="ABT83" s="541"/>
      <c r="ABU83" s="541"/>
      <c r="ABV83" s="541"/>
      <c r="ABW83" s="541"/>
      <c r="ABX83" s="541"/>
      <c r="ABY83" s="541"/>
      <c r="ABZ83" s="541"/>
      <c r="ACA83" s="541"/>
      <c r="ACB83" s="541"/>
      <c r="ACC83" s="541"/>
      <c r="ACD83" s="541"/>
      <c r="ACE83" s="541"/>
      <c r="ACF83" s="541"/>
      <c r="ACG83" s="541"/>
      <c r="ACH83" s="541"/>
      <c r="ACI83" s="541"/>
      <c r="ACJ83" s="541"/>
      <c r="ACK83" s="541"/>
      <c r="ACL83" s="541"/>
      <c r="ACM83" s="541"/>
      <c r="ACN83" s="541"/>
      <c r="ACO83" s="541"/>
      <c r="ACP83" s="541"/>
      <c r="ACQ83" s="541"/>
      <c r="ACR83" s="541"/>
      <c r="ACS83" s="541"/>
      <c r="ACT83" s="541"/>
      <c r="ACU83" s="541"/>
      <c r="ACV83" s="541"/>
      <c r="ACW83" s="541"/>
      <c r="ACX83" s="541"/>
      <c r="ACY83" s="541"/>
      <c r="ACZ83" s="541"/>
      <c r="ADA83" s="541"/>
      <c r="ADB83" s="541"/>
      <c r="ADC83" s="541"/>
      <c r="ADD83" s="541"/>
      <c r="ADE83" s="541"/>
      <c r="ADF83" s="541"/>
      <c r="ADG83" s="541"/>
      <c r="ADH83" s="541"/>
      <c r="ADI83" s="541"/>
      <c r="ADJ83" s="541"/>
      <c r="ADK83" s="541"/>
      <c r="ADL83" s="541"/>
      <c r="ADM83" s="541"/>
      <c r="ADN83" s="541"/>
      <c r="ADO83" s="541"/>
      <c r="ADP83" s="541"/>
      <c r="ADQ83" s="541"/>
      <c r="ADR83" s="541"/>
      <c r="ADS83" s="541"/>
      <c r="ADT83" s="541"/>
      <c r="ADU83" s="541"/>
      <c r="ADV83" s="541"/>
      <c r="ADW83" s="541"/>
      <c r="ADX83" s="541"/>
      <c r="ADY83" s="541"/>
      <c r="ADZ83" s="541"/>
      <c r="AEA83" s="541"/>
      <c r="AEB83" s="541"/>
      <c r="AEC83" s="541"/>
      <c r="AED83" s="541"/>
      <c r="AEE83" s="541"/>
      <c r="AEF83" s="541"/>
      <c r="AEG83" s="541"/>
      <c r="AEH83" s="541"/>
      <c r="AEI83" s="541"/>
      <c r="AEJ83" s="541"/>
      <c r="AEK83" s="541"/>
      <c r="AEL83" s="541"/>
      <c r="AEM83" s="541"/>
      <c r="AEN83" s="541"/>
      <c r="AEO83" s="541"/>
      <c r="AEP83" s="541"/>
      <c r="AEQ83" s="541"/>
      <c r="AER83" s="541"/>
      <c r="AES83" s="541"/>
      <c r="AET83" s="541"/>
      <c r="AEU83" s="541"/>
      <c r="AEV83" s="541"/>
      <c r="AEW83" s="541"/>
      <c r="AEX83" s="541"/>
      <c r="AEY83" s="541"/>
      <c r="AEZ83" s="541"/>
      <c r="AFA83" s="541"/>
      <c r="AFB83" s="541"/>
      <c r="AFC83" s="541"/>
      <c r="AFD83" s="541"/>
      <c r="AFE83" s="541"/>
      <c r="AFF83" s="541"/>
      <c r="AFG83" s="541"/>
      <c r="AFH83" s="541"/>
      <c r="AFI83" s="541"/>
      <c r="AFJ83" s="541"/>
      <c r="AFK83" s="541"/>
      <c r="AFL83" s="541"/>
      <c r="AFM83" s="541"/>
      <c r="AFN83" s="541"/>
      <c r="AFO83" s="541"/>
      <c r="AFP83" s="541"/>
      <c r="AFQ83" s="541"/>
      <c r="AFR83" s="541"/>
      <c r="AFS83" s="541"/>
      <c r="AFT83" s="541"/>
      <c r="AFU83" s="541"/>
      <c r="AFV83" s="541"/>
      <c r="AFW83" s="541"/>
      <c r="AFX83" s="541"/>
      <c r="AFY83" s="541"/>
      <c r="AFZ83" s="541"/>
      <c r="AGA83" s="541"/>
      <c r="AGB83" s="541"/>
      <c r="AGC83" s="541"/>
      <c r="AGD83" s="541"/>
      <c r="AGE83" s="541"/>
      <c r="AGF83" s="541"/>
      <c r="AGG83" s="541"/>
      <c r="AGH83" s="541"/>
      <c r="AGI83" s="541"/>
      <c r="AGJ83" s="541"/>
      <c r="AGK83" s="541"/>
      <c r="AGL83" s="541"/>
      <c r="AGM83" s="541"/>
      <c r="AGN83" s="541"/>
      <c r="AGO83" s="541"/>
      <c r="AGP83" s="541"/>
      <c r="AGQ83" s="541"/>
      <c r="AGR83" s="541"/>
      <c r="AGS83" s="541"/>
      <c r="AGT83" s="541"/>
      <c r="AGU83" s="541"/>
      <c r="AGV83" s="541"/>
      <c r="AGW83" s="541"/>
      <c r="AGX83" s="541"/>
      <c r="AGY83" s="541"/>
      <c r="AGZ83" s="541"/>
      <c r="AHA83" s="541"/>
      <c r="AHB83" s="541"/>
      <c r="AHC83" s="541"/>
      <c r="AHD83" s="541"/>
      <c r="AHE83" s="541"/>
      <c r="AHF83" s="541"/>
      <c r="AHG83" s="541"/>
      <c r="AHH83" s="541"/>
      <c r="AHI83" s="541"/>
      <c r="AHJ83" s="541"/>
      <c r="AHK83" s="541"/>
      <c r="AHL83" s="541"/>
      <c r="AHM83" s="541"/>
      <c r="AHN83" s="541"/>
      <c r="AHO83" s="541"/>
      <c r="AHP83" s="541"/>
      <c r="AHQ83" s="541"/>
      <c r="AHR83" s="541"/>
      <c r="AHS83" s="541"/>
      <c r="AHT83" s="541"/>
      <c r="AHU83" s="541"/>
      <c r="AHV83" s="541"/>
      <c r="AHW83" s="541"/>
      <c r="AHX83" s="541"/>
      <c r="AHY83" s="541"/>
      <c r="AHZ83" s="541"/>
      <c r="AIA83" s="541"/>
      <c r="AIB83" s="541"/>
      <c r="AIC83" s="541"/>
      <c r="AID83" s="541"/>
      <c r="AIE83" s="541"/>
      <c r="AIF83" s="541"/>
      <c r="AIG83" s="541"/>
      <c r="AIH83" s="541"/>
      <c r="AII83" s="541"/>
      <c r="AIJ83" s="541"/>
      <c r="AIK83" s="541"/>
      <c r="AIL83" s="541"/>
      <c r="AIM83" s="541"/>
      <c r="AIN83" s="541"/>
      <c r="AIO83" s="541"/>
      <c r="AIP83" s="541"/>
      <c r="AIQ83" s="541"/>
      <c r="AIR83" s="541"/>
      <c r="AIS83" s="541"/>
      <c r="AIT83" s="541"/>
      <c r="AIU83" s="541"/>
      <c r="AIV83" s="541"/>
      <c r="AIW83" s="541"/>
      <c r="AIX83" s="541"/>
      <c r="AIY83" s="541"/>
      <c r="AIZ83" s="541"/>
      <c r="AJA83" s="541"/>
      <c r="AJB83" s="541"/>
      <c r="AJC83" s="541"/>
      <c r="AJD83" s="541"/>
      <c r="AJE83" s="541"/>
      <c r="AJF83" s="541"/>
      <c r="AJG83" s="541"/>
      <c r="AJH83" s="541"/>
      <c r="AJI83" s="541"/>
      <c r="AJJ83" s="541"/>
      <c r="AJK83" s="541"/>
      <c r="AJL83" s="541"/>
      <c r="AJM83" s="541"/>
      <c r="AJN83" s="541"/>
      <c r="AJO83" s="541"/>
      <c r="AJP83" s="541"/>
      <c r="AJQ83" s="541"/>
      <c r="AJR83" s="541"/>
      <c r="AJS83" s="541"/>
      <c r="AJT83" s="541"/>
      <c r="AJU83" s="541"/>
      <c r="AJV83" s="541"/>
      <c r="AJW83" s="541"/>
      <c r="AJX83" s="541"/>
      <c r="AJY83" s="541"/>
      <c r="AJZ83" s="541"/>
      <c r="AKA83" s="541"/>
      <c r="AKB83" s="541"/>
      <c r="AKC83" s="541"/>
      <c r="AKD83" s="541"/>
      <c r="AKE83" s="541"/>
      <c r="AKF83" s="541"/>
      <c r="AKG83" s="541"/>
      <c r="AKH83" s="541"/>
      <c r="AKI83" s="541"/>
      <c r="AKJ83" s="541"/>
      <c r="AKK83" s="541"/>
      <c r="AKL83" s="541"/>
      <c r="AKM83" s="541"/>
      <c r="AKN83" s="541"/>
      <c r="AKO83" s="541"/>
      <c r="AKP83" s="541"/>
      <c r="AKQ83" s="541"/>
      <c r="AKR83" s="541"/>
      <c r="AKS83" s="541"/>
      <c r="AKT83" s="541"/>
      <c r="AKU83" s="541"/>
      <c r="AKV83" s="541"/>
      <c r="AKW83" s="541"/>
      <c r="AKX83" s="541"/>
      <c r="AKY83" s="541"/>
      <c r="AKZ83" s="541"/>
      <c r="ALA83" s="541"/>
      <c r="ALB83" s="541"/>
      <c r="ALC83" s="541"/>
      <c r="ALD83" s="541"/>
      <c r="ALE83" s="541"/>
      <c r="ALF83" s="541"/>
      <c r="ALG83" s="541"/>
      <c r="ALH83" s="541"/>
      <c r="ALI83" s="541"/>
      <c r="ALJ83" s="541"/>
      <c r="ALK83" s="541"/>
      <c r="ALL83" s="541"/>
      <c r="ALM83" s="541"/>
      <c r="ALN83" s="541"/>
      <c r="ALO83" s="541"/>
      <c r="ALP83" s="541"/>
      <c r="ALQ83" s="541"/>
      <c r="ALR83" s="541"/>
      <c r="ALS83" s="541"/>
      <c r="ALT83" s="541"/>
      <c r="ALU83" s="541"/>
      <c r="ALV83" s="541"/>
      <c r="ALW83" s="541"/>
      <c r="ALX83" s="541"/>
      <c r="ALY83" s="541"/>
      <c r="ALZ83" s="541"/>
      <c r="AMA83" s="541"/>
      <c r="AMB83" s="541"/>
      <c r="AMC83" s="541"/>
      <c r="AMD83" s="541"/>
      <c r="AME83" s="541"/>
      <c r="AMF83" s="541"/>
      <c r="AMG83" s="541"/>
      <c r="AMH83" s="541"/>
      <c r="AMI83" s="541"/>
      <c r="AMJ83" s="541"/>
      <c r="AMK83" s="541"/>
      <c r="AML83" s="541"/>
      <c r="AMM83" s="541"/>
      <c r="AMN83" s="541"/>
      <c r="AMO83" s="541"/>
      <c r="AMP83" s="541"/>
      <c r="AMQ83" s="541"/>
      <c r="AMR83" s="541"/>
      <c r="AMS83" s="541"/>
      <c r="AMT83" s="541"/>
      <c r="AMU83" s="541"/>
      <c r="AMV83" s="541"/>
      <c r="AMW83" s="541"/>
      <c r="AMX83" s="541"/>
      <c r="AMY83" s="541"/>
      <c r="AMZ83" s="541"/>
      <c r="ANA83" s="541"/>
      <c r="ANB83" s="541"/>
      <c r="ANC83" s="541"/>
      <c r="AND83" s="541"/>
      <c r="ANE83" s="541"/>
      <c r="ANF83" s="541"/>
      <c r="ANG83" s="541"/>
      <c r="ANH83" s="541"/>
      <c r="ANI83" s="541"/>
      <c r="ANJ83" s="541"/>
      <c r="ANK83" s="541"/>
      <c r="ANL83" s="541"/>
      <c r="ANM83" s="541"/>
      <c r="ANN83" s="541"/>
      <c r="ANO83" s="541"/>
      <c r="ANP83" s="541"/>
      <c r="ANQ83" s="541"/>
      <c r="ANR83" s="541"/>
      <c r="ANS83" s="541"/>
      <c r="ANT83" s="541"/>
      <c r="ANU83" s="541"/>
      <c r="ANV83" s="541"/>
      <c r="ANW83" s="541"/>
      <c r="ANX83" s="541"/>
      <c r="ANY83" s="541"/>
      <c r="ANZ83" s="541"/>
      <c r="AOA83" s="541"/>
      <c r="AOB83" s="541"/>
      <c r="AOC83" s="541"/>
      <c r="AOD83" s="541"/>
      <c r="AOE83" s="541"/>
      <c r="AOF83" s="541"/>
      <c r="AOG83" s="541"/>
      <c r="AOH83" s="541"/>
      <c r="AOI83" s="541"/>
      <c r="AOJ83" s="541"/>
      <c r="AOK83" s="541"/>
      <c r="AOL83" s="541"/>
      <c r="AOM83" s="541"/>
      <c r="AON83" s="541"/>
      <c r="AOO83" s="541"/>
      <c r="AOP83" s="541"/>
      <c r="AOQ83" s="541"/>
      <c r="AOR83" s="541"/>
      <c r="AOS83" s="541"/>
      <c r="AOT83" s="541"/>
      <c r="AOU83" s="541"/>
      <c r="AOV83" s="541"/>
      <c r="AOW83" s="541"/>
      <c r="AOX83" s="541"/>
      <c r="AOY83" s="541"/>
      <c r="AOZ83" s="541"/>
      <c r="APA83" s="541"/>
      <c r="APB83" s="541"/>
      <c r="APC83" s="541"/>
      <c r="APD83" s="541"/>
      <c r="APE83" s="541"/>
      <c r="APF83" s="541"/>
      <c r="APG83" s="541"/>
      <c r="APH83" s="541"/>
      <c r="API83" s="541"/>
      <c r="APJ83" s="541"/>
      <c r="APK83" s="541"/>
      <c r="APL83" s="541"/>
      <c r="APM83" s="541"/>
      <c r="APN83" s="541"/>
      <c r="APO83" s="541"/>
      <c r="APP83" s="541"/>
      <c r="APQ83" s="541"/>
      <c r="APR83" s="541"/>
      <c r="APS83" s="541"/>
      <c r="APT83" s="541"/>
      <c r="APU83" s="541"/>
      <c r="APV83" s="541"/>
      <c r="APW83" s="541"/>
      <c r="APX83" s="541"/>
      <c r="APY83" s="541"/>
      <c r="APZ83" s="541"/>
      <c r="AQA83" s="541"/>
      <c r="AQB83" s="541"/>
      <c r="AQC83" s="541"/>
      <c r="AQD83" s="541"/>
      <c r="AQE83" s="541"/>
      <c r="AQF83" s="541"/>
      <c r="AQG83" s="541"/>
      <c r="AQH83" s="541"/>
      <c r="AQI83" s="541"/>
      <c r="AQJ83" s="541"/>
      <c r="AQK83" s="541"/>
      <c r="AQL83" s="541"/>
      <c r="AQM83" s="541"/>
      <c r="AQN83" s="541"/>
      <c r="AQO83" s="541"/>
      <c r="AQP83" s="541"/>
      <c r="AQQ83" s="541"/>
      <c r="AQR83" s="541"/>
      <c r="AQS83" s="541"/>
      <c r="AQT83" s="541"/>
      <c r="AQU83" s="541"/>
      <c r="AQV83" s="541"/>
      <c r="AQW83" s="541"/>
      <c r="AQX83" s="541"/>
      <c r="AQY83" s="541"/>
      <c r="AQZ83" s="541"/>
      <c r="ARA83" s="541"/>
      <c r="ARB83" s="541"/>
      <c r="ARC83" s="541"/>
      <c r="ARD83" s="541"/>
      <c r="ARE83" s="541"/>
      <c r="ARF83" s="541"/>
      <c r="ARG83" s="541"/>
      <c r="ARH83" s="541"/>
      <c r="ARI83" s="541"/>
      <c r="ARJ83" s="541"/>
      <c r="ARK83" s="541"/>
      <c r="ARL83" s="541"/>
      <c r="ARM83" s="541"/>
      <c r="ARN83" s="541"/>
      <c r="ARO83" s="541"/>
      <c r="ARP83" s="541"/>
      <c r="ARQ83" s="541"/>
      <c r="ARR83" s="541"/>
      <c r="ARS83" s="541"/>
      <c r="ART83" s="541"/>
      <c r="ARU83" s="541"/>
    </row>
    <row r="84" spans="1:1165" s="658" customFormat="1">
      <c r="A84" s="611" t="s">
        <v>247</v>
      </c>
      <c r="B84" s="603"/>
      <c r="C84" s="687"/>
      <c r="D84" s="687">
        <f>SUM(D74:D83)</f>
        <v>2180347</v>
      </c>
      <c r="E84" s="598"/>
      <c r="F84" s="598">
        <f>SUM(F74:F83)</f>
        <v>114203</v>
      </c>
      <c r="G84" s="598"/>
      <c r="H84" s="598">
        <f>SUM(H74:H83)</f>
        <v>156481</v>
      </c>
      <c r="I84" s="598"/>
      <c r="J84" s="598">
        <f>SUM(J74:J83)</f>
        <v>96304</v>
      </c>
      <c r="K84" s="598"/>
      <c r="L84" s="598">
        <f>SUM(L74:L83)</f>
        <v>120773</v>
      </c>
      <c r="M84" s="598"/>
      <c r="N84" s="598">
        <f>SUM(N74:N83)</f>
        <v>105104</v>
      </c>
      <c r="O84" s="598"/>
      <c r="P84" s="598">
        <f>SUM(P74:P83)</f>
        <v>179640</v>
      </c>
      <c r="Q84" s="598"/>
      <c r="R84" s="598">
        <f>SUM(R74:R83)</f>
        <v>100261</v>
      </c>
      <c r="S84" s="598"/>
      <c r="T84" s="598">
        <f>SUM(T74:T83)</f>
        <v>60035</v>
      </c>
      <c r="U84" s="579"/>
      <c r="V84" s="579">
        <f>SUM(V74:V83)</f>
        <v>15035</v>
      </c>
      <c r="W84" s="579"/>
      <c r="X84" s="598">
        <f>SUM(X74:X83)</f>
        <v>1108592</v>
      </c>
      <c r="Y84" s="579"/>
      <c r="Z84" s="579">
        <f>SUM(Z74:Z83)</f>
        <v>855246</v>
      </c>
      <c r="AA84" s="579"/>
      <c r="AB84" s="619">
        <f>SUM(AB74:AB83)</f>
        <v>416135</v>
      </c>
      <c r="AC84" s="598"/>
      <c r="AD84" s="619">
        <f>SUM(AD74:AD83)</f>
        <v>1800866</v>
      </c>
      <c r="AE84" s="579"/>
      <c r="AF84" s="619">
        <f>SUM(AF74:AF83)</f>
        <v>576709</v>
      </c>
      <c r="AG84" s="579"/>
      <c r="AH84" s="619">
        <f>SUM(AH74:AH83)</f>
        <v>351804</v>
      </c>
      <c r="AI84" s="579"/>
      <c r="AJ84" s="619">
        <f>SUM(AJ74:AJ83)</f>
        <v>21016</v>
      </c>
      <c r="AK84" s="579"/>
      <c r="AL84" s="661">
        <v>294695</v>
      </c>
      <c r="AM84" s="579"/>
      <c r="AN84" s="619">
        <f>SUM(AN74:AN83)</f>
        <v>364507</v>
      </c>
      <c r="AO84" s="579"/>
      <c r="AP84" s="619">
        <f>SUM(AP74:AP83)</f>
        <v>1034930</v>
      </c>
      <c r="AQ84" s="663"/>
      <c r="AR84" s="619">
        <f>SUM(AR74:AR83)</f>
        <v>981700</v>
      </c>
      <c r="AS84" s="579"/>
      <c r="AT84" s="619">
        <f>SUM(AT74:AT83)</f>
        <v>399970</v>
      </c>
      <c r="AU84" s="579"/>
      <c r="AV84" s="619">
        <f>SUM(AV74:AV83)</f>
        <v>289056</v>
      </c>
      <c r="AW84" s="581"/>
      <c r="AX84" s="581">
        <f>SUM(AX74:AX83)</f>
        <v>581689</v>
      </c>
      <c r="AY84" s="581"/>
      <c r="AZ84" s="581">
        <f>SUM(AZ74:AZ83)</f>
        <v>606016</v>
      </c>
      <c r="BA84" s="666"/>
      <c r="BB84" s="581"/>
      <c r="BC84" s="581"/>
      <c r="BD84" s="581"/>
      <c r="BE84" s="581"/>
      <c r="BF84" s="598"/>
      <c r="BG84" s="598"/>
      <c r="BH84" s="598"/>
      <c r="BI84" s="664"/>
      <c r="BJ84" s="581"/>
      <c r="BK84" s="581">
        <f t="shared" si="9"/>
        <v>12696911</v>
      </c>
      <c r="BL84" s="541"/>
      <c r="BM84" s="42"/>
      <c r="BN84" s="624"/>
      <c r="BO84" s="624"/>
      <c r="BP84" s="624"/>
      <c r="BQ84" s="541"/>
      <c r="BR84" s="541"/>
      <c r="BS84" s="541"/>
      <c r="BT84" s="541"/>
      <c r="BU84" s="541"/>
      <c r="BV84" s="541"/>
      <c r="BW84" s="541"/>
      <c r="BX84" s="541"/>
      <c r="BY84" s="541"/>
      <c r="BZ84" s="541"/>
      <c r="CA84" s="541"/>
      <c r="CB84" s="541"/>
      <c r="CC84" s="541"/>
      <c r="CD84" s="541"/>
      <c r="CE84" s="541"/>
      <c r="CF84" s="541"/>
      <c r="CG84" s="541"/>
      <c r="CH84" s="541"/>
      <c r="CI84" s="541"/>
      <c r="CJ84" s="541"/>
      <c r="CK84" s="541"/>
      <c r="CL84" s="541"/>
      <c r="CM84" s="541"/>
      <c r="CN84" s="541"/>
      <c r="CO84" s="541"/>
      <c r="CP84" s="541"/>
      <c r="CQ84" s="541"/>
      <c r="CR84" s="541"/>
      <c r="CS84" s="541"/>
      <c r="CT84" s="541"/>
      <c r="CU84" s="541"/>
      <c r="CV84" s="541"/>
      <c r="CW84" s="541"/>
      <c r="CX84" s="541"/>
      <c r="CY84" s="541"/>
      <c r="CZ84" s="541"/>
      <c r="DA84" s="541"/>
      <c r="DB84" s="541"/>
      <c r="DC84" s="541"/>
      <c r="DD84" s="541"/>
      <c r="DE84" s="541"/>
      <c r="DF84" s="541"/>
      <c r="DG84" s="541"/>
      <c r="DH84" s="541"/>
      <c r="DI84" s="541"/>
      <c r="DJ84" s="541"/>
      <c r="DK84" s="541"/>
      <c r="DL84" s="541"/>
      <c r="DM84" s="541"/>
      <c r="DN84" s="541"/>
      <c r="DO84" s="541"/>
      <c r="DP84" s="541"/>
      <c r="DQ84" s="541"/>
      <c r="DR84" s="541"/>
      <c r="DS84" s="541"/>
      <c r="DT84" s="541"/>
      <c r="DU84" s="541"/>
      <c r="DV84" s="541"/>
      <c r="DW84" s="541"/>
      <c r="DX84" s="541"/>
      <c r="DY84" s="541"/>
      <c r="DZ84" s="541"/>
      <c r="EA84" s="541"/>
      <c r="EB84" s="541"/>
      <c r="EC84" s="541"/>
      <c r="ED84" s="541"/>
      <c r="EE84" s="541"/>
      <c r="EF84" s="541"/>
      <c r="EG84" s="541"/>
      <c r="EH84" s="541"/>
      <c r="EI84" s="541"/>
      <c r="EJ84" s="541"/>
      <c r="EK84" s="541"/>
      <c r="EL84" s="541"/>
      <c r="EM84" s="541"/>
      <c r="EN84" s="541"/>
      <c r="EO84" s="541"/>
      <c r="EP84" s="541"/>
      <c r="EQ84" s="541"/>
      <c r="ER84" s="541"/>
      <c r="ES84" s="541"/>
      <c r="ET84" s="541"/>
      <c r="EU84" s="541"/>
      <c r="EV84" s="541"/>
      <c r="EW84" s="541"/>
      <c r="EX84" s="541"/>
      <c r="EY84" s="541"/>
      <c r="EZ84" s="541"/>
      <c r="FA84" s="541"/>
      <c r="FB84" s="541"/>
      <c r="FC84" s="541"/>
      <c r="FD84" s="541"/>
      <c r="FE84" s="541"/>
      <c r="FF84" s="541"/>
      <c r="FG84" s="541"/>
      <c r="FH84" s="541"/>
      <c r="FI84" s="541"/>
      <c r="FJ84" s="541"/>
      <c r="FK84" s="541"/>
      <c r="FL84" s="541"/>
      <c r="FM84" s="541"/>
      <c r="FN84" s="541"/>
      <c r="FO84" s="541"/>
      <c r="FP84" s="541"/>
      <c r="FQ84" s="541"/>
      <c r="FR84" s="541"/>
      <c r="FS84" s="541"/>
      <c r="FT84" s="541"/>
      <c r="FU84" s="541"/>
      <c r="FV84" s="541"/>
      <c r="FW84" s="541"/>
      <c r="FX84" s="541"/>
      <c r="FY84" s="541"/>
      <c r="FZ84" s="541"/>
      <c r="GA84" s="541"/>
      <c r="GB84" s="541"/>
      <c r="GC84" s="541"/>
      <c r="GD84" s="541"/>
      <c r="GE84" s="541"/>
      <c r="GF84" s="541"/>
      <c r="GG84" s="541"/>
      <c r="GH84" s="541"/>
      <c r="GI84" s="541"/>
      <c r="GJ84" s="541"/>
      <c r="GK84" s="541"/>
      <c r="GL84" s="541"/>
      <c r="GM84" s="541"/>
      <c r="GN84" s="541"/>
      <c r="GO84" s="541"/>
      <c r="GP84" s="541"/>
      <c r="GQ84" s="541"/>
      <c r="GR84" s="541"/>
      <c r="GS84" s="541"/>
      <c r="GT84" s="541"/>
      <c r="GU84" s="541"/>
      <c r="GV84" s="541"/>
      <c r="GW84" s="541"/>
      <c r="GX84" s="541"/>
      <c r="GY84" s="541"/>
      <c r="GZ84" s="541"/>
      <c r="HA84" s="541"/>
      <c r="HB84" s="541"/>
      <c r="HC84" s="541"/>
      <c r="HD84" s="541"/>
      <c r="HE84" s="541"/>
      <c r="HF84" s="541"/>
      <c r="HG84" s="541"/>
      <c r="HH84" s="541"/>
      <c r="HI84" s="541"/>
      <c r="HJ84" s="541"/>
      <c r="HK84" s="541"/>
      <c r="HL84" s="541"/>
      <c r="HM84" s="541"/>
      <c r="HN84" s="541"/>
      <c r="HO84" s="541"/>
      <c r="HP84" s="541"/>
      <c r="HQ84" s="541"/>
      <c r="HR84" s="541"/>
      <c r="HS84" s="541"/>
      <c r="HT84" s="541"/>
      <c r="HU84" s="541"/>
      <c r="HV84" s="541"/>
      <c r="HW84" s="541"/>
      <c r="HX84" s="541"/>
      <c r="HY84" s="541"/>
      <c r="HZ84" s="541"/>
      <c r="IA84" s="541"/>
      <c r="IB84" s="541"/>
      <c r="IC84" s="541"/>
      <c r="ID84" s="541"/>
      <c r="IE84" s="541"/>
      <c r="IF84" s="541"/>
      <c r="IG84" s="541"/>
      <c r="IH84" s="541"/>
      <c r="II84" s="541"/>
      <c r="IJ84" s="541"/>
      <c r="IK84" s="541"/>
      <c r="IL84" s="541"/>
      <c r="IM84" s="541"/>
      <c r="IN84" s="541"/>
      <c r="IO84" s="541"/>
      <c r="IP84" s="541"/>
      <c r="IQ84" s="541"/>
      <c r="IR84" s="541"/>
      <c r="IS84" s="541"/>
      <c r="IT84" s="541"/>
      <c r="IU84" s="541"/>
      <c r="IV84" s="541"/>
      <c r="IW84" s="541"/>
      <c r="IX84" s="541"/>
      <c r="IY84" s="541"/>
      <c r="IZ84" s="541"/>
      <c r="JA84" s="541"/>
      <c r="JB84" s="541"/>
      <c r="JC84" s="541"/>
      <c r="JD84" s="541"/>
      <c r="JE84" s="541"/>
      <c r="JF84" s="541"/>
      <c r="JG84" s="541"/>
      <c r="JH84" s="541"/>
      <c r="JI84" s="541"/>
      <c r="JJ84" s="541"/>
      <c r="JK84" s="541"/>
      <c r="JL84" s="541"/>
      <c r="JM84" s="541"/>
      <c r="JN84" s="541"/>
      <c r="JO84" s="541"/>
      <c r="JP84" s="541"/>
      <c r="JQ84" s="541"/>
      <c r="JR84" s="541"/>
      <c r="JS84" s="541"/>
      <c r="JT84" s="541"/>
      <c r="JU84" s="541"/>
      <c r="JV84" s="541"/>
      <c r="JW84" s="541"/>
      <c r="JX84" s="541"/>
      <c r="JY84" s="541"/>
      <c r="JZ84" s="541"/>
      <c r="KA84" s="541"/>
      <c r="KB84" s="541"/>
      <c r="KC84" s="541"/>
      <c r="KD84" s="541"/>
      <c r="KE84" s="541"/>
      <c r="KF84" s="541"/>
      <c r="KG84" s="541"/>
      <c r="KH84" s="541"/>
      <c r="KI84" s="541"/>
      <c r="KJ84" s="541"/>
      <c r="KK84" s="541"/>
      <c r="KL84" s="541"/>
      <c r="KM84" s="541"/>
      <c r="KN84" s="541"/>
      <c r="KO84" s="541"/>
      <c r="KP84" s="541"/>
      <c r="KQ84" s="541"/>
      <c r="KR84" s="541"/>
      <c r="KS84" s="541"/>
      <c r="KT84" s="541"/>
      <c r="KU84" s="541"/>
      <c r="KV84" s="541"/>
      <c r="KW84" s="541"/>
      <c r="KX84" s="541"/>
      <c r="KY84" s="541"/>
      <c r="KZ84" s="541"/>
      <c r="LA84" s="541"/>
      <c r="LB84" s="541"/>
      <c r="LC84" s="541"/>
      <c r="LD84" s="541"/>
      <c r="LE84" s="541"/>
      <c r="LF84" s="541"/>
      <c r="LG84" s="541"/>
      <c r="LH84" s="541"/>
      <c r="LI84" s="541"/>
      <c r="LJ84" s="541"/>
      <c r="LK84" s="541"/>
      <c r="LL84" s="541"/>
      <c r="LM84" s="541"/>
      <c r="LN84" s="541"/>
      <c r="LO84" s="541"/>
      <c r="LP84" s="541"/>
      <c r="LQ84" s="541"/>
      <c r="LR84" s="541"/>
      <c r="LS84" s="541"/>
      <c r="LT84" s="541"/>
      <c r="LU84" s="541"/>
      <c r="LV84" s="541"/>
      <c r="LW84" s="541"/>
      <c r="LX84" s="541"/>
      <c r="LY84" s="541"/>
      <c r="LZ84" s="541"/>
      <c r="MA84" s="541"/>
      <c r="MB84" s="541"/>
      <c r="MC84" s="541"/>
      <c r="MD84" s="541"/>
      <c r="ME84" s="541"/>
      <c r="MF84" s="541"/>
      <c r="MG84" s="541"/>
      <c r="MH84" s="541"/>
      <c r="MI84" s="541"/>
      <c r="MJ84" s="541"/>
      <c r="MK84" s="541"/>
      <c r="ML84" s="541"/>
      <c r="MM84" s="541"/>
      <c r="MN84" s="541"/>
      <c r="MO84" s="541"/>
      <c r="MP84" s="541"/>
      <c r="MQ84" s="541"/>
      <c r="MR84" s="541"/>
      <c r="MS84" s="541"/>
      <c r="MT84" s="541"/>
      <c r="MU84" s="541"/>
      <c r="MV84" s="541"/>
      <c r="MW84" s="541"/>
      <c r="MX84" s="541"/>
      <c r="MY84" s="541"/>
      <c r="MZ84" s="541"/>
      <c r="NA84" s="541"/>
      <c r="NB84" s="541"/>
      <c r="NC84" s="541"/>
      <c r="ND84" s="541"/>
      <c r="NE84" s="541"/>
      <c r="NF84" s="541"/>
      <c r="NG84" s="541"/>
      <c r="NH84" s="541"/>
      <c r="NI84" s="541"/>
      <c r="NJ84" s="541"/>
      <c r="NK84" s="541"/>
      <c r="NL84" s="541"/>
      <c r="NM84" s="541"/>
      <c r="NN84" s="541"/>
      <c r="NO84" s="541"/>
      <c r="NP84" s="541"/>
      <c r="NQ84" s="541"/>
      <c r="NR84" s="541"/>
      <c r="NS84" s="541"/>
      <c r="NT84" s="541"/>
      <c r="NU84" s="541"/>
      <c r="NV84" s="541"/>
      <c r="NW84" s="541"/>
      <c r="NX84" s="541"/>
      <c r="NY84" s="541"/>
      <c r="NZ84" s="541"/>
      <c r="OA84" s="541"/>
      <c r="OB84" s="541"/>
      <c r="OC84" s="541"/>
      <c r="OD84" s="541"/>
      <c r="OE84" s="541"/>
      <c r="OF84" s="541"/>
      <c r="OG84" s="541"/>
      <c r="OH84" s="541"/>
      <c r="OI84" s="541"/>
      <c r="OJ84" s="541"/>
      <c r="OK84" s="541"/>
      <c r="OL84" s="541"/>
      <c r="OM84" s="541"/>
      <c r="ON84" s="541"/>
      <c r="OO84" s="541"/>
      <c r="OP84" s="541"/>
      <c r="OQ84" s="541"/>
      <c r="OR84" s="541"/>
      <c r="OS84" s="541"/>
      <c r="OT84" s="541"/>
      <c r="OU84" s="541"/>
      <c r="OV84" s="541"/>
      <c r="OW84" s="541"/>
      <c r="OX84" s="541"/>
      <c r="OY84" s="541"/>
      <c r="OZ84" s="541"/>
      <c r="PA84" s="541"/>
      <c r="PB84" s="541"/>
      <c r="PC84" s="541"/>
      <c r="PD84" s="541"/>
      <c r="PE84" s="541"/>
      <c r="PF84" s="541"/>
      <c r="PG84" s="541"/>
      <c r="PH84" s="541"/>
      <c r="PI84" s="541"/>
      <c r="PJ84" s="541"/>
      <c r="PK84" s="541"/>
      <c r="PL84" s="541"/>
      <c r="PM84" s="541"/>
      <c r="PN84" s="541"/>
      <c r="PO84" s="541"/>
      <c r="PP84" s="541"/>
      <c r="PQ84" s="541"/>
      <c r="PR84" s="541"/>
      <c r="PS84" s="541"/>
      <c r="PT84" s="541"/>
      <c r="PU84" s="541"/>
      <c r="PV84" s="541"/>
      <c r="PW84" s="541"/>
      <c r="PX84" s="541"/>
      <c r="PY84" s="541"/>
      <c r="PZ84" s="541"/>
      <c r="QA84" s="541"/>
      <c r="QB84" s="541"/>
      <c r="QC84" s="541"/>
      <c r="QD84" s="541"/>
      <c r="QE84" s="541"/>
      <c r="QF84" s="541"/>
      <c r="QG84" s="541"/>
      <c r="QH84" s="541"/>
      <c r="QI84" s="541"/>
      <c r="QJ84" s="541"/>
      <c r="QK84" s="541"/>
      <c r="QL84" s="541"/>
      <c r="QM84" s="541"/>
      <c r="QN84" s="541"/>
      <c r="QO84" s="541"/>
      <c r="QP84" s="541"/>
      <c r="QQ84" s="541"/>
      <c r="QR84" s="541"/>
      <c r="QS84" s="541"/>
      <c r="QT84" s="541"/>
      <c r="QU84" s="541"/>
      <c r="QV84" s="541"/>
      <c r="QW84" s="541"/>
      <c r="QX84" s="541"/>
      <c r="QY84" s="541"/>
      <c r="QZ84" s="541"/>
      <c r="RA84" s="541"/>
      <c r="RB84" s="541"/>
      <c r="RC84" s="541"/>
      <c r="RD84" s="541"/>
      <c r="RE84" s="541"/>
      <c r="RF84" s="541"/>
      <c r="RG84" s="541"/>
      <c r="RH84" s="541"/>
      <c r="RI84" s="541"/>
      <c r="RJ84" s="541"/>
      <c r="RK84" s="541"/>
      <c r="RL84" s="541"/>
      <c r="RM84" s="541"/>
      <c r="RN84" s="541"/>
      <c r="RO84" s="541"/>
      <c r="RP84" s="541"/>
      <c r="RQ84" s="541"/>
      <c r="RR84" s="541"/>
      <c r="RS84" s="541"/>
      <c r="RT84" s="541"/>
      <c r="RU84" s="541"/>
      <c r="RV84" s="541"/>
      <c r="RW84" s="541"/>
      <c r="RX84" s="541"/>
      <c r="RY84" s="541"/>
      <c r="RZ84" s="541"/>
      <c r="SA84" s="541"/>
      <c r="SB84" s="541"/>
      <c r="SC84" s="541"/>
      <c r="SD84" s="541"/>
      <c r="SE84" s="541"/>
      <c r="SF84" s="541"/>
      <c r="SG84" s="541"/>
      <c r="SH84" s="541"/>
      <c r="SI84" s="541"/>
      <c r="SJ84" s="541"/>
      <c r="SK84" s="541"/>
      <c r="SL84" s="541"/>
      <c r="SM84" s="541"/>
      <c r="SN84" s="541"/>
      <c r="SO84" s="541"/>
      <c r="SP84" s="541"/>
      <c r="SQ84" s="541"/>
      <c r="SR84" s="541"/>
      <c r="SS84" s="541"/>
      <c r="ST84" s="541"/>
      <c r="SU84" s="541"/>
      <c r="SV84" s="541"/>
      <c r="SW84" s="541"/>
      <c r="SX84" s="541"/>
      <c r="SY84" s="541"/>
      <c r="SZ84" s="541"/>
      <c r="TA84" s="541"/>
      <c r="TB84" s="541"/>
      <c r="TC84" s="541"/>
      <c r="TD84" s="541"/>
      <c r="TE84" s="541"/>
      <c r="TF84" s="541"/>
      <c r="TG84" s="541"/>
      <c r="TH84" s="541"/>
      <c r="TI84" s="541"/>
      <c r="TJ84" s="541"/>
      <c r="TK84" s="541"/>
      <c r="TL84" s="541"/>
      <c r="TM84" s="541"/>
      <c r="TN84" s="541"/>
      <c r="TO84" s="541"/>
      <c r="TP84" s="541"/>
      <c r="TQ84" s="541"/>
      <c r="TR84" s="541"/>
      <c r="TS84" s="541"/>
      <c r="TT84" s="541"/>
      <c r="TU84" s="541"/>
      <c r="TV84" s="541"/>
      <c r="TW84" s="541"/>
      <c r="TX84" s="541"/>
      <c r="TY84" s="541"/>
      <c r="TZ84" s="541"/>
      <c r="UA84" s="541"/>
      <c r="UB84" s="541"/>
      <c r="UC84" s="541"/>
      <c r="UD84" s="541"/>
      <c r="UE84" s="541"/>
      <c r="UF84" s="541"/>
      <c r="UG84" s="541"/>
      <c r="UH84" s="541"/>
      <c r="UI84" s="541"/>
      <c r="UJ84" s="541"/>
      <c r="UK84" s="541"/>
      <c r="UL84" s="541"/>
      <c r="UM84" s="541"/>
      <c r="UN84" s="541"/>
      <c r="UO84" s="541"/>
      <c r="UP84" s="541"/>
      <c r="UQ84" s="541"/>
      <c r="UR84" s="541"/>
      <c r="US84" s="541"/>
      <c r="UT84" s="541"/>
      <c r="UU84" s="541"/>
      <c r="UV84" s="541"/>
      <c r="UW84" s="541"/>
      <c r="UX84" s="541"/>
      <c r="UY84" s="541"/>
      <c r="UZ84" s="541"/>
      <c r="VA84" s="541"/>
      <c r="VB84" s="541"/>
      <c r="VC84" s="541"/>
      <c r="VD84" s="541"/>
      <c r="VE84" s="541"/>
      <c r="VF84" s="541"/>
      <c r="VG84" s="541"/>
      <c r="VH84" s="541"/>
      <c r="VI84" s="541"/>
      <c r="VJ84" s="541"/>
      <c r="VK84" s="541"/>
      <c r="VL84" s="541"/>
      <c r="VM84" s="541"/>
      <c r="VN84" s="541"/>
      <c r="VO84" s="541"/>
      <c r="VP84" s="541"/>
      <c r="VQ84" s="541"/>
      <c r="VR84" s="541"/>
      <c r="VS84" s="541"/>
      <c r="VT84" s="541"/>
      <c r="VU84" s="541"/>
      <c r="VV84" s="541"/>
      <c r="VW84" s="541"/>
      <c r="VX84" s="541"/>
      <c r="VY84" s="541"/>
      <c r="VZ84" s="541"/>
      <c r="WA84" s="541"/>
      <c r="WB84" s="541"/>
      <c r="WC84" s="541"/>
      <c r="WD84" s="541"/>
      <c r="WE84" s="541"/>
      <c r="WF84" s="541"/>
      <c r="WG84" s="541"/>
      <c r="WH84" s="541"/>
      <c r="WI84" s="541"/>
      <c r="WJ84" s="541"/>
      <c r="WK84" s="541"/>
      <c r="WL84" s="541"/>
      <c r="WM84" s="541"/>
      <c r="WN84" s="541"/>
      <c r="WO84" s="541"/>
      <c r="WP84" s="541"/>
      <c r="WQ84" s="541"/>
      <c r="WR84" s="541"/>
      <c r="WS84" s="541"/>
      <c r="WT84" s="541"/>
      <c r="WU84" s="541"/>
      <c r="WV84" s="541"/>
      <c r="WW84" s="541"/>
      <c r="WX84" s="541"/>
      <c r="WY84" s="541"/>
      <c r="WZ84" s="541"/>
      <c r="XA84" s="541"/>
      <c r="XB84" s="541"/>
      <c r="XC84" s="541"/>
      <c r="XD84" s="541"/>
      <c r="XE84" s="541"/>
      <c r="XF84" s="541"/>
      <c r="XG84" s="541"/>
      <c r="XH84" s="541"/>
      <c r="XI84" s="541"/>
      <c r="XJ84" s="541"/>
      <c r="XK84" s="541"/>
      <c r="XL84" s="541"/>
      <c r="XM84" s="541"/>
      <c r="XN84" s="541"/>
      <c r="XO84" s="541"/>
      <c r="XP84" s="541"/>
      <c r="XQ84" s="541"/>
      <c r="XR84" s="541"/>
      <c r="XS84" s="541"/>
      <c r="XT84" s="541"/>
      <c r="XU84" s="541"/>
      <c r="XV84" s="541"/>
      <c r="XW84" s="541"/>
      <c r="XX84" s="541"/>
      <c r="XY84" s="541"/>
      <c r="XZ84" s="541"/>
      <c r="YA84" s="541"/>
      <c r="YB84" s="541"/>
      <c r="YC84" s="541"/>
      <c r="YD84" s="541"/>
      <c r="YE84" s="541"/>
      <c r="YF84" s="541"/>
      <c r="YG84" s="541"/>
      <c r="YH84" s="541"/>
      <c r="YI84" s="541"/>
      <c r="YJ84" s="541"/>
      <c r="YK84" s="541"/>
      <c r="YL84" s="541"/>
      <c r="YM84" s="541"/>
      <c r="YN84" s="541"/>
      <c r="YO84" s="541"/>
      <c r="YP84" s="541"/>
      <c r="YQ84" s="541"/>
      <c r="YR84" s="541"/>
      <c r="YS84" s="541"/>
      <c r="YT84" s="541"/>
      <c r="YU84" s="541"/>
      <c r="YV84" s="541"/>
      <c r="YW84" s="541"/>
      <c r="YX84" s="541"/>
      <c r="YY84" s="541"/>
      <c r="YZ84" s="541"/>
      <c r="ZA84" s="541"/>
      <c r="ZB84" s="541"/>
      <c r="ZC84" s="541"/>
      <c r="ZD84" s="541"/>
      <c r="ZE84" s="541"/>
      <c r="ZF84" s="541"/>
      <c r="ZG84" s="541"/>
      <c r="ZH84" s="541"/>
      <c r="ZI84" s="541"/>
      <c r="ZJ84" s="541"/>
      <c r="ZK84" s="541"/>
      <c r="ZL84" s="541"/>
      <c r="ZM84" s="541"/>
      <c r="ZN84" s="541"/>
      <c r="ZO84" s="541"/>
      <c r="ZP84" s="541"/>
      <c r="ZQ84" s="541"/>
      <c r="ZR84" s="541"/>
      <c r="ZS84" s="541"/>
      <c r="ZT84" s="541"/>
      <c r="ZU84" s="541"/>
      <c r="ZV84" s="541"/>
      <c r="ZW84" s="541"/>
      <c r="ZX84" s="541"/>
      <c r="ZY84" s="541"/>
      <c r="ZZ84" s="541"/>
      <c r="AAA84" s="541"/>
      <c r="AAB84" s="541"/>
      <c r="AAC84" s="541"/>
      <c r="AAD84" s="541"/>
      <c r="AAE84" s="541"/>
      <c r="AAF84" s="541"/>
      <c r="AAG84" s="541"/>
      <c r="AAH84" s="541"/>
      <c r="AAI84" s="541"/>
      <c r="AAJ84" s="541"/>
      <c r="AAK84" s="541"/>
      <c r="AAL84" s="541"/>
      <c r="AAM84" s="541"/>
      <c r="AAN84" s="541"/>
      <c r="AAO84" s="541"/>
      <c r="AAP84" s="541"/>
      <c r="AAQ84" s="541"/>
      <c r="AAR84" s="541"/>
      <c r="AAS84" s="541"/>
      <c r="AAT84" s="541"/>
      <c r="AAU84" s="541"/>
      <c r="AAV84" s="541"/>
      <c r="AAW84" s="541"/>
      <c r="AAX84" s="541"/>
      <c r="AAY84" s="541"/>
      <c r="AAZ84" s="541"/>
      <c r="ABA84" s="541"/>
      <c r="ABB84" s="541"/>
      <c r="ABC84" s="541"/>
      <c r="ABD84" s="541"/>
      <c r="ABE84" s="541"/>
      <c r="ABF84" s="541"/>
      <c r="ABG84" s="541"/>
      <c r="ABH84" s="541"/>
      <c r="ABI84" s="541"/>
      <c r="ABJ84" s="541"/>
      <c r="ABK84" s="541"/>
      <c r="ABL84" s="541"/>
      <c r="ABM84" s="541"/>
      <c r="ABN84" s="541"/>
      <c r="ABO84" s="541"/>
      <c r="ABP84" s="541"/>
      <c r="ABQ84" s="541"/>
      <c r="ABR84" s="541"/>
      <c r="ABS84" s="541"/>
      <c r="ABT84" s="541"/>
      <c r="ABU84" s="541"/>
      <c r="ABV84" s="541"/>
      <c r="ABW84" s="541"/>
      <c r="ABX84" s="541"/>
      <c r="ABY84" s="541"/>
      <c r="ABZ84" s="541"/>
      <c r="ACA84" s="541"/>
      <c r="ACB84" s="541"/>
      <c r="ACC84" s="541"/>
      <c r="ACD84" s="541"/>
      <c r="ACE84" s="541"/>
      <c r="ACF84" s="541"/>
      <c r="ACG84" s="541"/>
      <c r="ACH84" s="541"/>
      <c r="ACI84" s="541"/>
      <c r="ACJ84" s="541"/>
      <c r="ACK84" s="541"/>
      <c r="ACL84" s="541"/>
      <c r="ACM84" s="541"/>
      <c r="ACN84" s="541"/>
      <c r="ACO84" s="541"/>
      <c r="ACP84" s="541"/>
      <c r="ACQ84" s="541"/>
      <c r="ACR84" s="541"/>
      <c r="ACS84" s="541"/>
      <c r="ACT84" s="541"/>
      <c r="ACU84" s="541"/>
      <c r="ACV84" s="541"/>
      <c r="ACW84" s="541"/>
      <c r="ACX84" s="541"/>
      <c r="ACY84" s="541"/>
      <c r="ACZ84" s="541"/>
      <c r="ADA84" s="541"/>
      <c r="ADB84" s="541"/>
      <c r="ADC84" s="541"/>
      <c r="ADD84" s="541"/>
      <c r="ADE84" s="541"/>
      <c r="ADF84" s="541"/>
      <c r="ADG84" s="541"/>
      <c r="ADH84" s="541"/>
      <c r="ADI84" s="541"/>
      <c r="ADJ84" s="541"/>
      <c r="ADK84" s="541"/>
      <c r="ADL84" s="541"/>
      <c r="ADM84" s="541"/>
      <c r="ADN84" s="541"/>
      <c r="ADO84" s="541"/>
      <c r="ADP84" s="541"/>
      <c r="ADQ84" s="541"/>
      <c r="ADR84" s="541"/>
      <c r="ADS84" s="541"/>
      <c r="ADT84" s="541"/>
      <c r="ADU84" s="541"/>
      <c r="ADV84" s="541"/>
      <c r="ADW84" s="541"/>
      <c r="ADX84" s="541"/>
      <c r="ADY84" s="541"/>
      <c r="ADZ84" s="541"/>
      <c r="AEA84" s="541"/>
      <c r="AEB84" s="541"/>
      <c r="AEC84" s="541"/>
      <c r="AED84" s="541"/>
      <c r="AEE84" s="541"/>
      <c r="AEF84" s="541"/>
      <c r="AEG84" s="541"/>
      <c r="AEH84" s="541"/>
      <c r="AEI84" s="541"/>
      <c r="AEJ84" s="541"/>
      <c r="AEK84" s="541"/>
      <c r="AEL84" s="541"/>
      <c r="AEM84" s="541"/>
      <c r="AEN84" s="541"/>
      <c r="AEO84" s="541"/>
      <c r="AEP84" s="541"/>
      <c r="AEQ84" s="541"/>
      <c r="AER84" s="541"/>
      <c r="AES84" s="541"/>
      <c r="AET84" s="541"/>
      <c r="AEU84" s="541"/>
      <c r="AEV84" s="541"/>
      <c r="AEW84" s="541"/>
      <c r="AEX84" s="541"/>
      <c r="AEY84" s="541"/>
      <c r="AEZ84" s="541"/>
      <c r="AFA84" s="541"/>
      <c r="AFB84" s="541"/>
      <c r="AFC84" s="541"/>
      <c r="AFD84" s="541"/>
      <c r="AFE84" s="541"/>
      <c r="AFF84" s="541"/>
      <c r="AFG84" s="541"/>
      <c r="AFH84" s="541"/>
      <c r="AFI84" s="541"/>
      <c r="AFJ84" s="541"/>
      <c r="AFK84" s="541"/>
      <c r="AFL84" s="541"/>
      <c r="AFM84" s="541"/>
      <c r="AFN84" s="541"/>
      <c r="AFO84" s="541"/>
      <c r="AFP84" s="541"/>
      <c r="AFQ84" s="541"/>
      <c r="AFR84" s="541"/>
      <c r="AFS84" s="541"/>
      <c r="AFT84" s="541"/>
      <c r="AFU84" s="541"/>
      <c r="AFV84" s="541"/>
      <c r="AFW84" s="541"/>
      <c r="AFX84" s="541"/>
      <c r="AFY84" s="541"/>
      <c r="AFZ84" s="541"/>
      <c r="AGA84" s="541"/>
      <c r="AGB84" s="541"/>
      <c r="AGC84" s="541"/>
      <c r="AGD84" s="541"/>
      <c r="AGE84" s="541"/>
      <c r="AGF84" s="541"/>
      <c r="AGG84" s="541"/>
      <c r="AGH84" s="541"/>
      <c r="AGI84" s="541"/>
      <c r="AGJ84" s="541"/>
      <c r="AGK84" s="541"/>
      <c r="AGL84" s="541"/>
      <c r="AGM84" s="541"/>
      <c r="AGN84" s="541"/>
      <c r="AGO84" s="541"/>
      <c r="AGP84" s="541"/>
      <c r="AGQ84" s="541"/>
      <c r="AGR84" s="541"/>
      <c r="AGS84" s="541"/>
      <c r="AGT84" s="541"/>
      <c r="AGU84" s="541"/>
      <c r="AGV84" s="541"/>
      <c r="AGW84" s="541"/>
      <c r="AGX84" s="541"/>
      <c r="AGY84" s="541"/>
      <c r="AGZ84" s="541"/>
      <c r="AHA84" s="541"/>
      <c r="AHB84" s="541"/>
      <c r="AHC84" s="541"/>
      <c r="AHD84" s="541"/>
      <c r="AHE84" s="541"/>
      <c r="AHF84" s="541"/>
      <c r="AHG84" s="541"/>
      <c r="AHH84" s="541"/>
      <c r="AHI84" s="541"/>
      <c r="AHJ84" s="541"/>
      <c r="AHK84" s="541"/>
      <c r="AHL84" s="541"/>
      <c r="AHM84" s="541"/>
      <c r="AHN84" s="541"/>
      <c r="AHO84" s="541"/>
      <c r="AHP84" s="541"/>
      <c r="AHQ84" s="541"/>
      <c r="AHR84" s="541"/>
      <c r="AHS84" s="541"/>
      <c r="AHT84" s="541"/>
      <c r="AHU84" s="541"/>
      <c r="AHV84" s="541"/>
      <c r="AHW84" s="541"/>
      <c r="AHX84" s="541"/>
      <c r="AHY84" s="541"/>
      <c r="AHZ84" s="541"/>
      <c r="AIA84" s="541"/>
      <c r="AIB84" s="541"/>
      <c r="AIC84" s="541"/>
      <c r="AID84" s="541"/>
      <c r="AIE84" s="541"/>
      <c r="AIF84" s="541"/>
      <c r="AIG84" s="541"/>
      <c r="AIH84" s="541"/>
      <c r="AII84" s="541"/>
      <c r="AIJ84" s="541"/>
      <c r="AIK84" s="541"/>
      <c r="AIL84" s="541"/>
      <c r="AIM84" s="541"/>
      <c r="AIN84" s="541"/>
      <c r="AIO84" s="541"/>
      <c r="AIP84" s="541"/>
      <c r="AIQ84" s="541"/>
      <c r="AIR84" s="541"/>
      <c r="AIS84" s="541"/>
      <c r="AIT84" s="541"/>
      <c r="AIU84" s="541"/>
      <c r="AIV84" s="541"/>
      <c r="AIW84" s="541"/>
      <c r="AIX84" s="541"/>
      <c r="AIY84" s="541"/>
      <c r="AIZ84" s="541"/>
      <c r="AJA84" s="541"/>
      <c r="AJB84" s="541"/>
      <c r="AJC84" s="541"/>
      <c r="AJD84" s="541"/>
      <c r="AJE84" s="541"/>
      <c r="AJF84" s="541"/>
      <c r="AJG84" s="541"/>
      <c r="AJH84" s="541"/>
      <c r="AJI84" s="541"/>
      <c r="AJJ84" s="541"/>
      <c r="AJK84" s="541"/>
      <c r="AJL84" s="541"/>
      <c r="AJM84" s="541"/>
      <c r="AJN84" s="541"/>
      <c r="AJO84" s="541"/>
      <c r="AJP84" s="541"/>
      <c r="AJQ84" s="541"/>
      <c r="AJR84" s="541"/>
      <c r="AJS84" s="541"/>
      <c r="AJT84" s="541"/>
      <c r="AJU84" s="541"/>
      <c r="AJV84" s="541"/>
      <c r="AJW84" s="541"/>
      <c r="AJX84" s="541"/>
      <c r="AJY84" s="541"/>
      <c r="AJZ84" s="541"/>
      <c r="AKA84" s="541"/>
      <c r="AKB84" s="541"/>
      <c r="AKC84" s="541"/>
      <c r="AKD84" s="541"/>
      <c r="AKE84" s="541"/>
      <c r="AKF84" s="541"/>
      <c r="AKG84" s="541"/>
      <c r="AKH84" s="541"/>
      <c r="AKI84" s="541"/>
      <c r="AKJ84" s="541"/>
      <c r="AKK84" s="541"/>
      <c r="AKL84" s="541"/>
      <c r="AKM84" s="541"/>
      <c r="AKN84" s="541"/>
      <c r="AKO84" s="541"/>
      <c r="AKP84" s="541"/>
      <c r="AKQ84" s="541"/>
      <c r="AKR84" s="541"/>
      <c r="AKS84" s="541"/>
      <c r="AKT84" s="541"/>
      <c r="AKU84" s="541"/>
      <c r="AKV84" s="541"/>
      <c r="AKW84" s="541"/>
      <c r="AKX84" s="541"/>
      <c r="AKY84" s="541"/>
      <c r="AKZ84" s="541"/>
      <c r="ALA84" s="541"/>
      <c r="ALB84" s="541"/>
      <c r="ALC84" s="541"/>
      <c r="ALD84" s="541"/>
      <c r="ALE84" s="541"/>
      <c r="ALF84" s="541"/>
      <c r="ALG84" s="541"/>
      <c r="ALH84" s="541"/>
      <c r="ALI84" s="541"/>
      <c r="ALJ84" s="541"/>
      <c r="ALK84" s="541"/>
      <c r="ALL84" s="541"/>
      <c r="ALM84" s="541"/>
      <c r="ALN84" s="541"/>
      <c r="ALO84" s="541"/>
      <c r="ALP84" s="541"/>
      <c r="ALQ84" s="541"/>
      <c r="ALR84" s="541"/>
      <c r="ALS84" s="541"/>
      <c r="ALT84" s="541"/>
      <c r="ALU84" s="541"/>
      <c r="ALV84" s="541"/>
      <c r="ALW84" s="541"/>
      <c r="ALX84" s="541"/>
      <c r="ALY84" s="541"/>
      <c r="ALZ84" s="541"/>
      <c r="AMA84" s="541"/>
      <c r="AMB84" s="541"/>
      <c r="AMC84" s="541"/>
      <c r="AMD84" s="541"/>
      <c r="AME84" s="541"/>
      <c r="AMF84" s="541"/>
      <c r="AMG84" s="541"/>
      <c r="AMH84" s="541"/>
      <c r="AMI84" s="541"/>
      <c r="AMJ84" s="541"/>
      <c r="AMK84" s="541"/>
      <c r="AML84" s="541"/>
      <c r="AMM84" s="541"/>
      <c r="AMN84" s="541"/>
      <c r="AMO84" s="541"/>
      <c r="AMP84" s="541"/>
      <c r="AMQ84" s="541"/>
      <c r="AMR84" s="541"/>
      <c r="AMS84" s="541"/>
      <c r="AMT84" s="541"/>
      <c r="AMU84" s="541"/>
      <c r="AMV84" s="541"/>
      <c r="AMW84" s="541"/>
      <c r="AMX84" s="541"/>
      <c r="AMY84" s="541"/>
      <c r="AMZ84" s="541"/>
      <c r="ANA84" s="541"/>
      <c r="ANB84" s="541"/>
      <c r="ANC84" s="541"/>
      <c r="AND84" s="541"/>
      <c r="ANE84" s="541"/>
      <c r="ANF84" s="541"/>
      <c r="ANG84" s="541"/>
      <c r="ANH84" s="541"/>
      <c r="ANI84" s="541"/>
      <c r="ANJ84" s="541"/>
      <c r="ANK84" s="541"/>
      <c r="ANL84" s="541"/>
      <c r="ANM84" s="541"/>
      <c r="ANN84" s="541"/>
      <c r="ANO84" s="541"/>
      <c r="ANP84" s="541"/>
      <c r="ANQ84" s="541"/>
      <c r="ANR84" s="541"/>
      <c r="ANS84" s="541"/>
      <c r="ANT84" s="541"/>
      <c r="ANU84" s="541"/>
      <c r="ANV84" s="541"/>
      <c r="ANW84" s="541"/>
      <c r="ANX84" s="541"/>
      <c r="ANY84" s="541"/>
      <c r="ANZ84" s="541"/>
      <c r="AOA84" s="541"/>
      <c r="AOB84" s="541"/>
      <c r="AOC84" s="541"/>
      <c r="AOD84" s="541"/>
      <c r="AOE84" s="541"/>
      <c r="AOF84" s="541"/>
      <c r="AOG84" s="541"/>
      <c r="AOH84" s="541"/>
      <c r="AOI84" s="541"/>
      <c r="AOJ84" s="541"/>
      <c r="AOK84" s="541"/>
      <c r="AOL84" s="541"/>
      <c r="AOM84" s="541"/>
      <c r="AON84" s="541"/>
      <c r="AOO84" s="541"/>
      <c r="AOP84" s="541"/>
      <c r="AOQ84" s="541"/>
      <c r="AOR84" s="541"/>
      <c r="AOS84" s="541"/>
      <c r="AOT84" s="541"/>
      <c r="AOU84" s="541"/>
      <c r="AOV84" s="541"/>
      <c r="AOW84" s="541"/>
      <c r="AOX84" s="541"/>
      <c r="AOY84" s="541"/>
      <c r="AOZ84" s="541"/>
      <c r="APA84" s="541"/>
      <c r="APB84" s="541"/>
      <c r="APC84" s="541"/>
      <c r="APD84" s="541"/>
      <c r="APE84" s="541"/>
      <c r="APF84" s="541"/>
      <c r="APG84" s="541"/>
      <c r="APH84" s="541"/>
      <c r="API84" s="541"/>
      <c r="APJ84" s="541"/>
      <c r="APK84" s="541"/>
      <c r="APL84" s="541"/>
      <c r="APM84" s="541"/>
      <c r="APN84" s="541"/>
      <c r="APO84" s="541"/>
      <c r="APP84" s="541"/>
      <c r="APQ84" s="541"/>
      <c r="APR84" s="541"/>
      <c r="APS84" s="541"/>
      <c r="APT84" s="541"/>
      <c r="APU84" s="541"/>
      <c r="APV84" s="541"/>
      <c r="APW84" s="541"/>
      <c r="APX84" s="541"/>
      <c r="APY84" s="541"/>
      <c r="APZ84" s="541"/>
      <c r="AQA84" s="541"/>
      <c r="AQB84" s="541"/>
      <c r="AQC84" s="541"/>
      <c r="AQD84" s="541"/>
      <c r="AQE84" s="541"/>
      <c r="AQF84" s="541"/>
      <c r="AQG84" s="541"/>
      <c r="AQH84" s="541"/>
      <c r="AQI84" s="541"/>
      <c r="AQJ84" s="541"/>
      <c r="AQK84" s="541"/>
      <c r="AQL84" s="541"/>
      <c r="AQM84" s="541"/>
      <c r="AQN84" s="541"/>
      <c r="AQO84" s="541"/>
      <c r="AQP84" s="541"/>
      <c r="AQQ84" s="541"/>
      <c r="AQR84" s="541"/>
      <c r="AQS84" s="541"/>
      <c r="AQT84" s="541"/>
      <c r="AQU84" s="541"/>
      <c r="AQV84" s="541"/>
      <c r="AQW84" s="541"/>
      <c r="AQX84" s="541"/>
      <c r="AQY84" s="541"/>
      <c r="AQZ84" s="541"/>
      <c r="ARA84" s="541"/>
      <c r="ARB84" s="541"/>
      <c r="ARC84" s="541"/>
      <c r="ARD84" s="541"/>
      <c r="ARE84" s="541"/>
      <c r="ARF84" s="541"/>
      <c r="ARG84" s="541"/>
      <c r="ARH84" s="541"/>
      <c r="ARI84" s="541"/>
      <c r="ARJ84" s="541"/>
      <c r="ARK84" s="541"/>
      <c r="ARL84" s="541"/>
      <c r="ARM84" s="541"/>
      <c r="ARN84" s="541"/>
      <c r="ARO84" s="541"/>
      <c r="ARP84" s="541"/>
      <c r="ARQ84" s="541"/>
      <c r="ARR84" s="541"/>
      <c r="ARS84" s="541"/>
      <c r="ART84" s="541"/>
      <c r="ARU84" s="541"/>
    </row>
    <row r="85" spans="1:1165">
      <c r="A85" s="596"/>
      <c r="B85" s="430"/>
      <c r="C85" s="684"/>
      <c r="D85" s="684"/>
      <c r="E85" s="608"/>
      <c r="F85" s="608"/>
      <c r="G85" s="608"/>
      <c r="H85" s="608"/>
      <c r="I85" s="608"/>
      <c r="J85" s="608"/>
      <c r="K85" s="608"/>
      <c r="L85" s="608"/>
      <c r="M85" s="608"/>
      <c r="N85" s="608"/>
      <c r="O85" s="608"/>
      <c r="P85" s="608"/>
      <c r="Q85" s="608"/>
      <c r="R85" s="608"/>
      <c r="S85" s="608"/>
      <c r="T85" s="608"/>
      <c r="U85" s="586"/>
      <c r="V85" s="586"/>
      <c r="W85" s="672"/>
      <c r="X85" s="672"/>
      <c r="Y85" s="586"/>
      <c r="Z85" s="608"/>
      <c r="AA85" s="586"/>
      <c r="AB85" s="586"/>
      <c r="AC85" s="595"/>
      <c r="AD85" s="595"/>
      <c r="AE85" s="586"/>
      <c r="AF85" s="586"/>
      <c r="AG85" s="586"/>
      <c r="AH85" s="586"/>
      <c r="AI85" s="586"/>
      <c r="AJ85" s="586"/>
      <c r="AK85" s="586"/>
      <c r="AL85" s="586"/>
      <c r="AM85" s="586"/>
      <c r="AN85" s="586"/>
      <c r="AO85" s="586"/>
      <c r="AP85" s="586"/>
      <c r="AQ85" s="686"/>
      <c r="AR85" s="686"/>
      <c r="AS85" s="586"/>
      <c r="AT85" s="586"/>
      <c r="AU85" s="586"/>
      <c r="AV85" s="623"/>
      <c r="AW85" s="650"/>
      <c r="AX85" s="650"/>
      <c r="AY85" s="648"/>
      <c r="AZ85" s="648"/>
      <c r="BA85" s="686"/>
      <c r="BB85" s="650"/>
      <c r="BC85" s="650"/>
      <c r="BD85" s="650"/>
      <c r="BE85" s="650"/>
      <c r="BF85" s="650"/>
      <c r="BG85" s="650"/>
      <c r="BH85" s="650"/>
      <c r="BI85" s="686"/>
      <c r="BJ85" s="650"/>
      <c r="BK85" s="650"/>
      <c r="BL85" s="541"/>
      <c r="BM85" s="42"/>
      <c r="BO85" s="624"/>
      <c r="BP85" s="624"/>
    </row>
    <row r="86" spans="1:1165">
      <c r="A86" s="591" t="s">
        <v>248</v>
      </c>
      <c r="B86" s="430"/>
      <c r="C86" s="684"/>
      <c r="D86" s="684"/>
      <c r="E86" s="608"/>
      <c r="F86" s="608"/>
      <c r="G86" s="608"/>
      <c r="H86" s="608"/>
      <c r="I86" s="608"/>
      <c r="J86" s="608"/>
      <c r="K86" s="608"/>
      <c r="L86" s="608"/>
      <c r="M86" s="608"/>
      <c r="N86" s="608"/>
      <c r="O86" s="608"/>
      <c r="P86" s="608"/>
      <c r="Q86" s="608"/>
      <c r="R86" s="608"/>
      <c r="S86" s="608"/>
      <c r="T86" s="608"/>
      <c r="U86" s="586"/>
      <c r="V86" s="586"/>
      <c r="W86" s="672"/>
      <c r="X86" s="672"/>
      <c r="Y86" s="586"/>
      <c r="Z86" s="586"/>
      <c r="AA86" s="586"/>
      <c r="AB86" s="586"/>
      <c r="AC86" s="595"/>
      <c r="AD86" s="595"/>
      <c r="AE86" s="586"/>
      <c r="AF86" s="586"/>
      <c r="AG86" s="586"/>
      <c r="AH86" s="586"/>
      <c r="AI86" s="586"/>
      <c r="AJ86" s="586"/>
      <c r="AK86" s="586"/>
      <c r="AL86" s="586"/>
      <c r="AM86" s="586"/>
      <c r="AN86" s="586"/>
      <c r="AO86" s="586"/>
      <c r="AP86" s="586"/>
      <c r="AQ86" s="586"/>
      <c r="AR86" s="586"/>
      <c r="AS86" s="586"/>
      <c r="AT86" s="586"/>
      <c r="AU86" s="586"/>
      <c r="AV86" s="586"/>
      <c r="AW86" s="650"/>
      <c r="AX86" s="650"/>
      <c r="AY86" s="648"/>
      <c r="AZ86" s="648"/>
      <c r="BA86" s="686"/>
      <c r="BB86" s="650"/>
      <c r="BC86" s="650"/>
      <c r="BD86" s="650"/>
      <c r="BE86" s="650"/>
      <c r="BF86" s="650"/>
      <c r="BG86" s="650"/>
      <c r="BH86" s="650"/>
      <c r="BI86" s="686"/>
      <c r="BJ86" s="650"/>
      <c r="BK86" s="650"/>
      <c r="BL86" s="541"/>
      <c r="BM86" s="42"/>
      <c r="BN86" s="624"/>
      <c r="BO86" s="624"/>
      <c r="BP86" s="624"/>
    </row>
    <row r="87" spans="1:1165">
      <c r="A87" s="593" t="s">
        <v>737</v>
      </c>
      <c r="B87" s="594" t="s">
        <v>196</v>
      </c>
      <c r="C87" s="670">
        <v>16257</v>
      </c>
      <c r="D87" s="670">
        <v>4800</v>
      </c>
      <c r="E87" s="595">
        <v>0</v>
      </c>
      <c r="F87" s="595">
        <v>0</v>
      </c>
      <c r="G87" s="595">
        <v>0</v>
      </c>
      <c r="H87" s="595">
        <v>0</v>
      </c>
      <c r="I87" s="595">
        <v>0</v>
      </c>
      <c r="J87" s="595">
        <v>0</v>
      </c>
      <c r="K87" s="595">
        <v>0</v>
      </c>
      <c r="L87" s="595">
        <v>0</v>
      </c>
      <c r="M87" s="595">
        <v>0</v>
      </c>
      <c r="N87" s="595">
        <v>0</v>
      </c>
      <c r="O87" s="595">
        <v>0</v>
      </c>
      <c r="P87" s="595">
        <v>0</v>
      </c>
      <c r="Q87" s="595">
        <v>0</v>
      </c>
      <c r="R87" s="595">
        <v>0</v>
      </c>
      <c r="S87" s="595">
        <v>0</v>
      </c>
      <c r="T87" s="595">
        <v>0</v>
      </c>
      <c r="U87" s="595">
        <v>0</v>
      </c>
      <c r="V87" s="595">
        <v>0</v>
      </c>
      <c r="W87" s="595">
        <v>0</v>
      </c>
      <c r="X87" s="595">
        <v>0</v>
      </c>
      <c r="Y87" s="595">
        <v>0</v>
      </c>
      <c r="Z87" s="595">
        <v>0</v>
      </c>
      <c r="AA87" s="595">
        <v>0</v>
      </c>
      <c r="AB87" s="595">
        <v>0</v>
      </c>
      <c r="AC87" s="595">
        <v>10260</v>
      </c>
      <c r="AD87" s="595">
        <v>11286</v>
      </c>
      <c r="AE87" s="586">
        <v>41360</v>
      </c>
      <c r="AF87" s="586">
        <v>27467</v>
      </c>
      <c r="AG87" s="586">
        <v>10280</v>
      </c>
      <c r="AH87" s="586">
        <v>9132</v>
      </c>
      <c r="AI87" s="586">
        <v>7100</v>
      </c>
      <c r="AJ87" s="586">
        <v>5680</v>
      </c>
      <c r="AK87" s="623">
        <v>0</v>
      </c>
      <c r="AL87" s="586">
        <v>0</v>
      </c>
      <c r="AM87" s="676">
        <v>5149</v>
      </c>
      <c r="AN87" s="676">
        <v>3089</v>
      </c>
      <c r="AO87" s="586">
        <v>0</v>
      </c>
      <c r="AP87" s="586">
        <v>0</v>
      </c>
      <c r="AQ87" s="586">
        <v>0</v>
      </c>
      <c r="AR87" s="586">
        <v>0</v>
      </c>
      <c r="AS87" s="586">
        <v>7186</v>
      </c>
      <c r="AT87" s="586">
        <v>4312</v>
      </c>
      <c r="AU87" s="623">
        <v>0</v>
      </c>
      <c r="AV87" s="623">
        <v>0</v>
      </c>
      <c r="AW87" s="650"/>
      <c r="AX87" s="650"/>
      <c r="AY87" s="648"/>
      <c r="AZ87" s="648"/>
      <c r="BA87" s="686"/>
      <c r="BB87" s="650"/>
      <c r="BC87" s="650"/>
      <c r="BD87" s="650"/>
      <c r="BE87" s="650"/>
      <c r="BF87" s="650"/>
      <c r="BG87" s="650"/>
      <c r="BH87" s="650"/>
      <c r="BI87" s="686"/>
      <c r="BJ87" s="608">
        <f t="shared" ref="BJ87:BJ107" si="10">C87+G87+I87+K87+M87+O87+Q87+S87+U87+W87+Y87+AA87+AC87+AE87+AG87+AI87+AK87+AM87+AO87+AQ87+AS87+AU87+AW87+AY87+BB87+BF87</f>
        <v>97592</v>
      </c>
      <c r="BK87" s="608">
        <f t="shared" ref="BK87:BK107" si="11">D87+H87+J87+L87+N87+P87+R87+T87+V87+X87+Z87+AB87+AD87+AF87+AH87+AJ87+AL87+AN87+AP87+AR87+AT87+AV87+AX87+AZ87</f>
        <v>65766</v>
      </c>
      <c r="BL87" s="541"/>
      <c r="BM87" s="42"/>
      <c r="BN87" s="624"/>
      <c r="BO87" s="624"/>
      <c r="BP87" s="624"/>
    </row>
    <row r="88" spans="1:1165">
      <c r="A88" s="593" t="s">
        <v>250</v>
      </c>
      <c r="B88" s="594" t="s">
        <v>196</v>
      </c>
      <c r="C88" s="670">
        <v>29990</v>
      </c>
      <c r="D88" s="670">
        <v>36495</v>
      </c>
      <c r="E88" s="595">
        <v>1269</v>
      </c>
      <c r="F88" s="595">
        <v>6247</v>
      </c>
      <c r="G88" s="595">
        <v>898</v>
      </c>
      <c r="H88" s="595">
        <v>4490</v>
      </c>
      <c r="I88" s="595">
        <v>5456</v>
      </c>
      <c r="J88" s="595">
        <v>38963</v>
      </c>
      <c r="K88" s="595">
        <v>15463</v>
      </c>
      <c r="L88" s="595">
        <v>73751</v>
      </c>
      <c r="M88" s="595">
        <v>13676</v>
      </c>
      <c r="N88" s="595">
        <v>60193</v>
      </c>
      <c r="O88" s="595">
        <v>59896</v>
      </c>
      <c r="P88" s="595">
        <v>90368</v>
      </c>
      <c r="Q88" s="595">
        <v>8988</v>
      </c>
      <c r="R88" s="595">
        <v>50716</v>
      </c>
      <c r="S88" s="595">
        <v>51000</v>
      </c>
      <c r="T88" s="595">
        <v>195500</v>
      </c>
      <c r="U88" s="608">
        <v>70464</v>
      </c>
      <c r="V88" s="608">
        <v>285926</v>
      </c>
      <c r="W88" s="608">
        <v>34000</v>
      </c>
      <c r="X88" s="608">
        <v>172667</v>
      </c>
      <c r="Y88" s="608">
        <v>2194</v>
      </c>
      <c r="Z88" s="608">
        <v>3291</v>
      </c>
      <c r="AA88" s="623">
        <v>24617</v>
      </c>
      <c r="AB88" s="623">
        <v>131426</v>
      </c>
      <c r="AC88" s="595">
        <v>17659</v>
      </c>
      <c r="AD88" s="595">
        <v>127910</v>
      </c>
      <c r="AE88" s="586">
        <v>25352</v>
      </c>
      <c r="AF88" s="586">
        <v>308045</v>
      </c>
      <c r="AG88" s="586">
        <v>0</v>
      </c>
      <c r="AH88" s="586">
        <v>0</v>
      </c>
      <c r="AI88" s="586">
        <v>0</v>
      </c>
      <c r="AJ88" s="586">
        <v>0</v>
      </c>
      <c r="AK88" s="673">
        <v>0</v>
      </c>
      <c r="AL88" s="673">
        <v>0</v>
      </c>
      <c r="AM88" s="676">
        <v>0</v>
      </c>
      <c r="AN88" s="676">
        <v>0</v>
      </c>
      <c r="AO88" s="586">
        <v>0</v>
      </c>
      <c r="AP88" s="586">
        <v>0</v>
      </c>
      <c r="AQ88" s="586">
        <v>0</v>
      </c>
      <c r="AR88" s="586">
        <v>0</v>
      </c>
      <c r="AS88" s="586">
        <v>0</v>
      </c>
      <c r="AT88" s="586">
        <v>0</v>
      </c>
      <c r="AU88" s="623">
        <v>0</v>
      </c>
      <c r="AV88" s="623">
        <v>0</v>
      </c>
      <c r="AW88" s="608"/>
      <c r="AX88" s="608"/>
      <c r="AY88" s="680"/>
      <c r="AZ88" s="680"/>
      <c r="BA88" s="586"/>
      <c r="BB88" s="608"/>
      <c r="BC88" s="608"/>
      <c r="BD88" s="608"/>
      <c r="BE88" s="608"/>
      <c r="BF88" s="608"/>
      <c r="BG88" s="608"/>
      <c r="BH88" s="608"/>
      <c r="BI88" s="586"/>
      <c r="BJ88" s="608">
        <f t="shared" si="10"/>
        <v>359653</v>
      </c>
      <c r="BK88" s="608">
        <f t="shared" si="11"/>
        <v>1579741</v>
      </c>
      <c r="BL88" s="541"/>
      <c r="BM88" s="42"/>
      <c r="BN88" s="624"/>
      <c r="BO88" s="624"/>
      <c r="BP88" s="624"/>
    </row>
    <row r="89" spans="1:1165">
      <c r="A89" s="593" t="s">
        <v>238</v>
      </c>
      <c r="B89" s="594" t="s">
        <v>196</v>
      </c>
      <c r="C89" s="670">
        <v>141</v>
      </c>
      <c r="D89" s="670">
        <v>729</v>
      </c>
      <c r="E89" s="595">
        <v>0</v>
      </c>
      <c r="F89" s="595">
        <v>0</v>
      </c>
      <c r="G89" s="595">
        <v>0</v>
      </c>
      <c r="H89" s="595">
        <v>0</v>
      </c>
      <c r="I89" s="595">
        <v>0</v>
      </c>
      <c r="J89" s="595">
        <v>0</v>
      </c>
      <c r="K89" s="595">
        <v>0</v>
      </c>
      <c r="L89" s="595">
        <v>0</v>
      </c>
      <c r="M89" s="595">
        <v>0</v>
      </c>
      <c r="N89" s="595">
        <v>0</v>
      </c>
      <c r="O89" s="595">
        <v>0</v>
      </c>
      <c r="P89" s="595">
        <v>0</v>
      </c>
      <c r="Q89" s="595">
        <v>0</v>
      </c>
      <c r="R89" s="595">
        <v>0</v>
      </c>
      <c r="S89" s="595">
        <v>0</v>
      </c>
      <c r="T89" s="595">
        <v>0</v>
      </c>
      <c r="U89" s="595">
        <v>0</v>
      </c>
      <c r="V89" s="595">
        <v>0</v>
      </c>
      <c r="W89" s="595">
        <v>0</v>
      </c>
      <c r="X89" s="595">
        <v>0</v>
      </c>
      <c r="Y89" s="595">
        <v>0</v>
      </c>
      <c r="Z89" s="595">
        <v>0</v>
      </c>
      <c r="AA89" s="595">
        <v>0</v>
      </c>
      <c r="AB89" s="595">
        <v>0</v>
      </c>
      <c r="AC89" s="595">
        <v>0</v>
      </c>
      <c r="AD89" s="595">
        <v>0</v>
      </c>
      <c r="AE89" s="595">
        <v>0</v>
      </c>
      <c r="AF89" s="595">
        <v>0</v>
      </c>
      <c r="AG89" s="595">
        <v>0</v>
      </c>
      <c r="AH89" s="595">
        <v>0</v>
      </c>
      <c r="AI89" s="595">
        <v>0</v>
      </c>
      <c r="AJ89" s="595">
        <v>0</v>
      </c>
      <c r="AK89" s="595">
        <v>0</v>
      </c>
      <c r="AL89" s="595">
        <v>0</v>
      </c>
      <c r="AM89" s="595">
        <v>0</v>
      </c>
      <c r="AN89" s="595">
        <v>0</v>
      </c>
      <c r="AO89" s="595">
        <v>0</v>
      </c>
      <c r="AP89" s="595">
        <v>0</v>
      </c>
      <c r="AQ89" s="595">
        <v>0</v>
      </c>
      <c r="AR89" s="595">
        <v>0</v>
      </c>
      <c r="AS89" s="595">
        <v>0</v>
      </c>
      <c r="AT89" s="595">
        <v>0</v>
      </c>
      <c r="AU89" s="595">
        <v>0</v>
      </c>
      <c r="AV89" s="595">
        <v>0</v>
      </c>
      <c r="AW89" s="595"/>
      <c r="AX89" s="595"/>
      <c r="AY89" s="678"/>
      <c r="AZ89" s="678"/>
      <c r="BA89" s="594"/>
      <c r="BB89" s="604"/>
      <c r="BC89" s="604"/>
      <c r="BD89" s="604"/>
      <c r="BE89" s="604"/>
      <c r="BF89" s="604"/>
      <c r="BG89" s="604"/>
      <c r="BH89" s="604"/>
      <c r="BI89" s="594"/>
      <c r="BJ89" s="604">
        <f t="shared" si="10"/>
        <v>141</v>
      </c>
      <c r="BK89" s="608">
        <f t="shared" si="11"/>
        <v>729</v>
      </c>
      <c r="BL89" s="541"/>
      <c r="BM89" s="42"/>
      <c r="BN89" s="624"/>
      <c r="BO89" s="624"/>
      <c r="BP89" s="624"/>
    </row>
    <row r="90" spans="1:1165">
      <c r="A90" s="593" t="s">
        <v>251</v>
      </c>
      <c r="B90" s="594" t="s">
        <v>196</v>
      </c>
      <c r="C90" s="670">
        <v>89135</v>
      </c>
      <c r="D90" s="670">
        <v>39514</v>
      </c>
      <c r="E90" s="595">
        <v>12</v>
      </c>
      <c r="F90" s="595">
        <v>13</v>
      </c>
      <c r="G90" s="595">
        <v>20</v>
      </c>
      <c r="H90" s="595">
        <v>20</v>
      </c>
      <c r="I90" s="595">
        <v>20</v>
      </c>
      <c r="J90" s="595">
        <v>22</v>
      </c>
      <c r="K90" s="595">
        <v>0</v>
      </c>
      <c r="L90" s="595">
        <v>0</v>
      </c>
      <c r="M90" s="595">
        <v>0</v>
      </c>
      <c r="N90" s="595">
        <v>0</v>
      </c>
      <c r="O90" s="595">
        <v>0</v>
      </c>
      <c r="P90" s="595">
        <v>0</v>
      </c>
      <c r="Q90" s="595">
        <v>0</v>
      </c>
      <c r="R90" s="595">
        <v>0</v>
      </c>
      <c r="S90" s="595">
        <v>0</v>
      </c>
      <c r="T90" s="595">
        <v>0</v>
      </c>
      <c r="U90" s="595">
        <v>0</v>
      </c>
      <c r="V90" s="595">
        <v>0</v>
      </c>
      <c r="W90" s="595">
        <v>0</v>
      </c>
      <c r="X90" s="595">
        <v>0</v>
      </c>
      <c r="Y90" s="623">
        <v>0</v>
      </c>
      <c r="Z90" s="623">
        <v>0</v>
      </c>
      <c r="AA90" s="623">
        <v>0</v>
      </c>
      <c r="AB90" s="623">
        <v>0</v>
      </c>
      <c r="AC90" s="595">
        <v>0</v>
      </c>
      <c r="AD90" s="595">
        <v>0</v>
      </c>
      <c r="AE90" s="586">
        <v>36775</v>
      </c>
      <c r="AF90" s="586">
        <v>28137</v>
      </c>
      <c r="AG90" s="586">
        <v>0</v>
      </c>
      <c r="AH90" s="586">
        <v>0</v>
      </c>
      <c r="AI90" s="623">
        <v>0</v>
      </c>
      <c r="AJ90" s="586">
        <v>0</v>
      </c>
      <c r="AK90" s="673">
        <v>41</v>
      </c>
      <c r="AL90" s="673">
        <v>20680</v>
      </c>
      <c r="AM90" s="676">
        <v>0</v>
      </c>
      <c r="AN90" s="676">
        <v>0</v>
      </c>
      <c r="AO90" s="586">
        <v>8053</v>
      </c>
      <c r="AP90" s="586">
        <v>4027</v>
      </c>
      <c r="AQ90" s="586">
        <v>0</v>
      </c>
      <c r="AR90" s="586">
        <v>0</v>
      </c>
      <c r="AS90" s="586">
        <v>0</v>
      </c>
      <c r="AT90" s="586">
        <v>0</v>
      </c>
      <c r="AU90" s="623">
        <v>6344</v>
      </c>
      <c r="AV90" s="623">
        <v>3172</v>
      </c>
      <c r="AW90" s="682"/>
      <c r="AX90" s="682"/>
      <c r="AY90" s="696"/>
      <c r="AZ90" s="696"/>
      <c r="BA90" s="625"/>
      <c r="BB90" s="682"/>
      <c r="BC90" s="682"/>
      <c r="BD90" s="682"/>
      <c r="BE90" s="682"/>
      <c r="BF90" s="682"/>
      <c r="BG90" s="682"/>
      <c r="BH90" s="682"/>
      <c r="BI90" s="625"/>
      <c r="BJ90" s="682">
        <f t="shared" si="10"/>
        <v>140388</v>
      </c>
      <c r="BK90" s="608">
        <f t="shared" si="11"/>
        <v>95572</v>
      </c>
      <c r="BL90" s="541"/>
      <c r="BM90" s="42"/>
      <c r="BN90" s="624"/>
      <c r="BO90" s="624"/>
      <c r="BP90" s="624"/>
    </row>
    <row r="91" spans="1:1165">
      <c r="A91" s="593" t="s">
        <v>252</v>
      </c>
      <c r="B91" s="594" t="s">
        <v>196</v>
      </c>
      <c r="C91" s="670">
        <v>123552</v>
      </c>
      <c r="D91" s="670">
        <v>125642</v>
      </c>
      <c r="E91" s="595">
        <v>0</v>
      </c>
      <c r="F91" s="595">
        <v>0</v>
      </c>
      <c r="G91" s="595">
        <v>0</v>
      </c>
      <c r="H91" s="595">
        <v>0</v>
      </c>
      <c r="I91" s="595">
        <v>0</v>
      </c>
      <c r="J91" s="595">
        <v>0</v>
      </c>
      <c r="K91" s="595">
        <v>0</v>
      </c>
      <c r="L91" s="595">
        <v>0</v>
      </c>
      <c r="M91" s="595">
        <v>0</v>
      </c>
      <c r="N91" s="595">
        <v>0</v>
      </c>
      <c r="O91" s="595">
        <v>0</v>
      </c>
      <c r="P91" s="595">
        <v>0</v>
      </c>
      <c r="Q91" s="595">
        <v>0</v>
      </c>
      <c r="R91" s="595">
        <v>0</v>
      </c>
      <c r="S91" s="595">
        <v>0</v>
      </c>
      <c r="T91" s="595">
        <v>0</v>
      </c>
      <c r="U91" s="595">
        <v>0</v>
      </c>
      <c r="V91" s="595">
        <v>0</v>
      </c>
      <c r="W91" s="595">
        <v>0</v>
      </c>
      <c r="X91" s="595">
        <v>0</v>
      </c>
      <c r="Y91" s="623">
        <v>0</v>
      </c>
      <c r="Z91" s="623">
        <v>0</v>
      </c>
      <c r="AA91" s="623">
        <v>1800</v>
      </c>
      <c r="AB91" s="623">
        <v>32500</v>
      </c>
      <c r="AC91" s="595">
        <v>37048</v>
      </c>
      <c r="AD91" s="595">
        <v>1163695</v>
      </c>
      <c r="AE91" s="586">
        <v>27344</v>
      </c>
      <c r="AF91" s="586">
        <v>795872</v>
      </c>
      <c r="AG91" s="586">
        <v>280586</v>
      </c>
      <c r="AH91" s="586">
        <v>1582037</v>
      </c>
      <c r="AI91" s="586">
        <v>92503</v>
      </c>
      <c r="AJ91" s="586">
        <v>660920</v>
      </c>
      <c r="AK91" s="673">
        <v>20</v>
      </c>
      <c r="AL91" s="673">
        <v>4000</v>
      </c>
      <c r="AM91" s="676">
        <v>21536</v>
      </c>
      <c r="AN91" s="676">
        <v>8936</v>
      </c>
      <c r="AO91" s="586">
        <v>0</v>
      </c>
      <c r="AP91" s="586">
        <v>0</v>
      </c>
      <c r="AQ91" s="586">
        <v>53.35</v>
      </c>
      <c r="AR91" s="586">
        <v>3986</v>
      </c>
      <c r="AS91" s="586">
        <v>125</v>
      </c>
      <c r="AT91" s="586">
        <v>383</v>
      </c>
      <c r="AU91" s="623">
        <v>16171</v>
      </c>
      <c r="AV91" s="623">
        <v>36315</v>
      </c>
      <c r="AW91" s="650"/>
      <c r="AX91" s="650"/>
      <c r="AY91" s="648"/>
      <c r="AZ91" s="648"/>
      <c r="BA91" s="686"/>
      <c r="BB91" s="650"/>
      <c r="BC91" s="650"/>
      <c r="BD91" s="650"/>
      <c r="BE91" s="650"/>
      <c r="BF91" s="650"/>
      <c r="BG91" s="650"/>
      <c r="BH91" s="650"/>
      <c r="BI91" s="686"/>
      <c r="BJ91" s="608">
        <f t="shared" si="10"/>
        <v>600738.35</v>
      </c>
      <c r="BK91" s="608">
        <f t="shared" si="11"/>
        <v>4414286</v>
      </c>
      <c r="BL91" s="541"/>
      <c r="BM91" s="42"/>
      <c r="BN91" s="624"/>
      <c r="BO91" s="624"/>
      <c r="BP91" s="624"/>
    </row>
    <row r="92" spans="1:1165">
      <c r="A92" s="593" t="s">
        <v>253</v>
      </c>
      <c r="B92" s="594" t="s">
        <v>196</v>
      </c>
      <c r="C92" s="670">
        <v>8640</v>
      </c>
      <c r="D92" s="670">
        <v>15594</v>
      </c>
      <c r="E92" s="595">
        <v>0</v>
      </c>
      <c r="F92" s="595">
        <v>0</v>
      </c>
      <c r="G92" s="595">
        <v>0</v>
      </c>
      <c r="H92" s="595">
        <v>0</v>
      </c>
      <c r="I92" s="595">
        <v>0</v>
      </c>
      <c r="J92" s="595">
        <v>0</v>
      </c>
      <c r="K92" s="595">
        <v>0</v>
      </c>
      <c r="L92" s="595">
        <v>0</v>
      </c>
      <c r="M92" s="595">
        <v>0</v>
      </c>
      <c r="N92" s="595">
        <v>0</v>
      </c>
      <c r="O92" s="595">
        <v>0</v>
      </c>
      <c r="P92" s="595">
        <v>0</v>
      </c>
      <c r="Q92" s="595">
        <v>0</v>
      </c>
      <c r="R92" s="595">
        <v>0</v>
      </c>
      <c r="S92" s="595">
        <v>0</v>
      </c>
      <c r="T92" s="595">
        <v>0</v>
      </c>
      <c r="U92" s="595">
        <v>0</v>
      </c>
      <c r="V92" s="595">
        <v>0</v>
      </c>
      <c r="W92" s="595">
        <v>0</v>
      </c>
      <c r="X92" s="595">
        <v>0</v>
      </c>
      <c r="Y92" s="595">
        <v>0</v>
      </c>
      <c r="Z92" s="595">
        <v>0</v>
      </c>
      <c r="AA92" s="595">
        <v>0</v>
      </c>
      <c r="AB92" s="595">
        <v>0</v>
      </c>
      <c r="AC92" s="595">
        <v>0</v>
      </c>
      <c r="AD92" s="595">
        <v>0</v>
      </c>
      <c r="AE92" s="595">
        <v>0</v>
      </c>
      <c r="AF92" s="595">
        <v>0</v>
      </c>
      <c r="AG92" s="595">
        <v>0</v>
      </c>
      <c r="AH92" s="595">
        <v>0</v>
      </c>
      <c r="AI92" s="595">
        <v>0</v>
      </c>
      <c r="AJ92" s="595">
        <v>0</v>
      </c>
      <c r="AK92" s="595">
        <v>0</v>
      </c>
      <c r="AL92" s="595">
        <v>0</v>
      </c>
      <c r="AM92" s="595">
        <v>0</v>
      </c>
      <c r="AN92" s="595">
        <v>0</v>
      </c>
      <c r="AO92" s="595">
        <v>0</v>
      </c>
      <c r="AP92" s="595">
        <v>0</v>
      </c>
      <c r="AQ92" s="595">
        <v>0</v>
      </c>
      <c r="AR92" s="595">
        <v>0</v>
      </c>
      <c r="AS92" s="595">
        <v>0</v>
      </c>
      <c r="AT92" s="595">
        <v>0</v>
      </c>
      <c r="AU92" s="595">
        <v>0</v>
      </c>
      <c r="AV92" s="595">
        <v>0</v>
      </c>
      <c r="AW92" s="650"/>
      <c r="AX92" s="650"/>
      <c r="AY92" s="648"/>
      <c r="AZ92" s="648"/>
      <c r="BA92" s="686"/>
      <c r="BB92" s="650"/>
      <c r="BC92" s="650"/>
      <c r="BD92" s="650"/>
      <c r="BE92" s="650"/>
      <c r="BF92" s="650"/>
      <c r="BG92" s="650"/>
      <c r="BH92" s="650"/>
      <c r="BI92" s="686"/>
      <c r="BJ92" s="608">
        <f t="shared" si="10"/>
        <v>8640</v>
      </c>
      <c r="BK92" s="608">
        <f t="shared" si="11"/>
        <v>15594</v>
      </c>
      <c r="BL92" s="541"/>
      <c r="BM92" s="42"/>
      <c r="BN92" s="624"/>
      <c r="BO92" s="624"/>
      <c r="BP92" s="624"/>
    </row>
    <row r="93" spans="1:1165">
      <c r="A93" s="593" t="s">
        <v>254</v>
      </c>
      <c r="B93" s="594" t="s">
        <v>196</v>
      </c>
      <c r="C93" s="670">
        <v>1.407</v>
      </c>
      <c r="D93" s="670">
        <v>11149</v>
      </c>
      <c r="E93" s="595">
        <v>0</v>
      </c>
      <c r="F93" s="595">
        <v>0</v>
      </c>
      <c r="G93" s="595">
        <v>0</v>
      </c>
      <c r="H93" s="595">
        <v>0</v>
      </c>
      <c r="I93" s="595">
        <v>0</v>
      </c>
      <c r="J93" s="595">
        <v>0</v>
      </c>
      <c r="K93" s="595">
        <v>0</v>
      </c>
      <c r="L93" s="595">
        <v>0</v>
      </c>
      <c r="M93" s="595">
        <v>0</v>
      </c>
      <c r="N93" s="595">
        <v>0</v>
      </c>
      <c r="O93" s="595">
        <v>0</v>
      </c>
      <c r="P93" s="595">
        <v>0</v>
      </c>
      <c r="Q93" s="697">
        <v>0.42499999999999999</v>
      </c>
      <c r="R93" s="595">
        <v>3469</v>
      </c>
      <c r="S93" s="595">
        <v>0</v>
      </c>
      <c r="T93" s="595">
        <v>0</v>
      </c>
      <c r="U93" s="697">
        <v>0.193</v>
      </c>
      <c r="V93" s="595">
        <v>2200</v>
      </c>
      <c r="W93" s="698">
        <v>0.55000000000000004</v>
      </c>
      <c r="X93" s="608">
        <v>2020</v>
      </c>
      <c r="Y93" s="595">
        <v>0</v>
      </c>
      <c r="Z93" s="595">
        <v>0</v>
      </c>
      <c r="AA93" s="623">
        <v>0</v>
      </c>
      <c r="AB93" s="623">
        <v>0</v>
      </c>
      <c r="AC93" s="608">
        <v>0</v>
      </c>
      <c r="AD93" s="608">
        <v>0</v>
      </c>
      <c r="AE93" s="586">
        <v>0</v>
      </c>
      <c r="AF93" s="586">
        <v>0</v>
      </c>
      <c r="AG93" s="586">
        <v>0</v>
      </c>
      <c r="AH93" s="586">
        <v>0</v>
      </c>
      <c r="AI93" s="586">
        <v>0</v>
      </c>
      <c r="AJ93" s="586">
        <v>0</v>
      </c>
      <c r="AK93" s="595">
        <v>0</v>
      </c>
      <c r="AL93" s="595">
        <v>0</v>
      </c>
      <c r="AM93" s="586">
        <v>0</v>
      </c>
      <c r="AN93" s="586">
        <v>0</v>
      </c>
      <c r="AO93" s="586">
        <v>0</v>
      </c>
      <c r="AP93" s="586">
        <v>0</v>
      </c>
      <c r="AQ93" s="699">
        <v>4.1240000000000001E-3</v>
      </c>
      <c r="AR93" s="586">
        <v>10420</v>
      </c>
      <c r="AS93" s="586">
        <v>0</v>
      </c>
      <c r="AT93" s="586">
        <v>0</v>
      </c>
      <c r="AU93" s="700">
        <v>11.5</v>
      </c>
      <c r="AV93" s="623">
        <v>20000</v>
      </c>
      <c r="AW93" s="682"/>
      <c r="AX93" s="682"/>
      <c r="AY93" s="696"/>
      <c r="AZ93" s="696"/>
      <c r="BA93" s="625"/>
      <c r="BB93" s="682"/>
      <c r="BC93" s="682"/>
      <c r="BD93" s="682"/>
      <c r="BE93" s="682"/>
      <c r="BF93" s="682"/>
      <c r="BG93" s="682"/>
      <c r="BH93" s="682"/>
      <c r="BI93" s="625"/>
      <c r="BJ93" s="682">
        <f t="shared" si="10"/>
        <v>14.079124</v>
      </c>
      <c r="BK93" s="608">
        <f t="shared" si="11"/>
        <v>49258</v>
      </c>
      <c r="BL93" s="541"/>
      <c r="BM93" s="42"/>
      <c r="BN93" s="624"/>
      <c r="BO93" s="624"/>
      <c r="BP93" s="624"/>
    </row>
    <row r="94" spans="1:1165">
      <c r="A94" s="593" t="s">
        <v>255</v>
      </c>
      <c r="B94" s="594" t="s">
        <v>235</v>
      </c>
      <c r="C94" s="670">
        <v>48165</v>
      </c>
      <c r="D94" s="670">
        <v>109570</v>
      </c>
      <c r="E94" s="595">
        <v>13001</v>
      </c>
      <c r="F94" s="595">
        <v>78001</v>
      </c>
      <c r="G94" s="595">
        <v>0</v>
      </c>
      <c r="H94" s="595">
        <v>0</v>
      </c>
      <c r="I94" s="595">
        <v>0</v>
      </c>
      <c r="J94" s="595">
        <v>0</v>
      </c>
      <c r="K94" s="595">
        <v>0</v>
      </c>
      <c r="L94" s="595">
        <v>0</v>
      </c>
      <c r="M94" s="595">
        <v>0</v>
      </c>
      <c r="N94" s="595">
        <v>0</v>
      </c>
      <c r="O94" s="595">
        <v>0</v>
      </c>
      <c r="P94" s="595">
        <v>0</v>
      </c>
      <c r="Q94" s="595">
        <v>0</v>
      </c>
      <c r="R94" s="595">
        <v>0</v>
      </c>
      <c r="S94" s="595">
        <v>0</v>
      </c>
      <c r="T94" s="595">
        <v>0</v>
      </c>
      <c r="U94" s="595">
        <v>0</v>
      </c>
      <c r="V94" s="595">
        <v>0</v>
      </c>
      <c r="W94" s="595">
        <v>0</v>
      </c>
      <c r="X94" s="595">
        <v>0</v>
      </c>
      <c r="Y94" s="595">
        <v>0</v>
      </c>
      <c r="Z94" s="595">
        <v>0</v>
      </c>
      <c r="AA94" s="595">
        <v>0</v>
      </c>
      <c r="AB94" s="595">
        <v>0</v>
      </c>
      <c r="AC94" s="595">
        <v>0</v>
      </c>
      <c r="AD94" s="595">
        <v>0</v>
      </c>
      <c r="AE94" s="595">
        <v>0</v>
      </c>
      <c r="AF94" s="595">
        <v>0</v>
      </c>
      <c r="AG94" s="595">
        <v>0</v>
      </c>
      <c r="AH94" s="595">
        <v>0</v>
      </c>
      <c r="AI94" s="595">
        <v>0</v>
      </c>
      <c r="AJ94" s="595">
        <v>0</v>
      </c>
      <c r="AK94" s="595">
        <v>0</v>
      </c>
      <c r="AL94" s="595">
        <v>0</v>
      </c>
      <c r="AM94" s="595">
        <v>0</v>
      </c>
      <c r="AN94" s="595">
        <v>0</v>
      </c>
      <c r="AO94" s="595">
        <v>0</v>
      </c>
      <c r="AP94" s="595">
        <v>0</v>
      </c>
      <c r="AQ94" s="595">
        <v>0</v>
      </c>
      <c r="AR94" s="595">
        <v>0</v>
      </c>
      <c r="AS94" s="595">
        <v>0</v>
      </c>
      <c r="AT94" s="595">
        <v>0</v>
      </c>
      <c r="AU94" s="595">
        <v>0</v>
      </c>
      <c r="AV94" s="595">
        <v>0</v>
      </c>
      <c r="AW94" s="595"/>
      <c r="AX94" s="595"/>
      <c r="AY94" s="677"/>
      <c r="AZ94" s="677"/>
      <c r="BA94" s="672"/>
      <c r="BB94" s="595"/>
      <c r="BC94" s="595"/>
      <c r="BD94" s="595"/>
      <c r="BE94" s="595"/>
      <c r="BF94" s="595"/>
      <c r="BG94" s="595"/>
      <c r="BH94" s="595"/>
      <c r="BI94" s="672"/>
      <c r="BJ94" s="595">
        <f t="shared" si="10"/>
        <v>48165</v>
      </c>
      <c r="BK94" s="608">
        <f t="shared" si="11"/>
        <v>109570</v>
      </c>
      <c r="BL94" s="541"/>
      <c r="BM94" s="42"/>
      <c r="BN94" s="624"/>
      <c r="BO94" s="624"/>
      <c r="BP94" s="624"/>
    </row>
    <row r="95" spans="1:1165">
      <c r="A95" s="593" t="s">
        <v>241</v>
      </c>
      <c r="B95" s="594" t="s">
        <v>196</v>
      </c>
      <c r="C95" s="595">
        <v>0</v>
      </c>
      <c r="D95" s="595">
        <v>0</v>
      </c>
      <c r="E95" s="595">
        <v>0</v>
      </c>
      <c r="F95" s="595">
        <v>0</v>
      </c>
      <c r="G95" s="595">
        <v>0</v>
      </c>
      <c r="H95" s="595">
        <v>0</v>
      </c>
      <c r="I95" s="595">
        <v>0</v>
      </c>
      <c r="J95" s="595">
        <v>0</v>
      </c>
      <c r="K95" s="595">
        <v>0</v>
      </c>
      <c r="L95" s="595">
        <v>0</v>
      </c>
      <c r="M95" s="595">
        <v>0</v>
      </c>
      <c r="N95" s="595">
        <v>0</v>
      </c>
      <c r="O95" s="595">
        <v>0</v>
      </c>
      <c r="P95" s="595">
        <v>0</v>
      </c>
      <c r="Q95" s="595">
        <v>0</v>
      </c>
      <c r="R95" s="595">
        <v>0</v>
      </c>
      <c r="S95" s="595">
        <v>0</v>
      </c>
      <c r="T95" s="595">
        <v>0</v>
      </c>
      <c r="U95" s="595">
        <v>0</v>
      </c>
      <c r="V95" s="595">
        <v>0</v>
      </c>
      <c r="W95" s="595">
        <v>0</v>
      </c>
      <c r="X95" s="595">
        <v>0</v>
      </c>
      <c r="Y95" s="623">
        <v>0</v>
      </c>
      <c r="Z95" s="623">
        <v>0</v>
      </c>
      <c r="AA95" s="623">
        <v>0</v>
      </c>
      <c r="AB95" s="623">
        <v>0</v>
      </c>
      <c r="AC95" s="608">
        <v>8844</v>
      </c>
      <c r="AD95" s="608">
        <v>7499</v>
      </c>
      <c r="AE95" s="586">
        <v>70819</v>
      </c>
      <c r="AF95" s="586">
        <v>45116</v>
      </c>
      <c r="AG95" s="586">
        <v>0</v>
      </c>
      <c r="AH95" s="586">
        <v>0</v>
      </c>
      <c r="AI95" s="586">
        <v>39220</v>
      </c>
      <c r="AJ95" s="586">
        <v>47136</v>
      </c>
      <c r="AK95" s="673">
        <v>1155</v>
      </c>
      <c r="AL95" s="673">
        <v>1213</v>
      </c>
      <c r="AM95" s="676">
        <v>38796</v>
      </c>
      <c r="AN95" s="676">
        <v>22585</v>
      </c>
      <c r="AO95" s="586">
        <v>0</v>
      </c>
      <c r="AP95" s="586">
        <v>0</v>
      </c>
      <c r="AQ95" s="586">
        <v>6</v>
      </c>
      <c r="AR95" s="586">
        <v>3600</v>
      </c>
      <c r="AS95" s="586">
        <v>20742</v>
      </c>
      <c r="AT95" s="586">
        <v>12445</v>
      </c>
      <c r="AU95" s="623">
        <v>14430</v>
      </c>
      <c r="AV95" s="623">
        <v>8658</v>
      </c>
      <c r="AW95" s="682"/>
      <c r="AX95" s="682"/>
      <c r="AY95" s="696"/>
      <c r="AZ95" s="696"/>
      <c r="BA95" s="625"/>
      <c r="BB95" s="682"/>
      <c r="BC95" s="682"/>
      <c r="BD95" s="682"/>
      <c r="BE95" s="682"/>
      <c r="BF95" s="682"/>
      <c r="BG95" s="682"/>
      <c r="BH95" s="682"/>
      <c r="BI95" s="625"/>
      <c r="BJ95" s="682">
        <f t="shared" si="10"/>
        <v>194012</v>
      </c>
      <c r="BK95" s="608">
        <f t="shared" si="11"/>
        <v>148252</v>
      </c>
      <c r="BL95" s="541"/>
      <c r="BM95" s="42"/>
      <c r="BN95" s="624"/>
      <c r="BO95" s="624"/>
      <c r="BP95" s="624"/>
    </row>
    <row r="96" spans="1:1165">
      <c r="A96" s="593" t="s">
        <v>256</v>
      </c>
      <c r="B96" s="594" t="s">
        <v>196</v>
      </c>
      <c r="C96" s="670">
        <v>5073</v>
      </c>
      <c r="D96" s="670">
        <v>2780</v>
      </c>
      <c r="E96" s="595">
        <v>0</v>
      </c>
      <c r="F96" s="595">
        <v>0</v>
      </c>
      <c r="G96" s="595">
        <v>0</v>
      </c>
      <c r="H96" s="595">
        <v>0</v>
      </c>
      <c r="I96" s="595">
        <v>0</v>
      </c>
      <c r="J96" s="595">
        <v>0</v>
      </c>
      <c r="K96" s="595">
        <v>0</v>
      </c>
      <c r="L96" s="595">
        <v>0</v>
      </c>
      <c r="M96" s="595">
        <v>0</v>
      </c>
      <c r="N96" s="595">
        <v>0</v>
      </c>
      <c r="O96" s="595">
        <v>0</v>
      </c>
      <c r="P96" s="595">
        <v>0</v>
      </c>
      <c r="Q96" s="595">
        <v>0</v>
      </c>
      <c r="R96" s="595">
        <v>0</v>
      </c>
      <c r="S96" s="595">
        <v>0</v>
      </c>
      <c r="T96" s="595">
        <v>0</v>
      </c>
      <c r="U96" s="595">
        <v>0</v>
      </c>
      <c r="V96" s="595">
        <v>0</v>
      </c>
      <c r="W96" s="595">
        <v>0</v>
      </c>
      <c r="X96" s="595">
        <v>0</v>
      </c>
      <c r="Y96" s="595">
        <v>0</v>
      </c>
      <c r="Z96" s="595">
        <v>0</v>
      </c>
      <c r="AA96" s="595">
        <v>0</v>
      </c>
      <c r="AB96" s="595">
        <v>0</v>
      </c>
      <c r="AC96" s="595">
        <v>0</v>
      </c>
      <c r="AD96" s="595">
        <v>0</v>
      </c>
      <c r="AE96" s="595">
        <v>0</v>
      </c>
      <c r="AF96" s="595">
        <v>0</v>
      </c>
      <c r="AG96" s="595">
        <v>0</v>
      </c>
      <c r="AH96" s="595">
        <v>0</v>
      </c>
      <c r="AI96" s="595">
        <v>0</v>
      </c>
      <c r="AJ96" s="595">
        <v>0</v>
      </c>
      <c r="AK96" s="595">
        <v>0</v>
      </c>
      <c r="AL96" s="595">
        <v>0</v>
      </c>
      <c r="AM96" s="595">
        <v>0</v>
      </c>
      <c r="AN96" s="595">
        <v>0</v>
      </c>
      <c r="AO96" s="595">
        <v>0</v>
      </c>
      <c r="AP96" s="595">
        <v>0</v>
      </c>
      <c r="AQ96" s="595">
        <v>0</v>
      </c>
      <c r="AR96" s="595">
        <v>0</v>
      </c>
      <c r="AS96" s="595">
        <v>0</v>
      </c>
      <c r="AT96" s="595">
        <v>0</v>
      </c>
      <c r="AU96" s="595">
        <v>0</v>
      </c>
      <c r="AV96" s="595">
        <v>0</v>
      </c>
      <c r="AW96" s="682"/>
      <c r="AX96" s="682"/>
      <c r="AY96" s="696"/>
      <c r="AZ96" s="696"/>
      <c r="BA96" s="625"/>
      <c r="BB96" s="682"/>
      <c r="BC96" s="682"/>
      <c r="BD96" s="682"/>
      <c r="BE96" s="682"/>
      <c r="BF96" s="682"/>
      <c r="BG96" s="682"/>
      <c r="BH96" s="682"/>
      <c r="BI96" s="625"/>
      <c r="BJ96" s="682">
        <f t="shared" si="10"/>
        <v>5073</v>
      </c>
      <c r="BK96" s="608">
        <f t="shared" si="11"/>
        <v>2780</v>
      </c>
      <c r="BL96" s="541"/>
      <c r="BM96" s="42"/>
      <c r="BN96" s="624"/>
      <c r="BO96" s="624"/>
      <c r="BP96" s="624"/>
    </row>
    <row r="97" spans="1:1165">
      <c r="A97" s="593" t="s">
        <v>257</v>
      </c>
      <c r="B97" s="594" t="s">
        <v>196</v>
      </c>
      <c r="C97" s="595">
        <v>0</v>
      </c>
      <c r="D97" s="595">
        <v>0</v>
      </c>
      <c r="E97" s="595">
        <v>0</v>
      </c>
      <c r="F97" s="595">
        <v>0</v>
      </c>
      <c r="G97" s="595">
        <v>0</v>
      </c>
      <c r="H97" s="595">
        <v>0</v>
      </c>
      <c r="I97" s="595">
        <v>0</v>
      </c>
      <c r="J97" s="595">
        <v>0</v>
      </c>
      <c r="K97" s="595">
        <v>0</v>
      </c>
      <c r="L97" s="595">
        <v>0</v>
      </c>
      <c r="M97" s="595">
        <v>0</v>
      </c>
      <c r="N97" s="595">
        <v>0</v>
      </c>
      <c r="O97" s="595">
        <v>0</v>
      </c>
      <c r="P97" s="595">
        <v>0</v>
      </c>
      <c r="Q97" s="595">
        <v>0</v>
      </c>
      <c r="R97" s="595">
        <v>0</v>
      </c>
      <c r="S97" s="595">
        <v>0</v>
      </c>
      <c r="T97" s="595">
        <v>0</v>
      </c>
      <c r="U97" s="595">
        <v>0</v>
      </c>
      <c r="V97" s="595">
        <v>0</v>
      </c>
      <c r="W97" s="595">
        <v>0</v>
      </c>
      <c r="X97" s="595">
        <v>0</v>
      </c>
      <c r="Y97" s="623">
        <v>0</v>
      </c>
      <c r="Z97" s="623">
        <v>0</v>
      </c>
      <c r="AA97" s="623">
        <v>0</v>
      </c>
      <c r="AB97" s="623">
        <v>0</v>
      </c>
      <c r="AC97" s="608">
        <v>0</v>
      </c>
      <c r="AD97" s="608">
        <v>0</v>
      </c>
      <c r="AE97" s="586">
        <v>2245</v>
      </c>
      <c r="AF97" s="586">
        <v>8392</v>
      </c>
      <c r="AG97" s="586">
        <v>5561</v>
      </c>
      <c r="AH97" s="586">
        <v>19639</v>
      </c>
      <c r="AI97" s="586">
        <v>0</v>
      </c>
      <c r="AJ97" s="586">
        <v>0</v>
      </c>
      <c r="AK97" s="595">
        <v>0</v>
      </c>
      <c r="AL97" s="595">
        <v>0</v>
      </c>
      <c r="AM97" s="623">
        <v>0</v>
      </c>
      <c r="AN97" s="586">
        <v>0</v>
      </c>
      <c r="AO97" s="623">
        <v>0</v>
      </c>
      <c r="AP97" s="586">
        <v>0</v>
      </c>
      <c r="AQ97" s="623">
        <v>0</v>
      </c>
      <c r="AR97" s="586">
        <v>0</v>
      </c>
      <c r="AS97" s="595">
        <v>0</v>
      </c>
      <c r="AT97" s="595">
        <v>0</v>
      </c>
      <c r="AU97" s="623">
        <v>0</v>
      </c>
      <c r="AV97" s="586">
        <v>0</v>
      </c>
      <c r="AW97" s="608"/>
      <c r="AX97" s="608"/>
      <c r="AY97" s="680"/>
      <c r="AZ97" s="680"/>
      <c r="BA97" s="586"/>
      <c r="BB97" s="608"/>
      <c r="BC97" s="608"/>
      <c r="BD97" s="608"/>
      <c r="BE97" s="608"/>
      <c r="BF97" s="608"/>
      <c r="BG97" s="608"/>
      <c r="BH97" s="608"/>
      <c r="BI97" s="586"/>
      <c r="BJ97" s="608">
        <f t="shared" si="10"/>
        <v>7806</v>
      </c>
      <c r="BK97" s="608">
        <f t="shared" si="11"/>
        <v>28031</v>
      </c>
      <c r="BL97" s="541"/>
      <c r="BM97" s="42"/>
      <c r="BN97" s="624"/>
      <c r="BO97" s="624"/>
      <c r="BP97" s="624"/>
    </row>
    <row r="98" spans="1:1165">
      <c r="A98" s="593" t="s">
        <v>258</v>
      </c>
      <c r="B98" s="594" t="s">
        <v>196</v>
      </c>
      <c r="C98" s="670">
        <v>118117</v>
      </c>
      <c r="D98" s="670">
        <v>50606</v>
      </c>
      <c r="E98" s="595">
        <v>1116</v>
      </c>
      <c r="F98" s="595">
        <v>572</v>
      </c>
      <c r="G98" s="595">
        <v>3040</v>
      </c>
      <c r="H98" s="595">
        <v>1524</v>
      </c>
      <c r="I98" s="595">
        <v>1200</v>
      </c>
      <c r="J98" s="595">
        <v>922</v>
      </c>
      <c r="K98" s="595">
        <v>51</v>
      </c>
      <c r="L98" s="595">
        <v>33</v>
      </c>
      <c r="M98" s="595">
        <v>792</v>
      </c>
      <c r="N98" s="595">
        <v>511</v>
      </c>
      <c r="O98" s="595">
        <v>0</v>
      </c>
      <c r="P98" s="595">
        <v>0</v>
      </c>
      <c r="Q98" s="595">
        <v>21</v>
      </c>
      <c r="R98" s="595">
        <v>14</v>
      </c>
      <c r="S98" s="595">
        <v>0</v>
      </c>
      <c r="T98" s="595">
        <v>0</v>
      </c>
      <c r="U98" s="595">
        <v>0</v>
      </c>
      <c r="V98" s="595">
        <v>0</v>
      </c>
      <c r="W98" s="595">
        <v>0</v>
      </c>
      <c r="X98" s="595">
        <v>0</v>
      </c>
      <c r="Y98" s="595">
        <v>0</v>
      </c>
      <c r="Z98" s="595">
        <v>0</v>
      </c>
      <c r="AA98" s="595">
        <v>0</v>
      </c>
      <c r="AB98" s="595">
        <v>0</v>
      </c>
      <c r="AC98" s="595">
        <v>0</v>
      </c>
      <c r="AD98" s="595">
        <v>0</v>
      </c>
      <c r="AE98" s="595">
        <v>0</v>
      </c>
      <c r="AF98" s="595">
        <v>0</v>
      </c>
      <c r="AG98" s="595">
        <v>0</v>
      </c>
      <c r="AH98" s="595">
        <v>0</v>
      </c>
      <c r="AI98" s="595">
        <v>0</v>
      </c>
      <c r="AJ98" s="595">
        <v>0</v>
      </c>
      <c r="AK98" s="595">
        <v>0</v>
      </c>
      <c r="AL98" s="595">
        <v>0</v>
      </c>
      <c r="AM98" s="595">
        <v>0</v>
      </c>
      <c r="AN98" s="595">
        <v>0</v>
      </c>
      <c r="AO98" s="595">
        <v>0</v>
      </c>
      <c r="AP98" s="595">
        <v>0</v>
      </c>
      <c r="AQ98" s="595">
        <v>0</v>
      </c>
      <c r="AR98" s="595">
        <v>0</v>
      </c>
      <c r="AS98" s="595">
        <v>0</v>
      </c>
      <c r="AT98" s="595">
        <v>0</v>
      </c>
      <c r="AU98" s="595">
        <v>0</v>
      </c>
      <c r="AV98" s="595">
        <v>0</v>
      </c>
      <c r="AW98" s="595"/>
      <c r="AX98" s="595"/>
      <c r="AY98" s="677"/>
      <c r="AZ98" s="677"/>
      <c r="BA98" s="595"/>
      <c r="BB98" s="595"/>
      <c r="BC98" s="595"/>
      <c r="BD98" s="595"/>
      <c r="BE98" s="595"/>
      <c r="BF98" s="595"/>
      <c r="BG98" s="595"/>
      <c r="BH98" s="595"/>
      <c r="BI98" s="595"/>
      <c r="BJ98" s="595">
        <f t="shared" si="10"/>
        <v>123221</v>
      </c>
      <c r="BK98" s="608">
        <f t="shared" si="11"/>
        <v>53610</v>
      </c>
      <c r="BL98" s="541"/>
      <c r="BM98" s="42"/>
      <c r="BN98" s="624"/>
      <c r="BO98" s="624"/>
      <c r="BP98" s="624"/>
    </row>
    <row r="99" spans="1:1165">
      <c r="A99" s="593" t="s">
        <v>259</v>
      </c>
      <c r="B99" s="594" t="s">
        <v>196</v>
      </c>
      <c r="C99" s="670">
        <v>4</v>
      </c>
      <c r="D99" s="670">
        <v>16994</v>
      </c>
      <c r="E99" s="595">
        <v>0</v>
      </c>
      <c r="F99" s="595">
        <v>0</v>
      </c>
      <c r="G99" s="595">
        <v>0</v>
      </c>
      <c r="H99" s="595">
        <v>0</v>
      </c>
      <c r="I99" s="595">
        <v>0</v>
      </c>
      <c r="J99" s="595">
        <v>0</v>
      </c>
      <c r="K99" s="595">
        <v>0</v>
      </c>
      <c r="L99" s="595">
        <v>0</v>
      </c>
      <c r="M99" s="595">
        <v>0</v>
      </c>
      <c r="N99" s="595">
        <v>0</v>
      </c>
      <c r="O99" s="595">
        <v>0</v>
      </c>
      <c r="P99" s="595">
        <v>0</v>
      </c>
      <c r="Q99" s="595">
        <v>0</v>
      </c>
      <c r="R99" s="595">
        <v>0</v>
      </c>
      <c r="S99" s="595">
        <v>0</v>
      </c>
      <c r="T99" s="595">
        <v>0</v>
      </c>
      <c r="U99" s="595">
        <v>0</v>
      </c>
      <c r="V99" s="595">
        <v>0</v>
      </c>
      <c r="W99" s="595">
        <v>0</v>
      </c>
      <c r="X99" s="595">
        <v>0</v>
      </c>
      <c r="Y99" s="595">
        <v>0</v>
      </c>
      <c r="Z99" s="595">
        <v>0</v>
      </c>
      <c r="AA99" s="595">
        <v>0</v>
      </c>
      <c r="AB99" s="595">
        <v>0</v>
      </c>
      <c r="AC99" s="595">
        <v>0</v>
      </c>
      <c r="AD99" s="595">
        <v>0</v>
      </c>
      <c r="AE99" s="595">
        <v>0</v>
      </c>
      <c r="AF99" s="595">
        <v>0</v>
      </c>
      <c r="AG99" s="595">
        <v>0</v>
      </c>
      <c r="AH99" s="595">
        <v>0</v>
      </c>
      <c r="AI99" s="595">
        <v>0</v>
      </c>
      <c r="AJ99" s="595">
        <v>0</v>
      </c>
      <c r="AK99" s="595">
        <v>0</v>
      </c>
      <c r="AL99" s="595">
        <v>0</v>
      </c>
      <c r="AM99" s="595">
        <v>0</v>
      </c>
      <c r="AN99" s="595">
        <v>0</v>
      </c>
      <c r="AO99" s="595">
        <v>0</v>
      </c>
      <c r="AP99" s="595">
        <v>0</v>
      </c>
      <c r="AQ99" s="595">
        <v>0</v>
      </c>
      <c r="AR99" s="595">
        <v>0</v>
      </c>
      <c r="AS99" s="595">
        <v>0</v>
      </c>
      <c r="AT99" s="595">
        <v>0</v>
      </c>
      <c r="AU99" s="595">
        <v>0</v>
      </c>
      <c r="AV99" s="595">
        <v>0</v>
      </c>
      <c r="AW99" s="595"/>
      <c r="AX99" s="595"/>
      <c r="AY99" s="678"/>
      <c r="AZ99" s="678"/>
      <c r="BA99" s="594"/>
      <c r="BB99" s="604"/>
      <c r="BC99" s="604"/>
      <c r="BD99" s="604"/>
      <c r="BE99" s="604"/>
      <c r="BF99" s="604"/>
      <c r="BG99" s="604"/>
      <c r="BH99" s="604"/>
      <c r="BI99" s="594"/>
      <c r="BJ99" s="604">
        <f t="shared" si="10"/>
        <v>4</v>
      </c>
      <c r="BK99" s="608">
        <f t="shared" si="11"/>
        <v>16994</v>
      </c>
      <c r="BL99" s="541"/>
      <c r="BM99" s="42"/>
      <c r="BN99" s="624"/>
      <c r="BO99" s="624"/>
      <c r="BP99" s="624"/>
    </row>
    <row r="100" spans="1:1165">
      <c r="A100" s="593" t="s">
        <v>260</v>
      </c>
      <c r="B100" s="594" t="s">
        <v>196</v>
      </c>
      <c r="C100" s="670">
        <v>1020</v>
      </c>
      <c r="D100" s="670">
        <v>400</v>
      </c>
      <c r="E100" s="595">
        <v>0</v>
      </c>
      <c r="F100" s="595">
        <v>0</v>
      </c>
      <c r="G100" s="595">
        <v>0</v>
      </c>
      <c r="H100" s="595">
        <v>0</v>
      </c>
      <c r="I100" s="595">
        <v>0</v>
      </c>
      <c r="J100" s="595">
        <v>0</v>
      </c>
      <c r="K100" s="595">
        <v>0</v>
      </c>
      <c r="L100" s="595">
        <v>0</v>
      </c>
      <c r="M100" s="595">
        <v>0</v>
      </c>
      <c r="N100" s="595">
        <v>0</v>
      </c>
      <c r="O100" s="595">
        <v>0</v>
      </c>
      <c r="P100" s="595">
        <v>0</v>
      </c>
      <c r="Q100" s="595">
        <v>0</v>
      </c>
      <c r="R100" s="595">
        <v>0</v>
      </c>
      <c r="S100" s="595">
        <v>0</v>
      </c>
      <c r="T100" s="595">
        <v>0</v>
      </c>
      <c r="U100" s="595">
        <v>0</v>
      </c>
      <c r="V100" s="595">
        <v>0</v>
      </c>
      <c r="W100" s="595">
        <v>0</v>
      </c>
      <c r="X100" s="595">
        <v>0</v>
      </c>
      <c r="Y100" s="595">
        <v>0</v>
      </c>
      <c r="Z100" s="595">
        <v>0</v>
      </c>
      <c r="AA100" s="595">
        <v>0</v>
      </c>
      <c r="AB100" s="595">
        <v>0</v>
      </c>
      <c r="AC100" s="595">
        <v>0</v>
      </c>
      <c r="AD100" s="595">
        <v>0</v>
      </c>
      <c r="AE100" s="595">
        <v>0</v>
      </c>
      <c r="AF100" s="595">
        <v>0</v>
      </c>
      <c r="AG100" s="595">
        <v>0</v>
      </c>
      <c r="AH100" s="595">
        <v>0</v>
      </c>
      <c r="AI100" s="595">
        <v>0</v>
      </c>
      <c r="AJ100" s="595">
        <v>0</v>
      </c>
      <c r="AK100" s="595">
        <v>0</v>
      </c>
      <c r="AL100" s="595">
        <v>0</v>
      </c>
      <c r="AM100" s="595">
        <v>0</v>
      </c>
      <c r="AN100" s="595">
        <v>0</v>
      </c>
      <c r="AO100" s="595">
        <v>0</v>
      </c>
      <c r="AP100" s="595">
        <v>0</v>
      </c>
      <c r="AQ100" s="595">
        <v>0</v>
      </c>
      <c r="AR100" s="595">
        <v>0</v>
      </c>
      <c r="AS100" s="595">
        <v>0</v>
      </c>
      <c r="AT100" s="595">
        <v>0</v>
      </c>
      <c r="AU100" s="595">
        <v>0</v>
      </c>
      <c r="AV100" s="595">
        <v>0</v>
      </c>
      <c r="AW100" s="595"/>
      <c r="AX100" s="595"/>
      <c r="AY100" s="678"/>
      <c r="AZ100" s="678"/>
      <c r="BA100" s="594"/>
      <c r="BB100" s="604"/>
      <c r="BC100" s="604"/>
      <c r="BD100" s="604"/>
      <c r="BE100" s="604"/>
      <c r="BF100" s="604"/>
      <c r="BG100" s="604"/>
      <c r="BH100" s="604"/>
      <c r="BI100" s="594"/>
      <c r="BJ100" s="604">
        <f t="shared" si="10"/>
        <v>1020</v>
      </c>
      <c r="BK100" s="608">
        <f t="shared" si="11"/>
        <v>400</v>
      </c>
      <c r="BL100" s="541"/>
      <c r="BM100" s="42"/>
      <c r="BN100" s="624"/>
      <c r="BO100" s="624"/>
      <c r="BP100" s="624"/>
    </row>
    <row r="101" spans="1:1165">
      <c r="A101" s="593" t="s">
        <v>261</v>
      </c>
      <c r="B101" s="594" t="s">
        <v>196</v>
      </c>
      <c r="C101" s="670">
        <v>3.9550000000000001</v>
      </c>
      <c r="D101" s="670">
        <v>730</v>
      </c>
      <c r="E101" s="595">
        <v>0</v>
      </c>
      <c r="F101" s="595">
        <v>0</v>
      </c>
      <c r="G101" s="595">
        <v>0</v>
      </c>
      <c r="H101" s="595">
        <v>0</v>
      </c>
      <c r="I101" s="595">
        <v>0</v>
      </c>
      <c r="J101" s="595">
        <v>0</v>
      </c>
      <c r="K101" s="595">
        <v>0</v>
      </c>
      <c r="L101" s="595">
        <v>0</v>
      </c>
      <c r="M101" s="595">
        <v>0</v>
      </c>
      <c r="N101" s="595">
        <v>0</v>
      </c>
      <c r="O101" s="595">
        <v>0</v>
      </c>
      <c r="P101" s="595">
        <v>0</v>
      </c>
      <c r="Q101" s="595">
        <v>0</v>
      </c>
      <c r="R101" s="595">
        <v>0</v>
      </c>
      <c r="S101" s="595">
        <v>0</v>
      </c>
      <c r="T101" s="595">
        <v>0</v>
      </c>
      <c r="U101" s="595">
        <v>0</v>
      </c>
      <c r="V101" s="595">
        <v>0</v>
      </c>
      <c r="W101" s="595">
        <v>0</v>
      </c>
      <c r="X101" s="595">
        <v>0</v>
      </c>
      <c r="Y101" s="595">
        <v>0</v>
      </c>
      <c r="Z101" s="595">
        <v>0</v>
      </c>
      <c r="AA101" s="595">
        <v>0</v>
      </c>
      <c r="AB101" s="595">
        <v>0</v>
      </c>
      <c r="AC101" s="595">
        <v>0</v>
      </c>
      <c r="AD101" s="595">
        <v>0</v>
      </c>
      <c r="AE101" s="595">
        <v>0</v>
      </c>
      <c r="AF101" s="595">
        <v>0</v>
      </c>
      <c r="AG101" s="595">
        <v>0</v>
      </c>
      <c r="AH101" s="595">
        <v>0</v>
      </c>
      <c r="AI101" s="595">
        <v>0</v>
      </c>
      <c r="AJ101" s="595">
        <v>0</v>
      </c>
      <c r="AK101" s="595">
        <v>0</v>
      </c>
      <c r="AL101" s="595">
        <v>0</v>
      </c>
      <c r="AM101" s="595">
        <v>0</v>
      </c>
      <c r="AN101" s="595">
        <v>0</v>
      </c>
      <c r="AO101" s="595">
        <v>0</v>
      </c>
      <c r="AP101" s="595">
        <v>0</v>
      </c>
      <c r="AQ101" s="595">
        <v>0</v>
      </c>
      <c r="AR101" s="595">
        <v>0</v>
      </c>
      <c r="AS101" s="595">
        <v>0</v>
      </c>
      <c r="AT101" s="595">
        <v>0</v>
      </c>
      <c r="AU101" s="595">
        <v>0</v>
      </c>
      <c r="AV101" s="595">
        <v>0</v>
      </c>
      <c r="AW101" s="595"/>
      <c r="AX101" s="595"/>
      <c r="AY101" s="678"/>
      <c r="AZ101" s="678"/>
      <c r="BA101" s="594"/>
      <c r="BB101" s="604"/>
      <c r="BC101" s="604"/>
      <c r="BD101" s="604"/>
      <c r="BE101" s="604"/>
      <c r="BF101" s="604"/>
      <c r="BG101" s="604"/>
      <c r="BH101" s="604"/>
      <c r="BI101" s="594"/>
      <c r="BJ101" s="604">
        <f t="shared" si="10"/>
        <v>3.9550000000000001</v>
      </c>
      <c r="BK101" s="608">
        <f t="shared" si="11"/>
        <v>730</v>
      </c>
      <c r="BL101" s="541"/>
      <c r="BM101" s="42"/>
      <c r="BN101" s="624"/>
      <c r="BO101" s="624"/>
      <c r="BP101" s="624"/>
    </row>
    <row r="102" spans="1:1165">
      <c r="A102" s="593" t="s">
        <v>244</v>
      </c>
      <c r="B102" s="594" t="s">
        <v>196</v>
      </c>
      <c r="C102" s="670">
        <v>33484</v>
      </c>
      <c r="D102" s="670">
        <v>13545</v>
      </c>
      <c r="E102" s="595">
        <v>0</v>
      </c>
      <c r="F102" s="595">
        <v>0</v>
      </c>
      <c r="G102" s="595">
        <v>0</v>
      </c>
      <c r="H102" s="595">
        <v>0</v>
      </c>
      <c r="I102" s="595">
        <v>0</v>
      </c>
      <c r="J102" s="595">
        <v>0</v>
      </c>
      <c r="K102" s="595">
        <v>0</v>
      </c>
      <c r="L102" s="595">
        <v>0</v>
      </c>
      <c r="M102" s="595">
        <v>0</v>
      </c>
      <c r="N102" s="595">
        <v>0</v>
      </c>
      <c r="O102" s="595">
        <v>0</v>
      </c>
      <c r="P102" s="595">
        <v>0</v>
      </c>
      <c r="Q102" s="595">
        <v>0</v>
      </c>
      <c r="R102" s="595">
        <v>0</v>
      </c>
      <c r="S102" s="595">
        <v>0</v>
      </c>
      <c r="T102" s="595">
        <v>0</v>
      </c>
      <c r="U102" s="595">
        <v>0</v>
      </c>
      <c r="V102" s="595">
        <v>0</v>
      </c>
      <c r="W102" s="595">
        <v>0</v>
      </c>
      <c r="X102" s="595">
        <v>0</v>
      </c>
      <c r="Y102" s="595">
        <v>0</v>
      </c>
      <c r="Z102" s="595">
        <v>0</v>
      </c>
      <c r="AA102" s="595">
        <v>0</v>
      </c>
      <c r="AB102" s="595">
        <v>0</v>
      </c>
      <c r="AC102" s="595">
        <v>0</v>
      </c>
      <c r="AD102" s="595">
        <v>0</v>
      </c>
      <c r="AE102" s="595">
        <v>0</v>
      </c>
      <c r="AF102" s="595">
        <v>0</v>
      </c>
      <c r="AG102" s="595">
        <v>0</v>
      </c>
      <c r="AH102" s="595">
        <v>0</v>
      </c>
      <c r="AI102" s="595">
        <v>0</v>
      </c>
      <c r="AJ102" s="595">
        <v>0</v>
      </c>
      <c r="AK102" s="595">
        <v>0</v>
      </c>
      <c r="AL102" s="595">
        <v>0</v>
      </c>
      <c r="AM102" s="595">
        <v>0</v>
      </c>
      <c r="AN102" s="595">
        <v>0</v>
      </c>
      <c r="AO102" s="595">
        <v>0</v>
      </c>
      <c r="AP102" s="595">
        <v>0</v>
      </c>
      <c r="AQ102" s="595">
        <v>0</v>
      </c>
      <c r="AR102" s="595">
        <v>0</v>
      </c>
      <c r="AS102" s="595">
        <v>0</v>
      </c>
      <c r="AT102" s="595">
        <v>0</v>
      </c>
      <c r="AU102" s="595">
        <v>0</v>
      </c>
      <c r="AV102" s="595">
        <v>0</v>
      </c>
      <c r="AW102" s="595"/>
      <c r="AX102" s="595"/>
      <c r="AY102" s="678"/>
      <c r="AZ102" s="678"/>
      <c r="BA102" s="594"/>
      <c r="BB102" s="604"/>
      <c r="BC102" s="604"/>
      <c r="BD102" s="604"/>
      <c r="BE102" s="604"/>
      <c r="BF102" s="604"/>
      <c r="BG102" s="604"/>
      <c r="BH102" s="604"/>
      <c r="BI102" s="594"/>
      <c r="BJ102" s="604">
        <f t="shared" si="10"/>
        <v>33484</v>
      </c>
      <c r="BK102" s="608">
        <f t="shared" si="11"/>
        <v>13545</v>
      </c>
      <c r="BL102" s="541"/>
      <c r="BM102" s="42"/>
      <c r="BN102" s="624"/>
      <c r="BO102" s="624"/>
      <c r="BP102" s="624"/>
    </row>
    <row r="103" spans="1:1165">
      <c r="A103" s="593" t="s">
        <v>262</v>
      </c>
      <c r="B103" s="594" t="s">
        <v>196</v>
      </c>
      <c r="C103" s="670">
        <v>1422</v>
      </c>
      <c r="D103" s="670">
        <v>5378</v>
      </c>
      <c r="E103" s="595">
        <v>615</v>
      </c>
      <c r="F103" s="595">
        <v>2150</v>
      </c>
      <c r="G103" s="595">
        <v>270</v>
      </c>
      <c r="H103" s="595">
        <v>1080</v>
      </c>
      <c r="I103" s="595">
        <v>0</v>
      </c>
      <c r="J103" s="595">
        <v>0</v>
      </c>
      <c r="K103" s="595">
        <v>0</v>
      </c>
      <c r="L103" s="595">
        <v>0</v>
      </c>
      <c r="M103" s="595">
        <v>0</v>
      </c>
      <c r="N103" s="595">
        <v>0</v>
      </c>
      <c r="O103" s="595">
        <v>0</v>
      </c>
      <c r="P103" s="595">
        <v>0</v>
      </c>
      <c r="Q103" s="595">
        <v>0</v>
      </c>
      <c r="R103" s="595">
        <v>0</v>
      </c>
      <c r="S103" s="595">
        <v>0</v>
      </c>
      <c r="T103" s="595">
        <v>0</v>
      </c>
      <c r="U103" s="595">
        <v>0</v>
      </c>
      <c r="V103" s="595">
        <v>0</v>
      </c>
      <c r="W103" s="595">
        <v>0</v>
      </c>
      <c r="X103" s="595">
        <v>0</v>
      </c>
      <c r="Y103" s="595">
        <v>0</v>
      </c>
      <c r="Z103" s="595">
        <v>0</v>
      </c>
      <c r="AA103" s="595">
        <v>0</v>
      </c>
      <c r="AB103" s="595">
        <v>0</v>
      </c>
      <c r="AC103" s="595">
        <v>0</v>
      </c>
      <c r="AD103" s="595">
        <v>0</v>
      </c>
      <c r="AE103" s="595">
        <v>0</v>
      </c>
      <c r="AF103" s="595">
        <v>0</v>
      </c>
      <c r="AG103" s="595">
        <v>0</v>
      </c>
      <c r="AH103" s="595">
        <v>0</v>
      </c>
      <c r="AI103" s="595">
        <v>0</v>
      </c>
      <c r="AJ103" s="595">
        <v>0</v>
      </c>
      <c r="AK103" s="595">
        <v>0</v>
      </c>
      <c r="AL103" s="595">
        <v>0</v>
      </c>
      <c r="AM103" s="595">
        <v>0</v>
      </c>
      <c r="AN103" s="595">
        <v>0</v>
      </c>
      <c r="AO103" s="595">
        <v>0</v>
      </c>
      <c r="AP103" s="595">
        <v>0</v>
      </c>
      <c r="AQ103" s="595">
        <v>0</v>
      </c>
      <c r="AR103" s="595">
        <v>0</v>
      </c>
      <c r="AS103" s="595">
        <v>0</v>
      </c>
      <c r="AT103" s="595">
        <v>0</v>
      </c>
      <c r="AU103" s="595">
        <v>0</v>
      </c>
      <c r="AV103" s="595">
        <v>0</v>
      </c>
      <c r="AW103" s="595"/>
      <c r="AX103" s="595"/>
      <c r="AY103" s="677"/>
      <c r="AZ103" s="677"/>
      <c r="BA103" s="672"/>
      <c r="BB103" s="595"/>
      <c r="BC103" s="595"/>
      <c r="BD103" s="595"/>
      <c r="BE103" s="595"/>
      <c r="BF103" s="595"/>
      <c r="BG103" s="595"/>
      <c r="BH103" s="595"/>
      <c r="BI103" s="672"/>
      <c r="BJ103" s="595">
        <f t="shared" si="10"/>
        <v>1692</v>
      </c>
      <c r="BK103" s="608">
        <f t="shared" si="11"/>
        <v>6458</v>
      </c>
      <c r="BL103" s="541"/>
      <c r="BM103" s="42"/>
      <c r="BN103" s="624"/>
      <c r="BP103" s="624"/>
    </row>
    <row r="104" spans="1:1165">
      <c r="A104" s="593" t="s">
        <v>263</v>
      </c>
      <c r="B104" s="594" t="s">
        <v>196</v>
      </c>
      <c r="C104" s="670">
        <v>20447</v>
      </c>
      <c r="D104" s="670">
        <v>14412</v>
      </c>
      <c r="E104" s="595">
        <v>0</v>
      </c>
      <c r="F104" s="595">
        <v>0</v>
      </c>
      <c r="G104" s="595">
        <v>0</v>
      </c>
      <c r="H104" s="595">
        <v>0</v>
      </c>
      <c r="I104" s="595">
        <v>0</v>
      </c>
      <c r="J104" s="595">
        <v>0</v>
      </c>
      <c r="K104" s="595">
        <v>0</v>
      </c>
      <c r="L104" s="595">
        <v>0</v>
      </c>
      <c r="M104" s="595">
        <v>0</v>
      </c>
      <c r="N104" s="595">
        <v>0</v>
      </c>
      <c r="O104" s="595">
        <v>54</v>
      </c>
      <c r="P104" s="595">
        <v>50214</v>
      </c>
      <c r="Q104" s="595">
        <v>0</v>
      </c>
      <c r="R104" s="595">
        <v>0</v>
      </c>
      <c r="S104" s="595">
        <v>0</v>
      </c>
      <c r="T104" s="595">
        <v>0</v>
      </c>
      <c r="U104" s="595">
        <v>0</v>
      </c>
      <c r="V104" s="595">
        <v>0</v>
      </c>
      <c r="W104" s="595">
        <v>0</v>
      </c>
      <c r="X104" s="595">
        <v>0</v>
      </c>
      <c r="Y104" s="595">
        <v>0</v>
      </c>
      <c r="Z104" s="595">
        <v>0</v>
      </c>
      <c r="AA104" s="595">
        <v>0</v>
      </c>
      <c r="AB104" s="595">
        <v>0</v>
      </c>
      <c r="AC104" s="595">
        <v>0</v>
      </c>
      <c r="AD104" s="595">
        <v>0</v>
      </c>
      <c r="AE104" s="595">
        <v>0</v>
      </c>
      <c r="AF104" s="595">
        <v>0</v>
      </c>
      <c r="AG104" s="595">
        <v>0</v>
      </c>
      <c r="AH104" s="595">
        <v>0</v>
      </c>
      <c r="AI104" s="595">
        <v>0</v>
      </c>
      <c r="AJ104" s="595">
        <v>0</v>
      </c>
      <c r="AK104" s="595">
        <v>0</v>
      </c>
      <c r="AL104" s="595">
        <v>0</v>
      </c>
      <c r="AM104" s="595">
        <v>0</v>
      </c>
      <c r="AN104" s="595">
        <v>0</v>
      </c>
      <c r="AO104" s="595">
        <v>0</v>
      </c>
      <c r="AP104" s="595">
        <v>0</v>
      </c>
      <c r="AQ104" s="595">
        <v>0</v>
      </c>
      <c r="AR104" s="595">
        <v>0</v>
      </c>
      <c r="AS104" s="595">
        <v>0</v>
      </c>
      <c r="AT104" s="595">
        <v>0</v>
      </c>
      <c r="AU104" s="595">
        <v>0</v>
      </c>
      <c r="AV104" s="595">
        <v>0</v>
      </c>
      <c r="AW104" s="595"/>
      <c r="AX104" s="595"/>
      <c r="AY104" s="677"/>
      <c r="AZ104" s="677"/>
      <c r="BA104" s="595"/>
      <c r="BB104" s="595"/>
      <c r="BC104" s="595"/>
      <c r="BD104" s="595"/>
      <c r="BE104" s="595"/>
      <c r="BF104" s="595"/>
      <c r="BG104" s="595"/>
      <c r="BH104" s="595"/>
      <c r="BI104" s="595"/>
      <c r="BJ104" s="595">
        <f t="shared" si="10"/>
        <v>20501</v>
      </c>
      <c r="BK104" s="608">
        <f t="shared" si="11"/>
        <v>64626</v>
      </c>
      <c r="BL104" s="541"/>
      <c r="BM104" s="42"/>
      <c r="BN104" s="624"/>
      <c r="BO104" s="624"/>
      <c r="BP104" s="624"/>
    </row>
    <row r="105" spans="1:1165">
      <c r="A105" s="593" t="s">
        <v>264</v>
      </c>
      <c r="B105" s="594" t="s">
        <v>196</v>
      </c>
      <c r="C105" s="670">
        <v>1035</v>
      </c>
      <c r="D105" s="670">
        <v>2124</v>
      </c>
      <c r="E105" s="595">
        <v>0</v>
      </c>
      <c r="F105" s="595">
        <v>0</v>
      </c>
      <c r="G105" s="595">
        <v>0</v>
      </c>
      <c r="H105" s="595">
        <v>0</v>
      </c>
      <c r="I105" s="595">
        <v>0</v>
      </c>
      <c r="J105" s="595">
        <v>0</v>
      </c>
      <c r="K105" s="595">
        <v>0</v>
      </c>
      <c r="L105" s="595">
        <v>0</v>
      </c>
      <c r="M105" s="595">
        <v>0</v>
      </c>
      <c r="N105" s="595">
        <v>0</v>
      </c>
      <c r="O105" s="595">
        <v>0</v>
      </c>
      <c r="P105" s="595">
        <v>0</v>
      </c>
      <c r="Q105" s="595">
        <v>0</v>
      </c>
      <c r="R105" s="595">
        <v>0</v>
      </c>
      <c r="S105" s="595">
        <v>0</v>
      </c>
      <c r="T105" s="595">
        <v>0</v>
      </c>
      <c r="U105" s="595">
        <v>0</v>
      </c>
      <c r="V105" s="595">
        <v>0</v>
      </c>
      <c r="W105" s="595">
        <v>0</v>
      </c>
      <c r="X105" s="595">
        <v>0</v>
      </c>
      <c r="Y105" s="623">
        <v>0</v>
      </c>
      <c r="Z105" s="623">
        <v>0</v>
      </c>
      <c r="AA105" s="623">
        <v>0</v>
      </c>
      <c r="AB105" s="623">
        <v>0</v>
      </c>
      <c r="AC105" s="608">
        <v>81</v>
      </c>
      <c r="AD105" s="608">
        <v>15713</v>
      </c>
      <c r="AE105" s="586">
        <v>7</v>
      </c>
      <c r="AF105" s="586">
        <v>1425</v>
      </c>
      <c r="AG105" s="586">
        <v>0</v>
      </c>
      <c r="AH105" s="586">
        <v>0</v>
      </c>
      <c r="AI105" s="586">
        <v>0</v>
      </c>
      <c r="AJ105" s="586">
        <v>0</v>
      </c>
      <c r="AK105" s="586">
        <v>0</v>
      </c>
      <c r="AL105" s="586">
        <v>0</v>
      </c>
      <c r="AM105" s="586">
        <v>0</v>
      </c>
      <c r="AN105" s="586">
        <v>0</v>
      </c>
      <c r="AO105" s="586">
        <v>0</v>
      </c>
      <c r="AP105" s="586">
        <v>0</v>
      </c>
      <c r="AQ105" s="586">
        <v>0</v>
      </c>
      <c r="AR105" s="586">
        <v>0</v>
      </c>
      <c r="AS105" s="586">
        <v>0</v>
      </c>
      <c r="AT105" s="586">
        <v>0</v>
      </c>
      <c r="AU105" s="595">
        <v>0</v>
      </c>
      <c r="AV105" s="595">
        <v>0</v>
      </c>
      <c r="AW105" s="608"/>
      <c r="AX105" s="608"/>
      <c r="AY105" s="680"/>
      <c r="AZ105" s="680"/>
      <c r="BA105" s="586"/>
      <c r="BB105" s="608"/>
      <c r="BC105" s="608"/>
      <c r="BD105" s="608"/>
      <c r="BE105" s="608"/>
      <c r="BF105" s="608"/>
      <c r="BG105" s="608"/>
      <c r="BH105" s="608"/>
      <c r="BI105" s="586"/>
      <c r="BJ105" s="608">
        <f t="shared" si="10"/>
        <v>1123</v>
      </c>
      <c r="BK105" s="608">
        <f t="shared" si="11"/>
        <v>19262</v>
      </c>
      <c r="BL105" s="541"/>
      <c r="BM105" s="42"/>
      <c r="BN105" s="624"/>
      <c r="BO105" s="624"/>
      <c r="BP105" s="624"/>
    </row>
    <row r="106" spans="1:1165">
      <c r="A106" s="593" t="s">
        <v>265</v>
      </c>
      <c r="B106" s="594" t="s">
        <v>196</v>
      </c>
      <c r="C106" s="595">
        <v>0</v>
      </c>
      <c r="D106" s="595">
        <v>0</v>
      </c>
      <c r="E106" s="595">
        <v>0</v>
      </c>
      <c r="F106" s="595">
        <v>0</v>
      </c>
      <c r="G106" s="595">
        <v>0</v>
      </c>
      <c r="H106" s="595">
        <v>0</v>
      </c>
      <c r="I106" s="595">
        <v>0</v>
      </c>
      <c r="J106" s="595">
        <v>0</v>
      </c>
      <c r="K106" s="595">
        <v>0</v>
      </c>
      <c r="L106" s="595">
        <v>0</v>
      </c>
      <c r="M106" s="595">
        <v>0</v>
      </c>
      <c r="N106" s="595">
        <v>0</v>
      </c>
      <c r="O106" s="595">
        <v>0</v>
      </c>
      <c r="P106" s="595">
        <v>0</v>
      </c>
      <c r="Q106" s="595">
        <v>0</v>
      </c>
      <c r="R106" s="595">
        <v>0</v>
      </c>
      <c r="S106" s="595">
        <v>0</v>
      </c>
      <c r="T106" s="595">
        <v>0</v>
      </c>
      <c r="U106" s="595">
        <v>0</v>
      </c>
      <c r="V106" s="595">
        <v>0</v>
      </c>
      <c r="W106" s="595">
        <v>0</v>
      </c>
      <c r="X106" s="595">
        <v>0</v>
      </c>
      <c r="Y106" s="623">
        <v>0</v>
      </c>
      <c r="Z106" s="623">
        <v>0</v>
      </c>
      <c r="AA106" s="623">
        <v>0</v>
      </c>
      <c r="AB106" s="623">
        <v>0</v>
      </c>
      <c r="AC106" s="595">
        <v>1143</v>
      </c>
      <c r="AD106" s="595">
        <v>6680</v>
      </c>
      <c r="AE106" s="586">
        <v>720</v>
      </c>
      <c r="AF106" s="586">
        <v>870</v>
      </c>
      <c r="AG106" s="586">
        <v>0</v>
      </c>
      <c r="AH106" s="586">
        <v>0</v>
      </c>
      <c r="AI106" s="586">
        <v>25701</v>
      </c>
      <c r="AJ106" s="586">
        <v>35990</v>
      </c>
      <c r="AK106" s="595">
        <v>0</v>
      </c>
      <c r="AL106" s="595">
        <v>0</v>
      </c>
      <c r="AM106" s="676">
        <v>28730</v>
      </c>
      <c r="AN106" s="676">
        <v>17238</v>
      </c>
      <c r="AO106" s="586">
        <v>0</v>
      </c>
      <c r="AP106" s="586">
        <v>0</v>
      </c>
      <c r="AQ106" s="586">
        <v>60</v>
      </c>
      <c r="AR106" s="586">
        <v>36000</v>
      </c>
      <c r="AS106" s="586">
        <v>40.090000000000003</v>
      </c>
      <c r="AT106" s="586">
        <v>24054</v>
      </c>
      <c r="AU106" s="623">
        <v>111830</v>
      </c>
      <c r="AV106" s="623">
        <v>67098</v>
      </c>
      <c r="AW106" s="682"/>
      <c r="AX106" s="682"/>
      <c r="AY106" s="696"/>
      <c r="AZ106" s="696"/>
      <c r="BA106" s="625"/>
      <c r="BB106" s="682"/>
      <c r="BC106" s="682"/>
      <c r="BD106" s="682"/>
      <c r="BE106" s="682"/>
      <c r="BF106" s="682"/>
      <c r="BG106" s="682"/>
      <c r="BH106" s="682"/>
      <c r="BI106" s="625"/>
      <c r="BJ106" s="682">
        <f t="shared" si="10"/>
        <v>168224.09</v>
      </c>
      <c r="BK106" s="608">
        <f t="shared" si="11"/>
        <v>187930</v>
      </c>
      <c r="BL106" s="541"/>
      <c r="BM106" s="42"/>
      <c r="BP106" s="624"/>
    </row>
    <row r="107" spans="1:1165">
      <c r="A107" s="593" t="s">
        <v>266</v>
      </c>
      <c r="B107" s="594" t="s">
        <v>196</v>
      </c>
      <c r="C107" s="595">
        <v>0</v>
      </c>
      <c r="D107" s="595">
        <v>0</v>
      </c>
      <c r="E107" s="595">
        <v>0</v>
      </c>
      <c r="F107" s="595">
        <v>0</v>
      </c>
      <c r="G107" s="595">
        <v>0</v>
      </c>
      <c r="H107" s="595">
        <v>0</v>
      </c>
      <c r="I107" s="595">
        <v>0</v>
      </c>
      <c r="J107" s="595">
        <v>0</v>
      </c>
      <c r="K107" s="595">
        <v>0</v>
      </c>
      <c r="L107" s="595">
        <v>0</v>
      </c>
      <c r="M107" s="595">
        <v>0</v>
      </c>
      <c r="N107" s="595">
        <v>0</v>
      </c>
      <c r="O107" s="595">
        <v>0</v>
      </c>
      <c r="P107" s="595">
        <v>0</v>
      </c>
      <c r="Q107" s="595">
        <v>0</v>
      </c>
      <c r="R107" s="595">
        <v>0</v>
      </c>
      <c r="S107" s="595">
        <v>0</v>
      </c>
      <c r="T107" s="595">
        <v>0</v>
      </c>
      <c r="U107" s="595">
        <v>0</v>
      </c>
      <c r="V107" s="595">
        <v>0</v>
      </c>
      <c r="W107" s="608">
        <v>1260</v>
      </c>
      <c r="X107" s="608">
        <v>12600</v>
      </c>
      <c r="Y107" s="623">
        <v>0</v>
      </c>
      <c r="Z107" s="623">
        <v>0</v>
      </c>
      <c r="AA107" s="623">
        <v>0</v>
      </c>
      <c r="AB107" s="623">
        <v>0</v>
      </c>
      <c r="AC107" s="623">
        <v>0</v>
      </c>
      <c r="AD107" s="623">
        <v>0</v>
      </c>
      <c r="AE107" s="623">
        <v>0</v>
      </c>
      <c r="AF107" s="623">
        <v>0</v>
      </c>
      <c r="AG107" s="623">
        <v>0</v>
      </c>
      <c r="AH107" s="623">
        <v>0</v>
      </c>
      <c r="AI107" s="623">
        <v>0</v>
      </c>
      <c r="AJ107" s="623">
        <v>0</v>
      </c>
      <c r="AK107" s="623">
        <v>0</v>
      </c>
      <c r="AL107" s="623">
        <v>0</v>
      </c>
      <c r="AM107" s="623">
        <v>0</v>
      </c>
      <c r="AN107" s="623">
        <v>0</v>
      </c>
      <c r="AO107" s="623">
        <v>0</v>
      </c>
      <c r="AP107" s="623">
        <v>0</v>
      </c>
      <c r="AQ107" s="623">
        <v>0</v>
      </c>
      <c r="AR107" s="623">
        <v>0</v>
      </c>
      <c r="AS107" s="623">
        <v>0</v>
      </c>
      <c r="AT107" s="623">
        <v>0</v>
      </c>
      <c r="AU107" s="623">
        <v>0</v>
      </c>
      <c r="AV107" s="623">
        <v>0</v>
      </c>
      <c r="AW107" s="608"/>
      <c r="AX107" s="608"/>
      <c r="AY107" s="680"/>
      <c r="AZ107" s="680"/>
      <c r="BA107" s="586"/>
      <c r="BB107" s="608"/>
      <c r="BC107" s="608"/>
      <c r="BD107" s="608"/>
      <c r="BE107" s="608"/>
      <c r="BF107" s="608"/>
      <c r="BG107" s="608"/>
      <c r="BH107" s="608"/>
      <c r="BI107" s="586"/>
      <c r="BJ107" s="608">
        <f t="shared" si="10"/>
        <v>1260</v>
      </c>
      <c r="BK107" s="608">
        <f t="shared" si="11"/>
        <v>12600</v>
      </c>
      <c r="BL107" s="541"/>
      <c r="BM107" s="624"/>
      <c r="BN107" s="624"/>
      <c r="BP107" s="624"/>
    </row>
    <row r="108" spans="1:1165">
      <c r="A108" s="596" t="s">
        <v>267</v>
      </c>
      <c r="B108" s="430"/>
      <c r="C108" s="684"/>
      <c r="D108" s="684">
        <f>SUM(D87:D107)</f>
        <v>450462</v>
      </c>
      <c r="E108" s="608"/>
      <c r="F108" s="608">
        <f>SUM(F87:F107)</f>
        <v>86983</v>
      </c>
      <c r="G108" s="608"/>
      <c r="H108" s="608">
        <f>SUM(H87:H107)</f>
        <v>7114</v>
      </c>
      <c r="I108" s="608"/>
      <c r="J108" s="608">
        <f>SUM(J87:J107)</f>
        <v>39907</v>
      </c>
      <c r="K108" s="608"/>
      <c r="L108" s="608">
        <f>SUM(L87:L107)</f>
        <v>73784</v>
      </c>
      <c r="M108" s="608"/>
      <c r="N108" s="608">
        <f>SUM(N87:N107)</f>
        <v>60704</v>
      </c>
      <c r="O108" s="608"/>
      <c r="P108" s="608">
        <f>SUM(P87:P107)</f>
        <v>140582</v>
      </c>
      <c r="Q108" s="608"/>
      <c r="R108" s="608">
        <f>SUM(R87:R107)</f>
        <v>54199</v>
      </c>
      <c r="S108" s="608"/>
      <c r="T108" s="608">
        <f>SUM(T87:T107)</f>
        <v>195500</v>
      </c>
      <c r="U108" s="586"/>
      <c r="V108" s="586">
        <f>SUM(V87:V107)</f>
        <v>288126</v>
      </c>
      <c r="W108" s="672"/>
      <c r="X108" s="595">
        <f>SUM(X87:X107)</f>
        <v>187287</v>
      </c>
      <c r="Y108" s="586"/>
      <c r="Z108" s="586">
        <f>SUM(Z87:Z107)</f>
        <v>3291</v>
      </c>
      <c r="AA108" s="586"/>
      <c r="AB108" s="623">
        <f>SUM(AB87:AB107)</f>
        <v>163926</v>
      </c>
      <c r="AC108" s="595"/>
      <c r="AD108" s="595">
        <f>SUM(AD87:AD107)</f>
        <v>1332783</v>
      </c>
      <c r="AE108" s="586"/>
      <c r="AF108" s="623">
        <f>SUM(AF87:AF107)</f>
        <v>1215324</v>
      </c>
      <c r="AG108" s="586"/>
      <c r="AH108" s="586">
        <f>SUM(AH87:AH107)</f>
        <v>1610808</v>
      </c>
      <c r="AI108" s="586"/>
      <c r="AJ108" s="586">
        <f>SUM(AJ87:AJ107)</f>
        <v>749726</v>
      </c>
      <c r="AK108" s="586"/>
      <c r="AL108" s="673">
        <f>SUM(AL87:AL107)</f>
        <v>25893</v>
      </c>
      <c r="AM108" s="586"/>
      <c r="AN108" s="586">
        <f>SUM(AN87:AN106)</f>
        <v>51848</v>
      </c>
      <c r="AO108" s="686"/>
      <c r="AP108" s="586">
        <f>SUM(AP87:AP107)</f>
        <v>4027</v>
      </c>
      <c r="AQ108" s="586"/>
      <c r="AR108" s="586">
        <f>SUM(AR87:AR107)</f>
        <v>54006</v>
      </c>
      <c r="AS108" s="586"/>
      <c r="AT108" s="586">
        <f>SUM(AT87:AT107)</f>
        <v>41194</v>
      </c>
      <c r="AU108" s="586"/>
      <c r="AV108" s="586">
        <f>SUM(AV87:AV107)</f>
        <v>135243</v>
      </c>
      <c r="AW108" s="623">
        <v>540965</v>
      </c>
      <c r="AX108" s="623">
        <v>546807</v>
      </c>
      <c r="AY108" s="595">
        <v>180669</v>
      </c>
      <c r="AZ108" s="595">
        <v>219320.33</v>
      </c>
      <c r="BA108" s="595"/>
      <c r="BB108" s="595"/>
      <c r="BC108" s="586"/>
      <c r="BD108" s="595"/>
      <c r="BE108" s="586"/>
      <c r="BF108" s="624"/>
      <c r="BG108" s="586"/>
      <c r="BH108" s="624"/>
      <c r="BI108" s="586"/>
      <c r="BJ108" s="595"/>
      <c r="BK108" s="608">
        <f>D108+H108+J108+L108+N108+P108+R108+T108+V108+X108+Z108+AB108+AD108+AF108+AH108+AJ108+AL108+AN108+AP108+AR108+AT108+AV108+AX108+AZ108+BD108+BH108</f>
        <v>7651861.3300000001</v>
      </c>
      <c r="BL108" s="541"/>
      <c r="BM108" s="624"/>
      <c r="BN108" s="624"/>
      <c r="BP108" s="624"/>
    </row>
    <row r="109" spans="1:1165">
      <c r="A109" s="596"/>
      <c r="B109" s="430"/>
      <c r="C109" s="684"/>
      <c r="D109" s="684"/>
      <c r="E109" s="608"/>
      <c r="F109" s="608"/>
      <c r="G109" s="608"/>
      <c r="H109" s="608"/>
      <c r="I109" s="608"/>
      <c r="J109" s="608"/>
      <c r="K109" s="608"/>
      <c r="L109" s="608"/>
      <c r="M109" s="608"/>
      <c r="N109" s="608"/>
      <c r="O109" s="608"/>
      <c r="P109" s="608"/>
      <c r="Q109" s="608"/>
      <c r="R109" s="608"/>
      <c r="S109" s="608"/>
      <c r="T109" s="608"/>
      <c r="U109" s="586"/>
      <c r="V109" s="586"/>
      <c r="W109" s="672"/>
      <c r="X109" s="595"/>
      <c r="Y109" s="586"/>
      <c r="Z109" s="586"/>
      <c r="AA109" s="586"/>
      <c r="AB109" s="623"/>
      <c r="AC109" s="595"/>
      <c r="AD109" s="595"/>
      <c r="AE109" s="586"/>
      <c r="AF109" s="623"/>
      <c r="AG109" s="586"/>
      <c r="AH109" s="586"/>
      <c r="AI109" s="586"/>
      <c r="AJ109" s="586"/>
      <c r="AK109" s="586"/>
      <c r="AL109" s="673"/>
      <c r="AM109" s="586"/>
      <c r="AN109" s="586"/>
      <c r="AO109" s="686"/>
      <c r="AP109" s="586"/>
      <c r="AQ109" s="586"/>
      <c r="AR109" s="586"/>
      <c r="AS109" s="586"/>
      <c r="AT109" s="586"/>
      <c r="AU109" s="586"/>
      <c r="AV109" s="586"/>
      <c r="AW109" s="650"/>
      <c r="AX109" s="650"/>
      <c r="AY109" s="648"/>
      <c r="AZ109" s="648"/>
      <c r="BA109" s="686"/>
      <c r="BB109" s="650"/>
      <c r="BC109" s="650"/>
      <c r="BD109" s="650"/>
      <c r="BE109" s="650"/>
      <c r="BF109" s="650"/>
      <c r="BG109" s="650"/>
      <c r="BH109" s="650"/>
      <c r="BI109" s="686"/>
      <c r="BJ109" s="650"/>
      <c r="BK109" s="650"/>
      <c r="BL109" s="541"/>
      <c r="BP109" s="624"/>
    </row>
    <row r="110" spans="1:1165" s="658" customFormat="1">
      <c r="A110" s="577" t="s">
        <v>268</v>
      </c>
      <c r="B110" s="578" t="s">
        <v>110</v>
      </c>
      <c r="C110" s="659">
        <v>6571</v>
      </c>
      <c r="D110" s="659">
        <v>300679</v>
      </c>
      <c r="E110" s="581">
        <v>0</v>
      </c>
      <c r="F110" s="581">
        <v>0</v>
      </c>
      <c r="G110" s="581">
        <v>0</v>
      </c>
      <c r="H110" s="581">
        <v>0</v>
      </c>
      <c r="I110" s="581">
        <v>0</v>
      </c>
      <c r="J110" s="581">
        <v>0</v>
      </c>
      <c r="K110" s="581">
        <v>0</v>
      </c>
      <c r="L110" s="581">
        <v>0</v>
      </c>
      <c r="M110" s="581">
        <v>0</v>
      </c>
      <c r="N110" s="581">
        <v>0</v>
      </c>
      <c r="O110" s="581">
        <v>0</v>
      </c>
      <c r="P110" s="581">
        <v>0</v>
      </c>
      <c r="Q110" s="581">
        <v>0</v>
      </c>
      <c r="R110" s="581">
        <v>0</v>
      </c>
      <c r="S110" s="581">
        <v>0</v>
      </c>
      <c r="T110" s="581">
        <v>0</v>
      </c>
      <c r="U110" s="581">
        <v>0</v>
      </c>
      <c r="V110" s="581">
        <v>0</v>
      </c>
      <c r="W110" s="581">
        <v>0</v>
      </c>
      <c r="X110" s="581">
        <v>0</v>
      </c>
      <c r="Y110" s="581">
        <v>0</v>
      </c>
      <c r="Z110" s="581">
        <v>0</v>
      </c>
      <c r="AA110" s="581">
        <v>0</v>
      </c>
      <c r="AB110" s="581">
        <v>0</v>
      </c>
      <c r="AC110" s="581">
        <v>0</v>
      </c>
      <c r="AD110" s="581">
        <v>0</v>
      </c>
      <c r="AE110" s="581">
        <v>0</v>
      </c>
      <c r="AF110" s="581">
        <v>0</v>
      </c>
      <c r="AG110" s="581">
        <v>0</v>
      </c>
      <c r="AH110" s="581">
        <v>0</v>
      </c>
      <c r="AI110" s="581">
        <v>0</v>
      </c>
      <c r="AJ110" s="581">
        <v>0</v>
      </c>
      <c r="AK110" s="581">
        <v>0</v>
      </c>
      <c r="AL110" s="581">
        <v>0</v>
      </c>
      <c r="AM110" s="581">
        <v>0</v>
      </c>
      <c r="AN110" s="581">
        <v>0</v>
      </c>
      <c r="AO110" s="581">
        <v>0</v>
      </c>
      <c r="AP110" s="581">
        <v>0</v>
      </c>
      <c r="AQ110" s="581">
        <v>0</v>
      </c>
      <c r="AR110" s="581">
        <v>0</v>
      </c>
      <c r="AS110" s="581">
        <v>0</v>
      </c>
      <c r="AT110" s="581">
        <v>0</v>
      </c>
      <c r="AU110" s="581">
        <v>0</v>
      </c>
      <c r="AV110" s="581">
        <v>0</v>
      </c>
      <c r="AW110" s="581">
        <v>0</v>
      </c>
      <c r="AX110" s="581">
        <v>0</v>
      </c>
      <c r="AY110" s="581">
        <v>0</v>
      </c>
      <c r="AZ110" s="581">
        <v>0</v>
      </c>
      <c r="BA110" s="578"/>
      <c r="BB110" s="581"/>
      <c r="BC110" s="581"/>
      <c r="BD110" s="581"/>
      <c r="BE110" s="616"/>
      <c r="BF110" s="581"/>
      <c r="BG110" s="581"/>
      <c r="BH110" s="581"/>
      <c r="BI110" s="616"/>
      <c r="BJ110" s="651">
        <f>C110+G110+I110+K110+M110+O110+Q110+S110+U110+W110+Y110+AA110+AC110+AE110+AG110+AI110+AK110+AM110+AO110+AQ110+AS110+AU110+AW110+AY110+BB110+BF110</f>
        <v>6571</v>
      </c>
      <c r="BK110" s="581">
        <f>D110+H110+J110+L110+N110+P110+R110+T110+V110+X110+Z110+AB110+AD110+AF110+AH110+AJ110+AL110+AN110+AP110+AR110+AT110+AV110+AX110+AZ110+BD110+BH110</f>
        <v>300679</v>
      </c>
      <c r="BL110" s="541"/>
      <c r="BM110" s="624"/>
      <c r="BN110" s="541"/>
      <c r="BO110" s="541"/>
      <c r="BP110" s="624"/>
      <c r="BQ110" s="541"/>
      <c r="BR110" s="541"/>
      <c r="BS110" s="541"/>
      <c r="BT110" s="541"/>
      <c r="BU110" s="541"/>
      <c r="BV110" s="541"/>
      <c r="BW110" s="541"/>
      <c r="BX110" s="541"/>
      <c r="BY110" s="541"/>
      <c r="BZ110" s="541"/>
      <c r="CA110" s="541"/>
      <c r="CB110" s="541"/>
      <c r="CC110" s="541"/>
      <c r="CD110" s="541"/>
      <c r="CE110" s="541"/>
      <c r="CF110" s="541"/>
      <c r="CG110" s="541"/>
      <c r="CH110" s="541"/>
      <c r="CI110" s="541"/>
      <c r="CJ110" s="541"/>
      <c r="CK110" s="541"/>
      <c r="CL110" s="541"/>
      <c r="CM110" s="541"/>
      <c r="CN110" s="541"/>
      <c r="CO110" s="541"/>
      <c r="CP110" s="541"/>
      <c r="CQ110" s="541"/>
      <c r="CR110" s="541"/>
      <c r="CS110" s="541"/>
      <c r="CT110" s="541"/>
      <c r="CU110" s="541"/>
      <c r="CV110" s="541"/>
      <c r="CW110" s="541"/>
      <c r="CX110" s="541"/>
      <c r="CY110" s="541"/>
      <c r="CZ110" s="541"/>
      <c r="DA110" s="541"/>
      <c r="DB110" s="541"/>
      <c r="DC110" s="541"/>
      <c r="DD110" s="541"/>
      <c r="DE110" s="541"/>
      <c r="DF110" s="541"/>
      <c r="DG110" s="541"/>
      <c r="DH110" s="541"/>
      <c r="DI110" s="541"/>
      <c r="DJ110" s="541"/>
      <c r="DK110" s="541"/>
      <c r="DL110" s="541"/>
      <c r="DM110" s="541"/>
      <c r="DN110" s="541"/>
      <c r="DO110" s="541"/>
      <c r="DP110" s="541"/>
      <c r="DQ110" s="541"/>
      <c r="DR110" s="541"/>
      <c r="DS110" s="541"/>
      <c r="DT110" s="541"/>
      <c r="DU110" s="541"/>
      <c r="DV110" s="541"/>
      <c r="DW110" s="541"/>
      <c r="DX110" s="541"/>
      <c r="DY110" s="541"/>
      <c r="DZ110" s="541"/>
      <c r="EA110" s="541"/>
      <c r="EB110" s="541"/>
      <c r="EC110" s="541"/>
      <c r="ED110" s="541"/>
      <c r="EE110" s="541"/>
      <c r="EF110" s="541"/>
      <c r="EG110" s="541"/>
      <c r="EH110" s="541"/>
      <c r="EI110" s="541"/>
      <c r="EJ110" s="541"/>
      <c r="EK110" s="541"/>
      <c r="EL110" s="541"/>
      <c r="EM110" s="541"/>
      <c r="EN110" s="541"/>
      <c r="EO110" s="541"/>
      <c r="EP110" s="541"/>
      <c r="EQ110" s="541"/>
      <c r="ER110" s="541"/>
      <c r="ES110" s="541"/>
      <c r="ET110" s="541"/>
      <c r="EU110" s="541"/>
      <c r="EV110" s="541"/>
      <c r="EW110" s="541"/>
      <c r="EX110" s="541"/>
      <c r="EY110" s="541"/>
      <c r="EZ110" s="541"/>
      <c r="FA110" s="541"/>
      <c r="FB110" s="541"/>
      <c r="FC110" s="541"/>
      <c r="FD110" s="541"/>
      <c r="FE110" s="541"/>
      <c r="FF110" s="541"/>
      <c r="FG110" s="541"/>
      <c r="FH110" s="541"/>
      <c r="FI110" s="541"/>
      <c r="FJ110" s="541"/>
      <c r="FK110" s="541"/>
      <c r="FL110" s="541"/>
      <c r="FM110" s="541"/>
      <c r="FN110" s="541"/>
      <c r="FO110" s="541"/>
      <c r="FP110" s="541"/>
      <c r="FQ110" s="541"/>
      <c r="FR110" s="541"/>
      <c r="FS110" s="541"/>
      <c r="FT110" s="541"/>
      <c r="FU110" s="541"/>
      <c r="FV110" s="541"/>
      <c r="FW110" s="541"/>
      <c r="FX110" s="541"/>
      <c r="FY110" s="541"/>
      <c r="FZ110" s="541"/>
      <c r="GA110" s="541"/>
      <c r="GB110" s="541"/>
      <c r="GC110" s="541"/>
      <c r="GD110" s="541"/>
      <c r="GE110" s="541"/>
      <c r="GF110" s="541"/>
      <c r="GG110" s="541"/>
      <c r="GH110" s="541"/>
      <c r="GI110" s="541"/>
      <c r="GJ110" s="541"/>
      <c r="GK110" s="541"/>
      <c r="GL110" s="541"/>
      <c r="GM110" s="541"/>
      <c r="GN110" s="541"/>
      <c r="GO110" s="541"/>
      <c r="GP110" s="541"/>
      <c r="GQ110" s="541"/>
      <c r="GR110" s="541"/>
      <c r="GS110" s="541"/>
      <c r="GT110" s="541"/>
      <c r="GU110" s="541"/>
      <c r="GV110" s="541"/>
      <c r="GW110" s="541"/>
      <c r="GX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E110" s="541"/>
      <c r="IF110" s="541"/>
      <c r="IG110" s="541"/>
      <c r="IH110" s="541"/>
      <c r="II110" s="541"/>
      <c r="IJ110" s="541"/>
      <c r="IK110" s="541"/>
      <c r="IL110" s="541"/>
      <c r="IM110" s="541"/>
      <c r="IN110" s="541"/>
      <c r="IO110" s="541"/>
      <c r="IP110" s="541"/>
      <c r="IQ110" s="541"/>
      <c r="IR110" s="541"/>
      <c r="IS110" s="541"/>
      <c r="IT110" s="541"/>
      <c r="IU110" s="541"/>
      <c r="IV110" s="541"/>
      <c r="IW110" s="541"/>
      <c r="IX110" s="541"/>
      <c r="IY110" s="541"/>
      <c r="IZ110" s="541"/>
      <c r="JA110" s="541"/>
      <c r="JB110" s="541"/>
      <c r="JC110" s="541"/>
      <c r="JD110" s="541"/>
      <c r="JE110" s="541"/>
      <c r="JF110" s="541"/>
      <c r="JG110" s="541"/>
      <c r="JH110" s="541"/>
      <c r="JI110" s="541"/>
      <c r="JJ110" s="541"/>
      <c r="JK110" s="541"/>
      <c r="JL110" s="541"/>
      <c r="JM110" s="541"/>
      <c r="JN110" s="541"/>
      <c r="JO110" s="541"/>
      <c r="JP110" s="541"/>
      <c r="JQ110" s="541"/>
      <c r="JR110" s="541"/>
      <c r="JS110" s="541"/>
      <c r="JT110" s="541"/>
      <c r="JU110" s="541"/>
      <c r="JV110" s="541"/>
      <c r="JW110" s="541"/>
      <c r="JX110" s="541"/>
      <c r="JY110" s="541"/>
      <c r="JZ110" s="541"/>
      <c r="KA110" s="541"/>
      <c r="KB110" s="541"/>
      <c r="KC110" s="541"/>
      <c r="KD110" s="541"/>
      <c r="KE110" s="541"/>
      <c r="KF110" s="541"/>
      <c r="KG110" s="541"/>
      <c r="KH110" s="541"/>
      <c r="KI110" s="541"/>
      <c r="KJ110" s="541"/>
      <c r="KK110" s="541"/>
      <c r="KL110" s="541"/>
      <c r="KM110" s="541"/>
      <c r="KN110" s="541"/>
      <c r="KO110" s="541"/>
      <c r="KP110" s="541"/>
      <c r="KQ110" s="541"/>
      <c r="KR110" s="541"/>
      <c r="KS110" s="541"/>
      <c r="KT110" s="541"/>
      <c r="KU110" s="541"/>
      <c r="KV110" s="541"/>
      <c r="KW110" s="541"/>
      <c r="KX110" s="541"/>
      <c r="KY110" s="541"/>
      <c r="KZ110" s="541"/>
      <c r="LA110" s="541"/>
      <c r="LB110" s="541"/>
      <c r="LC110" s="541"/>
      <c r="LD110" s="541"/>
      <c r="LE110" s="541"/>
      <c r="LF110" s="541"/>
      <c r="LG110" s="541"/>
      <c r="LH110" s="541"/>
      <c r="LI110" s="541"/>
      <c r="LJ110" s="541"/>
      <c r="LK110" s="541"/>
      <c r="LL110" s="541"/>
      <c r="LM110" s="541"/>
      <c r="LN110" s="541"/>
      <c r="LO110" s="541"/>
      <c r="LP110" s="541"/>
      <c r="LQ110" s="541"/>
      <c r="LR110" s="541"/>
      <c r="LS110" s="541"/>
      <c r="LT110" s="541"/>
      <c r="LU110" s="541"/>
      <c r="LV110" s="541"/>
      <c r="LW110" s="541"/>
      <c r="LX110" s="541"/>
      <c r="LY110" s="541"/>
      <c r="LZ110" s="541"/>
      <c r="MA110" s="541"/>
      <c r="MB110" s="541"/>
      <c r="MC110" s="541"/>
      <c r="MD110" s="541"/>
      <c r="ME110" s="541"/>
      <c r="MF110" s="541"/>
      <c r="MG110" s="541"/>
      <c r="MH110" s="541"/>
      <c r="MI110" s="541"/>
      <c r="MJ110" s="541"/>
      <c r="MK110" s="541"/>
      <c r="ML110" s="541"/>
      <c r="MM110" s="541"/>
      <c r="MN110" s="541"/>
      <c r="MO110" s="541"/>
      <c r="MP110" s="541"/>
      <c r="MQ110" s="541"/>
      <c r="MR110" s="541"/>
      <c r="MS110" s="541"/>
      <c r="MT110" s="541"/>
      <c r="MU110" s="541"/>
      <c r="MV110" s="541"/>
      <c r="MW110" s="541"/>
      <c r="MX110" s="541"/>
      <c r="MY110" s="541"/>
      <c r="MZ110" s="541"/>
      <c r="NA110" s="541"/>
      <c r="NB110" s="541"/>
      <c r="NC110" s="541"/>
      <c r="ND110" s="541"/>
      <c r="NE110" s="541"/>
      <c r="NF110" s="541"/>
      <c r="NG110" s="541"/>
      <c r="NH110" s="541"/>
      <c r="NI110" s="541"/>
      <c r="NJ110" s="541"/>
      <c r="NK110" s="541"/>
      <c r="NL110" s="541"/>
      <c r="NM110" s="541"/>
      <c r="NN110" s="541"/>
      <c r="NO110" s="541"/>
      <c r="NP110" s="541"/>
      <c r="NQ110" s="541"/>
      <c r="NR110" s="541"/>
      <c r="NS110" s="541"/>
      <c r="NT110" s="541"/>
      <c r="NU110" s="541"/>
      <c r="NV110" s="541"/>
      <c r="NW110" s="541"/>
      <c r="NX110" s="541"/>
      <c r="NY110" s="541"/>
      <c r="NZ110" s="541"/>
      <c r="OA110" s="541"/>
      <c r="OB110" s="541"/>
      <c r="OC110" s="541"/>
      <c r="OD110" s="541"/>
      <c r="OE110" s="541"/>
      <c r="OF110" s="541"/>
      <c r="OG110" s="541"/>
      <c r="OH110" s="541"/>
      <c r="OI110" s="541"/>
      <c r="OJ110" s="541"/>
      <c r="OK110" s="541"/>
      <c r="OL110" s="541"/>
      <c r="OM110" s="541"/>
      <c r="ON110" s="541"/>
      <c r="OO110" s="541"/>
      <c r="OP110" s="541"/>
      <c r="OQ110" s="541"/>
      <c r="OR110" s="541"/>
      <c r="OS110" s="541"/>
      <c r="OT110" s="541"/>
      <c r="OU110" s="541"/>
      <c r="OV110" s="541"/>
      <c r="OW110" s="541"/>
      <c r="OX110" s="541"/>
      <c r="OY110" s="541"/>
      <c r="OZ110" s="541"/>
      <c r="PA110" s="541"/>
      <c r="PB110" s="541"/>
      <c r="PC110" s="541"/>
      <c r="PD110" s="541"/>
      <c r="PE110" s="541"/>
      <c r="PF110" s="541"/>
      <c r="PG110" s="541"/>
      <c r="PH110" s="541"/>
      <c r="PI110" s="541"/>
      <c r="PJ110" s="541"/>
      <c r="PK110" s="541"/>
      <c r="PL110" s="541"/>
      <c r="PM110" s="541"/>
      <c r="PN110" s="541"/>
      <c r="PO110" s="541"/>
      <c r="PP110" s="541"/>
      <c r="PQ110" s="541"/>
      <c r="PR110" s="541"/>
      <c r="PS110" s="541"/>
      <c r="PT110" s="541"/>
      <c r="PU110" s="541"/>
      <c r="PV110" s="541"/>
      <c r="PW110" s="541"/>
      <c r="PX110" s="541"/>
      <c r="PY110" s="541"/>
      <c r="PZ110" s="541"/>
      <c r="QA110" s="541"/>
      <c r="QB110" s="541"/>
      <c r="QC110" s="541"/>
      <c r="QD110" s="541"/>
      <c r="QE110" s="541"/>
      <c r="QF110" s="541"/>
      <c r="QG110" s="541"/>
      <c r="QH110" s="541"/>
      <c r="QI110" s="541"/>
      <c r="QJ110" s="541"/>
      <c r="QK110" s="541"/>
      <c r="QL110" s="541"/>
      <c r="QM110" s="541"/>
      <c r="QN110" s="541"/>
      <c r="QO110" s="541"/>
      <c r="QP110" s="541"/>
      <c r="QQ110" s="541"/>
      <c r="QR110" s="541"/>
      <c r="QS110" s="541"/>
      <c r="QT110" s="541"/>
      <c r="QU110" s="541"/>
      <c r="QV110" s="541"/>
      <c r="QW110" s="541"/>
      <c r="QX110" s="541"/>
      <c r="QY110" s="541"/>
      <c r="QZ110" s="541"/>
      <c r="RA110" s="541"/>
      <c r="RB110" s="541"/>
      <c r="RC110" s="541"/>
      <c r="RD110" s="541"/>
      <c r="RE110" s="541"/>
      <c r="RF110" s="541"/>
      <c r="RG110" s="541"/>
      <c r="RH110" s="541"/>
      <c r="RI110" s="541"/>
      <c r="RJ110" s="541"/>
      <c r="RK110" s="541"/>
      <c r="RL110" s="541"/>
      <c r="RM110" s="541"/>
      <c r="RN110" s="541"/>
      <c r="RO110" s="541"/>
      <c r="RP110" s="541"/>
      <c r="RQ110" s="541"/>
      <c r="RR110" s="541"/>
      <c r="RS110" s="541"/>
      <c r="RT110" s="541"/>
      <c r="RU110" s="541"/>
      <c r="RV110" s="541"/>
      <c r="RW110" s="541"/>
      <c r="RX110" s="541"/>
      <c r="RY110" s="541"/>
      <c r="RZ110" s="541"/>
      <c r="SA110" s="541"/>
      <c r="SB110" s="541"/>
      <c r="SC110" s="541"/>
      <c r="SD110" s="541"/>
      <c r="SE110" s="541"/>
      <c r="SF110" s="541"/>
      <c r="SG110" s="541"/>
      <c r="SH110" s="541"/>
      <c r="SI110" s="541"/>
      <c r="SJ110" s="541"/>
      <c r="SK110" s="541"/>
      <c r="SL110" s="541"/>
      <c r="SM110" s="541"/>
      <c r="SN110" s="541"/>
      <c r="SO110" s="541"/>
      <c r="SP110" s="541"/>
      <c r="SQ110" s="541"/>
      <c r="SR110" s="541"/>
      <c r="SS110" s="541"/>
      <c r="ST110" s="541"/>
      <c r="SU110" s="541"/>
      <c r="SV110" s="541"/>
      <c r="SW110" s="541"/>
      <c r="SX110" s="541"/>
      <c r="SY110" s="541"/>
      <c r="SZ110" s="541"/>
      <c r="TA110" s="541"/>
      <c r="TB110" s="541"/>
      <c r="TC110" s="541"/>
      <c r="TD110" s="541"/>
      <c r="TE110" s="541"/>
      <c r="TF110" s="541"/>
      <c r="TG110" s="541"/>
      <c r="TH110" s="541"/>
      <c r="TI110" s="541"/>
      <c r="TJ110" s="541"/>
      <c r="TK110" s="541"/>
      <c r="TL110" s="541"/>
      <c r="TM110" s="541"/>
      <c r="TN110" s="541"/>
      <c r="TO110" s="541"/>
      <c r="TP110" s="541"/>
      <c r="TQ110" s="541"/>
      <c r="TR110" s="541"/>
      <c r="TS110" s="541"/>
      <c r="TT110" s="541"/>
      <c r="TU110" s="541"/>
      <c r="TV110" s="541"/>
      <c r="TW110" s="541"/>
      <c r="TX110" s="541"/>
      <c r="TY110" s="541"/>
      <c r="TZ110" s="541"/>
      <c r="UA110" s="541"/>
      <c r="UB110" s="541"/>
      <c r="UC110" s="541"/>
      <c r="UD110" s="541"/>
      <c r="UE110" s="541"/>
      <c r="UF110" s="541"/>
      <c r="UG110" s="541"/>
      <c r="UH110" s="541"/>
      <c r="UI110" s="541"/>
      <c r="UJ110" s="541"/>
      <c r="UK110" s="541"/>
      <c r="UL110" s="541"/>
      <c r="UM110" s="541"/>
      <c r="UN110" s="541"/>
      <c r="UO110" s="541"/>
      <c r="UP110" s="541"/>
      <c r="UQ110" s="541"/>
      <c r="UR110" s="541"/>
      <c r="US110" s="541"/>
      <c r="UT110" s="541"/>
      <c r="UU110" s="541"/>
      <c r="UV110" s="541"/>
      <c r="UW110" s="541"/>
      <c r="UX110" s="541"/>
      <c r="UY110" s="541"/>
      <c r="UZ110" s="541"/>
      <c r="VA110" s="541"/>
      <c r="VB110" s="541"/>
      <c r="VC110" s="541"/>
      <c r="VD110" s="541"/>
      <c r="VE110" s="541"/>
      <c r="VF110" s="541"/>
      <c r="VG110" s="541"/>
      <c r="VH110" s="541"/>
      <c r="VI110" s="541"/>
      <c r="VJ110" s="541"/>
      <c r="VK110" s="541"/>
      <c r="VL110" s="541"/>
      <c r="VM110" s="541"/>
      <c r="VN110" s="541"/>
      <c r="VO110" s="541"/>
      <c r="VP110" s="541"/>
      <c r="VQ110" s="541"/>
      <c r="VR110" s="541"/>
      <c r="VS110" s="541"/>
      <c r="VT110" s="541"/>
      <c r="VU110" s="541"/>
      <c r="VV110" s="541"/>
      <c r="VW110" s="541"/>
      <c r="VX110" s="541"/>
      <c r="VY110" s="541"/>
      <c r="VZ110" s="541"/>
      <c r="WA110" s="541"/>
      <c r="WB110" s="541"/>
      <c r="WC110" s="541"/>
      <c r="WD110" s="541"/>
      <c r="WE110" s="541"/>
      <c r="WF110" s="541"/>
      <c r="WG110" s="541"/>
      <c r="WH110" s="541"/>
      <c r="WI110" s="541"/>
      <c r="WJ110" s="541"/>
      <c r="WK110" s="541"/>
      <c r="WL110" s="541"/>
      <c r="WM110" s="541"/>
      <c r="WN110" s="541"/>
      <c r="WO110" s="541"/>
      <c r="WP110" s="541"/>
      <c r="WQ110" s="541"/>
      <c r="WR110" s="541"/>
      <c r="WS110" s="541"/>
      <c r="WT110" s="541"/>
      <c r="WU110" s="541"/>
      <c r="WV110" s="541"/>
      <c r="WW110" s="541"/>
      <c r="WX110" s="541"/>
      <c r="WY110" s="541"/>
      <c r="WZ110" s="541"/>
      <c r="XA110" s="541"/>
      <c r="XB110" s="541"/>
      <c r="XC110" s="541"/>
      <c r="XD110" s="541"/>
      <c r="XE110" s="541"/>
      <c r="XF110" s="541"/>
      <c r="XG110" s="541"/>
      <c r="XH110" s="541"/>
      <c r="XI110" s="541"/>
      <c r="XJ110" s="541"/>
      <c r="XK110" s="541"/>
      <c r="XL110" s="541"/>
      <c r="XM110" s="541"/>
      <c r="XN110" s="541"/>
      <c r="XO110" s="541"/>
      <c r="XP110" s="541"/>
      <c r="XQ110" s="541"/>
      <c r="XR110" s="541"/>
      <c r="XS110" s="541"/>
      <c r="XT110" s="541"/>
      <c r="XU110" s="541"/>
      <c r="XV110" s="541"/>
      <c r="XW110" s="541"/>
      <c r="XX110" s="541"/>
      <c r="XY110" s="541"/>
      <c r="XZ110" s="541"/>
      <c r="YA110" s="541"/>
      <c r="YB110" s="541"/>
      <c r="YC110" s="541"/>
      <c r="YD110" s="541"/>
      <c r="YE110" s="541"/>
      <c r="YF110" s="541"/>
      <c r="YG110" s="541"/>
      <c r="YH110" s="541"/>
      <c r="YI110" s="541"/>
      <c r="YJ110" s="541"/>
      <c r="YK110" s="541"/>
      <c r="YL110" s="541"/>
      <c r="YM110" s="541"/>
      <c r="YN110" s="541"/>
      <c r="YO110" s="541"/>
      <c r="YP110" s="541"/>
      <c r="YQ110" s="541"/>
      <c r="YR110" s="541"/>
      <c r="YS110" s="541"/>
      <c r="YT110" s="541"/>
      <c r="YU110" s="541"/>
      <c r="YV110" s="541"/>
      <c r="YW110" s="541"/>
      <c r="YX110" s="541"/>
      <c r="YY110" s="541"/>
      <c r="YZ110" s="541"/>
      <c r="ZA110" s="541"/>
      <c r="ZB110" s="541"/>
      <c r="ZC110" s="541"/>
      <c r="ZD110" s="541"/>
      <c r="ZE110" s="541"/>
      <c r="ZF110" s="541"/>
      <c r="ZG110" s="541"/>
      <c r="ZH110" s="541"/>
      <c r="ZI110" s="541"/>
      <c r="ZJ110" s="541"/>
      <c r="ZK110" s="541"/>
      <c r="ZL110" s="541"/>
      <c r="ZM110" s="541"/>
      <c r="ZN110" s="541"/>
      <c r="ZO110" s="541"/>
      <c r="ZP110" s="541"/>
      <c r="ZQ110" s="541"/>
      <c r="ZR110" s="541"/>
      <c r="ZS110" s="541"/>
      <c r="ZT110" s="541"/>
      <c r="ZU110" s="541"/>
      <c r="ZV110" s="541"/>
      <c r="ZW110" s="541"/>
      <c r="ZX110" s="541"/>
      <c r="ZY110" s="541"/>
      <c r="ZZ110" s="541"/>
      <c r="AAA110" s="541"/>
      <c r="AAB110" s="541"/>
      <c r="AAC110" s="541"/>
      <c r="AAD110" s="541"/>
      <c r="AAE110" s="541"/>
      <c r="AAF110" s="541"/>
      <c r="AAG110" s="541"/>
      <c r="AAH110" s="541"/>
      <c r="AAI110" s="541"/>
      <c r="AAJ110" s="541"/>
      <c r="AAK110" s="541"/>
      <c r="AAL110" s="541"/>
      <c r="AAM110" s="541"/>
      <c r="AAN110" s="541"/>
      <c r="AAO110" s="541"/>
      <c r="AAP110" s="541"/>
      <c r="AAQ110" s="541"/>
      <c r="AAR110" s="541"/>
      <c r="AAS110" s="541"/>
      <c r="AAT110" s="541"/>
      <c r="AAU110" s="541"/>
      <c r="AAV110" s="541"/>
      <c r="AAW110" s="541"/>
      <c r="AAX110" s="541"/>
      <c r="AAY110" s="541"/>
      <c r="AAZ110" s="541"/>
      <c r="ABA110" s="541"/>
      <c r="ABB110" s="541"/>
      <c r="ABC110" s="541"/>
      <c r="ABD110" s="541"/>
      <c r="ABE110" s="541"/>
      <c r="ABF110" s="541"/>
      <c r="ABG110" s="541"/>
      <c r="ABH110" s="541"/>
      <c r="ABI110" s="541"/>
      <c r="ABJ110" s="541"/>
      <c r="ABK110" s="541"/>
      <c r="ABL110" s="541"/>
      <c r="ABM110" s="541"/>
      <c r="ABN110" s="541"/>
      <c r="ABO110" s="541"/>
      <c r="ABP110" s="541"/>
      <c r="ABQ110" s="541"/>
      <c r="ABR110" s="541"/>
      <c r="ABS110" s="541"/>
      <c r="ABT110" s="541"/>
      <c r="ABU110" s="541"/>
      <c r="ABV110" s="541"/>
      <c r="ABW110" s="541"/>
      <c r="ABX110" s="541"/>
      <c r="ABY110" s="541"/>
      <c r="ABZ110" s="541"/>
      <c r="ACA110" s="541"/>
      <c r="ACB110" s="541"/>
      <c r="ACC110" s="541"/>
      <c r="ACD110" s="541"/>
      <c r="ACE110" s="541"/>
      <c r="ACF110" s="541"/>
      <c r="ACG110" s="541"/>
      <c r="ACH110" s="541"/>
      <c r="ACI110" s="541"/>
      <c r="ACJ110" s="541"/>
      <c r="ACK110" s="541"/>
      <c r="ACL110" s="541"/>
      <c r="ACM110" s="541"/>
      <c r="ACN110" s="541"/>
      <c r="ACO110" s="541"/>
      <c r="ACP110" s="541"/>
      <c r="ACQ110" s="541"/>
      <c r="ACR110" s="541"/>
      <c r="ACS110" s="541"/>
      <c r="ACT110" s="541"/>
      <c r="ACU110" s="541"/>
      <c r="ACV110" s="541"/>
      <c r="ACW110" s="541"/>
      <c r="ACX110" s="541"/>
      <c r="ACY110" s="541"/>
      <c r="ACZ110" s="541"/>
      <c r="ADA110" s="541"/>
      <c r="ADB110" s="541"/>
      <c r="ADC110" s="541"/>
      <c r="ADD110" s="541"/>
      <c r="ADE110" s="541"/>
      <c r="ADF110" s="541"/>
      <c r="ADG110" s="541"/>
      <c r="ADH110" s="541"/>
      <c r="ADI110" s="541"/>
      <c r="ADJ110" s="541"/>
      <c r="ADK110" s="541"/>
      <c r="ADL110" s="541"/>
      <c r="ADM110" s="541"/>
      <c r="ADN110" s="541"/>
      <c r="ADO110" s="541"/>
      <c r="ADP110" s="541"/>
      <c r="ADQ110" s="541"/>
      <c r="ADR110" s="541"/>
      <c r="ADS110" s="541"/>
      <c r="ADT110" s="541"/>
      <c r="ADU110" s="541"/>
      <c r="ADV110" s="541"/>
      <c r="ADW110" s="541"/>
      <c r="ADX110" s="541"/>
      <c r="ADY110" s="541"/>
      <c r="ADZ110" s="541"/>
      <c r="AEA110" s="541"/>
      <c r="AEB110" s="541"/>
      <c r="AEC110" s="541"/>
      <c r="AED110" s="541"/>
      <c r="AEE110" s="541"/>
      <c r="AEF110" s="541"/>
      <c r="AEG110" s="541"/>
      <c r="AEH110" s="541"/>
      <c r="AEI110" s="541"/>
      <c r="AEJ110" s="541"/>
      <c r="AEK110" s="541"/>
      <c r="AEL110" s="541"/>
      <c r="AEM110" s="541"/>
      <c r="AEN110" s="541"/>
      <c r="AEO110" s="541"/>
      <c r="AEP110" s="541"/>
      <c r="AEQ110" s="541"/>
      <c r="AER110" s="541"/>
      <c r="AES110" s="541"/>
      <c r="AET110" s="541"/>
      <c r="AEU110" s="541"/>
      <c r="AEV110" s="541"/>
      <c r="AEW110" s="541"/>
      <c r="AEX110" s="541"/>
      <c r="AEY110" s="541"/>
      <c r="AEZ110" s="541"/>
      <c r="AFA110" s="541"/>
      <c r="AFB110" s="541"/>
      <c r="AFC110" s="541"/>
      <c r="AFD110" s="541"/>
      <c r="AFE110" s="541"/>
      <c r="AFF110" s="541"/>
      <c r="AFG110" s="541"/>
      <c r="AFH110" s="541"/>
      <c r="AFI110" s="541"/>
      <c r="AFJ110" s="541"/>
      <c r="AFK110" s="541"/>
      <c r="AFL110" s="541"/>
      <c r="AFM110" s="541"/>
      <c r="AFN110" s="541"/>
      <c r="AFO110" s="541"/>
      <c r="AFP110" s="541"/>
      <c r="AFQ110" s="541"/>
      <c r="AFR110" s="541"/>
      <c r="AFS110" s="541"/>
      <c r="AFT110" s="541"/>
      <c r="AFU110" s="541"/>
      <c r="AFV110" s="541"/>
      <c r="AFW110" s="541"/>
      <c r="AFX110" s="541"/>
      <c r="AFY110" s="541"/>
      <c r="AFZ110" s="541"/>
      <c r="AGA110" s="541"/>
      <c r="AGB110" s="541"/>
      <c r="AGC110" s="541"/>
      <c r="AGD110" s="541"/>
      <c r="AGE110" s="541"/>
      <c r="AGF110" s="541"/>
      <c r="AGG110" s="541"/>
      <c r="AGH110" s="541"/>
      <c r="AGI110" s="541"/>
      <c r="AGJ110" s="541"/>
      <c r="AGK110" s="541"/>
      <c r="AGL110" s="541"/>
      <c r="AGM110" s="541"/>
      <c r="AGN110" s="541"/>
      <c r="AGO110" s="541"/>
      <c r="AGP110" s="541"/>
      <c r="AGQ110" s="541"/>
      <c r="AGR110" s="541"/>
      <c r="AGS110" s="541"/>
      <c r="AGT110" s="541"/>
      <c r="AGU110" s="541"/>
      <c r="AGV110" s="541"/>
      <c r="AGW110" s="541"/>
      <c r="AGX110" s="541"/>
      <c r="AGY110" s="541"/>
      <c r="AGZ110" s="541"/>
      <c r="AHA110" s="541"/>
      <c r="AHB110" s="541"/>
      <c r="AHC110" s="541"/>
      <c r="AHD110" s="541"/>
      <c r="AHE110" s="541"/>
      <c r="AHF110" s="541"/>
      <c r="AHG110" s="541"/>
      <c r="AHH110" s="541"/>
      <c r="AHI110" s="541"/>
      <c r="AHJ110" s="541"/>
      <c r="AHK110" s="541"/>
      <c r="AHL110" s="541"/>
      <c r="AHM110" s="541"/>
      <c r="AHN110" s="541"/>
      <c r="AHO110" s="541"/>
      <c r="AHP110" s="541"/>
      <c r="AHQ110" s="541"/>
      <c r="AHR110" s="541"/>
      <c r="AHS110" s="541"/>
      <c r="AHT110" s="541"/>
      <c r="AHU110" s="541"/>
      <c r="AHV110" s="541"/>
      <c r="AHW110" s="541"/>
      <c r="AHX110" s="541"/>
      <c r="AHY110" s="541"/>
      <c r="AHZ110" s="541"/>
      <c r="AIA110" s="541"/>
      <c r="AIB110" s="541"/>
      <c r="AIC110" s="541"/>
      <c r="AID110" s="541"/>
      <c r="AIE110" s="541"/>
      <c r="AIF110" s="541"/>
      <c r="AIG110" s="541"/>
      <c r="AIH110" s="541"/>
      <c r="AII110" s="541"/>
      <c r="AIJ110" s="541"/>
      <c r="AIK110" s="541"/>
      <c r="AIL110" s="541"/>
      <c r="AIM110" s="541"/>
      <c r="AIN110" s="541"/>
      <c r="AIO110" s="541"/>
      <c r="AIP110" s="541"/>
      <c r="AIQ110" s="541"/>
      <c r="AIR110" s="541"/>
      <c r="AIS110" s="541"/>
      <c r="AIT110" s="541"/>
      <c r="AIU110" s="541"/>
      <c r="AIV110" s="541"/>
      <c r="AIW110" s="541"/>
      <c r="AIX110" s="541"/>
      <c r="AIY110" s="541"/>
      <c r="AIZ110" s="541"/>
      <c r="AJA110" s="541"/>
      <c r="AJB110" s="541"/>
      <c r="AJC110" s="541"/>
      <c r="AJD110" s="541"/>
      <c r="AJE110" s="541"/>
      <c r="AJF110" s="541"/>
      <c r="AJG110" s="541"/>
      <c r="AJH110" s="541"/>
      <c r="AJI110" s="541"/>
      <c r="AJJ110" s="541"/>
      <c r="AJK110" s="541"/>
      <c r="AJL110" s="541"/>
      <c r="AJM110" s="541"/>
      <c r="AJN110" s="541"/>
      <c r="AJO110" s="541"/>
      <c r="AJP110" s="541"/>
      <c r="AJQ110" s="541"/>
      <c r="AJR110" s="541"/>
      <c r="AJS110" s="541"/>
      <c r="AJT110" s="541"/>
      <c r="AJU110" s="541"/>
      <c r="AJV110" s="541"/>
      <c r="AJW110" s="541"/>
      <c r="AJX110" s="541"/>
      <c r="AJY110" s="541"/>
      <c r="AJZ110" s="541"/>
      <c r="AKA110" s="541"/>
      <c r="AKB110" s="541"/>
      <c r="AKC110" s="541"/>
      <c r="AKD110" s="541"/>
      <c r="AKE110" s="541"/>
      <c r="AKF110" s="541"/>
      <c r="AKG110" s="541"/>
      <c r="AKH110" s="541"/>
      <c r="AKI110" s="541"/>
      <c r="AKJ110" s="541"/>
      <c r="AKK110" s="541"/>
      <c r="AKL110" s="541"/>
      <c r="AKM110" s="541"/>
      <c r="AKN110" s="541"/>
      <c r="AKO110" s="541"/>
      <c r="AKP110" s="541"/>
      <c r="AKQ110" s="541"/>
      <c r="AKR110" s="541"/>
      <c r="AKS110" s="541"/>
      <c r="AKT110" s="541"/>
      <c r="AKU110" s="541"/>
      <c r="AKV110" s="541"/>
      <c r="AKW110" s="541"/>
      <c r="AKX110" s="541"/>
      <c r="AKY110" s="541"/>
      <c r="AKZ110" s="541"/>
      <c r="ALA110" s="541"/>
      <c r="ALB110" s="541"/>
      <c r="ALC110" s="541"/>
      <c r="ALD110" s="541"/>
      <c r="ALE110" s="541"/>
      <c r="ALF110" s="541"/>
      <c r="ALG110" s="541"/>
      <c r="ALH110" s="541"/>
      <c r="ALI110" s="541"/>
      <c r="ALJ110" s="541"/>
      <c r="ALK110" s="541"/>
      <c r="ALL110" s="541"/>
      <c r="ALM110" s="541"/>
      <c r="ALN110" s="541"/>
      <c r="ALO110" s="541"/>
      <c r="ALP110" s="541"/>
      <c r="ALQ110" s="541"/>
      <c r="ALR110" s="541"/>
      <c r="ALS110" s="541"/>
      <c r="ALT110" s="541"/>
      <c r="ALU110" s="541"/>
      <c r="ALV110" s="541"/>
      <c r="ALW110" s="541"/>
      <c r="ALX110" s="541"/>
      <c r="ALY110" s="541"/>
      <c r="ALZ110" s="541"/>
      <c r="AMA110" s="541"/>
      <c r="AMB110" s="541"/>
      <c r="AMC110" s="541"/>
      <c r="AMD110" s="541"/>
      <c r="AME110" s="541"/>
      <c r="AMF110" s="541"/>
      <c r="AMG110" s="541"/>
      <c r="AMH110" s="541"/>
      <c r="AMI110" s="541"/>
      <c r="AMJ110" s="541"/>
      <c r="AMK110" s="541"/>
      <c r="AML110" s="541"/>
      <c r="AMM110" s="541"/>
      <c r="AMN110" s="541"/>
      <c r="AMO110" s="541"/>
      <c r="AMP110" s="541"/>
      <c r="AMQ110" s="541"/>
      <c r="AMR110" s="541"/>
      <c r="AMS110" s="541"/>
      <c r="AMT110" s="541"/>
      <c r="AMU110" s="541"/>
      <c r="AMV110" s="541"/>
      <c r="AMW110" s="541"/>
      <c r="AMX110" s="541"/>
      <c r="AMY110" s="541"/>
      <c r="AMZ110" s="541"/>
      <c r="ANA110" s="541"/>
      <c r="ANB110" s="541"/>
      <c r="ANC110" s="541"/>
      <c r="AND110" s="541"/>
      <c r="ANE110" s="541"/>
      <c r="ANF110" s="541"/>
      <c r="ANG110" s="541"/>
      <c r="ANH110" s="541"/>
      <c r="ANI110" s="541"/>
      <c r="ANJ110" s="541"/>
      <c r="ANK110" s="541"/>
      <c r="ANL110" s="541"/>
      <c r="ANM110" s="541"/>
      <c r="ANN110" s="541"/>
      <c r="ANO110" s="541"/>
      <c r="ANP110" s="541"/>
      <c r="ANQ110" s="541"/>
      <c r="ANR110" s="541"/>
      <c r="ANS110" s="541"/>
      <c r="ANT110" s="541"/>
      <c r="ANU110" s="541"/>
      <c r="ANV110" s="541"/>
      <c r="ANW110" s="541"/>
      <c r="ANX110" s="541"/>
      <c r="ANY110" s="541"/>
      <c r="ANZ110" s="541"/>
      <c r="AOA110" s="541"/>
      <c r="AOB110" s="541"/>
      <c r="AOC110" s="541"/>
      <c r="AOD110" s="541"/>
      <c r="AOE110" s="541"/>
      <c r="AOF110" s="541"/>
      <c r="AOG110" s="541"/>
      <c r="AOH110" s="541"/>
      <c r="AOI110" s="541"/>
      <c r="AOJ110" s="541"/>
      <c r="AOK110" s="541"/>
      <c r="AOL110" s="541"/>
      <c r="AOM110" s="541"/>
      <c r="AON110" s="541"/>
      <c r="AOO110" s="541"/>
      <c r="AOP110" s="541"/>
      <c r="AOQ110" s="541"/>
      <c r="AOR110" s="541"/>
      <c r="AOS110" s="541"/>
      <c r="AOT110" s="541"/>
      <c r="AOU110" s="541"/>
      <c r="AOV110" s="541"/>
      <c r="AOW110" s="541"/>
      <c r="AOX110" s="541"/>
      <c r="AOY110" s="541"/>
      <c r="AOZ110" s="541"/>
      <c r="APA110" s="541"/>
      <c r="APB110" s="541"/>
      <c r="APC110" s="541"/>
      <c r="APD110" s="541"/>
      <c r="APE110" s="541"/>
      <c r="APF110" s="541"/>
      <c r="APG110" s="541"/>
      <c r="APH110" s="541"/>
      <c r="API110" s="541"/>
      <c r="APJ110" s="541"/>
      <c r="APK110" s="541"/>
      <c r="APL110" s="541"/>
      <c r="APM110" s="541"/>
      <c r="APN110" s="541"/>
      <c r="APO110" s="541"/>
      <c r="APP110" s="541"/>
      <c r="APQ110" s="541"/>
      <c r="APR110" s="541"/>
      <c r="APS110" s="541"/>
      <c r="APT110" s="541"/>
      <c r="APU110" s="541"/>
      <c r="APV110" s="541"/>
      <c r="APW110" s="541"/>
      <c r="APX110" s="541"/>
      <c r="APY110" s="541"/>
      <c r="APZ110" s="541"/>
      <c r="AQA110" s="541"/>
      <c r="AQB110" s="541"/>
      <c r="AQC110" s="541"/>
      <c r="AQD110" s="541"/>
      <c r="AQE110" s="541"/>
      <c r="AQF110" s="541"/>
      <c r="AQG110" s="541"/>
      <c r="AQH110" s="541"/>
      <c r="AQI110" s="541"/>
      <c r="AQJ110" s="541"/>
      <c r="AQK110" s="541"/>
      <c r="AQL110" s="541"/>
      <c r="AQM110" s="541"/>
      <c r="AQN110" s="541"/>
      <c r="AQO110" s="541"/>
      <c r="AQP110" s="541"/>
      <c r="AQQ110" s="541"/>
      <c r="AQR110" s="541"/>
      <c r="AQS110" s="541"/>
      <c r="AQT110" s="541"/>
      <c r="AQU110" s="541"/>
      <c r="AQV110" s="541"/>
      <c r="AQW110" s="541"/>
      <c r="AQX110" s="541"/>
      <c r="AQY110" s="541"/>
      <c r="AQZ110" s="541"/>
      <c r="ARA110" s="541"/>
      <c r="ARB110" s="541"/>
      <c r="ARC110" s="541"/>
      <c r="ARD110" s="541"/>
      <c r="ARE110" s="541"/>
      <c r="ARF110" s="541"/>
      <c r="ARG110" s="541"/>
      <c r="ARH110" s="541"/>
      <c r="ARI110" s="541"/>
      <c r="ARJ110" s="541"/>
      <c r="ARK110" s="541"/>
      <c r="ARL110" s="541"/>
      <c r="ARM110" s="541"/>
      <c r="ARN110" s="541"/>
      <c r="ARO110" s="541"/>
      <c r="ARP110" s="541"/>
      <c r="ARQ110" s="541"/>
      <c r="ARR110" s="541"/>
      <c r="ARS110" s="541"/>
      <c r="ART110" s="541"/>
      <c r="ARU110" s="541"/>
    </row>
    <row r="111" spans="1:1165">
      <c r="A111" s="599"/>
      <c r="B111" s="430"/>
      <c r="C111" s="684"/>
      <c r="D111" s="684"/>
      <c r="E111" s="608"/>
      <c r="F111" s="608"/>
      <c r="G111" s="608"/>
      <c r="H111" s="608"/>
      <c r="I111" s="608"/>
      <c r="J111" s="608"/>
      <c r="K111" s="608"/>
      <c r="L111" s="608"/>
      <c r="M111" s="608"/>
      <c r="N111" s="608"/>
      <c r="O111" s="608"/>
      <c r="P111" s="608"/>
      <c r="Q111" s="608"/>
      <c r="R111" s="608"/>
      <c r="S111" s="608"/>
      <c r="T111" s="608"/>
      <c r="U111" s="586"/>
      <c r="V111" s="586"/>
      <c r="W111" s="672"/>
      <c r="X111" s="672"/>
      <c r="Y111" s="672"/>
      <c r="Z111" s="672"/>
      <c r="AA111" s="623"/>
      <c r="AB111" s="623"/>
      <c r="AC111" s="595"/>
      <c r="AD111" s="595"/>
      <c r="AE111" s="586"/>
      <c r="AF111" s="623"/>
      <c r="AG111" s="586"/>
      <c r="AH111" s="623"/>
      <c r="AI111" s="586"/>
      <c r="AJ111" s="623"/>
      <c r="AK111" s="586"/>
      <c r="AL111" s="623"/>
      <c r="AM111" s="586"/>
      <c r="AN111" s="586"/>
      <c r="AO111" s="686"/>
      <c r="AP111" s="586"/>
      <c r="AQ111" s="586"/>
      <c r="AR111" s="586"/>
      <c r="AS111" s="586"/>
      <c r="AT111" s="586"/>
      <c r="AU111" s="586"/>
      <c r="AV111" s="623"/>
      <c r="AW111" s="650"/>
      <c r="AX111" s="650"/>
      <c r="AY111" s="648"/>
      <c r="AZ111" s="648"/>
      <c r="BA111" s="686"/>
      <c r="BB111" s="650"/>
      <c r="BC111" s="650"/>
      <c r="BD111" s="650"/>
      <c r="BE111" s="650"/>
      <c r="BF111" s="650"/>
      <c r="BG111" s="650"/>
      <c r="BH111" s="650"/>
      <c r="BI111" s="686"/>
      <c r="BJ111" s="650"/>
      <c r="BK111" s="650"/>
      <c r="BL111" s="541"/>
      <c r="BP111" s="624"/>
    </row>
    <row r="112" spans="1:1165">
      <c r="A112" s="591" t="s">
        <v>269</v>
      </c>
      <c r="B112" s="594" t="s">
        <v>196</v>
      </c>
      <c r="C112" s="670">
        <v>2213212</v>
      </c>
      <c r="D112" s="670">
        <v>1620890747</v>
      </c>
      <c r="E112" s="595">
        <v>11233</v>
      </c>
      <c r="F112" s="595">
        <v>179314357</v>
      </c>
      <c r="G112" s="595">
        <v>12047</v>
      </c>
      <c r="H112" s="595">
        <v>153313613</v>
      </c>
      <c r="I112" s="595">
        <v>20757</v>
      </c>
      <c r="J112" s="595">
        <v>247418210</v>
      </c>
      <c r="K112" s="595">
        <v>23881</v>
      </c>
      <c r="L112" s="595">
        <v>359374810</v>
      </c>
      <c r="M112" s="595">
        <v>32111</v>
      </c>
      <c r="N112" s="595">
        <v>422248335</v>
      </c>
      <c r="O112" s="595">
        <v>41196</v>
      </c>
      <c r="P112" s="595">
        <v>605618349</v>
      </c>
      <c r="Q112" s="595">
        <v>53639</v>
      </c>
      <c r="R112" s="595">
        <v>974017155</v>
      </c>
      <c r="S112" s="595">
        <v>79164</v>
      </c>
      <c r="T112" s="595">
        <f>2545194*639.3</f>
        <v>1627142524.1999998</v>
      </c>
      <c r="U112" s="608">
        <v>108133</v>
      </c>
      <c r="V112" s="608">
        <f>3476570*563</f>
        <v>1957308910</v>
      </c>
      <c r="W112" s="608">
        <v>150459</v>
      </c>
      <c r="X112" s="608">
        <f>4843269*483.8</f>
        <v>2343173542.2000003</v>
      </c>
      <c r="Y112" s="608">
        <v>187744</v>
      </c>
      <c r="Z112" s="608">
        <f>6036110*493.3</f>
        <v>2977613063</v>
      </c>
      <c r="AA112" s="623">
        <v>184410</v>
      </c>
      <c r="AB112" s="623">
        <f>5928931*467.4</f>
        <v>2771182349.4000001</v>
      </c>
      <c r="AC112" s="595">
        <v>182450</v>
      </c>
      <c r="AD112" s="595">
        <v>2763465836</v>
      </c>
      <c r="AE112" s="586">
        <v>182154</v>
      </c>
      <c r="AF112" s="586">
        <v>3116213103</v>
      </c>
      <c r="AG112" s="586">
        <v>191709</v>
      </c>
      <c r="AH112" s="586">
        <v>3264710204</v>
      </c>
      <c r="AI112" s="586">
        <v>189753</v>
      </c>
      <c r="AJ112" s="586">
        <v>3285966920</v>
      </c>
      <c r="AK112" s="673">
        <v>221184</v>
      </c>
      <c r="AL112" s="673">
        <v>3636954139</v>
      </c>
      <c r="AM112" s="586">
        <v>238335</v>
      </c>
      <c r="AN112" s="586">
        <v>3522233274</v>
      </c>
      <c r="AO112" s="586">
        <v>231379</v>
      </c>
      <c r="AP112" s="586">
        <v>3477119729</v>
      </c>
      <c r="AQ112" s="586">
        <v>211761</v>
      </c>
      <c r="AR112" s="586">
        <v>2942274771</v>
      </c>
      <c r="AS112" s="586">
        <v>199496</v>
      </c>
      <c r="AT112" s="586">
        <v>3087279157</v>
      </c>
      <c r="AU112" s="623">
        <v>192204</v>
      </c>
      <c r="AV112" s="623">
        <v>3236195818</v>
      </c>
      <c r="AW112" s="623">
        <v>188859</v>
      </c>
      <c r="AX112" s="623">
        <v>3460872364</v>
      </c>
      <c r="AY112" s="595">
        <v>187498</v>
      </c>
      <c r="AZ112" s="595">
        <v>3364962855</v>
      </c>
      <c r="BA112" s="595"/>
      <c r="BB112" s="595"/>
      <c r="BC112" s="586"/>
      <c r="BD112" s="595"/>
      <c r="BE112" s="586"/>
      <c r="BF112" s="624"/>
      <c r="BG112" s="586"/>
      <c r="BH112" s="624"/>
      <c r="BI112" s="586"/>
      <c r="BJ112" s="608">
        <f>C112+G112+I112+K112+M112+O112+Q112+S112+U112+W112+Y112+AA112+AC112+AE112+AG112+AI112+AK112+AM112+AO112+AQ112+AS112+AU112+AW112+AY112+BB112+BF112</f>
        <v>5523535</v>
      </c>
      <c r="BK112" s="595">
        <f>D112+H112+J112+L112+N112+P112+R112+T112+V112+X112+Z112+AB112+AD112+AF112+AH112+AJ112+AL112+AN112+AP112+AR112+AT112+AV112+AX112+AZ112+BD112+BH112</f>
        <v>55217549777.800003</v>
      </c>
      <c r="BL112" s="541"/>
      <c r="BM112" s="624"/>
      <c r="BP112" s="624"/>
    </row>
    <row r="113" spans="1:1165">
      <c r="A113" s="591"/>
      <c r="B113" s="594"/>
      <c r="C113" s="670"/>
      <c r="D113" s="670"/>
      <c r="E113" s="595"/>
      <c r="F113" s="595"/>
      <c r="G113" s="595"/>
      <c r="H113" s="595"/>
      <c r="I113" s="595"/>
      <c r="J113" s="595"/>
      <c r="K113" s="595"/>
      <c r="L113" s="595"/>
      <c r="M113" s="595"/>
      <c r="N113" s="595"/>
      <c r="O113" s="595"/>
      <c r="P113" s="595"/>
      <c r="Q113" s="595"/>
      <c r="R113" s="595"/>
      <c r="S113" s="595"/>
      <c r="T113" s="595"/>
      <c r="U113" s="608"/>
      <c r="V113" s="608"/>
      <c r="W113" s="608"/>
      <c r="X113" s="608"/>
      <c r="Y113" s="608"/>
      <c r="Z113" s="608"/>
      <c r="AA113" s="623"/>
      <c r="AB113" s="623"/>
      <c r="AC113" s="595"/>
      <c r="AD113" s="595"/>
      <c r="AE113" s="586"/>
      <c r="AF113" s="586"/>
      <c r="AG113" s="586"/>
      <c r="AH113" s="586"/>
      <c r="AI113" s="586"/>
      <c r="AJ113" s="586"/>
      <c r="AK113" s="673"/>
      <c r="AL113" s="673"/>
      <c r="AM113" s="586"/>
      <c r="AN113" s="586"/>
      <c r="AO113" s="586"/>
      <c r="AP113" s="586"/>
      <c r="AQ113" s="586"/>
      <c r="AR113" s="586"/>
      <c r="AS113" s="586"/>
      <c r="AT113" s="586"/>
      <c r="AU113" s="623"/>
      <c r="AV113" s="623"/>
      <c r="AW113" s="595"/>
      <c r="AX113" s="595"/>
      <c r="AY113" s="677"/>
      <c r="AZ113" s="677"/>
      <c r="BA113" s="679"/>
      <c r="BB113" s="595"/>
      <c r="BC113" s="595"/>
      <c r="BD113" s="595"/>
      <c r="BE113" s="595"/>
      <c r="BF113" s="595"/>
      <c r="BG113" s="595"/>
      <c r="BH113" s="595"/>
      <c r="BI113" s="679"/>
      <c r="BJ113" s="595"/>
      <c r="BK113" s="595"/>
      <c r="BL113" s="541"/>
      <c r="BM113" s="624"/>
      <c r="BP113" s="624"/>
    </row>
    <row r="114" spans="1:1165" s="658" customFormat="1">
      <c r="A114" s="577" t="s">
        <v>270</v>
      </c>
      <c r="B114" s="578" t="s">
        <v>110</v>
      </c>
      <c r="C114" s="659">
        <v>156</v>
      </c>
      <c r="D114" s="659">
        <v>2608</v>
      </c>
      <c r="E114" s="581">
        <v>0</v>
      </c>
      <c r="F114" s="581">
        <v>0</v>
      </c>
      <c r="G114" s="581">
        <v>0</v>
      </c>
      <c r="H114" s="581">
        <v>0</v>
      </c>
      <c r="I114" s="581">
        <v>0</v>
      </c>
      <c r="J114" s="581">
        <v>0</v>
      </c>
      <c r="K114" s="581">
        <v>0</v>
      </c>
      <c r="L114" s="581">
        <v>0</v>
      </c>
      <c r="M114" s="581">
        <v>0</v>
      </c>
      <c r="N114" s="581">
        <v>0</v>
      </c>
      <c r="O114" s="581">
        <v>0</v>
      </c>
      <c r="P114" s="581">
        <v>0</v>
      </c>
      <c r="Q114" s="581">
        <v>0</v>
      </c>
      <c r="R114" s="581">
        <v>0</v>
      </c>
      <c r="S114" s="581">
        <v>0</v>
      </c>
      <c r="T114" s="581">
        <v>0</v>
      </c>
      <c r="U114" s="581">
        <v>0</v>
      </c>
      <c r="V114" s="581">
        <v>0</v>
      </c>
      <c r="W114" s="581">
        <v>0</v>
      </c>
      <c r="X114" s="581">
        <v>0</v>
      </c>
      <c r="Y114" s="581">
        <v>0</v>
      </c>
      <c r="Z114" s="581">
        <v>0</v>
      </c>
      <c r="AA114" s="581">
        <v>0</v>
      </c>
      <c r="AB114" s="581">
        <v>0</v>
      </c>
      <c r="AC114" s="581">
        <v>0</v>
      </c>
      <c r="AD114" s="581">
        <v>0</v>
      </c>
      <c r="AE114" s="581">
        <v>0</v>
      </c>
      <c r="AF114" s="581">
        <v>0</v>
      </c>
      <c r="AG114" s="581">
        <v>0</v>
      </c>
      <c r="AH114" s="581">
        <v>0</v>
      </c>
      <c r="AI114" s="581">
        <v>0</v>
      </c>
      <c r="AJ114" s="581">
        <v>0</v>
      </c>
      <c r="AK114" s="581">
        <v>0</v>
      </c>
      <c r="AL114" s="581">
        <v>0</v>
      </c>
      <c r="AM114" s="581">
        <v>0</v>
      </c>
      <c r="AN114" s="581">
        <v>0</v>
      </c>
      <c r="AO114" s="581">
        <v>0</v>
      </c>
      <c r="AP114" s="581">
        <v>0</v>
      </c>
      <c r="AQ114" s="581">
        <v>0</v>
      </c>
      <c r="AR114" s="581">
        <v>0</v>
      </c>
      <c r="AS114" s="581">
        <v>0</v>
      </c>
      <c r="AT114" s="581">
        <v>0</v>
      </c>
      <c r="AU114" s="581">
        <v>0</v>
      </c>
      <c r="AV114" s="581">
        <v>0</v>
      </c>
      <c r="AW114" s="581">
        <v>0</v>
      </c>
      <c r="AX114" s="581">
        <v>0</v>
      </c>
      <c r="AY114" s="616">
        <v>0</v>
      </c>
      <c r="AZ114" s="616">
        <v>0</v>
      </c>
      <c r="BA114" s="616"/>
      <c r="BB114" s="616"/>
      <c r="BC114" s="616"/>
      <c r="BD114" s="616"/>
      <c r="BE114" s="616"/>
      <c r="BF114" s="616"/>
      <c r="BG114" s="616"/>
      <c r="BH114" s="616"/>
      <c r="BI114" s="578"/>
      <c r="BJ114" s="616">
        <f>C114+G114+I114+K114+M114+O114+Q114+S114+U114+W114+Y114+AA114+AC114+AE114+AG114+AI114+AK114+AM114+AO114+AQ114+AS114+AU114+AW114+AY114+BB114+BF114</f>
        <v>156</v>
      </c>
      <c r="BK114" s="581">
        <f>D114+H114+J114+L114+N114+P114+R114+T114+V114+X114+Z114+AB114+AD114+AF114+AH114+AJ114+AL114+AN114+AP114+AR114+AT114+AV114+AX114+AZ114+BD114+BH114</f>
        <v>2608</v>
      </c>
      <c r="BL114" s="541"/>
      <c r="BM114" s="541"/>
      <c r="BN114" s="541"/>
      <c r="BO114" s="541"/>
      <c r="BP114" s="624"/>
      <c r="BQ114" s="541"/>
      <c r="BR114" s="541"/>
      <c r="BS114" s="541"/>
      <c r="BT114" s="541"/>
      <c r="BU114" s="541"/>
      <c r="BV114" s="541"/>
      <c r="BW114" s="541"/>
      <c r="BX114" s="541"/>
      <c r="BY114" s="541"/>
      <c r="BZ114" s="541"/>
      <c r="CA114" s="541"/>
      <c r="CB114" s="541"/>
      <c r="CC114" s="541"/>
      <c r="CD114" s="541"/>
      <c r="CE114" s="541"/>
      <c r="CF114" s="541"/>
      <c r="CG114" s="541"/>
      <c r="CH114" s="541"/>
      <c r="CI114" s="541"/>
      <c r="CJ114" s="541"/>
      <c r="CK114" s="541"/>
      <c r="CL114" s="541"/>
      <c r="CM114" s="541"/>
      <c r="CN114" s="541"/>
      <c r="CO114" s="541"/>
      <c r="CP114" s="541"/>
      <c r="CQ114" s="541"/>
      <c r="CR114" s="541"/>
      <c r="CS114" s="541"/>
      <c r="CT114" s="541"/>
      <c r="CU114" s="541"/>
      <c r="CV114" s="541"/>
      <c r="CW114" s="541"/>
      <c r="CX114" s="541"/>
      <c r="CY114" s="541"/>
      <c r="CZ114" s="541"/>
      <c r="DA114" s="541"/>
      <c r="DB114" s="541"/>
      <c r="DC114" s="541"/>
      <c r="DD114" s="541"/>
      <c r="DE114" s="541"/>
      <c r="DF114" s="541"/>
      <c r="DG114" s="541"/>
      <c r="DH114" s="541"/>
      <c r="DI114" s="541"/>
      <c r="DJ114" s="541"/>
      <c r="DK114" s="541"/>
      <c r="DL114" s="541"/>
      <c r="DM114" s="541"/>
      <c r="DN114" s="541"/>
      <c r="DO114" s="541"/>
      <c r="DP114" s="541"/>
      <c r="DQ114" s="541"/>
      <c r="DR114" s="541"/>
      <c r="DS114" s="541"/>
      <c r="DT114" s="541"/>
      <c r="DU114" s="541"/>
      <c r="DV114" s="541"/>
      <c r="DW114" s="541"/>
      <c r="DX114" s="541"/>
      <c r="DY114" s="541"/>
      <c r="DZ114" s="541"/>
      <c r="EA114" s="541"/>
      <c r="EB114" s="541"/>
      <c r="EC114" s="541"/>
      <c r="ED114" s="541"/>
      <c r="EE114" s="541"/>
      <c r="EF114" s="541"/>
      <c r="EG114" s="541"/>
      <c r="EH114" s="541"/>
      <c r="EI114" s="541"/>
      <c r="EJ114" s="541"/>
      <c r="EK114" s="541"/>
      <c r="EL114" s="541"/>
      <c r="EM114" s="541"/>
      <c r="EN114" s="541"/>
      <c r="EO114" s="541"/>
      <c r="EP114" s="541"/>
      <c r="EQ114" s="541"/>
      <c r="ER114" s="541"/>
      <c r="ES114" s="541"/>
      <c r="ET114" s="541"/>
      <c r="EU114" s="541"/>
      <c r="EV114" s="541"/>
      <c r="EW114" s="541"/>
      <c r="EX114" s="541"/>
      <c r="EY114" s="541"/>
      <c r="EZ114" s="541"/>
      <c r="FA114" s="541"/>
      <c r="FB114" s="541"/>
      <c r="FC114" s="541"/>
      <c r="FD114" s="541"/>
      <c r="FE114" s="541"/>
      <c r="FF114" s="541"/>
      <c r="FG114" s="541"/>
      <c r="FH114" s="541"/>
      <c r="FI114" s="541"/>
      <c r="FJ114" s="541"/>
      <c r="FK114" s="541"/>
      <c r="FL114" s="541"/>
      <c r="FM114" s="541"/>
      <c r="FN114" s="541"/>
      <c r="FO114" s="541"/>
      <c r="FP114" s="541"/>
      <c r="FQ114" s="541"/>
      <c r="FR114" s="541"/>
      <c r="FS114" s="541"/>
      <c r="FT114" s="541"/>
      <c r="FU114" s="541"/>
      <c r="FV114" s="541"/>
      <c r="FW114" s="541"/>
      <c r="FX114" s="541"/>
      <c r="FY114" s="541"/>
      <c r="FZ114" s="541"/>
      <c r="GA114" s="541"/>
      <c r="GB114" s="541"/>
      <c r="GC114" s="541"/>
      <c r="GD114" s="541"/>
      <c r="GE114" s="541"/>
      <c r="GF114" s="541"/>
      <c r="GG114" s="541"/>
      <c r="GH114" s="541"/>
      <c r="GI114" s="541"/>
      <c r="GJ114" s="541"/>
      <c r="GK114" s="541"/>
      <c r="GL114" s="541"/>
      <c r="GM114" s="541"/>
      <c r="GN114" s="541"/>
      <c r="GO114" s="541"/>
      <c r="GP114" s="541"/>
      <c r="GQ114" s="541"/>
      <c r="GR114" s="541"/>
      <c r="GS114" s="541"/>
      <c r="GT114" s="541"/>
      <c r="GU114" s="541"/>
      <c r="GV114" s="541"/>
      <c r="GW114" s="541"/>
      <c r="GX114" s="541"/>
      <c r="GY114" s="541"/>
      <c r="GZ114" s="541"/>
      <c r="HA114" s="541"/>
      <c r="HB114" s="541"/>
      <c r="HC114" s="541"/>
      <c r="HD114" s="541"/>
      <c r="HE114" s="541"/>
      <c r="HF114" s="541"/>
      <c r="HG114" s="541"/>
      <c r="HH114" s="541"/>
      <c r="HI114" s="541"/>
      <c r="HJ114" s="541"/>
      <c r="HK114" s="541"/>
      <c r="HL114" s="541"/>
      <c r="HM114" s="541"/>
      <c r="HN114" s="541"/>
      <c r="HO114" s="541"/>
      <c r="HP114" s="541"/>
      <c r="HQ114" s="541"/>
      <c r="HR114" s="541"/>
      <c r="HS114" s="541"/>
      <c r="HT114" s="541"/>
      <c r="HU114" s="541"/>
      <c r="HV114" s="541"/>
      <c r="HW114" s="541"/>
      <c r="HX114" s="541"/>
      <c r="HY114" s="541"/>
      <c r="HZ114" s="541"/>
      <c r="IA114" s="541"/>
      <c r="IB114" s="541"/>
      <c r="IC114" s="541"/>
      <c r="ID114" s="541"/>
      <c r="IE114" s="541"/>
      <c r="IF114" s="541"/>
      <c r="IG114" s="541"/>
      <c r="IH114" s="541"/>
      <c r="II114" s="541"/>
      <c r="IJ114" s="541"/>
      <c r="IK114" s="541"/>
      <c r="IL114" s="541"/>
      <c r="IM114" s="541"/>
      <c r="IN114" s="541"/>
      <c r="IO114" s="541"/>
      <c r="IP114" s="541"/>
      <c r="IQ114" s="541"/>
      <c r="IR114" s="541"/>
      <c r="IS114" s="541"/>
      <c r="IT114" s="541"/>
      <c r="IU114" s="541"/>
      <c r="IV114" s="541"/>
      <c r="IW114" s="541"/>
      <c r="IX114" s="541"/>
      <c r="IY114" s="541"/>
      <c r="IZ114" s="541"/>
      <c r="JA114" s="541"/>
      <c r="JB114" s="541"/>
      <c r="JC114" s="541"/>
      <c r="JD114" s="541"/>
      <c r="JE114" s="541"/>
      <c r="JF114" s="541"/>
      <c r="JG114" s="541"/>
      <c r="JH114" s="541"/>
      <c r="JI114" s="541"/>
      <c r="JJ114" s="541"/>
      <c r="JK114" s="541"/>
      <c r="JL114" s="541"/>
      <c r="JM114" s="541"/>
      <c r="JN114" s="541"/>
      <c r="JO114" s="541"/>
      <c r="JP114" s="541"/>
      <c r="JQ114" s="541"/>
      <c r="JR114" s="541"/>
      <c r="JS114" s="541"/>
      <c r="JT114" s="541"/>
      <c r="JU114" s="541"/>
      <c r="JV114" s="541"/>
      <c r="JW114" s="541"/>
      <c r="JX114" s="541"/>
      <c r="JY114" s="541"/>
      <c r="JZ114" s="541"/>
      <c r="KA114" s="541"/>
      <c r="KB114" s="541"/>
      <c r="KC114" s="541"/>
      <c r="KD114" s="541"/>
      <c r="KE114" s="541"/>
      <c r="KF114" s="541"/>
      <c r="KG114" s="541"/>
      <c r="KH114" s="541"/>
      <c r="KI114" s="541"/>
      <c r="KJ114" s="541"/>
      <c r="KK114" s="541"/>
      <c r="KL114" s="541"/>
      <c r="KM114" s="541"/>
      <c r="KN114" s="541"/>
      <c r="KO114" s="541"/>
      <c r="KP114" s="541"/>
      <c r="KQ114" s="541"/>
      <c r="KR114" s="541"/>
      <c r="KS114" s="541"/>
      <c r="KT114" s="541"/>
      <c r="KU114" s="541"/>
      <c r="KV114" s="541"/>
      <c r="KW114" s="541"/>
      <c r="KX114" s="541"/>
      <c r="KY114" s="541"/>
      <c r="KZ114" s="541"/>
      <c r="LA114" s="541"/>
      <c r="LB114" s="541"/>
      <c r="LC114" s="541"/>
      <c r="LD114" s="541"/>
      <c r="LE114" s="541"/>
      <c r="LF114" s="541"/>
      <c r="LG114" s="541"/>
      <c r="LH114" s="541"/>
      <c r="LI114" s="541"/>
      <c r="LJ114" s="541"/>
      <c r="LK114" s="541"/>
      <c r="LL114" s="541"/>
      <c r="LM114" s="541"/>
      <c r="LN114" s="541"/>
      <c r="LO114" s="541"/>
      <c r="LP114" s="541"/>
      <c r="LQ114" s="541"/>
      <c r="LR114" s="541"/>
      <c r="LS114" s="541"/>
      <c r="LT114" s="541"/>
      <c r="LU114" s="541"/>
      <c r="LV114" s="541"/>
      <c r="LW114" s="541"/>
      <c r="LX114" s="541"/>
      <c r="LY114" s="541"/>
      <c r="LZ114" s="541"/>
      <c r="MA114" s="541"/>
      <c r="MB114" s="541"/>
      <c r="MC114" s="541"/>
      <c r="MD114" s="541"/>
      <c r="ME114" s="541"/>
      <c r="MF114" s="541"/>
      <c r="MG114" s="541"/>
      <c r="MH114" s="541"/>
      <c r="MI114" s="541"/>
      <c r="MJ114" s="541"/>
      <c r="MK114" s="541"/>
      <c r="ML114" s="541"/>
      <c r="MM114" s="541"/>
      <c r="MN114" s="541"/>
      <c r="MO114" s="541"/>
      <c r="MP114" s="541"/>
      <c r="MQ114" s="541"/>
      <c r="MR114" s="541"/>
      <c r="MS114" s="541"/>
      <c r="MT114" s="541"/>
      <c r="MU114" s="541"/>
      <c r="MV114" s="541"/>
      <c r="MW114" s="541"/>
      <c r="MX114" s="541"/>
      <c r="MY114" s="541"/>
      <c r="MZ114" s="541"/>
      <c r="NA114" s="541"/>
      <c r="NB114" s="541"/>
      <c r="NC114" s="541"/>
      <c r="ND114" s="541"/>
      <c r="NE114" s="541"/>
      <c r="NF114" s="541"/>
      <c r="NG114" s="541"/>
      <c r="NH114" s="541"/>
      <c r="NI114" s="541"/>
      <c r="NJ114" s="541"/>
      <c r="NK114" s="541"/>
      <c r="NL114" s="541"/>
      <c r="NM114" s="541"/>
      <c r="NN114" s="541"/>
      <c r="NO114" s="541"/>
      <c r="NP114" s="541"/>
      <c r="NQ114" s="541"/>
      <c r="NR114" s="541"/>
      <c r="NS114" s="541"/>
      <c r="NT114" s="541"/>
      <c r="NU114" s="541"/>
      <c r="NV114" s="541"/>
      <c r="NW114" s="541"/>
      <c r="NX114" s="541"/>
      <c r="NY114" s="541"/>
      <c r="NZ114" s="541"/>
      <c r="OA114" s="541"/>
      <c r="OB114" s="541"/>
      <c r="OC114" s="541"/>
      <c r="OD114" s="541"/>
      <c r="OE114" s="541"/>
      <c r="OF114" s="541"/>
      <c r="OG114" s="541"/>
      <c r="OH114" s="541"/>
      <c r="OI114" s="541"/>
      <c r="OJ114" s="541"/>
      <c r="OK114" s="541"/>
      <c r="OL114" s="541"/>
      <c r="OM114" s="541"/>
      <c r="ON114" s="541"/>
      <c r="OO114" s="541"/>
      <c r="OP114" s="541"/>
      <c r="OQ114" s="541"/>
      <c r="OR114" s="541"/>
      <c r="OS114" s="541"/>
      <c r="OT114" s="541"/>
      <c r="OU114" s="541"/>
      <c r="OV114" s="541"/>
      <c r="OW114" s="541"/>
      <c r="OX114" s="541"/>
      <c r="OY114" s="541"/>
      <c r="OZ114" s="541"/>
      <c r="PA114" s="541"/>
      <c r="PB114" s="541"/>
      <c r="PC114" s="541"/>
      <c r="PD114" s="541"/>
      <c r="PE114" s="541"/>
      <c r="PF114" s="541"/>
      <c r="PG114" s="541"/>
      <c r="PH114" s="541"/>
      <c r="PI114" s="541"/>
      <c r="PJ114" s="541"/>
      <c r="PK114" s="541"/>
      <c r="PL114" s="541"/>
      <c r="PM114" s="541"/>
      <c r="PN114" s="541"/>
      <c r="PO114" s="541"/>
      <c r="PP114" s="541"/>
      <c r="PQ114" s="541"/>
      <c r="PR114" s="541"/>
      <c r="PS114" s="541"/>
      <c r="PT114" s="541"/>
      <c r="PU114" s="541"/>
      <c r="PV114" s="541"/>
      <c r="PW114" s="541"/>
      <c r="PX114" s="541"/>
      <c r="PY114" s="541"/>
      <c r="PZ114" s="541"/>
      <c r="QA114" s="541"/>
      <c r="QB114" s="541"/>
      <c r="QC114" s="541"/>
      <c r="QD114" s="541"/>
      <c r="QE114" s="541"/>
      <c r="QF114" s="541"/>
      <c r="QG114" s="541"/>
      <c r="QH114" s="541"/>
      <c r="QI114" s="541"/>
      <c r="QJ114" s="541"/>
      <c r="QK114" s="541"/>
      <c r="QL114" s="541"/>
      <c r="QM114" s="541"/>
      <c r="QN114" s="541"/>
      <c r="QO114" s="541"/>
      <c r="QP114" s="541"/>
      <c r="QQ114" s="541"/>
      <c r="QR114" s="541"/>
      <c r="QS114" s="541"/>
      <c r="QT114" s="541"/>
      <c r="QU114" s="541"/>
      <c r="QV114" s="541"/>
      <c r="QW114" s="541"/>
      <c r="QX114" s="541"/>
      <c r="QY114" s="541"/>
      <c r="QZ114" s="541"/>
      <c r="RA114" s="541"/>
      <c r="RB114" s="541"/>
      <c r="RC114" s="541"/>
      <c r="RD114" s="541"/>
      <c r="RE114" s="541"/>
      <c r="RF114" s="541"/>
      <c r="RG114" s="541"/>
      <c r="RH114" s="541"/>
      <c r="RI114" s="541"/>
      <c r="RJ114" s="541"/>
      <c r="RK114" s="541"/>
      <c r="RL114" s="541"/>
      <c r="RM114" s="541"/>
      <c r="RN114" s="541"/>
      <c r="RO114" s="541"/>
      <c r="RP114" s="541"/>
      <c r="RQ114" s="541"/>
      <c r="RR114" s="541"/>
      <c r="RS114" s="541"/>
      <c r="RT114" s="541"/>
      <c r="RU114" s="541"/>
      <c r="RV114" s="541"/>
      <c r="RW114" s="541"/>
      <c r="RX114" s="541"/>
      <c r="RY114" s="541"/>
      <c r="RZ114" s="541"/>
      <c r="SA114" s="541"/>
      <c r="SB114" s="541"/>
      <c r="SC114" s="541"/>
      <c r="SD114" s="541"/>
      <c r="SE114" s="541"/>
      <c r="SF114" s="541"/>
      <c r="SG114" s="541"/>
      <c r="SH114" s="541"/>
      <c r="SI114" s="541"/>
      <c r="SJ114" s="541"/>
      <c r="SK114" s="541"/>
      <c r="SL114" s="541"/>
      <c r="SM114" s="541"/>
      <c r="SN114" s="541"/>
      <c r="SO114" s="541"/>
      <c r="SP114" s="541"/>
      <c r="SQ114" s="541"/>
      <c r="SR114" s="541"/>
      <c r="SS114" s="541"/>
      <c r="ST114" s="541"/>
      <c r="SU114" s="541"/>
      <c r="SV114" s="541"/>
      <c r="SW114" s="541"/>
      <c r="SX114" s="541"/>
      <c r="SY114" s="541"/>
      <c r="SZ114" s="541"/>
      <c r="TA114" s="541"/>
      <c r="TB114" s="541"/>
      <c r="TC114" s="541"/>
      <c r="TD114" s="541"/>
      <c r="TE114" s="541"/>
      <c r="TF114" s="541"/>
      <c r="TG114" s="541"/>
      <c r="TH114" s="541"/>
      <c r="TI114" s="541"/>
      <c r="TJ114" s="541"/>
      <c r="TK114" s="541"/>
      <c r="TL114" s="541"/>
      <c r="TM114" s="541"/>
      <c r="TN114" s="541"/>
      <c r="TO114" s="541"/>
      <c r="TP114" s="541"/>
      <c r="TQ114" s="541"/>
      <c r="TR114" s="541"/>
      <c r="TS114" s="541"/>
      <c r="TT114" s="541"/>
      <c r="TU114" s="541"/>
      <c r="TV114" s="541"/>
      <c r="TW114" s="541"/>
      <c r="TX114" s="541"/>
      <c r="TY114" s="541"/>
      <c r="TZ114" s="541"/>
      <c r="UA114" s="541"/>
      <c r="UB114" s="541"/>
      <c r="UC114" s="541"/>
      <c r="UD114" s="541"/>
      <c r="UE114" s="541"/>
      <c r="UF114" s="541"/>
      <c r="UG114" s="541"/>
      <c r="UH114" s="541"/>
      <c r="UI114" s="541"/>
      <c r="UJ114" s="541"/>
      <c r="UK114" s="541"/>
      <c r="UL114" s="541"/>
      <c r="UM114" s="541"/>
      <c r="UN114" s="541"/>
      <c r="UO114" s="541"/>
      <c r="UP114" s="541"/>
      <c r="UQ114" s="541"/>
      <c r="UR114" s="541"/>
      <c r="US114" s="541"/>
      <c r="UT114" s="541"/>
      <c r="UU114" s="541"/>
      <c r="UV114" s="541"/>
      <c r="UW114" s="541"/>
      <c r="UX114" s="541"/>
      <c r="UY114" s="541"/>
      <c r="UZ114" s="541"/>
      <c r="VA114" s="541"/>
      <c r="VB114" s="541"/>
      <c r="VC114" s="541"/>
      <c r="VD114" s="541"/>
      <c r="VE114" s="541"/>
      <c r="VF114" s="541"/>
      <c r="VG114" s="541"/>
      <c r="VH114" s="541"/>
      <c r="VI114" s="541"/>
      <c r="VJ114" s="541"/>
      <c r="VK114" s="541"/>
      <c r="VL114" s="541"/>
      <c r="VM114" s="541"/>
      <c r="VN114" s="541"/>
      <c r="VO114" s="541"/>
      <c r="VP114" s="541"/>
      <c r="VQ114" s="541"/>
      <c r="VR114" s="541"/>
      <c r="VS114" s="541"/>
      <c r="VT114" s="541"/>
      <c r="VU114" s="541"/>
      <c r="VV114" s="541"/>
      <c r="VW114" s="541"/>
      <c r="VX114" s="541"/>
      <c r="VY114" s="541"/>
      <c r="VZ114" s="541"/>
      <c r="WA114" s="541"/>
      <c r="WB114" s="541"/>
      <c r="WC114" s="541"/>
      <c r="WD114" s="541"/>
      <c r="WE114" s="541"/>
      <c r="WF114" s="541"/>
      <c r="WG114" s="541"/>
      <c r="WH114" s="541"/>
      <c r="WI114" s="541"/>
      <c r="WJ114" s="541"/>
      <c r="WK114" s="541"/>
      <c r="WL114" s="541"/>
      <c r="WM114" s="541"/>
      <c r="WN114" s="541"/>
      <c r="WO114" s="541"/>
      <c r="WP114" s="541"/>
      <c r="WQ114" s="541"/>
      <c r="WR114" s="541"/>
      <c r="WS114" s="541"/>
      <c r="WT114" s="541"/>
      <c r="WU114" s="541"/>
      <c r="WV114" s="541"/>
      <c r="WW114" s="541"/>
      <c r="WX114" s="541"/>
      <c r="WY114" s="541"/>
      <c r="WZ114" s="541"/>
      <c r="XA114" s="541"/>
      <c r="XB114" s="541"/>
      <c r="XC114" s="541"/>
      <c r="XD114" s="541"/>
      <c r="XE114" s="541"/>
      <c r="XF114" s="541"/>
      <c r="XG114" s="541"/>
      <c r="XH114" s="541"/>
      <c r="XI114" s="541"/>
      <c r="XJ114" s="541"/>
      <c r="XK114" s="541"/>
      <c r="XL114" s="541"/>
      <c r="XM114" s="541"/>
      <c r="XN114" s="541"/>
      <c r="XO114" s="541"/>
      <c r="XP114" s="541"/>
      <c r="XQ114" s="541"/>
      <c r="XR114" s="541"/>
      <c r="XS114" s="541"/>
      <c r="XT114" s="541"/>
      <c r="XU114" s="541"/>
      <c r="XV114" s="541"/>
      <c r="XW114" s="541"/>
      <c r="XX114" s="541"/>
      <c r="XY114" s="541"/>
      <c r="XZ114" s="541"/>
      <c r="YA114" s="541"/>
      <c r="YB114" s="541"/>
      <c r="YC114" s="541"/>
      <c r="YD114" s="541"/>
      <c r="YE114" s="541"/>
      <c r="YF114" s="541"/>
      <c r="YG114" s="541"/>
      <c r="YH114" s="541"/>
      <c r="YI114" s="541"/>
      <c r="YJ114" s="541"/>
      <c r="YK114" s="541"/>
      <c r="YL114" s="541"/>
      <c r="YM114" s="541"/>
      <c r="YN114" s="541"/>
      <c r="YO114" s="541"/>
      <c r="YP114" s="541"/>
      <c r="YQ114" s="541"/>
      <c r="YR114" s="541"/>
      <c r="YS114" s="541"/>
      <c r="YT114" s="541"/>
      <c r="YU114" s="541"/>
      <c r="YV114" s="541"/>
      <c r="YW114" s="541"/>
      <c r="YX114" s="541"/>
      <c r="YY114" s="541"/>
      <c r="YZ114" s="541"/>
      <c r="ZA114" s="541"/>
      <c r="ZB114" s="541"/>
      <c r="ZC114" s="541"/>
      <c r="ZD114" s="541"/>
      <c r="ZE114" s="541"/>
      <c r="ZF114" s="541"/>
      <c r="ZG114" s="541"/>
      <c r="ZH114" s="541"/>
      <c r="ZI114" s="541"/>
      <c r="ZJ114" s="541"/>
      <c r="ZK114" s="541"/>
      <c r="ZL114" s="541"/>
      <c r="ZM114" s="541"/>
      <c r="ZN114" s="541"/>
      <c r="ZO114" s="541"/>
      <c r="ZP114" s="541"/>
      <c r="ZQ114" s="541"/>
      <c r="ZR114" s="541"/>
      <c r="ZS114" s="541"/>
      <c r="ZT114" s="541"/>
      <c r="ZU114" s="541"/>
      <c r="ZV114" s="541"/>
      <c r="ZW114" s="541"/>
      <c r="ZX114" s="541"/>
      <c r="ZY114" s="541"/>
      <c r="ZZ114" s="541"/>
      <c r="AAA114" s="541"/>
      <c r="AAB114" s="541"/>
      <c r="AAC114" s="541"/>
      <c r="AAD114" s="541"/>
      <c r="AAE114" s="541"/>
      <c r="AAF114" s="541"/>
      <c r="AAG114" s="541"/>
      <c r="AAH114" s="541"/>
      <c r="AAI114" s="541"/>
      <c r="AAJ114" s="541"/>
      <c r="AAK114" s="541"/>
      <c r="AAL114" s="541"/>
      <c r="AAM114" s="541"/>
      <c r="AAN114" s="541"/>
      <c r="AAO114" s="541"/>
      <c r="AAP114" s="541"/>
      <c r="AAQ114" s="541"/>
      <c r="AAR114" s="541"/>
      <c r="AAS114" s="541"/>
      <c r="AAT114" s="541"/>
      <c r="AAU114" s="541"/>
      <c r="AAV114" s="541"/>
      <c r="AAW114" s="541"/>
      <c r="AAX114" s="541"/>
      <c r="AAY114" s="541"/>
      <c r="AAZ114" s="541"/>
      <c r="ABA114" s="541"/>
      <c r="ABB114" s="541"/>
      <c r="ABC114" s="541"/>
      <c r="ABD114" s="541"/>
      <c r="ABE114" s="541"/>
      <c r="ABF114" s="541"/>
      <c r="ABG114" s="541"/>
      <c r="ABH114" s="541"/>
      <c r="ABI114" s="541"/>
      <c r="ABJ114" s="541"/>
      <c r="ABK114" s="541"/>
      <c r="ABL114" s="541"/>
      <c r="ABM114" s="541"/>
      <c r="ABN114" s="541"/>
      <c r="ABO114" s="541"/>
      <c r="ABP114" s="541"/>
      <c r="ABQ114" s="541"/>
      <c r="ABR114" s="541"/>
      <c r="ABS114" s="541"/>
      <c r="ABT114" s="541"/>
      <c r="ABU114" s="541"/>
      <c r="ABV114" s="541"/>
      <c r="ABW114" s="541"/>
      <c r="ABX114" s="541"/>
      <c r="ABY114" s="541"/>
      <c r="ABZ114" s="541"/>
      <c r="ACA114" s="541"/>
      <c r="ACB114" s="541"/>
      <c r="ACC114" s="541"/>
      <c r="ACD114" s="541"/>
      <c r="ACE114" s="541"/>
      <c r="ACF114" s="541"/>
      <c r="ACG114" s="541"/>
      <c r="ACH114" s="541"/>
      <c r="ACI114" s="541"/>
      <c r="ACJ114" s="541"/>
      <c r="ACK114" s="541"/>
      <c r="ACL114" s="541"/>
      <c r="ACM114" s="541"/>
      <c r="ACN114" s="541"/>
      <c r="ACO114" s="541"/>
      <c r="ACP114" s="541"/>
      <c r="ACQ114" s="541"/>
      <c r="ACR114" s="541"/>
      <c r="ACS114" s="541"/>
      <c r="ACT114" s="541"/>
      <c r="ACU114" s="541"/>
      <c r="ACV114" s="541"/>
      <c r="ACW114" s="541"/>
      <c r="ACX114" s="541"/>
      <c r="ACY114" s="541"/>
      <c r="ACZ114" s="541"/>
      <c r="ADA114" s="541"/>
      <c r="ADB114" s="541"/>
      <c r="ADC114" s="541"/>
      <c r="ADD114" s="541"/>
      <c r="ADE114" s="541"/>
      <c r="ADF114" s="541"/>
      <c r="ADG114" s="541"/>
      <c r="ADH114" s="541"/>
      <c r="ADI114" s="541"/>
      <c r="ADJ114" s="541"/>
      <c r="ADK114" s="541"/>
      <c r="ADL114" s="541"/>
      <c r="ADM114" s="541"/>
      <c r="ADN114" s="541"/>
      <c r="ADO114" s="541"/>
      <c r="ADP114" s="541"/>
      <c r="ADQ114" s="541"/>
      <c r="ADR114" s="541"/>
      <c r="ADS114" s="541"/>
      <c r="ADT114" s="541"/>
      <c r="ADU114" s="541"/>
      <c r="ADV114" s="541"/>
      <c r="ADW114" s="541"/>
      <c r="ADX114" s="541"/>
      <c r="ADY114" s="541"/>
      <c r="ADZ114" s="541"/>
      <c r="AEA114" s="541"/>
      <c r="AEB114" s="541"/>
      <c r="AEC114" s="541"/>
      <c r="AED114" s="541"/>
      <c r="AEE114" s="541"/>
      <c r="AEF114" s="541"/>
      <c r="AEG114" s="541"/>
      <c r="AEH114" s="541"/>
      <c r="AEI114" s="541"/>
      <c r="AEJ114" s="541"/>
      <c r="AEK114" s="541"/>
      <c r="AEL114" s="541"/>
      <c r="AEM114" s="541"/>
      <c r="AEN114" s="541"/>
      <c r="AEO114" s="541"/>
      <c r="AEP114" s="541"/>
      <c r="AEQ114" s="541"/>
      <c r="AER114" s="541"/>
      <c r="AES114" s="541"/>
      <c r="AET114" s="541"/>
      <c r="AEU114" s="541"/>
      <c r="AEV114" s="541"/>
      <c r="AEW114" s="541"/>
      <c r="AEX114" s="541"/>
      <c r="AEY114" s="541"/>
      <c r="AEZ114" s="541"/>
      <c r="AFA114" s="541"/>
      <c r="AFB114" s="541"/>
      <c r="AFC114" s="541"/>
      <c r="AFD114" s="541"/>
      <c r="AFE114" s="541"/>
      <c r="AFF114" s="541"/>
      <c r="AFG114" s="541"/>
      <c r="AFH114" s="541"/>
      <c r="AFI114" s="541"/>
      <c r="AFJ114" s="541"/>
      <c r="AFK114" s="541"/>
      <c r="AFL114" s="541"/>
      <c r="AFM114" s="541"/>
      <c r="AFN114" s="541"/>
      <c r="AFO114" s="541"/>
      <c r="AFP114" s="541"/>
      <c r="AFQ114" s="541"/>
      <c r="AFR114" s="541"/>
      <c r="AFS114" s="541"/>
      <c r="AFT114" s="541"/>
      <c r="AFU114" s="541"/>
      <c r="AFV114" s="541"/>
      <c r="AFW114" s="541"/>
      <c r="AFX114" s="541"/>
      <c r="AFY114" s="541"/>
      <c r="AFZ114" s="541"/>
      <c r="AGA114" s="541"/>
      <c r="AGB114" s="541"/>
      <c r="AGC114" s="541"/>
      <c r="AGD114" s="541"/>
      <c r="AGE114" s="541"/>
      <c r="AGF114" s="541"/>
      <c r="AGG114" s="541"/>
      <c r="AGH114" s="541"/>
      <c r="AGI114" s="541"/>
      <c r="AGJ114" s="541"/>
      <c r="AGK114" s="541"/>
      <c r="AGL114" s="541"/>
      <c r="AGM114" s="541"/>
      <c r="AGN114" s="541"/>
      <c r="AGO114" s="541"/>
      <c r="AGP114" s="541"/>
      <c r="AGQ114" s="541"/>
      <c r="AGR114" s="541"/>
      <c r="AGS114" s="541"/>
      <c r="AGT114" s="541"/>
      <c r="AGU114" s="541"/>
      <c r="AGV114" s="541"/>
      <c r="AGW114" s="541"/>
      <c r="AGX114" s="541"/>
      <c r="AGY114" s="541"/>
      <c r="AGZ114" s="541"/>
      <c r="AHA114" s="541"/>
      <c r="AHB114" s="541"/>
      <c r="AHC114" s="541"/>
      <c r="AHD114" s="541"/>
      <c r="AHE114" s="541"/>
      <c r="AHF114" s="541"/>
      <c r="AHG114" s="541"/>
      <c r="AHH114" s="541"/>
      <c r="AHI114" s="541"/>
      <c r="AHJ114" s="541"/>
      <c r="AHK114" s="541"/>
      <c r="AHL114" s="541"/>
      <c r="AHM114" s="541"/>
      <c r="AHN114" s="541"/>
      <c r="AHO114" s="541"/>
      <c r="AHP114" s="541"/>
      <c r="AHQ114" s="541"/>
      <c r="AHR114" s="541"/>
      <c r="AHS114" s="541"/>
      <c r="AHT114" s="541"/>
      <c r="AHU114" s="541"/>
      <c r="AHV114" s="541"/>
      <c r="AHW114" s="541"/>
      <c r="AHX114" s="541"/>
      <c r="AHY114" s="541"/>
      <c r="AHZ114" s="541"/>
      <c r="AIA114" s="541"/>
      <c r="AIB114" s="541"/>
      <c r="AIC114" s="541"/>
      <c r="AID114" s="541"/>
      <c r="AIE114" s="541"/>
      <c r="AIF114" s="541"/>
      <c r="AIG114" s="541"/>
      <c r="AIH114" s="541"/>
      <c r="AII114" s="541"/>
      <c r="AIJ114" s="541"/>
      <c r="AIK114" s="541"/>
      <c r="AIL114" s="541"/>
      <c r="AIM114" s="541"/>
      <c r="AIN114" s="541"/>
      <c r="AIO114" s="541"/>
      <c r="AIP114" s="541"/>
      <c r="AIQ114" s="541"/>
      <c r="AIR114" s="541"/>
      <c r="AIS114" s="541"/>
      <c r="AIT114" s="541"/>
      <c r="AIU114" s="541"/>
      <c r="AIV114" s="541"/>
      <c r="AIW114" s="541"/>
      <c r="AIX114" s="541"/>
      <c r="AIY114" s="541"/>
      <c r="AIZ114" s="541"/>
      <c r="AJA114" s="541"/>
      <c r="AJB114" s="541"/>
      <c r="AJC114" s="541"/>
      <c r="AJD114" s="541"/>
      <c r="AJE114" s="541"/>
      <c r="AJF114" s="541"/>
      <c r="AJG114" s="541"/>
      <c r="AJH114" s="541"/>
      <c r="AJI114" s="541"/>
      <c r="AJJ114" s="541"/>
      <c r="AJK114" s="541"/>
      <c r="AJL114" s="541"/>
      <c r="AJM114" s="541"/>
      <c r="AJN114" s="541"/>
      <c r="AJO114" s="541"/>
      <c r="AJP114" s="541"/>
      <c r="AJQ114" s="541"/>
      <c r="AJR114" s="541"/>
      <c r="AJS114" s="541"/>
      <c r="AJT114" s="541"/>
      <c r="AJU114" s="541"/>
      <c r="AJV114" s="541"/>
      <c r="AJW114" s="541"/>
      <c r="AJX114" s="541"/>
      <c r="AJY114" s="541"/>
      <c r="AJZ114" s="541"/>
      <c r="AKA114" s="541"/>
      <c r="AKB114" s="541"/>
      <c r="AKC114" s="541"/>
      <c r="AKD114" s="541"/>
      <c r="AKE114" s="541"/>
      <c r="AKF114" s="541"/>
      <c r="AKG114" s="541"/>
      <c r="AKH114" s="541"/>
      <c r="AKI114" s="541"/>
      <c r="AKJ114" s="541"/>
      <c r="AKK114" s="541"/>
      <c r="AKL114" s="541"/>
      <c r="AKM114" s="541"/>
      <c r="AKN114" s="541"/>
      <c r="AKO114" s="541"/>
      <c r="AKP114" s="541"/>
      <c r="AKQ114" s="541"/>
      <c r="AKR114" s="541"/>
      <c r="AKS114" s="541"/>
      <c r="AKT114" s="541"/>
      <c r="AKU114" s="541"/>
      <c r="AKV114" s="541"/>
      <c r="AKW114" s="541"/>
      <c r="AKX114" s="541"/>
      <c r="AKY114" s="541"/>
      <c r="AKZ114" s="541"/>
      <c r="ALA114" s="541"/>
      <c r="ALB114" s="541"/>
      <c r="ALC114" s="541"/>
      <c r="ALD114" s="541"/>
      <c r="ALE114" s="541"/>
      <c r="ALF114" s="541"/>
      <c r="ALG114" s="541"/>
      <c r="ALH114" s="541"/>
      <c r="ALI114" s="541"/>
      <c r="ALJ114" s="541"/>
      <c r="ALK114" s="541"/>
      <c r="ALL114" s="541"/>
      <c r="ALM114" s="541"/>
      <c r="ALN114" s="541"/>
      <c r="ALO114" s="541"/>
      <c r="ALP114" s="541"/>
      <c r="ALQ114" s="541"/>
      <c r="ALR114" s="541"/>
      <c r="ALS114" s="541"/>
      <c r="ALT114" s="541"/>
      <c r="ALU114" s="541"/>
      <c r="ALV114" s="541"/>
      <c r="ALW114" s="541"/>
      <c r="ALX114" s="541"/>
      <c r="ALY114" s="541"/>
      <c r="ALZ114" s="541"/>
      <c r="AMA114" s="541"/>
      <c r="AMB114" s="541"/>
      <c r="AMC114" s="541"/>
      <c r="AMD114" s="541"/>
      <c r="AME114" s="541"/>
      <c r="AMF114" s="541"/>
      <c r="AMG114" s="541"/>
      <c r="AMH114" s="541"/>
      <c r="AMI114" s="541"/>
      <c r="AMJ114" s="541"/>
      <c r="AMK114" s="541"/>
      <c r="AML114" s="541"/>
      <c r="AMM114" s="541"/>
      <c r="AMN114" s="541"/>
      <c r="AMO114" s="541"/>
      <c r="AMP114" s="541"/>
      <c r="AMQ114" s="541"/>
      <c r="AMR114" s="541"/>
      <c r="AMS114" s="541"/>
      <c r="AMT114" s="541"/>
      <c r="AMU114" s="541"/>
      <c r="AMV114" s="541"/>
      <c r="AMW114" s="541"/>
      <c r="AMX114" s="541"/>
      <c r="AMY114" s="541"/>
      <c r="AMZ114" s="541"/>
      <c r="ANA114" s="541"/>
      <c r="ANB114" s="541"/>
      <c r="ANC114" s="541"/>
      <c r="AND114" s="541"/>
      <c r="ANE114" s="541"/>
      <c r="ANF114" s="541"/>
      <c r="ANG114" s="541"/>
      <c r="ANH114" s="541"/>
      <c r="ANI114" s="541"/>
      <c r="ANJ114" s="541"/>
      <c r="ANK114" s="541"/>
      <c r="ANL114" s="541"/>
      <c r="ANM114" s="541"/>
      <c r="ANN114" s="541"/>
      <c r="ANO114" s="541"/>
      <c r="ANP114" s="541"/>
      <c r="ANQ114" s="541"/>
      <c r="ANR114" s="541"/>
      <c r="ANS114" s="541"/>
      <c r="ANT114" s="541"/>
      <c r="ANU114" s="541"/>
      <c r="ANV114" s="541"/>
      <c r="ANW114" s="541"/>
      <c r="ANX114" s="541"/>
      <c r="ANY114" s="541"/>
      <c r="ANZ114" s="541"/>
      <c r="AOA114" s="541"/>
      <c r="AOB114" s="541"/>
      <c r="AOC114" s="541"/>
      <c r="AOD114" s="541"/>
      <c r="AOE114" s="541"/>
      <c r="AOF114" s="541"/>
      <c r="AOG114" s="541"/>
      <c r="AOH114" s="541"/>
      <c r="AOI114" s="541"/>
      <c r="AOJ114" s="541"/>
      <c r="AOK114" s="541"/>
      <c r="AOL114" s="541"/>
      <c r="AOM114" s="541"/>
      <c r="AON114" s="541"/>
      <c r="AOO114" s="541"/>
      <c r="AOP114" s="541"/>
      <c r="AOQ114" s="541"/>
      <c r="AOR114" s="541"/>
      <c r="AOS114" s="541"/>
      <c r="AOT114" s="541"/>
      <c r="AOU114" s="541"/>
      <c r="AOV114" s="541"/>
      <c r="AOW114" s="541"/>
      <c r="AOX114" s="541"/>
      <c r="AOY114" s="541"/>
      <c r="AOZ114" s="541"/>
      <c r="APA114" s="541"/>
      <c r="APB114" s="541"/>
      <c r="APC114" s="541"/>
      <c r="APD114" s="541"/>
      <c r="APE114" s="541"/>
      <c r="APF114" s="541"/>
      <c r="APG114" s="541"/>
      <c r="APH114" s="541"/>
      <c r="API114" s="541"/>
      <c r="APJ114" s="541"/>
      <c r="APK114" s="541"/>
      <c r="APL114" s="541"/>
      <c r="APM114" s="541"/>
      <c r="APN114" s="541"/>
      <c r="APO114" s="541"/>
      <c r="APP114" s="541"/>
      <c r="APQ114" s="541"/>
      <c r="APR114" s="541"/>
      <c r="APS114" s="541"/>
      <c r="APT114" s="541"/>
      <c r="APU114" s="541"/>
      <c r="APV114" s="541"/>
      <c r="APW114" s="541"/>
      <c r="APX114" s="541"/>
      <c r="APY114" s="541"/>
      <c r="APZ114" s="541"/>
      <c r="AQA114" s="541"/>
      <c r="AQB114" s="541"/>
      <c r="AQC114" s="541"/>
      <c r="AQD114" s="541"/>
      <c r="AQE114" s="541"/>
      <c r="AQF114" s="541"/>
      <c r="AQG114" s="541"/>
      <c r="AQH114" s="541"/>
      <c r="AQI114" s="541"/>
      <c r="AQJ114" s="541"/>
      <c r="AQK114" s="541"/>
      <c r="AQL114" s="541"/>
      <c r="AQM114" s="541"/>
      <c r="AQN114" s="541"/>
      <c r="AQO114" s="541"/>
      <c r="AQP114" s="541"/>
      <c r="AQQ114" s="541"/>
      <c r="AQR114" s="541"/>
      <c r="AQS114" s="541"/>
      <c r="AQT114" s="541"/>
      <c r="AQU114" s="541"/>
      <c r="AQV114" s="541"/>
      <c r="AQW114" s="541"/>
      <c r="AQX114" s="541"/>
      <c r="AQY114" s="541"/>
      <c r="AQZ114" s="541"/>
      <c r="ARA114" s="541"/>
      <c r="ARB114" s="541"/>
      <c r="ARC114" s="541"/>
      <c r="ARD114" s="541"/>
      <c r="ARE114" s="541"/>
      <c r="ARF114" s="541"/>
      <c r="ARG114" s="541"/>
      <c r="ARH114" s="541"/>
      <c r="ARI114" s="541"/>
      <c r="ARJ114" s="541"/>
      <c r="ARK114" s="541"/>
      <c r="ARL114" s="541"/>
      <c r="ARM114" s="541"/>
      <c r="ARN114" s="541"/>
      <c r="ARO114" s="541"/>
      <c r="ARP114" s="541"/>
      <c r="ARQ114" s="541"/>
      <c r="ARR114" s="541"/>
      <c r="ARS114" s="541"/>
      <c r="ART114" s="541"/>
      <c r="ARU114" s="541"/>
    </row>
    <row r="115" spans="1:1165">
      <c r="A115" s="599"/>
      <c r="B115" s="594"/>
      <c r="C115" s="670"/>
      <c r="D115" s="670"/>
      <c r="E115" s="595"/>
      <c r="F115" s="595"/>
      <c r="G115" s="595"/>
      <c r="H115" s="595"/>
      <c r="I115" s="595"/>
      <c r="J115" s="595"/>
      <c r="K115" s="595"/>
      <c r="L115" s="595"/>
      <c r="M115" s="595"/>
      <c r="N115" s="595"/>
      <c r="O115" s="595"/>
      <c r="P115" s="595"/>
      <c r="Q115" s="595"/>
      <c r="R115" s="595"/>
      <c r="S115" s="595"/>
      <c r="T115" s="595"/>
      <c r="U115" s="672"/>
      <c r="V115" s="672"/>
      <c r="W115" s="608"/>
      <c r="X115" s="608"/>
      <c r="Y115" s="608"/>
      <c r="Z115" s="608"/>
      <c r="AA115" s="623"/>
      <c r="AB115" s="623"/>
      <c r="AC115" s="595"/>
      <c r="AD115" s="595"/>
      <c r="AE115" s="623"/>
      <c r="AF115" s="623"/>
      <c r="AG115" s="623"/>
      <c r="AH115" s="623"/>
      <c r="AI115" s="623"/>
      <c r="AJ115" s="623"/>
      <c r="AK115" s="623"/>
      <c r="AL115" s="623"/>
      <c r="AM115" s="586"/>
      <c r="AN115" s="586"/>
      <c r="AO115" s="586"/>
      <c r="AP115" s="586"/>
      <c r="AQ115" s="586"/>
      <c r="AR115" s="586"/>
      <c r="AS115" s="586"/>
      <c r="AT115" s="586"/>
      <c r="AU115" s="623"/>
      <c r="AV115" s="623"/>
      <c r="AW115" s="645"/>
      <c r="AX115" s="645"/>
      <c r="AY115" s="693"/>
      <c r="AZ115" s="693"/>
      <c r="BA115" s="685"/>
      <c r="BB115" s="645"/>
      <c r="BC115" s="645"/>
      <c r="BD115" s="645"/>
      <c r="BE115" s="645"/>
      <c r="BF115" s="645"/>
      <c r="BG115" s="645"/>
      <c r="BH115" s="645"/>
      <c r="BI115" s="685"/>
      <c r="BJ115" s="645"/>
      <c r="BK115" s="645"/>
      <c r="BL115" s="541"/>
      <c r="BO115" s="624"/>
      <c r="BP115" s="624"/>
    </row>
    <row r="116" spans="1:1165">
      <c r="A116" s="591" t="s">
        <v>271</v>
      </c>
      <c r="B116" s="594" t="s">
        <v>110</v>
      </c>
      <c r="C116" s="670">
        <v>2917884</v>
      </c>
      <c r="D116" s="670">
        <v>8203256</v>
      </c>
      <c r="E116" s="595">
        <v>293370</v>
      </c>
      <c r="F116" s="595">
        <v>1126629</v>
      </c>
      <c r="G116" s="595">
        <v>354836</v>
      </c>
      <c r="H116" s="595">
        <v>1444659</v>
      </c>
      <c r="I116" s="595">
        <v>526543</v>
      </c>
      <c r="J116" s="595">
        <v>4070915</v>
      </c>
      <c r="K116" s="595">
        <v>439444</v>
      </c>
      <c r="L116" s="595">
        <v>5500499</v>
      </c>
      <c r="M116" s="595">
        <v>637683</v>
      </c>
      <c r="N116" s="595">
        <v>7152245</v>
      </c>
      <c r="O116" s="595">
        <v>451765</v>
      </c>
      <c r="P116" s="595">
        <v>5126645</v>
      </c>
      <c r="Q116" s="595">
        <v>314481</v>
      </c>
      <c r="R116" s="595">
        <v>3771201</v>
      </c>
      <c r="S116" s="595">
        <v>136045</v>
      </c>
      <c r="T116" s="595">
        <v>1333818</v>
      </c>
      <c r="U116" s="608">
        <v>112017</v>
      </c>
      <c r="V116" s="608">
        <v>1005163</v>
      </c>
      <c r="W116" s="608">
        <v>163900</v>
      </c>
      <c r="X116" s="608">
        <v>1147662</v>
      </c>
      <c r="Y116" s="608">
        <v>146811</v>
      </c>
      <c r="Z116" s="608">
        <v>1061190</v>
      </c>
      <c r="AA116" s="623">
        <v>75750</v>
      </c>
      <c r="AB116" s="623">
        <v>635499</v>
      </c>
      <c r="AC116" s="595">
        <v>102105</v>
      </c>
      <c r="AD116" s="595">
        <v>1008920</v>
      </c>
      <c r="AE116" s="586">
        <v>145205</v>
      </c>
      <c r="AF116" s="623">
        <v>1329400</v>
      </c>
      <c r="AG116" s="586">
        <v>209912</v>
      </c>
      <c r="AH116" s="623">
        <v>2561194</v>
      </c>
      <c r="AI116" s="586">
        <v>217867</v>
      </c>
      <c r="AJ116" s="586">
        <v>2447709</v>
      </c>
      <c r="AK116" s="673">
        <v>260520</v>
      </c>
      <c r="AL116" s="673">
        <v>2352729</v>
      </c>
      <c r="AM116" s="676">
        <v>315363</v>
      </c>
      <c r="AN116" s="676">
        <v>3934459</v>
      </c>
      <c r="AO116" s="586">
        <v>1074742</v>
      </c>
      <c r="AP116" s="586">
        <v>18342182</v>
      </c>
      <c r="AQ116" s="586">
        <v>1342504.57</v>
      </c>
      <c r="AR116" s="586">
        <v>23279629</v>
      </c>
      <c r="AS116" s="586">
        <v>1058801.3600000001</v>
      </c>
      <c r="AT116" s="586">
        <v>19248834</v>
      </c>
      <c r="AU116" s="623">
        <v>1092060</v>
      </c>
      <c r="AV116" s="623">
        <v>23070405</v>
      </c>
      <c r="AW116" s="623">
        <v>1505817</v>
      </c>
      <c r="AX116" s="608">
        <v>25320815</v>
      </c>
      <c r="AY116" s="595">
        <v>1570660</v>
      </c>
      <c r="AZ116" s="595">
        <v>25312796</v>
      </c>
      <c r="BA116" s="595"/>
      <c r="BB116" s="595"/>
      <c r="BC116" s="586"/>
      <c r="BD116" s="595"/>
      <c r="BE116" s="586"/>
      <c r="BF116" s="624"/>
      <c r="BG116" s="586"/>
      <c r="BH116" s="624"/>
      <c r="BI116" s="586"/>
      <c r="BJ116" s="608">
        <f>C116+G116+I116+K116+M116+O116+Q116+S116+U116+W116+Y116+AA116+AC116+AE116+AG116+AI116+AK116+AM116+AO116+AQ116+AS116+AU116+AW116+AY116+BB116+BF116</f>
        <v>15172715.93</v>
      </c>
      <c r="BK116" s="595">
        <f>D116+H116+J116+L116+N116+P116+R116+T116+V116+X116+Z116+AB116+AD116+AF116+AH116+AJ116+AL116+AN116+AP116+AR116+AT116+AV116+AX116+AZ116+BD116+BH116</f>
        <v>188661824</v>
      </c>
      <c r="BL116" s="541"/>
      <c r="BO116" s="624"/>
      <c r="BP116" s="624"/>
    </row>
    <row r="117" spans="1:1165">
      <c r="A117" s="591"/>
      <c r="B117" s="594"/>
      <c r="C117" s="670"/>
      <c r="D117" s="670"/>
      <c r="E117" s="595"/>
      <c r="F117" s="595"/>
      <c r="G117" s="595"/>
      <c r="H117" s="595"/>
      <c r="I117" s="595"/>
      <c r="J117" s="595"/>
      <c r="K117" s="595"/>
      <c r="L117" s="595"/>
      <c r="M117" s="595"/>
      <c r="N117" s="595"/>
      <c r="O117" s="595"/>
      <c r="P117" s="595"/>
      <c r="Q117" s="595"/>
      <c r="R117" s="595"/>
      <c r="S117" s="595"/>
      <c r="T117" s="595"/>
      <c r="U117" s="672"/>
      <c r="V117" s="672"/>
      <c r="W117" s="586"/>
      <c r="X117" s="586"/>
      <c r="Y117" s="586"/>
      <c r="Z117" s="586"/>
      <c r="AA117" s="623"/>
      <c r="AB117" s="623"/>
      <c r="AC117" s="595"/>
      <c r="AD117" s="595"/>
      <c r="AE117" s="623"/>
      <c r="AF117" s="623"/>
      <c r="AG117" s="623"/>
      <c r="AH117" s="623"/>
      <c r="AI117" s="623"/>
      <c r="AJ117" s="623"/>
      <c r="AK117" s="623"/>
      <c r="AL117" s="623"/>
      <c r="AM117" s="586"/>
      <c r="AN117" s="586"/>
      <c r="AO117" s="586"/>
      <c r="AP117" s="586"/>
      <c r="AQ117" s="586"/>
      <c r="AR117" s="586"/>
      <c r="AS117" s="586"/>
      <c r="AT117" s="586"/>
      <c r="AU117" s="623"/>
      <c r="AV117" s="623"/>
      <c r="AW117" s="650"/>
      <c r="AX117" s="650"/>
      <c r="AY117" s="648"/>
      <c r="AZ117" s="648"/>
      <c r="BA117" s="686"/>
      <c r="BB117" s="650"/>
      <c r="BC117" s="650"/>
      <c r="BD117" s="650"/>
      <c r="BE117" s="650"/>
      <c r="BF117" s="650"/>
      <c r="BG117" s="650"/>
      <c r="BH117" s="650"/>
      <c r="BI117" s="686"/>
      <c r="BJ117" s="650"/>
      <c r="BK117" s="650"/>
      <c r="BL117" s="541"/>
      <c r="BM117" s="624"/>
      <c r="BO117" s="624"/>
      <c r="BP117" s="624"/>
    </row>
    <row r="118" spans="1:1165" s="658" customFormat="1">
      <c r="A118" s="577" t="s">
        <v>272</v>
      </c>
      <c r="B118" s="603"/>
      <c r="C118" s="687"/>
      <c r="D118" s="687"/>
      <c r="E118" s="598"/>
      <c r="F118" s="598"/>
      <c r="G118" s="598"/>
      <c r="H118" s="598"/>
      <c r="I118" s="598"/>
      <c r="J118" s="598"/>
      <c r="K118" s="598"/>
      <c r="L118" s="598"/>
      <c r="M118" s="598"/>
      <c r="N118" s="598"/>
      <c r="O118" s="598"/>
      <c r="P118" s="598"/>
      <c r="Q118" s="598"/>
      <c r="R118" s="598"/>
      <c r="S118" s="598"/>
      <c r="T118" s="598"/>
      <c r="U118" s="579"/>
      <c r="V118" s="579"/>
      <c r="W118" s="579"/>
      <c r="X118" s="579"/>
      <c r="Y118" s="579"/>
      <c r="Z118" s="579"/>
      <c r="AA118" s="619"/>
      <c r="AB118" s="619"/>
      <c r="AC118" s="581"/>
      <c r="AD118" s="581"/>
      <c r="AE118" s="619"/>
      <c r="AF118" s="619"/>
      <c r="AG118" s="619"/>
      <c r="AH118" s="619"/>
      <c r="AI118" s="619"/>
      <c r="AJ118" s="619"/>
      <c r="AK118" s="619"/>
      <c r="AL118" s="619"/>
      <c r="AM118" s="579"/>
      <c r="AN118" s="579"/>
      <c r="AO118" s="579"/>
      <c r="AP118" s="579"/>
      <c r="AQ118" s="579"/>
      <c r="AR118" s="579"/>
      <c r="AS118" s="579"/>
      <c r="AT118" s="579"/>
      <c r="AU118" s="619"/>
      <c r="AV118" s="619"/>
      <c r="AW118" s="657"/>
      <c r="AX118" s="657"/>
      <c r="AY118" s="701"/>
      <c r="AZ118" s="656"/>
      <c r="BA118" s="663"/>
      <c r="BB118" s="657"/>
      <c r="BC118" s="657"/>
      <c r="BD118" s="657"/>
      <c r="BE118" s="657"/>
      <c r="BF118" s="657"/>
      <c r="BG118" s="657"/>
      <c r="BH118" s="657"/>
      <c r="BI118" s="663"/>
      <c r="BJ118" s="657"/>
      <c r="BK118" s="657"/>
      <c r="BL118" s="541"/>
      <c r="BM118" s="624"/>
      <c r="BN118" s="624"/>
      <c r="BO118" s="624"/>
      <c r="BP118" s="624"/>
      <c r="BQ118" s="541"/>
      <c r="BR118" s="541"/>
      <c r="BS118" s="541"/>
      <c r="BT118" s="541"/>
      <c r="BU118" s="541"/>
      <c r="BV118" s="541"/>
      <c r="BW118" s="541"/>
      <c r="BX118" s="541"/>
      <c r="BY118" s="541"/>
      <c r="BZ118" s="541"/>
      <c r="CA118" s="541"/>
      <c r="CB118" s="541"/>
      <c r="CC118" s="541"/>
      <c r="CD118" s="541"/>
      <c r="CE118" s="541"/>
      <c r="CF118" s="541"/>
      <c r="CG118" s="541"/>
      <c r="CH118" s="541"/>
      <c r="CI118" s="541"/>
      <c r="CJ118" s="541"/>
      <c r="CK118" s="541"/>
      <c r="CL118" s="541"/>
      <c r="CM118" s="541"/>
      <c r="CN118" s="541"/>
      <c r="CO118" s="541"/>
      <c r="CP118" s="541"/>
      <c r="CQ118" s="541"/>
      <c r="CR118" s="541"/>
      <c r="CS118" s="541"/>
      <c r="CT118" s="541"/>
      <c r="CU118" s="541"/>
      <c r="CV118" s="541"/>
      <c r="CW118" s="541"/>
      <c r="CX118" s="541"/>
      <c r="CY118" s="541"/>
      <c r="CZ118" s="541"/>
      <c r="DA118" s="541"/>
      <c r="DB118" s="541"/>
      <c r="DC118" s="541"/>
      <c r="DD118" s="541"/>
      <c r="DE118" s="541"/>
      <c r="DF118" s="541"/>
      <c r="DG118" s="541"/>
      <c r="DH118" s="541"/>
      <c r="DI118" s="541"/>
      <c r="DJ118" s="541"/>
      <c r="DK118" s="541"/>
      <c r="DL118" s="541"/>
      <c r="DM118" s="541"/>
      <c r="DN118" s="541"/>
      <c r="DO118" s="541"/>
      <c r="DP118" s="541"/>
      <c r="DQ118" s="541"/>
      <c r="DR118" s="541"/>
      <c r="DS118" s="541"/>
      <c r="DT118" s="541"/>
      <c r="DU118" s="541"/>
      <c r="DV118" s="541"/>
      <c r="DW118" s="541"/>
      <c r="DX118" s="541"/>
      <c r="DY118" s="541"/>
      <c r="DZ118" s="541"/>
      <c r="EA118" s="541"/>
      <c r="EB118" s="541"/>
      <c r="EC118" s="541"/>
      <c r="ED118" s="541"/>
      <c r="EE118" s="541"/>
      <c r="EF118" s="541"/>
      <c r="EG118" s="541"/>
      <c r="EH118" s="541"/>
      <c r="EI118" s="541"/>
      <c r="EJ118" s="541"/>
      <c r="EK118" s="541"/>
      <c r="EL118" s="541"/>
      <c r="EM118" s="541"/>
      <c r="EN118" s="541"/>
      <c r="EO118" s="541"/>
      <c r="EP118" s="541"/>
      <c r="EQ118" s="541"/>
      <c r="ER118" s="541"/>
      <c r="ES118" s="541"/>
      <c r="ET118" s="541"/>
      <c r="EU118" s="541"/>
      <c r="EV118" s="541"/>
      <c r="EW118" s="541"/>
      <c r="EX118" s="541"/>
      <c r="EY118" s="541"/>
      <c r="EZ118" s="541"/>
      <c r="FA118" s="541"/>
      <c r="FB118" s="541"/>
      <c r="FC118" s="541"/>
      <c r="FD118" s="541"/>
      <c r="FE118" s="541"/>
      <c r="FF118" s="541"/>
      <c r="FG118" s="541"/>
      <c r="FH118" s="541"/>
      <c r="FI118" s="541"/>
      <c r="FJ118" s="541"/>
      <c r="FK118" s="541"/>
      <c r="FL118" s="541"/>
      <c r="FM118" s="541"/>
      <c r="FN118" s="541"/>
      <c r="FO118" s="541"/>
      <c r="FP118" s="541"/>
      <c r="FQ118" s="541"/>
      <c r="FR118" s="541"/>
      <c r="FS118" s="541"/>
      <c r="FT118" s="541"/>
      <c r="FU118" s="541"/>
      <c r="FV118" s="541"/>
      <c r="FW118" s="541"/>
      <c r="FX118" s="541"/>
      <c r="FY118" s="541"/>
      <c r="FZ118" s="541"/>
      <c r="GA118" s="541"/>
      <c r="GB118" s="541"/>
      <c r="GC118" s="541"/>
      <c r="GD118" s="541"/>
      <c r="GE118" s="541"/>
      <c r="GF118" s="541"/>
      <c r="GG118" s="541"/>
      <c r="GH118" s="541"/>
      <c r="GI118" s="541"/>
      <c r="GJ118" s="541"/>
      <c r="GK118" s="541"/>
      <c r="GL118" s="541"/>
      <c r="GM118" s="541"/>
      <c r="GN118" s="541"/>
      <c r="GO118" s="541"/>
      <c r="GP118" s="541"/>
      <c r="GQ118" s="541"/>
      <c r="GR118" s="541"/>
      <c r="GS118" s="541"/>
      <c r="GT118" s="541"/>
      <c r="GU118" s="541"/>
      <c r="GV118" s="541"/>
      <c r="GW118" s="541"/>
      <c r="GX118" s="541"/>
      <c r="GY118" s="541"/>
      <c r="GZ118" s="541"/>
      <c r="HA118" s="541"/>
      <c r="HB118" s="541"/>
      <c r="HC118" s="541"/>
      <c r="HD118" s="541"/>
      <c r="HE118" s="541"/>
      <c r="HF118" s="541"/>
      <c r="HG118" s="541"/>
      <c r="HH118" s="541"/>
      <c r="HI118" s="541"/>
      <c r="HJ118" s="541"/>
      <c r="HK118" s="541"/>
      <c r="HL118" s="541"/>
      <c r="HM118" s="541"/>
      <c r="HN118" s="541"/>
      <c r="HO118" s="541"/>
      <c r="HP118" s="541"/>
      <c r="HQ118" s="541"/>
      <c r="HR118" s="541"/>
      <c r="HS118" s="541"/>
      <c r="HT118" s="541"/>
      <c r="HU118" s="541"/>
      <c r="HV118" s="541"/>
      <c r="HW118" s="541"/>
      <c r="HX118" s="541"/>
      <c r="HY118" s="541"/>
      <c r="HZ118" s="541"/>
      <c r="IA118" s="541"/>
      <c r="IB118" s="541"/>
      <c r="IC118" s="541"/>
      <c r="ID118" s="541"/>
      <c r="IE118" s="541"/>
      <c r="IF118" s="541"/>
      <c r="IG118" s="541"/>
      <c r="IH118" s="541"/>
      <c r="II118" s="541"/>
      <c r="IJ118" s="541"/>
      <c r="IK118" s="541"/>
      <c r="IL118" s="541"/>
      <c r="IM118" s="541"/>
      <c r="IN118" s="541"/>
      <c r="IO118" s="541"/>
      <c r="IP118" s="541"/>
      <c r="IQ118" s="541"/>
      <c r="IR118" s="541"/>
      <c r="IS118" s="541"/>
      <c r="IT118" s="541"/>
      <c r="IU118" s="541"/>
      <c r="IV118" s="541"/>
      <c r="IW118" s="541"/>
      <c r="IX118" s="541"/>
      <c r="IY118" s="541"/>
      <c r="IZ118" s="541"/>
      <c r="JA118" s="541"/>
      <c r="JB118" s="541"/>
      <c r="JC118" s="541"/>
      <c r="JD118" s="541"/>
      <c r="JE118" s="541"/>
      <c r="JF118" s="541"/>
      <c r="JG118" s="541"/>
      <c r="JH118" s="541"/>
      <c r="JI118" s="541"/>
      <c r="JJ118" s="541"/>
      <c r="JK118" s="541"/>
      <c r="JL118" s="541"/>
      <c r="JM118" s="541"/>
      <c r="JN118" s="541"/>
      <c r="JO118" s="541"/>
      <c r="JP118" s="541"/>
      <c r="JQ118" s="541"/>
      <c r="JR118" s="541"/>
      <c r="JS118" s="541"/>
      <c r="JT118" s="541"/>
      <c r="JU118" s="541"/>
      <c r="JV118" s="541"/>
      <c r="JW118" s="541"/>
      <c r="JX118" s="541"/>
      <c r="JY118" s="541"/>
      <c r="JZ118" s="541"/>
      <c r="KA118" s="541"/>
      <c r="KB118" s="541"/>
      <c r="KC118" s="541"/>
      <c r="KD118" s="541"/>
      <c r="KE118" s="541"/>
      <c r="KF118" s="541"/>
      <c r="KG118" s="541"/>
      <c r="KH118" s="541"/>
      <c r="KI118" s="541"/>
      <c r="KJ118" s="541"/>
      <c r="KK118" s="541"/>
      <c r="KL118" s="541"/>
      <c r="KM118" s="541"/>
      <c r="KN118" s="541"/>
      <c r="KO118" s="541"/>
      <c r="KP118" s="541"/>
      <c r="KQ118" s="541"/>
      <c r="KR118" s="541"/>
      <c r="KS118" s="541"/>
      <c r="KT118" s="541"/>
      <c r="KU118" s="541"/>
      <c r="KV118" s="541"/>
      <c r="KW118" s="541"/>
      <c r="KX118" s="541"/>
      <c r="KY118" s="541"/>
      <c r="KZ118" s="541"/>
      <c r="LA118" s="541"/>
      <c r="LB118" s="541"/>
      <c r="LC118" s="541"/>
      <c r="LD118" s="541"/>
      <c r="LE118" s="541"/>
      <c r="LF118" s="541"/>
      <c r="LG118" s="541"/>
      <c r="LH118" s="541"/>
      <c r="LI118" s="541"/>
      <c r="LJ118" s="541"/>
      <c r="LK118" s="541"/>
      <c r="LL118" s="541"/>
      <c r="LM118" s="541"/>
      <c r="LN118" s="541"/>
      <c r="LO118" s="541"/>
      <c r="LP118" s="541"/>
      <c r="LQ118" s="541"/>
      <c r="LR118" s="541"/>
      <c r="LS118" s="541"/>
      <c r="LT118" s="541"/>
      <c r="LU118" s="541"/>
      <c r="LV118" s="541"/>
      <c r="LW118" s="541"/>
      <c r="LX118" s="541"/>
      <c r="LY118" s="541"/>
      <c r="LZ118" s="541"/>
      <c r="MA118" s="541"/>
      <c r="MB118" s="541"/>
      <c r="MC118" s="541"/>
      <c r="MD118" s="541"/>
      <c r="ME118" s="541"/>
      <c r="MF118" s="541"/>
      <c r="MG118" s="541"/>
      <c r="MH118" s="541"/>
      <c r="MI118" s="541"/>
      <c r="MJ118" s="541"/>
      <c r="MK118" s="541"/>
      <c r="ML118" s="541"/>
      <c r="MM118" s="541"/>
      <c r="MN118" s="541"/>
      <c r="MO118" s="541"/>
      <c r="MP118" s="541"/>
      <c r="MQ118" s="541"/>
      <c r="MR118" s="541"/>
      <c r="MS118" s="541"/>
      <c r="MT118" s="541"/>
      <c r="MU118" s="541"/>
      <c r="MV118" s="541"/>
      <c r="MW118" s="541"/>
      <c r="MX118" s="541"/>
      <c r="MY118" s="541"/>
      <c r="MZ118" s="541"/>
      <c r="NA118" s="541"/>
      <c r="NB118" s="541"/>
      <c r="NC118" s="541"/>
      <c r="ND118" s="541"/>
      <c r="NE118" s="541"/>
      <c r="NF118" s="541"/>
      <c r="NG118" s="541"/>
      <c r="NH118" s="541"/>
      <c r="NI118" s="541"/>
      <c r="NJ118" s="541"/>
      <c r="NK118" s="541"/>
      <c r="NL118" s="541"/>
      <c r="NM118" s="541"/>
      <c r="NN118" s="541"/>
      <c r="NO118" s="541"/>
      <c r="NP118" s="541"/>
      <c r="NQ118" s="541"/>
      <c r="NR118" s="541"/>
      <c r="NS118" s="541"/>
      <c r="NT118" s="541"/>
      <c r="NU118" s="541"/>
      <c r="NV118" s="541"/>
      <c r="NW118" s="541"/>
      <c r="NX118" s="541"/>
      <c r="NY118" s="541"/>
      <c r="NZ118" s="541"/>
      <c r="OA118" s="541"/>
      <c r="OB118" s="541"/>
      <c r="OC118" s="541"/>
      <c r="OD118" s="541"/>
      <c r="OE118" s="541"/>
      <c r="OF118" s="541"/>
      <c r="OG118" s="541"/>
      <c r="OH118" s="541"/>
      <c r="OI118" s="541"/>
      <c r="OJ118" s="541"/>
      <c r="OK118" s="541"/>
      <c r="OL118" s="541"/>
      <c r="OM118" s="541"/>
      <c r="ON118" s="541"/>
      <c r="OO118" s="541"/>
      <c r="OP118" s="541"/>
      <c r="OQ118" s="541"/>
      <c r="OR118" s="541"/>
      <c r="OS118" s="541"/>
      <c r="OT118" s="541"/>
      <c r="OU118" s="541"/>
      <c r="OV118" s="541"/>
      <c r="OW118" s="541"/>
      <c r="OX118" s="541"/>
      <c r="OY118" s="541"/>
      <c r="OZ118" s="541"/>
      <c r="PA118" s="541"/>
      <c r="PB118" s="541"/>
      <c r="PC118" s="541"/>
      <c r="PD118" s="541"/>
      <c r="PE118" s="541"/>
      <c r="PF118" s="541"/>
      <c r="PG118" s="541"/>
      <c r="PH118" s="541"/>
      <c r="PI118" s="541"/>
      <c r="PJ118" s="541"/>
      <c r="PK118" s="541"/>
      <c r="PL118" s="541"/>
      <c r="PM118" s="541"/>
      <c r="PN118" s="541"/>
      <c r="PO118" s="541"/>
      <c r="PP118" s="541"/>
      <c r="PQ118" s="541"/>
      <c r="PR118" s="541"/>
      <c r="PS118" s="541"/>
      <c r="PT118" s="541"/>
      <c r="PU118" s="541"/>
      <c r="PV118" s="541"/>
      <c r="PW118" s="541"/>
      <c r="PX118" s="541"/>
      <c r="PY118" s="541"/>
      <c r="PZ118" s="541"/>
      <c r="QA118" s="541"/>
      <c r="QB118" s="541"/>
      <c r="QC118" s="541"/>
      <c r="QD118" s="541"/>
      <c r="QE118" s="541"/>
      <c r="QF118" s="541"/>
      <c r="QG118" s="541"/>
      <c r="QH118" s="541"/>
      <c r="QI118" s="541"/>
      <c r="QJ118" s="541"/>
      <c r="QK118" s="541"/>
      <c r="QL118" s="541"/>
      <c r="QM118" s="541"/>
      <c r="QN118" s="541"/>
      <c r="QO118" s="541"/>
      <c r="QP118" s="541"/>
      <c r="QQ118" s="541"/>
      <c r="QR118" s="541"/>
      <c r="QS118" s="541"/>
      <c r="QT118" s="541"/>
      <c r="QU118" s="541"/>
      <c r="QV118" s="541"/>
      <c r="QW118" s="541"/>
      <c r="QX118" s="541"/>
      <c r="QY118" s="541"/>
      <c r="QZ118" s="541"/>
      <c r="RA118" s="541"/>
      <c r="RB118" s="541"/>
      <c r="RC118" s="541"/>
      <c r="RD118" s="541"/>
      <c r="RE118" s="541"/>
      <c r="RF118" s="541"/>
      <c r="RG118" s="541"/>
      <c r="RH118" s="541"/>
      <c r="RI118" s="541"/>
      <c r="RJ118" s="541"/>
      <c r="RK118" s="541"/>
      <c r="RL118" s="541"/>
      <c r="RM118" s="541"/>
      <c r="RN118" s="541"/>
      <c r="RO118" s="541"/>
      <c r="RP118" s="541"/>
      <c r="RQ118" s="541"/>
      <c r="RR118" s="541"/>
      <c r="RS118" s="541"/>
      <c r="RT118" s="541"/>
      <c r="RU118" s="541"/>
      <c r="RV118" s="541"/>
      <c r="RW118" s="541"/>
      <c r="RX118" s="541"/>
      <c r="RY118" s="541"/>
      <c r="RZ118" s="541"/>
      <c r="SA118" s="541"/>
      <c r="SB118" s="541"/>
      <c r="SC118" s="541"/>
      <c r="SD118" s="541"/>
      <c r="SE118" s="541"/>
      <c r="SF118" s="541"/>
      <c r="SG118" s="541"/>
      <c r="SH118" s="541"/>
      <c r="SI118" s="541"/>
      <c r="SJ118" s="541"/>
      <c r="SK118" s="541"/>
      <c r="SL118" s="541"/>
      <c r="SM118" s="541"/>
      <c r="SN118" s="541"/>
      <c r="SO118" s="541"/>
      <c r="SP118" s="541"/>
      <c r="SQ118" s="541"/>
      <c r="SR118" s="541"/>
      <c r="SS118" s="541"/>
      <c r="ST118" s="541"/>
      <c r="SU118" s="541"/>
      <c r="SV118" s="541"/>
      <c r="SW118" s="541"/>
      <c r="SX118" s="541"/>
      <c r="SY118" s="541"/>
      <c r="SZ118" s="541"/>
      <c r="TA118" s="541"/>
      <c r="TB118" s="541"/>
      <c r="TC118" s="541"/>
      <c r="TD118" s="541"/>
      <c r="TE118" s="541"/>
      <c r="TF118" s="541"/>
      <c r="TG118" s="541"/>
      <c r="TH118" s="541"/>
      <c r="TI118" s="541"/>
      <c r="TJ118" s="541"/>
      <c r="TK118" s="541"/>
      <c r="TL118" s="541"/>
      <c r="TM118" s="541"/>
      <c r="TN118" s="541"/>
      <c r="TO118" s="541"/>
      <c r="TP118" s="541"/>
      <c r="TQ118" s="541"/>
      <c r="TR118" s="541"/>
      <c r="TS118" s="541"/>
      <c r="TT118" s="541"/>
      <c r="TU118" s="541"/>
      <c r="TV118" s="541"/>
      <c r="TW118" s="541"/>
      <c r="TX118" s="541"/>
      <c r="TY118" s="541"/>
      <c r="TZ118" s="541"/>
      <c r="UA118" s="541"/>
      <c r="UB118" s="541"/>
      <c r="UC118" s="541"/>
      <c r="UD118" s="541"/>
      <c r="UE118" s="541"/>
      <c r="UF118" s="541"/>
      <c r="UG118" s="541"/>
      <c r="UH118" s="541"/>
      <c r="UI118" s="541"/>
      <c r="UJ118" s="541"/>
      <c r="UK118" s="541"/>
      <c r="UL118" s="541"/>
      <c r="UM118" s="541"/>
      <c r="UN118" s="541"/>
      <c r="UO118" s="541"/>
      <c r="UP118" s="541"/>
      <c r="UQ118" s="541"/>
      <c r="UR118" s="541"/>
      <c r="US118" s="541"/>
      <c r="UT118" s="541"/>
      <c r="UU118" s="541"/>
      <c r="UV118" s="541"/>
      <c r="UW118" s="541"/>
      <c r="UX118" s="541"/>
      <c r="UY118" s="541"/>
      <c r="UZ118" s="541"/>
      <c r="VA118" s="541"/>
      <c r="VB118" s="541"/>
      <c r="VC118" s="541"/>
      <c r="VD118" s="541"/>
      <c r="VE118" s="541"/>
      <c r="VF118" s="541"/>
      <c r="VG118" s="541"/>
      <c r="VH118" s="541"/>
      <c r="VI118" s="541"/>
      <c r="VJ118" s="541"/>
      <c r="VK118" s="541"/>
      <c r="VL118" s="541"/>
      <c r="VM118" s="541"/>
      <c r="VN118" s="541"/>
      <c r="VO118" s="541"/>
      <c r="VP118" s="541"/>
      <c r="VQ118" s="541"/>
      <c r="VR118" s="541"/>
      <c r="VS118" s="541"/>
      <c r="VT118" s="541"/>
      <c r="VU118" s="541"/>
      <c r="VV118" s="541"/>
      <c r="VW118" s="541"/>
      <c r="VX118" s="541"/>
      <c r="VY118" s="541"/>
      <c r="VZ118" s="541"/>
      <c r="WA118" s="541"/>
      <c r="WB118" s="541"/>
      <c r="WC118" s="541"/>
      <c r="WD118" s="541"/>
      <c r="WE118" s="541"/>
      <c r="WF118" s="541"/>
      <c r="WG118" s="541"/>
      <c r="WH118" s="541"/>
      <c r="WI118" s="541"/>
      <c r="WJ118" s="541"/>
      <c r="WK118" s="541"/>
      <c r="WL118" s="541"/>
      <c r="WM118" s="541"/>
      <c r="WN118" s="541"/>
      <c r="WO118" s="541"/>
      <c r="WP118" s="541"/>
      <c r="WQ118" s="541"/>
      <c r="WR118" s="541"/>
      <c r="WS118" s="541"/>
      <c r="WT118" s="541"/>
      <c r="WU118" s="541"/>
      <c r="WV118" s="541"/>
      <c r="WW118" s="541"/>
      <c r="WX118" s="541"/>
      <c r="WY118" s="541"/>
      <c r="WZ118" s="541"/>
      <c r="XA118" s="541"/>
      <c r="XB118" s="541"/>
      <c r="XC118" s="541"/>
      <c r="XD118" s="541"/>
      <c r="XE118" s="541"/>
      <c r="XF118" s="541"/>
      <c r="XG118" s="541"/>
      <c r="XH118" s="541"/>
      <c r="XI118" s="541"/>
      <c r="XJ118" s="541"/>
      <c r="XK118" s="541"/>
      <c r="XL118" s="541"/>
      <c r="XM118" s="541"/>
      <c r="XN118" s="541"/>
      <c r="XO118" s="541"/>
      <c r="XP118" s="541"/>
      <c r="XQ118" s="541"/>
      <c r="XR118" s="541"/>
      <c r="XS118" s="541"/>
      <c r="XT118" s="541"/>
      <c r="XU118" s="541"/>
      <c r="XV118" s="541"/>
      <c r="XW118" s="541"/>
      <c r="XX118" s="541"/>
      <c r="XY118" s="541"/>
      <c r="XZ118" s="541"/>
      <c r="YA118" s="541"/>
      <c r="YB118" s="541"/>
      <c r="YC118" s="541"/>
      <c r="YD118" s="541"/>
      <c r="YE118" s="541"/>
      <c r="YF118" s="541"/>
      <c r="YG118" s="541"/>
      <c r="YH118" s="541"/>
      <c r="YI118" s="541"/>
      <c r="YJ118" s="541"/>
      <c r="YK118" s="541"/>
      <c r="YL118" s="541"/>
      <c r="YM118" s="541"/>
      <c r="YN118" s="541"/>
      <c r="YO118" s="541"/>
      <c r="YP118" s="541"/>
      <c r="YQ118" s="541"/>
      <c r="YR118" s="541"/>
      <c r="YS118" s="541"/>
      <c r="YT118" s="541"/>
      <c r="YU118" s="541"/>
      <c r="YV118" s="541"/>
      <c r="YW118" s="541"/>
      <c r="YX118" s="541"/>
      <c r="YY118" s="541"/>
      <c r="YZ118" s="541"/>
      <c r="ZA118" s="541"/>
      <c r="ZB118" s="541"/>
      <c r="ZC118" s="541"/>
      <c r="ZD118" s="541"/>
      <c r="ZE118" s="541"/>
      <c r="ZF118" s="541"/>
      <c r="ZG118" s="541"/>
      <c r="ZH118" s="541"/>
      <c r="ZI118" s="541"/>
      <c r="ZJ118" s="541"/>
      <c r="ZK118" s="541"/>
      <c r="ZL118" s="541"/>
      <c r="ZM118" s="541"/>
      <c r="ZN118" s="541"/>
      <c r="ZO118" s="541"/>
      <c r="ZP118" s="541"/>
      <c r="ZQ118" s="541"/>
      <c r="ZR118" s="541"/>
      <c r="ZS118" s="541"/>
      <c r="ZT118" s="541"/>
      <c r="ZU118" s="541"/>
      <c r="ZV118" s="541"/>
      <c r="ZW118" s="541"/>
      <c r="ZX118" s="541"/>
      <c r="ZY118" s="541"/>
      <c r="ZZ118" s="541"/>
      <c r="AAA118" s="541"/>
      <c r="AAB118" s="541"/>
      <c r="AAC118" s="541"/>
      <c r="AAD118" s="541"/>
      <c r="AAE118" s="541"/>
      <c r="AAF118" s="541"/>
      <c r="AAG118" s="541"/>
      <c r="AAH118" s="541"/>
      <c r="AAI118" s="541"/>
      <c r="AAJ118" s="541"/>
      <c r="AAK118" s="541"/>
      <c r="AAL118" s="541"/>
      <c r="AAM118" s="541"/>
      <c r="AAN118" s="541"/>
      <c r="AAO118" s="541"/>
      <c r="AAP118" s="541"/>
      <c r="AAQ118" s="541"/>
      <c r="AAR118" s="541"/>
      <c r="AAS118" s="541"/>
      <c r="AAT118" s="541"/>
      <c r="AAU118" s="541"/>
      <c r="AAV118" s="541"/>
      <c r="AAW118" s="541"/>
      <c r="AAX118" s="541"/>
      <c r="AAY118" s="541"/>
      <c r="AAZ118" s="541"/>
      <c r="ABA118" s="541"/>
      <c r="ABB118" s="541"/>
      <c r="ABC118" s="541"/>
      <c r="ABD118" s="541"/>
      <c r="ABE118" s="541"/>
      <c r="ABF118" s="541"/>
      <c r="ABG118" s="541"/>
      <c r="ABH118" s="541"/>
      <c r="ABI118" s="541"/>
      <c r="ABJ118" s="541"/>
      <c r="ABK118" s="541"/>
      <c r="ABL118" s="541"/>
      <c r="ABM118" s="541"/>
      <c r="ABN118" s="541"/>
      <c r="ABO118" s="541"/>
      <c r="ABP118" s="541"/>
      <c r="ABQ118" s="541"/>
      <c r="ABR118" s="541"/>
      <c r="ABS118" s="541"/>
      <c r="ABT118" s="541"/>
      <c r="ABU118" s="541"/>
      <c r="ABV118" s="541"/>
      <c r="ABW118" s="541"/>
      <c r="ABX118" s="541"/>
      <c r="ABY118" s="541"/>
      <c r="ABZ118" s="541"/>
      <c r="ACA118" s="541"/>
      <c r="ACB118" s="541"/>
      <c r="ACC118" s="541"/>
      <c r="ACD118" s="541"/>
      <c r="ACE118" s="541"/>
      <c r="ACF118" s="541"/>
      <c r="ACG118" s="541"/>
      <c r="ACH118" s="541"/>
      <c r="ACI118" s="541"/>
      <c r="ACJ118" s="541"/>
      <c r="ACK118" s="541"/>
      <c r="ACL118" s="541"/>
      <c r="ACM118" s="541"/>
      <c r="ACN118" s="541"/>
      <c r="ACO118" s="541"/>
      <c r="ACP118" s="541"/>
      <c r="ACQ118" s="541"/>
      <c r="ACR118" s="541"/>
      <c r="ACS118" s="541"/>
      <c r="ACT118" s="541"/>
      <c r="ACU118" s="541"/>
      <c r="ACV118" s="541"/>
      <c r="ACW118" s="541"/>
      <c r="ACX118" s="541"/>
      <c r="ACY118" s="541"/>
      <c r="ACZ118" s="541"/>
      <c r="ADA118" s="541"/>
      <c r="ADB118" s="541"/>
      <c r="ADC118" s="541"/>
      <c r="ADD118" s="541"/>
      <c r="ADE118" s="541"/>
      <c r="ADF118" s="541"/>
      <c r="ADG118" s="541"/>
      <c r="ADH118" s="541"/>
      <c r="ADI118" s="541"/>
      <c r="ADJ118" s="541"/>
      <c r="ADK118" s="541"/>
      <c r="ADL118" s="541"/>
      <c r="ADM118" s="541"/>
      <c r="ADN118" s="541"/>
      <c r="ADO118" s="541"/>
      <c r="ADP118" s="541"/>
      <c r="ADQ118" s="541"/>
      <c r="ADR118" s="541"/>
      <c r="ADS118" s="541"/>
      <c r="ADT118" s="541"/>
      <c r="ADU118" s="541"/>
      <c r="ADV118" s="541"/>
      <c r="ADW118" s="541"/>
      <c r="ADX118" s="541"/>
      <c r="ADY118" s="541"/>
      <c r="ADZ118" s="541"/>
      <c r="AEA118" s="541"/>
      <c r="AEB118" s="541"/>
      <c r="AEC118" s="541"/>
      <c r="AED118" s="541"/>
      <c r="AEE118" s="541"/>
      <c r="AEF118" s="541"/>
      <c r="AEG118" s="541"/>
      <c r="AEH118" s="541"/>
      <c r="AEI118" s="541"/>
      <c r="AEJ118" s="541"/>
      <c r="AEK118" s="541"/>
      <c r="AEL118" s="541"/>
      <c r="AEM118" s="541"/>
      <c r="AEN118" s="541"/>
      <c r="AEO118" s="541"/>
      <c r="AEP118" s="541"/>
      <c r="AEQ118" s="541"/>
      <c r="AER118" s="541"/>
      <c r="AES118" s="541"/>
      <c r="AET118" s="541"/>
      <c r="AEU118" s="541"/>
      <c r="AEV118" s="541"/>
      <c r="AEW118" s="541"/>
      <c r="AEX118" s="541"/>
      <c r="AEY118" s="541"/>
      <c r="AEZ118" s="541"/>
      <c r="AFA118" s="541"/>
      <c r="AFB118" s="541"/>
      <c r="AFC118" s="541"/>
      <c r="AFD118" s="541"/>
      <c r="AFE118" s="541"/>
      <c r="AFF118" s="541"/>
      <c r="AFG118" s="541"/>
      <c r="AFH118" s="541"/>
      <c r="AFI118" s="541"/>
      <c r="AFJ118" s="541"/>
      <c r="AFK118" s="541"/>
      <c r="AFL118" s="541"/>
      <c r="AFM118" s="541"/>
      <c r="AFN118" s="541"/>
      <c r="AFO118" s="541"/>
      <c r="AFP118" s="541"/>
      <c r="AFQ118" s="541"/>
      <c r="AFR118" s="541"/>
      <c r="AFS118" s="541"/>
      <c r="AFT118" s="541"/>
      <c r="AFU118" s="541"/>
      <c r="AFV118" s="541"/>
      <c r="AFW118" s="541"/>
      <c r="AFX118" s="541"/>
      <c r="AFY118" s="541"/>
      <c r="AFZ118" s="541"/>
      <c r="AGA118" s="541"/>
      <c r="AGB118" s="541"/>
      <c r="AGC118" s="541"/>
      <c r="AGD118" s="541"/>
      <c r="AGE118" s="541"/>
      <c r="AGF118" s="541"/>
      <c r="AGG118" s="541"/>
      <c r="AGH118" s="541"/>
      <c r="AGI118" s="541"/>
      <c r="AGJ118" s="541"/>
      <c r="AGK118" s="541"/>
      <c r="AGL118" s="541"/>
      <c r="AGM118" s="541"/>
      <c r="AGN118" s="541"/>
      <c r="AGO118" s="541"/>
      <c r="AGP118" s="541"/>
      <c r="AGQ118" s="541"/>
      <c r="AGR118" s="541"/>
      <c r="AGS118" s="541"/>
      <c r="AGT118" s="541"/>
      <c r="AGU118" s="541"/>
      <c r="AGV118" s="541"/>
      <c r="AGW118" s="541"/>
      <c r="AGX118" s="541"/>
      <c r="AGY118" s="541"/>
      <c r="AGZ118" s="541"/>
      <c r="AHA118" s="541"/>
      <c r="AHB118" s="541"/>
      <c r="AHC118" s="541"/>
      <c r="AHD118" s="541"/>
      <c r="AHE118" s="541"/>
      <c r="AHF118" s="541"/>
      <c r="AHG118" s="541"/>
      <c r="AHH118" s="541"/>
      <c r="AHI118" s="541"/>
      <c r="AHJ118" s="541"/>
      <c r="AHK118" s="541"/>
      <c r="AHL118" s="541"/>
      <c r="AHM118" s="541"/>
      <c r="AHN118" s="541"/>
      <c r="AHO118" s="541"/>
      <c r="AHP118" s="541"/>
      <c r="AHQ118" s="541"/>
      <c r="AHR118" s="541"/>
      <c r="AHS118" s="541"/>
      <c r="AHT118" s="541"/>
      <c r="AHU118" s="541"/>
      <c r="AHV118" s="541"/>
      <c r="AHW118" s="541"/>
      <c r="AHX118" s="541"/>
      <c r="AHY118" s="541"/>
      <c r="AHZ118" s="541"/>
      <c r="AIA118" s="541"/>
      <c r="AIB118" s="541"/>
      <c r="AIC118" s="541"/>
      <c r="AID118" s="541"/>
      <c r="AIE118" s="541"/>
      <c r="AIF118" s="541"/>
      <c r="AIG118" s="541"/>
      <c r="AIH118" s="541"/>
      <c r="AII118" s="541"/>
      <c r="AIJ118" s="541"/>
      <c r="AIK118" s="541"/>
      <c r="AIL118" s="541"/>
      <c r="AIM118" s="541"/>
      <c r="AIN118" s="541"/>
      <c r="AIO118" s="541"/>
      <c r="AIP118" s="541"/>
      <c r="AIQ118" s="541"/>
      <c r="AIR118" s="541"/>
      <c r="AIS118" s="541"/>
      <c r="AIT118" s="541"/>
      <c r="AIU118" s="541"/>
      <c r="AIV118" s="541"/>
      <c r="AIW118" s="541"/>
      <c r="AIX118" s="541"/>
      <c r="AIY118" s="541"/>
      <c r="AIZ118" s="541"/>
      <c r="AJA118" s="541"/>
      <c r="AJB118" s="541"/>
      <c r="AJC118" s="541"/>
      <c r="AJD118" s="541"/>
      <c r="AJE118" s="541"/>
      <c r="AJF118" s="541"/>
      <c r="AJG118" s="541"/>
      <c r="AJH118" s="541"/>
      <c r="AJI118" s="541"/>
      <c r="AJJ118" s="541"/>
      <c r="AJK118" s="541"/>
      <c r="AJL118" s="541"/>
      <c r="AJM118" s="541"/>
      <c r="AJN118" s="541"/>
      <c r="AJO118" s="541"/>
      <c r="AJP118" s="541"/>
      <c r="AJQ118" s="541"/>
      <c r="AJR118" s="541"/>
      <c r="AJS118" s="541"/>
      <c r="AJT118" s="541"/>
      <c r="AJU118" s="541"/>
      <c r="AJV118" s="541"/>
      <c r="AJW118" s="541"/>
      <c r="AJX118" s="541"/>
      <c r="AJY118" s="541"/>
      <c r="AJZ118" s="541"/>
      <c r="AKA118" s="541"/>
      <c r="AKB118" s="541"/>
      <c r="AKC118" s="541"/>
      <c r="AKD118" s="541"/>
      <c r="AKE118" s="541"/>
      <c r="AKF118" s="541"/>
      <c r="AKG118" s="541"/>
      <c r="AKH118" s="541"/>
      <c r="AKI118" s="541"/>
      <c r="AKJ118" s="541"/>
      <c r="AKK118" s="541"/>
      <c r="AKL118" s="541"/>
      <c r="AKM118" s="541"/>
      <c r="AKN118" s="541"/>
      <c r="AKO118" s="541"/>
      <c r="AKP118" s="541"/>
      <c r="AKQ118" s="541"/>
      <c r="AKR118" s="541"/>
      <c r="AKS118" s="541"/>
      <c r="AKT118" s="541"/>
      <c r="AKU118" s="541"/>
      <c r="AKV118" s="541"/>
      <c r="AKW118" s="541"/>
      <c r="AKX118" s="541"/>
      <c r="AKY118" s="541"/>
      <c r="AKZ118" s="541"/>
      <c r="ALA118" s="541"/>
      <c r="ALB118" s="541"/>
      <c r="ALC118" s="541"/>
      <c r="ALD118" s="541"/>
      <c r="ALE118" s="541"/>
      <c r="ALF118" s="541"/>
      <c r="ALG118" s="541"/>
      <c r="ALH118" s="541"/>
      <c r="ALI118" s="541"/>
      <c r="ALJ118" s="541"/>
      <c r="ALK118" s="541"/>
      <c r="ALL118" s="541"/>
      <c r="ALM118" s="541"/>
      <c r="ALN118" s="541"/>
      <c r="ALO118" s="541"/>
      <c r="ALP118" s="541"/>
      <c r="ALQ118" s="541"/>
      <c r="ALR118" s="541"/>
      <c r="ALS118" s="541"/>
      <c r="ALT118" s="541"/>
      <c r="ALU118" s="541"/>
      <c r="ALV118" s="541"/>
      <c r="ALW118" s="541"/>
      <c r="ALX118" s="541"/>
      <c r="ALY118" s="541"/>
      <c r="ALZ118" s="541"/>
      <c r="AMA118" s="541"/>
      <c r="AMB118" s="541"/>
      <c r="AMC118" s="541"/>
      <c r="AMD118" s="541"/>
      <c r="AME118" s="541"/>
      <c r="AMF118" s="541"/>
      <c r="AMG118" s="541"/>
      <c r="AMH118" s="541"/>
      <c r="AMI118" s="541"/>
      <c r="AMJ118" s="541"/>
      <c r="AMK118" s="541"/>
      <c r="AML118" s="541"/>
      <c r="AMM118" s="541"/>
      <c r="AMN118" s="541"/>
      <c r="AMO118" s="541"/>
      <c r="AMP118" s="541"/>
      <c r="AMQ118" s="541"/>
      <c r="AMR118" s="541"/>
      <c r="AMS118" s="541"/>
      <c r="AMT118" s="541"/>
      <c r="AMU118" s="541"/>
      <c r="AMV118" s="541"/>
      <c r="AMW118" s="541"/>
      <c r="AMX118" s="541"/>
      <c r="AMY118" s="541"/>
      <c r="AMZ118" s="541"/>
      <c r="ANA118" s="541"/>
      <c r="ANB118" s="541"/>
      <c r="ANC118" s="541"/>
      <c r="AND118" s="541"/>
      <c r="ANE118" s="541"/>
      <c r="ANF118" s="541"/>
      <c r="ANG118" s="541"/>
      <c r="ANH118" s="541"/>
      <c r="ANI118" s="541"/>
      <c r="ANJ118" s="541"/>
      <c r="ANK118" s="541"/>
      <c r="ANL118" s="541"/>
      <c r="ANM118" s="541"/>
      <c r="ANN118" s="541"/>
      <c r="ANO118" s="541"/>
      <c r="ANP118" s="541"/>
      <c r="ANQ118" s="541"/>
      <c r="ANR118" s="541"/>
      <c r="ANS118" s="541"/>
      <c r="ANT118" s="541"/>
      <c r="ANU118" s="541"/>
      <c r="ANV118" s="541"/>
      <c r="ANW118" s="541"/>
      <c r="ANX118" s="541"/>
      <c r="ANY118" s="541"/>
      <c r="ANZ118" s="541"/>
      <c r="AOA118" s="541"/>
      <c r="AOB118" s="541"/>
      <c r="AOC118" s="541"/>
      <c r="AOD118" s="541"/>
      <c r="AOE118" s="541"/>
      <c r="AOF118" s="541"/>
      <c r="AOG118" s="541"/>
      <c r="AOH118" s="541"/>
      <c r="AOI118" s="541"/>
      <c r="AOJ118" s="541"/>
      <c r="AOK118" s="541"/>
      <c r="AOL118" s="541"/>
      <c r="AOM118" s="541"/>
      <c r="AON118" s="541"/>
      <c r="AOO118" s="541"/>
      <c r="AOP118" s="541"/>
      <c r="AOQ118" s="541"/>
      <c r="AOR118" s="541"/>
      <c r="AOS118" s="541"/>
      <c r="AOT118" s="541"/>
      <c r="AOU118" s="541"/>
      <c r="AOV118" s="541"/>
      <c r="AOW118" s="541"/>
      <c r="AOX118" s="541"/>
      <c r="AOY118" s="541"/>
      <c r="AOZ118" s="541"/>
      <c r="APA118" s="541"/>
      <c r="APB118" s="541"/>
      <c r="APC118" s="541"/>
      <c r="APD118" s="541"/>
      <c r="APE118" s="541"/>
      <c r="APF118" s="541"/>
      <c r="APG118" s="541"/>
      <c r="APH118" s="541"/>
      <c r="API118" s="541"/>
      <c r="APJ118" s="541"/>
      <c r="APK118" s="541"/>
      <c r="APL118" s="541"/>
      <c r="APM118" s="541"/>
      <c r="APN118" s="541"/>
      <c r="APO118" s="541"/>
      <c r="APP118" s="541"/>
      <c r="APQ118" s="541"/>
      <c r="APR118" s="541"/>
      <c r="APS118" s="541"/>
      <c r="APT118" s="541"/>
      <c r="APU118" s="541"/>
      <c r="APV118" s="541"/>
      <c r="APW118" s="541"/>
      <c r="APX118" s="541"/>
      <c r="APY118" s="541"/>
      <c r="APZ118" s="541"/>
      <c r="AQA118" s="541"/>
      <c r="AQB118" s="541"/>
      <c r="AQC118" s="541"/>
      <c r="AQD118" s="541"/>
      <c r="AQE118" s="541"/>
      <c r="AQF118" s="541"/>
      <c r="AQG118" s="541"/>
      <c r="AQH118" s="541"/>
      <c r="AQI118" s="541"/>
      <c r="AQJ118" s="541"/>
      <c r="AQK118" s="541"/>
      <c r="AQL118" s="541"/>
      <c r="AQM118" s="541"/>
      <c r="AQN118" s="541"/>
      <c r="AQO118" s="541"/>
      <c r="AQP118" s="541"/>
      <c r="AQQ118" s="541"/>
      <c r="AQR118" s="541"/>
      <c r="AQS118" s="541"/>
      <c r="AQT118" s="541"/>
      <c r="AQU118" s="541"/>
      <c r="AQV118" s="541"/>
      <c r="AQW118" s="541"/>
      <c r="AQX118" s="541"/>
      <c r="AQY118" s="541"/>
      <c r="AQZ118" s="541"/>
      <c r="ARA118" s="541"/>
      <c r="ARB118" s="541"/>
      <c r="ARC118" s="541"/>
      <c r="ARD118" s="541"/>
      <c r="ARE118" s="541"/>
      <c r="ARF118" s="541"/>
      <c r="ARG118" s="541"/>
      <c r="ARH118" s="541"/>
      <c r="ARI118" s="541"/>
      <c r="ARJ118" s="541"/>
      <c r="ARK118" s="541"/>
      <c r="ARL118" s="541"/>
      <c r="ARM118" s="541"/>
      <c r="ARN118" s="541"/>
      <c r="ARO118" s="541"/>
      <c r="ARP118" s="541"/>
      <c r="ARQ118" s="541"/>
      <c r="ARR118" s="541"/>
      <c r="ARS118" s="541"/>
      <c r="ART118" s="541"/>
      <c r="ARU118" s="541"/>
    </row>
    <row r="119" spans="1:1165" s="658" customFormat="1">
      <c r="A119" s="613" t="s">
        <v>339</v>
      </c>
      <c r="B119" s="578" t="s">
        <v>110</v>
      </c>
      <c r="C119" s="581">
        <v>761</v>
      </c>
      <c r="D119" s="581">
        <v>56974</v>
      </c>
      <c r="E119" s="581">
        <v>76</v>
      </c>
      <c r="F119" s="581">
        <v>7540</v>
      </c>
      <c r="G119" s="581">
        <v>1344</v>
      </c>
      <c r="H119" s="581">
        <v>151517</v>
      </c>
      <c r="I119" s="581">
        <v>3266</v>
      </c>
      <c r="J119" s="581">
        <v>222726</v>
      </c>
      <c r="K119" s="581">
        <v>2657</v>
      </c>
      <c r="L119" s="581">
        <v>92967</v>
      </c>
      <c r="M119" s="581">
        <v>3287</v>
      </c>
      <c r="N119" s="581">
        <v>115080</v>
      </c>
      <c r="O119" s="581">
        <v>5835</v>
      </c>
      <c r="P119" s="581">
        <v>204252</v>
      </c>
      <c r="Q119" s="581">
        <v>9724</v>
      </c>
      <c r="R119" s="581">
        <v>340340</v>
      </c>
      <c r="S119" s="581">
        <v>16837</v>
      </c>
      <c r="T119" s="581">
        <v>593043</v>
      </c>
      <c r="U119" s="598">
        <v>19758</v>
      </c>
      <c r="V119" s="598">
        <v>693761</v>
      </c>
      <c r="W119" s="598">
        <v>29905</v>
      </c>
      <c r="X119" s="598">
        <v>1211433</v>
      </c>
      <c r="Y119" s="598">
        <v>23367</v>
      </c>
      <c r="Z119" s="598">
        <v>1535315</v>
      </c>
      <c r="AA119" s="619">
        <v>30732</v>
      </c>
      <c r="AB119" s="619">
        <v>2880905</v>
      </c>
      <c r="AC119" s="581">
        <v>38140</v>
      </c>
      <c r="AD119" s="581">
        <v>3611274</v>
      </c>
      <c r="AE119" s="579">
        <v>48202</v>
      </c>
      <c r="AF119" s="579">
        <v>4582615</v>
      </c>
      <c r="AG119" s="579">
        <v>60382</v>
      </c>
      <c r="AH119" s="579">
        <v>5738224</v>
      </c>
      <c r="AI119" s="579">
        <v>84909</v>
      </c>
      <c r="AJ119" s="579">
        <v>8067752</v>
      </c>
      <c r="AK119" s="661">
        <v>88493</v>
      </c>
      <c r="AL119" s="661">
        <v>9415064</v>
      </c>
      <c r="AM119" s="662">
        <v>97109</v>
      </c>
      <c r="AN119" s="662">
        <v>11168442</v>
      </c>
      <c r="AO119" s="579">
        <v>117397</v>
      </c>
      <c r="AP119" s="579">
        <v>14447079</v>
      </c>
      <c r="AQ119" s="579">
        <v>95623.375</v>
      </c>
      <c r="AR119" s="579">
        <v>12241014.26</v>
      </c>
      <c r="AS119" s="579">
        <v>97442.97</v>
      </c>
      <c r="AT119" s="579">
        <v>10723191</v>
      </c>
      <c r="AU119" s="619">
        <v>108698</v>
      </c>
      <c r="AV119" s="581" t="s">
        <v>273</v>
      </c>
      <c r="AW119" s="598">
        <v>101845</v>
      </c>
      <c r="AX119" s="598" t="s">
        <v>273</v>
      </c>
      <c r="AY119" s="581">
        <v>127975</v>
      </c>
      <c r="AZ119" s="581" t="s">
        <v>273</v>
      </c>
      <c r="BA119" s="619"/>
      <c r="BB119" s="581"/>
      <c r="BC119" s="664"/>
      <c r="BD119" s="581"/>
      <c r="BE119" s="581"/>
      <c r="BF119" s="581"/>
      <c r="BG119" s="664"/>
      <c r="BH119" s="581"/>
      <c r="BI119" s="619"/>
      <c r="BJ119" s="651">
        <f t="shared" ref="BJ119:BJ130" si="12">C119+G119+I119+K119+M119+O119+Q119+S119+U119+W119+Y119+AA119+AC119+AE119+AG119+AI119+AK119+AM119+AO119+AQ119+AS119+AU119+AW119+AY119+BB119+BF119</f>
        <v>1213689.345</v>
      </c>
      <c r="BK119" s="651">
        <f>D119+H119+J119+L119+N119+P119+R119+T119+V119+X119+Z119+AB119+AD119+AF119+AH119+AJ119+AL119+AN119+AP119+AR119+AT119</f>
        <v>88092968.260000005</v>
      </c>
      <c r="BL119" s="541"/>
      <c r="BM119" s="624"/>
      <c r="BN119" s="624"/>
      <c r="BO119" s="624"/>
      <c r="BP119" s="624"/>
      <c r="BQ119" s="541"/>
      <c r="BR119" s="541"/>
      <c r="BS119" s="541"/>
      <c r="BT119" s="541"/>
      <c r="BU119" s="541"/>
      <c r="BV119" s="541"/>
      <c r="BW119" s="541"/>
      <c r="BX119" s="541"/>
      <c r="BY119" s="541"/>
      <c r="BZ119" s="541"/>
      <c r="CA119" s="541"/>
      <c r="CB119" s="541"/>
      <c r="CC119" s="541"/>
      <c r="CD119" s="541"/>
      <c r="CE119" s="541"/>
      <c r="CF119" s="541"/>
      <c r="CG119" s="541"/>
      <c r="CH119" s="541"/>
      <c r="CI119" s="541"/>
      <c r="CJ119" s="541"/>
      <c r="CK119" s="541"/>
      <c r="CL119" s="541"/>
      <c r="CM119" s="541"/>
      <c r="CN119" s="541"/>
      <c r="CO119" s="541"/>
      <c r="CP119" s="541"/>
      <c r="CQ119" s="541"/>
      <c r="CR119" s="541"/>
      <c r="CS119" s="541"/>
      <c r="CT119" s="541"/>
      <c r="CU119" s="541"/>
      <c r="CV119" s="541"/>
      <c r="CW119" s="541"/>
      <c r="CX119" s="541"/>
      <c r="CY119" s="541"/>
      <c r="CZ119" s="541"/>
      <c r="DA119" s="541"/>
      <c r="DB119" s="541"/>
      <c r="DC119" s="541"/>
      <c r="DD119" s="541"/>
      <c r="DE119" s="541"/>
      <c r="DF119" s="541"/>
      <c r="DG119" s="541"/>
      <c r="DH119" s="541"/>
      <c r="DI119" s="541"/>
      <c r="DJ119" s="541"/>
      <c r="DK119" s="541"/>
      <c r="DL119" s="541"/>
      <c r="DM119" s="541"/>
      <c r="DN119" s="541"/>
      <c r="DO119" s="541"/>
      <c r="DP119" s="541"/>
      <c r="DQ119" s="541"/>
      <c r="DR119" s="541"/>
      <c r="DS119" s="541"/>
      <c r="DT119" s="541"/>
      <c r="DU119" s="541"/>
      <c r="DV119" s="541"/>
      <c r="DW119" s="541"/>
      <c r="DX119" s="541"/>
      <c r="DY119" s="541"/>
      <c r="DZ119" s="541"/>
      <c r="EA119" s="541"/>
      <c r="EB119" s="541"/>
      <c r="EC119" s="541"/>
      <c r="ED119" s="541"/>
      <c r="EE119" s="541"/>
      <c r="EF119" s="541"/>
      <c r="EG119" s="541"/>
      <c r="EH119" s="541"/>
      <c r="EI119" s="541"/>
      <c r="EJ119" s="541"/>
      <c r="EK119" s="541"/>
      <c r="EL119" s="541"/>
      <c r="EM119" s="541"/>
      <c r="EN119" s="541"/>
      <c r="EO119" s="541"/>
      <c r="EP119" s="541"/>
      <c r="EQ119" s="541"/>
      <c r="ER119" s="541"/>
      <c r="ES119" s="541"/>
      <c r="ET119" s="541"/>
      <c r="EU119" s="541"/>
      <c r="EV119" s="541"/>
      <c r="EW119" s="541"/>
      <c r="EX119" s="541"/>
      <c r="EY119" s="541"/>
      <c r="EZ119" s="541"/>
      <c r="FA119" s="541"/>
      <c r="FB119" s="541"/>
      <c r="FC119" s="541"/>
      <c r="FD119" s="541"/>
      <c r="FE119" s="541"/>
      <c r="FF119" s="541"/>
      <c r="FG119" s="541"/>
      <c r="FH119" s="541"/>
      <c r="FI119" s="541"/>
      <c r="FJ119" s="541"/>
      <c r="FK119" s="541"/>
      <c r="FL119" s="541"/>
      <c r="FM119" s="541"/>
      <c r="FN119" s="541"/>
      <c r="FO119" s="541"/>
      <c r="FP119" s="541"/>
      <c r="FQ119" s="541"/>
      <c r="FR119" s="541"/>
      <c r="FS119" s="541"/>
      <c r="FT119" s="541"/>
      <c r="FU119" s="541"/>
      <c r="FV119" s="541"/>
      <c r="FW119" s="541"/>
      <c r="FX119" s="541"/>
      <c r="FY119" s="541"/>
      <c r="FZ119" s="541"/>
      <c r="GA119" s="541"/>
      <c r="GB119" s="541"/>
      <c r="GC119" s="541"/>
      <c r="GD119" s="541"/>
      <c r="GE119" s="541"/>
      <c r="GF119" s="541"/>
      <c r="GG119" s="541"/>
      <c r="GH119" s="541"/>
      <c r="GI119" s="541"/>
      <c r="GJ119" s="541"/>
      <c r="GK119" s="541"/>
      <c r="GL119" s="541"/>
      <c r="GM119" s="541"/>
      <c r="GN119" s="541"/>
      <c r="GO119" s="541"/>
      <c r="GP119" s="541"/>
      <c r="GQ119" s="541"/>
      <c r="GR119" s="541"/>
      <c r="GS119" s="541"/>
      <c r="GT119" s="541"/>
      <c r="GU119" s="541"/>
      <c r="GV119" s="541"/>
      <c r="GW119" s="541"/>
      <c r="GX119" s="541"/>
      <c r="GY119" s="541"/>
      <c r="GZ119" s="541"/>
      <c r="HA119" s="541"/>
      <c r="HB119" s="541"/>
      <c r="HC119" s="541"/>
      <c r="HD119" s="541"/>
      <c r="HE119" s="541"/>
      <c r="HF119" s="541"/>
      <c r="HG119" s="541"/>
      <c r="HH119" s="541"/>
      <c r="HI119" s="541"/>
      <c r="HJ119" s="541"/>
      <c r="HK119" s="541"/>
      <c r="HL119" s="541"/>
      <c r="HM119" s="541"/>
      <c r="HN119" s="541"/>
      <c r="HO119" s="541"/>
      <c r="HP119" s="541"/>
      <c r="HQ119" s="541"/>
      <c r="HR119" s="541"/>
      <c r="HS119" s="541"/>
      <c r="HT119" s="541"/>
      <c r="HU119" s="541"/>
      <c r="HV119" s="541"/>
      <c r="HW119" s="541"/>
      <c r="HX119" s="541"/>
      <c r="HY119" s="541"/>
      <c r="HZ119" s="541"/>
      <c r="IA119" s="541"/>
      <c r="IB119" s="541"/>
      <c r="IC119" s="541"/>
      <c r="ID119" s="541"/>
      <c r="IE119" s="541"/>
      <c r="IF119" s="541"/>
      <c r="IG119" s="541"/>
      <c r="IH119" s="541"/>
      <c r="II119" s="541"/>
      <c r="IJ119" s="541"/>
      <c r="IK119" s="541"/>
      <c r="IL119" s="541"/>
      <c r="IM119" s="541"/>
      <c r="IN119" s="541"/>
      <c r="IO119" s="541"/>
      <c r="IP119" s="541"/>
      <c r="IQ119" s="541"/>
      <c r="IR119" s="541"/>
      <c r="IS119" s="541"/>
      <c r="IT119" s="541"/>
      <c r="IU119" s="541"/>
      <c r="IV119" s="541"/>
      <c r="IW119" s="541"/>
      <c r="IX119" s="541"/>
      <c r="IY119" s="541"/>
      <c r="IZ119" s="541"/>
      <c r="JA119" s="541"/>
      <c r="JB119" s="541"/>
      <c r="JC119" s="541"/>
      <c r="JD119" s="541"/>
      <c r="JE119" s="541"/>
      <c r="JF119" s="541"/>
      <c r="JG119" s="541"/>
      <c r="JH119" s="541"/>
      <c r="JI119" s="541"/>
      <c r="JJ119" s="541"/>
      <c r="JK119" s="541"/>
      <c r="JL119" s="541"/>
      <c r="JM119" s="541"/>
      <c r="JN119" s="541"/>
      <c r="JO119" s="541"/>
      <c r="JP119" s="541"/>
      <c r="JQ119" s="541"/>
      <c r="JR119" s="541"/>
      <c r="JS119" s="541"/>
      <c r="JT119" s="541"/>
      <c r="JU119" s="541"/>
      <c r="JV119" s="541"/>
      <c r="JW119" s="541"/>
      <c r="JX119" s="541"/>
      <c r="JY119" s="541"/>
      <c r="JZ119" s="541"/>
      <c r="KA119" s="541"/>
      <c r="KB119" s="541"/>
      <c r="KC119" s="541"/>
      <c r="KD119" s="541"/>
      <c r="KE119" s="541"/>
      <c r="KF119" s="541"/>
      <c r="KG119" s="541"/>
      <c r="KH119" s="541"/>
      <c r="KI119" s="541"/>
      <c r="KJ119" s="541"/>
      <c r="KK119" s="541"/>
      <c r="KL119" s="541"/>
      <c r="KM119" s="541"/>
      <c r="KN119" s="541"/>
      <c r="KO119" s="541"/>
      <c r="KP119" s="541"/>
      <c r="KQ119" s="541"/>
      <c r="KR119" s="541"/>
      <c r="KS119" s="541"/>
      <c r="KT119" s="541"/>
      <c r="KU119" s="541"/>
      <c r="KV119" s="541"/>
      <c r="KW119" s="541"/>
      <c r="KX119" s="541"/>
      <c r="KY119" s="541"/>
      <c r="KZ119" s="541"/>
      <c r="LA119" s="541"/>
      <c r="LB119" s="541"/>
      <c r="LC119" s="541"/>
      <c r="LD119" s="541"/>
      <c r="LE119" s="541"/>
      <c r="LF119" s="541"/>
      <c r="LG119" s="541"/>
      <c r="LH119" s="541"/>
      <c r="LI119" s="541"/>
      <c r="LJ119" s="541"/>
      <c r="LK119" s="541"/>
      <c r="LL119" s="541"/>
      <c r="LM119" s="541"/>
      <c r="LN119" s="541"/>
      <c r="LO119" s="541"/>
      <c r="LP119" s="541"/>
      <c r="LQ119" s="541"/>
      <c r="LR119" s="541"/>
      <c r="LS119" s="541"/>
      <c r="LT119" s="541"/>
      <c r="LU119" s="541"/>
      <c r="LV119" s="541"/>
      <c r="LW119" s="541"/>
      <c r="LX119" s="541"/>
      <c r="LY119" s="541"/>
      <c r="LZ119" s="541"/>
      <c r="MA119" s="541"/>
      <c r="MB119" s="541"/>
      <c r="MC119" s="541"/>
      <c r="MD119" s="541"/>
      <c r="ME119" s="541"/>
      <c r="MF119" s="541"/>
      <c r="MG119" s="541"/>
      <c r="MH119" s="541"/>
      <c r="MI119" s="541"/>
      <c r="MJ119" s="541"/>
      <c r="MK119" s="541"/>
      <c r="ML119" s="541"/>
      <c r="MM119" s="541"/>
      <c r="MN119" s="541"/>
      <c r="MO119" s="541"/>
      <c r="MP119" s="541"/>
      <c r="MQ119" s="541"/>
      <c r="MR119" s="541"/>
      <c r="MS119" s="541"/>
      <c r="MT119" s="541"/>
      <c r="MU119" s="541"/>
      <c r="MV119" s="541"/>
      <c r="MW119" s="541"/>
      <c r="MX119" s="541"/>
      <c r="MY119" s="541"/>
      <c r="MZ119" s="541"/>
      <c r="NA119" s="541"/>
      <c r="NB119" s="541"/>
      <c r="NC119" s="541"/>
      <c r="ND119" s="541"/>
      <c r="NE119" s="541"/>
      <c r="NF119" s="541"/>
      <c r="NG119" s="541"/>
      <c r="NH119" s="541"/>
      <c r="NI119" s="541"/>
      <c r="NJ119" s="541"/>
      <c r="NK119" s="541"/>
      <c r="NL119" s="541"/>
      <c r="NM119" s="541"/>
      <c r="NN119" s="541"/>
      <c r="NO119" s="541"/>
      <c r="NP119" s="541"/>
      <c r="NQ119" s="541"/>
      <c r="NR119" s="541"/>
      <c r="NS119" s="541"/>
      <c r="NT119" s="541"/>
      <c r="NU119" s="541"/>
      <c r="NV119" s="541"/>
      <c r="NW119" s="541"/>
      <c r="NX119" s="541"/>
      <c r="NY119" s="541"/>
      <c r="NZ119" s="541"/>
      <c r="OA119" s="541"/>
      <c r="OB119" s="541"/>
      <c r="OC119" s="541"/>
      <c r="OD119" s="541"/>
      <c r="OE119" s="541"/>
      <c r="OF119" s="541"/>
      <c r="OG119" s="541"/>
      <c r="OH119" s="541"/>
      <c r="OI119" s="541"/>
      <c r="OJ119" s="541"/>
      <c r="OK119" s="541"/>
      <c r="OL119" s="541"/>
      <c r="OM119" s="541"/>
      <c r="ON119" s="541"/>
      <c r="OO119" s="541"/>
      <c r="OP119" s="541"/>
      <c r="OQ119" s="541"/>
      <c r="OR119" s="541"/>
      <c r="OS119" s="541"/>
      <c r="OT119" s="541"/>
      <c r="OU119" s="541"/>
      <c r="OV119" s="541"/>
      <c r="OW119" s="541"/>
      <c r="OX119" s="541"/>
      <c r="OY119" s="541"/>
      <c r="OZ119" s="541"/>
      <c r="PA119" s="541"/>
      <c r="PB119" s="541"/>
      <c r="PC119" s="541"/>
      <c r="PD119" s="541"/>
      <c r="PE119" s="541"/>
      <c r="PF119" s="541"/>
      <c r="PG119" s="541"/>
      <c r="PH119" s="541"/>
      <c r="PI119" s="541"/>
      <c r="PJ119" s="541"/>
      <c r="PK119" s="541"/>
      <c r="PL119" s="541"/>
      <c r="PM119" s="541"/>
      <c r="PN119" s="541"/>
      <c r="PO119" s="541"/>
      <c r="PP119" s="541"/>
      <c r="PQ119" s="541"/>
      <c r="PR119" s="541"/>
      <c r="PS119" s="541"/>
      <c r="PT119" s="541"/>
      <c r="PU119" s="541"/>
      <c r="PV119" s="541"/>
      <c r="PW119" s="541"/>
      <c r="PX119" s="541"/>
      <c r="PY119" s="541"/>
      <c r="PZ119" s="541"/>
      <c r="QA119" s="541"/>
      <c r="QB119" s="541"/>
      <c r="QC119" s="541"/>
      <c r="QD119" s="541"/>
      <c r="QE119" s="541"/>
      <c r="QF119" s="541"/>
      <c r="QG119" s="541"/>
      <c r="QH119" s="541"/>
      <c r="QI119" s="541"/>
      <c r="QJ119" s="541"/>
      <c r="QK119" s="541"/>
      <c r="QL119" s="541"/>
      <c r="QM119" s="541"/>
      <c r="QN119" s="541"/>
      <c r="QO119" s="541"/>
      <c r="QP119" s="541"/>
      <c r="QQ119" s="541"/>
      <c r="QR119" s="541"/>
      <c r="QS119" s="541"/>
      <c r="QT119" s="541"/>
      <c r="QU119" s="541"/>
      <c r="QV119" s="541"/>
      <c r="QW119" s="541"/>
      <c r="QX119" s="541"/>
      <c r="QY119" s="541"/>
      <c r="QZ119" s="541"/>
      <c r="RA119" s="541"/>
      <c r="RB119" s="541"/>
      <c r="RC119" s="541"/>
      <c r="RD119" s="541"/>
      <c r="RE119" s="541"/>
      <c r="RF119" s="541"/>
      <c r="RG119" s="541"/>
      <c r="RH119" s="541"/>
      <c r="RI119" s="541"/>
      <c r="RJ119" s="541"/>
      <c r="RK119" s="541"/>
      <c r="RL119" s="541"/>
      <c r="RM119" s="541"/>
      <c r="RN119" s="541"/>
      <c r="RO119" s="541"/>
      <c r="RP119" s="541"/>
      <c r="RQ119" s="541"/>
      <c r="RR119" s="541"/>
      <c r="RS119" s="541"/>
      <c r="RT119" s="541"/>
      <c r="RU119" s="541"/>
      <c r="RV119" s="541"/>
      <c r="RW119" s="541"/>
      <c r="RX119" s="541"/>
      <c r="RY119" s="541"/>
      <c r="RZ119" s="541"/>
      <c r="SA119" s="541"/>
      <c r="SB119" s="541"/>
      <c r="SC119" s="541"/>
      <c r="SD119" s="541"/>
      <c r="SE119" s="541"/>
      <c r="SF119" s="541"/>
      <c r="SG119" s="541"/>
      <c r="SH119" s="541"/>
      <c r="SI119" s="541"/>
      <c r="SJ119" s="541"/>
      <c r="SK119" s="541"/>
      <c r="SL119" s="541"/>
      <c r="SM119" s="541"/>
      <c r="SN119" s="541"/>
      <c r="SO119" s="541"/>
      <c r="SP119" s="541"/>
      <c r="SQ119" s="541"/>
      <c r="SR119" s="541"/>
      <c r="SS119" s="541"/>
      <c r="ST119" s="541"/>
      <c r="SU119" s="541"/>
      <c r="SV119" s="541"/>
      <c r="SW119" s="541"/>
      <c r="SX119" s="541"/>
      <c r="SY119" s="541"/>
      <c r="SZ119" s="541"/>
      <c r="TA119" s="541"/>
      <c r="TB119" s="541"/>
      <c r="TC119" s="541"/>
      <c r="TD119" s="541"/>
      <c r="TE119" s="541"/>
      <c r="TF119" s="541"/>
      <c r="TG119" s="541"/>
      <c r="TH119" s="541"/>
      <c r="TI119" s="541"/>
      <c r="TJ119" s="541"/>
      <c r="TK119" s="541"/>
      <c r="TL119" s="541"/>
      <c r="TM119" s="541"/>
      <c r="TN119" s="541"/>
      <c r="TO119" s="541"/>
      <c r="TP119" s="541"/>
      <c r="TQ119" s="541"/>
      <c r="TR119" s="541"/>
      <c r="TS119" s="541"/>
      <c r="TT119" s="541"/>
      <c r="TU119" s="541"/>
      <c r="TV119" s="541"/>
      <c r="TW119" s="541"/>
      <c r="TX119" s="541"/>
      <c r="TY119" s="541"/>
      <c r="TZ119" s="541"/>
      <c r="UA119" s="541"/>
      <c r="UB119" s="541"/>
      <c r="UC119" s="541"/>
      <c r="UD119" s="541"/>
      <c r="UE119" s="541"/>
      <c r="UF119" s="541"/>
      <c r="UG119" s="541"/>
      <c r="UH119" s="541"/>
      <c r="UI119" s="541"/>
      <c r="UJ119" s="541"/>
      <c r="UK119" s="541"/>
      <c r="UL119" s="541"/>
      <c r="UM119" s="541"/>
      <c r="UN119" s="541"/>
      <c r="UO119" s="541"/>
      <c r="UP119" s="541"/>
      <c r="UQ119" s="541"/>
      <c r="UR119" s="541"/>
      <c r="US119" s="541"/>
      <c r="UT119" s="541"/>
      <c r="UU119" s="541"/>
      <c r="UV119" s="541"/>
      <c r="UW119" s="541"/>
      <c r="UX119" s="541"/>
      <c r="UY119" s="541"/>
      <c r="UZ119" s="541"/>
      <c r="VA119" s="541"/>
      <c r="VB119" s="541"/>
      <c r="VC119" s="541"/>
      <c r="VD119" s="541"/>
      <c r="VE119" s="541"/>
      <c r="VF119" s="541"/>
      <c r="VG119" s="541"/>
      <c r="VH119" s="541"/>
      <c r="VI119" s="541"/>
      <c r="VJ119" s="541"/>
      <c r="VK119" s="541"/>
      <c r="VL119" s="541"/>
      <c r="VM119" s="541"/>
      <c r="VN119" s="541"/>
      <c r="VO119" s="541"/>
      <c r="VP119" s="541"/>
      <c r="VQ119" s="541"/>
      <c r="VR119" s="541"/>
      <c r="VS119" s="541"/>
      <c r="VT119" s="541"/>
      <c r="VU119" s="541"/>
      <c r="VV119" s="541"/>
      <c r="VW119" s="541"/>
      <c r="VX119" s="541"/>
      <c r="VY119" s="541"/>
      <c r="VZ119" s="541"/>
      <c r="WA119" s="541"/>
      <c r="WB119" s="541"/>
      <c r="WC119" s="541"/>
      <c r="WD119" s="541"/>
      <c r="WE119" s="541"/>
      <c r="WF119" s="541"/>
      <c r="WG119" s="541"/>
      <c r="WH119" s="541"/>
      <c r="WI119" s="541"/>
      <c r="WJ119" s="541"/>
      <c r="WK119" s="541"/>
      <c r="WL119" s="541"/>
      <c r="WM119" s="541"/>
      <c r="WN119" s="541"/>
      <c r="WO119" s="541"/>
      <c r="WP119" s="541"/>
      <c r="WQ119" s="541"/>
      <c r="WR119" s="541"/>
      <c r="WS119" s="541"/>
      <c r="WT119" s="541"/>
      <c r="WU119" s="541"/>
      <c r="WV119" s="541"/>
      <c r="WW119" s="541"/>
      <c r="WX119" s="541"/>
      <c r="WY119" s="541"/>
      <c r="WZ119" s="541"/>
      <c r="XA119" s="541"/>
      <c r="XB119" s="541"/>
      <c r="XC119" s="541"/>
      <c r="XD119" s="541"/>
      <c r="XE119" s="541"/>
      <c r="XF119" s="541"/>
      <c r="XG119" s="541"/>
      <c r="XH119" s="541"/>
      <c r="XI119" s="541"/>
      <c r="XJ119" s="541"/>
      <c r="XK119" s="541"/>
      <c r="XL119" s="541"/>
      <c r="XM119" s="541"/>
      <c r="XN119" s="541"/>
      <c r="XO119" s="541"/>
      <c r="XP119" s="541"/>
      <c r="XQ119" s="541"/>
      <c r="XR119" s="541"/>
      <c r="XS119" s="541"/>
      <c r="XT119" s="541"/>
      <c r="XU119" s="541"/>
      <c r="XV119" s="541"/>
      <c r="XW119" s="541"/>
      <c r="XX119" s="541"/>
      <c r="XY119" s="541"/>
      <c r="XZ119" s="541"/>
      <c r="YA119" s="541"/>
      <c r="YB119" s="541"/>
      <c r="YC119" s="541"/>
      <c r="YD119" s="541"/>
      <c r="YE119" s="541"/>
      <c r="YF119" s="541"/>
      <c r="YG119" s="541"/>
      <c r="YH119" s="541"/>
      <c r="YI119" s="541"/>
      <c r="YJ119" s="541"/>
      <c r="YK119" s="541"/>
      <c r="YL119" s="541"/>
      <c r="YM119" s="541"/>
      <c r="YN119" s="541"/>
      <c r="YO119" s="541"/>
      <c r="YP119" s="541"/>
      <c r="YQ119" s="541"/>
      <c r="YR119" s="541"/>
      <c r="YS119" s="541"/>
      <c r="YT119" s="541"/>
      <c r="YU119" s="541"/>
      <c r="YV119" s="541"/>
      <c r="YW119" s="541"/>
      <c r="YX119" s="541"/>
      <c r="YY119" s="541"/>
      <c r="YZ119" s="541"/>
      <c r="ZA119" s="541"/>
      <c r="ZB119" s="541"/>
      <c r="ZC119" s="541"/>
      <c r="ZD119" s="541"/>
      <c r="ZE119" s="541"/>
      <c r="ZF119" s="541"/>
      <c r="ZG119" s="541"/>
      <c r="ZH119" s="541"/>
      <c r="ZI119" s="541"/>
      <c r="ZJ119" s="541"/>
      <c r="ZK119" s="541"/>
      <c r="ZL119" s="541"/>
      <c r="ZM119" s="541"/>
      <c r="ZN119" s="541"/>
      <c r="ZO119" s="541"/>
      <c r="ZP119" s="541"/>
      <c r="ZQ119" s="541"/>
      <c r="ZR119" s="541"/>
      <c r="ZS119" s="541"/>
      <c r="ZT119" s="541"/>
      <c r="ZU119" s="541"/>
      <c r="ZV119" s="541"/>
      <c r="ZW119" s="541"/>
      <c r="ZX119" s="541"/>
      <c r="ZY119" s="541"/>
      <c r="ZZ119" s="541"/>
      <c r="AAA119" s="541"/>
      <c r="AAB119" s="541"/>
      <c r="AAC119" s="541"/>
      <c r="AAD119" s="541"/>
      <c r="AAE119" s="541"/>
      <c r="AAF119" s="541"/>
      <c r="AAG119" s="541"/>
      <c r="AAH119" s="541"/>
      <c r="AAI119" s="541"/>
      <c r="AAJ119" s="541"/>
      <c r="AAK119" s="541"/>
      <c r="AAL119" s="541"/>
      <c r="AAM119" s="541"/>
      <c r="AAN119" s="541"/>
      <c r="AAO119" s="541"/>
      <c r="AAP119" s="541"/>
      <c r="AAQ119" s="541"/>
      <c r="AAR119" s="541"/>
      <c r="AAS119" s="541"/>
      <c r="AAT119" s="541"/>
      <c r="AAU119" s="541"/>
      <c r="AAV119" s="541"/>
      <c r="AAW119" s="541"/>
      <c r="AAX119" s="541"/>
      <c r="AAY119" s="541"/>
      <c r="AAZ119" s="541"/>
      <c r="ABA119" s="541"/>
      <c r="ABB119" s="541"/>
      <c r="ABC119" s="541"/>
      <c r="ABD119" s="541"/>
      <c r="ABE119" s="541"/>
      <c r="ABF119" s="541"/>
      <c r="ABG119" s="541"/>
      <c r="ABH119" s="541"/>
      <c r="ABI119" s="541"/>
      <c r="ABJ119" s="541"/>
      <c r="ABK119" s="541"/>
      <c r="ABL119" s="541"/>
      <c r="ABM119" s="541"/>
      <c r="ABN119" s="541"/>
      <c r="ABO119" s="541"/>
      <c r="ABP119" s="541"/>
      <c r="ABQ119" s="541"/>
      <c r="ABR119" s="541"/>
      <c r="ABS119" s="541"/>
      <c r="ABT119" s="541"/>
      <c r="ABU119" s="541"/>
      <c r="ABV119" s="541"/>
      <c r="ABW119" s="541"/>
      <c r="ABX119" s="541"/>
      <c r="ABY119" s="541"/>
      <c r="ABZ119" s="541"/>
      <c r="ACA119" s="541"/>
      <c r="ACB119" s="541"/>
      <c r="ACC119" s="541"/>
      <c r="ACD119" s="541"/>
      <c r="ACE119" s="541"/>
      <c r="ACF119" s="541"/>
      <c r="ACG119" s="541"/>
      <c r="ACH119" s="541"/>
      <c r="ACI119" s="541"/>
      <c r="ACJ119" s="541"/>
      <c r="ACK119" s="541"/>
      <c r="ACL119" s="541"/>
      <c r="ACM119" s="541"/>
      <c r="ACN119" s="541"/>
      <c r="ACO119" s="541"/>
      <c r="ACP119" s="541"/>
      <c r="ACQ119" s="541"/>
      <c r="ACR119" s="541"/>
      <c r="ACS119" s="541"/>
      <c r="ACT119" s="541"/>
      <c r="ACU119" s="541"/>
      <c r="ACV119" s="541"/>
      <c r="ACW119" s="541"/>
      <c r="ACX119" s="541"/>
      <c r="ACY119" s="541"/>
      <c r="ACZ119" s="541"/>
      <c r="ADA119" s="541"/>
      <c r="ADB119" s="541"/>
      <c r="ADC119" s="541"/>
      <c r="ADD119" s="541"/>
      <c r="ADE119" s="541"/>
      <c r="ADF119" s="541"/>
      <c r="ADG119" s="541"/>
      <c r="ADH119" s="541"/>
      <c r="ADI119" s="541"/>
      <c r="ADJ119" s="541"/>
      <c r="ADK119" s="541"/>
      <c r="ADL119" s="541"/>
      <c r="ADM119" s="541"/>
      <c r="ADN119" s="541"/>
      <c r="ADO119" s="541"/>
      <c r="ADP119" s="541"/>
      <c r="ADQ119" s="541"/>
      <c r="ADR119" s="541"/>
      <c r="ADS119" s="541"/>
      <c r="ADT119" s="541"/>
      <c r="ADU119" s="541"/>
      <c r="ADV119" s="541"/>
      <c r="ADW119" s="541"/>
      <c r="ADX119" s="541"/>
      <c r="ADY119" s="541"/>
      <c r="ADZ119" s="541"/>
      <c r="AEA119" s="541"/>
      <c r="AEB119" s="541"/>
      <c r="AEC119" s="541"/>
      <c r="AED119" s="541"/>
      <c r="AEE119" s="541"/>
      <c r="AEF119" s="541"/>
      <c r="AEG119" s="541"/>
      <c r="AEH119" s="541"/>
      <c r="AEI119" s="541"/>
      <c r="AEJ119" s="541"/>
      <c r="AEK119" s="541"/>
      <c r="AEL119" s="541"/>
      <c r="AEM119" s="541"/>
      <c r="AEN119" s="541"/>
      <c r="AEO119" s="541"/>
      <c r="AEP119" s="541"/>
      <c r="AEQ119" s="541"/>
      <c r="AER119" s="541"/>
      <c r="AES119" s="541"/>
      <c r="AET119" s="541"/>
      <c r="AEU119" s="541"/>
      <c r="AEV119" s="541"/>
      <c r="AEW119" s="541"/>
      <c r="AEX119" s="541"/>
      <c r="AEY119" s="541"/>
      <c r="AEZ119" s="541"/>
      <c r="AFA119" s="541"/>
      <c r="AFB119" s="541"/>
      <c r="AFC119" s="541"/>
      <c r="AFD119" s="541"/>
      <c r="AFE119" s="541"/>
      <c r="AFF119" s="541"/>
      <c r="AFG119" s="541"/>
      <c r="AFH119" s="541"/>
      <c r="AFI119" s="541"/>
      <c r="AFJ119" s="541"/>
      <c r="AFK119" s="541"/>
      <c r="AFL119" s="541"/>
      <c r="AFM119" s="541"/>
      <c r="AFN119" s="541"/>
      <c r="AFO119" s="541"/>
      <c r="AFP119" s="541"/>
      <c r="AFQ119" s="541"/>
      <c r="AFR119" s="541"/>
      <c r="AFS119" s="541"/>
      <c r="AFT119" s="541"/>
      <c r="AFU119" s="541"/>
      <c r="AFV119" s="541"/>
      <c r="AFW119" s="541"/>
      <c r="AFX119" s="541"/>
      <c r="AFY119" s="541"/>
      <c r="AFZ119" s="541"/>
      <c r="AGA119" s="541"/>
      <c r="AGB119" s="541"/>
      <c r="AGC119" s="541"/>
      <c r="AGD119" s="541"/>
      <c r="AGE119" s="541"/>
      <c r="AGF119" s="541"/>
      <c r="AGG119" s="541"/>
      <c r="AGH119" s="541"/>
      <c r="AGI119" s="541"/>
      <c r="AGJ119" s="541"/>
      <c r="AGK119" s="541"/>
      <c r="AGL119" s="541"/>
      <c r="AGM119" s="541"/>
      <c r="AGN119" s="541"/>
      <c r="AGO119" s="541"/>
      <c r="AGP119" s="541"/>
      <c r="AGQ119" s="541"/>
      <c r="AGR119" s="541"/>
      <c r="AGS119" s="541"/>
      <c r="AGT119" s="541"/>
      <c r="AGU119" s="541"/>
      <c r="AGV119" s="541"/>
      <c r="AGW119" s="541"/>
      <c r="AGX119" s="541"/>
      <c r="AGY119" s="541"/>
      <c r="AGZ119" s="541"/>
      <c r="AHA119" s="541"/>
      <c r="AHB119" s="541"/>
      <c r="AHC119" s="541"/>
      <c r="AHD119" s="541"/>
      <c r="AHE119" s="541"/>
      <c r="AHF119" s="541"/>
      <c r="AHG119" s="541"/>
      <c r="AHH119" s="541"/>
      <c r="AHI119" s="541"/>
      <c r="AHJ119" s="541"/>
      <c r="AHK119" s="541"/>
      <c r="AHL119" s="541"/>
      <c r="AHM119" s="541"/>
      <c r="AHN119" s="541"/>
      <c r="AHO119" s="541"/>
      <c r="AHP119" s="541"/>
      <c r="AHQ119" s="541"/>
      <c r="AHR119" s="541"/>
      <c r="AHS119" s="541"/>
      <c r="AHT119" s="541"/>
      <c r="AHU119" s="541"/>
      <c r="AHV119" s="541"/>
      <c r="AHW119" s="541"/>
      <c r="AHX119" s="541"/>
      <c r="AHY119" s="541"/>
      <c r="AHZ119" s="541"/>
      <c r="AIA119" s="541"/>
      <c r="AIB119" s="541"/>
      <c r="AIC119" s="541"/>
      <c r="AID119" s="541"/>
      <c r="AIE119" s="541"/>
      <c r="AIF119" s="541"/>
      <c r="AIG119" s="541"/>
      <c r="AIH119" s="541"/>
      <c r="AII119" s="541"/>
      <c r="AIJ119" s="541"/>
      <c r="AIK119" s="541"/>
      <c r="AIL119" s="541"/>
      <c r="AIM119" s="541"/>
      <c r="AIN119" s="541"/>
      <c r="AIO119" s="541"/>
      <c r="AIP119" s="541"/>
      <c r="AIQ119" s="541"/>
      <c r="AIR119" s="541"/>
      <c r="AIS119" s="541"/>
      <c r="AIT119" s="541"/>
      <c r="AIU119" s="541"/>
      <c r="AIV119" s="541"/>
      <c r="AIW119" s="541"/>
      <c r="AIX119" s="541"/>
      <c r="AIY119" s="541"/>
      <c r="AIZ119" s="541"/>
      <c r="AJA119" s="541"/>
      <c r="AJB119" s="541"/>
      <c r="AJC119" s="541"/>
      <c r="AJD119" s="541"/>
      <c r="AJE119" s="541"/>
      <c r="AJF119" s="541"/>
      <c r="AJG119" s="541"/>
      <c r="AJH119" s="541"/>
      <c r="AJI119" s="541"/>
      <c r="AJJ119" s="541"/>
      <c r="AJK119" s="541"/>
      <c r="AJL119" s="541"/>
      <c r="AJM119" s="541"/>
      <c r="AJN119" s="541"/>
      <c r="AJO119" s="541"/>
      <c r="AJP119" s="541"/>
      <c r="AJQ119" s="541"/>
      <c r="AJR119" s="541"/>
      <c r="AJS119" s="541"/>
      <c r="AJT119" s="541"/>
      <c r="AJU119" s="541"/>
      <c r="AJV119" s="541"/>
      <c r="AJW119" s="541"/>
      <c r="AJX119" s="541"/>
      <c r="AJY119" s="541"/>
      <c r="AJZ119" s="541"/>
      <c r="AKA119" s="541"/>
      <c r="AKB119" s="541"/>
      <c r="AKC119" s="541"/>
      <c r="AKD119" s="541"/>
      <c r="AKE119" s="541"/>
      <c r="AKF119" s="541"/>
      <c r="AKG119" s="541"/>
      <c r="AKH119" s="541"/>
      <c r="AKI119" s="541"/>
      <c r="AKJ119" s="541"/>
      <c r="AKK119" s="541"/>
      <c r="AKL119" s="541"/>
      <c r="AKM119" s="541"/>
      <c r="AKN119" s="541"/>
      <c r="AKO119" s="541"/>
      <c r="AKP119" s="541"/>
      <c r="AKQ119" s="541"/>
      <c r="AKR119" s="541"/>
      <c r="AKS119" s="541"/>
      <c r="AKT119" s="541"/>
      <c r="AKU119" s="541"/>
      <c r="AKV119" s="541"/>
      <c r="AKW119" s="541"/>
      <c r="AKX119" s="541"/>
      <c r="AKY119" s="541"/>
      <c r="AKZ119" s="541"/>
      <c r="ALA119" s="541"/>
      <c r="ALB119" s="541"/>
      <c r="ALC119" s="541"/>
      <c r="ALD119" s="541"/>
      <c r="ALE119" s="541"/>
      <c r="ALF119" s="541"/>
      <c r="ALG119" s="541"/>
      <c r="ALH119" s="541"/>
      <c r="ALI119" s="541"/>
      <c r="ALJ119" s="541"/>
      <c r="ALK119" s="541"/>
      <c r="ALL119" s="541"/>
      <c r="ALM119" s="541"/>
      <c r="ALN119" s="541"/>
      <c r="ALO119" s="541"/>
      <c r="ALP119" s="541"/>
      <c r="ALQ119" s="541"/>
      <c r="ALR119" s="541"/>
      <c r="ALS119" s="541"/>
      <c r="ALT119" s="541"/>
      <c r="ALU119" s="541"/>
      <c r="ALV119" s="541"/>
      <c r="ALW119" s="541"/>
      <c r="ALX119" s="541"/>
      <c r="ALY119" s="541"/>
      <c r="ALZ119" s="541"/>
      <c r="AMA119" s="541"/>
      <c r="AMB119" s="541"/>
      <c r="AMC119" s="541"/>
      <c r="AMD119" s="541"/>
      <c r="AME119" s="541"/>
      <c r="AMF119" s="541"/>
      <c r="AMG119" s="541"/>
      <c r="AMH119" s="541"/>
      <c r="AMI119" s="541"/>
      <c r="AMJ119" s="541"/>
      <c r="AMK119" s="541"/>
      <c r="AML119" s="541"/>
      <c r="AMM119" s="541"/>
      <c r="AMN119" s="541"/>
      <c r="AMO119" s="541"/>
      <c r="AMP119" s="541"/>
      <c r="AMQ119" s="541"/>
      <c r="AMR119" s="541"/>
      <c r="AMS119" s="541"/>
      <c r="AMT119" s="541"/>
      <c r="AMU119" s="541"/>
      <c r="AMV119" s="541"/>
      <c r="AMW119" s="541"/>
      <c r="AMX119" s="541"/>
      <c r="AMY119" s="541"/>
      <c r="AMZ119" s="541"/>
      <c r="ANA119" s="541"/>
      <c r="ANB119" s="541"/>
      <c r="ANC119" s="541"/>
      <c r="AND119" s="541"/>
      <c r="ANE119" s="541"/>
      <c r="ANF119" s="541"/>
      <c r="ANG119" s="541"/>
      <c r="ANH119" s="541"/>
      <c r="ANI119" s="541"/>
      <c r="ANJ119" s="541"/>
      <c r="ANK119" s="541"/>
      <c r="ANL119" s="541"/>
      <c r="ANM119" s="541"/>
      <c r="ANN119" s="541"/>
      <c r="ANO119" s="541"/>
      <c r="ANP119" s="541"/>
      <c r="ANQ119" s="541"/>
      <c r="ANR119" s="541"/>
      <c r="ANS119" s="541"/>
      <c r="ANT119" s="541"/>
      <c r="ANU119" s="541"/>
      <c r="ANV119" s="541"/>
      <c r="ANW119" s="541"/>
      <c r="ANX119" s="541"/>
      <c r="ANY119" s="541"/>
      <c r="ANZ119" s="541"/>
      <c r="AOA119" s="541"/>
      <c r="AOB119" s="541"/>
      <c r="AOC119" s="541"/>
      <c r="AOD119" s="541"/>
      <c r="AOE119" s="541"/>
      <c r="AOF119" s="541"/>
      <c r="AOG119" s="541"/>
      <c r="AOH119" s="541"/>
      <c r="AOI119" s="541"/>
      <c r="AOJ119" s="541"/>
      <c r="AOK119" s="541"/>
      <c r="AOL119" s="541"/>
      <c r="AOM119" s="541"/>
      <c r="AON119" s="541"/>
      <c r="AOO119" s="541"/>
      <c r="AOP119" s="541"/>
      <c r="AOQ119" s="541"/>
      <c r="AOR119" s="541"/>
      <c r="AOS119" s="541"/>
      <c r="AOT119" s="541"/>
      <c r="AOU119" s="541"/>
      <c r="AOV119" s="541"/>
      <c r="AOW119" s="541"/>
      <c r="AOX119" s="541"/>
      <c r="AOY119" s="541"/>
      <c r="AOZ119" s="541"/>
      <c r="APA119" s="541"/>
      <c r="APB119" s="541"/>
      <c r="APC119" s="541"/>
      <c r="APD119" s="541"/>
      <c r="APE119" s="541"/>
      <c r="APF119" s="541"/>
      <c r="APG119" s="541"/>
      <c r="APH119" s="541"/>
      <c r="API119" s="541"/>
      <c r="APJ119" s="541"/>
      <c r="APK119" s="541"/>
      <c r="APL119" s="541"/>
      <c r="APM119" s="541"/>
      <c r="APN119" s="541"/>
      <c r="APO119" s="541"/>
      <c r="APP119" s="541"/>
      <c r="APQ119" s="541"/>
      <c r="APR119" s="541"/>
      <c r="APS119" s="541"/>
      <c r="APT119" s="541"/>
      <c r="APU119" s="541"/>
      <c r="APV119" s="541"/>
      <c r="APW119" s="541"/>
      <c r="APX119" s="541"/>
      <c r="APY119" s="541"/>
      <c r="APZ119" s="541"/>
      <c r="AQA119" s="541"/>
      <c r="AQB119" s="541"/>
      <c r="AQC119" s="541"/>
      <c r="AQD119" s="541"/>
      <c r="AQE119" s="541"/>
      <c r="AQF119" s="541"/>
      <c r="AQG119" s="541"/>
      <c r="AQH119" s="541"/>
      <c r="AQI119" s="541"/>
      <c r="AQJ119" s="541"/>
      <c r="AQK119" s="541"/>
      <c r="AQL119" s="541"/>
      <c r="AQM119" s="541"/>
      <c r="AQN119" s="541"/>
      <c r="AQO119" s="541"/>
      <c r="AQP119" s="541"/>
      <c r="AQQ119" s="541"/>
      <c r="AQR119" s="541"/>
      <c r="AQS119" s="541"/>
      <c r="AQT119" s="541"/>
      <c r="AQU119" s="541"/>
      <c r="AQV119" s="541"/>
      <c r="AQW119" s="541"/>
      <c r="AQX119" s="541"/>
      <c r="AQY119" s="541"/>
      <c r="AQZ119" s="541"/>
      <c r="ARA119" s="541"/>
      <c r="ARB119" s="541"/>
      <c r="ARC119" s="541"/>
      <c r="ARD119" s="541"/>
      <c r="ARE119" s="541"/>
      <c r="ARF119" s="541"/>
      <c r="ARG119" s="541"/>
      <c r="ARH119" s="541"/>
      <c r="ARI119" s="541"/>
      <c r="ARJ119" s="541"/>
      <c r="ARK119" s="541"/>
      <c r="ARL119" s="541"/>
      <c r="ARM119" s="541"/>
      <c r="ARN119" s="541"/>
      <c r="ARO119" s="541"/>
      <c r="ARP119" s="541"/>
      <c r="ARQ119" s="541"/>
      <c r="ARR119" s="541"/>
      <c r="ARS119" s="541"/>
      <c r="ART119" s="541"/>
      <c r="ARU119" s="541"/>
    </row>
    <row r="120" spans="1:1165" s="658" customFormat="1">
      <c r="A120" s="613" t="s">
        <v>340</v>
      </c>
      <c r="B120" s="578" t="s">
        <v>110</v>
      </c>
      <c r="C120" s="659">
        <f>13279841+158</f>
        <v>13279999</v>
      </c>
      <c r="D120" s="659">
        <f>210198878+1553</f>
        <v>210200431</v>
      </c>
      <c r="E120" s="581">
        <v>1207728</v>
      </c>
      <c r="F120" s="581">
        <v>0</v>
      </c>
      <c r="G120" s="581">
        <v>922821</v>
      </c>
      <c r="H120" s="581"/>
      <c r="I120" s="581">
        <v>1040106</v>
      </c>
      <c r="J120" s="581"/>
      <c r="K120" s="581">
        <v>871302</v>
      </c>
      <c r="L120" s="579"/>
      <c r="M120" s="581">
        <v>1336332</v>
      </c>
      <c r="N120" s="581"/>
      <c r="O120" s="581">
        <v>1163987</v>
      </c>
      <c r="P120" s="581"/>
      <c r="Q120" s="581">
        <v>946315</v>
      </c>
      <c r="R120" s="579"/>
      <c r="S120" s="581">
        <v>996074</v>
      </c>
      <c r="T120" s="581">
        <v>62183292</v>
      </c>
      <c r="U120" s="598">
        <v>939139</v>
      </c>
      <c r="V120" s="598">
        <v>68289943</v>
      </c>
      <c r="W120" s="598">
        <v>964031</v>
      </c>
      <c r="X120" s="598">
        <v>77073056</v>
      </c>
      <c r="Y120" s="598">
        <v>988251</v>
      </c>
      <c r="Z120" s="598">
        <v>86203153</v>
      </c>
      <c r="AA120" s="619">
        <v>936778</v>
      </c>
      <c r="AB120" s="619">
        <v>81499614</v>
      </c>
      <c r="AC120" s="581">
        <v>1044856</v>
      </c>
      <c r="AD120" s="581">
        <v>87296010</v>
      </c>
      <c r="AE120" s="579">
        <v>1008377</v>
      </c>
      <c r="AF120" s="579">
        <v>85398002</v>
      </c>
      <c r="AG120" s="579">
        <v>1079227</v>
      </c>
      <c r="AH120" s="579">
        <v>93520617</v>
      </c>
      <c r="AI120" s="579">
        <v>998152</v>
      </c>
      <c r="AJ120" s="579">
        <v>96265511</v>
      </c>
      <c r="AK120" s="661">
        <v>1077028</v>
      </c>
      <c r="AL120" s="661">
        <v>114289225</v>
      </c>
      <c r="AM120" s="662">
        <v>1233849</v>
      </c>
      <c r="AN120" s="662">
        <v>133592283</v>
      </c>
      <c r="AO120" s="579">
        <v>1287196</v>
      </c>
      <c r="AP120" s="579">
        <v>150848771</v>
      </c>
      <c r="AQ120" s="579">
        <v>1237484.76</v>
      </c>
      <c r="AR120" s="579">
        <v>152947445.05000001</v>
      </c>
      <c r="AS120" s="579">
        <v>1296485</v>
      </c>
      <c r="AT120" s="579">
        <v>185466127</v>
      </c>
      <c r="AU120" s="619">
        <v>834385</v>
      </c>
      <c r="AV120" s="619">
        <v>137315560</v>
      </c>
      <c r="AW120" s="598">
        <v>852550</v>
      </c>
      <c r="AX120" s="598">
        <v>131259688</v>
      </c>
      <c r="AY120" s="581">
        <v>862391</v>
      </c>
      <c r="AZ120" s="581">
        <v>110463553</v>
      </c>
      <c r="BA120" s="664"/>
      <c r="BB120" s="581"/>
      <c r="BC120" s="664"/>
      <c r="BD120" s="581"/>
      <c r="BE120" s="664"/>
      <c r="BF120" s="581"/>
      <c r="BG120" s="664"/>
      <c r="BH120" s="581"/>
      <c r="BI120" s="664"/>
      <c r="BJ120" s="651">
        <f t="shared" si="12"/>
        <v>37197115.760000005</v>
      </c>
      <c r="BK120" s="651">
        <f t="shared" ref="BK120:BK131" si="13">D120+H120+J120+L120+N120+P120+R120+T120+V120+X120+Z120+AB120+AD120+AF120+AH120+AJ120+AL120+AN120+AP120+AR120+AT120+AV120+AX120+AZ120+BD120+BH120</f>
        <v>2064112281.05</v>
      </c>
      <c r="BL120" s="541"/>
      <c r="BM120" s="624"/>
      <c r="BN120" s="624"/>
      <c r="BO120" s="624"/>
      <c r="BP120" s="624"/>
      <c r="BQ120" s="541"/>
      <c r="BR120" s="541"/>
      <c r="BS120" s="541"/>
      <c r="BT120" s="541"/>
      <c r="BU120" s="541"/>
      <c r="BV120" s="541"/>
      <c r="BW120" s="541"/>
      <c r="BX120" s="541"/>
      <c r="BY120" s="541"/>
      <c r="BZ120" s="541"/>
      <c r="CA120" s="541"/>
      <c r="CB120" s="541"/>
      <c r="CC120" s="541"/>
      <c r="CD120" s="541"/>
      <c r="CE120" s="541"/>
      <c r="CF120" s="541"/>
      <c r="CG120" s="541"/>
      <c r="CH120" s="541"/>
      <c r="CI120" s="541"/>
      <c r="CJ120" s="541"/>
      <c r="CK120" s="541"/>
      <c r="CL120" s="541"/>
      <c r="CM120" s="541"/>
      <c r="CN120" s="541"/>
      <c r="CO120" s="541"/>
      <c r="CP120" s="541"/>
      <c r="CQ120" s="541"/>
      <c r="CR120" s="541"/>
      <c r="CS120" s="541"/>
      <c r="CT120" s="541"/>
      <c r="CU120" s="541"/>
      <c r="CV120" s="541"/>
      <c r="CW120" s="541"/>
      <c r="CX120" s="541"/>
      <c r="CY120" s="541"/>
      <c r="CZ120" s="541"/>
      <c r="DA120" s="541"/>
      <c r="DB120" s="541"/>
      <c r="DC120" s="541"/>
      <c r="DD120" s="541"/>
      <c r="DE120" s="541"/>
      <c r="DF120" s="541"/>
      <c r="DG120" s="541"/>
      <c r="DH120" s="541"/>
      <c r="DI120" s="541"/>
      <c r="DJ120" s="541"/>
      <c r="DK120" s="541"/>
      <c r="DL120" s="541"/>
      <c r="DM120" s="541"/>
      <c r="DN120" s="541"/>
      <c r="DO120" s="541"/>
      <c r="DP120" s="541"/>
      <c r="DQ120" s="541"/>
      <c r="DR120" s="541"/>
      <c r="DS120" s="541"/>
      <c r="DT120" s="541"/>
      <c r="DU120" s="541"/>
      <c r="DV120" s="541"/>
      <c r="DW120" s="541"/>
      <c r="DX120" s="541"/>
      <c r="DY120" s="541"/>
      <c r="DZ120" s="541"/>
      <c r="EA120" s="541"/>
      <c r="EB120" s="541"/>
      <c r="EC120" s="541"/>
      <c r="ED120" s="541"/>
      <c r="EE120" s="541"/>
      <c r="EF120" s="541"/>
      <c r="EG120" s="541"/>
      <c r="EH120" s="541"/>
      <c r="EI120" s="541"/>
      <c r="EJ120" s="541"/>
      <c r="EK120" s="541"/>
      <c r="EL120" s="541"/>
      <c r="EM120" s="541"/>
      <c r="EN120" s="541"/>
      <c r="EO120" s="541"/>
      <c r="EP120" s="541"/>
      <c r="EQ120" s="541"/>
      <c r="ER120" s="541"/>
      <c r="ES120" s="541"/>
      <c r="ET120" s="541"/>
      <c r="EU120" s="541"/>
      <c r="EV120" s="541"/>
      <c r="EW120" s="541"/>
      <c r="EX120" s="541"/>
      <c r="EY120" s="541"/>
      <c r="EZ120" s="541"/>
      <c r="FA120" s="541"/>
      <c r="FB120" s="541"/>
      <c r="FC120" s="541"/>
      <c r="FD120" s="541"/>
      <c r="FE120" s="541"/>
      <c r="FF120" s="541"/>
      <c r="FG120" s="541"/>
      <c r="FH120" s="541"/>
      <c r="FI120" s="541"/>
      <c r="FJ120" s="541"/>
      <c r="FK120" s="541"/>
      <c r="FL120" s="541"/>
      <c r="FM120" s="541"/>
      <c r="FN120" s="541"/>
      <c r="FO120" s="541"/>
      <c r="FP120" s="541"/>
      <c r="FQ120" s="541"/>
      <c r="FR120" s="541"/>
      <c r="FS120" s="541"/>
      <c r="FT120" s="541"/>
      <c r="FU120" s="541"/>
      <c r="FV120" s="541"/>
      <c r="FW120" s="541"/>
      <c r="FX120" s="541"/>
      <c r="FY120" s="541"/>
      <c r="FZ120" s="541"/>
      <c r="GA120" s="541"/>
      <c r="GB120" s="541"/>
      <c r="GC120" s="541"/>
      <c r="GD120" s="541"/>
      <c r="GE120" s="541"/>
      <c r="GF120" s="541"/>
      <c r="GG120" s="541"/>
      <c r="GH120" s="541"/>
      <c r="GI120" s="541"/>
      <c r="GJ120" s="541"/>
      <c r="GK120" s="541"/>
      <c r="GL120" s="541"/>
      <c r="GM120" s="541"/>
      <c r="GN120" s="541"/>
      <c r="GO120" s="541"/>
      <c r="GP120" s="541"/>
      <c r="GQ120" s="541"/>
      <c r="GR120" s="541"/>
      <c r="GS120" s="541"/>
      <c r="GT120" s="541"/>
      <c r="GU120" s="541"/>
      <c r="GV120" s="541"/>
      <c r="GW120" s="541"/>
      <c r="GX120" s="541"/>
      <c r="GY120" s="541"/>
      <c r="GZ120" s="541"/>
      <c r="HA120" s="541"/>
      <c r="HB120" s="541"/>
      <c r="HC120" s="541"/>
      <c r="HD120" s="541"/>
      <c r="HE120" s="541"/>
      <c r="HF120" s="541"/>
      <c r="HG120" s="541"/>
      <c r="HH120" s="541"/>
      <c r="HI120" s="541"/>
      <c r="HJ120" s="541"/>
      <c r="HK120" s="541"/>
      <c r="HL120" s="541"/>
      <c r="HM120" s="541"/>
      <c r="HN120" s="541"/>
      <c r="HO120" s="541"/>
      <c r="HP120" s="541"/>
      <c r="HQ120" s="541"/>
      <c r="HR120" s="541"/>
      <c r="HS120" s="541"/>
      <c r="HT120" s="541"/>
      <c r="HU120" s="541"/>
      <c r="HV120" s="541"/>
      <c r="HW120" s="541"/>
      <c r="HX120" s="541"/>
      <c r="HY120" s="541"/>
      <c r="HZ120" s="541"/>
      <c r="IA120" s="541"/>
      <c r="IB120" s="541"/>
      <c r="IC120" s="541"/>
      <c r="ID120" s="541"/>
      <c r="IE120" s="541"/>
      <c r="IF120" s="541"/>
      <c r="IG120" s="541"/>
      <c r="IH120" s="541"/>
      <c r="II120" s="541"/>
      <c r="IJ120" s="541"/>
      <c r="IK120" s="541"/>
      <c r="IL120" s="541"/>
      <c r="IM120" s="541"/>
      <c r="IN120" s="541"/>
      <c r="IO120" s="541"/>
      <c r="IP120" s="541"/>
      <c r="IQ120" s="541"/>
      <c r="IR120" s="541"/>
      <c r="IS120" s="541"/>
      <c r="IT120" s="541"/>
      <c r="IU120" s="541"/>
      <c r="IV120" s="541"/>
      <c r="IW120" s="541"/>
      <c r="IX120" s="541"/>
      <c r="IY120" s="541"/>
      <c r="IZ120" s="541"/>
      <c r="JA120" s="541"/>
      <c r="JB120" s="541"/>
      <c r="JC120" s="541"/>
      <c r="JD120" s="541"/>
      <c r="JE120" s="541"/>
      <c r="JF120" s="541"/>
      <c r="JG120" s="541"/>
      <c r="JH120" s="541"/>
      <c r="JI120" s="541"/>
      <c r="JJ120" s="541"/>
      <c r="JK120" s="541"/>
      <c r="JL120" s="541"/>
      <c r="JM120" s="541"/>
      <c r="JN120" s="541"/>
      <c r="JO120" s="541"/>
      <c r="JP120" s="541"/>
      <c r="JQ120" s="541"/>
      <c r="JR120" s="541"/>
      <c r="JS120" s="541"/>
      <c r="JT120" s="541"/>
      <c r="JU120" s="541"/>
      <c r="JV120" s="541"/>
      <c r="JW120" s="541"/>
      <c r="JX120" s="541"/>
      <c r="JY120" s="541"/>
      <c r="JZ120" s="541"/>
      <c r="KA120" s="541"/>
      <c r="KB120" s="541"/>
      <c r="KC120" s="541"/>
      <c r="KD120" s="541"/>
      <c r="KE120" s="541"/>
      <c r="KF120" s="541"/>
      <c r="KG120" s="541"/>
      <c r="KH120" s="541"/>
      <c r="KI120" s="541"/>
      <c r="KJ120" s="541"/>
      <c r="KK120" s="541"/>
      <c r="KL120" s="541"/>
      <c r="KM120" s="541"/>
      <c r="KN120" s="541"/>
      <c r="KO120" s="541"/>
      <c r="KP120" s="541"/>
      <c r="KQ120" s="541"/>
      <c r="KR120" s="541"/>
      <c r="KS120" s="541"/>
      <c r="KT120" s="541"/>
      <c r="KU120" s="541"/>
      <c r="KV120" s="541"/>
      <c r="KW120" s="541"/>
      <c r="KX120" s="541"/>
      <c r="KY120" s="541"/>
      <c r="KZ120" s="541"/>
      <c r="LA120" s="541"/>
      <c r="LB120" s="541"/>
      <c r="LC120" s="541"/>
      <c r="LD120" s="541"/>
      <c r="LE120" s="541"/>
      <c r="LF120" s="541"/>
      <c r="LG120" s="541"/>
      <c r="LH120" s="541"/>
      <c r="LI120" s="541"/>
      <c r="LJ120" s="541"/>
      <c r="LK120" s="541"/>
      <c r="LL120" s="541"/>
      <c r="LM120" s="541"/>
      <c r="LN120" s="541"/>
      <c r="LO120" s="541"/>
      <c r="LP120" s="541"/>
      <c r="LQ120" s="541"/>
      <c r="LR120" s="541"/>
      <c r="LS120" s="541"/>
      <c r="LT120" s="541"/>
      <c r="LU120" s="541"/>
      <c r="LV120" s="541"/>
      <c r="LW120" s="541"/>
      <c r="LX120" s="541"/>
      <c r="LY120" s="541"/>
      <c r="LZ120" s="541"/>
      <c r="MA120" s="541"/>
      <c r="MB120" s="541"/>
      <c r="MC120" s="541"/>
      <c r="MD120" s="541"/>
      <c r="ME120" s="541"/>
      <c r="MF120" s="541"/>
      <c r="MG120" s="541"/>
      <c r="MH120" s="541"/>
      <c r="MI120" s="541"/>
      <c r="MJ120" s="541"/>
      <c r="MK120" s="541"/>
      <c r="ML120" s="541"/>
      <c r="MM120" s="541"/>
      <c r="MN120" s="541"/>
      <c r="MO120" s="541"/>
      <c r="MP120" s="541"/>
      <c r="MQ120" s="541"/>
      <c r="MR120" s="541"/>
      <c r="MS120" s="541"/>
      <c r="MT120" s="541"/>
      <c r="MU120" s="541"/>
      <c r="MV120" s="541"/>
      <c r="MW120" s="541"/>
      <c r="MX120" s="541"/>
      <c r="MY120" s="541"/>
      <c r="MZ120" s="541"/>
      <c r="NA120" s="541"/>
      <c r="NB120" s="541"/>
      <c r="NC120" s="541"/>
      <c r="ND120" s="541"/>
      <c r="NE120" s="541"/>
      <c r="NF120" s="541"/>
      <c r="NG120" s="541"/>
      <c r="NH120" s="541"/>
      <c r="NI120" s="541"/>
      <c r="NJ120" s="541"/>
      <c r="NK120" s="541"/>
      <c r="NL120" s="541"/>
      <c r="NM120" s="541"/>
      <c r="NN120" s="541"/>
      <c r="NO120" s="541"/>
      <c r="NP120" s="541"/>
      <c r="NQ120" s="541"/>
      <c r="NR120" s="541"/>
      <c r="NS120" s="541"/>
      <c r="NT120" s="541"/>
      <c r="NU120" s="541"/>
      <c r="NV120" s="541"/>
      <c r="NW120" s="541"/>
      <c r="NX120" s="541"/>
      <c r="NY120" s="541"/>
      <c r="NZ120" s="541"/>
      <c r="OA120" s="541"/>
      <c r="OB120" s="541"/>
      <c r="OC120" s="541"/>
      <c r="OD120" s="541"/>
      <c r="OE120" s="541"/>
      <c r="OF120" s="541"/>
      <c r="OG120" s="541"/>
      <c r="OH120" s="541"/>
      <c r="OI120" s="541"/>
      <c r="OJ120" s="541"/>
      <c r="OK120" s="541"/>
      <c r="OL120" s="541"/>
      <c r="OM120" s="541"/>
      <c r="ON120" s="541"/>
      <c r="OO120" s="541"/>
      <c r="OP120" s="541"/>
      <c r="OQ120" s="541"/>
      <c r="OR120" s="541"/>
      <c r="OS120" s="541"/>
      <c r="OT120" s="541"/>
      <c r="OU120" s="541"/>
      <c r="OV120" s="541"/>
      <c r="OW120" s="541"/>
      <c r="OX120" s="541"/>
      <c r="OY120" s="541"/>
      <c r="OZ120" s="541"/>
      <c r="PA120" s="541"/>
      <c r="PB120" s="541"/>
      <c r="PC120" s="541"/>
      <c r="PD120" s="541"/>
      <c r="PE120" s="541"/>
      <c r="PF120" s="541"/>
      <c r="PG120" s="541"/>
      <c r="PH120" s="541"/>
      <c r="PI120" s="541"/>
      <c r="PJ120" s="541"/>
      <c r="PK120" s="541"/>
      <c r="PL120" s="541"/>
      <c r="PM120" s="541"/>
      <c r="PN120" s="541"/>
      <c r="PO120" s="541"/>
      <c r="PP120" s="541"/>
      <c r="PQ120" s="541"/>
      <c r="PR120" s="541"/>
      <c r="PS120" s="541"/>
      <c r="PT120" s="541"/>
      <c r="PU120" s="541"/>
      <c r="PV120" s="541"/>
      <c r="PW120" s="541"/>
      <c r="PX120" s="541"/>
      <c r="PY120" s="541"/>
      <c r="PZ120" s="541"/>
      <c r="QA120" s="541"/>
      <c r="QB120" s="541"/>
      <c r="QC120" s="541"/>
      <c r="QD120" s="541"/>
      <c r="QE120" s="541"/>
      <c r="QF120" s="541"/>
      <c r="QG120" s="541"/>
      <c r="QH120" s="541"/>
      <c r="QI120" s="541"/>
      <c r="QJ120" s="541"/>
      <c r="QK120" s="541"/>
      <c r="QL120" s="541"/>
      <c r="QM120" s="541"/>
      <c r="QN120" s="541"/>
      <c r="QO120" s="541"/>
      <c r="QP120" s="541"/>
      <c r="QQ120" s="541"/>
      <c r="QR120" s="541"/>
      <c r="QS120" s="541"/>
      <c r="QT120" s="541"/>
      <c r="QU120" s="541"/>
      <c r="QV120" s="541"/>
      <c r="QW120" s="541"/>
      <c r="QX120" s="541"/>
      <c r="QY120" s="541"/>
      <c r="QZ120" s="541"/>
      <c r="RA120" s="541"/>
      <c r="RB120" s="541"/>
      <c r="RC120" s="541"/>
      <c r="RD120" s="541"/>
      <c r="RE120" s="541"/>
      <c r="RF120" s="541"/>
      <c r="RG120" s="541"/>
      <c r="RH120" s="541"/>
      <c r="RI120" s="541"/>
      <c r="RJ120" s="541"/>
      <c r="RK120" s="541"/>
      <c r="RL120" s="541"/>
      <c r="RM120" s="541"/>
      <c r="RN120" s="541"/>
      <c r="RO120" s="541"/>
      <c r="RP120" s="541"/>
      <c r="RQ120" s="541"/>
      <c r="RR120" s="541"/>
      <c r="RS120" s="541"/>
      <c r="RT120" s="541"/>
      <c r="RU120" s="541"/>
      <c r="RV120" s="541"/>
      <c r="RW120" s="541"/>
      <c r="RX120" s="541"/>
      <c r="RY120" s="541"/>
      <c r="RZ120" s="541"/>
      <c r="SA120" s="541"/>
      <c r="SB120" s="541"/>
      <c r="SC120" s="541"/>
      <c r="SD120" s="541"/>
      <c r="SE120" s="541"/>
      <c r="SF120" s="541"/>
      <c r="SG120" s="541"/>
      <c r="SH120" s="541"/>
      <c r="SI120" s="541"/>
      <c r="SJ120" s="541"/>
      <c r="SK120" s="541"/>
      <c r="SL120" s="541"/>
      <c r="SM120" s="541"/>
      <c r="SN120" s="541"/>
      <c r="SO120" s="541"/>
      <c r="SP120" s="541"/>
      <c r="SQ120" s="541"/>
      <c r="SR120" s="541"/>
      <c r="SS120" s="541"/>
      <c r="ST120" s="541"/>
      <c r="SU120" s="541"/>
      <c r="SV120" s="541"/>
      <c r="SW120" s="541"/>
      <c r="SX120" s="541"/>
      <c r="SY120" s="541"/>
      <c r="SZ120" s="541"/>
      <c r="TA120" s="541"/>
      <c r="TB120" s="541"/>
      <c r="TC120" s="541"/>
      <c r="TD120" s="541"/>
      <c r="TE120" s="541"/>
      <c r="TF120" s="541"/>
      <c r="TG120" s="541"/>
      <c r="TH120" s="541"/>
      <c r="TI120" s="541"/>
      <c r="TJ120" s="541"/>
      <c r="TK120" s="541"/>
      <c r="TL120" s="541"/>
      <c r="TM120" s="541"/>
      <c r="TN120" s="541"/>
      <c r="TO120" s="541"/>
      <c r="TP120" s="541"/>
      <c r="TQ120" s="541"/>
      <c r="TR120" s="541"/>
      <c r="TS120" s="541"/>
      <c r="TT120" s="541"/>
      <c r="TU120" s="541"/>
      <c r="TV120" s="541"/>
      <c r="TW120" s="541"/>
      <c r="TX120" s="541"/>
      <c r="TY120" s="541"/>
      <c r="TZ120" s="541"/>
      <c r="UA120" s="541"/>
      <c r="UB120" s="541"/>
      <c r="UC120" s="541"/>
      <c r="UD120" s="541"/>
      <c r="UE120" s="541"/>
      <c r="UF120" s="541"/>
      <c r="UG120" s="541"/>
      <c r="UH120" s="541"/>
      <c r="UI120" s="541"/>
      <c r="UJ120" s="541"/>
      <c r="UK120" s="541"/>
      <c r="UL120" s="541"/>
      <c r="UM120" s="541"/>
      <c r="UN120" s="541"/>
      <c r="UO120" s="541"/>
      <c r="UP120" s="541"/>
      <c r="UQ120" s="541"/>
      <c r="UR120" s="541"/>
      <c r="US120" s="541"/>
      <c r="UT120" s="541"/>
      <c r="UU120" s="541"/>
      <c r="UV120" s="541"/>
      <c r="UW120" s="541"/>
      <c r="UX120" s="541"/>
      <c r="UY120" s="541"/>
      <c r="UZ120" s="541"/>
      <c r="VA120" s="541"/>
      <c r="VB120" s="541"/>
      <c r="VC120" s="541"/>
      <c r="VD120" s="541"/>
      <c r="VE120" s="541"/>
      <c r="VF120" s="541"/>
      <c r="VG120" s="541"/>
      <c r="VH120" s="541"/>
      <c r="VI120" s="541"/>
      <c r="VJ120" s="541"/>
      <c r="VK120" s="541"/>
      <c r="VL120" s="541"/>
      <c r="VM120" s="541"/>
      <c r="VN120" s="541"/>
      <c r="VO120" s="541"/>
      <c r="VP120" s="541"/>
      <c r="VQ120" s="541"/>
      <c r="VR120" s="541"/>
      <c r="VS120" s="541"/>
      <c r="VT120" s="541"/>
      <c r="VU120" s="541"/>
      <c r="VV120" s="541"/>
      <c r="VW120" s="541"/>
      <c r="VX120" s="541"/>
      <c r="VY120" s="541"/>
      <c r="VZ120" s="541"/>
      <c r="WA120" s="541"/>
      <c r="WB120" s="541"/>
      <c r="WC120" s="541"/>
      <c r="WD120" s="541"/>
      <c r="WE120" s="541"/>
      <c r="WF120" s="541"/>
      <c r="WG120" s="541"/>
      <c r="WH120" s="541"/>
      <c r="WI120" s="541"/>
      <c r="WJ120" s="541"/>
      <c r="WK120" s="541"/>
      <c r="WL120" s="541"/>
      <c r="WM120" s="541"/>
      <c r="WN120" s="541"/>
      <c r="WO120" s="541"/>
      <c r="WP120" s="541"/>
      <c r="WQ120" s="541"/>
      <c r="WR120" s="541"/>
      <c r="WS120" s="541"/>
      <c r="WT120" s="541"/>
      <c r="WU120" s="541"/>
      <c r="WV120" s="541"/>
      <c r="WW120" s="541"/>
      <c r="WX120" s="541"/>
      <c r="WY120" s="541"/>
      <c r="WZ120" s="541"/>
      <c r="XA120" s="541"/>
      <c r="XB120" s="541"/>
      <c r="XC120" s="541"/>
      <c r="XD120" s="541"/>
      <c r="XE120" s="541"/>
      <c r="XF120" s="541"/>
      <c r="XG120" s="541"/>
      <c r="XH120" s="541"/>
      <c r="XI120" s="541"/>
      <c r="XJ120" s="541"/>
      <c r="XK120" s="541"/>
      <c r="XL120" s="541"/>
      <c r="XM120" s="541"/>
      <c r="XN120" s="541"/>
      <c r="XO120" s="541"/>
      <c r="XP120" s="541"/>
      <c r="XQ120" s="541"/>
      <c r="XR120" s="541"/>
      <c r="XS120" s="541"/>
      <c r="XT120" s="541"/>
      <c r="XU120" s="541"/>
      <c r="XV120" s="541"/>
      <c r="XW120" s="541"/>
      <c r="XX120" s="541"/>
      <c r="XY120" s="541"/>
      <c r="XZ120" s="541"/>
      <c r="YA120" s="541"/>
      <c r="YB120" s="541"/>
      <c r="YC120" s="541"/>
      <c r="YD120" s="541"/>
      <c r="YE120" s="541"/>
      <c r="YF120" s="541"/>
      <c r="YG120" s="541"/>
      <c r="YH120" s="541"/>
      <c r="YI120" s="541"/>
      <c r="YJ120" s="541"/>
      <c r="YK120" s="541"/>
      <c r="YL120" s="541"/>
      <c r="YM120" s="541"/>
      <c r="YN120" s="541"/>
      <c r="YO120" s="541"/>
      <c r="YP120" s="541"/>
      <c r="YQ120" s="541"/>
      <c r="YR120" s="541"/>
      <c r="YS120" s="541"/>
      <c r="YT120" s="541"/>
      <c r="YU120" s="541"/>
      <c r="YV120" s="541"/>
      <c r="YW120" s="541"/>
      <c r="YX120" s="541"/>
      <c r="YY120" s="541"/>
      <c r="YZ120" s="541"/>
      <c r="ZA120" s="541"/>
      <c r="ZB120" s="541"/>
      <c r="ZC120" s="541"/>
      <c r="ZD120" s="541"/>
      <c r="ZE120" s="541"/>
      <c r="ZF120" s="541"/>
      <c r="ZG120" s="541"/>
      <c r="ZH120" s="541"/>
      <c r="ZI120" s="541"/>
      <c r="ZJ120" s="541"/>
      <c r="ZK120" s="541"/>
      <c r="ZL120" s="541"/>
      <c r="ZM120" s="541"/>
      <c r="ZN120" s="541"/>
      <c r="ZO120" s="541"/>
      <c r="ZP120" s="541"/>
      <c r="ZQ120" s="541"/>
      <c r="ZR120" s="541"/>
      <c r="ZS120" s="541"/>
      <c r="ZT120" s="541"/>
      <c r="ZU120" s="541"/>
      <c r="ZV120" s="541"/>
      <c r="ZW120" s="541"/>
      <c r="ZX120" s="541"/>
      <c r="ZY120" s="541"/>
      <c r="ZZ120" s="541"/>
      <c r="AAA120" s="541"/>
      <c r="AAB120" s="541"/>
      <c r="AAC120" s="541"/>
      <c r="AAD120" s="541"/>
      <c r="AAE120" s="541"/>
      <c r="AAF120" s="541"/>
      <c r="AAG120" s="541"/>
      <c r="AAH120" s="541"/>
      <c r="AAI120" s="541"/>
      <c r="AAJ120" s="541"/>
      <c r="AAK120" s="541"/>
      <c r="AAL120" s="541"/>
      <c r="AAM120" s="541"/>
      <c r="AAN120" s="541"/>
      <c r="AAO120" s="541"/>
      <c r="AAP120" s="541"/>
      <c r="AAQ120" s="541"/>
      <c r="AAR120" s="541"/>
      <c r="AAS120" s="541"/>
      <c r="AAT120" s="541"/>
      <c r="AAU120" s="541"/>
      <c r="AAV120" s="541"/>
      <c r="AAW120" s="541"/>
      <c r="AAX120" s="541"/>
      <c r="AAY120" s="541"/>
      <c r="AAZ120" s="541"/>
      <c r="ABA120" s="541"/>
      <c r="ABB120" s="541"/>
      <c r="ABC120" s="541"/>
      <c r="ABD120" s="541"/>
      <c r="ABE120" s="541"/>
      <c r="ABF120" s="541"/>
      <c r="ABG120" s="541"/>
      <c r="ABH120" s="541"/>
      <c r="ABI120" s="541"/>
      <c r="ABJ120" s="541"/>
      <c r="ABK120" s="541"/>
      <c r="ABL120" s="541"/>
      <c r="ABM120" s="541"/>
      <c r="ABN120" s="541"/>
      <c r="ABO120" s="541"/>
      <c r="ABP120" s="541"/>
      <c r="ABQ120" s="541"/>
      <c r="ABR120" s="541"/>
      <c r="ABS120" s="541"/>
      <c r="ABT120" s="541"/>
      <c r="ABU120" s="541"/>
      <c r="ABV120" s="541"/>
      <c r="ABW120" s="541"/>
      <c r="ABX120" s="541"/>
      <c r="ABY120" s="541"/>
      <c r="ABZ120" s="541"/>
      <c r="ACA120" s="541"/>
      <c r="ACB120" s="541"/>
      <c r="ACC120" s="541"/>
      <c r="ACD120" s="541"/>
      <c r="ACE120" s="541"/>
      <c r="ACF120" s="541"/>
      <c r="ACG120" s="541"/>
      <c r="ACH120" s="541"/>
      <c r="ACI120" s="541"/>
      <c r="ACJ120" s="541"/>
      <c r="ACK120" s="541"/>
      <c r="ACL120" s="541"/>
      <c r="ACM120" s="541"/>
      <c r="ACN120" s="541"/>
      <c r="ACO120" s="541"/>
      <c r="ACP120" s="541"/>
      <c r="ACQ120" s="541"/>
      <c r="ACR120" s="541"/>
      <c r="ACS120" s="541"/>
      <c r="ACT120" s="541"/>
      <c r="ACU120" s="541"/>
      <c r="ACV120" s="541"/>
      <c r="ACW120" s="541"/>
      <c r="ACX120" s="541"/>
      <c r="ACY120" s="541"/>
      <c r="ACZ120" s="541"/>
      <c r="ADA120" s="541"/>
      <c r="ADB120" s="541"/>
      <c r="ADC120" s="541"/>
      <c r="ADD120" s="541"/>
      <c r="ADE120" s="541"/>
      <c r="ADF120" s="541"/>
      <c r="ADG120" s="541"/>
      <c r="ADH120" s="541"/>
      <c r="ADI120" s="541"/>
      <c r="ADJ120" s="541"/>
      <c r="ADK120" s="541"/>
      <c r="ADL120" s="541"/>
      <c r="ADM120" s="541"/>
      <c r="ADN120" s="541"/>
      <c r="ADO120" s="541"/>
      <c r="ADP120" s="541"/>
      <c r="ADQ120" s="541"/>
      <c r="ADR120" s="541"/>
      <c r="ADS120" s="541"/>
      <c r="ADT120" s="541"/>
      <c r="ADU120" s="541"/>
      <c r="ADV120" s="541"/>
      <c r="ADW120" s="541"/>
      <c r="ADX120" s="541"/>
      <c r="ADY120" s="541"/>
      <c r="ADZ120" s="541"/>
      <c r="AEA120" s="541"/>
      <c r="AEB120" s="541"/>
      <c r="AEC120" s="541"/>
      <c r="AED120" s="541"/>
      <c r="AEE120" s="541"/>
      <c r="AEF120" s="541"/>
      <c r="AEG120" s="541"/>
      <c r="AEH120" s="541"/>
      <c r="AEI120" s="541"/>
      <c r="AEJ120" s="541"/>
      <c r="AEK120" s="541"/>
      <c r="AEL120" s="541"/>
      <c r="AEM120" s="541"/>
      <c r="AEN120" s="541"/>
      <c r="AEO120" s="541"/>
      <c r="AEP120" s="541"/>
      <c r="AEQ120" s="541"/>
      <c r="AER120" s="541"/>
      <c r="AES120" s="541"/>
      <c r="AET120" s="541"/>
      <c r="AEU120" s="541"/>
      <c r="AEV120" s="541"/>
      <c r="AEW120" s="541"/>
      <c r="AEX120" s="541"/>
      <c r="AEY120" s="541"/>
      <c r="AEZ120" s="541"/>
      <c r="AFA120" s="541"/>
      <c r="AFB120" s="541"/>
      <c r="AFC120" s="541"/>
      <c r="AFD120" s="541"/>
      <c r="AFE120" s="541"/>
      <c r="AFF120" s="541"/>
      <c r="AFG120" s="541"/>
      <c r="AFH120" s="541"/>
      <c r="AFI120" s="541"/>
      <c r="AFJ120" s="541"/>
      <c r="AFK120" s="541"/>
      <c r="AFL120" s="541"/>
      <c r="AFM120" s="541"/>
      <c r="AFN120" s="541"/>
      <c r="AFO120" s="541"/>
      <c r="AFP120" s="541"/>
      <c r="AFQ120" s="541"/>
      <c r="AFR120" s="541"/>
      <c r="AFS120" s="541"/>
      <c r="AFT120" s="541"/>
      <c r="AFU120" s="541"/>
      <c r="AFV120" s="541"/>
      <c r="AFW120" s="541"/>
      <c r="AFX120" s="541"/>
      <c r="AFY120" s="541"/>
      <c r="AFZ120" s="541"/>
      <c r="AGA120" s="541"/>
      <c r="AGB120" s="541"/>
      <c r="AGC120" s="541"/>
      <c r="AGD120" s="541"/>
      <c r="AGE120" s="541"/>
      <c r="AGF120" s="541"/>
      <c r="AGG120" s="541"/>
      <c r="AGH120" s="541"/>
      <c r="AGI120" s="541"/>
      <c r="AGJ120" s="541"/>
      <c r="AGK120" s="541"/>
      <c r="AGL120" s="541"/>
      <c r="AGM120" s="541"/>
      <c r="AGN120" s="541"/>
      <c r="AGO120" s="541"/>
      <c r="AGP120" s="541"/>
      <c r="AGQ120" s="541"/>
      <c r="AGR120" s="541"/>
      <c r="AGS120" s="541"/>
      <c r="AGT120" s="541"/>
      <c r="AGU120" s="541"/>
      <c r="AGV120" s="541"/>
      <c r="AGW120" s="541"/>
      <c r="AGX120" s="541"/>
      <c r="AGY120" s="541"/>
      <c r="AGZ120" s="541"/>
      <c r="AHA120" s="541"/>
      <c r="AHB120" s="541"/>
      <c r="AHC120" s="541"/>
      <c r="AHD120" s="541"/>
      <c r="AHE120" s="541"/>
      <c r="AHF120" s="541"/>
      <c r="AHG120" s="541"/>
      <c r="AHH120" s="541"/>
      <c r="AHI120" s="541"/>
      <c r="AHJ120" s="541"/>
      <c r="AHK120" s="541"/>
      <c r="AHL120" s="541"/>
      <c r="AHM120" s="541"/>
      <c r="AHN120" s="541"/>
      <c r="AHO120" s="541"/>
      <c r="AHP120" s="541"/>
      <c r="AHQ120" s="541"/>
      <c r="AHR120" s="541"/>
      <c r="AHS120" s="541"/>
      <c r="AHT120" s="541"/>
      <c r="AHU120" s="541"/>
      <c r="AHV120" s="541"/>
      <c r="AHW120" s="541"/>
      <c r="AHX120" s="541"/>
      <c r="AHY120" s="541"/>
      <c r="AHZ120" s="541"/>
      <c r="AIA120" s="541"/>
      <c r="AIB120" s="541"/>
      <c r="AIC120" s="541"/>
      <c r="AID120" s="541"/>
      <c r="AIE120" s="541"/>
      <c r="AIF120" s="541"/>
      <c r="AIG120" s="541"/>
      <c r="AIH120" s="541"/>
      <c r="AII120" s="541"/>
      <c r="AIJ120" s="541"/>
      <c r="AIK120" s="541"/>
      <c r="AIL120" s="541"/>
      <c r="AIM120" s="541"/>
      <c r="AIN120" s="541"/>
      <c r="AIO120" s="541"/>
      <c r="AIP120" s="541"/>
      <c r="AIQ120" s="541"/>
      <c r="AIR120" s="541"/>
      <c r="AIS120" s="541"/>
      <c r="AIT120" s="541"/>
      <c r="AIU120" s="541"/>
      <c r="AIV120" s="541"/>
      <c r="AIW120" s="541"/>
      <c r="AIX120" s="541"/>
      <c r="AIY120" s="541"/>
      <c r="AIZ120" s="541"/>
      <c r="AJA120" s="541"/>
      <c r="AJB120" s="541"/>
      <c r="AJC120" s="541"/>
      <c r="AJD120" s="541"/>
      <c r="AJE120" s="541"/>
      <c r="AJF120" s="541"/>
      <c r="AJG120" s="541"/>
      <c r="AJH120" s="541"/>
      <c r="AJI120" s="541"/>
      <c r="AJJ120" s="541"/>
      <c r="AJK120" s="541"/>
      <c r="AJL120" s="541"/>
      <c r="AJM120" s="541"/>
      <c r="AJN120" s="541"/>
      <c r="AJO120" s="541"/>
      <c r="AJP120" s="541"/>
      <c r="AJQ120" s="541"/>
      <c r="AJR120" s="541"/>
      <c r="AJS120" s="541"/>
      <c r="AJT120" s="541"/>
      <c r="AJU120" s="541"/>
      <c r="AJV120" s="541"/>
      <c r="AJW120" s="541"/>
      <c r="AJX120" s="541"/>
      <c r="AJY120" s="541"/>
      <c r="AJZ120" s="541"/>
      <c r="AKA120" s="541"/>
      <c r="AKB120" s="541"/>
      <c r="AKC120" s="541"/>
      <c r="AKD120" s="541"/>
      <c r="AKE120" s="541"/>
      <c r="AKF120" s="541"/>
      <c r="AKG120" s="541"/>
      <c r="AKH120" s="541"/>
      <c r="AKI120" s="541"/>
      <c r="AKJ120" s="541"/>
      <c r="AKK120" s="541"/>
      <c r="AKL120" s="541"/>
      <c r="AKM120" s="541"/>
      <c r="AKN120" s="541"/>
      <c r="AKO120" s="541"/>
      <c r="AKP120" s="541"/>
      <c r="AKQ120" s="541"/>
      <c r="AKR120" s="541"/>
      <c r="AKS120" s="541"/>
      <c r="AKT120" s="541"/>
      <c r="AKU120" s="541"/>
      <c r="AKV120" s="541"/>
      <c r="AKW120" s="541"/>
      <c r="AKX120" s="541"/>
      <c r="AKY120" s="541"/>
      <c r="AKZ120" s="541"/>
      <c r="ALA120" s="541"/>
      <c r="ALB120" s="541"/>
      <c r="ALC120" s="541"/>
      <c r="ALD120" s="541"/>
      <c r="ALE120" s="541"/>
      <c r="ALF120" s="541"/>
      <c r="ALG120" s="541"/>
      <c r="ALH120" s="541"/>
      <c r="ALI120" s="541"/>
      <c r="ALJ120" s="541"/>
      <c r="ALK120" s="541"/>
      <c r="ALL120" s="541"/>
      <c r="ALM120" s="541"/>
      <c r="ALN120" s="541"/>
      <c r="ALO120" s="541"/>
      <c r="ALP120" s="541"/>
      <c r="ALQ120" s="541"/>
      <c r="ALR120" s="541"/>
      <c r="ALS120" s="541"/>
      <c r="ALT120" s="541"/>
      <c r="ALU120" s="541"/>
      <c r="ALV120" s="541"/>
      <c r="ALW120" s="541"/>
      <c r="ALX120" s="541"/>
      <c r="ALY120" s="541"/>
      <c r="ALZ120" s="541"/>
      <c r="AMA120" s="541"/>
      <c r="AMB120" s="541"/>
      <c r="AMC120" s="541"/>
      <c r="AMD120" s="541"/>
      <c r="AME120" s="541"/>
      <c r="AMF120" s="541"/>
      <c r="AMG120" s="541"/>
      <c r="AMH120" s="541"/>
      <c r="AMI120" s="541"/>
      <c r="AMJ120" s="541"/>
      <c r="AMK120" s="541"/>
      <c r="AML120" s="541"/>
      <c r="AMM120" s="541"/>
      <c r="AMN120" s="541"/>
      <c r="AMO120" s="541"/>
      <c r="AMP120" s="541"/>
      <c r="AMQ120" s="541"/>
      <c r="AMR120" s="541"/>
      <c r="AMS120" s="541"/>
      <c r="AMT120" s="541"/>
      <c r="AMU120" s="541"/>
      <c r="AMV120" s="541"/>
      <c r="AMW120" s="541"/>
      <c r="AMX120" s="541"/>
      <c r="AMY120" s="541"/>
      <c r="AMZ120" s="541"/>
      <c r="ANA120" s="541"/>
      <c r="ANB120" s="541"/>
      <c r="ANC120" s="541"/>
      <c r="AND120" s="541"/>
      <c r="ANE120" s="541"/>
      <c r="ANF120" s="541"/>
      <c r="ANG120" s="541"/>
      <c r="ANH120" s="541"/>
      <c r="ANI120" s="541"/>
      <c r="ANJ120" s="541"/>
      <c r="ANK120" s="541"/>
      <c r="ANL120" s="541"/>
      <c r="ANM120" s="541"/>
      <c r="ANN120" s="541"/>
      <c r="ANO120" s="541"/>
      <c r="ANP120" s="541"/>
      <c r="ANQ120" s="541"/>
      <c r="ANR120" s="541"/>
      <c r="ANS120" s="541"/>
      <c r="ANT120" s="541"/>
      <c r="ANU120" s="541"/>
      <c r="ANV120" s="541"/>
      <c r="ANW120" s="541"/>
      <c r="ANX120" s="541"/>
      <c r="ANY120" s="541"/>
      <c r="ANZ120" s="541"/>
      <c r="AOA120" s="541"/>
      <c r="AOB120" s="541"/>
      <c r="AOC120" s="541"/>
      <c r="AOD120" s="541"/>
      <c r="AOE120" s="541"/>
      <c r="AOF120" s="541"/>
      <c r="AOG120" s="541"/>
      <c r="AOH120" s="541"/>
      <c r="AOI120" s="541"/>
      <c r="AOJ120" s="541"/>
      <c r="AOK120" s="541"/>
      <c r="AOL120" s="541"/>
      <c r="AOM120" s="541"/>
      <c r="AON120" s="541"/>
      <c r="AOO120" s="541"/>
      <c r="AOP120" s="541"/>
      <c r="AOQ120" s="541"/>
      <c r="AOR120" s="541"/>
      <c r="AOS120" s="541"/>
      <c r="AOT120" s="541"/>
      <c r="AOU120" s="541"/>
      <c r="AOV120" s="541"/>
      <c r="AOW120" s="541"/>
      <c r="AOX120" s="541"/>
      <c r="AOY120" s="541"/>
      <c r="AOZ120" s="541"/>
      <c r="APA120" s="541"/>
      <c r="APB120" s="541"/>
      <c r="APC120" s="541"/>
      <c r="APD120" s="541"/>
      <c r="APE120" s="541"/>
      <c r="APF120" s="541"/>
      <c r="APG120" s="541"/>
      <c r="APH120" s="541"/>
      <c r="API120" s="541"/>
      <c r="APJ120" s="541"/>
      <c r="APK120" s="541"/>
      <c r="APL120" s="541"/>
      <c r="APM120" s="541"/>
      <c r="APN120" s="541"/>
      <c r="APO120" s="541"/>
      <c r="APP120" s="541"/>
      <c r="APQ120" s="541"/>
      <c r="APR120" s="541"/>
      <c r="APS120" s="541"/>
      <c r="APT120" s="541"/>
      <c r="APU120" s="541"/>
      <c r="APV120" s="541"/>
      <c r="APW120" s="541"/>
      <c r="APX120" s="541"/>
      <c r="APY120" s="541"/>
      <c r="APZ120" s="541"/>
      <c r="AQA120" s="541"/>
      <c r="AQB120" s="541"/>
      <c r="AQC120" s="541"/>
      <c r="AQD120" s="541"/>
      <c r="AQE120" s="541"/>
      <c r="AQF120" s="541"/>
      <c r="AQG120" s="541"/>
      <c r="AQH120" s="541"/>
      <c r="AQI120" s="541"/>
      <c r="AQJ120" s="541"/>
      <c r="AQK120" s="541"/>
      <c r="AQL120" s="541"/>
      <c r="AQM120" s="541"/>
      <c r="AQN120" s="541"/>
      <c r="AQO120" s="541"/>
      <c r="AQP120" s="541"/>
      <c r="AQQ120" s="541"/>
      <c r="AQR120" s="541"/>
      <c r="AQS120" s="541"/>
      <c r="AQT120" s="541"/>
      <c r="AQU120" s="541"/>
      <c r="AQV120" s="541"/>
      <c r="AQW120" s="541"/>
      <c r="AQX120" s="541"/>
      <c r="AQY120" s="541"/>
      <c r="AQZ120" s="541"/>
      <c r="ARA120" s="541"/>
      <c r="ARB120" s="541"/>
      <c r="ARC120" s="541"/>
      <c r="ARD120" s="541"/>
      <c r="ARE120" s="541"/>
      <c r="ARF120" s="541"/>
      <c r="ARG120" s="541"/>
      <c r="ARH120" s="541"/>
      <c r="ARI120" s="541"/>
      <c r="ARJ120" s="541"/>
      <c r="ARK120" s="541"/>
      <c r="ARL120" s="541"/>
      <c r="ARM120" s="541"/>
      <c r="ARN120" s="541"/>
      <c r="ARO120" s="541"/>
      <c r="ARP120" s="541"/>
      <c r="ARQ120" s="541"/>
      <c r="ARR120" s="541"/>
      <c r="ARS120" s="541"/>
      <c r="ART120" s="541"/>
      <c r="ARU120" s="541"/>
    </row>
    <row r="121" spans="1:1165" s="658" customFormat="1">
      <c r="A121" s="613" t="s">
        <v>274</v>
      </c>
      <c r="B121" s="578" t="s">
        <v>110</v>
      </c>
      <c r="C121" s="659"/>
      <c r="D121" s="659"/>
      <c r="E121" s="581">
        <v>0</v>
      </c>
      <c r="F121" s="581">
        <v>30084556</v>
      </c>
      <c r="G121" s="581">
        <v>0</v>
      </c>
      <c r="H121" s="581">
        <v>29636688</v>
      </c>
      <c r="I121" s="581">
        <v>51</v>
      </c>
      <c r="J121" s="581">
        <v>34285775</v>
      </c>
      <c r="K121" s="581">
        <v>0</v>
      </c>
      <c r="L121" s="581">
        <v>25149796</v>
      </c>
      <c r="M121" s="581">
        <v>140</v>
      </c>
      <c r="N121" s="581">
        <v>53989350</v>
      </c>
      <c r="O121" s="581">
        <v>0</v>
      </c>
      <c r="P121" s="581">
        <v>60358281</v>
      </c>
      <c r="Q121" s="579">
        <v>53</v>
      </c>
      <c r="R121" s="581">
        <v>65581056</v>
      </c>
      <c r="S121" s="598">
        <v>0</v>
      </c>
      <c r="T121" s="598">
        <v>0</v>
      </c>
      <c r="U121" s="598">
        <v>0</v>
      </c>
      <c r="V121" s="598">
        <v>0</v>
      </c>
      <c r="W121" s="598">
        <v>0</v>
      </c>
      <c r="X121" s="598">
        <v>0</v>
      </c>
      <c r="Y121" s="598">
        <v>0</v>
      </c>
      <c r="Z121" s="598">
        <v>0</v>
      </c>
      <c r="AA121" s="598">
        <v>0</v>
      </c>
      <c r="AB121" s="598">
        <v>0</v>
      </c>
      <c r="AC121" s="598">
        <v>0</v>
      </c>
      <c r="AD121" s="598">
        <v>0</v>
      </c>
      <c r="AE121" s="598">
        <v>0</v>
      </c>
      <c r="AF121" s="598">
        <v>0</v>
      </c>
      <c r="AG121" s="598">
        <v>0</v>
      </c>
      <c r="AH121" s="598">
        <v>0</v>
      </c>
      <c r="AI121" s="598">
        <v>0</v>
      </c>
      <c r="AJ121" s="598">
        <v>0</v>
      </c>
      <c r="AK121" s="598">
        <v>0</v>
      </c>
      <c r="AL121" s="598">
        <v>0</v>
      </c>
      <c r="AM121" s="598">
        <v>0</v>
      </c>
      <c r="AN121" s="598">
        <v>0</v>
      </c>
      <c r="AO121" s="598">
        <v>0</v>
      </c>
      <c r="AP121" s="598">
        <v>0</v>
      </c>
      <c r="AQ121" s="598">
        <v>0</v>
      </c>
      <c r="AR121" s="598">
        <v>0</v>
      </c>
      <c r="AS121" s="598">
        <v>0</v>
      </c>
      <c r="AT121" s="598">
        <v>0</v>
      </c>
      <c r="AU121" s="598">
        <v>0</v>
      </c>
      <c r="AV121" s="598">
        <v>0</v>
      </c>
      <c r="AW121" s="598">
        <v>0</v>
      </c>
      <c r="AX121" s="598">
        <v>0</v>
      </c>
      <c r="AY121" s="581">
        <v>0</v>
      </c>
      <c r="AZ121" s="581">
        <v>0</v>
      </c>
      <c r="BA121" s="620"/>
      <c r="BB121" s="581"/>
      <c r="BC121" s="581"/>
      <c r="BD121" s="581"/>
      <c r="BE121" s="581"/>
      <c r="BF121" s="581"/>
      <c r="BG121" s="581"/>
      <c r="BH121" s="581"/>
      <c r="BI121" s="620"/>
      <c r="BJ121" s="651">
        <f t="shared" si="12"/>
        <v>244</v>
      </c>
      <c r="BK121" s="651">
        <f t="shared" si="13"/>
        <v>269000946</v>
      </c>
      <c r="BL121" s="541"/>
      <c r="BM121" s="624"/>
      <c r="BN121" s="624"/>
      <c r="BO121" s="624"/>
      <c r="BP121" s="624"/>
      <c r="BQ121" s="541"/>
      <c r="BR121" s="541"/>
      <c r="BS121" s="541"/>
      <c r="BT121" s="541"/>
      <c r="BU121" s="541"/>
      <c r="BV121" s="541"/>
      <c r="BW121" s="541"/>
      <c r="BX121" s="541"/>
      <c r="BY121" s="541"/>
      <c r="BZ121" s="541"/>
      <c r="CA121" s="541"/>
      <c r="CB121" s="541"/>
      <c r="CC121" s="541"/>
      <c r="CD121" s="541"/>
      <c r="CE121" s="541"/>
      <c r="CF121" s="541"/>
      <c r="CG121" s="541"/>
      <c r="CH121" s="541"/>
      <c r="CI121" s="541"/>
      <c r="CJ121" s="541"/>
      <c r="CK121" s="541"/>
      <c r="CL121" s="541"/>
      <c r="CM121" s="541"/>
      <c r="CN121" s="541"/>
      <c r="CO121" s="541"/>
      <c r="CP121" s="541"/>
      <c r="CQ121" s="541"/>
      <c r="CR121" s="541"/>
      <c r="CS121" s="541"/>
      <c r="CT121" s="541"/>
      <c r="CU121" s="541"/>
      <c r="CV121" s="541"/>
      <c r="CW121" s="541"/>
      <c r="CX121" s="541"/>
      <c r="CY121" s="541"/>
      <c r="CZ121" s="541"/>
      <c r="DA121" s="541"/>
      <c r="DB121" s="541"/>
      <c r="DC121" s="541"/>
      <c r="DD121" s="541"/>
      <c r="DE121" s="541"/>
      <c r="DF121" s="541"/>
      <c r="DG121" s="541"/>
      <c r="DH121" s="541"/>
      <c r="DI121" s="541"/>
      <c r="DJ121" s="541"/>
      <c r="DK121" s="541"/>
      <c r="DL121" s="541"/>
      <c r="DM121" s="541"/>
      <c r="DN121" s="541"/>
      <c r="DO121" s="541"/>
      <c r="DP121" s="541"/>
      <c r="DQ121" s="541"/>
      <c r="DR121" s="541"/>
      <c r="DS121" s="541"/>
      <c r="DT121" s="541"/>
      <c r="DU121" s="541"/>
      <c r="DV121" s="541"/>
      <c r="DW121" s="541"/>
      <c r="DX121" s="541"/>
      <c r="DY121" s="541"/>
      <c r="DZ121" s="541"/>
      <c r="EA121" s="541"/>
      <c r="EB121" s="541"/>
      <c r="EC121" s="541"/>
      <c r="ED121" s="541"/>
      <c r="EE121" s="541"/>
      <c r="EF121" s="541"/>
      <c r="EG121" s="541"/>
      <c r="EH121" s="541"/>
      <c r="EI121" s="541"/>
      <c r="EJ121" s="541"/>
      <c r="EK121" s="541"/>
      <c r="EL121" s="541"/>
      <c r="EM121" s="541"/>
      <c r="EN121" s="541"/>
      <c r="EO121" s="541"/>
      <c r="EP121" s="541"/>
      <c r="EQ121" s="541"/>
      <c r="ER121" s="541"/>
      <c r="ES121" s="541"/>
      <c r="ET121" s="541"/>
      <c r="EU121" s="541"/>
      <c r="EV121" s="541"/>
      <c r="EW121" s="541"/>
      <c r="EX121" s="541"/>
      <c r="EY121" s="541"/>
      <c r="EZ121" s="541"/>
      <c r="FA121" s="541"/>
      <c r="FB121" s="541"/>
      <c r="FC121" s="541"/>
      <c r="FD121" s="541"/>
      <c r="FE121" s="541"/>
      <c r="FF121" s="541"/>
      <c r="FG121" s="541"/>
      <c r="FH121" s="541"/>
      <c r="FI121" s="541"/>
      <c r="FJ121" s="541"/>
      <c r="FK121" s="541"/>
      <c r="FL121" s="541"/>
      <c r="FM121" s="541"/>
      <c r="FN121" s="541"/>
      <c r="FO121" s="541"/>
      <c r="FP121" s="541"/>
      <c r="FQ121" s="541"/>
      <c r="FR121" s="541"/>
      <c r="FS121" s="541"/>
      <c r="FT121" s="541"/>
      <c r="FU121" s="541"/>
      <c r="FV121" s="541"/>
      <c r="FW121" s="541"/>
      <c r="FX121" s="541"/>
      <c r="FY121" s="541"/>
      <c r="FZ121" s="541"/>
      <c r="GA121" s="541"/>
      <c r="GB121" s="541"/>
      <c r="GC121" s="541"/>
      <c r="GD121" s="541"/>
      <c r="GE121" s="541"/>
      <c r="GF121" s="541"/>
      <c r="GG121" s="541"/>
      <c r="GH121" s="541"/>
      <c r="GI121" s="541"/>
      <c r="GJ121" s="541"/>
      <c r="GK121" s="541"/>
      <c r="GL121" s="541"/>
      <c r="GM121" s="541"/>
      <c r="GN121" s="541"/>
      <c r="GO121" s="541"/>
      <c r="GP121" s="541"/>
      <c r="GQ121" s="541"/>
      <c r="GR121" s="541"/>
      <c r="GS121" s="541"/>
      <c r="GT121" s="541"/>
      <c r="GU121" s="541"/>
      <c r="GV121" s="541"/>
      <c r="GW121" s="541"/>
      <c r="GX121" s="541"/>
      <c r="GY121" s="541"/>
      <c r="GZ121" s="541"/>
      <c r="HA121" s="541"/>
      <c r="HB121" s="541"/>
      <c r="HC121" s="541"/>
      <c r="HD121" s="541"/>
      <c r="HE121" s="541"/>
      <c r="HF121" s="541"/>
      <c r="HG121" s="541"/>
      <c r="HH121" s="541"/>
      <c r="HI121" s="541"/>
      <c r="HJ121" s="541"/>
      <c r="HK121" s="541"/>
      <c r="HL121" s="541"/>
      <c r="HM121" s="541"/>
      <c r="HN121" s="541"/>
      <c r="HO121" s="541"/>
      <c r="HP121" s="541"/>
      <c r="HQ121" s="541"/>
      <c r="HR121" s="541"/>
      <c r="HS121" s="541"/>
      <c r="HT121" s="541"/>
      <c r="HU121" s="541"/>
      <c r="HV121" s="541"/>
      <c r="HW121" s="541"/>
      <c r="HX121" s="541"/>
      <c r="HY121" s="541"/>
      <c r="HZ121" s="541"/>
      <c r="IA121" s="541"/>
      <c r="IB121" s="541"/>
      <c r="IC121" s="541"/>
      <c r="ID121" s="541"/>
      <c r="IE121" s="541"/>
      <c r="IF121" s="541"/>
      <c r="IG121" s="541"/>
      <c r="IH121" s="541"/>
      <c r="II121" s="541"/>
      <c r="IJ121" s="541"/>
      <c r="IK121" s="541"/>
      <c r="IL121" s="541"/>
      <c r="IM121" s="541"/>
      <c r="IN121" s="541"/>
      <c r="IO121" s="541"/>
      <c r="IP121" s="541"/>
      <c r="IQ121" s="541"/>
      <c r="IR121" s="541"/>
      <c r="IS121" s="541"/>
      <c r="IT121" s="541"/>
      <c r="IU121" s="541"/>
      <c r="IV121" s="541"/>
      <c r="IW121" s="541"/>
      <c r="IX121" s="541"/>
      <c r="IY121" s="541"/>
      <c r="IZ121" s="541"/>
      <c r="JA121" s="541"/>
      <c r="JB121" s="541"/>
      <c r="JC121" s="541"/>
      <c r="JD121" s="541"/>
      <c r="JE121" s="541"/>
      <c r="JF121" s="541"/>
      <c r="JG121" s="541"/>
      <c r="JH121" s="541"/>
      <c r="JI121" s="541"/>
      <c r="JJ121" s="541"/>
      <c r="JK121" s="541"/>
      <c r="JL121" s="541"/>
      <c r="JM121" s="541"/>
      <c r="JN121" s="541"/>
      <c r="JO121" s="541"/>
      <c r="JP121" s="541"/>
      <c r="JQ121" s="541"/>
      <c r="JR121" s="541"/>
      <c r="JS121" s="541"/>
      <c r="JT121" s="541"/>
      <c r="JU121" s="541"/>
      <c r="JV121" s="541"/>
      <c r="JW121" s="541"/>
      <c r="JX121" s="541"/>
      <c r="JY121" s="541"/>
      <c r="JZ121" s="541"/>
      <c r="KA121" s="541"/>
      <c r="KB121" s="541"/>
      <c r="KC121" s="541"/>
      <c r="KD121" s="541"/>
      <c r="KE121" s="541"/>
      <c r="KF121" s="541"/>
      <c r="KG121" s="541"/>
      <c r="KH121" s="541"/>
      <c r="KI121" s="541"/>
      <c r="KJ121" s="541"/>
      <c r="KK121" s="541"/>
      <c r="KL121" s="541"/>
      <c r="KM121" s="541"/>
      <c r="KN121" s="541"/>
      <c r="KO121" s="541"/>
      <c r="KP121" s="541"/>
      <c r="KQ121" s="541"/>
      <c r="KR121" s="541"/>
      <c r="KS121" s="541"/>
      <c r="KT121" s="541"/>
      <c r="KU121" s="541"/>
      <c r="KV121" s="541"/>
      <c r="KW121" s="541"/>
      <c r="KX121" s="541"/>
      <c r="KY121" s="541"/>
      <c r="KZ121" s="541"/>
      <c r="LA121" s="541"/>
      <c r="LB121" s="541"/>
      <c r="LC121" s="541"/>
      <c r="LD121" s="541"/>
      <c r="LE121" s="541"/>
      <c r="LF121" s="541"/>
      <c r="LG121" s="541"/>
      <c r="LH121" s="541"/>
      <c r="LI121" s="541"/>
      <c r="LJ121" s="541"/>
      <c r="LK121" s="541"/>
      <c r="LL121" s="541"/>
      <c r="LM121" s="541"/>
      <c r="LN121" s="541"/>
      <c r="LO121" s="541"/>
      <c r="LP121" s="541"/>
      <c r="LQ121" s="541"/>
      <c r="LR121" s="541"/>
      <c r="LS121" s="541"/>
      <c r="LT121" s="541"/>
      <c r="LU121" s="541"/>
      <c r="LV121" s="541"/>
      <c r="LW121" s="541"/>
      <c r="LX121" s="541"/>
      <c r="LY121" s="541"/>
      <c r="LZ121" s="541"/>
      <c r="MA121" s="541"/>
      <c r="MB121" s="541"/>
      <c r="MC121" s="541"/>
      <c r="MD121" s="541"/>
      <c r="ME121" s="541"/>
      <c r="MF121" s="541"/>
      <c r="MG121" s="541"/>
      <c r="MH121" s="541"/>
      <c r="MI121" s="541"/>
      <c r="MJ121" s="541"/>
      <c r="MK121" s="541"/>
      <c r="ML121" s="541"/>
      <c r="MM121" s="541"/>
      <c r="MN121" s="541"/>
      <c r="MO121" s="541"/>
      <c r="MP121" s="541"/>
      <c r="MQ121" s="541"/>
      <c r="MR121" s="541"/>
      <c r="MS121" s="541"/>
      <c r="MT121" s="541"/>
      <c r="MU121" s="541"/>
      <c r="MV121" s="541"/>
      <c r="MW121" s="541"/>
      <c r="MX121" s="541"/>
      <c r="MY121" s="541"/>
      <c r="MZ121" s="541"/>
      <c r="NA121" s="541"/>
      <c r="NB121" s="541"/>
      <c r="NC121" s="541"/>
      <c r="ND121" s="541"/>
      <c r="NE121" s="541"/>
      <c r="NF121" s="541"/>
      <c r="NG121" s="541"/>
      <c r="NH121" s="541"/>
      <c r="NI121" s="541"/>
      <c r="NJ121" s="541"/>
      <c r="NK121" s="541"/>
      <c r="NL121" s="541"/>
      <c r="NM121" s="541"/>
      <c r="NN121" s="541"/>
      <c r="NO121" s="541"/>
      <c r="NP121" s="541"/>
      <c r="NQ121" s="541"/>
      <c r="NR121" s="541"/>
      <c r="NS121" s="541"/>
      <c r="NT121" s="541"/>
      <c r="NU121" s="541"/>
      <c r="NV121" s="541"/>
      <c r="NW121" s="541"/>
      <c r="NX121" s="541"/>
      <c r="NY121" s="541"/>
      <c r="NZ121" s="541"/>
      <c r="OA121" s="541"/>
      <c r="OB121" s="541"/>
      <c r="OC121" s="541"/>
      <c r="OD121" s="541"/>
      <c r="OE121" s="541"/>
      <c r="OF121" s="541"/>
      <c r="OG121" s="541"/>
      <c r="OH121" s="541"/>
      <c r="OI121" s="541"/>
      <c r="OJ121" s="541"/>
      <c r="OK121" s="541"/>
      <c r="OL121" s="541"/>
      <c r="OM121" s="541"/>
      <c r="ON121" s="541"/>
      <c r="OO121" s="541"/>
      <c r="OP121" s="541"/>
      <c r="OQ121" s="541"/>
      <c r="OR121" s="541"/>
      <c r="OS121" s="541"/>
      <c r="OT121" s="541"/>
      <c r="OU121" s="541"/>
      <c r="OV121" s="541"/>
      <c r="OW121" s="541"/>
      <c r="OX121" s="541"/>
      <c r="OY121" s="541"/>
      <c r="OZ121" s="541"/>
      <c r="PA121" s="541"/>
      <c r="PB121" s="541"/>
      <c r="PC121" s="541"/>
      <c r="PD121" s="541"/>
      <c r="PE121" s="541"/>
      <c r="PF121" s="541"/>
      <c r="PG121" s="541"/>
      <c r="PH121" s="541"/>
      <c r="PI121" s="541"/>
      <c r="PJ121" s="541"/>
      <c r="PK121" s="541"/>
      <c r="PL121" s="541"/>
      <c r="PM121" s="541"/>
      <c r="PN121" s="541"/>
      <c r="PO121" s="541"/>
      <c r="PP121" s="541"/>
      <c r="PQ121" s="541"/>
      <c r="PR121" s="541"/>
      <c r="PS121" s="541"/>
      <c r="PT121" s="541"/>
      <c r="PU121" s="541"/>
      <c r="PV121" s="541"/>
      <c r="PW121" s="541"/>
      <c r="PX121" s="541"/>
      <c r="PY121" s="541"/>
      <c r="PZ121" s="541"/>
      <c r="QA121" s="541"/>
      <c r="QB121" s="541"/>
      <c r="QC121" s="541"/>
      <c r="QD121" s="541"/>
      <c r="QE121" s="541"/>
      <c r="QF121" s="541"/>
      <c r="QG121" s="541"/>
      <c r="QH121" s="541"/>
      <c r="QI121" s="541"/>
      <c r="QJ121" s="541"/>
      <c r="QK121" s="541"/>
      <c r="QL121" s="541"/>
      <c r="QM121" s="541"/>
      <c r="QN121" s="541"/>
      <c r="QO121" s="541"/>
      <c r="QP121" s="541"/>
      <c r="QQ121" s="541"/>
      <c r="QR121" s="541"/>
      <c r="QS121" s="541"/>
      <c r="QT121" s="541"/>
      <c r="QU121" s="541"/>
      <c r="QV121" s="541"/>
      <c r="QW121" s="541"/>
      <c r="QX121" s="541"/>
      <c r="QY121" s="541"/>
      <c r="QZ121" s="541"/>
      <c r="RA121" s="541"/>
      <c r="RB121" s="541"/>
      <c r="RC121" s="541"/>
      <c r="RD121" s="541"/>
      <c r="RE121" s="541"/>
      <c r="RF121" s="541"/>
      <c r="RG121" s="541"/>
      <c r="RH121" s="541"/>
      <c r="RI121" s="541"/>
      <c r="RJ121" s="541"/>
      <c r="RK121" s="541"/>
      <c r="RL121" s="541"/>
      <c r="RM121" s="541"/>
      <c r="RN121" s="541"/>
      <c r="RO121" s="541"/>
      <c r="RP121" s="541"/>
      <c r="RQ121" s="541"/>
      <c r="RR121" s="541"/>
      <c r="RS121" s="541"/>
      <c r="RT121" s="541"/>
      <c r="RU121" s="541"/>
      <c r="RV121" s="541"/>
      <c r="RW121" s="541"/>
      <c r="RX121" s="541"/>
      <c r="RY121" s="541"/>
      <c r="RZ121" s="541"/>
      <c r="SA121" s="541"/>
      <c r="SB121" s="541"/>
      <c r="SC121" s="541"/>
      <c r="SD121" s="541"/>
      <c r="SE121" s="541"/>
      <c r="SF121" s="541"/>
      <c r="SG121" s="541"/>
      <c r="SH121" s="541"/>
      <c r="SI121" s="541"/>
      <c r="SJ121" s="541"/>
      <c r="SK121" s="541"/>
      <c r="SL121" s="541"/>
      <c r="SM121" s="541"/>
      <c r="SN121" s="541"/>
      <c r="SO121" s="541"/>
      <c r="SP121" s="541"/>
      <c r="SQ121" s="541"/>
      <c r="SR121" s="541"/>
      <c r="SS121" s="541"/>
      <c r="ST121" s="541"/>
      <c r="SU121" s="541"/>
      <c r="SV121" s="541"/>
      <c r="SW121" s="541"/>
      <c r="SX121" s="541"/>
      <c r="SY121" s="541"/>
      <c r="SZ121" s="541"/>
      <c r="TA121" s="541"/>
      <c r="TB121" s="541"/>
      <c r="TC121" s="541"/>
      <c r="TD121" s="541"/>
      <c r="TE121" s="541"/>
      <c r="TF121" s="541"/>
      <c r="TG121" s="541"/>
      <c r="TH121" s="541"/>
      <c r="TI121" s="541"/>
      <c r="TJ121" s="541"/>
      <c r="TK121" s="541"/>
      <c r="TL121" s="541"/>
      <c r="TM121" s="541"/>
      <c r="TN121" s="541"/>
      <c r="TO121" s="541"/>
      <c r="TP121" s="541"/>
      <c r="TQ121" s="541"/>
      <c r="TR121" s="541"/>
      <c r="TS121" s="541"/>
      <c r="TT121" s="541"/>
      <c r="TU121" s="541"/>
      <c r="TV121" s="541"/>
      <c r="TW121" s="541"/>
      <c r="TX121" s="541"/>
      <c r="TY121" s="541"/>
      <c r="TZ121" s="541"/>
      <c r="UA121" s="541"/>
      <c r="UB121" s="541"/>
      <c r="UC121" s="541"/>
      <c r="UD121" s="541"/>
      <c r="UE121" s="541"/>
      <c r="UF121" s="541"/>
      <c r="UG121" s="541"/>
      <c r="UH121" s="541"/>
      <c r="UI121" s="541"/>
      <c r="UJ121" s="541"/>
      <c r="UK121" s="541"/>
      <c r="UL121" s="541"/>
      <c r="UM121" s="541"/>
      <c r="UN121" s="541"/>
      <c r="UO121" s="541"/>
      <c r="UP121" s="541"/>
      <c r="UQ121" s="541"/>
      <c r="UR121" s="541"/>
      <c r="US121" s="541"/>
      <c r="UT121" s="541"/>
      <c r="UU121" s="541"/>
      <c r="UV121" s="541"/>
      <c r="UW121" s="541"/>
      <c r="UX121" s="541"/>
      <c r="UY121" s="541"/>
      <c r="UZ121" s="541"/>
      <c r="VA121" s="541"/>
      <c r="VB121" s="541"/>
      <c r="VC121" s="541"/>
      <c r="VD121" s="541"/>
      <c r="VE121" s="541"/>
      <c r="VF121" s="541"/>
      <c r="VG121" s="541"/>
      <c r="VH121" s="541"/>
      <c r="VI121" s="541"/>
      <c r="VJ121" s="541"/>
      <c r="VK121" s="541"/>
      <c r="VL121" s="541"/>
      <c r="VM121" s="541"/>
      <c r="VN121" s="541"/>
      <c r="VO121" s="541"/>
      <c r="VP121" s="541"/>
      <c r="VQ121" s="541"/>
      <c r="VR121" s="541"/>
      <c r="VS121" s="541"/>
      <c r="VT121" s="541"/>
      <c r="VU121" s="541"/>
      <c r="VV121" s="541"/>
      <c r="VW121" s="541"/>
      <c r="VX121" s="541"/>
      <c r="VY121" s="541"/>
      <c r="VZ121" s="541"/>
      <c r="WA121" s="541"/>
      <c r="WB121" s="541"/>
      <c r="WC121" s="541"/>
      <c r="WD121" s="541"/>
      <c r="WE121" s="541"/>
      <c r="WF121" s="541"/>
      <c r="WG121" s="541"/>
      <c r="WH121" s="541"/>
      <c r="WI121" s="541"/>
      <c r="WJ121" s="541"/>
      <c r="WK121" s="541"/>
      <c r="WL121" s="541"/>
      <c r="WM121" s="541"/>
      <c r="WN121" s="541"/>
      <c r="WO121" s="541"/>
      <c r="WP121" s="541"/>
      <c r="WQ121" s="541"/>
      <c r="WR121" s="541"/>
      <c r="WS121" s="541"/>
      <c r="WT121" s="541"/>
      <c r="WU121" s="541"/>
      <c r="WV121" s="541"/>
      <c r="WW121" s="541"/>
      <c r="WX121" s="541"/>
      <c r="WY121" s="541"/>
      <c r="WZ121" s="541"/>
      <c r="XA121" s="541"/>
      <c r="XB121" s="541"/>
      <c r="XC121" s="541"/>
      <c r="XD121" s="541"/>
      <c r="XE121" s="541"/>
      <c r="XF121" s="541"/>
      <c r="XG121" s="541"/>
      <c r="XH121" s="541"/>
      <c r="XI121" s="541"/>
      <c r="XJ121" s="541"/>
      <c r="XK121" s="541"/>
      <c r="XL121" s="541"/>
      <c r="XM121" s="541"/>
      <c r="XN121" s="541"/>
      <c r="XO121" s="541"/>
      <c r="XP121" s="541"/>
      <c r="XQ121" s="541"/>
      <c r="XR121" s="541"/>
      <c r="XS121" s="541"/>
      <c r="XT121" s="541"/>
      <c r="XU121" s="541"/>
      <c r="XV121" s="541"/>
      <c r="XW121" s="541"/>
      <c r="XX121" s="541"/>
      <c r="XY121" s="541"/>
      <c r="XZ121" s="541"/>
      <c r="YA121" s="541"/>
      <c r="YB121" s="541"/>
      <c r="YC121" s="541"/>
      <c r="YD121" s="541"/>
      <c r="YE121" s="541"/>
      <c r="YF121" s="541"/>
      <c r="YG121" s="541"/>
      <c r="YH121" s="541"/>
      <c r="YI121" s="541"/>
      <c r="YJ121" s="541"/>
      <c r="YK121" s="541"/>
      <c r="YL121" s="541"/>
      <c r="YM121" s="541"/>
      <c r="YN121" s="541"/>
      <c r="YO121" s="541"/>
      <c r="YP121" s="541"/>
      <c r="YQ121" s="541"/>
      <c r="YR121" s="541"/>
      <c r="YS121" s="541"/>
      <c r="YT121" s="541"/>
      <c r="YU121" s="541"/>
      <c r="YV121" s="541"/>
      <c r="YW121" s="541"/>
      <c r="YX121" s="541"/>
      <c r="YY121" s="541"/>
      <c r="YZ121" s="541"/>
      <c r="ZA121" s="541"/>
      <c r="ZB121" s="541"/>
      <c r="ZC121" s="541"/>
      <c r="ZD121" s="541"/>
      <c r="ZE121" s="541"/>
      <c r="ZF121" s="541"/>
      <c r="ZG121" s="541"/>
      <c r="ZH121" s="541"/>
      <c r="ZI121" s="541"/>
      <c r="ZJ121" s="541"/>
      <c r="ZK121" s="541"/>
      <c r="ZL121" s="541"/>
      <c r="ZM121" s="541"/>
      <c r="ZN121" s="541"/>
      <c r="ZO121" s="541"/>
      <c r="ZP121" s="541"/>
      <c r="ZQ121" s="541"/>
      <c r="ZR121" s="541"/>
      <c r="ZS121" s="541"/>
      <c r="ZT121" s="541"/>
      <c r="ZU121" s="541"/>
      <c r="ZV121" s="541"/>
      <c r="ZW121" s="541"/>
      <c r="ZX121" s="541"/>
      <c r="ZY121" s="541"/>
      <c r="ZZ121" s="541"/>
      <c r="AAA121" s="541"/>
      <c r="AAB121" s="541"/>
      <c r="AAC121" s="541"/>
      <c r="AAD121" s="541"/>
      <c r="AAE121" s="541"/>
      <c r="AAF121" s="541"/>
      <c r="AAG121" s="541"/>
      <c r="AAH121" s="541"/>
      <c r="AAI121" s="541"/>
      <c r="AAJ121" s="541"/>
      <c r="AAK121" s="541"/>
      <c r="AAL121" s="541"/>
      <c r="AAM121" s="541"/>
      <c r="AAN121" s="541"/>
      <c r="AAO121" s="541"/>
      <c r="AAP121" s="541"/>
      <c r="AAQ121" s="541"/>
      <c r="AAR121" s="541"/>
      <c r="AAS121" s="541"/>
      <c r="AAT121" s="541"/>
      <c r="AAU121" s="541"/>
      <c r="AAV121" s="541"/>
      <c r="AAW121" s="541"/>
      <c r="AAX121" s="541"/>
      <c r="AAY121" s="541"/>
      <c r="AAZ121" s="541"/>
      <c r="ABA121" s="541"/>
      <c r="ABB121" s="541"/>
      <c r="ABC121" s="541"/>
      <c r="ABD121" s="541"/>
      <c r="ABE121" s="541"/>
      <c r="ABF121" s="541"/>
      <c r="ABG121" s="541"/>
      <c r="ABH121" s="541"/>
      <c r="ABI121" s="541"/>
      <c r="ABJ121" s="541"/>
      <c r="ABK121" s="541"/>
      <c r="ABL121" s="541"/>
      <c r="ABM121" s="541"/>
      <c r="ABN121" s="541"/>
      <c r="ABO121" s="541"/>
      <c r="ABP121" s="541"/>
      <c r="ABQ121" s="541"/>
      <c r="ABR121" s="541"/>
      <c r="ABS121" s="541"/>
      <c r="ABT121" s="541"/>
      <c r="ABU121" s="541"/>
      <c r="ABV121" s="541"/>
      <c r="ABW121" s="541"/>
      <c r="ABX121" s="541"/>
      <c r="ABY121" s="541"/>
      <c r="ABZ121" s="541"/>
      <c r="ACA121" s="541"/>
      <c r="ACB121" s="541"/>
      <c r="ACC121" s="541"/>
      <c r="ACD121" s="541"/>
      <c r="ACE121" s="541"/>
      <c r="ACF121" s="541"/>
      <c r="ACG121" s="541"/>
      <c r="ACH121" s="541"/>
      <c r="ACI121" s="541"/>
      <c r="ACJ121" s="541"/>
      <c r="ACK121" s="541"/>
      <c r="ACL121" s="541"/>
      <c r="ACM121" s="541"/>
      <c r="ACN121" s="541"/>
      <c r="ACO121" s="541"/>
      <c r="ACP121" s="541"/>
      <c r="ACQ121" s="541"/>
      <c r="ACR121" s="541"/>
      <c r="ACS121" s="541"/>
      <c r="ACT121" s="541"/>
      <c r="ACU121" s="541"/>
      <c r="ACV121" s="541"/>
      <c r="ACW121" s="541"/>
      <c r="ACX121" s="541"/>
      <c r="ACY121" s="541"/>
      <c r="ACZ121" s="541"/>
      <c r="ADA121" s="541"/>
      <c r="ADB121" s="541"/>
      <c r="ADC121" s="541"/>
      <c r="ADD121" s="541"/>
      <c r="ADE121" s="541"/>
      <c r="ADF121" s="541"/>
      <c r="ADG121" s="541"/>
      <c r="ADH121" s="541"/>
      <c r="ADI121" s="541"/>
      <c r="ADJ121" s="541"/>
      <c r="ADK121" s="541"/>
      <c r="ADL121" s="541"/>
      <c r="ADM121" s="541"/>
      <c r="ADN121" s="541"/>
      <c r="ADO121" s="541"/>
      <c r="ADP121" s="541"/>
      <c r="ADQ121" s="541"/>
      <c r="ADR121" s="541"/>
      <c r="ADS121" s="541"/>
      <c r="ADT121" s="541"/>
      <c r="ADU121" s="541"/>
      <c r="ADV121" s="541"/>
      <c r="ADW121" s="541"/>
      <c r="ADX121" s="541"/>
      <c r="ADY121" s="541"/>
      <c r="ADZ121" s="541"/>
      <c r="AEA121" s="541"/>
      <c r="AEB121" s="541"/>
      <c r="AEC121" s="541"/>
      <c r="AED121" s="541"/>
      <c r="AEE121" s="541"/>
      <c r="AEF121" s="541"/>
      <c r="AEG121" s="541"/>
      <c r="AEH121" s="541"/>
      <c r="AEI121" s="541"/>
      <c r="AEJ121" s="541"/>
      <c r="AEK121" s="541"/>
      <c r="AEL121" s="541"/>
      <c r="AEM121" s="541"/>
      <c r="AEN121" s="541"/>
      <c r="AEO121" s="541"/>
      <c r="AEP121" s="541"/>
      <c r="AEQ121" s="541"/>
      <c r="AER121" s="541"/>
      <c r="AES121" s="541"/>
      <c r="AET121" s="541"/>
      <c r="AEU121" s="541"/>
      <c r="AEV121" s="541"/>
      <c r="AEW121" s="541"/>
      <c r="AEX121" s="541"/>
      <c r="AEY121" s="541"/>
      <c r="AEZ121" s="541"/>
      <c r="AFA121" s="541"/>
      <c r="AFB121" s="541"/>
      <c r="AFC121" s="541"/>
      <c r="AFD121" s="541"/>
      <c r="AFE121" s="541"/>
      <c r="AFF121" s="541"/>
      <c r="AFG121" s="541"/>
      <c r="AFH121" s="541"/>
      <c r="AFI121" s="541"/>
      <c r="AFJ121" s="541"/>
      <c r="AFK121" s="541"/>
      <c r="AFL121" s="541"/>
      <c r="AFM121" s="541"/>
      <c r="AFN121" s="541"/>
      <c r="AFO121" s="541"/>
      <c r="AFP121" s="541"/>
      <c r="AFQ121" s="541"/>
      <c r="AFR121" s="541"/>
      <c r="AFS121" s="541"/>
      <c r="AFT121" s="541"/>
      <c r="AFU121" s="541"/>
      <c r="AFV121" s="541"/>
      <c r="AFW121" s="541"/>
      <c r="AFX121" s="541"/>
      <c r="AFY121" s="541"/>
      <c r="AFZ121" s="541"/>
      <c r="AGA121" s="541"/>
      <c r="AGB121" s="541"/>
      <c r="AGC121" s="541"/>
      <c r="AGD121" s="541"/>
      <c r="AGE121" s="541"/>
      <c r="AGF121" s="541"/>
      <c r="AGG121" s="541"/>
      <c r="AGH121" s="541"/>
      <c r="AGI121" s="541"/>
      <c r="AGJ121" s="541"/>
      <c r="AGK121" s="541"/>
      <c r="AGL121" s="541"/>
      <c r="AGM121" s="541"/>
      <c r="AGN121" s="541"/>
      <c r="AGO121" s="541"/>
      <c r="AGP121" s="541"/>
      <c r="AGQ121" s="541"/>
      <c r="AGR121" s="541"/>
      <c r="AGS121" s="541"/>
      <c r="AGT121" s="541"/>
      <c r="AGU121" s="541"/>
      <c r="AGV121" s="541"/>
      <c r="AGW121" s="541"/>
      <c r="AGX121" s="541"/>
      <c r="AGY121" s="541"/>
      <c r="AGZ121" s="541"/>
      <c r="AHA121" s="541"/>
      <c r="AHB121" s="541"/>
      <c r="AHC121" s="541"/>
      <c r="AHD121" s="541"/>
      <c r="AHE121" s="541"/>
      <c r="AHF121" s="541"/>
      <c r="AHG121" s="541"/>
      <c r="AHH121" s="541"/>
      <c r="AHI121" s="541"/>
      <c r="AHJ121" s="541"/>
      <c r="AHK121" s="541"/>
      <c r="AHL121" s="541"/>
      <c r="AHM121" s="541"/>
      <c r="AHN121" s="541"/>
      <c r="AHO121" s="541"/>
      <c r="AHP121" s="541"/>
      <c r="AHQ121" s="541"/>
      <c r="AHR121" s="541"/>
      <c r="AHS121" s="541"/>
      <c r="AHT121" s="541"/>
      <c r="AHU121" s="541"/>
      <c r="AHV121" s="541"/>
      <c r="AHW121" s="541"/>
      <c r="AHX121" s="541"/>
      <c r="AHY121" s="541"/>
      <c r="AHZ121" s="541"/>
      <c r="AIA121" s="541"/>
      <c r="AIB121" s="541"/>
      <c r="AIC121" s="541"/>
      <c r="AID121" s="541"/>
      <c r="AIE121" s="541"/>
      <c r="AIF121" s="541"/>
      <c r="AIG121" s="541"/>
      <c r="AIH121" s="541"/>
      <c r="AII121" s="541"/>
      <c r="AIJ121" s="541"/>
      <c r="AIK121" s="541"/>
      <c r="AIL121" s="541"/>
      <c r="AIM121" s="541"/>
      <c r="AIN121" s="541"/>
      <c r="AIO121" s="541"/>
      <c r="AIP121" s="541"/>
      <c r="AIQ121" s="541"/>
      <c r="AIR121" s="541"/>
      <c r="AIS121" s="541"/>
      <c r="AIT121" s="541"/>
      <c r="AIU121" s="541"/>
      <c r="AIV121" s="541"/>
      <c r="AIW121" s="541"/>
      <c r="AIX121" s="541"/>
      <c r="AIY121" s="541"/>
      <c r="AIZ121" s="541"/>
      <c r="AJA121" s="541"/>
      <c r="AJB121" s="541"/>
      <c r="AJC121" s="541"/>
      <c r="AJD121" s="541"/>
      <c r="AJE121" s="541"/>
      <c r="AJF121" s="541"/>
      <c r="AJG121" s="541"/>
      <c r="AJH121" s="541"/>
      <c r="AJI121" s="541"/>
      <c r="AJJ121" s="541"/>
      <c r="AJK121" s="541"/>
      <c r="AJL121" s="541"/>
      <c r="AJM121" s="541"/>
      <c r="AJN121" s="541"/>
      <c r="AJO121" s="541"/>
      <c r="AJP121" s="541"/>
      <c r="AJQ121" s="541"/>
      <c r="AJR121" s="541"/>
      <c r="AJS121" s="541"/>
      <c r="AJT121" s="541"/>
      <c r="AJU121" s="541"/>
      <c r="AJV121" s="541"/>
      <c r="AJW121" s="541"/>
      <c r="AJX121" s="541"/>
      <c r="AJY121" s="541"/>
      <c r="AJZ121" s="541"/>
      <c r="AKA121" s="541"/>
      <c r="AKB121" s="541"/>
      <c r="AKC121" s="541"/>
      <c r="AKD121" s="541"/>
      <c r="AKE121" s="541"/>
      <c r="AKF121" s="541"/>
      <c r="AKG121" s="541"/>
      <c r="AKH121" s="541"/>
      <c r="AKI121" s="541"/>
      <c r="AKJ121" s="541"/>
      <c r="AKK121" s="541"/>
      <c r="AKL121" s="541"/>
      <c r="AKM121" s="541"/>
      <c r="AKN121" s="541"/>
      <c r="AKO121" s="541"/>
      <c r="AKP121" s="541"/>
      <c r="AKQ121" s="541"/>
      <c r="AKR121" s="541"/>
      <c r="AKS121" s="541"/>
      <c r="AKT121" s="541"/>
      <c r="AKU121" s="541"/>
      <c r="AKV121" s="541"/>
      <c r="AKW121" s="541"/>
      <c r="AKX121" s="541"/>
      <c r="AKY121" s="541"/>
      <c r="AKZ121" s="541"/>
      <c r="ALA121" s="541"/>
      <c r="ALB121" s="541"/>
      <c r="ALC121" s="541"/>
      <c r="ALD121" s="541"/>
      <c r="ALE121" s="541"/>
      <c r="ALF121" s="541"/>
      <c r="ALG121" s="541"/>
      <c r="ALH121" s="541"/>
      <c r="ALI121" s="541"/>
      <c r="ALJ121" s="541"/>
      <c r="ALK121" s="541"/>
      <c r="ALL121" s="541"/>
      <c r="ALM121" s="541"/>
      <c r="ALN121" s="541"/>
      <c r="ALO121" s="541"/>
      <c r="ALP121" s="541"/>
      <c r="ALQ121" s="541"/>
      <c r="ALR121" s="541"/>
      <c r="ALS121" s="541"/>
      <c r="ALT121" s="541"/>
      <c r="ALU121" s="541"/>
      <c r="ALV121" s="541"/>
      <c r="ALW121" s="541"/>
      <c r="ALX121" s="541"/>
      <c r="ALY121" s="541"/>
      <c r="ALZ121" s="541"/>
      <c r="AMA121" s="541"/>
      <c r="AMB121" s="541"/>
      <c r="AMC121" s="541"/>
      <c r="AMD121" s="541"/>
      <c r="AME121" s="541"/>
      <c r="AMF121" s="541"/>
      <c r="AMG121" s="541"/>
      <c r="AMH121" s="541"/>
      <c r="AMI121" s="541"/>
      <c r="AMJ121" s="541"/>
      <c r="AMK121" s="541"/>
      <c r="AML121" s="541"/>
      <c r="AMM121" s="541"/>
      <c r="AMN121" s="541"/>
      <c r="AMO121" s="541"/>
      <c r="AMP121" s="541"/>
      <c r="AMQ121" s="541"/>
      <c r="AMR121" s="541"/>
      <c r="AMS121" s="541"/>
      <c r="AMT121" s="541"/>
      <c r="AMU121" s="541"/>
      <c r="AMV121" s="541"/>
      <c r="AMW121" s="541"/>
      <c r="AMX121" s="541"/>
      <c r="AMY121" s="541"/>
      <c r="AMZ121" s="541"/>
      <c r="ANA121" s="541"/>
      <c r="ANB121" s="541"/>
      <c r="ANC121" s="541"/>
      <c r="AND121" s="541"/>
      <c r="ANE121" s="541"/>
      <c r="ANF121" s="541"/>
      <c r="ANG121" s="541"/>
      <c r="ANH121" s="541"/>
      <c r="ANI121" s="541"/>
      <c r="ANJ121" s="541"/>
      <c r="ANK121" s="541"/>
      <c r="ANL121" s="541"/>
      <c r="ANM121" s="541"/>
      <c r="ANN121" s="541"/>
      <c r="ANO121" s="541"/>
      <c r="ANP121" s="541"/>
      <c r="ANQ121" s="541"/>
      <c r="ANR121" s="541"/>
      <c r="ANS121" s="541"/>
      <c r="ANT121" s="541"/>
      <c r="ANU121" s="541"/>
      <c r="ANV121" s="541"/>
      <c r="ANW121" s="541"/>
      <c r="ANX121" s="541"/>
      <c r="ANY121" s="541"/>
      <c r="ANZ121" s="541"/>
      <c r="AOA121" s="541"/>
      <c r="AOB121" s="541"/>
      <c r="AOC121" s="541"/>
      <c r="AOD121" s="541"/>
      <c r="AOE121" s="541"/>
      <c r="AOF121" s="541"/>
      <c r="AOG121" s="541"/>
      <c r="AOH121" s="541"/>
      <c r="AOI121" s="541"/>
      <c r="AOJ121" s="541"/>
      <c r="AOK121" s="541"/>
      <c r="AOL121" s="541"/>
      <c r="AOM121" s="541"/>
      <c r="AON121" s="541"/>
      <c r="AOO121" s="541"/>
      <c r="AOP121" s="541"/>
      <c r="AOQ121" s="541"/>
      <c r="AOR121" s="541"/>
      <c r="AOS121" s="541"/>
      <c r="AOT121" s="541"/>
      <c r="AOU121" s="541"/>
      <c r="AOV121" s="541"/>
      <c r="AOW121" s="541"/>
      <c r="AOX121" s="541"/>
      <c r="AOY121" s="541"/>
      <c r="AOZ121" s="541"/>
      <c r="APA121" s="541"/>
      <c r="APB121" s="541"/>
      <c r="APC121" s="541"/>
      <c r="APD121" s="541"/>
      <c r="APE121" s="541"/>
      <c r="APF121" s="541"/>
      <c r="APG121" s="541"/>
      <c r="APH121" s="541"/>
      <c r="API121" s="541"/>
      <c r="APJ121" s="541"/>
      <c r="APK121" s="541"/>
      <c r="APL121" s="541"/>
      <c r="APM121" s="541"/>
      <c r="APN121" s="541"/>
      <c r="APO121" s="541"/>
      <c r="APP121" s="541"/>
      <c r="APQ121" s="541"/>
      <c r="APR121" s="541"/>
      <c r="APS121" s="541"/>
      <c r="APT121" s="541"/>
      <c r="APU121" s="541"/>
      <c r="APV121" s="541"/>
      <c r="APW121" s="541"/>
      <c r="APX121" s="541"/>
      <c r="APY121" s="541"/>
      <c r="APZ121" s="541"/>
      <c r="AQA121" s="541"/>
      <c r="AQB121" s="541"/>
      <c r="AQC121" s="541"/>
      <c r="AQD121" s="541"/>
      <c r="AQE121" s="541"/>
      <c r="AQF121" s="541"/>
      <c r="AQG121" s="541"/>
      <c r="AQH121" s="541"/>
      <c r="AQI121" s="541"/>
      <c r="AQJ121" s="541"/>
      <c r="AQK121" s="541"/>
      <c r="AQL121" s="541"/>
      <c r="AQM121" s="541"/>
      <c r="AQN121" s="541"/>
      <c r="AQO121" s="541"/>
      <c r="AQP121" s="541"/>
      <c r="AQQ121" s="541"/>
      <c r="AQR121" s="541"/>
      <c r="AQS121" s="541"/>
      <c r="AQT121" s="541"/>
      <c r="AQU121" s="541"/>
      <c r="AQV121" s="541"/>
      <c r="AQW121" s="541"/>
      <c r="AQX121" s="541"/>
      <c r="AQY121" s="541"/>
      <c r="AQZ121" s="541"/>
      <c r="ARA121" s="541"/>
      <c r="ARB121" s="541"/>
      <c r="ARC121" s="541"/>
      <c r="ARD121" s="541"/>
      <c r="ARE121" s="541"/>
      <c r="ARF121" s="541"/>
      <c r="ARG121" s="541"/>
      <c r="ARH121" s="541"/>
      <c r="ARI121" s="541"/>
      <c r="ARJ121" s="541"/>
      <c r="ARK121" s="541"/>
      <c r="ARL121" s="541"/>
      <c r="ARM121" s="541"/>
      <c r="ARN121" s="541"/>
      <c r="ARO121" s="541"/>
      <c r="ARP121" s="541"/>
      <c r="ARQ121" s="541"/>
      <c r="ARR121" s="541"/>
      <c r="ARS121" s="541"/>
      <c r="ART121" s="541"/>
      <c r="ARU121" s="541"/>
    </row>
    <row r="122" spans="1:1165" s="658" customFormat="1">
      <c r="A122" s="613" t="s">
        <v>497</v>
      </c>
      <c r="B122" s="578" t="s">
        <v>110</v>
      </c>
      <c r="C122" s="581">
        <v>0</v>
      </c>
      <c r="D122" s="581">
        <v>0</v>
      </c>
      <c r="E122" s="581">
        <v>48992</v>
      </c>
      <c r="F122" s="581">
        <v>0</v>
      </c>
      <c r="G122" s="581">
        <v>40307</v>
      </c>
      <c r="H122" s="581"/>
      <c r="I122" s="581">
        <v>35704</v>
      </c>
      <c r="J122" s="581"/>
      <c r="K122" s="581">
        <v>10044</v>
      </c>
      <c r="L122" s="581"/>
      <c r="M122" s="581">
        <v>72133</v>
      </c>
      <c r="N122" s="581"/>
      <c r="O122" s="581">
        <v>71618</v>
      </c>
      <c r="P122" s="581"/>
      <c r="Q122" s="581">
        <v>58874</v>
      </c>
      <c r="R122" s="581"/>
      <c r="S122" s="581">
        <v>134866</v>
      </c>
      <c r="T122" s="581">
        <v>49990491</v>
      </c>
      <c r="U122" s="598">
        <v>183499</v>
      </c>
      <c r="V122" s="598">
        <v>69153310</v>
      </c>
      <c r="W122" s="598">
        <v>261603</v>
      </c>
      <c r="X122" s="598">
        <v>115530022</v>
      </c>
      <c r="Y122" s="598">
        <v>249265</v>
      </c>
      <c r="Z122" s="598">
        <v>120772694</v>
      </c>
      <c r="AA122" s="619">
        <v>317958</v>
      </c>
      <c r="AB122" s="619">
        <v>162169871</v>
      </c>
      <c r="AC122" s="598">
        <v>334480</v>
      </c>
      <c r="AD122" s="598">
        <v>157877255</v>
      </c>
      <c r="AE122" s="579">
        <v>308601</v>
      </c>
      <c r="AF122" s="579">
        <v>143534559</v>
      </c>
      <c r="AG122" s="579">
        <v>357528</v>
      </c>
      <c r="AH122" s="579">
        <v>164534101</v>
      </c>
      <c r="AI122" s="579">
        <v>452736</v>
      </c>
      <c r="AJ122" s="579">
        <v>215433965</v>
      </c>
      <c r="AK122" s="661">
        <v>367525</v>
      </c>
      <c r="AL122" s="661">
        <v>181809730</v>
      </c>
      <c r="AM122" s="662">
        <v>471866</v>
      </c>
      <c r="AN122" s="662">
        <v>237850873</v>
      </c>
      <c r="AO122" s="579">
        <v>529484</v>
      </c>
      <c r="AP122" s="579">
        <v>289787359</v>
      </c>
      <c r="AQ122" s="579">
        <v>522933</v>
      </c>
      <c r="AR122" s="579">
        <v>288013089.63850319</v>
      </c>
      <c r="AS122" s="579">
        <v>617533.93939393933</v>
      </c>
      <c r="AT122" s="579">
        <v>377504480.30203307</v>
      </c>
      <c r="AU122" s="619">
        <v>646458.78787878784</v>
      </c>
      <c r="AV122" s="619">
        <v>418660054.64841866</v>
      </c>
      <c r="AW122" s="598">
        <v>586993.33333333337</v>
      </c>
      <c r="AX122" s="598">
        <v>353672268</v>
      </c>
      <c r="AY122" s="581">
        <v>556253.33333333337</v>
      </c>
      <c r="AZ122" s="581">
        <v>310349363</v>
      </c>
      <c r="BA122" s="664"/>
      <c r="BB122" s="581"/>
      <c r="BC122" s="664"/>
      <c r="BD122" s="581"/>
      <c r="BE122" s="664"/>
      <c r="BF122" s="581"/>
      <c r="BG122" s="664"/>
      <c r="BH122" s="581"/>
      <c r="BI122" s="664"/>
      <c r="BJ122" s="651">
        <f t="shared" si="12"/>
        <v>7188263.3939393936</v>
      </c>
      <c r="BK122" s="651">
        <f t="shared" si="13"/>
        <v>3656643485.5889549</v>
      </c>
      <c r="BL122" s="541"/>
      <c r="BM122" s="624"/>
      <c r="BN122" s="624"/>
      <c r="BO122" s="624"/>
      <c r="BP122" s="624"/>
      <c r="BQ122" s="541"/>
      <c r="BR122" s="541"/>
      <c r="BS122" s="541"/>
      <c r="BT122" s="541"/>
      <c r="BU122" s="541"/>
      <c r="BV122" s="541"/>
      <c r="BW122" s="541"/>
      <c r="BX122" s="541"/>
      <c r="BY122" s="541"/>
      <c r="BZ122" s="541"/>
      <c r="CA122" s="541"/>
      <c r="CB122" s="541"/>
      <c r="CC122" s="541"/>
      <c r="CD122" s="541"/>
      <c r="CE122" s="541"/>
      <c r="CF122" s="541"/>
      <c r="CG122" s="541"/>
      <c r="CH122" s="541"/>
      <c r="CI122" s="541"/>
      <c r="CJ122" s="541"/>
      <c r="CK122" s="541"/>
      <c r="CL122" s="541"/>
      <c r="CM122" s="541"/>
      <c r="CN122" s="541"/>
      <c r="CO122" s="541"/>
      <c r="CP122" s="541"/>
      <c r="CQ122" s="541"/>
      <c r="CR122" s="541"/>
      <c r="CS122" s="541"/>
      <c r="CT122" s="541"/>
      <c r="CU122" s="541"/>
      <c r="CV122" s="541"/>
      <c r="CW122" s="541"/>
      <c r="CX122" s="541"/>
      <c r="CY122" s="541"/>
      <c r="CZ122" s="541"/>
      <c r="DA122" s="541"/>
      <c r="DB122" s="541"/>
      <c r="DC122" s="541"/>
      <c r="DD122" s="541"/>
      <c r="DE122" s="541"/>
      <c r="DF122" s="541"/>
      <c r="DG122" s="541"/>
      <c r="DH122" s="541"/>
      <c r="DI122" s="541"/>
      <c r="DJ122" s="541"/>
      <c r="DK122" s="541"/>
      <c r="DL122" s="541"/>
      <c r="DM122" s="541"/>
      <c r="DN122" s="541"/>
      <c r="DO122" s="541"/>
      <c r="DP122" s="541"/>
      <c r="DQ122" s="541"/>
      <c r="DR122" s="541"/>
      <c r="DS122" s="541"/>
      <c r="DT122" s="541"/>
      <c r="DU122" s="541"/>
      <c r="DV122" s="541"/>
      <c r="DW122" s="541"/>
      <c r="DX122" s="541"/>
      <c r="DY122" s="541"/>
      <c r="DZ122" s="541"/>
      <c r="EA122" s="541"/>
      <c r="EB122" s="541"/>
      <c r="EC122" s="541"/>
      <c r="ED122" s="541"/>
      <c r="EE122" s="541"/>
      <c r="EF122" s="541"/>
      <c r="EG122" s="541"/>
      <c r="EH122" s="541"/>
      <c r="EI122" s="541"/>
      <c r="EJ122" s="541"/>
      <c r="EK122" s="541"/>
      <c r="EL122" s="541"/>
      <c r="EM122" s="541"/>
      <c r="EN122" s="541"/>
      <c r="EO122" s="541"/>
      <c r="EP122" s="541"/>
      <c r="EQ122" s="541"/>
      <c r="ER122" s="541"/>
      <c r="ES122" s="541"/>
      <c r="ET122" s="541"/>
      <c r="EU122" s="541"/>
      <c r="EV122" s="541"/>
      <c r="EW122" s="541"/>
      <c r="EX122" s="541"/>
      <c r="EY122" s="541"/>
      <c r="EZ122" s="541"/>
      <c r="FA122" s="541"/>
      <c r="FB122" s="541"/>
      <c r="FC122" s="541"/>
      <c r="FD122" s="541"/>
      <c r="FE122" s="541"/>
      <c r="FF122" s="541"/>
      <c r="FG122" s="541"/>
      <c r="FH122" s="541"/>
      <c r="FI122" s="541"/>
      <c r="FJ122" s="541"/>
      <c r="FK122" s="541"/>
      <c r="FL122" s="541"/>
      <c r="FM122" s="541"/>
      <c r="FN122" s="541"/>
      <c r="FO122" s="541"/>
      <c r="FP122" s="541"/>
      <c r="FQ122" s="541"/>
      <c r="FR122" s="541"/>
      <c r="FS122" s="541"/>
      <c r="FT122" s="541"/>
      <c r="FU122" s="541"/>
      <c r="FV122" s="541"/>
      <c r="FW122" s="541"/>
      <c r="FX122" s="541"/>
      <c r="FY122" s="541"/>
      <c r="FZ122" s="541"/>
      <c r="GA122" s="541"/>
      <c r="GB122" s="541"/>
      <c r="GC122" s="541"/>
      <c r="GD122" s="541"/>
      <c r="GE122" s="541"/>
      <c r="GF122" s="541"/>
      <c r="GG122" s="541"/>
      <c r="GH122" s="541"/>
      <c r="GI122" s="541"/>
      <c r="GJ122" s="541"/>
      <c r="GK122" s="541"/>
      <c r="GL122" s="541"/>
      <c r="GM122" s="541"/>
      <c r="GN122" s="541"/>
      <c r="GO122" s="541"/>
      <c r="GP122" s="541"/>
      <c r="GQ122" s="541"/>
      <c r="GR122" s="541"/>
      <c r="GS122" s="541"/>
      <c r="GT122" s="541"/>
      <c r="GU122" s="541"/>
      <c r="GV122" s="541"/>
      <c r="GW122" s="541"/>
      <c r="GX122" s="541"/>
      <c r="GY122" s="541"/>
      <c r="GZ122" s="541"/>
      <c r="HA122" s="541"/>
      <c r="HB122" s="541"/>
      <c r="HC122" s="541"/>
      <c r="HD122" s="541"/>
      <c r="HE122" s="541"/>
      <c r="HF122" s="541"/>
      <c r="HG122" s="541"/>
      <c r="HH122" s="541"/>
      <c r="HI122" s="541"/>
      <c r="HJ122" s="541"/>
      <c r="HK122" s="541"/>
      <c r="HL122" s="541"/>
      <c r="HM122" s="541"/>
      <c r="HN122" s="541"/>
      <c r="HO122" s="541"/>
      <c r="HP122" s="541"/>
      <c r="HQ122" s="541"/>
      <c r="HR122" s="541"/>
      <c r="HS122" s="541"/>
      <c r="HT122" s="541"/>
      <c r="HU122" s="541"/>
      <c r="HV122" s="541"/>
      <c r="HW122" s="541"/>
      <c r="HX122" s="541"/>
      <c r="HY122" s="541"/>
      <c r="HZ122" s="541"/>
      <c r="IA122" s="541"/>
      <c r="IB122" s="541"/>
      <c r="IC122" s="541"/>
      <c r="ID122" s="541"/>
      <c r="IE122" s="541"/>
      <c r="IF122" s="541"/>
      <c r="IG122" s="541"/>
      <c r="IH122" s="541"/>
      <c r="II122" s="541"/>
      <c r="IJ122" s="541"/>
      <c r="IK122" s="541"/>
      <c r="IL122" s="541"/>
      <c r="IM122" s="541"/>
      <c r="IN122" s="541"/>
      <c r="IO122" s="541"/>
      <c r="IP122" s="541"/>
      <c r="IQ122" s="541"/>
      <c r="IR122" s="541"/>
      <c r="IS122" s="541"/>
      <c r="IT122" s="541"/>
      <c r="IU122" s="541"/>
      <c r="IV122" s="541"/>
      <c r="IW122" s="541"/>
      <c r="IX122" s="541"/>
      <c r="IY122" s="541"/>
      <c r="IZ122" s="541"/>
      <c r="JA122" s="541"/>
      <c r="JB122" s="541"/>
      <c r="JC122" s="541"/>
      <c r="JD122" s="541"/>
      <c r="JE122" s="541"/>
      <c r="JF122" s="541"/>
      <c r="JG122" s="541"/>
      <c r="JH122" s="541"/>
      <c r="JI122" s="541"/>
      <c r="JJ122" s="541"/>
      <c r="JK122" s="541"/>
      <c r="JL122" s="541"/>
      <c r="JM122" s="541"/>
      <c r="JN122" s="541"/>
      <c r="JO122" s="541"/>
      <c r="JP122" s="541"/>
      <c r="JQ122" s="541"/>
      <c r="JR122" s="541"/>
      <c r="JS122" s="541"/>
      <c r="JT122" s="541"/>
      <c r="JU122" s="541"/>
      <c r="JV122" s="541"/>
      <c r="JW122" s="541"/>
      <c r="JX122" s="541"/>
      <c r="JY122" s="541"/>
      <c r="JZ122" s="541"/>
      <c r="KA122" s="541"/>
      <c r="KB122" s="541"/>
      <c r="KC122" s="541"/>
      <c r="KD122" s="541"/>
      <c r="KE122" s="541"/>
      <c r="KF122" s="541"/>
      <c r="KG122" s="541"/>
      <c r="KH122" s="541"/>
      <c r="KI122" s="541"/>
      <c r="KJ122" s="541"/>
      <c r="KK122" s="541"/>
      <c r="KL122" s="541"/>
      <c r="KM122" s="541"/>
      <c r="KN122" s="541"/>
      <c r="KO122" s="541"/>
      <c r="KP122" s="541"/>
      <c r="KQ122" s="541"/>
      <c r="KR122" s="541"/>
      <c r="KS122" s="541"/>
      <c r="KT122" s="541"/>
      <c r="KU122" s="541"/>
      <c r="KV122" s="541"/>
      <c r="KW122" s="541"/>
      <c r="KX122" s="541"/>
      <c r="KY122" s="541"/>
      <c r="KZ122" s="541"/>
      <c r="LA122" s="541"/>
      <c r="LB122" s="541"/>
      <c r="LC122" s="541"/>
      <c r="LD122" s="541"/>
      <c r="LE122" s="541"/>
      <c r="LF122" s="541"/>
      <c r="LG122" s="541"/>
      <c r="LH122" s="541"/>
      <c r="LI122" s="541"/>
      <c r="LJ122" s="541"/>
      <c r="LK122" s="541"/>
      <c r="LL122" s="541"/>
      <c r="LM122" s="541"/>
      <c r="LN122" s="541"/>
      <c r="LO122" s="541"/>
      <c r="LP122" s="541"/>
      <c r="LQ122" s="541"/>
      <c r="LR122" s="541"/>
      <c r="LS122" s="541"/>
      <c r="LT122" s="541"/>
      <c r="LU122" s="541"/>
      <c r="LV122" s="541"/>
      <c r="LW122" s="541"/>
      <c r="LX122" s="541"/>
      <c r="LY122" s="541"/>
      <c r="LZ122" s="541"/>
      <c r="MA122" s="541"/>
      <c r="MB122" s="541"/>
      <c r="MC122" s="541"/>
      <c r="MD122" s="541"/>
      <c r="ME122" s="541"/>
      <c r="MF122" s="541"/>
      <c r="MG122" s="541"/>
      <c r="MH122" s="541"/>
      <c r="MI122" s="541"/>
      <c r="MJ122" s="541"/>
      <c r="MK122" s="541"/>
      <c r="ML122" s="541"/>
      <c r="MM122" s="541"/>
      <c r="MN122" s="541"/>
      <c r="MO122" s="541"/>
      <c r="MP122" s="541"/>
      <c r="MQ122" s="541"/>
      <c r="MR122" s="541"/>
      <c r="MS122" s="541"/>
      <c r="MT122" s="541"/>
      <c r="MU122" s="541"/>
      <c r="MV122" s="541"/>
      <c r="MW122" s="541"/>
      <c r="MX122" s="541"/>
      <c r="MY122" s="541"/>
      <c r="MZ122" s="541"/>
      <c r="NA122" s="541"/>
      <c r="NB122" s="541"/>
      <c r="NC122" s="541"/>
      <c r="ND122" s="541"/>
      <c r="NE122" s="541"/>
      <c r="NF122" s="541"/>
      <c r="NG122" s="541"/>
      <c r="NH122" s="541"/>
      <c r="NI122" s="541"/>
      <c r="NJ122" s="541"/>
      <c r="NK122" s="541"/>
      <c r="NL122" s="541"/>
      <c r="NM122" s="541"/>
      <c r="NN122" s="541"/>
      <c r="NO122" s="541"/>
      <c r="NP122" s="541"/>
      <c r="NQ122" s="541"/>
      <c r="NR122" s="541"/>
      <c r="NS122" s="541"/>
      <c r="NT122" s="541"/>
      <c r="NU122" s="541"/>
      <c r="NV122" s="541"/>
      <c r="NW122" s="541"/>
      <c r="NX122" s="541"/>
      <c r="NY122" s="541"/>
      <c r="NZ122" s="541"/>
      <c r="OA122" s="541"/>
      <c r="OB122" s="541"/>
      <c r="OC122" s="541"/>
      <c r="OD122" s="541"/>
      <c r="OE122" s="541"/>
      <c r="OF122" s="541"/>
      <c r="OG122" s="541"/>
      <c r="OH122" s="541"/>
      <c r="OI122" s="541"/>
      <c r="OJ122" s="541"/>
      <c r="OK122" s="541"/>
      <c r="OL122" s="541"/>
      <c r="OM122" s="541"/>
      <c r="ON122" s="541"/>
      <c r="OO122" s="541"/>
      <c r="OP122" s="541"/>
      <c r="OQ122" s="541"/>
      <c r="OR122" s="541"/>
      <c r="OS122" s="541"/>
      <c r="OT122" s="541"/>
      <c r="OU122" s="541"/>
      <c r="OV122" s="541"/>
      <c r="OW122" s="541"/>
      <c r="OX122" s="541"/>
      <c r="OY122" s="541"/>
      <c r="OZ122" s="541"/>
      <c r="PA122" s="541"/>
      <c r="PB122" s="541"/>
      <c r="PC122" s="541"/>
      <c r="PD122" s="541"/>
      <c r="PE122" s="541"/>
      <c r="PF122" s="541"/>
      <c r="PG122" s="541"/>
      <c r="PH122" s="541"/>
      <c r="PI122" s="541"/>
      <c r="PJ122" s="541"/>
      <c r="PK122" s="541"/>
      <c r="PL122" s="541"/>
      <c r="PM122" s="541"/>
      <c r="PN122" s="541"/>
      <c r="PO122" s="541"/>
      <c r="PP122" s="541"/>
      <c r="PQ122" s="541"/>
      <c r="PR122" s="541"/>
      <c r="PS122" s="541"/>
      <c r="PT122" s="541"/>
      <c r="PU122" s="541"/>
      <c r="PV122" s="541"/>
      <c r="PW122" s="541"/>
      <c r="PX122" s="541"/>
      <c r="PY122" s="541"/>
      <c r="PZ122" s="541"/>
      <c r="QA122" s="541"/>
      <c r="QB122" s="541"/>
      <c r="QC122" s="541"/>
      <c r="QD122" s="541"/>
      <c r="QE122" s="541"/>
      <c r="QF122" s="541"/>
      <c r="QG122" s="541"/>
      <c r="QH122" s="541"/>
      <c r="QI122" s="541"/>
      <c r="QJ122" s="541"/>
      <c r="QK122" s="541"/>
      <c r="QL122" s="541"/>
      <c r="QM122" s="541"/>
      <c r="QN122" s="541"/>
      <c r="QO122" s="541"/>
      <c r="QP122" s="541"/>
      <c r="QQ122" s="541"/>
      <c r="QR122" s="541"/>
      <c r="QS122" s="541"/>
      <c r="QT122" s="541"/>
      <c r="QU122" s="541"/>
      <c r="QV122" s="541"/>
      <c r="QW122" s="541"/>
      <c r="QX122" s="541"/>
      <c r="QY122" s="541"/>
      <c r="QZ122" s="541"/>
      <c r="RA122" s="541"/>
      <c r="RB122" s="541"/>
      <c r="RC122" s="541"/>
      <c r="RD122" s="541"/>
      <c r="RE122" s="541"/>
      <c r="RF122" s="541"/>
      <c r="RG122" s="541"/>
      <c r="RH122" s="541"/>
      <c r="RI122" s="541"/>
      <c r="RJ122" s="541"/>
      <c r="RK122" s="541"/>
      <c r="RL122" s="541"/>
      <c r="RM122" s="541"/>
      <c r="RN122" s="541"/>
      <c r="RO122" s="541"/>
      <c r="RP122" s="541"/>
      <c r="RQ122" s="541"/>
      <c r="RR122" s="541"/>
      <c r="RS122" s="541"/>
      <c r="RT122" s="541"/>
      <c r="RU122" s="541"/>
      <c r="RV122" s="541"/>
      <c r="RW122" s="541"/>
      <c r="RX122" s="541"/>
      <c r="RY122" s="541"/>
      <c r="RZ122" s="541"/>
      <c r="SA122" s="541"/>
      <c r="SB122" s="541"/>
      <c r="SC122" s="541"/>
      <c r="SD122" s="541"/>
      <c r="SE122" s="541"/>
      <c r="SF122" s="541"/>
      <c r="SG122" s="541"/>
      <c r="SH122" s="541"/>
      <c r="SI122" s="541"/>
      <c r="SJ122" s="541"/>
      <c r="SK122" s="541"/>
      <c r="SL122" s="541"/>
      <c r="SM122" s="541"/>
      <c r="SN122" s="541"/>
      <c r="SO122" s="541"/>
      <c r="SP122" s="541"/>
      <c r="SQ122" s="541"/>
      <c r="SR122" s="541"/>
      <c r="SS122" s="541"/>
      <c r="ST122" s="541"/>
      <c r="SU122" s="541"/>
      <c r="SV122" s="541"/>
      <c r="SW122" s="541"/>
      <c r="SX122" s="541"/>
      <c r="SY122" s="541"/>
      <c r="SZ122" s="541"/>
      <c r="TA122" s="541"/>
      <c r="TB122" s="541"/>
      <c r="TC122" s="541"/>
      <c r="TD122" s="541"/>
      <c r="TE122" s="541"/>
      <c r="TF122" s="541"/>
      <c r="TG122" s="541"/>
      <c r="TH122" s="541"/>
      <c r="TI122" s="541"/>
      <c r="TJ122" s="541"/>
      <c r="TK122" s="541"/>
      <c r="TL122" s="541"/>
      <c r="TM122" s="541"/>
      <c r="TN122" s="541"/>
      <c r="TO122" s="541"/>
      <c r="TP122" s="541"/>
      <c r="TQ122" s="541"/>
      <c r="TR122" s="541"/>
      <c r="TS122" s="541"/>
      <c r="TT122" s="541"/>
      <c r="TU122" s="541"/>
      <c r="TV122" s="541"/>
      <c r="TW122" s="541"/>
      <c r="TX122" s="541"/>
      <c r="TY122" s="541"/>
      <c r="TZ122" s="541"/>
      <c r="UA122" s="541"/>
      <c r="UB122" s="541"/>
      <c r="UC122" s="541"/>
      <c r="UD122" s="541"/>
      <c r="UE122" s="541"/>
      <c r="UF122" s="541"/>
      <c r="UG122" s="541"/>
      <c r="UH122" s="541"/>
      <c r="UI122" s="541"/>
      <c r="UJ122" s="541"/>
      <c r="UK122" s="541"/>
      <c r="UL122" s="541"/>
      <c r="UM122" s="541"/>
      <c r="UN122" s="541"/>
      <c r="UO122" s="541"/>
      <c r="UP122" s="541"/>
      <c r="UQ122" s="541"/>
      <c r="UR122" s="541"/>
      <c r="US122" s="541"/>
      <c r="UT122" s="541"/>
      <c r="UU122" s="541"/>
      <c r="UV122" s="541"/>
      <c r="UW122" s="541"/>
      <c r="UX122" s="541"/>
      <c r="UY122" s="541"/>
      <c r="UZ122" s="541"/>
      <c r="VA122" s="541"/>
      <c r="VB122" s="541"/>
      <c r="VC122" s="541"/>
      <c r="VD122" s="541"/>
      <c r="VE122" s="541"/>
      <c r="VF122" s="541"/>
      <c r="VG122" s="541"/>
      <c r="VH122" s="541"/>
      <c r="VI122" s="541"/>
      <c r="VJ122" s="541"/>
      <c r="VK122" s="541"/>
      <c r="VL122" s="541"/>
      <c r="VM122" s="541"/>
      <c r="VN122" s="541"/>
      <c r="VO122" s="541"/>
      <c r="VP122" s="541"/>
      <c r="VQ122" s="541"/>
      <c r="VR122" s="541"/>
      <c r="VS122" s="541"/>
      <c r="VT122" s="541"/>
      <c r="VU122" s="541"/>
      <c r="VV122" s="541"/>
      <c r="VW122" s="541"/>
      <c r="VX122" s="541"/>
      <c r="VY122" s="541"/>
      <c r="VZ122" s="541"/>
      <c r="WA122" s="541"/>
      <c r="WB122" s="541"/>
      <c r="WC122" s="541"/>
      <c r="WD122" s="541"/>
      <c r="WE122" s="541"/>
      <c r="WF122" s="541"/>
      <c r="WG122" s="541"/>
      <c r="WH122" s="541"/>
      <c r="WI122" s="541"/>
      <c r="WJ122" s="541"/>
      <c r="WK122" s="541"/>
      <c r="WL122" s="541"/>
      <c r="WM122" s="541"/>
      <c r="WN122" s="541"/>
      <c r="WO122" s="541"/>
      <c r="WP122" s="541"/>
      <c r="WQ122" s="541"/>
      <c r="WR122" s="541"/>
      <c r="WS122" s="541"/>
      <c r="WT122" s="541"/>
      <c r="WU122" s="541"/>
      <c r="WV122" s="541"/>
      <c r="WW122" s="541"/>
      <c r="WX122" s="541"/>
      <c r="WY122" s="541"/>
      <c r="WZ122" s="541"/>
      <c r="XA122" s="541"/>
      <c r="XB122" s="541"/>
      <c r="XC122" s="541"/>
      <c r="XD122" s="541"/>
      <c r="XE122" s="541"/>
      <c r="XF122" s="541"/>
      <c r="XG122" s="541"/>
      <c r="XH122" s="541"/>
      <c r="XI122" s="541"/>
      <c r="XJ122" s="541"/>
      <c r="XK122" s="541"/>
      <c r="XL122" s="541"/>
      <c r="XM122" s="541"/>
      <c r="XN122" s="541"/>
      <c r="XO122" s="541"/>
      <c r="XP122" s="541"/>
      <c r="XQ122" s="541"/>
      <c r="XR122" s="541"/>
      <c r="XS122" s="541"/>
      <c r="XT122" s="541"/>
      <c r="XU122" s="541"/>
      <c r="XV122" s="541"/>
      <c r="XW122" s="541"/>
      <c r="XX122" s="541"/>
      <c r="XY122" s="541"/>
      <c r="XZ122" s="541"/>
      <c r="YA122" s="541"/>
      <c r="YB122" s="541"/>
      <c r="YC122" s="541"/>
      <c r="YD122" s="541"/>
      <c r="YE122" s="541"/>
      <c r="YF122" s="541"/>
      <c r="YG122" s="541"/>
      <c r="YH122" s="541"/>
      <c r="YI122" s="541"/>
      <c r="YJ122" s="541"/>
      <c r="YK122" s="541"/>
      <c r="YL122" s="541"/>
      <c r="YM122" s="541"/>
      <c r="YN122" s="541"/>
      <c r="YO122" s="541"/>
      <c r="YP122" s="541"/>
      <c r="YQ122" s="541"/>
      <c r="YR122" s="541"/>
      <c r="YS122" s="541"/>
      <c r="YT122" s="541"/>
      <c r="YU122" s="541"/>
      <c r="YV122" s="541"/>
      <c r="YW122" s="541"/>
      <c r="YX122" s="541"/>
      <c r="YY122" s="541"/>
      <c r="YZ122" s="541"/>
      <c r="ZA122" s="541"/>
      <c r="ZB122" s="541"/>
      <c r="ZC122" s="541"/>
      <c r="ZD122" s="541"/>
      <c r="ZE122" s="541"/>
      <c r="ZF122" s="541"/>
      <c r="ZG122" s="541"/>
      <c r="ZH122" s="541"/>
      <c r="ZI122" s="541"/>
      <c r="ZJ122" s="541"/>
      <c r="ZK122" s="541"/>
      <c r="ZL122" s="541"/>
      <c r="ZM122" s="541"/>
      <c r="ZN122" s="541"/>
      <c r="ZO122" s="541"/>
      <c r="ZP122" s="541"/>
      <c r="ZQ122" s="541"/>
      <c r="ZR122" s="541"/>
      <c r="ZS122" s="541"/>
      <c r="ZT122" s="541"/>
      <c r="ZU122" s="541"/>
      <c r="ZV122" s="541"/>
      <c r="ZW122" s="541"/>
      <c r="ZX122" s="541"/>
      <c r="ZY122" s="541"/>
      <c r="ZZ122" s="541"/>
      <c r="AAA122" s="541"/>
      <c r="AAB122" s="541"/>
      <c r="AAC122" s="541"/>
      <c r="AAD122" s="541"/>
      <c r="AAE122" s="541"/>
      <c r="AAF122" s="541"/>
      <c r="AAG122" s="541"/>
      <c r="AAH122" s="541"/>
      <c r="AAI122" s="541"/>
      <c r="AAJ122" s="541"/>
      <c r="AAK122" s="541"/>
      <c r="AAL122" s="541"/>
      <c r="AAM122" s="541"/>
      <c r="AAN122" s="541"/>
      <c r="AAO122" s="541"/>
      <c r="AAP122" s="541"/>
      <c r="AAQ122" s="541"/>
      <c r="AAR122" s="541"/>
      <c r="AAS122" s="541"/>
      <c r="AAT122" s="541"/>
      <c r="AAU122" s="541"/>
      <c r="AAV122" s="541"/>
      <c r="AAW122" s="541"/>
      <c r="AAX122" s="541"/>
      <c r="AAY122" s="541"/>
      <c r="AAZ122" s="541"/>
      <c r="ABA122" s="541"/>
      <c r="ABB122" s="541"/>
      <c r="ABC122" s="541"/>
      <c r="ABD122" s="541"/>
      <c r="ABE122" s="541"/>
      <c r="ABF122" s="541"/>
      <c r="ABG122" s="541"/>
      <c r="ABH122" s="541"/>
      <c r="ABI122" s="541"/>
      <c r="ABJ122" s="541"/>
      <c r="ABK122" s="541"/>
      <c r="ABL122" s="541"/>
      <c r="ABM122" s="541"/>
      <c r="ABN122" s="541"/>
      <c r="ABO122" s="541"/>
      <c r="ABP122" s="541"/>
      <c r="ABQ122" s="541"/>
      <c r="ABR122" s="541"/>
      <c r="ABS122" s="541"/>
      <c r="ABT122" s="541"/>
      <c r="ABU122" s="541"/>
      <c r="ABV122" s="541"/>
      <c r="ABW122" s="541"/>
      <c r="ABX122" s="541"/>
      <c r="ABY122" s="541"/>
      <c r="ABZ122" s="541"/>
      <c r="ACA122" s="541"/>
      <c r="ACB122" s="541"/>
      <c r="ACC122" s="541"/>
      <c r="ACD122" s="541"/>
      <c r="ACE122" s="541"/>
      <c r="ACF122" s="541"/>
      <c r="ACG122" s="541"/>
      <c r="ACH122" s="541"/>
      <c r="ACI122" s="541"/>
      <c r="ACJ122" s="541"/>
      <c r="ACK122" s="541"/>
      <c r="ACL122" s="541"/>
      <c r="ACM122" s="541"/>
      <c r="ACN122" s="541"/>
      <c r="ACO122" s="541"/>
      <c r="ACP122" s="541"/>
      <c r="ACQ122" s="541"/>
      <c r="ACR122" s="541"/>
      <c r="ACS122" s="541"/>
      <c r="ACT122" s="541"/>
      <c r="ACU122" s="541"/>
      <c r="ACV122" s="541"/>
      <c r="ACW122" s="541"/>
      <c r="ACX122" s="541"/>
      <c r="ACY122" s="541"/>
      <c r="ACZ122" s="541"/>
      <c r="ADA122" s="541"/>
      <c r="ADB122" s="541"/>
      <c r="ADC122" s="541"/>
      <c r="ADD122" s="541"/>
      <c r="ADE122" s="541"/>
      <c r="ADF122" s="541"/>
      <c r="ADG122" s="541"/>
      <c r="ADH122" s="541"/>
      <c r="ADI122" s="541"/>
      <c r="ADJ122" s="541"/>
      <c r="ADK122" s="541"/>
      <c r="ADL122" s="541"/>
      <c r="ADM122" s="541"/>
      <c r="ADN122" s="541"/>
      <c r="ADO122" s="541"/>
      <c r="ADP122" s="541"/>
      <c r="ADQ122" s="541"/>
      <c r="ADR122" s="541"/>
      <c r="ADS122" s="541"/>
      <c r="ADT122" s="541"/>
      <c r="ADU122" s="541"/>
      <c r="ADV122" s="541"/>
      <c r="ADW122" s="541"/>
      <c r="ADX122" s="541"/>
      <c r="ADY122" s="541"/>
      <c r="ADZ122" s="541"/>
      <c r="AEA122" s="541"/>
      <c r="AEB122" s="541"/>
      <c r="AEC122" s="541"/>
      <c r="AED122" s="541"/>
      <c r="AEE122" s="541"/>
      <c r="AEF122" s="541"/>
      <c r="AEG122" s="541"/>
      <c r="AEH122" s="541"/>
      <c r="AEI122" s="541"/>
      <c r="AEJ122" s="541"/>
      <c r="AEK122" s="541"/>
      <c r="AEL122" s="541"/>
      <c r="AEM122" s="541"/>
      <c r="AEN122" s="541"/>
      <c r="AEO122" s="541"/>
      <c r="AEP122" s="541"/>
      <c r="AEQ122" s="541"/>
      <c r="AER122" s="541"/>
      <c r="AES122" s="541"/>
      <c r="AET122" s="541"/>
      <c r="AEU122" s="541"/>
      <c r="AEV122" s="541"/>
      <c r="AEW122" s="541"/>
      <c r="AEX122" s="541"/>
      <c r="AEY122" s="541"/>
      <c r="AEZ122" s="541"/>
      <c r="AFA122" s="541"/>
      <c r="AFB122" s="541"/>
      <c r="AFC122" s="541"/>
      <c r="AFD122" s="541"/>
      <c r="AFE122" s="541"/>
      <c r="AFF122" s="541"/>
      <c r="AFG122" s="541"/>
      <c r="AFH122" s="541"/>
      <c r="AFI122" s="541"/>
      <c r="AFJ122" s="541"/>
      <c r="AFK122" s="541"/>
      <c r="AFL122" s="541"/>
      <c r="AFM122" s="541"/>
      <c r="AFN122" s="541"/>
      <c r="AFO122" s="541"/>
      <c r="AFP122" s="541"/>
      <c r="AFQ122" s="541"/>
      <c r="AFR122" s="541"/>
      <c r="AFS122" s="541"/>
      <c r="AFT122" s="541"/>
      <c r="AFU122" s="541"/>
      <c r="AFV122" s="541"/>
      <c r="AFW122" s="541"/>
      <c r="AFX122" s="541"/>
      <c r="AFY122" s="541"/>
      <c r="AFZ122" s="541"/>
      <c r="AGA122" s="541"/>
      <c r="AGB122" s="541"/>
      <c r="AGC122" s="541"/>
      <c r="AGD122" s="541"/>
      <c r="AGE122" s="541"/>
      <c r="AGF122" s="541"/>
      <c r="AGG122" s="541"/>
      <c r="AGH122" s="541"/>
      <c r="AGI122" s="541"/>
      <c r="AGJ122" s="541"/>
      <c r="AGK122" s="541"/>
      <c r="AGL122" s="541"/>
      <c r="AGM122" s="541"/>
      <c r="AGN122" s="541"/>
      <c r="AGO122" s="541"/>
      <c r="AGP122" s="541"/>
      <c r="AGQ122" s="541"/>
      <c r="AGR122" s="541"/>
      <c r="AGS122" s="541"/>
      <c r="AGT122" s="541"/>
      <c r="AGU122" s="541"/>
      <c r="AGV122" s="541"/>
      <c r="AGW122" s="541"/>
      <c r="AGX122" s="541"/>
      <c r="AGY122" s="541"/>
      <c r="AGZ122" s="541"/>
      <c r="AHA122" s="541"/>
      <c r="AHB122" s="541"/>
      <c r="AHC122" s="541"/>
      <c r="AHD122" s="541"/>
      <c r="AHE122" s="541"/>
      <c r="AHF122" s="541"/>
      <c r="AHG122" s="541"/>
      <c r="AHH122" s="541"/>
      <c r="AHI122" s="541"/>
      <c r="AHJ122" s="541"/>
      <c r="AHK122" s="541"/>
      <c r="AHL122" s="541"/>
      <c r="AHM122" s="541"/>
      <c r="AHN122" s="541"/>
      <c r="AHO122" s="541"/>
      <c r="AHP122" s="541"/>
      <c r="AHQ122" s="541"/>
      <c r="AHR122" s="541"/>
      <c r="AHS122" s="541"/>
      <c r="AHT122" s="541"/>
      <c r="AHU122" s="541"/>
      <c r="AHV122" s="541"/>
      <c r="AHW122" s="541"/>
      <c r="AHX122" s="541"/>
      <c r="AHY122" s="541"/>
      <c r="AHZ122" s="541"/>
      <c r="AIA122" s="541"/>
      <c r="AIB122" s="541"/>
      <c r="AIC122" s="541"/>
      <c r="AID122" s="541"/>
      <c r="AIE122" s="541"/>
      <c r="AIF122" s="541"/>
      <c r="AIG122" s="541"/>
      <c r="AIH122" s="541"/>
      <c r="AII122" s="541"/>
      <c r="AIJ122" s="541"/>
      <c r="AIK122" s="541"/>
      <c r="AIL122" s="541"/>
      <c r="AIM122" s="541"/>
      <c r="AIN122" s="541"/>
      <c r="AIO122" s="541"/>
      <c r="AIP122" s="541"/>
      <c r="AIQ122" s="541"/>
      <c r="AIR122" s="541"/>
      <c r="AIS122" s="541"/>
      <c r="AIT122" s="541"/>
      <c r="AIU122" s="541"/>
      <c r="AIV122" s="541"/>
      <c r="AIW122" s="541"/>
      <c r="AIX122" s="541"/>
      <c r="AIY122" s="541"/>
      <c r="AIZ122" s="541"/>
      <c r="AJA122" s="541"/>
      <c r="AJB122" s="541"/>
      <c r="AJC122" s="541"/>
      <c r="AJD122" s="541"/>
      <c r="AJE122" s="541"/>
      <c r="AJF122" s="541"/>
      <c r="AJG122" s="541"/>
      <c r="AJH122" s="541"/>
      <c r="AJI122" s="541"/>
      <c r="AJJ122" s="541"/>
      <c r="AJK122" s="541"/>
      <c r="AJL122" s="541"/>
      <c r="AJM122" s="541"/>
      <c r="AJN122" s="541"/>
      <c r="AJO122" s="541"/>
      <c r="AJP122" s="541"/>
      <c r="AJQ122" s="541"/>
      <c r="AJR122" s="541"/>
      <c r="AJS122" s="541"/>
      <c r="AJT122" s="541"/>
      <c r="AJU122" s="541"/>
      <c r="AJV122" s="541"/>
      <c r="AJW122" s="541"/>
      <c r="AJX122" s="541"/>
      <c r="AJY122" s="541"/>
      <c r="AJZ122" s="541"/>
      <c r="AKA122" s="541"/>
      <c r="AKB122" s="541"/>
      <c r="AKC122" s="541"/>
      <c r="AKD122" s="541"/>
      <c r="AKE122" s="541"/>
      <c r="AKF122" s="541"/>
      <c r="AKG122" s="541"/>
      <c r="AKH122" s="541"/>
      <c r="AKI122" s="541"/>
      <c r="AKJ122" s="541"/>
      <c r="AKK122" s="541"/>
      <c r="AKL122" s="541"/>
      <c r="AKM122" s="541"/>
      <c r="AKN122" s="541"/>
      <c r="AKO122" s="541"/>
      <c r="AKP122" s="541"/>
      <c r="AKQ122" s="541"/>
      <c r="AKR122" s="541"/>
      <c r="AKS122" s="541"/>
      <c r="AKT122" s="541"/>
      <c r="AKU122" s="541"/>
      <c r="AKV122" s="541"/>
      <c r="AKW122" s="541"/>
      <c r="AKX122" s="541"/>
      <c r="AKY122" s="541"/>
      <c r="AKZ122" s="541"/>
      <c r="ALA122" s="541"/>
      <c r="ALB122" s="541"/>
      <c r="ALC122" s="541"/>
      <c r="ALD122" s="541"/>
      <c r="ALE122" s="541"/>
      <c r="ALF122" s="541"/>
      <c r="ALG122" s="541"/>
      <c r="ALH122" s="541"/>
      <c r="ALI122" s="541"/>
      <c r="ALJ122" s="541"/>
      <c r="ALK122" s="541"/>
      <c r="ALL122" s="541"/>
      <c r="ALM122" s="541"/>
      <c r="ALN122" s="541"/>
      <c r="ALO122" s="541"/>
      <c r="ALP122" s="541"/>
      <c r="ALQ122" s="541"/>
      <c r="ALR122" s="541"/>
      <c r="ALS122" s="541"/>
      <c r="ALT122" s="541"/>
      <c r="ALU122" s="541"/>
      <c r="ALV122" s="541"/>
      <c r="ALW122" s="541"/>
      <c r="ALX122" s="541"/>
      <c r="ALY122" s="541"/>
      <c r="ALZ122" s="541"/>
      <c r="AMA122" s="541"/>
      <c r="AMB122" s="541"/>
      <c r="AMC122" s="541"/>
      <c r="AMD122" s="541"/>
      <c r="AME122" s="541"/>
      <c r="AMF122" s="541"/>
      <c r="AMG122" s="541"/>
      <c r="AMH122" s="541"/>
      <c r="AMI122" s="541"/>
      <c r="AMJ122" s="541"/>
      <c r="AMK122" s="541"/>
      <c r="AML122" s="541"/>
      <c r="AMM122" s="541"/>
      <c r="AMN122" s="541"/>
      <c r="AMO122" s="541"/>
      <c r="AMP122" s="541"/>
      <c r="AMQ122" s="541"/>
      <c r="AMR122" s="541"/>
      <c r="AMS122" s="541"/>
      <c r="AMT122" s="541"/>
      <c r="AMU122" s="541"/>
      <c r="AMV122" s="541"/>
      <c r="AMW122" s="541"/>
      <c r="AMX122" s="541"/>
      <c r="AMY122" s="541"/>
      <c r="AMZ122" s="541"/>
      <c r="ANA122" s="541"/>
      <c r="ANB122" s="541"/>
      <c r="ANC122" s="541"/>
      <c r="AND122" s="541"/>
      <c r="ANE122" s="541"/>
      <c r="ANF122" s="541"/>
      <c r="ANG122" s="541"/>
      <c r="ANH122" s="541"/>
      <c r="ANI122" s="541"/>
      <c r="ANJ122" s="541"/>
      <c r="ANK122" s="541"/>
      <c r="ANL122" s="541"/>
      <c r="ANM122" s="541"/>
      <c r="ANN122" s="541"/>
      <c r="ANO122" s="541"/>
      <c r="ANP122" s="541"/>
      <c r="ANQ122" s="541"/>
      <c r="ANR122" s="541"/>
      <c r="ANS122" s="541"/>
      <c r="ANT122" s="541"/>
      <c r="ANU122" s="541"/>
      <c r="ANV122" s="541"/>
      <c r="ANW122" s="541"/>
      <c r="ANX122" s="541"/>
      <c r="ANY122" s="541"/>
      <c r="ANZ122" s="541"/>
      <c r="AOA122" s="541"/>
      <c r="AOB122" s="541"/>
      <c r="AOC122" s="541"/>
      <c r="AOD122" s="541"/>
      <c r="AOE122" s="541"/>
      <c r="AOF122" s="541"/>
      <c r="AOG122" s="541"/>
      <c r="AOH122" s="541"/>
      <c r="AOI122" s="541"/>
      <c r="AOJ122" s="541"/>
      <c r="AOK122" s="541"/>
      <c r="AOL122" s="541"/>
      <c r="AOM122" s="541"/>
      <c r="AON122" s="541"/>
      <c r="AOO122" s="541"/>
      <c r="AOP122" s="541"/>
      <c r="AOQ122" s="541"/>
      <c r="AOR122" s="541"/>
      <c r="AOS122" s="541"/>
      <c r="AOT122" s="541"/>
      <c r="AOU122" s="541"/>
      <c r="AOV122" s="541"/>
      <c r="AOW122" s="541"/>
      <c r="AOX122" s="541"/>
      <c r="AOY122" s="541"/>
      <c r="AOZ122" s="541"/>
      <c r="APA122" s="541"/>
      <c r="APB122" s="541"/>
      <c r="APC122" s="541"/>
      <c r="APD122" s="541"/>
      <c r="APE122" s="541"/>
      <c r="APF122" s="541"/>
      <c r="APG122" s="541"/>
      <c r="APH122" s="541"/>
      <c r="API122" s="541"/>
      <c r="APJ122" s="541"/>
      <c r="APK122" s="541"/>
      <c r="APL122" s="541"/>
      <c r="APM122" s="541"/>
      <c r="APN122" s="541"/>
      <c r="APO122" s="541"/>
      <c r="APP122" s="541"/>
      <c r="APQ122" s="541"/>
      <c r="APR122" s="541"/>
      <c r="APS122" s="541"/>
      <c r="APT122" s="541"/>
      <c r="APU122" s="541"/>
      <c r="APV122" s="541"/>
      <c r="APW122" s="541"/>
      <c r="APX122" s="541"/>
      <c r="APY122" s="541"/>
      <c r="APZ122" s="541"/>
      <c r="AQA122" s="541"/>
      <c r="AQB122" s="541"/>
      <c r="AQC122" s="541"/>
      <c r="AQD122" s="541"/>
      <c r="AQE122" s="541"/>
      <c r="AQF122" s="541"/>
      <c r="AQG122" s="541"/>
      <c r="AQH122" s="541"/>
      <c r="AQI122" s="541"/>
      <c r="AQJ122" s="541"/>
      <c r="AQK122" s="541"/>
      <c r="AQL122" s="541"/>
      <c r="AQM122" s="541"/>
      <c r="AQN122" s="541"/>
      <c r="AQO122" s="541"/>
      <c r="AQP122" s="541"/>
      <c r="AQQ122" s="541"/>
      <c r="AQR122" s="541"/>
      <c r="AQS122" s="541"/>
      <c r="AQT122" s="541"/>
      <c r="AQU122" s="541"/>
      <c r="AQV122" s="541"/>
      <c r="AQW122" s="541"/>
      <c r="AQX122" s="541"/>
      <c r="AQY122" s="541"/>
      <c r="AQZ122" s="541"/>
      <c r="ARA122" s="541"/>
      <c r="ARB122" s="541"/>
      <c r="ARC122" s="541"/>
      <c r="ARD122" s="541"/>
      <c r="ARE122" s="541"/>
      <c r="ARF122" s="541"/>
      <c r="ARG122" s="541"/>
      <c r="ARH122" s="541"/>
      <c r="ARI122" s="541"/>
      <c r="ARJ122" s="541"/>
      <c r="ARK122" s="541"/>
      <c r="ARL122" s="541"/>
      <c r="ARM122" s="541"/>
      <c r="ARN122" s="541"/>
      <c r="ARO122" s="541"/>
      <c r="ARP122" s="541"/>
      <c r="ARQ122" s="541"/>
      <c r="ARR122" s="541"/>
      <c r="ARS122" s="541"/>
      <c r="ART122" s="541"/>
      <c r="ARU122" s="541"/>
    </row>
    <row r="123" spans="1:1165" s="658" customFormat="1">
      <c r="A123" s="613" t="s">
        <v>275</v>
      </c>
      <c r="B123" s="578" t="s">
        <v>110</v>
      </c>
      <c r="C123" s="581">
        <v>4283</v>
      </c>
      <c r="D123" s="581">
        <v>43562</v>
      </c>
      <c r="E123" s="581">
        <v>0</v>
      </c>
      <c r="F123" s="581">
        <v>0</v>
      </c>
      <c r="G123" s="581">
        <v>0</v>
      </c>
      <c r="H123" s="581">
        <v>0</v>
      </c>
      <c r="I123" s="581">
        <v>0</v>
      </c>
      <c r="J123" s="581">
        <v>0</v>
      </c>
      <c r="K123" s="581">
        <v>0</v>
      </c>
      <c r="L123" s="581">
        <v>0</v>
      </c>
      <c r="M123" s="581">
        <v>0</v>
      </c>
      <c r="N123" s="581">
        <v>0</v>
      </c>
      <c r="O123" s="581">
        <v>222</v>
      </c>
      <c r="P123" s="581">
        <v>25709</v>
      </c>
      <c r="Q123" s="581">
        <v>768</v>
      </c>
      <c r="R123" s="581">
        <v>113637</v>
      </c>
      <c r="S123" s="581">
        <v>1079</v>
      </c>
      <c r="T123" s="581">
        <v>162108</v>
      </c>
      <c r="U123" s="579">
        <v>0</v>
      </c>
      <c r="V123" s="579">
        <v>0</v>
      </c>
      <c r="W123" s="579">
        <v>0</v>
      </c>
      <c r="X123" s="579">
        <v>0</v>
      </c>
      <c r="Y123" s="579">
        <v>0</v>
      </c>
      <c r="Z123" s="579">
        <v>0</v>
      </c>
      <c r="AA123" s="579">
        <v>0</v>
      </c>
      <c r="AB123" s="579">
        <v>0</v>
      </c>
      <c r="AC123" s="579">
        <v>0</v>
      </c>
      <c r="AD123" s="579">
        <v>0</v>
      </c>
      <c r="AE123" s="579">
        <v>0</v>
      </c>
      <c r="AF123" s="579">
        <v>0</v>
      </c>
      <c r="AG123" s="579">
        <v>0</v>
      </c>
      <c r="AH123" s="579">
        <v>0</v>
      </c>
      <c r="AI123" s="579">
        <v>0</v>
      </c>
      <c r="AJ123" s="579">
        <v>0</v>
      </c>
      <c r="AK123" s="598">
        <v>0</v>
      </c>
      <c r="AL123" s="598">
        <v>0</v>
      </c>
      <c r="AM123" s="598">
        <v>0</v>
      </c>
      <c r="AN123" s="598">
        <v>0</v>
      </c>
      <c r="AO123" s="579">
        <v>0</v>
      </c>
      <c r="AP123" s="579">
        <v>0</v>
      </c>
      <c r="AQ123" s="579">
        <v>0</v>
      </c>
      <c r="AR123" s="579">
        <v>0</v>
      </c>
      <c r="AS123" s="579">
        <v>0</v>
      </c>
      <c r="AT123" s="579">
        <v>0</v>
      </c>
      <c r="AU123" s="579">
        <v>0</v>
      </c>
      <c r="AV123" s="579">
        <v>0</v>
      </c>
      <c r="AW123" s="598">
        <v>0</v>
      </c>
      <c r="AX123" s="598">
        <v>0</v>
      </c>
      <c r="AY123" s="581">
        <v>0</v>
      </c>
      <c r="AZ123" s="581">
        <v>0</v>
      </c>
      <c r="BA123" s="620"/>
      <c r="BB123" s="581"/>
      <c r="BC123" s="581"/>
      <c r="BD123" s="581"/>
      <c r="BE123" s="581"/>
      <c r="BF123" s="581"/>
      <c r="BG123" s="581"/>
      <c r="BH123" s="581"/>
      <c r="BI123" s="620"/>
      <c r="BJ123" s="651">
        <f t="shared" si="12"/>
        <v>6352</v>
      </c>
      <c r="BK123" s="651">
        <f t="shared" si="13"/>
        <v>345016</v>
      </c>
      <c r="BL123" s="541"/>
      <c r="BM123" s="624"/>
      <c r="BN123" s="624"/>
      <c r="BO123" s="624"/>
      <c r="BP123" s="624"/>
      <c r="BQ123" s="541"/>
      <c r="BR123" s="541"/>
      <c r="BS123" s="541"/>
      <c r="BT123" s="541"/>
      <c r="BU123" s="541"/>
      <c r="BV123" s="541"/>
      <c r="BW123" s="541"/>
      <c r="BX123" s="541"/>
      <c r="BY123" s="541"/>
      <c r="BZ123" s="541"/>
      <c r="CA123" s="541"/>
      <c r="CB123" s="541"/>
      <c r="CC123" s="541"/>
      <c r="CD123" s="541"/>
      <c r="CE123" s="541"/>
      <c r="CF123" s="541"/>
      <c r="CG123" s="541"/>
      <c r="CH123" s="541"/>
      <c r="CI123" s="541"/>
      <c r="CJ123" s="541"/>
      <c r="CK123" s="541"/>
      <c r="CL123" s="541"/>
      <c r="CM123" s="541"/>
      <c r="CN123" s="541"/>
      <c r="CO123" s="541"/>
      <c r="CP123" s="541"/>
      <c r="CQ123" s="541"/>
      <c r="CR123" s="541"/>
      <c r="CS123" s="541"/>
      <c r="CT123" s="541"/>
      <c r="CU123" s="541"/>
      <c r="CV123" s="541"/>
      <c r="CW123" s="541"/>
      <c r="CX123" s="541"/>
      <c r="CY123" s="541"/>
      <c r="CZ123" s="541"/>
      <c r="DA123" s="541"/>
      <c r="DB123" s="541"/>
      <c r="DC123" s="541"/>
      <c r="DD123" s="541"/>
      <c r="DE123" s="541"/>
      <c r="DF123" s="541"/>
      <c r="DG123" s="541"/>
      <c r="DH123" s="541"/>
      <c r="DI123" s="541"/>
      <c r="DJ123" s="541"/>
      <c r="DK123" s="541"/>
      <c r="DL123" s="541"/>
      <c r="DM123" s="541"/>
      <c r="DN123" s="541"/>
      <c r="DO123" s="541"/>
      <c r="DP123" s="541"/>
      <c r="DQ123" s="541"/>
      <c r="DR123" s="541"/>
      <c r="DS123" s="541"/>
      <c r="DT123" s="541"/>
      <c r="DU123" s="541"/>
      <c r="DV123" s="541"/>
      <c r="DW123" s="541"/>
      <c r="DX123" s="541"/>
      <c r="DY123" s="541"/>
      <c r="DZ123" s="541"/>
      <c r="EA123" s="541"/>
      <c r="EB123" s="541"/>
      <c r="EC123" s="541"/>
      <c r="ED123" s="541"/>
      <c r="EE123" s="541"/>
      <c r="EF123" s="541"/>
      <c r="EG123" s="541"/>
      <c r="EH123" s="541"/>
      <c r="EI123" s="541"/>
      <c r="EJ123" s="541"/>
      <c r="EK123" s="541"/>
      <c r="EL123" s="541"/>
      <c r="EM123" s="541"/>
      <c r="EN123" s="541"/>
      <c r="EO123" s="541"/>
      <c r="EP123" s="541"/>
      <c r="EQ123" s="541"/>
      <c r="ER123" s="541"/>
      <c r="ES123" s="541"/>
      <c r="ET123" s="541"/>
      <c r="EU123" s="541"/>
      <c r="EV123" s="541"/>
      <c r="EW123" s="541"/>
      <c r="EX123" s="541"/>
      <c r="EY123" s="541"/>
      <c r="EZ123" s="541"/>
      <c r="FA123" s="541"/>
      <c r="FB123" s="541"/>
      <c r="FC123" s="541"/>
      <c r="FD123" s="541"/>
      <c r="FE123" s="541"/>
      <c r="FF123" s="541"/>
      <c r="FG123" s="541"/>
      <c r="FH123" s="541"/>
      <c r="FI123" s="541"/>
      <c r="FJ123" s="541"/>
      <c r="FK123" s="541"/>
      <c r="FL123" s="541"/>
      <c r="FM123" s="541"/>
      <c r="FN123" s="541"/>
      <c r="FO123" s="541"/>
      <c r="FP123" s="541"/>
      <c r="FQ123" s="541"/>
      <c r="FR123" s="541"/>
      <c r="FS123" s="541"/>
      <c r="FT123" s="541"/>
      <c r="FU123" s="541"/>
      <c r="FV123" s="541"/>
      <c r="FW123" s="541"/>
      <c r="FX123" s="541"/>
      <c r="FY123" s="541"/>
      <c r="FZ123" s="541"/>
      <c r="GA123" s="541"/>
      <c r="GB123" s="541"/>
      <c r="GC123" s="541"/>
      <c r="GD123" s="541"/>
      <c r="GE123" s="541"/>
      <c r="GF123" s="541"/>
      <c r="GG123" s="541"/>
      <c r="GH123" s="541"/>
      <c r="GI123" s="541"/>
      <c r="GJ123" s="541"/>
      <c r="GK123" s="541"/>
      <c r="GL123" s="541"/>
      <c r="GM123" s="541"/>
      <c r="GN123" s="541"/>
      <c r="GO123" s="541"/>
      <c r="GP123" s="541"/>
      <c r="GQ123" s="541"/>
      <c r="GR123" s="541"/>
      <c r="GS123" s="541"/>
      <c r="GT123" s="541"/>
      <c r="GU123" s="541"/>
      <c r="GV123" s="541"/>
      <c r="GW123" s="541"/>
      <c r="GX123" s="541"/>
      <c r="GY123" s="541"/>
      <c r="GZ123" s="541"/>
      <c r="HA123" s="541"/>
      <c r="HB123" s="541"/>
      <c r="HC123" s="541"/>
      <c r="HD123" s="541"/>
      <c r="HE123" s="541"/>
      <c r="HF123" s="541"/>
      <c r="HG123" s="541"/>
      <c r="HH123" s="541"/>
      <c r="HI123" s="541"/>
      <c r="HJ123" s="541"/>
      <c r="HK123" s="541"/>
      <c r="HL123" s="541"/>
      <c r="HM123" s="541"/>
      <c r="HN123" s="541"/>
      <c r="HO123" s="541"/>
      <c r="HP123" s="541"/>
      <c r="HQ123" s="541"/>
      <c r="HR123" s="541"/>
      <c r="HS123" s="541"/>
      <c r="HT123" s="541"/>
      <c r="HU123" s="541"/>
      <c r="HV123" s="541"/>
      <c r="HW123" s="541"/>
      <c r="HX123" s="541"/>
      <c r="HY123" s="541"/>
      <c r="HZ123" s="541"/>
      <c r="IA123" s="541"/>
      <c r="IB123" s="541"/>
      <c r="IC123" s="541"/>
      <c r="ID123" s="541"/>
      <c r="IE123" s="541"/>
      <c r="IF123" s="541"/>
      <c r="IG123" s="541"/>
      <c r="IH123" s="541"/>
      <c r="II123" s="541"/>
      <c r="IJ123" s="541"/>
      <c r="IK123" s="541"/>
      <c r="IL123" s="541"/>
      <c r="IM123" s="541"/>
      <c r="IN123" s="541"/>
      <c r="IO123" s="541"/>
      <c r="IP123" s="541"/>
      <c r="IQ123" s="541"/>
      <c r="IR123" s="541"/>
      <c r="IS123" s="541"/>
      <c r="IT123" s="541"/>
      <c r="IU123" s="541"/>
      <c r="IV123" s="541"/>
      <c r="IW123" s="541"/>
      <c r="IX123" s="541"/>
      <c r="IY123" s="541"/>
      <c r="IZ123" s="541"/>
      <c r="JA123" s="541"/>
      <c r="JB123" s="541"/>
      <c r="JC123" s="541"/>
      <c r="JD123" s="541"/>
      <c r="JE123" s="541"/>
      <c r="JF123" s="541"/>
      <c r="JG123" s="541"/>
      <c r="JH123" s="541"/>
      <c r="JI123" s="541"/>
      <c r="JJ123" s="541"/>
      <c r="JK123" s="541"/>
      <c r="JL123" s="541"/>
      <c r="JM123" s="541"/>
      <c r="JN123" s="541"/>
      <c r="JO123" s="541"/>
      <c r="JP123" s="541"/>
      <c r="JQ123" s="541"/>
      <c r="JR123" s="541"/>
      <c r="JS123" s="541"/>
      <c r="JT123" s="541"/>
      <c r="JU123" s="541"/>
      <c r="JV123" s="541"/>
      <c r="JW123" s="541"/>
      <c r="JX123" s="541"/>
      <c r="JY123" s="541"/>
      <c r="JZ123" s="541"/>
      <c r="KA123" s="541"/>
      <c r="KB123" s="541"/>
      <c r="KC123" s="541"/>
      <c r="KD123" s="541"/>
      <c r="KE123" s="541"/>
      <c r="KF123" s="541"/>
      <c r="KG123" s="541"/>
      <c r="KH123" s="541"/>
      <c r="KI123" s="541"/>
      <c r="KJ123" s="541"/>
      <c r="KK123" s="541"/>
      <c r="KL123" s="541"/>
      <c r="KM123" s="541"/>
      <c r="KN123" s="541"/>
      <c r="KO123" s="541"/>
      <c r="KP123" s="541"/>
      <c r="KQ123" s="541"/>
      <c r="KR123" s="541"/>
      <c r="KS123" s="541"/>
      <c r="KT123" s="541"/>
      <c r="KU123" s="541"/>
      <c r="KV123" s="541"/>
      <c r="KW123" s="541"/>
      <c r="KX123" s="541"/>
      <c r="KY123" s="541"/>
      <c r="KZ123" s="541"/>
      <c r="LA123" s="541"/>
      <c r="LB123" s="541"/>
      <c r="LC123" s="541"/>
      <c r="LD123" s="541"/>
      <c r="LE123" s="541"/>
      <c r="LF123" s="541"/>
      <c r="LG123" s="541"/>
      <c r="LH123" s="541"/>
      <c r="LI123" s="541"/>
      <c r="LJ123" s="541"/>
      <c r="LK123" s="541"/>
      <c r="LL123" s="541"/>
      <c r="LM123" s="541"/>
      <c r="LN123" s="541"/>
      <c r="LO123" s="541"/>
      <c r="LP123" s="541"/>
      <c r="LQ123" s="541"/>
      <c r="LR123" s="541"/>
      <c r="LS123" s="541"/>
      <c r="LT123" s="541"/>
      <c r="LU123" s="541"/>
      <c r="LV123" s="541"/>
      <c r="LW123" s="541"/>
      <c r="LX123" s="541"/>
      <c r="LY123" s="541"/>
      <c r="LZ123" s="541"/>
      <c r="MA123" s="541"/>
      <c r="MB123" s="541"/>
      <c r="MC123" s="541"/>
      <c r="MD123" s="541"/>
      <c r="ME123" s="541"/>
      <c r="MF123" s="541"/>
      <c r="MG123" s="541"/>
      <c r="MH123" s="541"/>
      <c r="MI123" s="541"/>
      <c r="MJ123" s="541"/>
      <c r="MK123" s="541"/>
      <c r="ML123" s="541"/>
      <c r="MM123" s="541"/>
      <c r="MN123" s="541"/>
      <c r="MO123" s="541"/>
      <c r="MP123" s="541"/>
      <c r="MQ123" s="541"/>
      <c r="MR123" s="541"/>
      <c r="MS123" s="541"/>
      <c r="MT123" s="541"/>
      <c r="MU123" s="541"/>
      <c r="MV123" s="541"/>
      <c r="MW123" s="541"/>
      <c r="MX123" s="541"/>
      <c r="MY123" s="541"/>
      <c r="MZ123" s="541"/>
      <c r="NA123" s="541"/>
      <c r="NB123" s="541"/>
      <c r="NC123" s="541"/>
      <c r="ND123" s="541"/>
      <c r="NE123" s="541"/>
      <c r="NF123" s="541"/>
      <c r="NG123" s="541"/>
      <c r="NH123" s="541"/>
      <c r="NI123" s="541"/>
      <c r="NJ123" s="541"/>
      <c r="NK123" s="541"/>
      <c r="NL123" s="541"/>
      <c r="NM123" s="541"/>
      <c r="NN123" s="541"/>
      <c r="NO123" s="541"/>
      <c r="NP123" s="541"/>
      <c r="NQ123" s="541"/>
      <c r="NR123" s="541"/>
      <c r="NS123" s="541"/>
      <c r="NT123" s="541"/>
      <c r="NU123" s="541"/>
      <c r="NV123" s="541"/>
      <c r="NW123" s="541"/>
      <c r="NX123" s="541"/>
      <c r="NY123" s="541"/>
      <c r="NZ123" s="541"/>
      <c r="OA123" s="541"/>
      <c r="OB123" s="541"/>
      <c r="OC123" s="541"/>
      <c r="OD123" s="541"/>
      <c r="OE123" s="541"/>
      <c r="OF123" s="541"/>
      <c r="OG123" s="541"/>
      <c r="OH123" s="541"/>
      <c r="OI123" s="541"/>
      <c r="OJ123" s="541"/>
      <c r="OK123" s="541"/>
      <c r="OL123" s="541"/>
      <c r="OM123" s="541"/>
      <c r="ON123" s="541"/>
      <c r="OO123" s="541"/>
      <c r="OP123" s="541"/>
      <c r="OQ123" s="541"/>
      <c r="OR123" s="541"/>
      <c r="OS123" s="541"/>
      <c r="OT123" s="541"/>
      <c r="OU123" s="541"/>
      <c r="OV123" s="541"/>
      <c r="OW123" s="541"/>
      <c r="OX123" s="541"/>
      <c r="OY123" s="541"/>
      <c r="OZ123" s="541"/>
      <c r="PA123" s="541"/>
      <c r="PB123" s="541"/>
      <c r="PC123" s="541"/>
      <c r="PD123" s="541"/>
      <c r="PE123" s="541"/>
      <c r="PF123" s="541"/>
      <c r="PG123" s="541"/>
      <c r="PH123" s="541"/>
      <c r="PI123" s="541"/>
      <c r="PJ123" s="541"/>
      <c r="PK123" s="541"/>
      <c r="PL123" s="541"/>
      <c r="PM123" s="541"/>
      <c r="PN123" s="541"/>
      <c r="PO123" s="541"/>
      <c r="PP123" s="541"/>
      <c r="PQ123" s="541"/>
      <c r="PR123" s="541"/>
      <c r="PS123" s="541"/>
      <c r="PT123" s="541"/>
      <c r="PU123" s="541"/>
      <c r="PV123" s="541"/>
      <c r="PW123" s="541"/>
      <c r="PX123" s="541"/>
      <c r="PY123" s="541"/>
      <c r="PZ123" s="541"/>
      <c r="QA123" s="541"/>
      <c r="QB123" s="541"/>
      <c r="QC123" s="541"/>
      <c r="QD123" s="541"/>
      <c r="QE123" s="541"/>
      <c r="QF123" s="541"/>
      <c r="QG123" s="541"/>
      <c r="QH123" s="541"/>
      <c r="QI123" s="541"/>
      <c r="QJ123" s="541"/>
      <c r="QK123" s="541"/>
      <c r="QL123" s="541"/>
      <c r="QM123" s="541"/>
      <c r="QN123" s="541"/>
      <c r="QO123" s="541"/>
      <c r="QP123" s="541"/>
      <c r="QQ123" s="541"/>
      <c r="QR123" s="541"/>
      <c r="QS123" s="541"/>
      <c r="QT123" s="541"/>
      <c r="QU123" s="541"/>
      <c r="QV123" s="541"/>
      <c r="QW123" s="541"/>
      <c r="QX123" s="541"/>
      <c r="QY123" s="541"/>
      <c r="QZ123" s="541"/>
      <c r="RA123" s="541"/>
      <c r="RB123" s="541"/>
      <c r="RC123" s="541"/>
      <c r="RD123" s="541"/>
      <c r="RE123" s="541"/>
      <c r="RF123" s="541"/>
      <c r="RG123" s="541"/>
      <c r="RH123" s="541"/>
      <c r="RI123" s="541"/>
      <c r="RJ123" s="541"/>
      <c r="RK123" s="541"/>
      <c r="RL123" s="541"/>
      <c r="RM123" s="541"/>
      <c r="RN123" s="541"/>
      <c r="RO123" s="541"/>
      <c r="RP123" s="541"/>
      <c r="RQ123" s="541"/>
      <c r="RR123" s="541"/>
      <c r="RS123" s="541"/>
      <c r="RT123" s="541"/>
      <c r="RU123" s="541"/>
      <c r="RV123" s="541"/>
      <c r="RW123" s="541"/>
      <c r="RX123" s="541"/>
      <c r="RY123" s="541"/>
      <c r="RZ123" s="541"/>
      <c r="SA123" s="541"/>
      <c r="SB123" s="541"/>
      <c r="SC123" s="541"/>
      <c r="SD123" s="541"/>
      <c r="SE123" s="541"/>
      <c r="SF123" s="541"/>
      <c r="SG123" s="541"/>
      <c r="SH123" s="541"/>
      <c r="SI123" s="541"/>
      <c r="SJ123" s="541"/>
      <c r="SK123" s="541"/>
      <c r="SL123" s="541"/>
      <c r="SM123" s="541"/>
      <c r="SN123" s="541"/>
      <c r="SO123" s="541"/>
      <c r="SP123" s="541"/>
      <c r="SQ123" s="541"/>
      <c r="SR123" s="541"/>
      <c r="SS123" s="541"/>
      <c r="ST123" s="541"/>
      <c r="SU123" s="541"/>
      <c r="SV123" s="541"/>
      <c r="SW123" s="541"/>
      <c r="SX123" s="541"/>
      <c r="SY123" s="541"/>
      <c r="SZ123" s="541"/>
      <c r="TA123" s="541"/>
      <c r="TB123" s="541"/>
      <c r="TC123" s="541"/>
      <c r="TD123" s="541"/>
      <c r="TE123" s="541"/>
      <c r="TF123" s="541"/>
      <c r="TG123" s="541"/>
      <c r="TH123" s="541"/>
      <c r="TI123" s="541"/>
      <c r="TJ123" s="541"/>
      <c r="TK123" s="541"/>
      <c r="TL123" s="541"/>
      <c r="TM123" s="541"/>
      <c r="TN123" s="541"/>
      <c r="TO123" s="541"/>
      <c r="TP123" s="541"/>
      <c r="TQ123" s="541"/>
      <c r="TR123" s="541"/>
      <c r="TS123" s="541"/>
      <c r="TT123" s="541"/>
      <c r="TU123" s="541"/>
      <c r="TV123" s="541"/>
      <c r="TW123" s="541"/>
      <c r="TX123" s="541"/>
      <c r="TY123" s="541"/>
      <c r="TZ123" s="541"/>
      <c r="UA123" s="541"/>
      <c r="UB123" s="541"/>
      <c r="UC123" s="541"/>
      <c r="UD123" s="541"/>
      <c r="UE123" s="541"/>
      <c r="UF123" s="541"/>
      <c r="UG123" s="541"/>
      <c r="UH123" s="541"/>
      <c r="UI123" s="541"/>
      <c r="UJ123" s="541"/>
      <c r="UK123" s="541"/>
      <c r="UL123" s="541"/>
      <c r="UM123" s="541"/>
      <c r="UN123" s="541"/>
      <c r="UO123" s="541"/>
      <c r="UP123" s="541"/>
      <c r="UQ123" s="541"/>
      <c r="UR123" s="541"/>
      <c r="US123" s="541"/>
      <c r="UT123" s="541"/>
      <c r="UU123" s="541"/>
      <c r="UV123" s="541"/>
      <c r="UW123" s="541"/>
      <c r="UX123" s="541"/>
      <c r="UY123" s="541"/>
      <c r="UZ123" s="541"/>
      <c r="VA123" s="541"/>
      <c r="VB123" s="541"/>
      <c r="VC123" s="541"/>
      <c r="VD123" s="541"/>
      <c r="VE123" s="541"/>
      <c r="VF123" s="541"/>
      <c r="VG123" s="541"/>
      <c r="VH123" s="541"/>
      <c r="VI123" s="541"/>
      <c r="VJ123" s="541"/>
      <c r="VK123" s="541"/>
      <c r="VL123" s="541"/>
      <c r="VM123" s="541"/>
      <c r="VN123" s="541"/>
      <c r="VO123" s="541"/>
      <c r="VP123" s="541"/>
      <c r="VQ123" s="541"/>
      <c r="VR123" s="541"/>
      <c r="VS123" s="541"/>
      <c r="VT123" s="541"/>
      <c r="VU123" s="541"/>
      <c r="VV123" s="541"/>
      <c r="VW123" s="541"/>
      <c r="VX123" s="541"/>
      <c r="VY123" s="541"/>
      <c r="VZ123" s="541"/>
      <c r="WA123" s="541"/>
      <c r="WB123" s="541"/>
      <c r="WC123" s="541"/>
      <c r="WD123" s="541"/>
      <c r="WE123" s="541"/>
      <c r="WF123" s="541"/>
      <c r="WG123" s="541"/>
      <c r="WH123" s="541"/>
      <c r="WI123" s="541"/>
      <c r="WJ123" s="541"/>
      <c r="WK123" s="541"/>
      <c r="WL123" s="541"/>
      <c r="WM123" s="541"/>
      <c r="WN123" s="541"/>
      <c r="WO123" s="541"/>
      <c r="WP123" s="541"/>
      <c r="WQ123" s="541"/>
      <c r="WR123" s="541"/>
      <c r="WS123" s="541"/>
      <c r="WT123" s="541"/>
      <c r="WU123" s="541"/>
      <c r="WV123" s="541"/>
      <c r="WW123" s="541"/>
      <c r="WX123" s="541"/>
      <c r="WY123" s="541"/>
      <c r="WZ123" s="541"/>
      <c r="XA123" s="541"/>
      <c r="XB123" s="541"/>
      <c r="XC123" s="541"/>
      <c r="XD123" s="541"/>
      <c r="XE123" s="541"/>
      <c r="XF123" s="541"/>
      <c r="XG123" s="541"/>
      <c r="XH123" s="541"/>
      <c r="XI123" s="541"/>
      <c r="XJ123" s="541"/>
      <c r="XK123" s="541"/>
      <c r="XL123" s="541"/>
      <c r="XM123" s="541"/>
      <c r="XN123" s="541"/>
      <c r="XO123" s="541"/>
      <c r="XP123" s="541"/>
      <c r="XQ123" s="541"/>
      <c r="XR123" s="541"/>
      <c r="XS123" s="541"/>
      <c r="XT123" s="541"/>
      <c r="XU123" s="541"/>
      <c r="XV123" s="541"/>
      <c r="XW123" s="541"/>
      <c r="XX123" s="541"/>
      <c r="XY123" s="541"/>
      <c r="XZ123" s="541"/>
      <c r="YA123" s="541"/>
      <c r="YB123" s="541"/>
      <c r="YC123" s="541"/>
      <c r="YD123" s="541"/>
      <c r="YE123" s="541"/>
      <c r="YF123" s="541"/>
      <c r="YG123" s="541"/>
      <c r="YH123" s="541"/>
      <c r="YI123" s="541"/>
      <c r="YJ123" s="541"/>
      <c r="YK123" s="541"/>
      <c r="YL123" s="541"/>
      <c r="YM123" s="541"/>
      <c r="YN123" s="541"/>
      <c r="YO123" s="541"/>
      <c r="YP123" s="541"/>
      <c r="YQ123" s="541"/>
      <c r="YR123" s="541"/>
      <c r="YS123" s="541"/>
      <c r="YT123" s="541"/>
      <c r="YU123" s="541"/>
      <c r="YV123" s="541"/>
      <c r="YW123" s="541"/>
      <c r="YX123" s="541"/>
      <c r="YY123" s="541"/>
      <c r="YZ123" s="541"/>
      <c r="ZA123" s="541"/>
      <c r="ZB123" s="541"/>
      <c r="ZC123" s="541"/>
      <c r="ZD123" s="541"/>
      <c r="ZE123" s="541"/>
      <c r="ZF123" s="541"/>
      <c r="ZG123" s="541"/>
      <c r="ZH123" s="541"/>
      <c r="ZI123" s="541"/>
      <c r="ZJ123" s="541"/>
      <c r="ZK123" s="541"/>
      <c r="ZL123" s="541"/>
      <c r="ZM123" s="541"/>
      <c r="ZN123" s="541"/>
      <c r="ZO123" s="541"/>
      <c r="ZP123" s="541"/>
      <c r="ZQ123" s="541"/>
      <c r="ZR123" s="541"/>
      <c r="ZS123" s="541"/>
      <c r="ZT123" s="541"/>
      <c r="ZU123" s="541"/>
      <c r="ZV123" s="541"/>
      <c r="ZW123" s="541"/>
      <c r="ZX123" s="541"/>
      <c r="ZY123" s="541"/>
      <c r="ZZ123" s="541"/>
      <c r="AAA123" s="541"/>
      <c r="AAB123" s="541"/>
      <c r="AAC123" s="541"/>
      <c r="AAD123" s="541"/>
      <c r="AAE123" s="541"/>
      <c r="AAF123" s="541"/>
      <c r="AAG123" s="541"/>
      <c r="AAH123" s="541"/>
      <c r="AAI123" s="541"/>
      <c r="AAJ123" s="541"/>
      <c r="AAK123" s="541"/>
      <c r="AAL123" s="541"/>
      <c r="AAM123" s="541"/>
      <c r="AAN123" s="541"/>
      <c r="AAO123" s="541"/>
      <c r="AAP123" s="541"/>
      <c r="AAQ123" s="541"/>
      <c r="AAR123" s="541"/>
      <c r="AAS123" s="541"/>
      <c r="AAT123" s="541"/>
      <c r="AAU123" s="541"/>
      <c r="AAV123" s="541"/>
      <c r="AAW123" s="541"/>
      <c r="AAX123" s="541"/>
      <c r="AAY123" s="541"/>
      <c r="AAZ123" s="541"/>
      <c r="ABA123" s="541"/>
      <c r="ABB123" s="541"/>
      <c r="ABC123" s="541"/>
      <c r="ABD123" s="541"/>
      <c r="ABE123" s="541"/>
      <c r="ABF123" s="541"/>
      <c r="ABG123" s="541"/>
      <c r="ABH123" s="541"/>
      <c r="ABI123" s="541"/>
      <c r="ABJ123" s="541"/>
      <c r="ABK123" s="541"/>
      <c r="ABL123" s="541"/>
      <c r="ABM123" s="541"/>
      <c r="ABN123" s="541"/>
      <c r="ABO123" s="541"/>
      <c r="ABP123" s="541"/>
      <c r="ABQ123" s="541"/>
      <c r="ABR123" s="541"/>
      <c r="ABS123" s="541"/>
      <c r="ABT123" s="541"/>
      <c r="ABU123" s="541"/>
      <c r="ABV123" s="541"/>
      <c r="ABW123" s="541"/>
      <c r="ABX123" s="541"/>
      <c r="ABY123" s="541"/>
      <c r="ABZ123" s="541"/>
      <c r="ACA123" s="541"/>
      <c r="ACB123" s="541"/>
      <c r="ACC123" s="541"/>
      <c r="ACD123" s="541"/>
      <c r="ACE123" s="541"/>
      <c r="ACF123" s="541"/>
      <c r="ACG123" s="541"/>
      <c r="ACH123" s="541"/>
      <c r="ACI123" s="541"/>
      <c r="ACJ123" s="541"/>
      <c r="ACK123" s="541"/>
      <c r="ACL123" s="541"/>
      <c r="ACM123" s="541"/>
      <c r="ACN123" s="541"/>
      <c r="ACO123" s="541"/>
      <c r="ACP123" s="541"/>
      <c r="ACQ123" s="541"/>
      <c r="ACR123" s="541"/>
      <c r="ACS123" s="541"/>
      <c r="ACT123" s="541"/>
      <c r="ACU123" s="541"/>
      <c r="ACV123" s="541"/>
      <c r="ACW123" s="541"/>
      <c r="ACX123" s="541"/>
      <c r="ACY123" s="541"/>
      <c r="ACZ123" s="541"/>
      <c r="ADA123" s="541"/>
      <c r="ADB123" s="541"/>
      <c r="ADC123" s="541"/>
      <c r="ADD123" s="541"/>
      <c r="ADE123" s="541"/>
      <c r="ADF123" s="541"/>
      <c r="ADG123" s="541"/>
      <c r="ADH123" s="541"/>
      <c r="ADI123" s="541"/>
      <c r="ADJ123" s="541"/>
      <c r="ADK123" s="541"/>
      <c r="ADL123" s="541"/>
      <c r="ADM123" s="541"/>
      <c r="ADN123" s="541"/>
      <c r="ADO123" s="541"/>
      <c r="ADP123" s="541"/>
      <c r="ADQ123" s="541"/>
      <c r="ADR123" s="541"/>
      <c r="ADS123" s="541"/>
      <c r="ADT123" s="541"/>
      <c r="ADU123" s="541"/>
      <c r="ADV123" s="541"/>
      <c r="ADW123" s="541"/>
      <c r="ADX123" s="541"/>
      <c r="ADY123" s="541"/>
      <c r="ADZ123" s="541"/>
      <c r="AEA123" s="541"/>
      <c r="AEB123" s="541"/>
      <c r="AEC123" s="541"/>
      <c r="AED123" s="541"/>
      <c r="AEE123" s="541"/>
      <c r="AEF123" s="541"/>
      <c r="AEG123" s="541"/>
      <c r="AEH123" s="541"/>
      <c r="AEI123" s="541"/>
      <c r="AEJ123" s="541"/>
      <c r="AEK123" s="541"/>
      <c r="AEL123" s="541"/>
      <c r="AEM123" s="541"/>
      <c r="AEN123" s="541"/>
      <c r="AEO123" s="541"/>
      <c r="AEP123" s="541"/>
      <c r="AEQ123" s="541"/>
      <c r="AER123" s="541"/>
      <c r="AES123" s="541"/>
      <c r="AET123" s="541"/>
      <c r="AEU123" s="541"/>
      <c r="AEV123" s="541"/>
      <c r="AEW123" s="541"/>
      <c r="AEX123" s="541"/>
      <c r="AEY123" s="541"/>
      <c r="AEZ123" s="541"/>
      <c r="AFA123" s="541"/>
      <c r="AFB123" s="541"/>
      <c r="AFC123" s="541"/>
      <c r="AFD123" s="541"/>
      <c r="AFE123" s="541"/>
      <c r="AFF123" s="541"/>
      <c r="AFG123" s="541"/>
      <c r="AFH123" s="541"/>
      <c r="AFI123" s="541"/>
      <c r="AFJ123" s="541"/>
      <c r="AFK123" s="541"/>
      <c r="AFL123" s="541"/>
      <c r="AFM123" s="541"/>
      <c r="AFN123" s="541"/>
      <c r="AFO123" s="541"/>
      <c r="AFP123" s="541"/>
      <c r="AFQ123" s="541"/>
      <c r="AFR123" s="541"/>
      <c r="AFS123" s="541"/>
      <c r="AFT123" s="541"/>
      <c r="AFU123" s="541"/>
      <c r="AFV123" s="541"/>
      <c r="AFW123" s="541"/>
      <c r="AFX123" s="541"/>
      <c r="AFY123" s="541"/>
      <c r="AFZ123" s="541"/>
      <c r="AGA123" s="541"/>
      <c r="AGB123" s="541"/>
      <c r="AGC123" s="541"/>
      <c r="AGD123" s="541"/>
      <c r="AGE123" s="541"/>
      <c r="AGF123" s="541"/>
      <c r="AGG123" s="541"/>
      <c r="AGH123" s="541"/>
      <c r="AGI123" s="541"/>
      <c r="AGJ123" s="541"/>
      <c r="AGK123" s="541"/>
      <c r="AGL123" s="541"/>
      <c r="AGM123" s="541"/>
      <c r="AGN123" s="541"/>
      <c r="AGO123" s="541"/>
      <c r="AGP123" s="541"/>
      <c r="AGQ123" s="541"/>
      <c r="AGR123" s="541"/>
      <c r="AGS123" s="541"/>
      <c r="AGT123" s="541"/>
      <c r="AGU123" s="541"/>
      <c r="AGV123" s="541"/>
      <c r="AGW123" s="541"/>
      <c r="AGX123" s="541"/>
      <c r="AGY123" s="541"/>
      <c r="AGZ123" s="541"/>
      <c r="AHA123" s="541"/>
      <c r="AHB123" s="541"/>
      <c r="AHC123" s="541"/>
      <c r="AHD123" s="541"/>
      <c r="AHE123" s="541"/>
      <c r="AHF123" s="541"/>
      <c r="AHG123" s="541"/>
      <c r="AHH123" s="541"/>
      <c r="AHI123" s="541"/>
      <c r="AHJ123" s="541"/>
      <c r="AHK123" s="541"/>
      <c r="AHL123" s="541"/>
      <c r="AHM123" s="541"/>
      <c r="AHN123" s="541"/>
      <c r="AHO123" s="541"/>
      <c r="AHP123" s="541"/>
      <c r="AHQ123" s="541"/>
      <c r="AHR123" s="541"/>
      <c r="AHS123" s="541"/>
      <c r="AHT123" s="541"/>
      <c r="AHU123" s="541"/>
      <c r="AHV123" s="541"/>
      <c r="AHW123" s="541"/>
      <c r="AHX123" s="541"/>
      <c r="AHY123" s="541"/>
      <c r="AHZ123" s="541"/>
      <c r="AIA123" s="541"/>
      <c r="AIB123" s="541"/>
      <c r="AIC123" s="541"/>
      <c r="AID123" s="541"/>
      <c r="AIE123" s="541"/>
      <c r="AIF123" s="541"/>
      <c r="AIG123" s="541"/>
      <c r="AIH123" s="541"/>
      <c r="AII123" s="541"/>
      <c r="AIJ123" s="541"/>
      <c r="AIK123" s="541"/>
      <c r="AIL123" s="541"/>
      <c r="AIM123" s="541"/>
      <c r="AIN123" s="541"/>
      <c r="AIO123" s="541"/>
      <c r="AIP123" s="541"/>
      <c r="AIQ123" s="541"/>
      <c r="AIR123" s="541"/>
      <c r="AIS123" s="541"/>
      <c r="AIT123" s="541"/>
      <c r="AIU123" s="541"/>
      <c r="AIV123" s="541"/>
      <c r="AIW123" s="541"/>
      <c r="AIX123" s="541"/>
      <c r="AIY123" s="541"/>
      <c r="AIZ123" s="541"/>
      <c r="AJA123" s="541"/>
      <c r="AJB123" s="541"/>
      <c r="AJC123" s="541"/>
      <c r="AJD123" s="541"/>
      <c r="AJE123" s="541"/>
      <c r="AJF123" s="541"/>
      <c r="AJG123" s="541"/>
      <c r="AJH123" s="541"/>
      <c r="AJI123" s="541"/>
      <c r="AJJ123" s="541"/>
      <c r="AJK123" s="541"/>
      <c r="AJL123" s="541"/>
      <c r="AJM123" s="541"/>
      <c r="AJN123" s="541"/>
      <c r="AJO123" s="541"/>
      <c r="AJP123" s="541"/>
      <c r="AJQ123" s="541"/>
      <c r="AJR123" s="541"/>
      <c r="AJS123" s="541"/>
      <c r="AJT123" s="541"/>
      <c r="AJU123" s="541"/>
      <c r="AJV123" s="541"/>
      <c r="AJW123" s="541"/>
      <c r="AJX123" s="541"/>
      <c r="AJY123" s="541"/>
      <c r="AJZ123" s="541"/>
      <c r="AKA123" s="541"/>
      <c r="AKB123" s="541"/>
      <c r="AKC123" s="541"/>
      <c r="AKD123" s="541"/>
      <c r="AKE123" s="541"/>
      <c r="AKF123" s="541"/>
      <c r="AKG123" s="541"/>
      <c r="AKH123" s="541"/>
      <c r="AKI123" s="541"/>
      <c r="AKJ123" s="541"/>
      <c r="AKK123" s="541"/>
      <c r="AKL123" s="541"/>
      <c r="AKM123" s="541"/>
      <c r="AKN123" s="541"/>
      <c r="AKO123" s="541"/>
      <c r="AKP123" s="541"/>
      <c r="AKQ123" s="541"/>
      <c r="AKR123" s="541"/>
      <c r="AKS123" s="541"/>
      <c r="AKT123" s="541"/>
      <c r="AKU123" s="541"/>
      <c r="AKV123" s="541"/>
      <c r="AKW123" s="541"/>
      <c r="AKX123" s="541"/>
      <c r="AKY123" s="541"/>
      <c r="AKZ123" s="541"/>
      <c r="ALA123" s="541"/>
      <c r="ALB123" s="541"/>
      <c r="ALC123" s="541"/>
      <c r="ALD123" s="541"/>
      <c r="ALE123" s="541"/>
      <c r="ALF123" s="541"/>
      <c r="ALG123" s="541"/>
      <c r="ALH123" s="541"/>
      <c r="ALI123" s="541"/>
      <c r="ALJ123" s="541"/>
      <c r="ALK123" s="541"/>
      <c r="ALL123" s="541"/>
      <c r="ALM123" s="541"/>
      <c r="ALN123" s="541"/>
      <c r="ALO123" s="541"/>
      <c r="ALP123" s="541"/>
      <c r="ALQ123" s="541"/>
      <c r="ALR123" s="541"/>
      <c r="ALS123" s="541"/>
      <c r="ALT123" s="541"/>
      <c r="ALU123" s="541"/>
      <c r="ALV123" s="541"/>
      <c r="ALW123" s="541"/>
      <c r="ALX123" s="541"/>
      <c r="ALY123" s="541"/>
      <c r="ALZ123" s="541"/>
      <c r="AMA123" s="541"/>
      <c r="AMB123" s="541"/>
      <c r="AMC123" s="541"/>
      <c r="AMD123" s="541"/>
      <c r="AME123" s="541"/>
      <c r="AMF123" s="541"/>
      <c r="AMG123" s="541"/>
      <c r="AMH123" s="541"/>
      <c r="AMI123" s="541"/>
      <c r="AMJ123" s="541"/>
      <c r="AMK123" s="541"/>
      <c r="AML123" s="541"/>
      <c r="AMM123" s="541"/>
      <c r="AMN123" s="541"/>
      <c r="AMO123" s="541"/>
      <c r="AMP123" s="541"/>
      <c r="AMQ123" s="541"/>
      <c r="AMR123" s="541"/>
      <c r="AMS123" s="541"/>
      <c r="AMT123" s="541"/>
      <c r="AMU123" s="541"/>
      <c r="AMV123" s="541"/>
      <c r="AMW123" s="541"/>
      <c r="AMX123" s="541"/>
      <c r="AMY123" s="541"/>
      <c r="AMZ123" s="541"/>
      <c r="ANA123" s="541"/>
      <c r="ANB123" s="541"/>
      <c r="ANC123" s="541"/>
      <c r="AND123" s="541"/>
      <c r="ANE123" s="541"/>
      <c r="ANF123" s="541"/>
      <c r="ANG123" s="541"/>
      <c r="ANH123" s="541"/>
      <c r="ANI123" s="541"/>
      <c r="ANJ123" s="541"/>
      <c r="ANK123" s="541"/>
      <c r="ANL123" s="541"/>
      <c r="ANM123" s="541"/>
      <c r="ANN123" s="541"/>
      <c r="ANO123" s="541"/>
      <c r="ANP123" s="541"/>
      <c r="ANQ123" s="541"/>
      <c r="ANR123" s="541"/>
      <c r="ANS123" s="541"/>
      <c r="ANT123" s="541"/>
      <c r="ANU123" s="541"/>
      <c r="ANV123" s="541"/>
      <c r="ANW123" s="541"/>
      <c r="ANX123" s="541"/>
      <c r="ANY123" s="541"/>
      <c r="ANZ123" s="541"/>
      <c r="AOA123" s="541"/>
      <c r="AOB123" s="541"/>
      <c r="AOC123" s="541"/>
      <c r="AOD123" s="541"/>
      <c r="AOE123" s="541"/>
      <c r="AOF123" s="541"/>
      <c r="AOG123" s="541"/>
      <c r="AOH123" s="541"/>
      <c r="AOI123" s="541"/>
      <c r="AOJ123" s="541"/>
      <c r="AOK123" s="541"/>
      <c r="AOL123" s="541"/>
      <c r="AOM123" s="541"/>
      <c r="AON123" s="541"/>
      <c r="AOO123" s="541"/>
      <c r="AOP123" s="541"/>
      <c r="AOQ123" s="541"/>
      <c r="AOR123" s="541"/>
      <c r="AOS123" s="541"/>
      <c r="AOT123" s="541"/>
      <c r="AOU123" s="541"/>
      <c r="AOV123" s="541"/>
      <c r="AOW123" s="541"/>
      <c r="AOX123" s="541"/>
      <c r="AOY123" s="541"/>
      <c r="AOZ123" s="541"/>
      <c r="APA123" s="541"/>
      <c r="APB123" s="541"/>
      <c r="APC123" s="541"/>
      <c r="APD123" s="541"/>
      <c r="APE123" s="541"/>
      <c r="APF123" s="541"/>
      <c r="APG123" s="541"/>
      <c r="APH123" s="541"/>
      <c r="API123" s="541"/>
      <c r="APJ123" s="541"/>
      <c r="APK123" s="541"/>
      <c r="APL123" s="541"/>
      <c r="APM123" s="541"/>
      <c r="APN123" s="541"/>
      <c r="APO123" s="541"/>
      <c r="APP123" s="541"/>
      <c r="APQ123" s="541"/>
      <c r="APR123" s="541"/>
      <c r="APS123" s="541"/>
      <c r="APT123" s="541"/>
      <c r="APU123" s="541"/>
      <c r="APV123" s="541"/>
      <c r="APW123" s="541"/>
      <c r="APX123" s="541"/>
      <c r="APY123" s="541"/>
      <c r="APZ123" s="541"/>
      <c r="AQA123" s="541"/>
      <c r="AQB123" s="541"/>
      <c r="AQC123" s="541"/>
      <c r="AQD123" s="541"/>
      <c r="AQE123" s="541"/>
      <c r="AQF123" s="541"/>
      <c r="AQG123" s="541"/>
      <c r="AQH123" s="541"/>
      <c r="AQI123" s="541"/>
      <c r="AQJ123" s="541"/>
      <c r="AQK123" s="541"/>
      <c r="AQL123" s="541"/>
      <c r="AQM123" s="541"/>
      <c r="AQN123" s="541"/>
      <c r="AQO123" s="541"/>
      <c r="AQP123" s="541"/>
      <c r="AQQ123" s="541"/>
      <c r="AQR123" s="541"/>
      <c r="AQS123" s="541"/>
      <c r="AQT123" s="541"/>
      <c r="AQU123" s="541"/>
      <c r="AQV123" s="541"/>
      <c r="AQW123" s="541"/>
      <c r="AQX123" s="541"/>
      <c r="AQY123" s="541"/>
      <c r="AQZ123" s="541"/>
      <c r="ARA123" s="541"/>
      <c r="ARB123" s="541"/>
      <c r="ARC123" s="541"/>
      <c r="ARD123" s="541"/>
      <c r="ARE123" s="541"/>
      <c r="ARF123" s="541"/>
      <c r="ARG123" s="541"/>
      <c r="ARH123" s="541"/>
      <c r="ARI123" s="541"/>
      <c r="ARJ123" s="541"/>
      <c r="ARK123" s="541"/>
      <c r="ARL123" s="541"/>
      <c r="ARM123" s="541"/>
      <c r="ARN123" s="541"/>
      <c r="ARO123" s="541"/>
      <c r="ARP123" s="541"/>
      <c r="ARQ123" s="541"/>
      <c r="ARR123" s="541"/>
      <c r="ARS123" s="541"/>
      <c r="ART123" s="541"/>
      <c r="ARU123" s="541"/>
    </row>
    <row r="124" spans="1:1165" s="658" customFormat="1">
      <c r="A124" s="613" t="s">
        <v>341</v>
      </c>
      <c r="B124" s="578" t="s">
        <v>110</v>
      </c>
      <c r="C124" s="659">
        <v>178695</v>
      </c>
      <c r="D124" s="659">
        <v>20721196</v>
      </c>
      <c r="E124" s="581">
        <v>26911</v>
      </c>
      <c r="F124" s="581">
        <v>5545374</v>
      </c>
      <c r="G124" s="581">
        <v>15786</v>
      </c>
      <c r="H124" s="581">
        <v>3202746</v>
      </c>
      <c r="I124" s="581">
        <v>15318</v>
      </c>
      <c r="J124" s="581">
        <v>3047564</v>
      </c>
      <c r="K124" s="581">
        <v>10193</v>
      </c>
      <c r="L124" s="581">
        <v>1842513</v>
      </c>
      <c r="M124" s="581">
        <v>32110</v>
      </c>
      <c r="N124" s="581">
        <v>6951500</v>
      </c>
      <c r="O124" s="581">
        <v>13809</v>
      </c>
      <c r="P124" s="581">
        <v>4003028</v>
      </c>
      <c r="Q124" s="581">
        <v>14143</v>
      </c>
      <c r="R124" s="581">
        <v>5315181</v>
      </c>
      <c r="S124" s="581">
        <v>11290</v>
      </c>
      <c r="T124" s="581">
        <v>4663700</v>
      </c>
      <c r="U124" s="598">
        <v>12946</v>
      </c>
      <c r="V124" s="598">
        <v>5297600</v>
      </c>
      <c r="W124" s="598">
        <v>22498</v>
      </c>
      <c r="X124" s="598">
        <v>10336566</v>
      </c>
      <c r="Y124" s="598">
        <v>20839</v>
      </c>
      <c r="Z124" s="598">
        <v>11511265</v>
      </c>
      <c r="AA124" s="619">
        <v>12944</v>
      </c>
      <c r="AB124" s="619">
        <v>8064715</v>
      </c>
      <c r="AC124" s="598">
        <v>11463</v>
      </c>
      <c r="AD124" s="598">
        <v>5204073</v>
      </c>
      <c r="AE124" s="579">
        <v>12689</v>
      </c>
      <c r="AF124" s="579">
        <v>4850531</v>
      </c>
      <c r="AG124" s="579">
        <v>21677</v>
      </c>
      <c r="AH124" s="579">
        <v>8149179</v>
      </c>
      <c r="AI124" s="579">
        <v>20283</v>
      </c>
      <c r="AJ124" s="579">
        <v>8011826</v>
      </c>
      <c r="AK124" s="661">
        <v>33170</v>
      </c>
      <c r="AL124" s="661">
        <v>15849797</v>
      </c>
      <c r="AM124" s="662">
        <v>22482</v>
      </c>
      <c r="AN124" s="662">
        <v>11687280</v>
      </c>
      <c r="AO124" s="579">
        <v>28971</v>
      </c>
      <c r="AP124" s="579">
        <v>11680489</v>
      </c>
      <c r="AQ124" s="579">
        <v>31527.75</v>
      </c>
      <c r="AR124" s="579">
        <v>13887829.9</v>
      </c>
      <c r="AS124" s="579">
        <v>37849</v>
      </c>
      <c r="AT124" s="579">
        <v>16550625</v>
      </c>
      <c r="AU124" s="619">
        <v>24792</v>
      </c>
      <c r="AV124" s="619">
        <v>12149759</v>
      </c>
      <c r="AW124" s="598">
        <v>43750</v>
      </c>
      <c r="AX124" s="598">
        <v>21205504</v>
      </c>
      <c r="AY124" s="581">
        <v>46673</v>
      </c>
      <c r="AZ124" s="581">
        <v>17280177</v>
      </c>
      <c r="BA124" s="663"/>
      <c r="BB124" s="598"/>
      <c r="BC124" s="664"/>
      <c r="BD124" s="598"/>
      <c r="BE124" s="664"/>
      <c r="BF124" s="598"/>
      <c r="BG124" s="664"/>
      <c r="BH124" s="598"/>
      <c r="BI124" s="664"/>
      <c r="BJ124" s="651">
        <f t="shared" si="12"/>
        <v>695897.75</v>
      </c>
      <c r="BK124" s="651">
        <f t="shared" si="13"/>
        <v>231464643.90000001</v>
      </c>
      <c r="BL124" s="541"/>
      <c r="BM124" s="624"/>
      <c r="BN124" s="624"/>
      <c r="BO124" s="624"/>
      <c r="BP124" s="624"/>
      <c r="BQ124" s="541"/>
      <c r="BR124" s="541"/>
      <c r="BS124" s="541"/>
      <c r="BT124" s="541"/>
      <c r="BU124" s="541"/>
      <c r="BV124" s="541"/>
      <c r="BW124" s="541"/>
      <c r="BX124" s="541"/>
      <c r="BY124" s="541"/>
      <c r="BZ124" s="541"/>
      <c r="CA124" s="541"/>
      <c r="CB124" s="541"/>
      <c r="CC124" s="541"/>
      <c r="CD124" s="541"/>
      <c r="CE124" s="541"/>
      <c r="CF124" s="541"/>
      <c r="CG124" s="541"/>
      <c r="CH124" s="541"/>
      <c r="CI124" s="541"/>
      <c r="CJ124" s="541"/>
      <c r="CK124" s="541"/>
      <c r="CL124" s="541"/>
      <c r="CM124" s="541"/>
      <c r="CN124" s="541"/>
      <c r="CO124" s="541"/>
      <c r="CP124" s="541"/>
      <c r="CQ124" s="541"/>
      <c r="CR124" s="541"/>
      <c r="CS124" s="541"/>
      <c r="CT124" s="541"/>
      <c r="CU124" s="541"/>
      <c r="CV124" s="541"/>
      <c r="CW124" s="541"/>
      <c r="CX124" s="541"/>
      <c r="CY124" s="541"/>
      <c r="CZ124" s="541"/>
      <c r="DA124" s="541"/>
      <c r="DB124" s="541"/>
      <c r="DC124" s="541"/>
      <c r="DD124" s="541"/>
      <c r="DE124" s="541"/>
      <c r="DF124" s="541"/>
      <c r="DG124" s="541"/>
      <c r="DH124" s="541"/>
      <c r="DI124" s="541"/>
      <c r="DJ124" s="541"/>
      <c r="DK124" s="541"/>
      <c r="DL124" s="541"/>
      <c r="DM124" s="541"/>
      <c r="DN124" s="541"/>
      <c r="DO124" s="541"/>
      <c r="DP124" s="541"/>
      <c r="DQ124" s="541"/>
      <c r="DR124" s="541"/>
      <c r="DS124" s="541"/>
      <c r="DT124" s="541"/>
      <c r="DU124" s="541"/>
      <c r="DV124" s="541"/>
      <c r="DW124" s="541"/>
      <c r="DX124" s="541"/>
      <c r="DY124" s="541"/>
      <c r="DZ124" s="541"/>
      <c r="EA124" s="541"/>
      <c r="EB124" s="541"/>
      <c r="EC124" s="541"/>
      <c r="ED124" s="541"/>
      <c r="EE124" s="541"/>
      <c r="EF124" s="541"/>
      <c r="EG124" s="541"/>
      <c r="EH124" s="541"/>
      <c r="EI124" s="541"/>
      <c r="EJ124" s="541"/>
      <c r="EK124" s="541"/>
      <c r="EL124" s="541"/>
      <c r="EM124" s="541"/>
      <c r="EN124" s="541"/>
      <c r="EO124" s="541"/>
      <c r="EP124" s="541"/>
      <c r="EQ124" s="541"/>
      <c r="ER124" s="541"/>
      <c r="ES124" s="541"/>
      <c r="ET124" s="541"/>
      <c r="EU124" s="541"/>
      <c r="EV124" s="541"/>
      <c r="EW124" s="541"/>
      <c r="EX124" s="541"/>
      <c r="EY124" s="541"/>
      <c r="EZ124" s="541"/>
      <c r="FA124" s="541"/>
      <c r="FB124" s="541"/>
      <c r="FC124" s="541"/>
      <c r="FD124" s="541"/>
      <c r="FE124" s="541"/>
      <c r="FF124" s="541"/>
      <c r="FG124" s="541"/>
      <c r="FH124" s="541"/>
      <c r="FI124" s="541"/>
      <c r="FJ124" s="541"/>
      <c r="FK124" s="541"/>
      <c r="FL124" s="541"/>
      <c r="FM124" s="541"/>
      <c r="FN124" s="541"/>
      <c r="FO124" s="541"/>
      <c r="FP124" s="541"/>
      <c r="FQ124" s="541"/>
      <c r="FR124" s="541"/>
      <c r="FS124" s="541"/>
      <c r="FT124" s="541"/>
      <c r="FU124" s="541"/>
      <c r="FV124" s="541"/>
      <c r="FW124" s="541"/>
      <c r="FX124" s="541"/>
      <c r="FY124" s="541"/>
      <c r="FZ124" s="541"/>
      <c r="GA124" s="541"/>
      <c r="GB124" s="541"/>
      <c r="GC124" s="541"/>
      <c r="GD124" s="541"/>
      <c r="GE124" s="541"/>
      <c r="GF124" s="541"/>
      <c r="GG124" s="541"/>
      <c r="GH124" s="541"/>
      <c r="GI124" s="541"/>
      <c r="GJ124" s="541"/>
      <c r="GK124" s="541"/>
      <c r="GL124" s="541"/>
      <c r="GM124" s="541"/>
      <c r="GN124" s="541"/>
      <c r="GO124" s="541"/>
      <c r="GP124" s="541"/>
      <c r="GQ124" s="541"/>
      <c r="GR124" s="541"/>
      <c r="GS124" s="541"/>
      <c r="GT124" s="541"/>
      <c r="GU124" s="541"/>
      <c r="GV124" s="541"/>
      <c r="GW124" s="541"/>
      <c r="GX124" s="541"/>
      <c r="GY124" s="541"/>
      <c r="GZ124" s="541"/>
      <c r="HA124" s="541"/>
      <c r="HB124" s="541"/>
      <c r="HC124" s="541"/>
      <c r="HD124" s="541"/>
      <c r="HE124" s="541"/>
      <c r="HF124" s="541"/>
      <c r="HG124" s="541"/>
      <c r="HH124" s="541"/>
      <c r="HI124" s="541"/>
      <c r="HJ124" s="541"/>
      <c r="HK124" s="541"/>
      <c r="HL124" s="541"/>
      <c r="HM124" s="541"/>
      <c r="HN124" s="541"/>
      <c r="HO124" s="541"/>
      <c r="HP124" s="541"/>
      <c r="HQ124" s="541"/>
      <c r="HR124" s="541"/>
      <c r="HS124" s="541"/>
      <c r="HT124" s="541"/>
      <c r="HU124" s="541"/>
      <c r="HV124" s="541"/>
      <c r="HW124" s="541"/>
      <c r="HX124" s="541"/>
      <c r="HY124" s="541"/>
      <c r="HZ124" s="541"/>
      <c r="IA124" s="541"/>
      <c r="IB124" s="541"/>
      <c r="IC124" s="541"/>
      <c r="ID124" s="541"/>
      <c r="IE124" s="541"/>
      <c r="IF124" s="541"/>
      <c r="IG124" s="541"/>
      <c r="IH124" s="541"/>
      <c r="II124" s="541"/>
      <c r="IJ124" s="541"/>
      <c r="IK124" s="541"/>
      <c r="IL124" s="541"/>
      <c r="IM124" s="541"/>
      <c r="IN124" s="541"/>
      <c r="IO124" s="541"/>
      <c r="IP124" s="541"/>
      <c r="IQ124" s="541"/>
      <c r="IR124" s="541"/>
      <c r="IS124" s="541"/>
      <c r="IT124" s="541"/>
      <c r="IU124" s="541"/>
      <c r="IV124" s="541"/>
      <c r="IW124" s="541"/>
      <c r="IX124" s="541"/>
      <c r="IY124" s="541"/>
      <c r="IZ124" s="541"/>
      <c r="JA124" s="541"/>
      <c r="JB124" s="541"/>
      <c r="JC124" s="541"/>
      <c r="JD124" s="541"/>
      <c r="JE124" s="541"/>
      <c r="JF124" s="541"/>
      <c r="JG124" s="541"/>
      <c r="JH124" s="541"/>
      <c r="JI124" s="541"/>
      <c r="JJ124" s="541"/>
      <c r="JK124" s="541"/>
      <c r="JL124" s="541"/>
      <c r="JM124" s="541"/>
      <c r="JN124" s="541"/>
      <c r="JO124" s="541"/>
      <c r="JP124" s="541"/>
      <c r="JQ124" s="541"/>
      <c r="JR124" s="541"/>
      <c r="JS124" s="541"/>
      <c r="JT124" s="541"/>
      <c r="JU124" s="541"/>
      <c r="JV124" s="541"/>
      <c r="JW124" s="541"/>
      <c r="JX124" s="541"/>
      <c r="JY124" s="541"/>
      <c r="JZ124" s="541"/>
      <c r="KA124" s="541"/>
      <c r="KB124" s="541"/>
      <c r="KC124" s="541"/>
      <c r="KD124" s="541"/>
      <c r="KE124" s="541"/>
      <c r="KF124" s="541"/>
      <c r="KG124" s="541"/>
      <c r="KH124" s="541"/>
      <c r="KI124" s="541"/>
      <c r="KJ124" s="541"/>
      <c r="KK124" s="541"/>
      <c r="KL124" s="541"/>
      <c r="KM124" s="541"/>
      <c r="KN124" s="541"/>
      <c r="KO124" s="541"/>
      <c r="KP124" s="541"/>
      <c r="KQ124" s="541"/>
      <c r="KR124" s="541"/>
      <c r="KS124" s="541"/>
      <c r="KT124" s="541"/>
      <c r="KU124" s="541"/>
      <c r="KV124" s="541"/>
      <c r="KW124" s="541"/>
      <c r="KX124" s="541"/>
      <c r="KY124" s="541"/>
      <c r="KZ124" s="541"/>
      <c r="LA124" s="541"/>
      <c r="LB124" s="541"/>
      <c r="LC124" s="541"/>
      <c r="LD124" s="541"/>
      <c r="LE124" s="541"/>
      <c r="LF124" s="541"/>
      <c r="LG124" s="541"/>
      <c r="LH124" s="541"/>
      <c r="LI124" s="541"/>
      <c r="LJ124" s="541"/>
      <c r="LK124" s="541"/>
      <c r="LL124" s="541"/>
      <c r="LM124" s="541"/>
      <c r="LN124" s="541"/>
      <c r="LO124" s="541"/>
      <c r="LP124" s="541"/>
      <c r="LQ124" s="541"/>
      <c r="LR124" s="541"/>
      <c r="LS124" s="541"/>
      <c r="LT124" s="541"/>
      <c r="LU124" s="541"/>
      <c r="LV124" s="541"/>
      <c r="LW124" s="541"/>
      <c r="LX124" s="541"/>
      <c r="LY124" s="541"/>
      <c r="LZ124" s="541"/>
      <c r="MA124" s="541"/>
      <c r="MB124" s="541"/>
      <c r="MC124" s="541"/>
      <c r="MD124" s="541"/>
      <c r="ME124" s="541"/>
      <c r="MF124" s="541"/>
      <c r="MG124" s="541"/>
      <c r="MH124" s="541"/>
      <c r="MI124" s="541"/>
      <c r="MJ124" s="541"/>
      <c r="MK124" s="541"/>
      <c r="ML124" s="541"/>
      <c r="MM124" s="541"/>
      <c r="MN124" s="541"/>
      <c r="MO124" s="541"/>
      <c r="MP124" s="541"/>
      <c r="MQ124" s="541"/>
      <c r="MR124" s="541"/>
      <c r="MS124" s="541"/>
      <c r="MT124" s="541"/>
      <c r="MU124" s="541"/>
      <c r="MV124" s="541"/>
      <c r="MW124" s="541"/>
      <c r="MX124" s="541"/>
      <c r="MY124" s="541"/>
      <c r="MZ124" s="541"/>
      <c r="NA124" s="541"/>
      <c r="NB124" s="541"/>
      <c r="NC124" s="541"/>
      <c r="ND124" s="541"/>
      <c r="NE124" s="541"/>
      <c r="NF124" s="541"/>
      <c r="NG124" s="541"/>
      <c r="NH124" s="541"/>
      <c r="NI124" s="541"/>
      <c r="NJ124" s="541"/>
      <c r="NK124" s="541"/>
      <c r="NL124" s="541"/>
      <c r="NM124" s="541"/>
      <c r="NN124" s="541"/>
      <c r="NO124" s="541"/>
      <c r="NP124" s="541"/>
      <c r="NQ124" s="541"/>
      <c r="NR124" s="541"/>
      <c r="NS124" s="541"/>
      <c r="NT124" s="541"/>
      <c r="NU124" s="541"/>
      <c r="NV124" s="541"/>
      <c r="NW124" s="541"/>
      <c r="NX124" s="541"/>
      <c r="NY124" s="541"/>
      <c r="NZ124" s="541"/>
      <c r="OA124" s="541"/>
      <c r="OB124" s="541"/>
      <c r="OC124" s="541"/>
      <c r="OD124" s="541"/>
      <c r="OE124" s="541"/>
      <c r="OF124" s="541"/>
      <c r="OG124" s="541"/>
      <c r="OH124" s="541"/>
      <c r="OI124" s="541"/>
      <c r="OJ124" s="541"/>
      <c r="OK124" s="541"/>
      <c r="OL124" s="541"/>
      <c r="OM124" s="541"/>
      <c r="ON124" s="541"/>
      <c r="OO124" s="541"/>
      <c r="OP124" s="541"/>
      <c r="OQ124" s="541"/>
      <c r="OR124" s="541"/>
      <c r="OS124" s="541"/>
      <c r="OT124" s="541"/>
      <c r="OU124" s="541"/>
      <c r="OV124" s="541"/>
      <c r="OW124" s="541"/>
      <c r="OX124" s="541"/>
      <c r="OY124" s="541"/>
      <c r="OZ124" s="541"/>
      <c r="PA124" s="541"/>
      <c r="PB124" s="541"/>
      <c r="PC124" s="541"/>
      <c r="PD124" s="541"/>
      <c r="PE124" s="541"/>
      <c r="PF124" s="541"/>
      <c r="PG124" s="541"/>
      <c r="PH124" s="541"/>
      <c r="PI124" s="541"/>
      <c r="PJ124" s="541"/>
      <c r="PK124" s="541"/>
      <c r="PL124" s="541"/>
      <c r="PM124" s="541"/>
      <c r="PN124" s="541"/>
      <c r="PO124" s="541"/>
      <c r="PP124" s="541"/>
      <c r="PQ124" s="541"/>
      <c r="PR124" s="541"/>
      <c r="PS124" s="541"/>
      <c r="PT124" s="541"/>
      <c r="PU124" s="541"/>
      <c r="PV124" s="541"/>
      <c r="PW124" s="541"/>
      <c r="PX124" s="541"/>
      <c r="PY124" s="541"/>
      <c r="PZ124" s="541"/>
      <c r="QA124" s="541"/>
      <c r="QB124" s="541"/>
      <c r="QC124" s="541"/>
      <c r="QD124" s="541"/>
      <c r="QE124" s="541"/>
      <c r="QF124" s="541"/>
      <c r="QG124" s="541"/>
      <c r="QH124" s="541"/>
      <c r="QI124" s="541"/>
      <c r="QJ124" s="541"/>
      <c r="QK124" s="541"/>
      <c r="QL124" s="541"/>
      <c r="QM124" s="541"/>
      <c r="QN124" s="541"/>
      <c r="QO124" s="541"/>
      <c r="QP124" s="541"/>
      <c r="QQ124" s="541"/>
      <c r="QR124" s="541"/>
      <c r="QS124" s="541"/>
      <c r="QT124" s="541"/>
      <c r="QU124" s="541"/>
      <c r="QV124" s="541"/>
      <c r="QW124" s="541"/>
      <c r="QX124" s="541"/>
      <c r="QY124" s="541"/>
      <c r="QZ124" s="541"/>
      <c r="RA124" s="541"/>
      <c r="RB124" s="541"/>
      <c r="RC124" s="541"/>
      <c r="RD124" s="541"/>
      <c r="RE124" s="541"/>
      <c r="RF124" s="541"/>
      <c r="RG124" s="541"/>
      <c r="RH124" s="541"/>
      <c r="RI124" s="541"/>
      <c r="RJ124" s="541"/>
      <c r="RK124" s="541"/>
      <c r="RL124" s="541"/>
      <c r="RM124" s="541"/>
      <c r="RN124" s="541"/>
      <c r="RO124" s="541"/>
      <c r="RP124" s="541"/>
      <c r="RQ124" s="541"/>
      <c r="RR124" s="541"/>
      <c r="RS124" s="541"/>
      <c r="RT124" s="541"/>
      <c r="RU124" s="541"/>
      <c r="RV124" s="541"/>
      <c r="RW124" s="541"/>
      <c r="RX124" s="541"/>
      <c r="RY124" s="541"/>
      <c r="RZ124" s="541"/>
      <c r="SA124" s="541"/>
      <c r="SB124" s="541"/>
      <c r="SC124" s="541"/>
      <c r="SD124" s="541"/>
      <c r="SE124" s="541"/>
      <c r="SF124" s="541"/>
      <c r="SG124" s="541"/>
      <c r="SH124" s="541"/>
      <c r="SI124" s="541"/>
      <c r="SJ124" s="541"/>
      <c r="SK124" s="541"/>
      <c r="SL124" s="541"/>
      <c r="SM124" s="541"/>
      <c r="SN124" s="541"/>
      <c r="SO124" s="541"/>
      <c r="SP124" s="541"/>
      <c r="SQ124" s="541"/>
      <c r="SR124" s="541"/>
      <c r="SS124" s="541"/>
      <c r="ST124" s="541"/>
      <c r="SU124" s="541"/>
      <c r="SV124" s="541"/>
      <c r="SW124" s="541"/>
      <c r="SX124" s="541"/>
      <c r="SY124" s="541"/>
      <c r="SZ124" s="541"/>
      <c r="TA124" s="541"/>
      <c r="TB124" s="541"/>
      <c r="TC124" s="541"/>
      <c r="TD124" s="541"/>
      <c r="TE124" s="541"/>
      <c r="TF124" s="541"/>
      <c r="TG124" s="541"/>
      <c r="TH124" s="541"/>
      <c r="TI124" s="541"/>
      <c r="TJ124" s="541"/>
      <c r="TK124" s="541"/>
      <c r="TL124" s="541"/>
      <c r="TM124" s="541"/>
      <c r="TN124" s="541"/>
      <c r="TO124" s="541"/>
      <c r="TP124" s="541"/>
      <c r="TQ124" s="541"/>
      <c r="TR124" s="541"/>
      <c r="TS124" s="541"/>
      <c r="TT124" s="541"/>
      <c r="TU124" s="541"/>
      <c r="TV124" s="541"/>
      <c r="TW124" s="541"/>
      <c r="TX124" s="541"/>
      <c r="TY124" s="541"/>
      <c r="TZ124" s="541"/>
      <c r="UA124" s="541"/>
      <c r="UB124" s="541"/>
      <c r="UC124" s="541"/>
      <c r="UD124" s="541"/>
      <c r="UE124" s="541"/>
      <c r="UF124" s="541"/>
      <c r="UG124" s="541"/>
      <c r="UH124" s="541"/>
      <c r="UI124" s="541"/>
      <c r="UJ124" s="541"/>
      <c r="UK124" s="541"/>
      <c r="UL124" s="541"/>
      <c r="UM124" s="541"/>
      <c r="UN124" s="541"/>
      <c r="UO124" s="541"/>
      <c r="UP124" s="541"/>
      <c r="UQ124" s="541"/>
      <c r="UR124" s="541"/>
      <c r="US124" s="541"/>
      <c r="UT124" s="541"/>
      <c r="UU124" s="541"/>
      <c r="UV124" s="541"/>
      <c r="UW124" s="541"/>
      <c r="UX124" s="541"/>
      <c r="UY124" s="541"/>
      <c r="UZ124" s="541"/>
      <c r="VA124" s="541"/>
      <c r="VB124" s="541"/>
      <c r="VC124" s="541"/>
      <c r="VD124" s="541"/>
      <c r="VE124" s="541"/>
      <c r="VF124" s="541"/>
      <c r="VG124" s="541"/>
      <c r="VH124" s="541"/>
      <c r="VI124" s="541"/>
      <c r="VJ124" s="541"/>
      <c r="VK124" s="541"/>
      <c r="VL124" s="541"/>
      <c r="VM124" s="541"/>
      <c r="VN124" s="541"/>
      <c r="VO124" s="541"/>
      <c r="VP124" s="541"/>
      <c r="VQ124" s="541"/>
      <c r="VR124" s="541"/>
      <c r="VS124" s="541"/>
      <c r="VT124" s="541"/>
      <c r="VU124" s="541"/>
      <c r="VV124" s="541"/>
      <c r="VW124" s="541"/>
      <c r="VX124" s="541"/>
      <c r="VY124" s="541"/>
      <c r="VZ124" s="541"/>
      <c r="WA124" s="541"/>
      <c r="WB124" s="541"/>
      <c r="WC124" s="541"/>
      <c r="WD124" s="541"/>
      <c r="WE124" s="541"/>
      <c r="WF124" s="541"/>
      <c r="WG124" s="541"/>
      <c r="WH124" s="541"/>
      <c r="WI124" s="541"/>
      <c r="WJ124" s="541"/>
      <c r="WK124" s="541"/>
      <c r="WL124" s="541"/>
      <c r="WM124" s="541"/>
      <c r="WN124" s="541"/>
      <c r="WO124" s="541"/>
      <c r="WP124" s="541"/>
      <c r="WQ124" s="541"/>
      <c r="WR124" s="541"/>
      <c r="WS124" s="541"/>
      <c r="WT124" s="541"/>
      <c r="WU124" s="541"/>
      <c r="WV124" s="541"/>
      <c r="WW124" s="541"/>
      <c r="WX124" s="541"/>
      <c r="WY124" s="541"/>
      <c r="WZ124" s="541"/>
      <c r="XA124" s="541"/>
      <c r="XB124" s="541"/>
      <c r="XC124" s="541"/>
      <c r="XD124" s="541"/>
      <c r="XE124" s="541"/>
      <c r="XF124" s="541"/>
      <c r="XG124" s="541"/>
      <c r="XH124" s="541"/>
      <c r="XI124" s="541"/>
      <c r="XJ124" s="541"/>
      <c r="XK124" s="541"/>
      <c r="XL124" s="541"/>
      <c r="XM124" s="541"/>
      <c r="XN124" s="541"/>
      <c r="XO124" s="541"/>
      <c r="XP124" s="541"/>
      <c r="XQ124" s="541"/>
      <c r="XR124" s="541"/>
      <c r="XS124" s="541"/>
      <c r="XT124" s="541"/>
      <c r="XU124" s="541"/>
      <c r="XV124" s="541"/>
      <c r="XW124" s="541"/>
      <c r="XX124" s="541"/>
      <c r="XY124" s="541"/>
      <c r="XZ124" s="541"/>
      <c r="YA124" s="541"/>
      <c r="YB124" s="541"/>
      <c r="YC124" s="541"/>
      <c r="YD124" s="541"/>
      <c r="YE124" s="541"/>
      <c r="YF124" s="541"/>
      <c r="YG124" s="541"/>
      <c r="YH124" s="541"/>
      <c r="YI124" s="541"/>
      <c r="YJ124" s="541"/>
      <c r="YK124" s="541"/>
      <c r="YL124" s="541"/>
      <c r="YM124" s="541"/>
      <c r="YN124" s="541"/>
      <c r="YO124" s="541"/>
      <c r="YP124" s="541"/>
      <c r="YQ124" s="541"/>
      <c r="YR124" s="541"/>
      <c r="YS124" s="541"/>
      <c r="YT124" s="541"/>
      <c r="YU124" s="541"/>
      <c r="YV124" s="541"/>
      <c r="YW124" s="541"/>
      <c r="YX124" s="541"/>
      <c r="YY124" s="541"/>
      <c r="YZ124" s="541"/>
      <c r="ZA124" s="541"/>
      <c r="ZB124" s="541"/>
      <c r="ZC124" s="541"/>
      <c r="ZD124" s="541"/>
      <c r="ZE124" s="541"/>
      <c r="ZF124" s="541"/>
      <c r="ZG124" s="541"/>
      <c r="ZH124" s="541"/>
      <c r="ZI124" s="541"/>
      <c r="ZJ124" s="541"/>
      <c r="ZK124" s="541"/>
      <c r="ZL124" s="541"/>
      <c r="ZM124" s="541"/>
      <c r="ZN124" s="541"/>
      <c r="ZO124" s="541"/>
      <c r="ZP124" s="541"/>
      <c r="ZQ124" s="541"/>
      <c r="ZR124" s="541"/>
      <c r="ZS124" s="541"/>
      <c r="ZT124" s="541"/>
      <c r="ZU124" s="541"/>
      <c r="ZV124" s="541"/>
      <c r="ZW124" s="541"/>
      <c r="ZX124" s="541"/>
      <c r="ZY124" s="541"/>
      <c r="ZZ124" s="541"/>
      <c r="AAA124" s="541"/>
      <c r="AAB124" s="541"/>
      <c r="AAC124" s="541"/>
      <c r="AAD124" s="541"/>
      <c r="AAE124" s="541"/>
      <c r="AAF124" s="541"/>
      <c r="AAG124" s="541"/>
      <c r="AAH124" s="541"/>
      <c r="AAI124" s="541"/>
      <c r="AAJ124" s="541"/>
      <c r="AAK124" s="541"/>
      <c r="AAL124" s="541"/>
      <c r="AAM124" s="541"/>
      <c r="AAN124" s="541"/>
      <c r="AAO124" s="541"/>
      <c r="AAP124" s="541"/>
      <c r="AAQ124" s="541"/>
      <c r="AAR124" s="541"/>
      <c r="AAS124" s="541"/>
      <c r="AAT124" s="541"/>
      <c r="AAU124" s="541"/>
      <c r="AAV124" s="541"/>
      <c r="AAW124" s="541"/>
      <c r="AAX124" s="541"/>
      <c r="AAY124" s="541"/>
      <c r="AAZ124" s="541"/>
      <c r="ABA124" s="541"/>
      <c r="ABB124" s="541"/>
      <c r="ABC124" s="541"/>
      <c r="ABD124" s="541"/>
      <c r="ABE124" s="541"/>
      <c r="ABF124" s="541"/>
      <c r="ABG124" s="541"/>
      <c r="ABH124" s="541"/>
      <c r="ABI124" s="541"/>
      <c r="ABJ124" s="541"/>
      <c r="ABK124" s="541"/>
      <c r="ABL124" s="541"/>
      <c r="ABM124" s="541"/>
      <c r="ABN124" s="541"/>
      <c r="ABO124" s="541"/>
      <c r="ABP124" s="541"/>
      <c r="ABQ124" s="541"/>
      <c r="ABR124" s="541"/>
      <c r="ABS124" s="541"/>
      <c r="ABT124" s="541"/>
      <c r="ABU124" s="541"/>
      <c r="ABV124" s="541"/>
      <c r="ABW124" s="541"/>
      <c r="ABX124" s="541"/>
      <c r="ABY124" s="541"/>
      <c r="ABZ124" s="541"/>
      <c r="ACA124" s="541"/>
      <c r="ACB124" s="541"/>
      <c r="ACC124" s="541"/>
      <c r="ACD124" s="541"/>
      <c r="ACE124" s="541"/>
      <c r="ACF124" s="541"/>
      <c r="ACG124" s="541"/>
      <c r="ACH124" s="541"/>
      <c r="ACI124" s="541"/>
      <c r="ACJ124" s="541"/>
      <c r="ACK124" s="541"/>
      <c r="ACL124" s="541"/>
      <c r="ACM124" s="541"/>
      <c r="ACN124" s="541"/>
      <c r="ACO124" s="541"/>
      <c r="ACP124" s="541"/>
      <c r="ACQ124" s="541"/>
      <c r="ACR124" s="541"/>
      <c r="ACS124" s="541"/>
      <c r="ACT124" s="541"/>
      <c r="ACU124" s="541"/>
      <c r="ACV124" s="541"/>
      <c r="ACW124" s="541"/>
      <c r="ACX124" s="541"/>
      <c r="ACY124" s="541"/>
      <c r="ACZ124" s="541"/>
      <c r="ADA124" s="541"/>
      <c r="ADB124" s="541"/>
      <c r="ADC124" s="541"/>
      <c r="ADD124" s="541"/>
      <c r="ADE124" s="541"/>
      <c r="ADF124" s="541"/>
      <c r="ADG124" s="541"/>
      <c r="ADH124" s="541"/>
      <c r="ADI124" s="541"/>
      <c r="ADJ124" s="541"/>
      <c r="ADK124" s="541"/>
      <c r="ADL124" s="541"/>
      <c r="ADM124" s="541"/>
      <c r="ADN124" s="541"/>
      <c r="ADO124" s="541"/>
      <c r="ADP124" s="541"/>
      <c r="ADQ124" s="541"/>
      <c r="ADR124" s="541"/>
      <c r="ADS124" s="541"/>
      <c r="ADT124" s="541"/>
      <c r="ADU124" s="541"/>
      <c r="ADV124" s="541"/>
      <c r="ADW124" s="541"/>
      <c r="ADX124" s="541"/>
      <c r="ADY124" s="541"/>
      <c r="ADZ124" s="541"/>
      <c r="AEA124" s="541"/>
      <c r="AEB124" s="541"/>
      <c r="AEC124" s="541"/>
      <c r="AED124" s="541"/>
      <c r="AEE124" s="541"/>
      <c r="AEF124" s="541"/>
      <c r="AEG124" s="541"/>
      <c r="AEH124" s="541"/>
      <c r="AEI124" s="541"/>
      <c r="AEJ124" s="541"/>
      <c r="AEK124" s="541"/>
      <c r="AEL124" s="541"/>
      <c r="AEM124" s="541"/>
      <c r="AEN124" s="541"/>
      <c r="AEO124" s="541"/>
      <c r="AEP124" s="541"/>
      <c r="AEQ124" s="541"/>
      <c r="AER124" s="541"/>
      <c r="AES124" s="541"/>
      <c r="AET124" s="541"/>
      <c r="AEU124" s="541"/>
      <c r="AEV124" s="541"/>
      <c r="AEW124" s="541"/>
      <c r="AEX124" s="541"/>
      <c r="AEY124" s="541"/>
      <c r="AEZ124" s="541"/>
      <c r="AFA124" s="541"/>
      <c r="AFB124" s="541"/>
      <c r="AFC124" s="541"/>
      <c r="AFD124" s="541"/>
      <c r="AFE124" s="541"/>
      <c r="AFF124" s="541"/>
      <c r="AFG124" s="541"/>
      <c r="AFH124" s="541"/>
      <c r="AFI124" s="541"/>
      <c r="AFJ124" s="541"/>
      <c r="AFK124" s="541"/>
      <c r="AFL124" s="541"/>
      <c r="AFM124" s="541"/>
      <c r="AFN124" s="541"/>
      <c r="AFO124" s="541"/>
      <c r="AFP124" s="541"/>
      <c r="AFQ124" s="541"/>
      <c r="AFR124" s="541"/>
      <c r="AFS124" s="541"/>
      <c r="AFT124" s="541"/>
      <c r="AFU124" s="541"/>
      <c r="AFV124" s="541"/>
      <c r="AFW124" s="541"/>
      <c r="AFX124" s="541"/>
      <c r="AFY124" s="541"/>
      <c r="AFZ124" s="541"/>
      <c r="AGA124" s="541"/>
      <c r="AGB124" s="541"/>
      <c r="AGC124" s="541"/>
      <c r="AGD124" s="541"/>
      <c r="AGE124" s="541"/>
      <c r="AGF124" s="541"/>
      <c r="AGG124" s="541"/>
      <c r="AGH124" s="541"/>
      <c r="AGI124" s="541"/>
      <c r="AGJ124" s="541"/>
      <c r="AGK124" s="541"/>
      <c r="AGL124" s="541"/>
      <c r="AGM124" s="541"/>
      <c r="AGN124" s="541"/>
      <c r="AGO124" s="541"/>
      <c r="AGP124" s="541"/>
      <c r="AGQ124" s="541"/>
      <c r="AGR124" s="541"/>
      <c r="AGS124" s="541"/>
      <c r="AGT124" s="541"/>
      <c r="AGU124" s="541"/>
      <c r="AGV124" s="541"/>
      <c r="AGW124" s="541"/>
      <c r="AGX124" s="541"/>
      <c r="AGY124" s="541"/>
      <c r="AGZ124" s="541"/>
      <c r="AHA124" s="541"/>
      <c r="AHB124" s="541"/>
      <c r="AHC124" s="541"/>
      <c r="AHD124" s="541"/>
      <c r="AHE124" s="541"/>
      <c r="AHF124" s="541"/>
      <c r="AHG124" s="541"/>
      <c r="AHH124" s="541"/>
      <c r="AHI124" s="541"/>
      <c r="AHJ124" s="541"/>
      <c r="AHK124" s="541"/>
      <c r="AHL124" s="541"/>
      <c r="AHM124" s="541"/>
      <c r="AHN124" s="541"/>
      <c r="AHO124" s="541"/>
      <c r="AHP124" s="541"/>
      <c r="AHQ124" s="541"/>
      <c r="AHR124" s="541"/>
      <c r="AHS124" s="541"/>
      <c r="AHT124" s="541"/>
      <c r="AHU124" s="541"/>
      <c r="AHV124" s="541"/>
      <c r="AHW124" s="541"/>
      <c r="AHX124" s="541"/>
      <c r="AHY124" s="541"/>
      <c r="AHZ124" s="541"/>
      <c r="AIA124" s="541"/>
      <c r="AIB124" s="541"/>
      <c r="AIC124" s="541"/>
      <c r="AID124" s="541"/>
      <c r="AIE124" s="541"/>
      <c r="AIF124" s="541"/>
      <c r="AIG124" s="541"/>
      <c r="AIH124" s="541"/>
      <c r="AII124" s="541"/>
      <c r="AIJ124" s="541"/>
      <c r="AIK124" s="541"/>
      <c r="AIL124" s="541"/>
      <c r="AIM124" s="541"/>
      <c r="AIN124" s="541"/>
      <c r="AIO124" s="541"/>
      <c r="AIP124" s="541"/>
      <c r="AIQ124" s="541"/>
      <c r="AIR124" s="541"/>
      <c r="AIS124" s="541"/>
      <c r="AIT124" s="541"/>
      <c r="AIU124" s="541"/>
      <c r="AIV124" s="541"/>
      <c r="AIW124" s="541"/>
      <c r="AIX124" s="541"/>
      <c r="AIY124" s="541"/>
      <c r="AIZ124" s="541"/>
      <c r="AJA124" s="541"/>
      <c r="AJB124" s="541"/>
      <c r="AJC124" s="541"/>
      <c r="AJD124" s="541"/>
      <c r="AJE124" s="541"/>
      <c r="AJF124" s="541"/>
      <c r="AJG124" s="541"/>
      <c r="AJH124" s="541"/>
      <c r="AJI124" s="541"/>
      <c r="AJJ124" s="541"/>
      <c r="AJK124" s="541"/>
      <c r="AJL124" s="541"/>
      <c r="AJM124" s="541"/>
      <c r="AJN124" s="541"/>
      <c r="AJO124" s="541"/>
      <c r="AJP124" s="541"/>
      <c r="AJQ124" s="541"/>
      <c r="AJR124" s="541"/>
      <c r="AJS124" s="541"/>
      <c r="AJT124" s="541"/>
      <c r="AJU124" s="541"/>
      <c r="AJV124" s="541"/>
      <c r="AJW124" s="541"/>
      <c r="AJX124" s="541"/>
      <c r="AJY124" s="541"/>
      <c r="AJZ124" s="541"/>
      <c r="AKA124" s="541"/>
      <c r="AKB124" s="541"/>
      <c r="AKC124" s="541"/>
      <c r="AKD124" s="541"/>
      <c r="AKE124" s="541"/>
      <c r="AKF124" s="541"/>
      <c r="AKG124" s="541"/>
      <c r="AKH124" s="541"/>
      <c r="AKI124" s="541"/>
      <c r="AKJ124" s="541"/>
      <c r="AKK124" s="541"/>
      <c r="AKL124" s="541"/>
      <c r="AKM124" s="541"/>
      <c r="AKN124" s="541"/>
      <c r="AKO124" s="541"/>
      <c r="AKP124" s="541"/>
      <c r="AKQ124" s="541"/>
      <c r="AKR124" s="541"/>
      <c r="AKS124" s="541"/>
      <c r="AKT124" s="541"/>
      <c r="AKU124" s="541"/>
      <c r="AKV124" s="541"/>
      <c r="AKW124" s="541"/>
      <c r="AKX124" s="541"/>
      <c r="AKY124" s="541"/>
      <c r="AKZ124" s="541"/>
      <c r="ALA124" s="541"/>
      <c r="ALB124" s="541"/>
      <c r="ALC124" s="541"/>
      <c r="ALD124" s="541"/>
      <c r="ALE124" s="541"/>
      <c r="ALF124" s="541"/>
      <c r="ALG124" s="541"/>
      <c r="ALH124" s="541"/>
      <c r="ALI124" s="541"/>
      <c r="ALJ124" s="541"/>
      <c r="ALK124" s="541"/>
      <c r="ALL124" s="541"/>
      <c r="ALM124" s="541"/>
      <c r="ALN124" s="541"/>
      <c r="ALO124" s="541"/>
      <c r="ALP124" s="541"/>
      <c r="ALQ124" s="541"/>
      <c r="ALR124" s="541"/>
      <c r="ALS124" s="541"/>
      <c r="ALT124" s="541"/>
      <c r="ALU124" s="541"/>
      <c r="ALV124" s="541"/>
      <c r="ALW124" s="541"/>
      <c r="ALX124" s="541"/>
      <c r="ALY124" s="541"/>
      <c r="ALZ124" s="541"/>
      <c r="AMA124" s="541"/>
      <c r="AMB124" s="541"/>
      <c r="AMC124" s="541"/>
      <c r="AMD124" s="541"/>
      <c r="AME124" s="541"/>
      <c r="AMF124" s="541"/>
      <c r="AMG124" s="541"/>
      <c r="AMH124" s="541"/>
      <c r="AMI124" s="541"/>
      <c r="AMJ124" s="541"/>
      <c r="AMK124" s="541"/>
      <c r="AML124" s="541"/>
      <c r="AMM124" s="541"/>
      <c r="AMN124" s="541"/>
      <c r="AMO124" s="541"/>
      <c r="AMP124" s="541"/>
      <c r="AMQ124" s="541"/>
      <c r="AMR124" s="541"/>
      <c r="AMS124" s="541"/>
      <c r="AMT124" s="541"/>
      <c r="AMU124" s="541"/>
      <c r="AMV124" s="541"/>
      <c r="AMW124" s="541"/>
      <c r="AMX124" s="541"/>
      <c r="AMY124" s="541"/>
      <c r="AMZ124" s="541"/>
      <c r="ANA124" s="541"/>
      <c r="ANB124" s="541"/>
      <c r="ANC124" s="541"/>
      <c r="AND124" s="541"/>
      <c r="ANE124" s="541"/>
      <c r="ANF124" s="541"/>
      <c r="ANG124" s="541"/>
      <c r="ANH124" s="541"/>
      <c r="ANI124" s="541"/>
      <c r="ANJ124" s="541"/>
      <c r="ANK124" s="541"/>
      <c r="ANL124" s="541"/>
      <c r="ANM124" s="541"/>
      <c r="ANN124" s="541"/>
      <c r="ANO124" s="541"/>
      <c r="ANP124" s="541"/>
      <c r="ANQ124" s="541"/>
      <c r="ANR124" s="541"/>
      <c r="ANS124" s="541"/>
      <c r="ANT124" s="541"/>
      <c r="ANU124" s="541"/>
      <c r="ANV124" s="541"/>
      <c r="ANW124" s="541"/>
      <c r="ANX124" s="541"/>
      <c r="ANY124" s="541"/>
      <c r="ANZ124" s="541"/>
      <c r="AOA124" s="541"/>
      <c r="AOB124" s="541"/>
      <c r="AOC124" s="541"/>
      <c r="AOD124" s="541"/>
      <c r="AOE124" s="541"/>
      <c r="AOF124" s="541"/>
      <c r="AOG124" s="541"/>
      <c r="AOH124" s="541"/>
      <c r="AOI124" s="541"/>
      <c r="AOJ124" s="541"/>
      <c r="AOK124" s="541"/>
      <c r="AOL124" s="541"/>
      <c r="AOM124" s="541"/>
      <c r="AON124" s="541"/>
      <c r="AOO124" s="541"/>
      <c r="AOP124" s="541"/>
      <c r="AOQ124" s="541"/>
      <c r="AOR124" s="541"/>
      <c r="AOS124" s="541"/>
      <c r="AOT124" s="541"/>
      <c r="AOU124" s="541"/>
      <c r="AOV124" s="541"/>
      <c r="AOW124" s="541"/>
      <c r="AOX124" s="541"/>
      <c r="AOY124" s="541"/>
      <c r="AOZ124" s="541"/>
      <c r="APA124" s="541"/>
      <c r="APB124" s="541"/>
      <c r="APC124" s="541"/>
      <c r="APD124" s="541"/>
      <c r="APE124" s="541"/>
      <c r="APF124" s="541"/>
      <c r="APG124" s="541"/>
      <c r="APH124" s="541"/>
      <c r="API124" s="541"/>
      <c r="APJ124" s="541"/>
      <c r="APK124" s="541"/>
      <c r="APL124" s="541"/>
      <c r="APM124" s="541"/>
      <c r="APN124" s="541"/>
      <c r="APO124" s="541"/>
      <c r="APP124" s="541"/>
      <c r="APQ124" s="541"/>
      <c r="APR124" s="541"/>
      <c r="APS124" s="541"/>
      <c r="APT124" s="541"/>
      <c r="APU124" s="541"/>
      <c r="APV124" s="541"/>
      <c r="APW124" s="541"/>
      <c r="APX124" s="541"/>
      <c r="APY124" s="541"/>
      <c r="APZ124" s="541"/>
      <c r="AQA124" s="541"/>
      <c r="AQB124" s="541"/>
      <c r="AQC124" s="541"/>
      <c r="AQD124" s="541"/>
      <c r="AQE124" s="541"/>
      <c r="AQF124" s="541"/>
      <c r="AQG124" s="541"/>
      <c r="AQH124" s="541"/>
      <c r="AQI124" s="541"/>
      <c r="AQJ124" s="541"/>
      <c r="AQK124" s="541"/>
      <c r="AQL124" s="541"/>
      <c r="AQM124" s="541"/>
      <c r="AQN124" s="541"/>
      <c r="AQO124" s="541"/>
      <c r="AQP124" s="541"/>
      <c r="AQQ124" s="541"/>
      <c r="AQR124" s="541"/>
      <c r="AQS124" s="541"/>
      <c r="AQT124" s="541"/>
      <c r="AQU124" s="541"/>
      <c r="AQV124" s="541"/>
      <c r="AQW124" s="541"/>
      <c r="AQX124" s="541"/>
      <c r="AQY124" s="541"/>
      <c r="AQZ124" s="541"/>
      <c r="ARA124" s="541"/>
      <c r="ARB124" s="541"/>
      <c r="ARC124" s="541"/>
      <c r="ARD124" s="541"/>
      <c r="ARE124" s="541"/>
      <c r="ARF124" s="541"/>
      <c r="ARG124" s="541"/>
      <c r="ARH124" s="541"/>
      <c r="ARI124" s="541"/>
      <c r="ARJ124" s="541"/>
      <c r="ARK124" s="541"/>
      <c r="ARL124" s="541"/>
      <c r="ARM124" s="541"/>
      <c r="ARN124" s="541"/>
      <c r="ARO124" s="541"/>
      <c r="ARP124" s="541"/>
      <c r="ARQ124" s="541"/>
      <c r="ARR124" s="541"/>
      <c r="ARS124" s="541"/>
      <c r="ART124" s="541"/>
      <c r="ARU124" s="541"/>
    </row>
    <row r="125" spans="1:1165" s="658" customFormat="1">
      <c r="A125" s="613" t="s">
        <v>276</v>
      </c>
      <c r="B125" s="578" t="s">
        <v>110</v>
      </c>
      <c r="C125" s="579">
        <v>0</v>
      </c>
      <c r="D125" s="579">
        <v>0</v>
      </c>
      <c r="E125" s="579">
        <v>0</v>
      </c>
      <c r="F125" s="579">
        <v>0</v>
      </c>
      <c r="G125" s="579">
        <v>0</v>
      </c>
      <c r="H125" s="579">
        <v>0</v>
      </c>
      <c r="I125" s="579">
        <v>0</v>
      </c>
      <c r="J125" s="579">
        <v>0</v>
      </c>
      <c r="K125" s="579">
        <v>0</v>
      </c>
      <c r="L125" s="579">
        <v>0</v>
      </c>
      <c r="M125" s="579">
        <v>0</v>
      </c>
      <c r="N125" s="579">
        <v>0</v>
      </c>
      <c r="O125" s="579">
        <v>0</v>
      </c>
      <c r="P125" s="579">
        <v>0</v>
      </c>
      <c r="Q125" s="579">
        <v>0</v>
      </c>
      <c r="R125" s="579">
        <v>0</v>
      </c>
      <c r="S125" s="579">
        <v>0</v>
      </c>
      <c r="T125" s="579">
        <v>0</v>
      </c>
      <c r="U125" s="579">
        <v>0</v>
      </c>
      <c r="V125" s="579">
        <v>0</v>
      </c>
      <c r="W125" s="579">
        <v>0</v>
      </c>
      <c r="X125" s="579">
        <v>0</v>
      </c>
      <c r="Y125" s="579">
        <v>0</v>
      </c>
      <c r="Z125" s="579">
        <v>0</v>
      </c>
      <c r="AA125" s="579">
        <v>0</v>
      </c>
      <c r="AB125" s="579">
        <v>0</v>
      </c>
      <c r="AC125" s="579">
        <v>0</v>
      </c>
      <c r="AD125" s="579">
        <v>0</v>
      </c>
      <c r="AE125" s="579">
        <v>0</v>
      </c>
      <c r="AF125" s="579">
        <v>0</v>
      </c>
      <c r="AG125" s="579">
        <v>0</v>
      </c>
      <c r="AH125" s="579">
        <v>0</v>
      </c>
      <c r="AI125" s="579">
        <v>0</v>
      </c>
      <c r="AJ125" s="579">
        <v>0</v>
      </c>
      <c r="AK125" s="579">
        <v>0</v>
      </c>
      <c r="AL125" s="579">
        <v>0</v>
      </c>
      <c r="AM125" s="579">
        <v>0</v>
      </c>
      <c r="AN125" s="579">
        <v>0</v>
      </c>
      <c r="AO125" s="579">
        <v>0</v>
      </c>
      <c r="AP125" s="579">
        <v>0</v>
      </c>
      <c r="AQ125" s="579">
        <v>0</v>
      </c>
      <c r="AR125" s="579">
        <v>0</v>
      </c>
      <c r="AS125" s="579">
        <v>0</v>
      </c>
      <c r="AT125" s="579">
        <v>0</v>
      </c>
      <c r="AU125" s="579">
        <v>0</v>
      </c>
      <c r="AV125" s="579">
        <v>0</v>
      </c>
      <c r="AW125" s="579">
        <v>0</v>
      </c>
      <c r="AX125" s="579">
        <v>0</v>
      </c>
      <c r="AY125" s="581">
        <v>0</v>
      </c>
      <c r="AZ125" s="581">
        <v>0</v>
      </c>
      <c r="BA125" s="663"/>
      <c r="BB125" s="598"/>
      <c r="BC125" s="598"/>
      <c r="BD125" s="598"/>
      <c r="BE125" s="598"/>
      <c r="BF125" s="598"/>
      <c r="BG125" s="598"/>
      <c r="BH125" s="598"/>
      <c r="BI125" s="663"/>
      <c r="BJ125" s="651">
        <f t="shared" si="12"/>
        <v>0</v>
      </c>
      <c r="BK125" s="651">
        <f t="shared" si="13"/>
        <v>0</v>
      </c>
      <c r="BL125" s="541"/>
      <c r="BM125" s="624"/>
      <c r="BN125" s="624"/>
      <c r="BO125" s="624"/>
      <c r="BP125" s="624"/>
      <c r="BQ125" s="541"/>
      <c r="BR125" s="541"/>
      <c r="BS125" s="541"/>
      <c r="BT125" s="541"/>
      <c r="BU125" s="541"/>
      <c r="BV125" s="541"/>
      <c r="BW125" s="541"/>
      <c r="BX125" s="541"/>
      <c r="BY125" s="541"/>
      <c r="BZ125" s="541"/>
      <c r="CA125" s="541"/>
      <c r="CB125" s="541"/>
      <c r="CC125" s="541"/>
      <c r="CD125" s="541"/>
      <c r="CE125" s="541"/>
      <c r="CF125" s="541"/>
      <c r="CG125" s="541"/>
      <c r="CH125" s="541"/>
      <c r="CI125" s="541"/>
      <c r="CJ125" s="541"/>
      <c r="CK125" s="541"/>
      <c r="CL125" s="541"/>
      <c r="CM125" s="541"/>
      <c r="CN125" s="541"/>
      <c r="CO125" s="541"/>
      <c r="CP125" s="541"/>
      <c r="CQ125" s="541"/>
      <c r="CR125" s="541"/>
      <c r="CS125" s="541"/>
      <c r="CT125" s="541"/>
      <c r="CU125" s="541"/>
      <c r="CV125" s="541"/>
      <c r="CW125" s="541"/>
      <c r="CX125" s="541"/>
      <c r="CY125" s="541"/>
      <c r="CZ125" s="541"/>
      <c r="DA125" s="541"/>
      <c r="DB125" s="541"/>
      <c r="DC125" s="541"/>
      <c r="DD125" s="541"/>
      <c r="DE125" s="541"/>
      <c r="DF125" s="541"/>
      <c r="DG125" s="541"/>
      <c r="DH125" s="541"/>
      <c r="DI125" s="541"/>
      <c r="DJ125" s="541"/>
      <c r="DK125" s="541"/>
      <c r="DL125" s="541"/>
      <c r="DM125" s="541"/>
      <c r="DN125" s="541"/>
      <c r="DO125" s="541"/>
      <c r="DP125" s="541"/>
      <c r="DQ125" s="541"/>
      <c r="DR125" s="541"/>
      <c r="DS125" s="541"/>
      <c r="DT125" s="541"/>
      <c r="DU125" s="541"/>
      <c r="DV125" s="541"/>
      <c r="DW125" s="541"/>
      <c r="DX125" s="541"/>
      <c r="DY125" s="541"/>
      <c r="DZ125" s="541"/>
      <c r="EA125" s="541"/>
      <c r="EB125" s="541"/>
      <c r="EC125" s="541"/>
      <c r="ED125" s="541"/>
      <c r="EE125" s="541"/>
      <c r="EF125" s="541"/>
      <c r="EG125" s="541"/>
      <c r="EH125" s="541"/>
      <c r="EI125" s="541"/>
      <c r="EJ125" s="541"/>
      <c r="EK125" s="541"/>
      <c r="EL125" s="541"/>
      <c r="EM125" s="541"/>
      <c r="EN125" s="541"/>
      <c r="EO125" s="541"/>
      <c r="EP125" s="541"/>
      <c r="EQ125" s="541"/>
      <c r="ER125" s="541"/>
      <c r="ES125" s="541"/>
      <c r="ET125" s="541"/>
      <c r="EU125" s="541"/>
      <c r="EV125" s="541"/>
      <c r="EW125" s="541"/>
      <c r="EX125" s="541"/>
      <c r="EY125" s="541"/>
      <c r="EZ125" s="541"/>
      <c r="FA125" s="541"/>
      <c r="FB125" s="541"/>
      <c r="FC125" s="541"/>
      <c r="FD125" s="541"/>
      <c r="FE125" s="541"/>
      <c r="FF125" s="541"/>
      <c r="FG125" s="541"/>
      <c r="FH125" s="541"/>
      <c r="FI125" s="541"/>
      <c r="FJ125" s="541"/>
      <c r="FK125" s="541"/>
      <c r="FL125" s="541"/>
      <c r="FM125" s="541"/>
      <c r="FN125" s="541"/>
      <c r="FO125" s="541"/>
      <c r="FP125" s="541"/>
      <c r="FQ125" s="541"/>
      <c r="FR125" s="541"/>
      <c r="FS125" s="541"/>
      <c r="FT125" s="541"/>
      <c r="FU125" s="541"/>
      <c r="FV125" s="541"/>
      <c r="FW125" s="541"/>
      <c r="FX125" s="541"/>
      <c r="FY125" s="541"/>
      <c r="FZ125" s="541"/>
      <c r="GA125" s="541"/>
      <c r="GB125" s="541"/>
      <c r="GC125" s="541"/>
      <c r="GD125" s="541"/>
      <c r="GE125" s="541"/>
      <c r="GF125" s="541"/>
      <c r="GG125" s="541"/>
      <c r="GH125" s="541"/>
      <c r="GI125" s="541"/>
      <c r="GJ125" s="541"/>
      <c r="GK125" s="541"/>
      <c r="GL125" s="541"/>
      <c r="GM125" s="541"/>
      <c r="GN125" s="541"/>
      <c r="GO125" s="541"/>
      <c r="GP125" s="541"/>
      <c r="GQ125" s="541"/>
      <c r="GR125" s="541"/>
      <c r="GS125" s="541"/>
      <c r="GT125" s="541"/>
      <c r="GU125" s="541"/>
      <c r="GV125" s="541"/>
      <c r="GW125" s="541"/>
      <c r="GX125" s="541"/>
      <c r="GY125" s="541"/>
      <c r="GZ125" s="541"/>
      <c r="HA125" s="541"/>
      <c r="HB125" s="541"/>
      <c r="HC125" s="541"/>
      <c r="HD125" s="541"/>
      <c r="HE125" s="541"/>
      <c r="HF125" s="541"/>
      <c r="HG125" s="541"/>
      <c r="HH125" s="541"/>
      <c r="HI125" s="541"/>
      <c r="HJ125" s="541"/>
      <c r="HK125" s="541"/>
      <c r="HL125" s="541"/>
      <c r="HM125" s="541"/>
      <c r="HN125" s="541"/>
      <c r="HO125" s="541"/>
      <c r="HP125" s="541"/>
      <c r="HQ125" s="541"/>
      <c r="HR125" s="541"/>
      <c r="HS125" s="541"/>
      <c r="HT125" s="541"/>
      <c r="HU125" s="541"/>
      <c r="HV125" s="541"/>
      <c r="HW125" s="541"/>
      <c r="HX125" s="541"/>
      <c r="HY125" s="541"/>
      <c r="HZ125" s="541"/>
      <c r="IA125" s="541"/>
      <c r="IB125" s="541"/>
      <c r="IC125" s="541"/>
      <c r="ID125" s="541"/>
      <c r="IE125" s="541"/>
      <c r="IF125" s="541"/>
      <c r="IG125" s="541"/>
      <c r="IH125" s="541"/>
      <c r="II125" s="541"/>
      <c r="IJ125" s="541"/>
      <c r="IK125" s="541"/>
      <c r="IL125" s="541"/>
      <c r="IM125" s="541"/>
      <c r="IN125" s="541"/>
      <c r="IO125" s="541"/>
      <c r="IP125" s="541"/>
      <c r="IQ125" s="541"/>
      <c r="IR125" s="541"/>
      <c r="IS125" s="541"/>
      <c r="IT125" s="541"/>
      <c r="IU125" s="541"/>
      <c r="IV125" s="541"/>
      <c r="IW125" s="541"/>
      <c r="IX125" s="541"/>
      <c r="IY125" s="541"/>
      <c r="IZ125" s="541"/>
      <c r="JA125" s="541"/>
      <c r="JB125" s="541"/>
      <c r="JC125" s="541"/>
      <c r="JD125" s="541"/>
      <c r="JE125" s="541"/>
      <c r="JF125" s="541"/>
      <c r="JG125" s="541"/>
      <c r="JH125" s="541"/>
      <c r="JI125" s="541"/>
      <c r="JJ125" s="541"/>
      <c r="JK125" s="541"/>
      <c r="JL125" s="541"/>
      <c r="JM125" s="541"/>
      <c r="JN125" s="541"/>
      <c r="JO125" s="541"/>
      <c r="JP125" s="541"/>
      <c r="JQ125" s="541"/>
      <c r="JR125" s="541"/>
      <c r="JS125" s="541"/>
      <c r="JT125" s="541"/>
      <c r="JU125" s="541"/>
      <c r="JV125" s="541"/>
      <c r="JW125" s="541"/>
      <c r="JX125" s="541"/>
      <c r="JY125" s="541"/>
      <c r="JZ125" s="541"/>
      <c r="KA125" s="541"/>
      <c r="KB125" s="541"/>
      <c r="KC125" s="541"/>
      <c r="KD125" s="541"/>
      <c r="KE125" s="541"/>
      <c r="KF125" s="541"/>
      <c r="KG125" s="541"/>
      <c r="KH125" s="541"/>
      <c r="KI125" s="541"/>
      <c r="KJ125" s="541"/>
      <c r="KK125" s="541"/>
      <c r="KL125" s="541"/>
      <c r="KM125" s="541"/>
      <c r="KN125" s="541"/>
      <c r="KO125" s="541"/>
      <c r="KP125" s="541"/>
      <c r="KQ125" s="541"/>
      <c r="KR125" s="541"/>
      <c r="KS125" s="541"/>
      <c r="KT125" s="541"/>
      <c r="KU125" s="541"/>
      <c r="KV125" s="541"/>
      <c r="KW125" s="541"/>
      <c r="KX125" s="541"/>
      <c r="KY125" s="541"/>
      <c r="KZ125" s="541"/>
      <c r="LA125" s="541"/>
      <c r="LB125" s="541"/>
      <c r="LC125" s="541"/>
      <c r="LD125" s="541"/>
      <c r="LE125" s="541"/>
      <c r="LF125" s="541"/>
      <c r="LG125" s="541"/>
      <c r="LH125" s="541"/>
      <c r="LI125" s="541"/>
      <c r="LJ125" s="541"/>
      <c r="LK125" s="541"/>
      <c r="LL125" s="541"/>
      <c r="LM125" s="541"/>
      <c r="LN125" s="541"/>
      <c r="LO125" s="541"/>
      <c r="LP125" s="541"/>
      <c r="LQ125" s="541"/>
      <c r="LR125" s="541"/>
      <c r="LS125" s="541"/>
      <c r="LT125" s="541"/>
      <c r="LU125" s="541"/>
      <c r="LV125" s="541"/>
      <c r="LW125" s="541"/>
      <c r="LX125" s="541"/>
      <c r="LY125" s="541"/>
      <c r="LZ125" s="541"/>
      <c r="MA125" s="541"/>
      <c r="MB125" s="541"/>
      <c r="MC125" s="541"/>
      <c r="MD125" s="541"/>
      <c r="ME125" s="541"/>
      <c r="MF125" s="541"/>
      <c r="MG125" s="541"/>
      <c r="MH125" s="541"/>
      <c r="MI125" s="541"/>
      <c r="MJ125" s="541"/>
      <c r="MK125" s="541"/>
      <c r="ML125" s="541"/>
      <c r="MM125" s="541"/>
      <c r="MN125" s="541"/>
      <c r="MO125" s="541"/>
      <c r="MP125" s="541"/>
      <c r="MQ125" s="541"/>
      <c r="MR125" s="541"/>
      <c r="MS125" s="541"/>
      <c r="MT125" s="541"/>
      <c r="MU125" s="541"/>
      <c r="MV125" s="541"/>
      <c r="MW125" s="541"/>
      <c r="MX125" s="541"/>
      <c r="MY125" s="541"/>
      <c r="MZ125" s="541"/>
      <c r="NA125" s="541"/>
      <c r="NB125" s="541"/>
      <c r="NC125" s="541"/>
      <c r="ND125" s="541"/>
      <c r="NE125" s="541"/>
      <c r="NF125" s="541"/>
      <c r="NG125" s="541"/>
      <c r="NH125" s="541"/>
      <c r="NI125" s="541"/>
      <c r="NJ125" s="541"/>
      <c r="NK125" s="541"/>
      <c r="NL125" s="541"/>
      <c r="NM125" s="541"/>
      <c r="NN125" s="541"/>
      <c r="NO125" s="541"/>
      <c r="NP125" s="541"/>
      <c r="NQ125" s="541"/>
      <c r="NR125" s="541"/>
      <c r="NS125" s="541"/>
      <c r="NT125" s="541"/>
      <c r="NU125" s="541"/>
      <c r="NV125" s="541"/>
      <c r="NW125" s="541"/>
      <c r="NX125" s="541"/>
      <c r="NY125" s="541"/>
      <c r="NZ125" s="541"/>
      <c r="OA125" s="541"/>
      <c r="OB125" s="541"/>
      <c r="OC125" s="541"/>
      <c r="OD125" s="541"/>
      <c r="OE125" s="541"/>
      <c r="OF125" s="541"/>
      <c r="OG125" s="541"/>
      <c r="OH125" s="541"/>
      <c r="OI125" s="541"/>
      <c r="OJ125" s="541"/>
      <c r="OK125" s="541"/>
      <c r="OL125" s="541"/>
      <c r="OM125" s="541"/>
      <c r="ON125" s="541"/>
      <c r="OO125" s="541"/>
      <c r="OP125" s="541"/>
      <c r="OQ125" s="541"/>
      <c r="OR125" s="541"/>
      <c r="OS125" s="541"/>
      <c r="OT125" s="541"/>
      <c r="OU125" s="541"/>
      <c r="OV125" s="541"/>
      <c r="OW125" s="541"/>
      <c r="OX125" s="541"/>
      <c r="OY125" s="541"/>
      <c r="OZ125" s="541"/>
      <c r="PA125" s="541"/>
      <c r="PB125" s="541"/>
      <c r="PC125" s="541"/>
      <c r="PD125" s="541"/>
      <c r="PE125" s="541"/>
      <c r="PF125" s="541"/>
      <c r="PG125" s="541"/>
      <c r="PH125" s="541"/>
      <c r="PI125" s="541"/>
      <c r="PJ125" s="541"/>
      <c r="PK125" s="541"/>
      <c r="PL125" s="541"/>
      <c r="PM125" s="541"/>
      <c r="PN125" s="541"/>
      <c r="PO125" s="541"/>
      <c r="PP125" s="541"/>
      <c r="PQ125" s="541"/>
      <c r="PR125" s="541"/>
      <c r="PS125" s="541"/>
      <c r="PT125" s="541"/>
      <c r="PU125" s="541"/>
      <c r="PV125" s="541"/>
      <c r="PW125" s="541"/>
      <c r="PX125" s="541"/>
      <c r="PY125" s="541"/>
      <c r="PZ125" s="541"/>
      <c r="QA125" s="541"/>
      <c r="QB125" s="541"/>
      <c r="QC125" s="541"/>
      <c r="QD125" s="541"/>
      <c r="QE125" s="541"/>
      <c r="QF125" s="541"/>
      <c r="QG125" s="541"/>
      <c r="QH125" s="541"/>
      <c r="QI125" s="541"/>
      <c r="QJ125" s="541"/>
      <c r="QK125" s="541"/>
      <c r="QL125" s="541"/>
      <c r="QM125" s="541"/>
      <c r="QN125" s="541"/>
      <c r="QO125" s="541"/>
      <c r="QP125" s="541"/>
      <c r="QQ125" s="541"/>
      <c r="QR125" s="541"/>
      <c r="QS125" s="541"/>
      <c r="QT125" s="541"/>
      <c r="QU125" s="541"/>
      <c r="QV125" s="541"/>
      <c r="QW125" s="541"/>
      <c r="QX125" s="541"/>
      <c r="QY125" s="541"/>
      <c r="QZ125" s="541"/>
      <c r="RA125" s="541"/>
      <c r="RB125" s="541"/>
      <c r="RC125" s="541"/>
      <c r="RD125" s="541"/>
      <c r="RE125" s="541"/>
      <c r="RF125" s="541"/>
      <c r="RG125" s="541"/>
      <c r="RH125" s="541"/>
      <c r="RI125" s="541"/>
      <c r="RJ125" s="541"/>
      <c r="RK125" s="541"/>
      <c r="RL125" s="541"/>
      <c r="RM125" s="541"/>
      <c r="RN125" s="541"/>
      <c r="RO125" s="541"/>
      <c r="RP125" s="541"/>
      <c r="RQ125" s="541"/>
      <c r="RR125" s="541"/>
      <c r="RS125" s="541"/>
      <c r="RT125" s="541"/>
      <c r="RU125" s="541"/>
      <c r="RV125" s="541"/>
      <c r="RW125" s="541"/>
      <c r="RX125" s="541"/>
      <c r="RY125" s="541"/>
      <c r="RZ125" s="541"/>
      <c r="SA125" s="541"/>
      <c r="SB125" s="541"/>
      <c r="SC125" s="541"/>
      <c r="SD125" s="541"/>
      <c r="SE125" s="541"/>
      <c r="SF125" s="541"/>
      <c r="SG125" s="541"/>
      <c r="SH125" s="541"/>
      <c r="SI125" s="541"/>
      <c r="SJ125" s="541"/>
      <c r="SK125" s="541"/>
      <c r="SL125" s="541"/>
      <c r="SM125" s="541"/>
      <c r="SN125" s="541"/>
      <c r="SO125" s="541"/>
      <c r="SP125" s="541"/>
      <c r="SQ125" s="541"/>
      <c r="SR125" s="541"/>
      <c r="SS125" s="541"/>
      <c r="ST125" s="541"/>
      <c r="SU125" s="541"/>
      <c r="SV125" s="541"/>
      <c r="SW125" s="541"/>
      <c r="SX125" s="541"/>
      <c r="SY125" s="541"/>
      <c r="SZ125" s="541"/>
      <c r="TA125" s="541"/>
      <c r="TB125" s="541"/>
      <c r="TC125" s="541"/>
      <c r="TD125" s="541"/>
      <c r="TE125" s="541"/>
      <c r="TF125" s="541"/>
      <c r="TG125" s="541"/>
      <c r="TH125" s="541"/>
      <c r="TI125" s="541"/>
      <c r="TJ125" s="541"/>
      <c r="TK125" s="541"/>
      <c r="TL125" s="541"/>
      <c r="TM125" s="541"/>
      <c r="TN125" s="541"/>
      <c r="TO125" s="541"/>
      <c r="TP125" s="541"/>
      <c r="TQ125" s="541"/>
      <c r="TR125" s="541"/>
      <c r="TS125" s="541"/>
      <c r="TT125" s="541"/>
      <c r="TU125" s="541"/>
      <c r="TV125" s="541"/>
      <c r="TW125" s="541"/>
      <c r="TX125" s="541"/>
      <c r="TY125" s="541"/>
      <c r="TZ125" s="541"/>
      <c r="UA125" s="541"/>
      <c r="UB125" s="541"/>
      <c r="UC125" s="541"/>
      <c r="UD125" s="541"/>
      <c r="UE125" s="541"/>
      <c r="UF125" s="541"/>
      <c r="UG125" s="541"/>
      <c r="UH125" s="541"/>
      <c r="UI125" s="541"/>
      <c r="UJ125" s="541"/>
      <c r="UK125" s="541"/>
      <c r="UL125" s="541"/>
      <c r="UM125" s="541"/>
      <c r="UN125" s="541"/>
      <c r="UO125" s="541"/>
      <c r="UP125" s="541"/>
      <c r="UQ125" s="541"/>
      <c r="UR125" s="541"/>
      <c r="US125" s="541"/>
      <c r="UT125" s="541"/>
      <c r="UU125" s="541"/>
      <c r="UV125" s="541"/>
      <c r="UW125" s="541"/>
      <c r="UX125" s="541"/>
      <c r="UY125" s="541"/>
      <c r="UZ125" s="541"/>
      <c r="VA125" s="541"/>
      <c r="VB125" s="541"/>
      <c r="VC125" s="541"/>
      <c r="VD125" s="541"/>
      <c r="VE125" s="541"/>
      <c r="VF125" s="541"/>
      <c r="VG125" s="541"/>
      <c r="VH125" s="541"/>
      <c r="VI125" s="541"/>
      <c r="VJ125" s="541"/>
      <c r="VK125" s="541"/>
      <c r="VL125" s="541"/>
      <c r="VM125" s="541"/>
      <c r="VN125" s="541"/>
      <c r="VO125" s="541"/>
      <c r="VP125" s="541"/>
      <c r="VQ125" s="541"/>
      <c r="VR125" s="541"/>
      <c r="VS125" s="541"/>
      <c r="VT125" s="541"/>
      <c r="VU125" s="541"/>
      <c r="VV125" s="541"/>
      <c r="VW125" s="541"/>
      <c r="VX125" s="541"/>
      <c r="VY125" s="541"/>
      <c r="VZ125" s="541"/>
      <c r="WA125" s="541"/>
      <c r="WB125" s="541"/>
      <c r="WC125" s="541"/>
      <c r="WD125" s="541"/>
      <c r="WE125" s="541"/>
      <c r="WF125" s="541"/>
      <c r="WG125" s="541"/>
      <c r="WH125" s="541"/>
      <c r="WI125" s="541"/>
      <c r="WJ125" s="541"/>
      <c r="WK125" s="541"/>
      <c r="WL125" s="541"/>
      <c r="WM125" s="541"/>
      <c r="WN125" s="541"/>
      <c r="WO125" s="541"/>
      <c r="WP125" s="541"/>
      <c r="WQ125" s="541"/>
      <c r="WR125" s="541"/>
      <c r="WS125" s="541"/>
      <c r="WT125" s="541"/>
      <c r="WU125" s="541"/>
      <c r="WV125" s="541"/>
      <c r="WW125" s="541"/>
      <c r="WX125" s="541"/>
      <c r="WY125" s="541"/>
      <c r="WZ125" s="541"/>
      <c r="XA125" s="541"/>
      <c r="XB125" s="541"/>
      <c r="XC125" s="541"/>
      <c r="XD125" s="541"/>
      <c r="XE125" s="541"/>
      <c r="XF125" s="541"/>
      <c r="XG125" s="541"/>
      <c r="XH125" s="541"/>
      <c r="XI125" s="541"/>
      <c r="XJ125" s="541"/>
      <c r="XK125" s="541"/>
      <c r="XL125" s="541"/>
      <c r="XM125" s="541"/>
      <c r="XN125" s="541"/>
      <c r="XO125" s="541"/>
      <c r="XP125" s="541"/>
      <c r="XQ125" s="541"/>
      <c r="XR125" s="541"/>
      <c r="XS125" s="541"/>
      <c r="XT125" s="541"/>
      <c r="XU125" s="541"/>
      <c r="XV125" s="541"/>
      <c r="XW125" s="541"/>
      <c r="XX125" s="541"/>
      <c r="XY125" s="541"/>
      <c r="XZ125" s="541"/>
      <c r="YA125" s="541"/>
      <c r="YB125" s="541"/>
      <c r="YC125" s="541"/>
      <c r="YD125" s="541"/>
      <c r="YE125" s="541"/>
      <c r="YF125" s="541"/>
      <c r="YG125" s="541"/>
      <c r="YH125" s="541"/>
      <c r="YI125" s="541"/>
      <c r="YJ125" s="541"/>
      <c r="YK125" s="541"/>
      <c r="YL125" s="541"/>
      <c r="YM125" s="541"/>
      <c r="YN125" s="541"/>
      <c r="YO125" s="541"/>
      <c r="YP125" s="541"/>
      <c r="YQ125" s="541"/>
      <c r="YR125" s="541"/>
      <c r="YS125" s="541"/>
      <c r="YT125" s="541"/>
      <c r="YU125" s="541"/>
      <c r="YV125" s="541"/>
      <c r="YW125" s="541"/>
      <c r="YX125" s="541"/>
      <c r="YY125" s="541"/>
      <c r="YZ125" s="541"/>
      <c r="ZA125" s="541"/>
      <c r="ZB125" s="541"/>
      <c r="ZC125" s="541"/>
      <c r="ZD125" s="541"/>
      <c r="ZE125" s="541"/>
      <c r="ZF125" s="541"/>
      <c r="ZG125" s="541"/>
      <c r="ZH125" s="541"/>
      <c r="ZI125" s="541"/>
      <c r="ZJ125" s="541"/>
      <c r="ZK125" s="541"/>
      <c r="ZL125" s="541"/>
      <c r="ZM125" s="541"/>
      <c r="ZN125" s="541"/>
      <c r="ZO125" s="541"/>
      <c r="ZP125" s="541"/>
      <c r="ZQ125" s="541"/>
      <c r="ZR125" s="541"/>
      <c r="ZS125" s="541"/>
      <c r="ZT125" s="541"/>
      <c r="ZU125" s="541"/>
      <c r="ZV125" s="541"/>
      <c r="ZW125" s="541"/>
      <c r="ZX125" s="541"/>
      <c r="ZY125" s="541"/>
      <c r="ZZ125" s="541"/>
      <c r="AAA125" s="541"/>
      <c r="AAB125" s="541"/>
      <c r="AAC125" s="541"/>
      <c r="AAD125" s="541"/>
      <c r="AAE125" s="541"/>
      <c r="AAF125" s="541"/>
      <c r="AAG125" s="541"/>
      <c r="AAH125" s="541"/>
      <c r="AAI125" s="541"/>
      <c r="AAJ125" s="541"/>
      <c r="AAK125" s="541"/>
      <c r="AAL125" s="541"/>
      <c r="AAM125" s="541"/>
      <c r="AAN125" s="541"/>
      <c r="AAO125" s="541"/>
      <c r="AAP125" s="541"/>
      <c r="AAQ125" s="541"/>
      <c r="AAR125" s="541"/>
      <c r="AAS125" s="541"/>
      <c r="AAT125" s="541"/>
      <c r="AAU125" s="541"/>
      <c r="AAV125" s="541"/>
      <c r="AAW125" s="541"/>
      <c r="AAX125" s="541"/>
      <c r="AAY125" s="541"/>
      <c r="AAZ125" s="541"/>
      <c r="ABA125" s="541"/>
      <c r="ABB125" s="541"/>
      <c r="ABC125" s="541"/>
      <c r="ABD125" s="541"/>
      <c r="ABE125" s="541"/>
      <c r="ABF125" s="541"/>
      <c r="ABG125" s="541"/>
      <c r="ABH125" s="541"/>
      <c r="ABI125" s="541"/>
      <c r="ABJ125" s="541"/>
      <c r="ABK125" s="541"/>
      <c r="ABL125" s="541"/>
      <c r="ABM125" s="541"/>
      <c r="ABN125" s="541"/>
      <c r="ABO125" s="541"/>
      <c r="ABP125" s="541"/>
      <c r="ABQ125" s="541"/>
      <c r="ABR125" s="541"/>
      <c r="ABS125" s="541"/>
      <c r="ABT125" s="541"/>
      <c r="ABU125" s="541"/>
      <c r="ABV125" s="541"/>
      <c r="ABW125" s="541"/>
      <c r="ABX125" s="541"/>
      <c r="ABY125" s="541"/>
      <c r="ABZ125" s="541"/>
      <c r="ACA125" s="541"/>
      <c r="ACB125" s="541"/>
      <c r="ACC125" s="541"/>
      <c r="ACD125" s="541"/>
      <c r="ACE125" s="541"/>
      <c r="ACF125" s="541"/>
      <c r="ACG125" s="541"/>
      <c r="ACH125" s="541"/>
      <c r="ACI125" s="541"/>
      <c r="ACJ125" s="541"/>
      <c r="ACK125" s="541"/>
      <c r="ACL125" s="541"/>
      <c r="ACM125" s="541"/>
      <c r="ACN125" s="541"/>
      <c r="ACO125" s="541"/>
      <c r="ACP125" s="541"/>
      <c r="ACQ125" s="541"/>
      <c r="ACR125" s="541"/>
      <c r="ACS125" s="541"/>
      <c r="ACT125" s="541"/>
      <c r="ACU125" s="541"/>
      <c r="ACV125" s="541"/>
      <c r="ACW125" s="541"/>
      <c r="ACX125" s="541"/>
      <c r="ACY125" s="541"/>
      <c r="ACZ125" s="541"/>
      <c r="ADA125" s="541"/>
      <c r="ADB125" s="541"/>
      <c r="ADC125" s="541"/>
      <c r="ADD125" s="541"/>
      <c r="ADE125" s="541"/>
      <c r="ADF125" s="541"/>
      <c r="ADG125" s="541"/>
      <c r="ADH125" s="541"/>
      <c r="ADI125" s="541"/>
      <c r="ADJ125" s="541"/>
      <c r="ADK125" s="541"/>
      <c r="ADL125" s="541"/>
      <c r="ADM125" s="541"/>
      <c r="ADN125" s="541"/>
      <c r="ADO125" s="541"/>
      <c r="ADP125" s="541"/>
      <c r="ADQ125" s="541"/>
      <c r="ADR125" s="541"/>
      <c r="ADS125" s="541"/>
      <c r="ADT125" s="541"/>
      <c r="ADU125" s="541"/>
      <c r="ADV125" s="541"/>
      <c r="ADW125" s="541"/>
      <c r="ADX125" s="541"/>
      <c r="ADY125" s="541"/>
      <c r="ADZ125" s="541"/>
      <c r="AEA125" s="541"/>
      <c r="AEB125" s="541"/>
      <c r="AEC125" s="541"/>
      <c r="AED125" s="541"/>
      <c r="AEE125" s="541"/>
      <c r="AEF125" s="541"/>
      <c r="AEG125" s="541"/>
      <c r="AEH125" s="541"/>
      <c r="AEI125" s="541"/>
      <c r="AEJ125" s="541"/>
      <c r="AEK125" s="541"/>
      <c r="AEL125" s="541"/>
      <c r="AEM125" s="541"/>
      <c r="AEN125" s="541"/>
      <c r="AEO125" s="541"/>
      <c r="AEP125" s="541"/>
      <c r="AEQ125" s="541"/>
      <c r="AER125" s="541"/>
      <c r="AES125" s="541"/>
      <c r="AET125" s="541"/>
      <c r="AEU125" s="541"/>
      <c r="AEV125" s="541"/>
      <c r="AEW125" s="541"/>
      <c r="AEX125" s="541"/>
      <c r="AEY125" s="541"/>
      <c r="AEZ125" s="541"/>
      <c r="AFA125" s="541"/>
      <c r="AFB125" s="541"/>
      <c r="AFC125" s="541"/>
      <c r="AFD125" s="541"/>
      <c r="AFE125" s="541"/>
      <c r="AFF125" s="541"/>
      <c r="AFG125" s="541"/>
      <c r="AFH125" s="541"/>
      <c r="AFI125" s="541"/>
      <c r="AFJ125" s="541"/>
      <c r="AFK125" s="541"/>
      <c r="AFL125" s="541"/>
      <c r="AFM125" s="541"/>
      <c r="AFN125" s="541"/>
      <c r="AFO125" s="541"/>
      <c r="AFP125" s="541"/>
      <c r="AFQ125" s="541"/>
      <c r="AFR125" s="541"/>
      <c r="AFS125" s="541"/>
      <c r="AFT125" s="541"/>
      <c r="AFU125" s="541"/>
      <c r="AFV125" s="541"/>
      <c r="AFW125" s="541"/>
      <c r="AFX125" s="541"/>
      <c r="AFY125" s="541"/>
      <c r="AFZ125" s="541"/>
      <c r="AGA125" s="541"/>
      <c r="AGB125" s="541"/>
      <c r="AGC125" s="541"/>
      <c r="AGD125" s="541"/>
      <c r="AGE125" s="541"/>
      <c r="AGF125" s="541"/>
      <c r="AGG125" s="541"/>
      <c r="AGH125" s="541"/>
      <c r="AGI125" s="541"/>
      <c r="AGJ125" s="541"/>
      <c r="AGK125" s="541"/>
      <c r="AGL125" s="541"/>
      <c r="AGM125" s="541"/>
      <c r="AGN125" s="541"/>
      <c r="AGO125" s="541"/>
      <c r="AGP125" s="541"/>
      <c r="AGQ125" s="541"/>
      <c r="AGR125" s="541"/>
      <c r="AGS125" s="541"/>
      <c r="AGT125" s="541"/>
      <c r="AGU125" s="541"/>
      <c r="AGV125" s="541"/>
      <c r="AGW125" s="541"/>
      <c r="AGX125" s="541"/>
      <c r="AGY125" s="541"/>
      <c r="AGZ125" s="541"/>
      <c r="AHA125" s="541"/>
      <c r="AHB125" s="541"/>
      <c r="AHC125" s="541"/>
      <c r="AHD125" s="541"/>
      <c r="AHE125" s="541"/>
      <c r="AHF125" s="541"/>
      <c r="AHG125" s="541"/>
      <c r="AHH125" s="541"/>
      <c r="AHI125" s="541"/>
      <c r="AHJ125" s="541"/>
      <c r="AHK125" s="541"/>
      <c r="AHL125" s="541"/>
      <c r="AHM125" s="541"/>
      <c r="AHN125" s="541"/>
      <c r="AHO125" s="541"/>
      <c r="AHP125" s="541"/>
      <c r="AHQ125" s="541"/>
      <c r="AHR125" s="541"/>
      <c r="AHS125" s="541"/>
      <c r="AHT125" s="541"/>
      <c r="AHU125" s="541"/>
      <c r="AHV125" s="541"/>
      <c r="AHW125" s="541"/>
      <c r="AHX125" s="541"/>
      <c r="AHY125" s="541"/>
      <c r="AHZ125" s="541"/>
      <c r="AIA125" s="541"/>
      <c r="AIB125" s="541"/>
      <c r="AIC125" s="541"/>
      <c r="AID125" s="541"/>
      <c r="AIE125" s="541"/>
      <c r="AIF125" s="541"/>
      <c r="AIG125" s="541"/>
      <c r="AIH125" s="541"/>
      <c r="AII125" s="541"/>
      <c r="AIJ125" s="541"/>
      <c r="AIK125" s="541"/>
      <c r="AIL125" s="541"/>
      <c r="AIM125" s="541"/>
      <c r="AIN125" s="541"/>
      <c r="AIO125" s="541"/>
      <c r="AIP125" s="541"/>
      <c r="AIQ125" s="541"/>
      <c r="AIR125" s="541"/>
      <c r="AIS125" s="541"/>
      <c r="AIT125" s="541"/>
      <c r="AIU125" s="541"/>
      <c r="AIV125" s="541"/>
      <c r="AIW125" s="541"/>
      <c r="AIX125" s="541"/>
      <c r="AIY125" s="541"/>
      <c r="AIZ125" s="541"/>
      <c r="AJA125" s="541"/>
      <c r="AJB125" s="541"/>
      <c r="AJC125" s="541"/>
      <c r="AJD125" s="541"/>
      <c r="AJE125" s="541"/>
      <c r="AJF125" s="541"/>
      <c r="AJG125" s="541"/>
      <c r="AJH125" s="541"/>
      <c r="AJI125" s="541"/>
      <c r="AJJ125" s="541"/>
      <c r="AJK125" s="541"/>
      <c r="AJL125" s="541"/>
      <c r="AJM125" s="541"/>
      <c r="AJN125" s="541"/>
      <c r="AJO125" s="541"/>
      <c r="AJP125" s="541"/>
      <c r="AJQ125" s="541"/>
      <c r="AJR125" s="541"/>
      <c r="AJS125" s="541"/>
      <c r="AJT125" s="541"/>
      <c r="AJU125" s="541"/>
      <c r="AJV125" s="541"/>
      <c r="AJW125" s="541"/>
      <c r="AJX125" s="541"/>
      <c r="AJY125" s="541"/>
      <c r="AJZ125" s="541"/>
      <c r="AKA125" s="541"/>
      <c r="AKB125" s="541"/>
      <c r="AKC125" s="541"/>
      <c r="AKD125" s="541"/>
      <c r="AKE125" s="541"/>
      <c r="AKF125" s="541"/>
      <c r="AKG125" s="541"/>
      <c r="AKH125" s="541"/>
      <c r="AKI125" s="541"/>
      <c r="AKJ125" s="541"/>
      <c r="AKK125" s="541"/>
      <c r="AKL125" s="541"/>
      <c r="AKM125" s="541"/>
      <c r="AKN125" s="541"/>
      <c r="AKO125" s="541"/>
      <c r="AKP125" s="541"/>
      <c r="AKQ125" s="541"/>
      <c r="AKR125" s="541"/>
      <c r="AKS125" s="541"/>
      <c r="AKT125" s="541"/>
      <c r="AKU125" s="541"/>
      <c r="AKV125" s="541"/>
      <c r="AKW125" s="541"/>
      <c r="AKX125" s="541"/>
      <c r="AKY125" s="541"/>
      <c r="AKZ125" s="541"/>
      <c r="ALA125" s="541"/>
      <c r="ALB125" s="541"/>
      <c r="ALC125" s="541"/>
      <c r="ALD125" s="541"/>
      <c r="ALE125" s="541"/>
      <c r="ALF125" s="541"/>
      <c r="ALG125" s="541"/>
      <c r="ALH125" s="541"/>
      <c r="ALI125" s="541"/>
      <c r="ALJ125" s="541"/>
      <c r="ALK125" s="541"/>
      <c r="ALL125" s="541"/>
      <c r="ALM125" s="541"/>
      <c r="ALN125" s="541"/>
      <c r="ALO125" s="541"/>
      <c r="ALP125" s="541"/>
      <c r="ALQ125" s="541"/>
      <c r="ALR125" s="541"/>
      <c r="ALS125" s="541"/>
      <c r="ALT125" s="541"/>
      <c r="ALU125" s="541"/>
      <c r="ALV125" s="541"/>
      <c r="ALW125" s="541"/>
      <c r="ALX125" s="541"/>
      <c r="ALY125" s="541"/>
      <c r="ALZ125" s="541"/>
      <c r="AMA125" s="541"/>
      <c r="AMB125" s="541"/>
      <c r="AMC125" s="541"/>
      <c r="AMD125" s="541"/>
      <c r="AME125" s="541"/>
      <c r="AMF125" s="541"/>
      <c r="AMG125" s="541"/>
      <c r="AMH125" s="541"/>
      <c r="AMI125" s="541"/>
      <c r="AMJ125" s="541"/>
      <c r="AMK125" s="541"/>
      <c r="AML125" s="541"/>
      <c r="AMM125" s="541"/>
      <c r="AMN125" s="541"/>
      <c r="AMO125" s="541"/>
      <c r="AMP125" s="541"/>
      <c r="AMQ125" s="541"/>
      <c r="AMR125" s="541"/>
      <c r="AMS125" s="541"/>
      <c r="AMT125" s="541"/>
      <c r="AMU125" s="541"/>
      <c r="AMV125" s="541"/>
      <c r="AMW125" s="541"/>
      <c r="AMX125" s="541"/>
      <c r="AMY125" s="541"/>
      <c r="AMZ125" s="541"/>
      <c r="ANA125" s="541"/>
      <c r="ANB125" s="541"/>
      <c r="ANC125" s="541"/>
      <c r="AND125" s="541"/>
      <c r="ANE125" s="541"/>
      <c r="ANF125" s="541"/>
      <c r="ANG125" s="541"/>
      <c r="ANH125" s="541"/>
      <c r="ANI125" s="541"/>
      <c r="ANJ125" s="541"/>
      <c r="ANK125" s="541"/>
      <c r="ANL125" s="541"/>
      <c r="ANM125" s="541"/>
      <c r="ANN125" s="541"/>
      <c r="ANO125" s="541"/>
      <c r="ANP125" s="541"/>
      <c r="ANQ125" s="541"/>
      <c r="ANR125" s="541"/>
      <c r="ANS125" s="541"/>
      <c r="ANT125" s="541"/>
      <c r="ANU125" s="541"/>
      <c r="ANV125" s="541"/>
      <c r="ANW125" s="541"/>
      <c r="ANX125" s="541"/>
      <c r="ANY125" s="541"/>
      <c r="ANZ125" s="541"/>
      <c r="AOA125" s="541"/>
      <c r="AOB125" s="541"/>
      <c r="AOC125" s="541"/>
      <c r="AOD125" s="541"/>
      <c r="AOE125" s="541"/>
      <c r="AOF125" s="541"/>
      <c r="AOG125" s="541"/>
      <c r="AOH125" s="541"/>
      <c r="AOI125" s="541"/>
      <c r="AOJ125" s="541"/>
      <c r="AOK125" s="541"/>
      <c r="AOL125" s="541"/>
      <c r="AOM125" s="541"/>
      <c r="AON125" s="541"/>
      <c r="AOO125" s="541"/>
      <c r="AOP125" s="541"/>
      <c r="AOQ125" s="541"/>
      <c r="AOR125" s="541"/>
      <c r="AOS125" s="541"/>
      <c r="AOT125" s="541"/>
      <c r="AOU125" s="541"/>
      <c r="AOV125" s="541"/>
      <c r="AOW125" s="541"/>
      <c r="AOX125" s="541"/>
      <c r="AOY125" s="541"/>
      <c r="AOZ125" s="541"/>
      <c r="APA125" s="541"/>
      <c r="APB125" s="541"/>
      <c r="APC125" s="541"/>
      <c r="APD125" s="541"/>
      <c r="APE125" s="541"/>
      <c r="APF125" s="541"/>
      <c r="APG125" s="541"/>
      <c r="APH125" s="541"/>
      <c r="API125" s="541"/>
      <c r="APJ125" s="541"/>
      <c r="APK125" s="541"/>
      <c r="APL125" s="541"/>
      <c r="APM125" s="541"/>
      <c r="APN125" s="541"/>
      <c r="APO125" s="541"/>
      <c r="APP125" s="541"/>
      <c r="APQ125" s="541"/>
      <c r="APR125" s="541"/>
      <c r="APS125" s="541"/>
      <c r="APT125" s="541"/>
      <c r="APU125" s="541"/>
      <c r="APV125" s="541"/>
      <c r="APW125" s="541"/>
      <c r="APX125" s="541"/>
      <c r="APY125" s="541"/>
      <c r="APZ125" s="541"/>
      <c r="AQA125" s="541"/>
      <c r="AQB125" s="541"/>
      <c r="AQC125" s="541"/>
      <c r="AQD125" s="541"/>
      <c r="AQE125" s="541"/>
      <c r="AQF125" s="541"/>
      <c r="AQG125" s="541"/>
      <c r="AQH125" s="541"/>
      <c r="AQI125" s="541"/>
      <c r="AQJ125" s="541"/>
      <c r="AQK125" s="541"/>
      <c r="AQL125" s="541"/>
      <c r="AQM125" s="541"/>
      <c r="AQN125" s="541"/>
      <c r="AQO125" s="541"/>
      <c r="AQP125" s="541"/>
      <c r="AQQ125" s="541"/>
      <c r="AQR125" s="541"/>
      <c r="AQS125" s="541"/>
      <c r="AQT125" s="541"/>
      <c r="AQU125" s="541"/>
      <c r="AQV125" s="541"/>
      <c r="AQW125" s="541"/>
      <c r="AQX125" s="541"/>
      <c r="AQY125" s="541"/>
      <c r="AQZ125" s="541"/>
      <c r="ARA125" s="541"/>
      <c r="ARB125" s="541"/>
      <c r="ARC125" s="541"/>
      <c r="ARD125" s="541"/>
      <c r="ARE125" s="541"/>
      <c r="ARF125" s="541"/>
      <c r="ARG125" s="541"/>
      <c r="ARH125" s="541"/>
      <c r="ARI125" s="541"/>
      <c r="ARJ125" s="541"/>
      <c r="ARK125" s="541"/>
      <c r="ARL125" s="541"/>
      <c r="ARM125" s="541"/>
      <c r="ARN125" s="541"/>
      <c r="ARO125" s="541"/>
      <c r="ARP125" s="541"/>
      <c r="ARQ125" s="541"/>
      <c r="ARR125" s="541"/>
      <c r="ARS125" s="541"/>
      <c r="ART125" s="541"/>
      <c r="ARU125" s="541"/>
    </row>
    <row r="126" spans="1:1165" s="658" customFormat="1">
      <c r="A126" s="613" t="s">
        <v>277</v>
      </c>
      <c r="B126" s="578" t="s">
        <v>110</v>
      </c>
      <c r="C126" s="659">
        <v>78734</v>
      </c>
      <c r="D126" s="659">
        <v>14822327</v>
      </c>
      <c r="E126" s="581">
        <v>10978</v>
      </c>
      <c r="F126" s="581">
        <v>3684252</v>
      </c>
      <c r="G126" s="581">
        <v>10715</v>
      </c>
      <c r="H126" s="581">
        <v>4148454</v>
      </c>
      <c r="I126" s="581">
        <v>16236</v>
      </c>
      <c r="J126" s="581">
        <v>6823064</v>
      </c>
      <c r="K126" s="581">
        <v>12877</v>
      </c>
      <c r="L126" s="581">
        <v>5485523</v>
      </c>
      <c r="M126" s="581">
        <v>15592</v>
      </c>
      <c r="N126" s="581">
        <v>6767117</v>
      </c>
      <c r="O126" s="581">
        <v>17755</v>
      </c>
      <c r="P126" s="581">
        <v>9047127</v>
      </c>
      <c r="Q126" s="581">
        <v>14747</v>
      </c>
      <c r="R126" s="581">
        <v>9470735</v>
      </c>
      <c r="S126" s="581">
        <v>11766</v>
      </c>
      <c r="T126" s="581">
        <v>8501662</v>
      </c>
      <c r="U126" s="598">
        <v>9573</v>
      </c>
      <c r="V126" s="598">
        <v>7221337</v>
      </c>
      <c r="W126" s="598">
        <v>11767</v>
      </c>
      <c r="X126" s="598">
        <v>8802975</v>
      </c>
      <c r="Y126" s="598">
        <v>10514</v>
      </c>
      <c r="Z126" s="598">
        <v>7831157</v>
      </c>
      <c r="AA126" s="619">
        <v>7173</v>
      </c>
      <c r="AB126" s="619">
        <v>2155801</v>
      </c>
      <c r="AC126" s="581">
        <v>5012</v>
      </c>
      <c r="AD126" s="581">
        <v>1452698</v>
      </c>
      <c r="AE126" s="579">
        <v>6654</v>
      </c>
      <c r="AF126" s="579">
        <v>1914960</v>
      </c>
      <c r="AG126" s="579">
        <v>3093</v>
      </c>
      <c r="AH126" s="579">
        <v>876904</v>
      </c>
      <c r="AI126" s="579">
        <v>0</v>
      </c>
      <c r="AJ126" s="579">
        <v>0</v>
      </c>
      <c r="AK126" s="598">
        <v>0</v>
      </c>
      <c r="AL126" s="598">
        <v>0</v>
      </c>
      <c r="AM126" s="598">
        <v>0</v>
      </c>
      <c r="AN126" s="598">
        <v>0</v>
      </c>
      <c r="AO126" s="579">
        <v>0</v>
      </c>
      <c r="AP126" s="579">
        <v>0</v>
      </c>
      <c r="AQ126" s="579">
        <v>0</v>
      </c>
      <c r="AR126" s="579">
        <v>0</v>
      </c>
      <c r="AS126" s="579">
        <v>0</v>
      </c>
      <c r="AT126" s="579">
        <v>0</v>
      </c>
      <c r="AU126" s="579">
        <v>0</v>
      </c>
      <c r="AV126" s="579">
        <v>0</v>
      </c>
      <c r="AW126" s="598">
        <v>0</v>
      </c>
      <c r="AX126" s="598">
        <v>0</v>
      </c>
      <c r="AY126" s="581">
        <v>0</v>
      </c>
      <c r="AZ126" s="581">
        <v>0</v>
      </c>
      <c r="BA126" s="618"/>
      <c r="BB126" s="581"/>
      <c r="BC126" s="581"/>
      <c r="BD126" s="581"/>
      <c r="BE126" s="667"/>
      <c r="BF126" s="581"/>
      <c r="BG126" s="581"/>
      <c r="BH126" s="581"/>
      <c r="BI126" s="618"/>
      <c r="BJ126" s="651">
        <f t="shared" si="12"/>
        <v>232208</v>
      </c>
      <c r="BK126" s="651">
        <f t="shared" si="13"/>
        <v>95321841</v>
      </c>
      <c r="BL126" s="541"/>
      <c r="BM126" s="624"/>
      <c r="BN126" s="624"/>
      <c r="BO126" s="624"/>
      <c r="BP126" s="624"/>
      <c r="BQ126" s="541"/>
      <c r="BR126" s="541"/>
      <c r="BS126" s="541"/>
      <c r="BT126" s="541"/>
      <c r="BU126" s="541"/>
      <c r="BV126" s="541"/>
      <c r="BW126" s="541"/>
      <c r="BX126" s="541"/>
      <c r="BY126" s="541"/>
      <c r="BZ126" s="541"/>
      <c r="CA126" s="541"/>
      <c r="CB126" s="541"/>
      <c r="CC126" s="541"/>
      <c r="CD126" s="541"/>
      <c r="CE126" s="541"/>
      <c r="CF126" s="541"/>
      <c r="CG126" s="541"/>
      <c r="CH126" s="541"/>
      <c r="CI126" s="541"/>
      <c r="CJ126" s="541"/>
      <c r="CK126" s="541"/>
      <c r="CL126" s="541"/>
      <c r="CM126" s="541"/>
      <c r="CN126" s="541"/>
      <c r="CO126" s="541"/>
      <c r="CP126" s="541"/>
      <c r="CQ126" s="541"/>
      <c r="CR126" s="541"/>
      <c r="CS126" s="541"/>
      <c r="CT126" s="541"/>
      <c r="CU126" s="541"/>
      <c r="CV126" s="541"/>
      <c r="CW126" s="541"/>
      <c r="CX126" s="541"/>
      <c r="CY126" s="541"/>
      <c r="CZ126" s="541"/>
      <c r="DA126" s="541"/>
      <c r="DB126" s="541"/>
      <c r="DC126" s="541"/>
      <c r="DD126" s="541"/>
      <c r="DE126" s="541"/>
      <c r="DF126" s="541"/>
      <c r="DG126" s="541"/>
      <c r="DH126" s="541"/>
      <c r="DI126" s="541"/>
      <c r="DJ126" s="541"/>
      <c r="DK126" s="541"/>
      <c r="DL126" s="541"/>
      <c r="DM126" s="541"/>
      <c r="DN126" s="541"/>
      <c r="DO126" s="541"/>
      <c r="DP126" s="541"/>
      <c r="DQ126" s="541"/>
      <c r="DR126" s="541"/>
      <c r="DS126" s="541"/>
      <c r="DT126" s="541"/>
      <c r="DU126" s="541"/>
      <c r="DV126" s="541"/>
      <c r="DW126" s="541"/>
      <c r="DX126" s="541"/>
      <c r="DY126" s="541"/>
      <c r="DZ126" s="541"/>
      <c r="EA126" s="541"/>
      <c r="EB126" s="541"/>
      <c r="EC126" s="541"/>
      <c r="ED126" s="541"/>
      <c r="EE126" s="541"/>
      <c r="EF126" s="541"/>
      <c r="EG126" s="541"/>
      <c r="EH126" s="541"/>
      <c r="EI126" s="541"/>
      <c r="EJ126" s="541"/>
      <c r="EK126" s="541"/>
      <c r="EL126" s="541"/>
      <c r="EM126" s="541"/>
      <c r="EN126" s="541"/>
      <c r="EO126" s="541"/>
      <c r="EP126" s="541"/>
      <c r="EQ126" s="541"/>
      <c r="ER126" s="541"/>
      <c r="ES126" s="541"/>
      <c r="ET126" s="541"/>
      <c r="EU126" s="541"/>
      <c r="EV126" s="541"/>
      <c r="EW126" s="541"/>
      <c r="EX126" s="541"/>
      <c r="EY126" s="541"/>
      <c r="EZ126" s="541"/>
      <c r="FA126" s="541"/>
      <c r="FB126" s="541"/>
      <c r="FC126" s="541"/>
      <c r="FD126" s="541"/>
      <c r="FE126" s="541"/>
      <c r="FF126" s="541"/>
      <c r="FG126" s="541"/>
      <c r="FH126" s="541"/>
      <c r="FI126" s="541"/>
      <c r="FJ126" s="541"/>
      <c r="FK126" s="541"/>
      <c r="FL126" s="541"/>
      <c r="FM126" s="541"/>
      <c r="FN126" s="541"/>
      <c r="FO126" s="541"/>
      <c r="FP126" s="541"/>
      <c r="FQ126" s="541"/>
      <c r="FR126" s="541"/>
      <c r="FS126" s="541"/>
      <c r="FT126" s="541"/>
      <c r="FU126" s="541"/>
      <c r="FV126" s="541"/>
      <c r="FW126" s="541"/>
      <c r="FX126" s="541"/>
      <c r="FY126" s="541"/>
      <c r="FZ126" s="541"/>
      <c r="GA126" s="541"/>
      <c r="GB126" s="541"/>
      <c r="GC126" s="541"/>
      <c r="GD126" s="541"/>
      <c r="GE126" s="541"/>
      <c r="GF126" s="541"/>
      <c r="GG126" s="541"/>
      <c r="GH126" s="541"/>
      <c r="GI126" s="541"/>
      <c r="GJ126" s="541"/>
      <c r="GK126" s="541"/>
      <c r="GL126" s="541"/>
      <c r="GM126" s="541"/>
      <c r="GN126" s="541"/>
      <c r="GO126" s="541"/>
      <c r="GP126" s="541"/>
      <c r="GQ126" s="541"/>
      <c r="GR126" s="541"/>
      <c r="GS126" s="541"/>
      <c r="GT126" s="541"/>
      <c r="GU126" s="541"/>
      <c r="GV126" s="541"/>
      <c r="GW126" s="541"/>
      <c r="GX126" s="541"/>
      <c r="GY126" s="541"/>
      <c r="GZ126" s="541"/>
      <c r="HA126" s="541"/>
      <c r="HB126" s="541"/>
      <c r="HC126" s="541"/>
      <c r="HD126" s="541"/>
      <c r="HE126" s="541"/>
      <c r="HF126" s="541"/>
      <c r="HG126" s="541"/>
      <c r="HH126" s="541"/>
      <c r="HI126" s="541"/>
      <c r="HJ126" s="541"/>
      <c r="HK126" s="541"/>
      <c r="HL126" s="541"/>
      <c r="HM126" s="541"/>
      <c r="HN126" s="541"/>
      <c r="HO126" s="541"/>
      <c r="HP126" s="541"/>
      <c r="HQ126" s="541"/>
      <c r="HR126" s="541"/>
      <c r="HS126" s="541"/>
      <c r="HT126" s="541"/>
      <c r="HU126" s="541"/>
      <c r="HV126" s="541"/>
      <c r="HW126" s="541"/>
      <c r="HX126" s="541"/>
      <c r="HY126" s="541"/>
      <c r="HZ126" s="541"/>
      <c r="IA126" s="541"/>
      <c r="IB126" s="541"/>
      <c r="IC126" s="541"/>
      <c r="ID126" s="541"/>
      <c r="IE126" s="541"/>
      <c r="IF126" s="541"/>
      <c r="IG126" s="541"/>
      <c r="IH126" s="541"/>
      <c r="II126" s="541"/>
      <c r="IJ126" s="541"/>
      <c r="IK126" s="541"/>
      <c r="IL126" s="541"/>
      <c r="IM126" s="541"/>
      <c r="IN126" s="541"/>
      <c r="IO126" s="541"/>
      <c r="IP126" s="541"/>
      <c r="IQ126" s="541"/>
      <c r="IR126" s="541"/>
      <c r="IS126" s="541"/>
      <c r="IT126" s="541"/>
      <c r="IU126" s="541"/>
      <c r="IV126" s="541"/>
      <c r="IW126" s="541"/>
      <c r="IX126" s="541"/>
      <c r="IY126" s="541"/>
      <c r="IZ126" s="541"/>
      <c r="JA126" s="541"/>
      <c r="JB126" s="541"/>
      <c r="JC126" s="541"/>
      <c r="JD126" s="541"/>
      <c r="JE126" s="541"/>
      <c r="JF126" s="541"/>
      <c r="JG126" s="541"/>
      <c r="JH126" s="541"/>
      <c r="JI126" s="541"/>
      <c r="JJ126" s="541"/>
      <c r="JK126" s="541"/>
      <c r="JL126" s="541"/>
      <c r="JM126" s="541"/>
      <c r="JN126" s="541"/>
      <c r="JO126" s="541"/>
      <c r="JP126" s="541"/>
      <c r="JQ126" s="541"/>
      <c r="JR126" s="541"/>
      <c r="JS126" s="541"/>
      <c r="JT126" s="541"/>
      <c r="JU126" s="541"/>
      <c r="JV126" s="541"/>
      <c r="JW126" s="541"/>
      <c r="JX126" s="541"/>
      <c r="JY126" s="541"/>
      <c r="JZ126" s="541"/>
      <c r="KA126" s="541"/>
      <c r="KB126" s="541"/>
      <c r="KC126" s="541"/>
      <c r="KD126" s="541"/>
      <c r="KE126" s="541"/>
      <c r="KF126" s="541"/>
      <c r="KG126" s="541"/>
      <c r="KH126" s="541"/>
      <c r="KI126" s="541"/>
      <c r="KJ126" s="541"/>
      <c r="KK126" s="541"/>
      <c r="KL126" s="541"/>
      <c r="KM126" s="541"/>
      <c r="KN126" s="541"/>
      <c r="KO126" s="541"/>
      <c r="KP126" s="541"/>
      <c r="KQ126" s="541"/>
      <c r="KR126" s="541"/>
      <c r="KS126" s="541"/>
      <c r="KT126" s="541"/>
      <c r="KU126" s="541"/>
      <c r="KV126" s="541"/>
      <c r="KW126" s="541"/>
      <c r="KX126" s="541"/>
      <c r="KY126" s="541"/>
      <c r="KZ126" s="541"/>
      <c r="LA126" s="541"/>
      <c r="LB126" s="541"/>
      <c r="LC126" s="541"/>
      <c r="LD126" s="541"/>
      <c r="LE126" s="541"/>
      <c r="LF126" s="541"/>
      <c r="LG126" s="541"/>
      <c r="LH126" s="541"/>
      <c r="LI126" s="541"/>
      <c r="LJ126" s="541"/>
      <c r="LK126" s="541"/>
      <c r="LL126" s="541"/>
      <c r="LM126" s="541"/>
      <c r="LN126" s="541"/>
      <c r="LO126" s="541"/>
      <c r="LP126" s="541"/>
      <c r="LQ126" s="541"/>
      <c r="LR126" s="541"/>
      <c r="LS126" s="541"/>
      <c r="LT126" s="541"/>
      <c r="LU126" s="541"/>
      <c r="LV126" s="541"/>
      <c r="LW126" s="541"/>
      <c r="LX126" s="541"/>
      <c r="LY126" s="541"/>
      <c r="LZ126" s="541"/>
      <c r="MA126" s="541"/>
      <c r="MB126" s="541"/>
      <c r="MC126" s="541"/>
      <c r="MD126" s="541"/>
      <c r="ME126" s="541"/>
      <c r="MF126" s="541"/>
      <c r="MG126" s="541"/>
      <c r="MH126" s="541"/>
      <c r="MI126" s="541"/>
      <c r="MJ126" s="541"/>
      <c r="MK126" s="541"/>
      <c r="ML126" s="541"/>
      <c r="MM126" s="541"/>
      <c r="MN126" s="541"/>
      <c r="MO126" s="541"/>
      <c r="MP126" s="541"/>
      <c r="MQ126" s="541"/>
      <c r="MR126" s="541"/>
      <c r="MS126" s="541"/>
      <c r="MT126" s="541"/>
      <c r="MU126" s="541"/>
      <c r="MV126" s="541"/>
      <c r="MW126" s="541"/>
      <c r="MX126" s="541"/>
      <c r="MY126" s="541"/>
      <c r="MZ126" s="541"/>
      <c r="NA126" s="541"/>
      <c r="NB126" s="541"/>
      <c r="NC126" s="541"/>
      <c r="ND126" s="541"/>
      <c r="NE126" s="541"/>
      <c r="NF126" s="541"/>
      <c r="NG126" s="541"/>
      <c r="NH126" s="541"/>
      <c r="NI126" s="541"/>
      <c r="NJ126" s="541"/>
      <c r="NK126" s="541"/>
      <c r="NL126" s="541"/>
      <c r="NM126" s="541"/>
      <c r="NN126" s="541"/>
      <c r="NO126" s="541"/>
      <c r="NP126" s="541"/>
      <c r="NQ126" s="541"/>
      <c r="NR126" s="541"/>
      <c r="NS126" s="541"/>
      <c r="NT126" s="541"/>
      <c r="NU126" s="541"/>
      <c r="NV126" s="541"/>
      <c r="NW126" s="541"/>
      <c r="NX126" s="541"/>
      <c r="NY126" s="541"/>
      <c r="NZ126" s="541"/>
      <c r="OA126" s="541"/>
      <c r="OB126" s="541"/>
      <c r="OC126" s="541"/>
      <c r="OD126" s="541"/>
      <c r="OE126" s="541"/>
      <c r="OF126" s="541"/>
      <c r="OG126" s="541"/>
      <c r="OH126" s="541"/>
      <c r="OI126" s="541"/>
      <c r="OJ126" s="541"/>
      <c r="OK126" s="541"/>
      <c r="OL126" s="541"/>
      <c r="OM126" s="541"/>
      <c r="ON126" s="541"/>
      <c r="OO126" s="541"/>
      <c r="OP126" s="541"/>
      <c r="OQ126" s="541"/>
      <c r="OR126" s="541"/>
      <c r="OS126" s="541"/>
      <c r="OT126" s="541"/>
      <c r="OU126" s="541"/>
      <c r="OV126" s="541"/>
      <c r="OW126" s="541"/>
      <c r="OX126" s="541"/>
      <c r="OY126" s="541"/>
      <c r="OZ126" s="541"/>
      <c r="PA126" s="541"/>
      <c r="PB126" s="541"/>
      <c r="PC126" s="541"/>
      <c r="PD126" s="541"/>
      <c r="PE126" s="541"/>
      <c r="PF126" s="541"/>
      <c r="PG126" s="541"/>
      <c r="PH126" s="541"/>
      <c r="PI126" s="541"/>
      <c r="PJ126" s="541"/>
      <c r="PK126" s="541"/>
      <c r="PL126" s="541"/>
      <c r="PM126" s="541"/>
      <c r="PN126" s="541"/>
      <c r="PO126" s="541"/>
      <c r="PP126" s="541"/>
      <c r="PQ126" s="541"/>
      <c r="PR126" s="541"/>
      <c r="PS126" s="541"/>
      <c r="PT126" s="541"/>
      <c r="PU126" s="541"/>
      <c r="PV126" s="541"/>
      <c r="PW126" s="541"/>
      <c r="PX126" s="541"/>
      <c r="PY126" s="541"/>
      <c r="PZ126" s="541"/>
      <c r="QA126" s="541"/>
      <c r="QB126" s="541"/>
      <c r="QC126" s="541"/>
      <c r="QD126" s="541"/>
      <c r="QE126" s="541"/>
      <c r="QF126" s="541"/>
      <c r="QG126" s="541"/>
      <c r="QH126" s="541"/>
      <c r="QI126" s="541"/>
      <c r="QJ126" s="541"/>
      <c r="QK126" s="541"/>
      <c r="QL126" s="541"/>
      <c r="QM126" s="541"/>
      <c r="QN126" s="541"/>
      <c r="QO126" s="541"/>
      <c r="QP126" s="541"/>
      <c r="QQ126" s="541"/>
      <c r="QR126" s="541"/>
      <c r="QS126" s="541"/>
      <c r="QT126" s="541"/>
      <c r="QU126" s="541"/>
      <c r="QV126" s="541"/>
      <c r="QW126" s="541"/>
      <c r="QX126" s="541"/>
      <c r="QY126" s="541"/>
      <c r="QZ126" s="541"/>
      <c r="RA126" s="541"/>
      <c r="RB126" s="541"/>
      <c r="RC126" s="541"/>
      <c r="RD126" s="541"/>
      <c r="RE126" s="541"/>
      <c r="RF126" s="541"/>
      <c r="RG126" s="541"/>
      <c r="RH126" s="541"/>
      <c r="RI126" s="541"/>
      <c r="RJ126" s="541"/>
      <c r="RK126" s="541"/>
      <c r="RL126" s="541"/>
      <c r="RM126" s="541"/>
      <c r="RN126" s="541"/>
      <c r="RO126" s="541"/>
      <c r="RP126" s="541"/>
      <c r="RQ126" s="541"/>
      <c r="RR126" s="541"/>
      <c r="RS126" s="541"/>
      <c r="RT126" s="541"/>
      <c r="RU126" s="541"/>
      <c r="RV126" s="541"/>
      <c r="RW126" s="541"/>
      <c r="RX126" s="541"/>
      <c r="RY126" s="541"/>
      <c r="RZ126" s="541"/>
      <c r="SA126" s="541"/>
      <c r="SB126" s="541"/>
      <c r="SC126" s="541"/>
      <c r="SD126" s="541"/>
      <c r="SE126" s="541"/>
      <c r="SF126" s="541"/>
      <c r="SG126" s="541"/>
      <c r="SH126" s="541"/>
      <c r="SI126" s="541"/>
      <c r="SJ126" s="541"/>
      <c r="SK126" s="541"/>
      <c r="SL126" s="541"/>
      <c r="SM126" s="541"/>
      <c r="SN126" s="541"/>
      <c r="SO126" s="541"/>
      <c r="SP126" s="541"/>
      <c r="SQ126" s="541"/>
      <c r="SR126" s="541"/>
      <c r="SS126" s="541"/>
      <c r="ST126" s="541"/>
      <c r="SU126" s="541"/>
      <c r="SV126" s="541"/>
      <c r="SW126" s="541"/>
      <c r="SX126" s="541"/>
      <c r="SY126" s="541"/>
      <c r="SZ126" s="541"/>
      <c r="TA126" s="541"/>
      <c r="TB126" s="541"/>
      <c r="TC126" s="541"/>
      <c r="TD126" s="541"/>
      <c r="TE126" s="541"/>
      <c r="TF126" s="541"/>
      <c r="TG126" s="541"/>
      <c r="TH126" s="541"/>
      <c r="TI126" s="541"/>
      <c r="TJ126" s="541"/>
      <c r="TK126" s="541"/>
      <c r="TL126" s="541"/>
      <c r="TM126" s="541"/>
      <c r="TN126" s="541"/>
      <c r="TO126" s="541"/>
      <c r="TP126" s="541"/>
      <c r="TQ126" s="541"/>
      <c r="TR126" s="541"/>
      <c r="TS126" s="541"/>
      <c r="TT126" s="541"/>
      <c r="TU126" s="541"/>
      <c r="TV126" s="541"/>
      <c r="TW126" s="541"/>
      <c r="TX126" s="541"/>
      <c r="TY126" s="541"/>
      <c r="TZ126" s="541"/>
      <c r="UA126" s="541"/>
      <c r="UB126" s="541"/>
      <c r="UC126" s="541"/>
      <c r="UD126" s="541"/>
      <c r="UE126" s="541"/>
      <c r="UF126" s="541"/>
      <c r="UG126" s="541"/>
      <c r="UH126" s="541"/>
      <c r="UI126" s="541"/>
      <c r="UJ126" s="541"/>
      <c r="UK126" s="541"/>
      <c r="UL126" s="541"/>
      <c r="UM126" s="541"/>
      <c r="UN126" s="541"/>
      <c r="UO126" s="541"/>
      <c r="UP126" s="541"/>
      <c r="UQ126" s="541"/>
      <c r="UR126" s="541"/>
      <c r="US126" s="541"/>
      <c r="UT126" s="541"/>
      <c r="UU126" s="541"/>
      <c r="UV126" s="541"/>
      <c r="UW126" s="541"/>
      <c r="UX126" s="541"/>
      <c r="UY126" s="541"/>
      <c r="UZ126" s="541"/>
      <c r="VA126" s="541"/>
      <c r="VB126" s="541"/>
      <c r="VC126" s="541"/>
      <c r="VD126" s="541"/>
      <c r="VE126" s="541"/>
      <c r="VF126" s="541"/>
      <c r="VG126" s="541"/>
      <c r="VH126" s="541"/>
      <c r="VI126" s="541"/>
      <c r="VJ126" s="541"/>
      <c r="VK126" s="541"/>
      <c r="VL126" s="541"/>
      <c r="VM126" s="541"/>
      <c r="VN126" s="541"/>
      <c r="VO126" s="541"/>
      <c r="VP126" s="541"/>
      <c r="VQ126" s="541"/>
      <c r="VR126" s="541"/>
      <c r="VS126" s="541"/>
      <c r="VT126" s="541"/>
      <c r="VU126" s="541"/>
      <c r="VV126" s="541"/>
      <c r="VW126" s="541"/>
      <c r="VX126" s="541"/>
      <c r="VY126" s="541"/>
      <c r="VZ126" s="541"/>
      <c r="WA126" s="541"/>
      <c r="WB126" s="541"/>
      <c r="WC126" s="541"/>
      <c r="WD126" s="541"/>
      <c r="WE126" s="541"/>
      <c r="WF126" s="541"/>
      <c r="WG126" s="541"/>
      <c r="WH126" s="541"/>
      <c r="WI126" s="541"/>
      <c r="WJ126" s="541"/>
      <c r="WK126" s="541"/>
      <c r="WL126" s="541"/>
      <c r="WM126" s="541"/>
      <c r="WN126" s="541"/>
      <c r="WO126" s="541"/>
      <c r="WP126" s="541"/>
      <c r="WQ126" s="541"/>
      <c r="WR126" s="541"/>
      <c r="WS126" s="541"/>
      <c r="WT126" s="541"/>
      <c r="WU126" s="541"/>
      <c r="WV126" s="541"/>
      <c r="WW126" s="541"/>
      <c r="WX126" s="541"/>
      <c r="WY126" s="541"/>
      <c r="WZ126" s="541"/>
      <c r="XA126" s="541"/>
      <c r="XB126" s="541"/>
      <c r="XC126" s="541"/>
      <c r="XD126" s="541"/>
      <c r="XE126" s="541"/>
      <c r="XF126" s="541"/>
      <c r="XG126" s="541"/>
      <c r="XH126" s="541"/>
      <c r="XI126" s="541"/>
      <c r="XJ126" s="541"/>
      <c r="XK126" s="541"/>
      <c r="XL126" s="541"/>
      <c r="XM126" s="541"/>
      <c r="XN126" s="541"/>
      <c r="XO126" s="541"/>
      <c r="XP126" s="541"/>
      <c r="XQ126" s="541"/>
      <c r="XR126" s="541"/>
      <c r="XS126" s="541"/>
      <c r="XT126" s="541"/>
      <c r="XU126" s="541"/>
      <c r="XV126" s="541"/>
      <c r="XW126" s="541"/>
      <c r="XX126" s="541"/>
      <c r="XY126" s="541"/>
      <c r="XZ126" s="541"/>
      <c r="YA126" s="541"/>
      <c r="YB126" s="541"/>
      <c r="YC126" s="541"/>
      <c r="YD126" s="541"/>
      <c r="YE126" s="541"/>
      <c r="YF126" s="541"/>
      <c r="YG126" s="541"/>
      <c r="YH126" s="541"/>
      <c r="YI126" s="541"/>
      <c r="YJ126" s="541"/>
      <c r="YK126" s="541"/>
      <c r="YL126" s="541"/>
      <c r="YM126" s="541"/>
      <c r="YN126" s="541"/>
      <c r="YO126" s="541"/>
      <c r="YP126" s="541"/>
      <c r="YQ126" s="541"/>
      <c r="YR126" s="541"/>
      <c r="YS126" s="541"/>
      <c r="YT126" s="541"/>
      <c r="YU126" s="541"/>
      <c r="YV126" s="541"/>
      <c r="YW126" s="541"/>
      <c r="YX126" s="541"/>
      <c r="YY126" s="541"/>
      <c r="YZ126" s="541"/>
      <c r="ZA126" s="541"/>
      <c r="ZB126" s="541"/>
      <c r="ZC126" s="541"/>
      <c r="ZD126" s="541"/>
      <c r="ZE126" s="541"/>
      <c r="ZF126" s="541"/>
      <c r="ZG126" s="541"/>
      <c r="ZH126" s="541"/>
      <c r="ZI126" s="541"/>
      <c r="ZJ126" s="541"/>
      <c r="ZK126" s="541"/>
      <c r="ZL126" s="541"/>
      <c r="ZM126" s="541"/>
      <c r="ZN126" s="541"/>
      <c r="ZO126" s="541"/>
      <c r="ZP126" s="541"/>
      <c r="ZQ126" s="541"/>
      <c r="ZR126" s="541"/>
      <c r="ZS126" s="541"/>
      <c r="ZT126" s="541"/>
      <c r="ZU126" s="541"/>
      <c r="ZV126" s="541"/>
      <c r="ZW126" s="541"/>
      <c r="ZX126" s="541"/>
      <c r="ZY126" s="541"/>
      <c r="ZZ126" s="541"/>
      <c r="AAA126" s="541"/>
      <c r="AAB126" s="541"/>
      <c r="AAC126" s="541"/>
      <c r="AAD126" s="541"/>
      <c r="AAE126" s="541"/>
      <c r="AAF126" s="541"/>
      <c r="AAG126" s="541"/>
      <c r="AAH126" s="541"/>
      <c r="AAI126" s="541"/>
      <c r="AAJ126" s="541"/>
      <c r="AAK126" s="541"/>
      <c r="AAL126" s="541"/>
      <c r="AAM126" s="541"/>
      <c r="AAN126" s="541"/>
      <c r="AAO126" s="541"/>
      <c r="AAP126" s="541"/>
      <c r="AAQ126" s="541"/>
      <c r="AAR126" s="541"/>
      <c r="AAS126" s="541"/>
      <c r="AAT126" s="541"/>
      <c r="AAU126" s="541"/>
      <c r="AAV126" s="541"/>
      <c r="AAW126" s="541"/>
      <c r="AAX126" s="541"/>
      <c r="AAY126" s="541"/>
      <c r="AAZ126" s="541"/>
      <c r="ABA126" s="541"/>
      <c r="ABB126" s="541"/>
      <c r="ABC126" s="541"/>
      <c r="ABD126" s="541"/>
      <c r="ABE126" s="541"/>
      <c r="ABF126" s="541"/>
      <c r="ABG126" s="541"/>
      <c r="ABH126" s="541"/>
      <c r="ABI126" s="541"/>
      <c r="ABJ126" s="541"/>
      <c r="ABK126" s="541"/>
      <c r="ABL126" s="541"/>
      <c r="ABM126" s="541"/>
      <c r="ABN126" s="541"/>
      <c r="ABO126" s="541"/>
      <c r="ABP126" s="541"/>
      <c r="ABQ126" s="541"/>
      <c r="ABR126" s="541"/>
      <c r="ABS126" s="541"/>
      <c r="ABT126" s="541"/>
      <c r="ABU126" s="541"/>
      <c r="ABV126" s="541"/>
      <c r="ABW126" s="541"/>
      <c r="ABX126" s="541"/>
      <c r="ABY126" s="541"/>
      <c r="ABZ126" s="541"/>
      <c r="ACA126" s="541"/>
      <c r="ACB126" s="541"/>
      <c r="ACC126" s="541"/>
      <c r="ACD126" s="541"/>
      <c r="ACE126" s="541"/>
      <c r="ACF126" s="541"/>
      <c r="ACG126" s="541"/>
      <c r="ACH126" s="541"/>
      <c r="ACI126" s="541"/>
      <c r="ACJ126" s="541"/>
      <c r="ACK126" s="541"/>
      <c r="ACL126" s="541"/>
      <c r="ACM126" s="541"/>
      <c r="ACN126" s="541"/>
      <c r="ACO126" s="541"/>
      <c r="ACP126" s="541"/>
      <c r="ACQ126" s="541"/>
      <c r="ACR126" s="541"/>
      <c r="ACS126" s="541"/>
      <c r="ACT126" s="541"/>
      <c r="ACU126" s="541"/>
      <c r="ACV126" s="541"/>
      <c r="ACW126" s="541"/>
      <c r="ACX126" s="541"/>
      <c r="ACY126" s="541"/>
      <c r="ACZ126" s="541"/>
      <c r="ADA126" s="541"/>
      <c r="ADB126" s="541"/>
      <c r="ADC126" s="541"/>
      <c r="ADD126" s="541"/>
      <c r="ADE126" s="541"/>
      <c r="ADF126" s="541"/>
      <c r="ADG126" s="541"/>
      <c r="ADH126" s="541"/>
      <c r="ADI126" s="541"/>
      <c r="ADJ126" s="541"/>
      <c r="ADK126" s="541"/>
      <c r="ADL126" s="541"/>
      <c r="ADM126" s="541"/>
      <c r="ADN126" s="541"/>
      <c r="ADO126" s="541"/>
      <c r="ADP126" s="541"/>
      <c r="ADQ126" s="541"/>
      <c r="ADR126" s="541"/>
      <c r="ADS126" s="541"/>
      <c r="ADT126" s="541"/>
      <c r="ADU126" s="541"/>
      <c r="ADV126" s="541"/>
      <c r="ADW126" s="541"/>
      <c r="ADX126" s="541"/>
      <c r="ADY126" s="541"/>
      <c r="ADZ126" s="541"/>
      <c r="AEA126" s="541"/>
      <c r="AEB126" s="541"/>
      <c r="AEC126" s="541"/>
      <c r="AED126" s="541"/>
      <c r="AEE126" s="541"/>
      <c r="AEF126" s="541"/>
      <c r="AEG126" s="541"/>
      <c r="AEH126" s="541"/>
      <c r="AEI126" s="541"/>
      <c r="AEJ126" s="541"/>
      <c r="AEK126" s="541"/>
      <c r="AEL126" s="541"/>
      <c r="AEM126" s="541"/>
      <c r="AEN126" s="541"/>
      <c r="AEO126" s="541"/>
      <c r="AEP126" s="541"/>
      <c r="AEQ126" s="541"/>
      <c r="AER126" s="541"/>
      <c r="AES126" s="541"/>
      <c r="AET126" s="541"/>
      <c r="AEU126" s="541"/>
      <c r="AEV126" s="541"/>
      <c r="AEW126" s="541"/>
      <c r="AEX126" s="541"/>
      <c r="AEY126" s="541"/>
      <c r="AEZ126" s="541"/>
      <c r="AFA126" s="541"/>
      <c r="AFB126" s="541"/>
      <c r="AFC126" s="541"/>
      <c r="AFD126" s="541"/>
      <c r="AFE126" s="541"/>
      <c r="AFF126" s="541"/>
      <c r="AFG126" s="541"/>
      <c r="AFH126" s="541"/>
      <c r="AFI126" s="541"/>
      <c r="AFJ126" s="541"/>
      <c r="AFK126" s="541"/>
      <c r="AFL126" s="541"/>
      <c r="AFM126" s="541"/>
      <c r="AFN126" s="541"/>
      <c r="AFO126" s="541"/>
      <c r="AFP126" s="541"/>
      <c r="AFQ126" s="541"/>
      <c r="AFR126" s="541"/>
      <c r="AFS126" s="541"/>
      <c r="AFT126" s="541"/>
      <c r="AFU126" s="541"/>
      <c r="AFV126" s="541"/>
      <c r="AFW126" s="541"/>
      <c r="AFX126" s="541"/>
      <c r="AFY126" s="541"/>
      <c r="AFZ126" s="541"/>
      <c r="AGA126" s="541"/>
      <c r="AGB126" s="541"/>
      <c r="AGC126" s="541"/>
      <c r="AGD126" s="541"/>
      <c r="AGE126" s="541"/>
      <c r="AGF126" s="541"/>
      <c r="AGG126" s="541"/>
      <c r="AGH126" s="541"/>
      <c r="AGI126" s="541"/>
      <c r="AGJ126" s="541"/>
      <c r="AGK126" s="541"/>
      <c r="AGL126" s="541"/>
      <c r="AGM126" s="541"/>
      <c r="AGN126" s="541"/>
      <c r="AGO126" s="541"/>
      <c r="AGP126" s="541"/>
      <c r="AGQ126" s="541"/>
      <c r="AGR126" s="541"/>
      <c r="AGS126" s="541"/>
      <c r="AGT126" s="541"/>
      <c r="AGU126" s="541"/>
      <c r="AGV126" s="541"/>
      <c r="AGW126" s="541"/>
      <c r="AGX126" s="541"/>
      <c r="AGY126" s="541"/>
      <c r="AGZ126" s="541"/>
      <c r="AHA126" s="541"/>
      <c r="AHB126" s="541"/>
      <c r="AHC126" s="541"/>
      <c r="AHD126" s="541"/>
      <c r="AHE126" s="541"/>
      <c r="AHF126" s="541"/>
      <c r="AHG126" s="541"/>
      <c r="AHH126" s="541"/>
      <c r="AHI126" s="541"/>
      <c r="AHJ126" s="541"/>
      <c r="AHK126" s="541"/>
      <c r="AHL126" s="541"/>
      <c r="AHM126" s="541"/>
      <c r="AHN126" s="541"/>
      <c r="AHO126" s="541"/>
      <c r="AHP126" s="541"/>
      <c r="AHQ126" s="541"/>
      <c r="AHR126" s="541"/>
      <c r="AHS126" s="541"/>
      <c r="AHT126" s="541"/>
      <c r="AHU126" s="541"/>
      <c r="AHV126" s="541"/>
      <c r="AHW126" s="541"/>
      <c r="AHX126" s="541"/>
      <c r="AHY126" s="541"/>
      <c r="AHZ126" s="541"/>
      <c r="AIA126" s="541"/>
      <c r="AIB126" s="541"/>
      <c r="AIC126" s="541"/>
      <c r="AID126" s="541"/>
      <c r="AIE126" s="541"/>
      <c r="AIF126" s="541"/>
      <c r="AIG126" s="541"/>
      <c r="AIH126" s="541"/>
      <c r="AII126" s="541"/>
      <c r="AIJ126" s="541"/>
      <c r="AIK126" s="541"/>
      <c r="AIL126" s="541"/>
      <c r="AIM126" s="541"/>
      <c r="AIN126" s="541"/>
      <c r="AIO126" s="541"/>
      <c r="AIP126" s="541"/>
      <c r="AIQ126" s="541"/>
      <c r="AIR126" s="541"/>
      <c r="AIS126" s="541"/>
      <c r="AIT126" s="541"/>
      <c r="AIU126" s="541"/>
      <c r="AIV126" s="541"/>
      <c r="AIW126" s="541"/>
      <c r="AIX126" s="541"/>
      <c r="AIY126" s="541"/>
      <c r="AIZ126" s="541"/>
      <c r="AJA126" s="541"/>
      <c r="AJB126" s="541"/>
      <c r="AJC126" s="541"/>
      <c r="AJD126" s="541"/>
      <c r="AJE126" s="541"/>
      <c r="AJF126" s="541"/>
      <c r="AJG126" s="541"/>
      <c r="AJH126" s="541"/>
      <c r="AJI126" s="541"/>
      <c r="AJJ126" s="541"/>
      <c r="AJK126" s="541"/>
      <c r="AJL126" s="541"/>
      <c r="AJM126" s="541"/>
      <c r="AJN126" s="541"/>
      <c r="AJO126" s="541"/>
      <c r="AJP126" s="541"/>
      <c r="AJQ126" s="541"/>
      <c r="AJR126" s="541"/>
      <c r="AJS126" s="541"/>
      <c r="AJT126" s="541"/>
      <c r="AJU126" s="541"/>
      <c r="AJV126" s="541"/>
      <c r="AJW126" s="541"/>
      <c r="AJX126" s="541"/>
      <c r="AJY126" s="541"/>
      <c r="AJZ126" s="541"/>
      <c r="AKA126" s="541"/>
      <c r="AKB126" s="541"/>
      <c r="AKC126" s="541"/>
      <c r="AKD126" s="541"/>
      <c r="AKE126" s="541"/>
      <c r="AKF126" s="541"/>
      <c r="AKG126" s="541"/>
      <c r="AKH126" s="541"/>
      <c r="AKI126" s="541"/>
      <c r="AKJ126" s="541"/>
      <c r="AKK126" s="541"/>
      <c r="AKL126" s="541"/>
      <c r="AKM126" s="541"/>
      <c r="AKN126" s="541"/>
      <c r="AKO126" s="541"/>
      <c r="AKP126" s="541"/>
      <c r="AKQ126" s="541"/>
      <c r="AKR126" s="541"/>
      <c r="AKS126" s="541"/>
      <c r="AKT126" s="541"/>
      <c r="AKU126" s="541"/>
      <c r="AKV126" s="541"/>
      <c r="AKW126" s="541"/>
      <c r="AKX126" s="541"/>
      <c r="AKY126" s="541"/>
      <c r="AKZ126" s="541"/>
      <c r="ALA126" s="541"/>
      <c r="ALB126" s="541"/>
      <c r="ALC126" s="541"/>
      <c r="ALD126" s="541"/>
      <c r="ALE126" s="541"/>
      <c r="ALF126" s="541"/>
      <c r="ALG126" s="541"/>
      <c r="ALH126" s="541"/>
      <c r="ALI126" s="541"/>
      <c r="ALJ126" s="541"/>
      <c r="ALK126" s="541"/>
      <c r="ALL126" s="541"/>
      <c r="ALM126" s="541"/>
      <c r="ALN126" s="541"/>
      <c r="ALO126" s="541"/>
      <c r="ALP126" s="541"/>
      <c r="ALQ126" s="541"/>
      <c r="ALR126" s="541"/>
      <c r="ALS126" s="541"/>
      <c r="ALT126" s="541"/>
      <c r="ALU126" s="541"/>
      <c r="ALV126" s="541"/>
      <c r="ALW126" s="541"/>
      <c r="ALX126" s="541"/>
      <c r="ALY126" s="541"/>
      <c r="ALZ126" s="541"/>
      <c r="AMA126" s="541"/>
      <c r="AMB126" s="541"/>
      <c r="AMC126" s="541"/>
      <c r="AMD126" s="541"/>
      <c r="AME126" s="541"/>
      <c r="AMF126" s="541"/>
      <c r="AMG126" s="541"/>
      <c r="AMH126" s="541"/>
      <c r="AMI126" s="541"/>
      <c r="AMJ126" s="541"/>
      <c r="AMK126" s="541"/>
      <c r="AML126" s="541"/>
      <c r="AMM126" s="541"/>
      <c r="AMN126" s="541"/>
      <c r="AMO126" s="541"/>
      <c r="AMP126" s="541"/>
      <c r="AMQ126" s="541"/>
      <c r="AMR126" s="541"/>
      <c r="AMS126" s="541"/>
      <c r="AMT126" s="541"/>
      <c r="AMU126" s="541"/>
      <c r="AMV126" s="541"/>
      <c r="AMW126" s="541"/>
      <c r="AMX126" s="541"/>
      <c r="AMY126" s="541"/>
      <c r="AMZ126" s="541"/>
      <c r="ANA126" s="541"/>
      <c r="ANB126" s="541"/>
      <c r="ANC126" s="541"/>
      <c r="AND126" s="541"/>
      <c r="ANE126" s="541"/>
      <c r="ANF126" s="541"/>
      <c r="ANG126" s="541"/>
      <c r="ANH126" s="541"/>
      <c r="ANI126" s="541"/>
      <c r="ANJ126" s="541"/>
      <c r="ANK126" s="541"/>
      <c r="ANL126" s="541"/>
      <c r="ANM126" s="541"/>
      <c r="ANN126" s="541"/>
      <c r="ANO126" s="541"/>
      <c r="ANP126" s="541"/>
      <c r="ANQ126" s="541"/>
      <c r="ANR126" s="541"/>
      <c r="ANS126" s="541"/>
      <c r="ANT126" s="541"/>
      <c r="ANU126" s="541"/>
      <c r="ANV126" s="541"/>
      <c r="ANW126" s="541"/>
      <c r="ANX126" s="541"/>
      <c r="ANY126" s="541"/>
      <c r="ANZ126" s="541"/>
      <c r="AOA126" s="541"/>
      <c r="AOB126" s="541"/>
      <c r="AOC126" s="541"/>
      <c r="AOD126" s="541"/>
      <c r="AOE126" s="541"/>
      <c r="AOF126" s="541"/>
      <c r="AOG126" s="541"/>
      <c r="AOH126" s="541"/>
      <c r="AOI126" s="541"/>
      <c r="AOJ126" s="541"/>
      <c r="AOK126" s="541"/>
      <c r="AOL126" s="541"/>
      <c r="AOM126" s="541"/>
      <c r="AON126" s="541"/>
      <c r="AOO126" s="541"/>
      <c r="AOP126" s="541"/>
      <c r="AOQ126" s="541"/>
      <c r="AOR126" s="541"/>
      <c r="AOS126" s="541"/>
      <c r="AOT126" s="541"/>
      <c r="AOU126" s="541"/>
      <c r="AOV126" s="541"/>
      <c r="AOW126" s="541"/>
      <c r="AOX126" s="541"/>
      <c r="AOY126" s="541"/>
      <c r="AOZ126" s="541"/>
      <c r="APA126" s="541"/>
      <c r="APB126" s="541"/>
      <c r="APC126" s="541"/>
      <c r="APD126" s="541"/>
      <c r="APE126" s="541"/>
      <c r="APF126" s="541"/>
      <c r="APG126" s="541"/>
      <c r="APH126" s="541"/>
      <c r="API126" s="541"/>
      <c r="APJ126" s="541"/>
      <c r="APK126" s="541"/>
      <c r="APL126" s="541"/>
      <c r="APM126" s="541"/>
      <c r="APN126" s="541"/>
      <c r="APO126" s="541"/>
      <c r="APP126" s="541"/>
      <c r="APQ126" s="541"/>
      <c r="APR126" s="541"/>
      <c r="APS126" s="541"/>
      <c r="APT126" s="541"/>
      <c r="APU126" s="541"/>
      <c r="APV126" s="541"/>
      <c r="APW126" s="541"/>
      <c r="APX126" s="541"/>
      <c r="APY126" s="541"/>
      <c r="APZ126" s="541"/>
      <c r="AQA126" s="541"/>
      <c r="AQB126" s="541"/>
      <c r="AQC126" s="541"/>
      <c r="AQD126" s="541"/>
      <c r="AQE126" s="541"/>
      <c r="AQF126" s="541"/>
      <c r="AQG126" s="541"/>
      <c r="AQH126" s="541"/>
      <c r="AQI126" s="541"/>
      <c r="AQJ126" s="541"/>
      <c r="AQK126" s="541"/>
      <c r="AQL126" s="541"/>
      <c r="AQM126" s="541"/>
      <c r="AQN126" s="541"/>
      <c r="AQO126" s="541"/>
      <c r="AQP126" s="541"/>
      <c r="AQQ126" s="541"/>
      <c r="AQR126" s="541"/>
      <c r="AQS126" s="541"/>
      <c r="AQT126" s="541"/>
      <c r="AQU126" s="541"/>
      <c r="AQV126" s="541"/>
      <c r="AQW126" s="541"/>
      <c r="AQX126" s="541"/>
      <c r="AQY126" s="541"/>
      <c r="AQZ126" s="541"/>
      <c r="ARA126" s="541"/>
      <c r="ARB126" s="541"/>
      <c r="ARC126" s="541"/>
      <c r="ARD126" s="541"/>
      <c r="ARE126" s="541"/>
      <c r="ARF126" s="541"/>
      <c r="ARG126" s="541"/>
      <c r="ARH126" s="541"/>
      <c r="ARI126" s="541"/>
      <c r="ARJ126" s="541"/>
      <c r="ARK126" s="541"/>
      <c r="ARL126" s="541"/>
      <c r="ARM126" s="541"/>
      <c r="ARN126" s="541"/>
      <c r="ARO126" s="541"/>
      <c r="ARP126" s="541"/>
      <c r="ARQ126" s="541"/>
      <c r="ARR126" s="541"/>
      <c r="ARS126" s="541"/>
      <c r="ART126" s="541"/>
      <c r="ARU126" s="541"/>
    </row>
    <row r="127" spans="1:1165" s="658" customFormat="1">
      <c r="A127" s="613" t="s">
        <v>353</v>
      </c>
      <c r="B127" s="578" t="s">
        <v>110</v>
      </c>
      <c r="C127" s="659">
        <v>537069</v>
      </c>
      <c r="D127" s="659">
        <v>108751359</v>
      </c>
      <c r="E127" s="581">
        <v>91667</v>
      </c>
      <c r="F127" s="581">
        <v>23292830</v>
      </c>
      <c r="G127" s="581">
        <v>61595</v>
      </c>
      <c r="H127" s="581">
        <v>18141673</v>
      </c>
      <c r="I127" s="581">
        <v>80199</v>
      </c>
      <c r="J127" s="581">
        <v>21823610</v>
      </c>
      <c r="K127" s="581">
        <v>86203</v>
      </c>
      <c r="L127" s="581">
        <v>20645888</v>
      </c>
      <c r="M127" s="581">
        <v>60651</v>
      </c>
      <c r="N127" s="581">
        <v>18834203</v>
      </c>
      <c r="O127" s="581">
        <v>79669</v>
      </c>
      <c r="P127" s="581">
        <v>30962497</v>
      </c>
      <c r="Q127" s="581">
        <v>69887</v>
      </c>
      <c r="R127" s="581">
        <v>35289099</v>
      </c>
      <c r="S127" s="581">
        <v>85630</v>
      </c>
      <c r="T127" s="581">
        <v>51056433</v>
      </c>
      <c r="U127" s="598">
        <v>91192</v>
      </c>
      <c r="V127" s="598">
        <v>54011414</v>
      </c>
      <c r="W127" s="598">
        <v>88972</v>
      </c>
      <c r="X127" s="598">
        <v>58363779</v>
      </c>
      <c r="Y127" s="598">
        <v>76065</v>
      </c>
      <c r="Z127" s="598">
        <v>57906645</v>
      </c>
      <c r="AA127" s="619">
        <v>59134</v>
      </c>
      <c r="AB127" s="619">
        <v>39661379</v>
      </c>
      <c r="AC127" s="581">
        <v>68964</v>
      </c>
      <c r="AD127" s="581">
        <v>39051843</v>
      </c>
      <c r="AE127" s="579">
        <v>56596</v>
      </c>
      <c r="AF127" s="579">
        <v>29974170</v>
      </c>
      <c r="AG127" s="579">
        <v>87161</v>
      </c>
      <c r="AH127" s="579">
        <v>44463737</v>
      </c>
      <c r="AI127" s="579">
        <v>124870</v>
      </c>
      <c r="AJ127" s="579">
        <v>68141539</v>
      </c>
      <c r="AK127" s="661">
        <v>110651</v>
      </c>
      <c r="AL127" s="661">
        <v>79167249</v>
      </c>
      <c r="AM127" s="662">
        <v>111779</v>
      </c>
      <c r="AN127" s="662">
        <v>78531838</v>
      </c>
      <c r="AO127" s="579">
        <v>96928</v>
      </c>
      <c r="AP127" s="579">
        <v>76449238</v>
      </c>
      <c r="AQ127" s="579">
        <v>113400.715</v>
      </c>
      <c r="AR127" s="579">
        <v>82261110.629999995</v>
      </c>
      <c r="AS127" s="579">
        <v>122147</v>
      </c>
      <c r="AT127" s="579">
        <v>100575286</v>
      </c>
      <c r="AU127" s="619">
        <v>112926.62</v>
      </c>
      <c r="AV127" s="619">
        <v>99085695</v>
      </c>
      <c r="AW127" s="598">
        <v>125411</v>
      </c>
      <c r="AX127" s="598">
        <v>102663206</v>
      </c>
      <c r="AY127" s="581">
        <v>123633</v>
      </c>
      <c r="AZ127" s="581">
        <v>80279524</v>
      </c>
      <c r="BA127" s="663"/>
      <c r="BB127" s="598"/>
      <c r="BC127" s="664"/>
      <c r="BD127" s="598"/>
      <c r="BE127" s="664"/>
      <c r="BF127" s="598"/>
      <c r="BG127" s="664"/>
      <c r="BH127" s="598"/>
      <c r="BI127" s="664"/>
      <c r="BJ127" s="651">
        <f t="shared" si="12"/>
        <v>2630733.335</v>
      </c>
      <c r="BK127" s="651">
        <f t="shared" si="13"/>
        <v>1396092414.6300001</v>
      </c>
      <c r="BL127" s="541"/>
      <c r="BM127" s="624"/>
      <c r="BN127" s="624"/>
      <c r="BO127" s="624"/>
      <c r="BP127" s="624"/>
      <c r="BQ127" s="541"/>
      <c r="BR127" s="541"/>
      <c r="BS127" s="541"/>
      <c r="BT127" s="541"/>
      <c r="BU127" s="541"/>
      <c r="BV127" s="541"/>
      <c r="BW127" s="541"/>
      <c r="BX127" s="541"/>
      <c r="BY127" s="541"/>
      <c r="BZ127" s="541"/>
      <c r="CA127" s="541"/>
      <c r="CB127" s="541"/>
      <c r="CC127" s="541"/>
      <c r="CD127" s="541"/>
      <c r="CE127" s="541"/>
      <c r="CF127" s="541"/>
      <c r="CG127" s="541"/>
      <c r="CH127" s="541"/>
      <c r="CI127" s="541"/>
      <c r="CJ127" s="541"/>
      <c r="CK127" s="541"/>
      <c r="CL127" s="541"/>
      <c r="CM127" s="541"/>
      <c r="CN127" s="541"/>
      <c r="CO127" s="541"/>
      <c r="CP127" s="541"/>
      <c r="CQ127" s="541"/>
      <c r="CR127" s="541"/>
      <c r="CS127" s="541"/>
      <c r="CT127" s="541"/>
      <c r="CU127" s="541"/>
      <c r="CV127" s="541"/>
      <c r="CW127" s="541"/>
      <c r="CX127" s="541"/>
      <c r="CY127" s="541"/>
      <c r="CZ127" s="541"/>
      <c r="DA127" s="541"/>
      <c r="DB127" s="541"/>
      <c r="DC127" s="541"/>
      <c r="DD127" s="541"/>
      <c r="DE127" s="541"/>
      <c r="DF127" s="541"/>
      <c r="DG127" s="541"/>
      <c r="DH127" s="541"/>
      <c r="DI127" s="541"/>
      <c r="DJ127" s="541"/>
      <c r="DK127" s="541"/>
      <c r="DL127" s="541"/>
      <c r="DM127" s="541"/>
      <c r="DN127" s="541"/>
      <c r="DO127" s="541"/>
      <c r="DP127" s="541"/>
      <c r="DQ127" s="541"/>
      <c r="DR127" s="541"/>
      <c r="DS127" s="541"/>
      <c r="DT127" s="541"/>
      <c r="DU127" s="541"/>
      <c r="DV127" s="541"/>
      <c r="DW127" s="541"/>
      <c r="DX127" s="541"/>
      <c r="DY127" s="541"/>
      <c r="DZ127" s="541"/>
      <c r="EA127" s="541"/>
      <c r="EB127" s="541"/>
      <c r="EC127" s="541"/>
      <c r="ED127" s="541"/>
      <c r="EE127" s="541"/>
      <c r="EF127" s="541"/>
      <c r="EG127" s="541"/>
      <c r="EH127" s="541"/>
      <c r="EI127" s="541"/>
      <c r="EJ127" s="541"/>
      <c r="EK127" s="541"/>
      <c r="EL127" s="541"/>
      <c r="EM127" s="541"/>
      <c r="EN127" s="541"/>
      <c r="EO127" s="541"/>
      <c r="EP127" s="541"/>
      <c r="EQ127" s="541"/>
      <c r="ER127" s="541"/>
      <c r="ES127" s="541"/>
      <c r="ET127" s="541"/>
      <c r="EU127" s="541"/>
      <c r="EV127" s="541"/>
      <c r="EW127" s="541"/>
      <c r="EX127" s="541"/>
      <c r="EY127" s="541"/>
      <c r="EZ127" s="541"/>
      <c r="FA127" s="541"/>
      <c r="FB127" s="541"/>
      <c r="FC127" s="541"/>
      <c r="FD127" s="541"/>
      <c r="FE127" s="541"/>
      <c r="FF127" s="541"/>
      <c r="FG127" s="541"/>
      <c r="FH127" s="541"/>
      <c r="FI127" s="541"/>
      <c r="FJ127" s="541"/>
      <c r="FK127" s="541"/>
      <c r="FL127" s="541"/>
      <c r="FM127" s="541"/>
      <c r="FN127" s="541"/>
      <c r="FO127" s="541"/>
      <c r="FP127" s="541"/>
      <c r="FQ127" s="541"/>
      <c r="FR127" s="541"/>
      <c r="FS127" s="541"/>
      <c r="FT127" s="541"/>
      <c r="FU127" s="541"/>
      <c r="FV127" s="541"/>
      <c r="FW127" s="541"/>
      <c r="FX127" s="541"/>
      <c r="FY127" s="541"/>
      <c r="FZ127" s="541"/>
      <c r="GA127" s="541"/>
      <c r="GB127" s="541"/>
      <c r="GC127" s="541"/>
      <c r="GD127" s="541"/>
      <c r="GE127" s="541"/>
      <c r="GF127" s="541"/>
      <c r="GG127" s="541"/>
      <c r="GH127" s="541"/>
      <c r="GI127" s="541"/>
      <c r="GJ127" s="541"/>
      <c r="GK127" s="541"/>
      <c r="GL127" s="541"/>
      <c r="GM127" s="541"/>
      <c r="GN127" s="541"/>
      <c r="GO127" s="541"/>
      <c r="GP127" s="541"/>
      <c r="GQ127" s="541"/>
      <c r="GR127" s="541"/>
      <c r="GS127" s="541"/>
      <c r="GT127" s="541"/>
      <c r="GU127" s="541"/>
      <c r="GV127" s="541"/>
      <c r="GW127" s="541"/>
      <c r="GX127" s="541"/>
      <c r="GY127" s="541"/>
      <c r="GZ127" s="541"/>
      <c r="HA127" s="541"/>
      <c r="HB127" s="541"/>
      <c r="HC127" s="541"/>
      <c r="HD127" s="541"/>
      <c r="HE127" s="541"/>
      <c r="HF127" s="541"/>
      <c r="HG127" s="541"/>
      <c r="HH127" s="541"/>
      <c r="HI127" s="541"/>
      <c r="HJ127" s="541"/>
      <c r="HK127" s="541"/>
      <c r="HL127" s="541"/>
      <c r="HM127" s="541"/>
      <c r="HN127" s="541"/>
      <c r="HO127" s="541"/>
      <c r="HP127" s="541"/>
      <c r="HQ127" s="541"/>
      <c r="HR127" s="541"/>
      <c r="HS127" s="541"/>
      <c r="HT127" s="541"/>
      <c r="HU127" s="541"/>
      <c r="HV127" s="541"/>
      <c r="HW127" s="541"/>
      <c r="HX127" s="541"/>
      <c r="HY127" s="541"/>
      <c r="HZ127" s="541"/>
      <c r="IA127" s="541"/>
      <c r="IB127" s="541"/>
      <c r="IC127" s="541"/>
      <c r="ID127" s="541"/>
      <c r="IE127" s="541"/>
      <c r="IF127" s="541"/>
      <c r="IG127" s="541"/>
      <c r="IH127" s="541"/>
      <c r="II127" s="541"/>
      <c r="IJ127" s="541"/>
      <c r="IK127" s="541"/>
      <c r="IL127" s="541"/>
      <c r="IM127" s="541"/>
      <c r="IN127" s="541"/>
      <c r="IO127" s="541"/>
      <c r="IP127" s="541"/>
      <c r="IQ127" s="541"/>
      <c r="IR127" s="541"/>
      <c r="IS127" s="541"/>
      <c r="IT127" s="541"/>
      <c r="IU127" s="541"/>
      <c r="IV127" s="541"/>
      <c r="IW127" s="541"/>
      <c r="IX127" s="541"/>
      <c r="IY127" s="541"/>
      <c r="IZ127" s="541"/>
      <c r="JA127" s="541"/>
      <c r="JB127" s="541"/>
      <c r="JC127" s="541"/>
      <c r="JD127" s="541"/>
      <c r="JE127" s="541"/>
      <c r="JF127" s="541"/>
      <c r="JG127" s="541"/>
      <c r="JH127" s="541"/>
      <c r="JI127" s="541"/>
      <c r="JJ127" s="541"/>
      <c r="JK127" s="541"/>
      <c r="JL127" s="541"/>
      <c r="JM127" s="541"/>
      <c r="JN127" s="541"/>
      <c r="JO127" s="541"/>
      <c r="JP127" s="541"/>
      <c r="JQ127" s="541"/>
      <c r="JR127" s="541"/>
      <c r="JS127" s="541"/>
      <c r="JT127" s="541"/>
      <c r="JU127" s="541"/>
      <c r="JV127" s="541"/>
      <c r="JW127" s="541"/>
      <c r="JX127" s="541"/>
      <c r="JY127" s="541"/>
      <c r="JZ127" s="541"/>
      <c r="KA127" s="541"/>
      <c r="KB127" s="541"/>
      <c r="KC127" s="541"/>
      <c r="KD127" s="541"/>
      <c r="KE127" s="541"/>
      <c r="KF127" s="541"/>
      <c r="KG127" s="541"/>
      <c r="KH127" s="541"/>
      <c r="KI127" s="541"/>
      <c r="KJ127" s="541"/>
      <c r="KK127" s="541"/>
      <c r="KL127" s="541"/>
      <c r="KM127" s="541"/>
      <c r="KN127" s="541"/>
      <c r="KO127" s="541"/>
      <c r="KP127" s="541"/>
      <c r="KQ127" s="541"/>
      <c r="KR127" s="541"/>
      <c r="KS127" s="541"/>
      <c r="KT127" s="541"/>
      <c r="KU127" s="541"/>
      <c r="KV127" s="541"/>
      <c r="KW127" s="541"/>
      <c r="KX127" s="541"/>
      <c r="KY127" s="541"/>
      <c r="KZ127" s="541"/>
      <c r="LA127" s="541"/>
      <c r="LB127" s="541"/>
      <c r="LC127" s="541"/>
      <c r="LD127" s="541"/>
      <c r="LE127" s="541"/>
      <c r="LF127" s="541"/>
      <c r="LG127" s="541"/>
      <c r="LH127" s="541"/>
      <c r="LI127" s="541"/>
      <c r="LJ127" s="541"/>
      <c r="LK127" s="541"/>
      <c r="LL127" s="541"/>
      <c r="LM127" s="541"/>
      <c r="LN127" s="541"/>
      <c r="LO127" s="541"/>
      <c r="LP127" s="541"/>
      <c r="LQ127" s="541"/>
      <c r="LR127" s="541"/>
      <c r="LS127" s="541"/>
      <c r="LT127" s="541"/>
      <c r="LU127" s="541"/>
      <c r="LV127" s="541"/>
      <c r="LW127" s="541"/>
      <c r="LX127" s="541"/>
      <c r="LY127" s="541"/>
      <c r="LZ127" s="541"/>
      <c r="MA127" s="541"/>
      <c r="MB127" s="541"/>
      <c r="MC127" s="541"/>
      <c r="MD127" s="541"/>
      <c r="ME127" s="541"/>
      <c r="MF127" s="541"/>
      <c r="MG127" s="541"/>
      <c r="MH127" s="541"/>
      <c r="MI127" s="541"/>
      <c r="MJ127" s="541"/>
      <c r="MK127" s="541"/>
      <c r="ML127" s="541"/>
      <c r="MM127" s="541"/>
      <c r="MN127" s="541"/>
      <c r="MO127" s="541"/>
      <c r="MP127" s="541"/>
      <c r="MQ127" s="541"/>
      <c r="MR127" s="541"/>
      <c r="MS127" s="541"/>
      <c r="MT127" s="541"/>
      <c r="MU127" s="541"/>
      <c r="MV127" s="541"/>
      <c r="MW127" s="541"/>
      <c r="MX127" s="541"/>
      <c r="MY127" s="541"/>
      <c r="MZ127" s="541"/>
      <c r="NA127" s="541"/>
      <c r="NB127" s="541"/>
      <c r="NC127" s="541"/>
      <c r="ND127" s="541"/>
      <c r="NE127" s="541"/>
      <c r="NF127" s="541"/>
      <c r="NG127" s="541"/>
      <c r="NH127" s="541"/>
      <c r="NI127" s="541"/>
      <c r="NJ127" s="541"/>
      <c r="NK127" s="541"/>
      <c r="NL127" s="541"/>
      <c r="NM127" s="541"/>
      <c r="NN127" s="541"/>
      <c r="NO127" s="541"/>
      <c r="NP127" s="541"/>
      <c r="NQ127" s="541"/>
      <c r="NR127" s="541"/>
      <c r="NS127" s="541"/>
      <c r="NT127" s="541"/>
      <c r="NU127" s="541"/>
      <c r="NV127" s="541"/>
      <c r="NW127" s="541"/>
      <c r="NX127" s="541"/>
      <c r="NY127" s="541"/>
      <c r="NZ127" s="541"/>
      <c r="OA127" s="541"/>
      <c r="OB127" s="541"/>
      <c r="OC127" s="541"/>
      <c r="OD127" s="541"/>
      <c r="OE127" s="541"/>
      <c r="OF127" s="541"/>
      <c r="OG127" s="541"/>
      <c r="OH127" s="541"/>
      <c r="OI127" s="541"/>
      <c r="OJ127" s="541"/>
      <c r="OK127" s="541"/>
      <c r="OL127" s="541"/>
      <c r="OM127" s="541"/>
      <c r="ON127" s="541"/>
      <c r="OO127" s="541"/>
      <c r="OP127" s="541"/>
      <c r="OQ127" s="541"/>
      <c r="OR127" s="541"/>
      <c r="OS127" s="541"/>
      <c r="OT127" s="541"/>
      <c r="OU127" s="541"/>
      <c r="OV127" s="541"/>
      <c r="OW127" s="541"/>
      <c r="OX127" s="541"/>
      <c r="OY127" s="541"/>
      <c r="OZ127" s="541"/>
      <c r="PA127" s="541"/>
      <c r="PB127" s="541"/>
      <c r="PC127" s="541"/>
      <c r="PD127" s="541"/>
      <c r="PE127" s="541"/>
      <c r="PF127" s="541"/>
      <c r="PG127" s="541"/>
      <c r="PH127" s="541"/>
      <c r="PI127" s="541"/>
      <c r="PJ127" s="541"/>
      <c r="PK127" s="541"/>
      <c r="PL127" s="541"/>
      <c r="PM127" s="541"/>
      <c r="PN127" s="541"/>
      <c r="PO127" s="541"/>
      <c r="PP127" s="541"/>
      <c r="PQ127" s="541"/>
      <c r="PR127" s="541"/>
      <c r="PS127" s="541"/>
      <c r="PT127" s="541"/>
      <c r="PU127" s="541"/>
      <c r="PV127" s="541"/>
      <c r="PW127" s="541"/>
      <c r="PX127" s="541"/>
      <c r="PY127" s="541"/>
      <c r="PZ127" s="541"/>
      <c r="QA127" s="541"/>
      <c r="QB127" s="541"/>
      <c r="QC127" s="541"/>
      <c r="QD127" s="541"/>
      <c r="QE127" s="541"/>
      <c r="QF127" s="541"/>
      <c r="QG127" s="541"/>
      <c r="QH127" s="541"/>
      <c r="QI127" s="541"/>
      <c r="QJ127" s="541"/>
      <c r="QK127" s="541"/>
      <c r="QL127" s="541"/>
      <c r="QM127" s="541"/>
      <c r="QN127" s="541"/>
      <c r="QO127" s="541"/>
      <c r="QP127" s="541"/>
      <c r="QQ127" s="541"/>
      <c r="QR127" s="541"/>
      <c r="QS127" s="541"/>
      <c r="QT127" s="541"/>
      <c r="QU127" s="541"/>
      <c r="QV127" s="541"/>
      <c r="QW127" s="541"/>
      <c r="QX127" s="541"/>
      <c r="QY127" s="541"/>
      <c r="QZ127" s="541"/>
      <c r="RA127" s="541"/>
      <c r="RB127" s="541"/>
      <c r="RC127" s="541"/>
      <c r="RD127" s="541"/>
      <c r="RE127" s="541"/>
      <c r="RF127" s="541"/>
      <c r="RG127" s="541"/>
      <c r="RH127" s="541"/>
      <c r="RI127" s="541"/>
      <c r="RJ127" s="541"/>
      <c r="RK127" s="541"/>
      <c r="RL127" s="541"/>
      <c r="RM127" s="541"/>
      <c r="RN127" s="541"/>
      <c r="RO127" s="541"/>
      <c r="RP127" s="541"/>
      <c r="RQ127" s="541"/>
      <c r="RR127" s="541"/>
      <c r="RS127" s="541"/>
      <c r="RT127" s="541"/>
      <c r="RU127" s="541"/>
      <c r="RV127" s="541"/>
      <c r="RW127" s="541"/>
      <c r="RX127" s="541"/>
      <c r="RY127" s="541"/>
      <c r="RZ127" s="541"/>
      <c r="SA127" s="541"/>
      <c r="SB127" s="541"/>
      <c r="SC127" s="541"/>
      <c r="SD127" s="541"/>
      <c r="SE127" s="541"/>
      <c r="SF127" s="541"/>
      <c r="SG127" s="541"/>
      <c r="SH127" s="541"/>
      <c r="SI127" s="541"/>
      <c r="SJ127" s="541"/>
      <c r="SK127" s="541"/>
      <c r="SL127" s="541"/>
      <c r="SM127" s="541"/>
      <c r="SN127" s="541"/>
      <c r="SO127" s="541"/>
      <c r="SP127" s="541"/>
      <c r="SQ127" s="541"/>
      <c r="SR127" s="541"/>
      <c r="SS127" s="541"/>
      <c r="ST127" s="541"/>
      <c r="SU127" s="541"/>
      <c r="SV127" s="541"/>
      <c r="SW127" s="541"/>
      <c r="SX127" s="541"/>
      <c r="SY127" s="541"/>
      <c r="SZ127" s="541"/>
      <c r="TA127" s="541"/>
      <c r="TB127" s="541"/>
      <c r="TC127" s="541"/>
      <c r="TD127" s="541"/>
      <c r="TE127" s="541"/>
      <c r="TF127" s="541"/>
      <c r="TG127" s="541"/>
      <c r="TH127" s="541"/>
      <c r="TI127" s="541"/>
      <c r="TJ127" s="541"/>
      <c r="TK127" s="541"/>
      <c r="TL127" s="541"/>
      <c r="TM127" s="541"/>
      <c r="TN127" s="541"/>
      <c r="TO127" s="541"/>
      <c r="TP127" s="541"/>
      <c r="TQ127" s="541"/>
      <c r="TR127" s="541"/>
      <c r="TS127" s="541"/>
      <c r="TT127" s="541"/>
      <c r="TU127" s="541"/>
      <c r="TV127" s="541"/>
      <c r="TW127" s="541"/>
      <c r="TX127" s="541"/>
      <c r="TY127" s="541"/>
      <c r="TZ127" s="541"/>
      <c r="UA127" s="541"/>
      <c r="UB127" s="541"/>
      <c r="UC127" s="541"/>
      <c r="UD127" s="541"/>
      <c r="UE127" s="541"/>
      <c r="UF127" s="541"/>
      <c r="UG127" s="541"/>
      <c r="UH127" s="541"/>
      <c r="UI127" s="541"/>
      <c r="UJ127" s="541"/>
      <c r="UK127" s="541"/>
      <c r="UL127" s="541"/>
      <c r="UM127" s="541"/>
      <c r="UN127" s="541"/>
      <c r="UO127" s="541"/>
      <c r="UP127" s="541"/>
      <c r="UQ127" s="541"/>
      <c r="UR127" s="541"/>
      <c r="US127" s="541"/>
      <c r="UT127" s="541"/>
      <c r="UU127" s="541"/>
      <c r="UV127" s="541"/>
      <c r="UW127" s="541"/>
      <c r="UX127" s="541"/>
      <c r="UY127" s="541"/>
      <c r="UZ127" s="541"/>
      <c r="VA127" s="541"/>
      <c r="VB127" s="541"/>
      <c r="VC127" s="541"/>
      <c r="VD127" s="541"/>
      <c r="VE127" s="541"/>
      <c r="VF127" s="541"/>
      <c r="VG127" s="541"/>
      <c r="VH127" s="541"/>
      <c r="VI127" s="541"/>
      <c r="VJ127" s="541"/>
      <c r="VK127" s="541"/>
      <c r="VL127" s="541"/>
      <c r="VM127" s="541"/>
      <c r="VN127" s="541"/>
      <c r="VO127" s="541"/>
      <c r="VP127" s="541"/>
      <c r="VQ127" s="541"/>
      <c r="VR127" s="541"/>
      <c r="VS127" s="541"/>
      <c r="VT127" s="541"/>
      <c r="VU127" s="541"/>
      <c r="VV127" s="541"/>
      <c r="VW127" s="541"/>
      <c r="VX127" s="541"/>
      <c r="VY127" s="541"/>
      <c r="VZ127" s="541"/>
      <c r="WA127" s="541"/>
      <c r="WB127" s="541"/>
      <c r="WC127" s="541"/>
      <c r="WD127" s="541"/>
      <c r="WE127" s="541"/>
      <c r="WF127" s="541"/>
      <c r="WG127" s="541"/>
      <c r="WH127" s="541"/>
      <c r="WI127" s="541"/>
      <c r="WJ127" s="541"/>
      <c r="WK127" s="541"/>
      <c r="WL127" s="541"/>
      <c r="WM127" s="541"/>
      <c r="WN127" s="541"/>
      <c r="WO127" s="541"/>
      <c r="WP127" s="541"/>
      <c r="WQ127" s="541"/>
      <c r="WR127" s="541"/>
      <c r="WS127" s="541"/>
      <c r="WT127" s="541"/>
      <c r="WU127" s="541"/>
      <c r="WV127" s="541"/>
      <c r="WW127" s="541"/>
      <c r="WX127" s="541"/>
      <c r="WY127" s="541"/>
      <c r="WZ127" s="541"/>
      <c r="XA127" s="541"/>
      <c r="XB127" s="541"/>
      <c r="XC127" s="541"/>
      <c r="XD127" s="541"/>
      <c r="XE127" s="541"/>
      <c r="XF127" s="541"/>
      <c r="XG127" s="541"/>
      <c r="XH127" s="541"/>
      <c r="XI127" s="541"/>
      <c r="XJ127" s="541"/>
      <c r="XK127" s="541"/>
      <c r="XL127" s="541"/>
      <c r="XM127" s="541"/>
      <c r="XN127" s="541"/>
      <c r="XO127" s="541"/>
      <c r="XP127" s="541"/>
      <c r="XQ127" s="541"/>
      <c r="XR127" s="541"/>
      <c r="XS127" s="541"/>
      <c r="XT127" s="541"/>
      <c r="XU127" s="541"/>
      <c r="XV127" s="541"/>
      <c r="XW127" s="541"/>
      <c r="XX127" s="541"/>
      <c r="XY127" s="541"/>
      <c r="XZ127" s="541"/>
      <c r="YA127" s="541"/>
      <c r="YB127" s="541"/>
      <c r="YC127" s="541"/>
      <c r="YD127" s="541"/>
      <c r="YE127" s="541"/>
      <c r="YF127" s="541"/>
      <c r="YG127" s="541"/>
      <c r="YH127" s="541"/>
      <c r="YI127" s="541"/>
      <c r="YJ127" s="541"/>
      <c r="YK127" s="541"/>
      <c r="YL127" s="541"/>
      <c r="YM127" s="541"/>
      <c r="YN127" s="541"/>
      <c r="YO127" s="541"/>
      <c r="YP127" s="541"/>
      <c r="YQ127" s="541"/>
      <c r="YR127" s="541"/>
      <c r="YS127" s="541"/>
      <c r="YT127" s="541"/>
      <c r="YU127" s="541"/>
      <c r="YV127" s="541"/>
      <c r="YW127" s="541"/>
      <c r="YX127" s="541"/>
      <c r="YY127" s="541"/>
      <c r="YZ127" s="541"/>
      <c r="ZA127" s="541"/>
      <c r="ZB127" s="541"/>
      <c r="ZC127" s="541"/>
      <c r="ZD127" s="541"/>
      <c r="ZE127" s="541"/>
      <c r="ZF127" s="541"/>
      <c r="ZG127" s="541"/>
      <c r="ZH127" s="541"/>
      <c r="ZI127" s="541"/>
      <c r="ZJ127" s="541"/>
      <c r="ZK127" s="541"/>
      <c r="ZL127" s="541"/>
      <c r="ZM127" s="541"/>
      <c r="ZN127" s="541"/>
      <c r="ZO127" s="541"/>
      <c r="ZP127" s="541"/>
      <c r="ZQ127" s="541"/>
      <c r="ZR127" s="541"/>
      <c r="ZS127" s="541"/>
      <c r="ZT127" s="541"/>
      <c r="ZU127" s="541"/>
      <c r="ZV127" s="541"/>
      <c r="ZW127" s="541"/>
      <c r="ZX127" s="541"/>
      <c r="ZY127" s="541"/>
      <c r="ZZ127" s="541"/>
      <c r="AAA127" s="541"/>
      <c r="AAB127" s="541"/>
      <c r="AAC127" s="541"/>
      <c r="AAD127" s="541"/>
      <c r="AAE127" s="541"/>
      <c r="AAF127" s="541"/>
      <c r="AAG127" s="541"/>
      <c r="AAH127" s="541"/>
      <c r="AAI127" s="541"/>
      <c r="AAJ127" s="541"/>
      <c r="AAK127" s="541"/>
      <c r="AAL127" s="541"/>
      <c r="AAM127" s="541"/>
      <c r="AAN127" s="541"/>
      <c r="AAO127" s="541"/>
      <c r="AAP127" s="541"/>
      <c r="AAQ127" s="541"/>
      <c r="AAR127" s="541"/>
      <c r="AAS127" s="541"/>
      <c r="AAT127" s="541"/>
      <c r="AAU127" s="541"/>
      <c r="AAV127" s="541"/>
      <c r="AAW127" s="541"/>
      <c r="AAX127" s="541"/>
      <c r="AAY127" s="541"/>
      <c r="AAZ127" s="541"/>
      <c r="ABA127" s="541"/>
      <c r="ABB127" s="541"/>
      <c r="ABC127" s="541"/>
      <c r="ABD127" s="541"/>
      <c r="ABE127" s="541"/>
      <c r="ABF127" s="541"/>
      <c r="ABG127" s="541"/>
      <c r="ABH127" s="541"/>
      <c r="ABI127" s="541"/>
      <c r="ABJ127" s="541"/>
      <c r="ABK127" s="541"/>
      <c r="ABL127" s="541"/>
      <c r="ABM127" s="541"/>
      <c r="ABN127" s="541"/>
      <c r="ABO127" s="541"/>
      <c r="ABP127" s="541"/>
      <c r="ABQ127" s="541"/>
      <c r="ABR127" s="541"/>
      <c r="ABS127" s="541"/>
      <c r="ABT127" s="541"/>
      <c r="ABU127" s="541"/>
      <c r="ABV127" s="541"/>
      <c r="ABW127" s="541"/>
      <c r="ABX127" s="541"/>
      <c r="ABY127" s="541"/>
      <c r="ABZ127" s="541"/>
      <c r="ACA127" s="541"/>
      <c r="ACB127" s="541"/>
      <c r="ACC127" s="541"/>
      <c r="ACD127" s="541"/>
      <c r="ACE127" s="541"/>
      <c r="ACF127" s="541"/>
      <c r="ACG127" s="541"/>
      <c r="ACH127" s="541"/>
      <c r="ACI127" s="541"/>
      <c r="ACJ127" s="541"/>
      <c r="ACK127" s="541"/>
      <c r="ACL127" s="541"/>
      <c r="ACM127" s="541"/>
      <c r="ACN127" s="541"/>
      <c r="ACO127" s="541"/>
      <c r="ACP127" s="541"/>
      <c r="ACQ127" s="541"/>
      <c r="ACR127" s="541"/>
      <c r="ACS127" s="541"/>
      <c r="ACT127" s="541"/>
      <c r="ACU127" s="541"/>
      <c r="ACV127" s="541"/>
      <c r="ACW127" s="541"/>
      <c r="ACX127" s="541"/>
      <c r="ACY127" s="541"/>
      <c r="ACZ127" s="541"/>
      <c r="ADA127" s="541"/>
      <c r="ADB127" s="541"/>
      <c r="ADC127" s="541"/>
      <c r="ADD127" s="541"/>
      <c r="ADE127" s="541"/>
      <c r="ADF127" s="541"/>
      <c r="ADG127" s="541"/>
      <c r="ADH127" s="541"/>
      <c r="ADI127" s="541"/>
      <c r="ADJ127" s="541"/>
      <c r="ADK127" s="541"/>
      <c r="ADL127" s="541"/>
      <c r="ADM127" s="541"/>
      <c r="ADN127" s="541"/>
      <c r="ADO127" s="541"/>
      <c r="ADP127" s="541"/>
      <c r="ADQ127" s="541"/>
      <c r="ADR127" s="541"/>
      <c r="ADS127" s="541"/>
      <c r="ADT127" s="541"/>
      <c r="ADU127" s="541"/>
      <c r="ADV127" s="541"/>
      <c r="ADW127" s="541"/>
      <c r="ADX127" s="541"/>
      <c r="ADY127" s="541"/>
      <c r="ADZ127" s="541"/>
      <c r="AEA127" s="541"/>
      <c r="AEB127" s="541"/>
      <c r="AEC127" s="541"/>
      <c r="AED127" s="541"/>
      <c r="AEE127" s="541"/>
      <c r="AEF127" s="541"/>
      <c r="AEG127" s="541"/>
      <c r="AEH127" s="541"/>
      <c r="AEI127" s="541"/>
      <c r="AEJ127" s="541"/>
      <c r="AEK127" s="541"/>
      <c r="AEL127" s="541"/>
      <c r="AEM127" s="541"/>
      <c r="AEN127" s="541"/>
      <c r="AEO127" s="541"/>
      <c r="AEP127" s="541"/>
      <c r="AEQ127" s="541"/>
      <c r="AER127" s="541"/>
      <c r="AES127" s="541"/>
      <c r="AET127" s="541"/>
      <c r="AEU127" s="541"/>
      <c r="AEV127" s="541"/>
      <c r="AEW127" s="541"/>
      <c r="AEX127" s="541"/>
      <c r="AEY127" s="541"/>
      <c r="AEZ127" s="541"/>
      <c r="AFA127" s="541"/>
      <c r="AFB127" s="541"/>
      <c r="AFC127" s="541"/>
      <c r="AFD127" s="541"/>
      <c r="AFE127" s="541"/>
      <c r="AFF127" s="541"/>
      <c r="AFG127" s="541"/>
      <c r="AFH127" s="541"/>
      <c r="AFI127" s="541"/>
      <c r="AFJ127" s="541"/>
      <c r="AFK127" s="541"/>
      <c r="AFL127" s="541"/>
      <c r="AFM127" s="541"/>
      <c r="AFN127" s="541"/>
      <c r="AFO127" s="541"/>
      <c r="AFP127" s="541"/>
      <c r="AFQ127" s="541"/>
      <c r="AFR127" s="541"/>
      <c r="AFS127" s="541"/>
      <c r="AFT127" s="541"/>
      <c r="AFU127" s="541"/>
      <c r="AFV127" s="541"/>
      <c r="AFW127" s="541"/>
      <c r="AFX127" s="541"/>
      <c r="AFY127" s="541"/>
      <c r="AFZ127" s="541"/>
      <c r="AGA127" s="541"/>
      <c r="AGB127" s="541"/>
      <c r="AGC127" s="541"/>
      <c r="AGD127" s="541"/>
      <c r="AGE127" s="541"/>
      <c r="AGF127" s="541"/>
      <c r="AGG127" s="541"/>
      <c r="AGH127" s="541"/>
      <c r="AGI127" s="541"/>
      <c r="AGJ127" s="541"/>
      <c r="AGK127" s="541"/>
      <c r="AGL127" s="541"/>
      <c r="AGM127" s="541"/>
      <c r="AGN127" s="541"/>
      <c r="AGO127" s="541"/>
      <c r="AGP127" s="541"/>
      <c r="AGQ127" s="541"/>
      <c r="AGR127" s="541"/>
      <c r="AGS127" s="541"/>
      <c r="AGT127" s="541"/>
      <c r="AGU127" s="541"/>
      <c r="AGV127" s="541"/>
      <c r="AGW127" s="541"/>
      <c r="AGX127" s="541"/>
      <c r="AGY127" s="541"/>
      <c r="AGZ127" s="541"/>
      <c r="AHA127" s="541"/>
      <c r="AHB127" s="541"/>
      <c r="AHC127" s="541"/>
      <c r="AHD127" s="541"/>
      <c r="AHE127" s="541"/>
      <c r="AHF127" s="541"/>
      <c r="AHG127" s="541"/>
      <c r="AHH127" s="541"/>
      <c r="AHI127" s="541"/>
      <c r="AHJ127" s="541"/>
      <c r="AHK127" s="541"/>
      <c r="AHL127" s="541"/>
      <c r="AHM127" s="541"/>
      <c r="AHN127" s="541"/>
      <c r="AHO127" s="541"/>
      <c r="AHP127" s="541"/>
      <c r="AHQ127" s="541"/>
      <c r="AHR127" s="541"/>
      <c r="AHS127" s="541"/>
      <c r="AHT127" s="541"/>
      <c r="AHU127" s="541"/>
      <c r="AHV127" s="541"/>
      <c r="AHW127" s="541"/>
      <c r="AHX127" s="541"/>
      <c r="AHY127" s="541"/>
      <c r="AHZ127" s="541"/>
      <c r="AIA127" s="541"/>
      <c r="AIB127" s="541"/>
      <c r="AIC127" s="541"/>
      <c r="AID127" s="541"/>
      <c r="AIE127" s="541"/>
      <c r="AIF127" s="541"/>
      <c r="AIG127" s="541"/>
      <c r="AIH127" s="541"/>
      <c r="AII127" s="541"/>
      <c r="AIJ127" s="541"/>
      <c r="AIK127" s="541"/>
      <c r="AIL127" s="541"/>
      <c r="AIM127" s="541"/>
      <c r="AIN127" s="541"/>
      <c r="AIO127" s="541"/>
      <c r="AIP127" s="541"/>
      <c r="AIQ127" s="541"/>
      <c r="AIR127" s="541"/>
      <c r="AIS127" s="541"/>
      <c r="AIT127" s="541"/>
      <c r="AIU127" s="541"/>
      <c r="AIV127" s="541"/>
      <c r="AIW127" s="541"/>
      <c r="AIX127" s="541"/>
      <c r="AIY127" s="541"/>
      <c r="AIZ127" s="541"/>
      <c r="AJA127" s="541"/>
      <c r="AJB127" s="541"/>
      <c r="AJC127" s="541"/>
      <c r="AJD127" s="541"/>
      <c r="AJE127" s="541"/>
      <c r="AJF127" s="541"/>
      <c r="AJG127" s="541"/>
      <c r="AJH127" s="541"/>
      <c r="AJI127" s="541"/>
      <c r="AJJ127" s="541"/>
      <c r="AJK127" s="541"/>
      <c r="AJL127" s="541"/>
      <c r="AJM127" s="541"/>
      <c r="AJN127" s="541"/>
      <c r="AJO127" s="541"/>
      <c r="AJP127" s="541"/>
      <c r="AJQ127" s="541"/>
      <c r="AJR127" s="541"/>
      <c r="AJS127" s="541"/>
      <c r="AJT127" s="541"/>
      <c r="AJU127" s="541"/>
      <c r="AJV127" s="541"/>
      <c r="AJW127" s="541"/>
      <c r="AJX127" s="541"/>
      <c r="AJY127" s="541"/>
      <c r="AJZ127" s="541"/>
      <c r="AKA127" s="541"/>
      <c r="AKB127" s="541"/>
      <c r="AKC127" s="541"/>
      <c r="AKD127" s="541"/>
      <c r="AKE127" s="541"/>
      <c r="AKF127" s="541"/>
      <c r="AKG127" s="541"/>
      <c r="AKH127" s="541"/>
      <c r="AKI127" s="541"/>
      <c r="AKJ127" s="541"/>
      <c r="AKK127" s="541"/>
      <c r="AKL127" s="541"/>
      <c r="AKM127" s="541"/>
      <c r="AKN127" s="541"/>
      <c r="AKO127" s="541"/>
      <c r="AKP127" s="541"/>
      <c r="AKQ127" s="541"/>
      <c r="AKR127" s="541"/>
      <c r="AKS127" s="541"/>
      <c r="AKT127" s="541"/>
      <c r="AKU127" s="541"/>
      <c r="AKV127" s="541"/>
      <c r="AKW127" s="541"/>
      <c r="AKX127" s="541"/>
      <c r="AKY127" s="541"/>
      <c r="AKZ127" s="541"/>
      <c r="ALA127" s="541"/>
      <c r="ALB127" s="541"/>
      <c r="ALC127" s="541"/>
      <c r="ALD127" s="541"/>
      <c r="ALE127" s="541"/>
      <c r="ALF127" s="541"/>
      <c r="ALG127" s="541"/>
      <c r="ALH127" s="541"/>
      <c r="ALI127" s="541"/>
      <c r="ALJ127" s="541"/>
      <c r="ALK127" s="541"/>
      <c r="ALL127" s="541"/>
      <c r="ALM127" s="541"/>
      <c r="ALN127" s="541"/>
      <c r="ALO127" s="541"/>
      <c r="ALP127" s="541"/>
      <c r="ALQ127" s="541"/>
      <c r="ALR127" s="541"/>
      <c r="ALS127" s="541"/>
      <c r="ALT127" s="541"/>
      <c r="ALU127" s="541"/>
      <c r="ALV127" s="541"/>
      <c r="ALW127" s="541"/>
      <c r="ALX127" s="541"/>
      <c r="ALY127" s="541"/>
      <c r="ALZ127" s="541"/>
      <c r="AMA127" s="541"/>
      <c r="AMB127" s="541"/>
      <c r="AMC127" s="541"/>
      <c r="AMD127" s="541"/>
      <c r="AME127" s="541"/>
      <c r="AMF127" s="541"/>
      <c r="AMG127" s="541"/>
      <c r="AMH127" s="541"/>
      <c r="AMI127" s="541"/>
      <c r="AMJ127" s="541"/>
      <c r="AMK127" s="541"/>
      <c r="AML127" s="541"/>
      <c r="AMM127" s="541"/>
      <c r="AMN127" s="541"/>
      <c r="AMO127" s="541"/>
      <c r="AMP127" s="541"/>
      <c r="AMQ127" s="541"/>
      <c r="AMR127" s="541"/>
      <c r="AMS127" s="541"/>
      <c r="AMT127" s="541"/>
      <c r="AMU127" s="541"/>
      <c r="AMV127" s="541"/>
      <c r="AMW127" s="541"/>
      <c r="AMX127" s="541"/>
      <c r="AMY127" s="541"/>
      <c r="AMZ127" s="541"/>
      <c r="ANA127" s="541"/>
      <c r="ANB127" s="541"/>
      <c r="ANC127" s="541"/>
      <c r="AND127" s="541"/>
      <c r="ANE127" s="541"/>
      <c r="ANF127" s="541"/>
      <c r="ANG127" s="541"/>
      <c r="ANH127" s="541"/>
      <c r="ANI127" s="541"/>
      <c r="ANJ127" s="541"/>
      <c r="ANK127" s="541"/>
      <c r="ANL127" s="541"/>
      <c r="ANM127" s="541"/>
      <c r="ANN127" s="541"/>
      <c r="ANO127" s="541"/>
      <c r="ANP127" s="541"/>
      <c r="ANQ127" s="541"/>
      <c r="ANR127" s="541"/>
      <c r="ANS127" s="541"/>
      <c r="ANT127" s="541"/>
      <c r="ANU127" s="541"/>
      <c r="ANV127" s="541"/>
      <c r="ANW127" s="541"/>
      <c r="ANX127" s="541"/>
      <c r="ANY127" s="541"/>
      <c r="ANZ127" s="541"/>
      <c r="AOA127" s="541"/>
      <c r="AOB127" s="541"/>
      <c r="AOC127" s="541"/>
      <c r="AOD127" s="541"/>
      <c r="AOE127" s="541"/>
      <c r="AOF127" s="541"/>
      <c r="AOG127" s="541"/>
      <c r="AOH127" s="541"/>
      <c r="AOI127" s="541"/>
      <c r="AOJ127" s="541"/>
      <c r="AOK127" s="541"/>
      <c r="AOL127" s="541"/>
      <c r="AOM127" s="541"/>
      <c r="AON127" s="541"/>
      <c r="AOO127" s="541"/>
      <c r="AOP127" s="541"/>
      <c r="AOQ127" s="541"/>
      <c r="AOR127" s="541"/>
      <c r="AOS127" s="541"/>
      <c r="AOT127" s="541"/>
      <c r="AOU127" s="541"/>
      <c r="AOV127" s="541"/>
      <c r="AOW127" s="541"/>
      <c r="AOX127" s="541"/>
      <c r="AOY127" s="541"/>
      <c r="AOZ127" s="541"/>
      <c r="APA127" s="541"/>
      <c r="APB127" s="541"/>
      <c r="APC127" s="541"/>
      <c r="APD127" s="541"/>
      <c r="APE127" s="541"/>
      <c r="APF127" s="541"/>
      <c r="APG127" s="541"/>
      <c r="APH127" s="541"/>
      <c r="API127" s="541"/>
      <c r="APJ127" s="541"/>
      <c r="APK127" s="541"/>
      <c r="APL127" s="541"/>
      <c r="APM127" s="541"/>
      <c r="APN127" s="541"/>
      <c r="APO127" s="541"/>
      <c r="APP127" s="541"/>
      <c r="APQ127" s="541"/>
      <c r="APR127" s="541"/>
      <c r="APS127" s="541"/>
      <c r="APT127" s="541"/>
      <c r="APU127" s="541"/>
      <c r="APV127" s="541"/>
      <c r="APW127" s="541"/>
      <c r="APX127" s="541"/>
      <c r="APY127" s="541"/>
      <c r="APZ127" s="541"/>
      <c r="AQA127" s="541"/>
      <c r="AQB127" s="541"/>
      <c r="AQC127" s="541"/>
      <c r="AQD127" s="541"/>
      <c r="AQE127" s="541"/>
      <c r="AQF127" s="541"/>
      <c r="AQG127" s="541"/>
      <c r="AQH127" s="541"/>
      <c r="AQI127" s="541"/>
      <c r="AQJ127" s="541"/>
      <c r="AQK127" s="541"/>
      <c r="AQL127" s="541"/>
      <c r="AQM127" s="541"/>
      <c r="AQN127" s="541"/>
      <c r="AQO127" s="541"/>
      <c r="AQP127" s="541"/>
      <c r="AQQ127" s="541"/>
      <c r="AQR127" s="541"/>
      <c r="AQS127" s="541"/>
      <c r="AQT127" s="541"/>
      <c r="AQU127" s="541"/>
      <c r="AQV127" s="541"/>
      <c r="AQW127" s="541"/>
      <c r="AQX127" s="541"/>
      <c r="AQY127" s="541"/>
      <c r="AQZ127" s="541"/>
      <c r="ARA127" s="541"/>
      <c r="ARB127" s="541"/>
      <c r="ARC127" s="541"/>
      <c r="ARD127" s="541"/>
      <c r="ARE127" s="541"/>
      <c r="ARF127" s="541"/>
      <c r="ARG127" s="541"/>
      <c r="ARH127" s="541"/>
      <c r="ARI127" s="541"/>
      <c r="ARJ127" s="541"/>
      <c r="ARK127" s="541"/>
      <c r="ARL127" s="541"/>
      <c r="ARM127" s="541"/>
      <c r="ARN127" s="541"/>
      <c r="ARO127" s="541"/>
      <c r="ARP127" s="541"/>
      <c r="ARQ127" s="541"/>
      <c r="ARR127" s="541"/>
      <c r="ARS127" s="541"/>
      <c r="ART127" s="541"/>
      <c r="ARU127" s="541"/>
    </row>
    <row r="128" spans="1:1165" s="658" customFormat="1">
      <c r="A128" s="613" t="s">
        <v>278</v>
      </c>
      <c r="B128" s="578" t="s">
        <v>110</v>
      </c>
      <c r="C128" s="581">
        <v>0</v>
      </c>
      <c r="D128" s="581">
        <v>0</v>
      </c>
      <c r="E128" s="581">
        <v>0</v>
      </c>
      <c r="F128" s="581">
        <v>0</v>
      </c>
      <c r="G128" s="581">
        <v>0</v>
      </c>
      <c r="H128" s="581">
        <v>0</v>
      </c>
      <c r="I128" s="581">
        <v>0</v>
      </c>
      <c r="J128" s="581">
        <v>0</v>
      </c>
      <c r="K128" s="581">
        <v>0</v>
      </c>
      <c r="L128" s="581">
        <v>0</v>
      </c>
      <c r="M128" s="581">
        <v>0</v>
      </c>
      <c r="N128" s="581">
        <v>0</v>
      </c>
      <c r="O128" s="579">
        <v>0</v>
      </c>
      <c r="P128" s="579">
        <v>0</v>
      </c>
      <c r="Q128" s="579">
        <v>0</v>
      </c>
      <c r="R128" s="579">
        <v>0</v>
      </c>
      <c r="S128" s="579">
        <v>0</v>
      </c>
      <c r="T128" s="579">
        <v>0</v>
      </c>
      <c r="U128" s="579">
        <v>0</v>
      </c>
      <c r="V128" s="579">
        <v>0</v>
      </c>
      <c r="W128" s="579">
        <v>0</v>
      </c>
      <c r="X128" s="579">
        <v>0</v>
      </c>
      <c r="Y128" s="579">
        <v>0</v>
      </c>
      <c r="Z128" s="579">
        <v>0</v>
      </c>
      <c r="AA128" s="579">
        <v>0</v>
      </c>
      <c r="AB128" s="579">
        <v>0</v>
      </c>
      <c r="AC128" s="579">
        <v>0</v>
      </c>
      <c r="AD128" s="579">
        <v>0</v>
      </c>
      <c r="AE128" s="579">
        <v>0</v>
      </c>
      <c r="AF128" s="579">
        <v>0</v>
      </c>
      <c r="AG128" s="579">
        <v>0</v>
      </c>
      <c r="AH128" s="579">
        <v>0</v>
      </c>
      <c r="AI128" s="579">
        <v>0</v>
      </c>
      <c r="AJ128" s="579">
        <v>0</v>
      </c>
      <c r="AK128" s="598">
        <v>0</v>
      </c>
      <c r="AL128" s="598">
        <v>0</v>
      </c>
      <c r="AM128" s="579">
        <v>0</v>
      </c>
      <c r="AN128" s="579">
        <v>0</v>
      </c>
      <c r="AO128" s="579">
        <v>0</v>
      </c>
      <c r="AP128" s="579">
        <v>0</v>
      </c>
      <c r="AQ128" s="579">
        <v>0</v>
      </c>
      <c r="AR128" s="579">
        <v>0</v>
      </c>
      <c r="AS128" s="579">
        <v>0</v>
      </c>
      <c r="AT128" s="579">
        <v>0</v>
      </c>
      <c r="AU128" s="619">
        <v>1020.5</v>
      </c>
      <c r="AV128" s="619">
        <v>169505</v>
      </c>
      <c r="AW128" s="598">
        <v>2120</v>
      </c>
      <c r="AX128" s="598">
        <v>330906</v>
      </c>
      <c r="AY128" s="581">
        <v>2129</v>
      </c>
      <c r="AZ128" s="581">
        <v>279802</v>
      </c>
      <c r="BA128" s="663"/>
      <c r="BB128" s="598"/>
      <c r="BC128" s="664"/>
      <c r="BD128" s="598"/>
      <c r="BE128" s="664"/>
      <c r="BF128" s="598"/>
      <c r="BG128" s="664"/>
      <c r="BH128" s="598"/>
      <c r="BI128" s="664"/>
      <c r="BJ128" s="651">
        <f t="shared" si="12"/>
        <v>5269.5</v>
      </c>
      <c r="BK128" s="651">
        <f t="shared" si="13"/>
        <v>780213</v>
      </c>
      <c r="BL128" s="541"/>
      <c r="BM128" s="624"/>
      <c r="BN128" s="624"/>
      <c r="BO128" s="624"/>
      <c r="BP128" s="624"/>
      <c r="BQ128" s="541"/>
      <c r="BR128" s="541"/>
      <c r="BS128" s="541"/>
      <c r="BT128" s="541"/>
      <c r="BU128" s="541"/>
      <c r="BV128" s="541"/>
      <c r="BW128" s="541"/>
      <c r="BX128" s="541"/>
      <c r="BY128" s="541"/>
      <c r="BZ128" s="541"/>
      <c r="CA128" s="541"/>
      <c r="CB128" s="541"/>
      <c r="CC128" s="541"/>
      <c r="CD128" s="541"/>
      <c r="CE128" s="541"/>
      <c r="CF128" s="541"/>
      <c r="CG128" s="541"/>
      <c r="CH128" s="541"/>
      <c r="CI128" s="541"/>
      <c r="CJ128" s="541"/>
      <c r="CK128" s="541"/>
      <c r="CL128" s="541"/>
      <c r="CM128" s="541"/>
      <c r="CN128" s="541"/>
      <c r="CO128" s="541"/>
      <c r="CP128" s="541"/>
      <c r="CQ128" s="541"/>
      <c r="CR128" s="541"/>
      <c r="CS128" s="541"/>
      <c r="CT128" s="541"/>
      <c r="CU128" s="541"/>
      <c r="CV128" s="541"/>
      <c r="CW128" s="541"/>
      <c r="CX128" s="541"/>
      <c r="CY128" s="541"/>
      <c r="CZ128" s="541"/>
      <c r="DA128" s="541"/>
      <c r="DB128" s="541"/>
      <c r="DC128" s="541"/>
      <c r="DD128" s="541"/>
      <c r="DE128" s="541"/>
      <c r="DF128" s="541"/>
      <c r="DG128" s="541"/>
      <c r="DH128" s="541"/>
      <c r="DI128" s="541"/>
      <c r="DJ128" s="541"/>
      <c r="DK128" s="541"/>
      <c r="DL128" s="541"/>
      <c r="DM128" s="541"/>
      <c r="DN128" s="541"/>
      <c r="DO128" s="541"/>
      <c r="DP128" s="541"/>
      <c r="DQ128" s="541"/>
      <c r="DR128" s="541"/>
      <c r="DS128" s="541"/>
      <c r="DT128" s="541"/>
      <c r="DU128" s="541"/>
      <c r="DV128" s="541"/>
      <c r="DW128" s="541"/>
      <c r="DX128" s="541"/>
      <c r="DY128" s="541"/>
      <c r="DZ128" s="541"/>
      <c r="EA128" s="541"/>
      <c r="EB128" s="541"/>
      <c r="EC128" s="541"/>
      <c r="ED128" s="541"/>
      <c r="EE128" s="541"/>
      <c r="EF128" s="541"/>
      <c r="EG128" s="541"/>
      <c r="EH128" s="541"/>
      <c r="EI128" s="541"/>
      <c r="EJ128" s="541"/>
      <c r="EK128" s="541"/>
      <c r="EL128" s="541"/>
      <c r="EM128" s="541"/>
      <c r="EN128" s="541"/>
      <c r="EO128" s="541"/>
      <c r="EP128" s="541"/>
      <c r="EQ128" s="541"/>
      <c r="ER128" s="541"/>
      <c r="ES128" s="541"/>
      <c r="ET128" s="541"/>
      <c r="EU128" s="541"/>
      <c r="EV128" s="541"/>
      <c r="EW128" s="541"/>
      <c r="EX128" s="541"/>
      <c r="EY128" s="541"/>
      <c r="EZ128" s="541"/>
      <c r="FA128" s="541"/>
      <c r="FB128" s="541"/>
      <c r="FC128" s="541"/>
      <c r="FD128" s="541"/>
      <c r="FE128" s="541"/>
      <c r="FF128" s="541"/>
      <c r="FG128" s="541"/>
      <c r="FH128" s="541"/>
      <c r="FI128" s="541"/>
      <c r="FJ128" s="541"/>
      <c r="FK128" s="541"/>
      <c r="FL128" s="541"/>
      <c r="FM128" s="541"/>
      <c r="FN128" s="541"/>
      <c r="FO128" s="541"/>
      <c r="FP128" s="541"/>
      <c r="FQ128" s="541"/>
      <c r="FR128" s="541"/>
      <c r="FS128" s="541"/>
      <c r="FT128" s="541"/>
      <c r="FU128" s="541"/>
      <c r="FV128" s="541"/>
      <c r="FW128" s="541"/>
      <c r="FX128" s="541"/>
      <c r="FY128" s="541"/>
      <c r="FZ128" s="541"/>
      <c r="GA128" s="541"/>
      <c r="GB128" s="541"/>
      <c r="GC128" s="541"/>
      <c r="GD128" s="541"/>
      <c r="GE128" s="541"/>
      <c r="GF128" s="541"/>
      <c r="GG128" s="541"/>
      <c r="GH128" s="541"/>
      <c r="GI128" s="541"/>
      <c r="GJ128" s="541"/>
      <c r="GK128" s="541"/>
      <c r="GL128" s="541"/>
      <c r="GM128" s="541"/>
      <c r="GN128" s="541"/>
      <c r="GO128" s="541"/>
      <c r="GP128" s="541"/>
      <c r="GQ128" s="541"/>
      <c r="GR128" s="541"/>
      <c r="GS128" s="541"/>
      <c r="GT128" s="541"/>
      <c r="GU128" s="541"/>
      <c r="GV128" s="541"/>
      <c r="GW128" s="541"/>
      <c r="GX128" s="541"/>
      <c r="GY128" s="541"/>
      <c r="GZ128" s="541"/>
      <c r="HA128" s="541"/>
      <c r="HB128" s="541"/>
      <c r="HC128" s="541"/>
      <c r="HD128" s="541"/>
      <c r="HE128" s="541"/>
      <c r="HF128" s="541"/>
      <c r="HG128" s="541"/>
      <c r="HH128" s="541"/>
      <c r="HI128" s="541"/>
      <c r="HJ128" s="541"/>
      <c r="HK128" s="541"/>
      <c r="HL128" s="541"/>
      <c r="HM128" s="541"/>
      <c r="HN128" s="541"/>
      <c r="HO128" s="541"/>
      <c r="HP128" s="541"/>
      <c r="HQ128" s="541"/>
      <c r="HR128" s="541"/>
      <c r="HS128" s="541"/>
      <c r="HT128" s="541"/>
      <c r="HU128" s="541"/>
      <c r="HV128" s="541"/>
      <c r="HW128" s="541"/>
      <c r="HX128" s="541"/>
      <c r="HY128" s="541"/>
      <c r="HZ128" s="541"/>
      <c r="IA128" s="541"/>
      <c r="IB128" s="541"/>
      <c r="IC128" s="541"/>
      <c r="ID128" s="541"/>
      <c r="IE128" s="541"/>
      <c r="IF128" s="541"/>
      <c r="IG128" s="541"/>
      <c r="IH128" s="541"/>
      <c r="II128" s="541"/>
      <c r="IJ128" s="541"/>
      <c r="IK128" s="541"/>
      <c r="IL128" s="541"/>
      <c r="IM128" s="541"/>
      <c r="IN128" s="541"/>
      <c r="IO128" s="541"/>
      <c r="IP128" s="541"/>
      <c r="IQ128" s="541"/>
      <c r="IR128" s="541"/>
      <c r="IS128" s="541"/>
      <c r="IT128" s="541"/>
      <c r="IU128" s="541"/>
      <c r="IV128" s="541"/>
      <c r="IW128" s="541"/>
      <c r="IX128" s="541"/>
      <c r="IY128" s="541"/>
      <c r="IZ128" s="541"/>
      <c r="JA128" s="541"/>
      <c r="JB128" s="541"/>
      <c r="JC128" s="541"/>
      <c r="JD128" s="541"/>
      <c r="JE128" s="541"/>
      <c r="JF128" s="541"/>
      <c r="JG128" s="541"/>
      <c r="JH128" s="541"/>
      <c r="JI128" s="541"/>
      <c r="JJ128" s="541"/>
      <c r="JK128" s="541"/>
      <c r="JL128" s="541"/>
      <c r="JM128" s="541"/>
      <c r="JN128" s="541"/>
      <c r="JO128" s="541"/>
      <c r="JP128" s="541"/>
      <c r="JQ128" s="541"/>
      <c r="JR128" s="541"/>
      <c r="JS128" s="541"/>
      <c r="JT128" s="541"/>
      <c r="JU128" s="541"/>
      <c r="JV128" s="541"/>
      <c r="JW128" s="541"/>
      <c r="JX128" s="541"/>
      <c r="JY128" s="541"/>
      <c r="JZ128" s="541"/>
      <c r="KA128" s="541"/>
      <c r="KB128" s="541"/>
      <c r="KC128" s="541"/>
      <c r="KD128" s="541"/>
      <c r="KE128" s="541"/>
      <c r="KF128" s="541"/>
      <c r="KG128" s="541"/>
      <c r="KH128" s="541"/>
      <c r="KI128" s="541"/>
      <c r="KJ128" s="541"/>
      <c r="KK128" s="541"/>
      <c r="KL128" s="541"/>
      <c r="KM128" s="541"/>
      <c r="KN128" s="541"/>
      <c r="KO128" s="541"/>
      <c r="KP128" s="541"/>
      <c r="KQ128" s="541"/>
      <c r="KR128" s="541"/>
      <c r="KS128" s="541"/>
      <c r="KT128" s="541"/>
      <c r="KU128" s="541"/>
      <c r="KV128" s="541"/>
      <c r="KW128" s="541"/>
      <c r="KX128" s="541"/>
      <c r="KY128" s="541"/>
      <c r="KZ128" s="541"/>
      <c r="LA128" s="541"/>
      <c r="LB128" s="541"/>
      <c r="LC128" s="541"/>
      <c r="LD128" s="541"/>
      <c r="LE128" s="541"/>
      <c r="LF128" s="541"/>
      <c r="LG128" s="541"/>
      <c r="LH128" s="541"/>
      <c r="LI128" s="541"/>
      <c r="LJ128" s="541"/>
      <c r="LK128" s="541"/>
      <c r="LL128" s="541"/>
      <c r="LM128" s="541"/>
      <c r="LN128" s="541"/>
      <c r="LO128" s="541"/>
      <c r="LP128" s="541"/>
      <c r="LQ128" s="541"/>
      <c r="LR128" s="541"/>
      <c r="LS128" s="541"/>
      <c r="LT128" s="541"/>
      <c r="LU128" s="541"/>
      <c r="LV128" s="541"/>
      <c r="LW128" s="541"/>
      <c r="LX128" s="541"/>
      <c r="LY128" s="541"/>
      <c r="LZ128" s="541"/>
      <c r="MA128" s="541"/>
      <c r="MB128" s="541"/>
      <c r="MC128" s="541"/>
      <c r="MD128" s="541"/>
      <c r="ME128" s="541"/>
      <c r="MF128" s="541"/>
      <c r="MG128" s="541"/>
      <c r="MH128" s="541"/>
      <c r="MI128" s="541"/>
      <c r="MJ128" s="541"/>
      <c r="MK128" s="541"/>
      <c r="ML128" s="541"/>
      <c r="MM128" s="541"/>
      <c r="MN128" s="541"/>
      <c r="MO128" s="541"/>
      <c r="MP128" s="541"/>
      <c r="MQ128" s="541"/>
      <c r="MR128" s="541"/>
      <c r="MS128" s="541"/>
      <c r="MT128" s="541"/>
      <c r="MU128" s="541"/>
      <c r="MV128" s="541"/>
      <c r="MW128" s="541"/>
      <c r="MX128" s="541"/>
      <c r="MY128" s="541"/>
      <c r="MZ128" s="541"/>
      <c r="NA128" s="541"/>
      <c r="NB128" s="541"/>
      <c r="NC128" s="541"/>
      <c r="ND128" s="541"/>
      <c r="NE128" s="541"/>
      <c r="NF128" s="541"/>
      <c r="NG128" s="541"/>
      <c r="NH128" s="541"/>
      <c r="NI128" s="541"/>
      <c r="NJ128" s="541"/>
      <c r="NK128" s="541"/>
      <c r="NL128" s="541"/>
      <c r="NM128" s="541"/>
      <c r="NN128" s="541"/>
      <c r="NO128" s="541"/>
      <c r="NP128" s="541"/>
      <c r="NQ128" s="541"/>
      <c r="NR128" s="541"/>
      <c r="NS128" s="541"/>
      <c r="NT128" s="541"/>
      <c r="NU128" s="541"/>
      <c r="NV128" s="541"/>
      <c r="NW128" s="541"/>
      <c r="NX128" s="541"/>
      <c r="NY128" s="541"/>
      <c r="NZ128" s="541"/>
      <c r="OA128" s="541"/>
      <c r="OB128" s="541"/>
      <c r="OC128" s="541"/>
      <c r="OD128" s="541"/>
      <c r="OE128" s="541"/>
      <c r="OF128" s="541"/>
      <c r="OG128" s="541"/>
      <c r="OH128" s="541"/>
      <c r="OI128" s="541"/>
      <c r="OJ128" s="541"/>
      <c r="OK128" s="541"/>
      <c r="OL128" s="541"/>
      <c r="OM128" s="541"/>
      <c r="ON128" s="541"/>
      <c r="OO128" s="541"/>
      <c r="OP128" s="541"/>
      <c r="OQ128" s="541"/>
      <c r="OR128" s="541"/>
      <c r="OS128" s="541"/>
      <c r="OT128" s="541"/>
      <c r="OU128" s="541"/>
      <c r="OV128" s="541"/>
      <c r="OW128" s="541"/>
      <c r="OX128" s="541"/>
      <c r="OY128" s="541"/>
      <c r="OZ128" s="541"/>
      <c r="PA128" s="541"/>
      <c r="PB128" s="541"/>
      <c r="PC128" s="541"/>
      <c r="PD128" s="541"/>
      <c r="PE128" s="541"/>
      <c r="PF128" s="541"/>
      <c r="PG128" s="541"/>
      <c r="PH128" s="541"/>
      <c r="PI128" s="541"/>
      <c r="PJ128" s="541"/>
      <c r="PK128" s="541"/>
      <c r="PL128" s="541"/>
      <c r="PM128" s="541"/>
      <c r="PN128" s="541"/>
      <c r="PO128" s="541"/>
      <c r="PP128" s="541"/>
      <c r="PQ128" s="541"/>
      <c r="PR128" s="541"/>
      <c r="PS128" s="541"/>
      <c r="PT128" s="541"/>
      <c r="PU128" s="541"/>
      <c r="PV128" s="541"/>
      <c r="PW128" s="541"/>
      <c r="PX128" s="541"/>
      <c r="PY128" s="541"/>
      <c r="PZ128" s="541"/>
      <c r="QA128" s="541"/>
      <c r="QB128" s="541"/>
      <c r="QC128" s="541"/>
      <c r="QD128" s="541"/>
      <c r="QE128" s="541"/>
      <c r="QF128" s="541"/>
      <c r="QG128" s="541"/>
      <c r="QH128" s="541"/>
      <c r="QI128" s="541"/>
      <c r="QJ128" s="541"/>
      <c r="QK128" s="541"/>
      <c r="QL128" s="541"/>
      <c r="QM128" s="541"/>
      <c r="QN128" s="541"/>
      <c r="QO128" s="541"/>
      <c r="QP128" s="541"/>
      <c r="QQ128" s="541"/>
      <c r="QR128" s="541"/>
      <c r="QS128" s="541"/>
      <c r="QT128" s="541"/>
      <c r="QU128" s="541"/>
      <c r="QV128" s="541"/>
      <c r="QW128" s="541"/>
      <c r="QX128" s="541"/>
      <c r="QY128" s="541"/>
      <c r="QZ128" s="541"/>
      <c r="RA128" s="541"/>
      <c r="RB128" s="541"/>
      <c r="RC128" s="541"/>
      <c r="RD128" s="541"/>
      <c r="RE128" s="541"/>
      <c r="RF128" s="541"/>
      <c r="RG128" s="541"/>
      <c r="RH128" s="541"/>
      <c r="RI128" s="541"/>
      <c r="RJ128" s="541"/>
      <c r="RK128" s="541"/>
      <c r="RL128" s="541"/>
      <c r="RM128" s="541"/>
      <c r="RN128" s="541"/>
      <c r="RO128" s="541"/>
      <c r="RP128" s="541"/>
      <c r="RQ128" s="541"/>
      <c r="RR128" s="541"/>
      <c r="RS128" s="541"/>
      <c r="RT128" s="541"/>
      <c r="RU128" s="541"/>
      <c r="RV128" s="541"/>
      <c r="RW128" s="541"/>
      <c r="RX128" s="541"/>
      <c r="RY128" s="541"/>
      <c r="RZ128" s="541"/>
      <c r="SA128" s="541"/>
      <c r="SB128" s="541"/>
      <c r="SC128" s="541"/>
      <c r="SD128" s="541"/>
      <c r="SE128" s="541"/>
      <c r="SF128" s="541"/>
      <c r="SG128" s="541"/>
      <c r="SH128" s="541"/>
      <c r="SI128" s="541"/>
      <c r="SJ128" s="541"/>
      <c r="SK128" s="541"/>
      <c r="SL128" s="541"/>
      <c r="SM128" s="541"/>
      <c r="SN128" s="541"/>
      <c r="SO128" s="541"/>
      <c r="SP128" s="541"/>
      <c r="SQ128" s="541"/>
      <c r="SR128" s="541"/>
      <c r="SS128" s="541"/>
      <c r="ST128" s="541"/>
      <c r="SU128" s="541"/>
      <c r="SV128" s="541"/>
      <c r="SW128" s="541"/>
      <c r="SX128" s="541"/>
      <c r="SY128" s="541"/>
      <c r="SZ128" s="541"/>
      <c r="TA128" s="541"/>
      <c r="TB128" s="541"/>
      <c r="TC128" s="541"/>
      <c r="TD128" s="541"/>
      <c r="TE128" s="541"/>
      <c r="TF128" s="541"/>
      <c r="TG128" s="541"/>
      <c r="TH128" s="541"/>
      <c r="TI128" s="541"/>
      <c r="TJ128" s="541"/>
      <c r="TK128" s="541"/>
      <c r="TL128" s="541"/>
      <c r="TM128" s="541"/>
      <c r="TN128" s="541"/>
      <c r="TO128" s="541"/>
      <c r="TP128" s="541"/>
      <c r="TQ128" s="541"/>
      <c r="TR128" s="541"/>
      <c r="TS128" s="541"/>
      <c r="TT128" s="541"/>
      <c r="TU128" s="541"/>
      <c r="TV128" s="541"/>
      <c r="TW128" s="541"/>
      <c r="TX128" s="541"/>
      <c r="TY128" s="541"/>
      <c r="TZ128" s="541"/>
      <c r="UA128" s="541"/>
      <c r="UB128" s="541"/>
      <c r="UC128" s="541"/>
      <c r="UD128" s="541"/>
      <c r="UE128" s="541"/>
      <c r="UF128" s="541"/>
      <c r="UG128" s="541"/>
      <c r="UH128" s="541"/>
      <c r="UI128" s="541"/>
      <c r="UJ128" s="541"/>
      <c r="UK128" s="541"/>
      <c r="UL128" s="541"/>
      <c r="UM128" s="541"/>
      <c r="UN128" s="541"/>
      <c r="UO128" s="541"/>
      <c r="UP128" s="541"/>
      <c r="UQ128" s="541"/>
      <c r="UR128" s="541"/>
      <c r="US128" s="541"/>
      <c r="UT128" s="541"/>
      <c r="UU128" s="541"/>
      <c r="UV128" s="541"/>
      <c r="UW128" s="541"/>
      <c r="UX128" s="541"/>
      <c r="UY128" s="541"/>
      <c r="UZ128" s="541"/>
      <c r="VA128" s="541"/>
      <c r="VB128" s="541"/>
      <c r="VC128" s="541"/>
      <c r="VD128" s="541"/>
      <c r="VE128" s="541"/>
      <c r="VF128" s="541"/>
      <c r="VG128" s="541"/>
      <c r="VH128" s="541"/>
      <c r="VI128" s="541"/>
      <c r="VJ128" s="541"/>
      <c r="VK128" s="541"/>
      <c r="VL128" s="541"/>
      <c r="VM128" s="541"/>
      <c r="VN128" s="541"/>
      <c r="VO128" s="541"/>
      <c r="VP128" s="541"/>
      <c r="VQ128" s="541"/>
      <c r="VR128" s="541"/>
      <c r="VS128" s="541"/>
      <c r="VT128" s="541"/>
      <c r="VU128" s="541"/>
      <c r="VV128" s="541"/>
      <c r="VW128" s="541"/>
      <c r="VX128" s="541"/>
      <c r="VY128" s="541"/>
      <c r="VZ128" s="541"/>
      <c r="WA128" s="541"/>
      <c r="WB128" s="541"/>
      <c r="WC128" s="541"/>
      <c r="WD128" s="541"/>
      <c r="WE128" s="541"/>
      <c r="WF128" s="541"/>
      <c r="WG128" s="541"/>
      <c r="WH128" s="541"/>
      <c r="WI128" s="541"/>
      <c r="WJ128" s="541"/>
      <c r="WK128" s="541"/>
      <c r="WL128" s="541"/>
      <c r="WM128" s="541"/>
      <c r="WN128" s="541"/>
      <c r="WO128" s="541"/>
      <c r="WP128" s="541"/>
      <c r="WQ128" s="541"/>
      <c r="WR128" s="541"/>
      <c r="WS128" s="541"/>
      <c r="WT128" s="541"/>
      <c r="WU128" s="541"/>
      <c r="WV128" s="541"/>
      <c r="WW128" s="541"/>
      <c r="WX128" s="541"/>
      <c r="WY128" s="541"/>
      <c r="WZ128" s="541"/>
      <c r="XA128" s="541"/>
      <c r="XB128" s="541"/>
      <c r="XC128" s="541"/>
      <c r="XD128" s="541"/>
      <c r="XE128" s="541"/>
      <c r="XF128" s="541"/>
      <c r="XG128" s="541"/>
      <c r="XH128" s="541"/>
      <c r="XI128" s="541"/>
      <c r="XJ128" s="541"/>
      <c r="XK128" s="541"/>
      <c r="XL128" s="541"/>
      <c r="XM128" s="541"/>
      <c r="XN128" s="541"/>
      <c r="XO128" s="541"/>
      <c r="XP128" s="541"/>
      <c r="XQ128" s="541"/>
      <c r="XR128" s="541"/>
      <c r="XS128" s="541"/>
      <c r="XT128" s="541"/>
      <c r="XU128" s="541"/>
      <c r="XV128" s="541"/>
      <c r="XW128" s="541"/>
      <c r="XX128" s="541"/>
      <c r="XY128" s="541"/>
      <c r="XZ128" s="541"/>
      <c r="YA128" s="541"/>
      <c r="YB128" s="541"/>
      <c r="YC128" s="541"/>
      <c r="YD128" s="541"/>
      <c r="YE128" s="541"/>
      <c r="YF128" s="541"/>
      <c r="YG128" s="541"/>
      <c r="YH128" s="541"/>
      <c r="YI128" s="541"/>
      <c r="YJ128" s="541"/>
      <c r="YK128" s="541"/>
      <c r="YL128" s="541"/>
      <c r="YM128" s="541"/>
      <c r="YN128" s="541"/>
      <c r="YO128" s="541"/>
      <c r="YP128" s="541"/>
      <c r="YQ128" s="541"/>
      <c r="YR128" s="541"/>
      <c r="YS128" s="541"/>
      <c r="YT128" s="541"/>
      <c r="YU128" s="541"/>
      <c r="YV128" s="541"/>
      <c r="YW128" s="541"/>
      <c r="YX128" s="541"/>
      <c r="YY128" s="541"/>
      <c r="YZ128" s="541"/>
      <c r="ZA128" s="541"/>
      <c r="ZB128" s="541"/>
      <c r="ZC128" s="541"/>
      <c r="ZD128" s="541"/>
      <c r="ZE128" s="541"/>
      <c r="ZF128" s="541"/>
      <c r="ZG128" s="541"/>
      <c r="ZH128" s="541"/>
      <c r="ZI128" s="541"/>
      <c r="ZJ128" s="541"/>
      <c r="ZK128" s="541"/>
      <c r="ZL128" s="541"/>
      <c r="ZM128" s="541"/>
      <c r="ZN128" s="541"/>
      <c r="ZO128" s="541"/>
      <c r="ZP128" s="541"/>
      <c r="ZQ128" s="541"/>
      <c r="ZR128" s="541"/>
      <c r="ZS128" s="541"/>
      <c r="ZT128" s="541"/>
      <c r="ZU128" s="541"/>
      <c r="ZV128" s="541"/>
      <c r="ZW128" s="541"/>
      <c r="ZX128" s="541"/>
      <c r="ZY128" s="541"/>
      <c r="ZZ128" s="541"/>
      <c r="AAA128" s="541"/>
      <c r="AAB128" s="541"/>
      <c r="AAC128" s="541"/>
      <c r="AAD128" s="541"/>
      <c r="AAE128" s="541"/>
      <c r="AAF128" s="541"/>
      <c r="AAG128" s="541"/>
      <c r="AAH128" s="541"/>
      <c r="AAI128" s="541"/>
      <c r="AAJ128" s="541"/>
      <c r="AAK128" s="541"/>
      <c r="AAL128" s="541"/>
      <c r="AAM128" s="541"/>
      <c r="AAN128" s="541"/>
      <c r="AAO128" s="541"/>
      <c r="AAP128" s="541"/>
      <c r="AAQ128" s="541"/>
      <c r="AAR128" s="541"/>
      <c r="AAS128" s="541"/>
      <c r="AAT128" s="541"/>
      <c r="AAU128" s="541"/>
      <c r="AAV128" s="541"/>
      <c r="AAW128" s="541"/>
      <c r="AAX128" s="541"/>
      <c r="AAY128" s="541"/>
      <c r="AAZ128" s="541"/>
      <c r="ABA128" s="541"/>
      <c r="ABB128" s="541"/>
      <c r="ABC128" s="541"/>
      <c r="ABD128" s="541"/>
      <c r="ABE128" s="541"/>
      <c r="ABF128" s="541"/>
      <c r="ABG128" s="541"/>
      <c r="ABH128" s="541"/>
      <c r="ABI128" s="541"/>
      <c r="ABJ128" s="541"/>
      <c r="ABK128" s="541"/>
      <c r="ABL128" s="541"/>
      <c r="ABM128" s="541"/>
      <c r="ABN128" s="541"/>
      <c r="ABO128" s="541"/>
      <c r="ABP128" s="541"/>
      <c r="ABQ128" s="541"/>
      <c r="ABR128" s="541"/>
      <c r="ABS128" s="541"/>
      <c r="ABT128" s="541"/>
      <c r="ABU128" s="541"/>
      <c r="ABV128" s="541"/>
      <c r="ABW128" s="541"/>
      <c r="ABX128" s="541"/>
      <c r="ABY128" s="541"/>
      <c r="ABZ128" s="541"/>
      <c r="ACA128" s="541"/>
      <c r="ACB128" s="541"/>
      <c r="ACC128" s="541"/>
      <c r="ACD128" s="541"/>
      <c r="ACE128" s="541"/>
      <c r="ACF128" s="541"/>
      <c r="ACG128" s="541"/>
      <c r="ACH128" s="541"/>
      <c r="ACI128" s="541"/>
      <c r="ACJ128" s="541"/>
      <c r="ACK128" s="541"/>
      <c r="ACL128" s="541"/>
      <c r="ACM128" s="541"/>
      <c r="ACN128" s="541"/>
      <c r="ACO128" s="541"/>
      <c r="ACP128" s="541"/>
      <c r="ACQ128" s="541"/>
      <c r="ACR128" s="541"/>
      <c r="ACS128" s="541"/>
      <c r="ACT128" s="541"/>
      <c r="ACU128" s="541"/>
      <c r="ACV128" s="541"/>
      <c r="ACW128" s="541"/>
      <c r="ACX128" s="541"/>
      <c r="ACY128" s="541"/>
      <c r="ACZ128" s="541"/>
      <c r="ADA128" s="541"/>
      <c r="ADB128" s="541"/>
      <c r="ADC128" s="541"/>
      <c r="ADD128" s="541"/>
      <c r="ADE128" s="541"/>
      <c r="ADF128" s="541"/>
      <c r="ADG128" s="541"/>
      <c r="ADH128" s="541"/>
      <c r="ADI128" s="541"/>
      <c r="ADJ128" s="541"/>
      <c r="ADK128" s="541"/>
      <c r="ADL128" s="541"/>
      <c r="ADM128" s="541"/>
      <c r="ADN128" s="541"/>
      <c r="ADO128" s="541"/>
      <c r="ADP128" s="541"/>
      <c r="ADQ128" s="541"/>
      <c r="ADR128" s="541"/>
      <c r="ADS128" s="541"/>
      <c r="ADT128" s="541"/>
      <c r="ADU128" s="541"/>
      <c r="ADV128" s="541"/>
      <c r="ADW128" s="541"/>
      <c r="ADX128" s="541"/>
      <c r="ADY128" s="541"/>
      <c r="ADZ128" s="541"/>
      <c r="AEA128" s="541"/>
      <c r="AEB128" s="541"/>
      <c r="AEC128" s="541"/>
      <c r="AED128" s="541"/>
      <c r="AEE128" s="541"/>
      <c r="AEF128" s="541"/>
      <c r="AEG128" s="541"/>
      <c r="AEH128" s="541"/>
      <c r="AEI128" s="541"/>
      <c r="AEJ128" s="541"/>
      <c r="AEK128" s="541"/>
      <c r="AEL128" s="541"/>
      <c r="AEM128" s="541"/>
      <c r="AEN128" s="541"/>
      <c r="AEO128" s="541"/>
      <c r="AEP128" s="541"/>
      <c r="AEQ128" s="541"/>
      <c r="AER128" s="541"/>
      <c r="AES128" s="541"/>
      <c r="AET128" s="541"/>
      <c r="AEU128" s="541"/>
      <c r="AEV128" s="541"/>
      <c r="AEW128" s="541"/>
      <c r="AEX128" s="541"/>
      <c r="AEY128" s="541"/>
      <c r="AEZ128" s="541"/>
      <c r="AFA128" s="541"/>
      <c r="AFB128" s="541"/>
      <c r="AFC128" s="541"/>
      <c r="AFD128" s="541"/>
      <c r="AFE128" s="541"/>
      <c r="AFF128" s="541"/>
      <c r="AFG128" s="541"/>
      <c r="AFH128" s="541"/>
      <c r="AFI128" s="541"/>
      <c r="AFJ128" s="541"/>
      <c r="AFK128" s="541"/>
      <c r="AFL128" s="541"/>
      <c r="AFM128" s="541"/>
      <c r="AFN128" s="541"/>
      <c r="AFO128" s="541"/>
      <c r="AFP128" s="541"/>
      <c r="AFQ128" s="541"/>
      <c r="AFR128" s="541"/>
      <c r="AFS128" s="541"/>
      <c r="AFT128" s="541"/>
      <c r="AFU128" s="541"/>
      <c r="AFV128" s="541"/>
      <c r="AFW128" s="541"/>
      <c r="AFX128" s="541"/>
      <c r="AFY128" s="541"/>
      <c r="AFZ128" s="541"/>
      <c r="AGA128" s="541"/>
      <c r="AGB128" s="541"/>
      <c r="AGC128" s="541"/>
      <c r="AGD128" s="541"/>
      <c r="AGE128" s="541"/>
      <c r="AGF128" s="541"/>
      <c r="AGG128" s="541"/>
      <c r="AGH128" s="541"/>
      <c r="AGI128" s="541"/>
      <c r="AGJ128" s="541"/>
      <c r="AGK128" s="541"/>
      <c r="AGL128" s="541"/>
      <c r="AGM128" s="541"/>
      <c r="AGN128" s="541"/>
      <c r="AGO128" s="541"/>
      <c r="AGP128" s="541"/>
      <c r="AGQ128" s="541"/>
      <c r="AGR128" s="541"/>
      <c r="AGS128" s="541"/>
      <c r="AGT128" s="541"/>
      <c r="AGU128" s="541"/>
      <c r="AGV128" s="541"/>
      <c r="AGW128" s="541"/>
      <c r="AGX128" s="541"/>
      <c r="AGY128" s="541"/>
      <c r="AGZ128" s="541"/>
      <c r="AHA128" s="541"/>
      <c r="AHB128" s="541"/>
      <c r="AHC128" s="541"/>
      <c r="AHD128" s="541"/>
      <c r="AHE128" s="541"/>
      <c r="AHF128" s="541"/>
      <c r="AHG128" s="541"/>
      <c r="AHH128" s="541"/>
      <c r="AHI128" s="541"/>
      <c r="AHJ128" s="541"/>
      <c r="AHK128" s="541"/>
      <c r="AHL128" s="541"/>
      <c r="AHM128" s="541"/>
      <c r="AHN128" s="541"/>
      <c r="AHO128" s="541"/>
      <c r="AHP128" s="541"/>
      <c r="AHQ128" s="541"/>
      <c r="AHR128" s="541"/>
      <c r="AHS128" s="541"/>
      <c r="AHT128" s="541"/>
      <c r="AHU128" s="541"/>
      <c r="AHV128" s="541"/>
      <c r="AHW128" s="541"/>
      <c r="AHX128" s="541"/>
      <c r="AHY128" s="541"/>
      <c r="AHZ128" s="541"/>
      <c r="AIA128" s="541"/>
      <c r="AIB128" s="541"/>
      <c r="AIC128" s="541"/>
      <c r="AID128" s="541"/>
      <c r="AIE128" s="541"/>
      <c r="AIF128" s="541"/>
      <c r="AIG128" s="541"/>
      <c r="AIH128" s="541"/>
      <c r="AII128" s="541"/>
      <c r="AIJ128" s="541"/>
      <c r="AIK128" s="541"/>
      <c r="AIL128" s="541"/>
      <c r="AIM128" s="541"/>
      <c r="AIN128" s="541"/>
      <c r="AIO128" s="541"/>
      <c r="AIP128" s="541"/>
      <c r="AIQ128" s="541"/>
      <c r="AIR128" s="541"/>
      <c r="AIS128" s="541"/>
      <c r="AIT128" s="541"/>
      <c r="AIU128" s="541"/>
      <c r="AIV128" s="541"/>
      <c r="AIW128" s="541"/>
      <c r="AIX128" s="541"/>
      <c r="AIY128" s="541"/>
      <c r="AIZ128" s="541"/>
      <c r="AJA128" s="541"/>
      <c r="AJB128" s="541"/>
      <c r="AJC128" s="541"/>
      <c r="AJD128" s="541"/>
      <c r="AJE128" s="541"/>
      <c r="AJF128" s="541"/>
      <c r="AJG128" s="541"/>
      <c r="AJH128" s="541"/>
      <c r="AJI128" s="541"/>
      <c r="AJJ128" s="541"/>
      <c r="AJK128" s="541"/>
      <c r="AJL128" s="541"/>
      <c r="AJM128" s="541"/>
      <c r="AJN128" s="541"/>
      <c r="AJO128" s="541"/>
      <c r="AJP128" s="541"/>
      <c r="AJQ128" s="541"/>
      <c r="AJR128" s="541"/>
      <c r="AJS128" s="541"/>
      <c r="AJT128" s="541"/>
      <c r="AJU128" s="541"/>
      <c r="AJV128" s="541"/>
      <c r="AJW128" s="541"/>
      <c r="AJX128" s="541"/>
      <c r="AJY128" s="541"/>
      <c r="AJZ128" s="541"/>
      <c r="AKA128" s="541"/>
      <c r="AKB128" s="541"/>
      <c r="AKC128" s="541"/>
      <c r="AKD128" s="541"/>
      <c r="AKE128" s="541"/>
      <c r="AKF128" s="541"/>
      <c r="AKG128" s="541"/>
      <c r="AKH128" s="541"/>
      <c r="AKI128" s="541"/>
      <c r="AKJ128" s="541"/>
      <c r="AKK128" s="541"/>
      <c r="AKL128" s="541"/>
      <c r="AKM128" s="541"/>
      <c r="AKN128" s="541"/>
      <c r="AKO128" s="541"/>
      <c r="AKP128" s="541"/>
      <c r="AKQ128" s="541"/>
      <c r="AKR128" s="541"/>
      <c r="AKS128" s="541"/>
      <c r="AKT128" s="541"/>
      <c r="AKU128" s="541"/>
      <c r="AKV128" s="541"/>
      <c r="AKW128" s="541"/>
      <c r="AKX128" s="541"/>
      <c r="AKY128" s="541"/>
      <c r="AKZ128" s="541"/>
      <c r="ALA128" s="541"/>
      <c r="ALB128" s="541"/>
      <c r="ALC128" s="541"/>
      <c r="ALD128" s="541"/>
      <c r="ALE128" s="541"/>
      <c r="ALF128" s="541"/>
      <c r="ALG128" s="541"/>
      <c r="ALH128" s="541"/>
      <c r="ALI128" s="541"/>
      <c r="ALJ128" s="541"/>
      <c r="ALK128" s="541"/>
      <c r="ALL128" s="541"/>
      <c r="ALM128" s="541"/>
      <c r="ALN128" s="541"/>
      <c r="ALO128" s="541"/>
      <c r="ALP128" s="541"/>
      <c r="ALQ128" s="541"/>
      <c r="ALR128" s="541"/>
      <c r="ALS128" s="541"/>
      <c r="ALT128" s="541"/>
      <c r="ALU128" s="541"/>
      <c r="ALV128" s="541"/>
      <c r="ALW128" s="541"/>
      <c r="ALX128" s="541"/>
      <c r="ALY128" s="541"/>
      <c r="ALZ128" s="541"/>
      <c r="AMA128" s="541"/>
      <c r="AMB128" s="541"/>
      <c r="AMC128" s="541"/>
      <c r="AMD128" s="541"/>
      <c r="AME128" s="541"/>
      <c r="AMF128" s="541"/>
      <c r="AMG128" s="541"/>
      <c r="AMH128" s="541"/>
      <c r="AMI128" s="541"/>
      <c r="AMJ128" s="541"/>
      <c r="AMK128" s="541"/>
      <c r="AML128" s="541"/>
      <c r="AMM128" s="541"/>
      <c r="AMN128" s="541"/>
      <c r="AMO128" s="541"/>
      <c r="AMP128" s="541"/>
      <c r="AMQ128" s="541"/>
      <c r="AMR128" s="541"/>
      <c r="AMS128" s="541"/>
      <c r="AMT128" s="541"/>
      <c r="AMU128" s="541"/>
      <c r="AMV128" s="541"/>
      <c r="AMW128" s="541"/>
      <c r="AMX128" s="541"/>
      <c r="AMY128" s="541"/>
      <c r="AMZ128" s="541"/>
      <c r="ANA128" s="541"/>
      <c r="ANB128" s="541"/>
      <c r="ANC128" s="541"/>
      <c r="AND128" s="541"/>
      <c r="ANE128" s="541"/>
      <c r="ANF128" s="541"/>
      <c r="ANG128" s="541"/>
      <c r="ANH128" s="541"/>
      <c r="ANI128" s="541"/>
      <c r="ANJ128" s="541"/>
      <c r="ANK128" s="541"/>
      <c r="ANL128" s="541"/>
      <c r="ANM128" s="541"/>
      <c r="ANN128" s="541"/>
      <c r="ANO128" s="541"/>
      <c r="ANP128" s="541"/>
      <c r="ANQ128" s="541"/>
      <c r="ANR128" s="541"/>
      <c r="ANS128" s="541"/>
      <c r="ANT128" s="541"/>
      <c r="ANU128" s="541"/>
      <c r="ANV128" s="541"/>
      <c r="ANW128" s="541"/>
      <c r="ANX128" s="541"/>
      <c r="ANY128" s="541"/>
      <c r="ANZ128" s="541"/>
      <c r="AOA128" s="541"/>
      <c r="AOB128" s="541"/>
      <c r="AOC128" s="541"/>
      <c r="AOD128" s="541"/>
      <c r="AOE128" s="541"/>
      <c r="AOF128" s="541"/>
      <c r="AOG128" s="541"/>
      <c r="AOH128" s="541"/>
      <c r="AOI128" s="541"/>
      <c r="AOJ128" s="541"/>
      <c r="AOK128" s="541"/>
      <c r="AOL128" s="541"/>
      <c r="AOM128" s="541"/>
      <c r="AON128" s="541"/>
      <c r="AOO128" s="541"/>
      <c r="AOP128" s="541"/>
      <c r="AOQ128" s="541"/>
      <c r="AOR128" s="541"/>
      <c r="AOS128" s="541"/>
      <c r="AOT128" s="541"/>
      <c r="AOU128" s="541"/>
      <c r="AOV128" s="541"/>
      <c r="AOW128" s="541"/>
      <c r="AOX128" s="541"/>
      <c r="AOY128" s="541"/>
      <c r="AOZ128" s="541"/>
      <c r="APA128" s="541"/>
      <c r="APB128" s="541"/>
      <c r="APC128" s="541"/>
      <c r="APD128" s="541"/>
      <c r="APE128" s="541"/>
      <c r="APF128" s="541"/>
      <c r="APG128" s="541"/>
      <c r="APH128" s="541"/>
      <c r="API128" s="541"/>
      <c r="APJ128" s="541"/>
      <c r="APK128" s="541"/>
      <c r="APL128" s="541"/>
      <c r="APM128" s="541"/>
      <c r="APN128" s="541"/>
      <c r="APO128" s="541"/>
      <c r="APP128" s="541"/>
      <c r="APQ128" s="541"/>
      <c r="APR128" s="541"/>
      <c r="APS128" s="541"/>
      <c r="APT128" s="541"/>
      <c r="APU128" s="541"/>
      <c r="APV128" s="541"/>
      <c r="APW128" s="541"/>
      <c r="APX128" s="541"/>
      <c r="APY128" s="541"/>
      <c r="APZ128" s="541"/>
      <c r="AQA128" s="541"/>
      <c r="AQB128" s="541"/>
      <c r="AQC128" s="541"/>
      <c r="AQD128" s="541"/>
      <c r="AQE128" s="541"/>
      <c r="AQF128" s="541"/>
      <c r="AQG128" s="541"/>
      <c r="AQH128" s="541"/>
      <c r="AQI128" s="541"/>
      <c r="AQJ128" s="541"/>
      <c r="AQK128" s="541"/>
      <c r="AQL128" s="541"/>
      <c r="AQM128" s="541"/>
      <c r="AQN128" s="541"/>
      <c r="AQO128" s="541"/>
      <c r="AQP128" s="541"/>
      <c r="AQQ128" s="541"/>
      <c r="AQR128" s="541"/>
      <c r="AQS128" s="541"/>
      <c r="AQT128" s="541"/>
      <c r="AQU128" s="541"/>
      <c r="AQV128" s="541"/>
      <c r="AQW128" s="541"/>
      <c r="AQX128" s="541"/>
      <c r="AQY128" s="541"/>
      <c r="AQZ128" s="541"/>
      <c r="ARA128" s="541"/>
      <c r="ARB128" s="541"/>
      <c r="ARC128" s="541"/>
      <c r="ARD128" s="541"/>
      <c r="ARE128" s="541"/>
      <c r="ARF128" s="541"/>
      <c r="ARG128" s="541"/>
      <c r="ARH128" s="541"/>
      <c r="ARI128" s="541"/>
      <c r="ARJ128" s="541"/>
      <c r="ARK128" s="541"/>
      <c r="ARL128" s="541"/>
      <c r="ARM128" s="541"/>
      <c r="ARN128" s="541"/>
      <c r="ARO128" s="541"/>
      <c r="ARP128" s="541"/>
      <c r="ARQ128" s="541"/>
      <c r="ARR128" s="541"/>
      <c r="ARS128" s="541"/>
      <c r="ART128" s="541"/>
      <c r="ARU128" s="541"/>
    </row>
    <row r="129" spans="1:1165" s="658" customFormat="1">
      <c r="A129" s="613" t="s">
        <v>279</v>
      </c>
      <c r="B129" s="578" t="s">
        <v>110</v>
      </c>
      <c r="C129" s="659">
        <v>328</v>
      </c>
      <c r="D129" s="659">
        <v>343931</v>
      </c>
      <c r="E129" s="581">
        <v>21</v>
      </c>
      <c r="F129" s="581">
        <v>32192</v>
      </c>
      <c r="G129" s="581">
        <v>58</v>
      </c>
      <c r="H129" s="581">
        <v>187219</v>
      </c>
      <c r="I129" s="581">
        <v>0</v>
      </c>
      <c r="J129" s="581">
        <v>0</v>
      </c>
      <c r="K129" s="581">
        <v>0</v>
      </c>
      <c r="L129" s="581">
        <v>0</v>
      </c>
      <c r="M129" s="581">
        <v>66</v>
      </c>
      <c r="N129" s="581">
        <v>358048</v>
      </c>
      <c r="O129" s="581">
        <v>46</v>
      </c>
      <c r="P129" s="581">
        <v>586165</v>
      </c>
      <c r="Q129" s="581">
        <v>41</v>
      </c>
      <c r="R129" s="581">
        <v>335662</v>
      </c>
      <c r="S129" s="581">
        <v>5</v>
      </c>
      <c r="T129" s="581">
        <v>38444</v>
      </c>
      <c r="U129" s="579">
        <v>0</v>
      </c>
      <c r="V129" s="579">
        <v>0</v>
      </c>
      <c r="W129" s="598">
        <v>20</v>
      </c>
      <c r="X129" s="598">
        <v>105840</v>
      </c>
      <c r="Y129" s="579">
        <v>0</v>
      </c>
      <c r="Z129" s="579">
        <v>0</v>
      </c>
      <c r="AA129" s="579">
        <v>0</v>
      </c>
      <c r="AB129" s="579">
        <v>0</v>
      </c>
      <c r="AC129" s="579">
        <v>0</v>
      </c>
      <c r="AD129" s="579">
        <v>0</v>
      </c>
      <c r="AE129" s="579">
        <v>0</v>
      </c>
      <c r="AF129" s="579">
        <v>0</v>
      </c>
      <c r="AG129" s="579">
        <v>0</v>
      </c>
      <c r="AH129" s="579">
        <v>0</v>
      </c>
      <c r="AI129" s="579">
        <v>0</v>
      </c>
      <c r="AJ129" s="579">
        <v>0</v>
      </c>
      <c r="AK129" s="598">
        <v>0</v>
      </c>
      <c r="AL129" s="598">
        <v>0</v>
      </c>
      <c r="AM129" s="579">
        <v>0</v>
      </c>
      <c r="AN129" s="579">
        <v>0</v>
      </c>
      <c r="AO129" s="579">
        <v>0</v>
      </c>
      <c r="AP129" s="579">
        <v>0</v>
      </c>
      <c r="AQ129" s="579">
        <v>0</v>
      </c>
      <c r="AR129" s="579">
        <v>0</v>
      </c>
      <c r="AS129" s="579">
        <v>0</v>
      </c>
      <c r="AT129" s="579">
        <v>0</v>
      </c>
      <c r="AU129" s="579">
        <v>0</v>
      </c>
      <c r="AV129" s="579">
        <v>0</v>
      </c>
      <c r="AW129" s="598">
        <v>0</v>
      </c>
      <c r="AX129" s="598">
        <v>0</v>
      </c>
      <c r="AY129" s="581">
        <v>0</v>
      </c>
      <c r="AZ129" s="581">
        <v>0</v>
      </c>
      <c r="BA129" s="579"/>
      <c r="BB129" s="581"/>
      <c r="BC129" s="581"/>
      <c r="BD129" s="581"/>
      <c r="BE129" s="598"/>
      <c r="BF129" s="581"/>
      <c r="BG129" s="581"/>
      <c r="BH129" s="581"/>
      <c r="BI129" s="579"/>
      <c r="BJ129" s="651">
        <f t="shared" si="12"/>
        <v>564</v>
      </c>
      <c r="BK129" s="651">
        <f t="shared" si="13"/>
        <v>1955309</v>
      </c>
      <c r="BL129" s="541"/>
      <c r="BM129" s="624"/>
      <c r="BN129" s="624"/>
      <c r="BO129" s="624"/>
      <c r="BP129" s="624"/>
      <c r="BQ129" s="541"/>
      <c r="BR129" s="541"/>
      <c r="BS129" s="541"/>
      <c r="BT129" s="541"/>
      <c r="BU129" s="541"/>
      <c r="BV129" s="541"/>
      <c r="BW129" s="541"/>
      <c r="BX129" s="541"/>
      <c r="BY129" s="541"/>
      <c r="BZ129" s="541"/>
      <c r="CA129" s="541"/>
      <c r="CB129" s="541"/>
      <c r="CC129" s="541"/>
      <c r="CD129" s="541"/>
      <c r="CE129" s="541"/>
      <c r="CF129" s="541"/>
      <c r="CG129" s="541"/>
      <c r="CH129" s="541"/>
      <c r="CI129" s="541"/>
      <c r="CJ129" s="541"/>
      <c r="CK129" s="541"/>
      <c r="CL129" s="541"/>
      <c r="CM129" s="541"/>
      <c r="CN129" s="541"/>
      <c r="CO129" s="541"/>
      <c r="CP129" s="541"/>
      <c r="CQ129" s="541"/>
      <c r="CR129" s="541"/>
      <c r="CS129" s="541"/>
      <c r="CT129" s="541"/>
      <c r="CU129" s="541"/>
      <c r="CV129" s="541"/>
      <c r="CW129" s="541"/>
      <c r="CX129" s="541"/>
      <c r="CY129" s="541"/>
      <c r="CZ129" s="541"/>
      <c r="DA129" s="541"/>
      <c r="DB129" s="541"/>
      <c r="DC129" s="541"/>
      <c r="DD129" s="541"/>
      <c r="DE129" s="541"/>
      <c r="DF129" s="541"/>
      <c r="DG129" s="541"/>
      <c r="DH129" s="541"/>
      <c r="DI129" s="541"/>
      <c r="DJ129" s="541"/>
      <c r="DK129" s="541"/>
      <c r="DL129" s="541"/>
      <c r="DM129" s="541"/>
      <c r="DN129" s="541"/>
      <c r="DO129" s="541"/>
      <c r="DP129" s="541"/>
      <c r="DQ129" s="541"/>
      <c r="DR129" s="541"/>
      <c r="DS129" s="541"/>
      <c r="DT129" s="541"/>
      <c r="DU129" s="541"/>
      <c r="DV129" s="541"/>
      <c r="DW129" s="541"/>
      <c r="DX129" s="541"/>
      <c r="DY129" s="541"/>
      <c r="DZ129" s="541"/>
      <c r="EA129" s="541"/>
      <c r="EB129" s="541"/>
      <c r="EC129" s="541"/>
      <c r="ED129" s="541"/>
      <c r="EE129" s="541"/>
      <c r="EF129" s="541"/>
      <c r="EG129" s="541"/>
      <c r="EH129" s="541"/>
      <c r="EI129" s="541"/>
      <c r="EJ129" s="541"/>
      <c r="EK129" s="541"/>
      <c r="EL129" s="541"/>
      <c r="EM129" s="541"/>
      <c r="EN129" s="541"/>
      <c r="EO129" s="541"/>
      <c r="EP129" s="541"/>
      <c r="EQ129" s="541"/>
      <c r="ER129" s="541"/>
      <c r="ES129" s="541"/>
      <c r="ET129" s="541"/>
      <c r="EU129" s="541"/>
      <c r="EV129" s="541"/>
      <c r="EW129" s="541"/>
      <c r="EX129" s="541"/>
      <c r="EY129" s="541"/>
      <c r="EZ129" s="541"/>
      <c r="FA129" s="541"/>
      <c r="FB129" s="541"/>
      <c r="FC129" s="541"/>
      <c r="FD129" s="541"/>
      <c r="FE129" s="541"/>
      <c r="FF129" s="541"/>
      <c r="FG129" s="541"/>
      <c r="FH129" s="541"/>
      <c r="FI129" s="541"/>
      <c r="FJ129" s="541"/>
      <c r="FK129" s="541"/>
      <c r="FL129" s="541"/>
      <c r="FM129" s="541"/>
      <c r="FN129" s="541"/>
      <c r="FO129" s="541"/>
      <c r="FP129" s="541"/>
      <c r="FQ129" s="541"/>
      <c r="FR129" s="541"/>
      <c r="FS129" s="541"/>
      <c r="FT129" s="541"/>
      <c r="FU129" s="541"/>
      <c r="FV129" s="541"/>
      <c r="FW129" s="541"/>
      <c r="FX129" s="541"/>
      <c r="FY129" s="541"/>
      <c r="FZ129" s="541"/>
      <c r="GA129" s="541"/>
      <c r="GB129" s="541"/>
      <c r="GC129" s="541"/>
      <c r="GD129" s="541"/>
      <c r="GE129" s="541"/>
      <c r="GF129" s="541"/>
      <c r="GG129" s="541"/>
      <c r="GH129" s="541"/>
      <c r="GI129" s="541"/>
      <c r="GJ129" s="541"/>
      <c r="GK129" s="541"/>
      <c r="GL129" s="541"/>
      <c r="GM129" s="541"/>
      <c r="GN129" s="541"/>
      <c r="GO129" s="541"/>
      <c r="GP129" s="541"/>
      <c r="GQ129" s="541"/>
      <c r="GR129" s="541"/>
      <c r="GS129" s="541"/>
      <c r="GT129" s="541"/>
      <c r="GU129" s="541"/>
      <c r="GV129" s="541"/>
      <c r="GW129" s="541"/>
      <c r="GX129" s="541"/>
      <c r="GY129" s="541"/>
      <c r="GZ129" s="541"/>
      <c r="HA129" s="541"/>
      <c r="HB129" s="541"/>
      <c r="HC129" s="541"/>
      <c r="HD129" s="541"/>
      <c r="HE129" s="541"/>
      <c r="HF129" s="541"/>
      <c r="HG129" s="541"/>
      <c r="HH129" s="541"/>
      <c r="HI129" s="541"/>
      <c r="HJ129" s="541"/>
      <c r="HK129" s="541"/>
      <c r="HL129" s="541"/>
      <c r="HM129" s="541"/>
      <c r="HN129" s="541"/>
      <c r="HO129" s="541"/>
      <c r="HP129" s="541"/>
      <c r="HQ129" s="541"/>
      <c r="HR129" s="541"/>
      <c r="HS129" s="541"/>
      <c r="HT129" s="541"/>
      <c r="HU129" s="541"/>
      <c r="HV129" s="541"/>
      <c r="HW129" s="541"/>
      <c r="HX129" s="541"/>
      <c r="HY129" s="541"/>
      <c r="HZ129" s="541"/>
      <c r="IA129" s="541"/>
      <c r="IB129" s="541"/>
      <c r="IC129" s="541"/>
      <c r="ID129" s="541"/>
      <c r="IE129" s="541"/>
      <c r="IF129" s="541"/>
      <c r="IG129" s="541"/>
      <c r="IH129" s="541"/>
      <c r="II129" s="541"/>
      <c r="IJ129" s="541"/>
      <c r="IK129" s="541"/>
      <c r="IL129" s="541"/>
      <c r="IM129" s="541"/>
      <c r="IN129" s="541"/>
      <c r="IO129" s="541"/>
      <c r="IP129" s="541"/>
      <c r="IQ129" s="541"/>
      <c r="IR129" s="541"/>
      <c r="IS129" s="541"/>
      <c r="IT129" s="541"/>
      <c r="IU129" s="541"/>
      <c r="IV129" s="541"/>
      <c r="IW129" s="541"/>
      <c r="IX129" s="541"/>
      <c r="IY129" s="541"/>
      <c r="IZ129" s="541"/>
      <c r="JA129" s="541"/>
      <c r="JB129" s="541"/>
      <c r="JC129" s="541"/>
      <c r="JD129" s="541"/>
      <c r="JE129" s="541"/>
      <c r="JF129" s="541"/>
      <c r="JG129" s="541"/>
      <c r="JH129" s="541"/>
      <c r="JI129" s="541"/>
      <c r="JJ129" s="541"/>
      <c r="JK129" s="541"/>
      <c r="JL129" s="541"/>
      <c r="JM129" s="541"/>
      <c r="JN129" s="541"/>
      <c r="JO129" s="541"/>
      <c r="JP129" s="541"/>
      <c r="JQ129" s="541"/>
      <c r="JR129" s="541"/>
      <c r="JS129" s="541"/>
      <c r="JT129" s="541"/>
      <c r="JU129" s="541"/>
      <c r="JV129" s="541"/>
      <c r="JW129" s="541"/>
      <c r="JX129" s="541"/>
      <c r="JY129" s="541"/>
      <c r="JZ129" s="541"/>
      <c r="KA129" s="541"/>
      <c r="KB129" s="541"/>
      <c r="KC129" s="541"/>
      <c r="KD129" s="541"/>
      <c r="KE129" s="541"/>
      <c r="KF129" s="541"/>
      <c r="KG129" s="541"/>
      <c r="KH129" s="541"/>
      <c r="KI129" s="541"/>
      <c r="KJ129" s="541"/>
      <c r="KK129" s="541"/>
      <c r="KL129" s="541"/>
      <c r="KM129" s="541"/>
      <c r="KN129" s="541"/>
      <c r="KO129" s="541"/>
      <c r="KP129" s="541"/>
      <c r="KQ129" s="541"/>
      <c r="KR129" s="541"/>
      <c r="KS129" s="541"/>
      <c r="KT129" s="541"/>
      <c r="KU129" s="541"/>
      <c r="KV129" s="541"/>
      <c r="KW129" s="541"/>
      <c r="KX129" s="541"/>
      <c r="KY129" s="541"/>
      <c r="KZ129" s="541"/>
      <c r="LA129" s="541"/>
      <c r="LB129" s="541"/>
      <c r="LC129" s="541"/>
      <c r="LD129" s="541"/>
      <c r="LE129" s="541"/>
      <c r="LF129" s="541"/>
      <c r="LG129" s="541"/>
      <c r="LH129" s="541"/>
      <c r="LI129" s="541"/>
      <c r="LJ129" s="541"/>
      <c r="LK129" s="541"/>
      <c r="LL129" s="541"/>
      <c r="LM129" s="541"/>
      <c r="LN129" s="541"/>
      <c r="LO129" s="541"/>
      <c r="LP129" s="541"/>
      <c r="LQ129" s="541"/>
      <c r="LR129" s="541"/>
      <c r="LS129" s="541"/>
      <c r="LT129" s="541"/>
      <c r="LU129" s="541"/>
      <c r="LV129" s="541"/>
      <c r="LW129" s="541"/>
      <c r="LX129" s="541"/>
      <c r="LY129" s="541"/>
      <c r="LZ129" s="541"/>
      <c r="MA129" s="541"/>
      <c r="MB129" s="541"/>
      <c r="MC129" s="541"/>
      <c r="MD129" s="541"/>
      <c r="ME129" s="541"/>
      <c r="MF129" s="541"/>
      <c r="MG129" s="541"/>
      <c r="MH129" s="541"/>
      <c r="MI129" s="541"/>
      <c r="MJ129" s="541"/>
      <c r="MK129" s="541"/>
      <c r="ML129" s="541"/>
      <c r="MM129" s="541"/>
      <c r="MN129" s="541"/>
      <c r="MO129" s="541"/>
      <c r="MP129" s="541"/>
      <c r="MQ129" s="541"/>
      <c r="MR129" s="541"/>
      <c r="MS129" s="541"/>
      <c r="MT129" s="541"/>
      <c r="MU129" s="541"/>
      <c r="MV129" s="541"/>
      <c r="MW129" s="541"/>
      <c r="MX129" s="541"/>
      <c r="MY129" s="541"/>
      <c r="MZ129" s="541"/>
      <c r="NA129" s="541"/>
      <c r="NB129" s="541"/>
      <c r="NC129" s="541"/>
      <c r="ND129" s="541"/>
      <c r="NE129" s="541"/>
      <c r="NF129" s="541"/>
      <c r="NG129" s="541"/>
      <c r="NH129" s="541"/>
      <c r="NI129" s="541"/>
      <c r="NJ129" s="541"/>
      <c r="NK129" s="541"/>
      <c r="NL129" s="541"/>
      <c r="NM129" s="541"/>
      <c r="NN129" s="541"/>
      <c r="NO129" s="541"/>
      <c r="NP129" s="541"/>
      <c r="NQ129" s="541"/>
      <c r="NR129" s="541"/>
      <c r="NS129" s="541"/>
      <c r="NT129" s="541"/>
      <c r="NU129" s="541"/>
      <c r="NV129" s="541"/>
      <c r="NW129" s="541"/>
      <c r="NX129" s="541"/>
      <c r="NY129" s="541"/>
      <c r="NZ129" s="541"/>
      <c r="OA129" s="541"/>
      <c r="OB129" s="541"/>
      <c r="OC129" s="541"/>
      <c r="OD129" s="541"/>
      <c r="OE129" s="541"/>
      <c r="OF129" s="541"/>
      <c r="OG129" s="541"/>
      <c r="OH129" s="541"/>
      <c r="OI129" s="541"/>
      <c r="OJ129" s="541"/>
      <c r="OK129" s="541"/>
      <c r="OL129" s="541"/>
      <c r="OM129" s="541"/>
      <c r="ON129" s="541"/>
      <c r="OO129" s="541"/>
      <c r="OP129" s="541"/>
      <c r="OQ129" s="541"/>
      <c r="OR129" s="541"/>
      <c r="OS129" s="541"/>
      <c r="OT129" s="541"/>
      <c r="OU129" s="541"/>
      <c r="OV129" s="541"/>
      <c r="OW129" s="541"/>
      <c r="OX129" s="541"/>
      <c r="OY129" s="541"/>
      <c r="OZ129" s="541"/>
      <c r="PA129" s="541"/>
      <c r="PB129" s="541"/>
      <c r="PC129" s="541"/>
      <c r="PD129" s="541"/>
      <c r="PE129" s="541"/>
      <c r="PF129" s="541"/>
      <c r="PG129" s="541"/>
      <c r="PH129" s="541"/>
      <c r="PI129" s="541"/>
      <c r="PJ129" s="541"/>
      <c r="PK129" s="541"/>
      <c r="PL129" s="541"/>
      <c r="PM129" s="541"/>
      <c r="PN129" s="541"/>
      <c r="PO129" s="541"/>
      <c r="PP129" s="541"/>
      <c r="PQ129" s="541"/>
      <c r="PR129" s="541"/>
      <c r="PS129" s="541"/>
      <c r="PT129" s="541"/>
      <c r="PU129" s="541"/>
      <c r="PV129" s="541"/>
      <c r="PW129" s="541"/>
      <c r="PX129" s="541"/>
      <c r="PY129" s="541"/>
      <c r="PZ129" s="541"/>
      <c r="QA129" s="541"/>
      <c r="QB129" s="541"/>
      <c r="QC129" s="541"/>
      <c r="QD129" s="541"/>
      <c r="QE129" s="541"/>
      <c r="QF129" s="541"/>
      <c r="QG129" s="541"/>
      <c r="QH129" s="541"/>
      <c r="QI129" s="541"/>
      <c r="QJ129" s="541"/>
      <c r="QK129" s="541"/>
      <c r="QL129" s="541"/>
      <c r="QM129" s="541"/>
      <c r="QN129" s="541"/>
      <c r="QO129" s="541"/>
      <c r="QP129" s="541"/>
      <c r="QQ129" s="541"/>
      <c r="QR129" s="541"/>
      <c r="QS129" s="541"/>
      <c r="QT129" s="541"/>
      <c r="QU129" s="541"/>
      <c r="QV129" s="541"/>
      <c r="QW129" s="541"/>
      <c r="QX129" s="541"/>
      <c r="QY129" s="541"/>
      <c r="QZ129" s="541"/>
      <c r="RA129" s="541"/>
      <c r="RB129" s="541"/>
      <c r="RC129" s="541"/>
      <c r="RD129" s="541"/>
      <c r="RE129" s="541"/>
      <c r="RF129" s="541"/>
      <c r="RG129" s="541"/>
      <c r="RH129" s="541"/>
      <c r="RI129" s="541"/>
      <c r="RJ129" s="541"/>
      <c r="RK129" s="541"/>
      <c r="RL129" s="541"/>
      <c r="RM129" s="541"/>
      <c r="RN129" s="541"/>
      <c r="RO129" s="541"/>
      <c r="RP129" s="541"/>
      <c r="RQ129" s="541"/>
      <c r="RR129" s="541"/>
      <c r="RS129" s="541"/>
      <c r="RT129" s="541"/>
      <c r="RU129" s="541"/>
      <c r="RV129" s="541"/>
      <c r="RW129" s="541"/>
      <c r="RX129" s="541"/>
      <c r="RY129" s="541"/>
      <c r="RZ129" s="541"/>
      <c r="SA129" s="541"/>
      <c r="SB129" s="541"/>
      <c r="SC129" s="541"/>
      <c r="SD129" s="541"/>
      <c r="SE129" s="541"/>
      <c r="SF129" s="541"/>
      <c r="SG129" s="541"/>
      <c r="SH129" s="541"/>
      <c r="SI129" s="541"/>
      <c r="SJ129" s="541"/>
      <c r="SK129" s="541"/>
      <c r="SL129" s="541"/>
      <c r="SM129" s="541"/>
      <c r="SN129" s="541"/>
      <c r="SO129" s="541"/>
      <c r="SP129" s="541"/>
      <c r="SQ129" s="541"/>
      <c r="SR129" s="541"/>
      <c r="SS129" s="541"/>
      <c r="ST129" s="541"/>
      <c r="SU129" s="541"/>
      <c r="SV129" s="541"/>
      <c r="SW129" s="541"/>
      <c r="SX129" s="541"/>
      <c r="SY129" s="541"/>
      <c r="SZ129" s="541"/>
      <c r="TA129" s="541"/>
      <c r="TB129" s="541"/>
      <c r="TC129" s="541"/>
      <c r="TD129" s="541"/>
      <c r="TE129" s="541"/>
      <c r="TF129" s="541"/>
      <c r="TG129" s="541"/>
      <c r="TH129" s="541"/>
      <c r="TI129" s="541"/>
      <c r="TJ129" s="541"/>
      <c r="TK129" s="541"/>
      <c r="TL129" s="541"/>
      <c r="TM129" s="541"/>
      <c r="TN129" s="541"/>
      <c r="TO129" s="541"/>
      <c r="TP129" s="541"/>
      <c r="TQ129" s="541"/>
      <c r="TR129" s="541"/>
      <c r="TS129" s="541"/>
      <c r="TT129" s="541"/>
      <c r="TU129" s="541"/>
      <c r="TV129" s="541"/>
      <c r="TW129" s="541"/>
      <c r="TX129" s="541"/>
      <c r="TY129" s="541"/>
      <c r="TZ129" s="541"/>
      <c r="UA129" s="541"/>
      <c r="UB129" s="541"/>
      <c r="UC129" s="541"/>
      <c r="UD129" s="541"/>
      <c r="UE129" s="541"/>
      <c r="UF129" s="541"/>
      <c r="UG129" s="541"/>
      <c r="UH129" s="541"/>
      <c r="UI129" s="541"/>
      <c r="UJ129" s="541"/>
      <c r="UK129" s="541"/>
      <c r="UL129" s="541"/>
      <c r="UM129" s="541"/>
      <c r="UN129" s="541"/>
      <c r="UO129" s="541"/>
      <c r="UP129" s="541"/>
      <c r="UQ129" s="541"/>
      <c r="UR129" s="541"/>
      <c r="US129" s="541"/>
      <c r="UT129" s="541"/>
      <c r="UU129" s="541"/>
      <c r="UV129" s="541"/>
      <c r="UW129" s="541"/>
      <c r="UX129" s="541"/>
      <c r="UY129" s="541"/>
      <c r="UZ129" s="541"/>
      <c r="VA129" s="541"/>
      <c r="VB129" s="541"/>
      <c r="VC129" s="541"/>
      <c r="VD129" s="541"/>
      <c r="VE129" s="541"/>
      <c r="VF129" s="541"/>
      <c r="VG129" s="541"/>
      <c r="VH129" s="541"/>
      <c r="VI129" s="541"/>
      <c r="VJ129" s="541"/>
      <c r="VK129" s="541"/>
      <c r="VL129" s="541"/>
      <c r="VM129" s="541"/>
      <c r="VN129" s="541"/>
      <c r="VO129" s="541"/>
      <c r="VP129" s="541"/>
      <c r="VQ129" s="541"/>
      <c r="VR129" s="541"/>
      <c r="VS129" s="541"/>
      <c r="VT129" s="541"/>
      <c r="VU129" s="541"/>
      <c r="VV129" s="541"/>
      <c r="VW129" s="541"/>
      <c r="VX129" s="541"/>
      <c r="VY129" s="541"/>
      <c r="VZ129" s="541"/>
      <c r="WA129" s="541"/>
      <c r="WB129" s="541"/>
      <c r="WC129" s="541"/>
      <c r="WD129" s="541"/>
      <c r="WE129" s="541"/>
      <c r="WF129" s="541"/>
      <c r="WG129" s="541"/>
      <c r="WH129" s="541"/>
      <c r="WI129" s="541"/>
      <c r="WJ129" s="541"/>
      <c r="WK129" s="541"/>
      <c r="WL129" s="541"/>
      <c r="WM129" s="541"/>
      <c r="WN129" s="541"/>
      <c r="WO129" s="541"/>
      <c r="WP129" s="541"/>
      <c r="WQ129" s="541"/>
      <c r="WR129" s="541"/>
      <c r="WS129" s="541"/>
      <c r="WT129" s="541"/>
      <c r="WU129" s="541"/>
      <c r="WV129" s="541"/>
      <c r="WW129" s="541"/>
      <c r="WX129" s="541"/>
      <c r="WY129" s="541"/>
      <c r="WZ129" s="541"/>
      <c r="XA129" s="541"/>
      <c r="XB129" s="541"/>
      <c r="XC129" s="541"/>
      <c r="XD129" s="541"/>
      <c r="XE129" s="541"/>
      <c r="XF129" s="541"/>
      <c r="XG129" s="541"/>
      <c r="XH129" s="541"/>
      <c r="XI129" s="541"/>
      <c r="XJ129" s="541"/>
      <c r="XK129" s="541"/>
      <c r="XL129" s="541"/>
      <c r="XM129" s="541"/>
      <c r="XN129" s="541"/>
      <c r="XO129" s="541"/>
      <c r="XP129" s="541"/>
      <c r="XQ129" s="541"/>
      <c r="XR129" s="541"/>
      <c r="XS129" s="541"/>
      <c r="XT129" s="541"/>
      <c r="XU129" s="541"/>
      <c r="XV129" s="541"/>
      <c r="XW129" s="541"/>
      <c r="XX129" s="541"/>
      <c r="XY129" s="541"/>
      <c r="XZ129" s="541"/>
      <c r="YA129" s="541"/>
      <c r="YB129" s="541"/>
      <c r="YC129" s="541"/>
      <c r="YD129" s="541"/>
      <c r="YE129" s="541"/>
      <c r="YF129" s="541"/>
      <c r="YG129" s="541"/>
      <c r="YH129" s="541"/>
      <c r="YI129" s="541"/>
      <c r="YJ129" s="541"/>
      <c r="YK129" s="541"/>
      <c r="YL129" s="541"/>
      <c r="YM129" s="541"/>
      <c r="YN129" s="541"/>
      <c r="YO129" s="541"/>
      <c r="YP129" s="541"/>
      <c r="YQ129" s="541"/>
      <c r="YR129" s="541"/>
      <c r="YS129" s="541"/>
      <c r="YT129" s="541"/>
      <c r="YU129" s="541"/>
      <c r="YV129" s="541"/>
      <c r="YW129" s="541"/>
      <c r="YX129" s="541"/>
      <c r="YY129" s="541"/>
      <c r="YZ129" s="541"/>
      <c r="ZA129" s="541"/>
      <c r="ZB129" s="541"/>
      <c r="ZC129" s="541"/>
      <c r="ZD129" s="541"/>
      <c r="ZE129" s="541"/>
      <c r="ZF129" s="541"/>
      <c r="ZG129" s="541"/>
      <c r="ZH129" s="541"/>
      <c r="ZI129" s="541"/>
      <c r="ZJ129" s="541"/>
      <c r="ZK129" s="541"/>
      <c r="ZL129" s="541"/>
      <c r="ZM129" s="541"/>
      <c r="ZN129" s="541"/>
      <c r="ZO129" s="541"/>
      <c r="ZP129" s="541"/>
      <c r="ZQ129" s="541"/>
      <c r="ZR129" s="541"/>
      <c r="ZS129" s="541"/>
      <c r="ZT129" s="541"/>
      <c r="ZU129" s="541"/>
      <c r="ZV129" s="541"/>
      <c r="ZW129" s="541"/>
      <c r="ZX129" s="541"/>
      <c r="ZY129" s="541"/>
      <c r="ZZ129" s="541"/>
      <c r="AAA129" s="541"/>
      <c r="AAB129" s="541"/>
      <c r="AAC129" s="541"/>
      <c r="AAD129" s="541"/>
      <c r="AAE129" s="541"/>
      <c r="AAF129" s="541"/>
      <c r="AAG129" s="541"/>
      <c r="AAH129" s="541"/>
      <c r="AAI129" s="541"/>
      <c r="AAJ129" s="541"/>
      <c r="AAK129" s="541"/>
      <c r="AAL129" s="541"/>
      <c r="AAM129" s="541"/>
      <c r="AAN129" s="541"/>
      <c r="AAO129" s="541"/>
      <c r="AAP129" s="541"/>
      <c r="AAQ129" s="541"/>
      <c r="AAR129" s="541"/>
      <c r="AAS129" s="541"/>
      <c r="AAT129" s="541"/>
      <c r="AAU129" s="541"/>
      <c r="AAV129" s="541"/>
      <c r="AAW129" s="541"/>
      <c r="AAX129" s="541"/>
      <c r="AAY129" s="541"/>
      <c r="AAZ129" s="541"/>
      <c r="ABA129" s="541"/>
      <c r="ABB129" s="541"/>
      <c r="ABC129" s="541"/>
      <c r="ABD129" s="541"/>
      <c r="ABE129" s="541"/>
      <c r="ABF129" s="541"/>
      <c r="ABG129" s="541"/>
      <c r="ABH129" s="541"/>
      <c r="ABI129" s="541"/>
      <c r="ABJ129" s="541"/>
      <c r="ABK129" s="541"/>
      <c r="ABL129" s="541"/>
      <c r="ABM129" s="541"/>
      <c r="ABN129" s="541"/>
      <c r="ABO129" s="541"/>
      <c r="ABP129" s="541"/>
      <c r="ABQ129" s="541"/>
      <c r="ABR129" s="541"/>
      <c r="ABS129" s="541"/>
      <c r="ABT129" s="541"/>
      <c r="ABU129" s="541"/>
      <c r="ABV129" s="541"/>
      <c r="ABW129" s="541"/>
      <c r="ABX129" s="541"/>
      <c r="ABY129" s="541"/>
      <c r="ABZ129" s="541"/>
      <c r="ACA129" s="541"/>
      <c r="ACB129" s="541"/>
      <c r="ACC129" s="541"/>
      <c r="ACD129" s="541"/>
      <c r="ACE129" s="541"/>
      <c r="ACF129" s="541"/>
      <c r="ACG129" s="541"/>
      <c r="ACH129" s="541"/>
      <c r="ACI129" s="541"/>
      <c r="ACJ129" s="541"/>
      <c r="ACK129" s="541"/>
      <c r="ACL129" s="541"/>
      <c r="ACM129" s="541"/>
      <c r="ACN129" s="541"/>
      <c r="ACO129" s="541"/>
      <c r="ACP129" s="541"/>
      <c r="ACQ129" s="541"/>
      <c r="ACR129" s="541"/>
      <c r="ACS129" s="541"/>
      <c r="ACT129" s="541"/>
      <c r="ACU129" s="541"/>
      <c r="ACV129" s="541"/>
      <c r="ACW129" s="541"/>
      <c r="ACX129" s="541"/>
      <c r="ACY129" s="541"/>
      <c r="ACZ129" s="541"/>
      <c r="ADA129" s="541"/>
      <c r="ADB129" s="541"/>
      <c r="ADC129" s="541"/>
      <c r="ADD129" s="541"/>
      <c r="ADE129" s="541"/>
      <c r="ADF129" s="541"/>
      <c r="ADG129" s="541"/>
      <c r="ADH129" s="541"/>
      <c r="ADI129" s="541"/>
      <c r="ADJ129" s="541"/>
      <c r="ADK129" s="541"/>
      <c r="ADL129" s="541"/>
      <c r="ADM129" s="541"/>
      <c r="ADN129" s="541"/>
      <c r="ADO129" s="541"/>
      <c r="ADP129" s="541"/>
      <c r="ADQ129" s="541"/>
      <c r="ADR129" s="541"/>
      <c r="ADS129" s="541"/>
      <c r="ADT129" s="541"/>
      <c r="ADU129" s="541"/>
      <c r="ADV129" s="541"/>
      <c r="ADW129" s="541"/>
      <c r="ADX129" s="541"/>
      <c r="ADY129" s="541"/>
      <c r="ADZ129" s="541"/>
      <c r="AEA129" s="541"/>
      <c r="AEB129" s="541"/>
      <c r="AEC129" s="541"/>
      <c r="AED129" s="541"/>
      <c r="AEE129" s="541"/>
      <c r="AEF129" s="541"/>
      <c r="AEG129" s="541"/>
      <c r="AEH129" s="541"/>
      <c r="AEI129" s="541"/>
      <c r="AEJ129" s="541"/>
      <c r="AEK129" s="541"/>
      <c r="AEL129" s="541"/>
      <c r="AEM129" s="541"/>
      <c r="AEN129" s="541"/>
      <c r="AEO129" s="541"/>
      <c r="AEP129" s="541"/>
      <c r="AEQ129" s="541"/>
      <c r="AER129" s="541"/>
      <c r="AES129" s="541"/>
      <c r="AET129" s="541"/>
      <c r="AEU129" s="541"/>
      <c r="AEV129" s="541"/>
      <c r="AEW129" s="541"/>
      <c r="AEX129" s="541"/>
      <c r="AEY129" s="541"/>
      <c r="AEZ129" s="541"/>
      <c r="AFA129" s="541"/>
      <c r="AFB129" s="541"/>
      <c r="AFC129" s="541"/>
      <c r="AFD129" s="541"/>
      <c r="AFE129" s="541"/>
      <c r="AFF129" s="541"/>
      <c r="AFG129" s="541"/>
      <c r="AFH129" s="541"/>
      <c r="AFI129" s="541"/>
      <c r="AFJ129" s="541"/>
      <c r="AFK129" s="541"/>
      <c r="AFL129" s="541"/>
      <c r="AFM129" s="541"/>
      <c r="AFN129" s="541"/>
      <c r="AFO129" s="541"/>
      <c r="AFP129" s="541"/>
      <c r="AFQ129" s="541"/>
      <c r="AFR129" s="541"/>
      <c r="AFS129" s="541"/>
      <c r="AFT129" s="541"/>
      <c r="AFU129" s="541"/>
      <c r="AFV129" s="541"/>
      <c r="AFW129" s="541"/>
      <c r="AFX129" s="541"/>
      <c r="AFY129" s="541"/>
      <c r="AFZ129" s="541"/>
      <c r="AGA129" s="541"/>
      <c r="AGB129" s="541"/>
      <c r="AGC129" s="541"/>
      <c r="AGD129" s="541"/>
      <c r="AGE129" s="541"/>
      <c r="AGF129" s="541"/>
      <c r="AGG129" s="541"/>
      <c r="AGH129" s="541"/>
      <c r="AGI129" s="541"/>
      <c r="AGJ129" s="541"/>
      <c r="AGK129" s="541"/>
      <c r="AGL129" s="541"/>
      <c r="AGM129" s="541"/>
      <c r="AGN129" s="541"/>
      <c r="AGO129" s="541"/>
      <c r="AGP129" s="541"/>
      <c r="AGQ129" s="541"/>
      <c r="AGR129" s="541"/>
      <c r="AGS129" s="541"/>
      <c r="AGT129" s="541"/>
      <c r="AGU129" s="541"/>
      <c r="AGV129" s="541"/>
      <c r="AGW129" s="541"/>
      <c r="AGX129" s="541"/>
      <c r="AGY129" s="541"/>
      <c r="AGZ129" s="541"/>
      <c r="AHA129" s="541"/>
      <c r="AHB129" s="541"/>
      <c r="AHC129" s="541"/>
      <c r="AHD129" s="541"/>
      <c r="AHE129" s="541"/>
      <c r="AHF129" s="541"/>
      <c r="AHG129" s="541"/>
      <c r="AHH129" s="541"/>
      <c r="AHI129" s="541"/>
      <c r="AHJ129" s="541"/>
      <c r="AHK129" s="541"/>
      <c r="AHL129" s="541"/>
      <c r="AHM129" s="541"/>
      <c r="AHN129" s="541"/>
      <c r="AHO129" s="541"/>
      <c r="AHP129" s="541"/>
      <c r="AHQ129" s="541"/>
      <c r="AHR129" s="541"/>
      <c r="AHS129" s="541"/>
      <c r="AHT129" s="541"/>
      <c r="AHU129" s="541"/>
      <c r="AHV129" s="541"/>
      <c r="AHW129" s="541"/>
      <c r="AHX129" s="541"/>
      <c r="AHY129" s="541"/>
      <c r="AHZ129" s="541"/>
      <c r="AIA129" s="541"/>
      <c r="AIB129" s="541"/>
      <c r="AIC129" s="541"/>
      <c r="AID129" s="541"/>
      <c r="AIE129" s="541"/>
      <c r="AIF129" s="541"/>
      <c r="AIG129" s="541"/>
      <c r="AIH129" s="541"/>
      <c r="AII129" s="541"/>
      <c r="AIJ129" s="541"/>
      <c r="AIK129" s="541"/>
      <c r="AIL129" s="541"/>
      <c r="AIM129" s="541"/>
      <c r="AIN129" s="541"/>
      <c r="AIO129" s="541"/>
      <c r="AIP129" s="541"/>
      <c r="AIQ129" s="541"/>
      <c r="AIR129" s="541"/>
      <c r="AIS129" s="541"/>
      <c r="AIT129" s="541"/>
      <c r="AIU129" s="541"/>
      <c r="AIV129" s="541"/>
      <c r="AIW129" s="541"/>
      <c r="AIX129" s="541"/>
      <c r="AIY129" s="541"/>
      <c r="AIZ129" s="541"/>
      <c r="AJA129" s="541"/>
      <c r="AJB129" s="541"/>
      <c r="AJC129" s="541"/>
      <c r="AJD129" s="541"/>
      <c r="AJE129" s="541"/>
      <c r="AJF129" s="541"/>
      <c r="AJG129" s="541"/>
      <c r="AJH129" s="541"/>
      <c r="AJI129" s="541"/>
      <c r="AJJ129" s="541"/>
      <c r="AJK129" s="541"/>
      <c r="AJL129" s="541"/>
      <c r="AJM129" s="541"/>
      <c r="AJN129" s="541"/>
      <c r="AJO129" s="541"/>
      <c r="AJP129" s="541"/>
      <c r="AJQ129" s="541"/>
      <c r="AJR129" s="541"/>
      <c r="AJS129" s="541"/>
      <c r="AJT129" s="541"/>
      <c r="AJU129" s="541"/>
      <c r="AJV129" s="541"/>
      <c r="AJW129" s="541"/>
      <c r="AJX129" s="541"/>
      <c r="AJY129" s="541"/>
      <c r="AJZ129" s="541"/>
      <c r="AKA129" s="541"/>
      <c r="AKB129" s="541"/>
      <c r="AKC129" s="541"/>
      <c r="AKD129" s="541"/>
      <c r="AKE129" s="541"/>
      <c r="AKF129" s="541"/>
      <c r="AKG129" s="541"/>
      <c r="AKH129" s="541"/>
      <c r="AKI129" s="541"/>
      <c r="AKJ129" s="541"/>
      <c r="AKK129" s="541"/>
      <c r="AKL129" s="541"/>
      <c r="AKM129" s="541"/>
      <c r="AKN129" s="541"/>
      <c r="AKO129" s="541"/>
      <c r="AKP129" s="541"/>
      <c r="AKQ129" s="541"/>
      <c r="AKR129" s="541"/>
      <c r="AKS129" s="541"/>
      <c r="AKT129" s="541"/>
      <c r="AKU129" s="541"/>
      <c r="AKV129" s="541"/>
      <c r="AKW129" s="541"/>
      <c r="AKX129" s="541"/>
      <c r="AKY129" s="541"/>
      <c r="AKZ129" s="541"/>
      <c r="ALA129" s="541"/>
      <c r="ALB129" s="541"/>
      <c r="ALC129" s="541"/>
      <c r="ALD129" s="541"/>
      <c r="ALE129" s="541"/>
      <c r="ALF129" s="541"/>
      <c r="ALG129" s="541"/>
      <c r="ALH129" s="541"/>
      <c r="ALI129" s="541"/>
      <c r="ALJ129" s="541"/>
      <c r="ALK129" s="541"/>
      <c r="ALL129" s="541"/>
      <c r="ALM129" s="541"/>
      <c r="ALN129" s="541"/>
      <c r="ALO129" s="541"/>
      <c r="ALP129" s="541"/>
      <c r="ALQ129" s="541"/>
      <c r="ALR129" s="541"/>
      <c r="ALS129" s="541"/>
      <c r="ALT129" s="541"/>
      <c r="ALU129" s="541"/>
      <c r="ALV129" s="541"/>
      <c r="ALW129" s="541"/>
      <c r="ALX129" s="541"/>
      <c r="ALY129" s="541"/>
      <c r="ALZ129" s="541"/>
      <c r="AMA129" s="541"/>
      <c r="AMB129" s="541"/>
      <c r="AMC129" s="541"/>
      <c r="AMD129" s="541"/>
      <c r="AME129" s="541"/>
      <c r="AMF129" s="541"/>
      <c r="AMG129" s="541"/>
      <c r="AMH129" s="541"/>
      <c r="AMI129" s="541"/>
      <c r="AMJ129" s="541"/>
      <c r="AMK129" s="541"/>
      <c r="AML129" s="541"/>
      <c r="AMM129" s="541"/>
      <c r="AMN129" s="541"/>
      <c r="AMO129" s="541"/>
      <c r="AMP129" s="541"/>
      <c r="AMQ129" s="541"/>
      <c r="AMR129" s="541"/>
      <c r="AMS129" s="541"/>
      <c r="AMT129" s="541"/>
      <c r="AMU129" s="541"/>
      <c r="AMV129" s="541"/>
      <c r="AMW129" s="541"/>
      <c r="AMX129" s="541"/>
      <c r="AMY129" s="541"/>
      <c r="AMZ129" s="541"/>
      <c r="ANA129" s="541"/>
      <c r="ANB129" s="541"/>
      <c r="ANC129" s="541"/>
      <c r="AND129" s="541"/>
      <c r="ANE129" s="541"/>
      <c r="ANF129" s="541"/>
      <c r="ANG129" s="541"/>
      <c r="ANH129" s="541"/>
      <c r="ANI129" s="541"/>
      <c r="ANJ129" s="541"/>
      <c r="ANK129" s="541"/>
      <c r="ANL129" s="541"/>
      <c r="ANM129" s="541"/>
      <c r="ANN129" s="541"/>
      <c r="ANO129" s="541"/>
      <c r="ANP129" s="541"/>
      <c r="ANQ129" s="541"/>
      <c r="ANR129" s="541"/>
      <c r="ANS129" s="541"/>
      <c r="ANT129" s="541"/>
      <c r="ANU129" s="541"/>
      <c r="ANV129" s="541"/>
      <c r="ANW129" s="541"/>
      <c r="ANX129" s="541"/>
      <c r="ANY129" s="541"/>
      <c r="ANZ129" s="541"/>
      <c r="AOA129" s="541"/>
      <c r="AOB129" s="541"/>
      <c r="AOC129" s="541"/>
      <c r="AOD129" s="541"/>
      <c r="AOE129" s="541"/>
      <c r="AOF129" s="541"/>
      <c r="AOG129" s="541"/>
      <c r="AOH129" s="541"/>
      <c r="AOI129" s="541"/>
      <c r="AOJ129" s="541"/>
      <c r="AOK129" s="541"/>
      <c r="AOL129" s="541"/>
      <c r="AOM129" s="541"/>
      <c r="AON129" s="541"/>
      <c r="AOO129" s="541"/>
      <c r="AOP129" s="541"/>
      <c r="AOQ129" s="541"/>
      <c r="AOR129" s="541"/>
      <c r="AOS129" s="541"/>
      <c r="AOT129" s="541"/>
      <c r="AOU129" s="541"/>
      <c r="AOV129" s="541"/>
      <c r="AOW129" s="541"/>
      <c r="AOX129" s="541"/>
      <c r="AOY129" s="541"/>
      <c r="AOZ129" s="541"/>
      <c r="APA129" s="541"/>
      <c r="APB129" s="541"/>
      <c r="APC129" s="541"/>
      <c r="APD129" s="541"/>
      <c r="APE129" s="541"/>
      <c r="APF129" s="541"/>
      <c r="APG129" s="541"/>
      <c r="APH129" s="541"/>
      <c r="API129" s="541"/>
      <c r="APJ129" s="541"/>
      <c r="APK129" s="541"/>
      <c r="APL129" s="541"/>
      <c r="APM129" s="541"/>
      <c r="APN129" s="541"/>
      <c r="APO129" s="541"/>
      <c r="APP129" s="541"/>
      <c r="APQ129" s="541"/>
      <c r="APR129" s="541"/>
      <c r="APS129" s="541"/>
      <c r="APT129" s="541"/>
      <c r="APU129" s="541"/>
      <c r="APV129" s="541"/>
      <c r="APW129" s="541"/>
      <c r="APX129" s="541"/>
      <c r="APY129" s="541"/>
      <c r="APZ129" s="541"/>
      <c r="AQA129" s="541"/>
      <c r="AQB129" s="541"/>
      <c r="AQC129" s="541"/>
      <c r="AQD129" s="541"/>
      <c r="AQE129" s="541"/>
      <c r="AQF129" s="541"/>
      <c r="AQG129" s="541"/>
      <c r="AQH129" s="541"/>
      <c r="AQI129" s="541"/>
      <c r="AQJ129" s="541"/>
      <c r="AQK129" s="541"/>
      <c r="AQL129" s="541"/>
      <c r="AQM129" s="541"/>
      <c r="AQN129" s="541"/>
      <c r="AQO129" s="541"/>
      <c r="AQP129" s="541"/>
      <c r="AQQ129" s="541"/>
      <c r="AQR129" s="541"/>
      <c r="AQS129" s="541"/>
      <c r="AQT129" s="541"/>
      <c r="AQU129" s="541"/>
      <c r="AQV129" s="541"/>
      <c r="AQW129" s="541"/>
      <c r="AQX129" s="541"/>
      <c r="AQY129" s="541"/>
      <c r="AQZ129" s="541"/>
      <c r="ARA129" s="541"/>
      <c r="ARB129" s="541"/>
      <c r="ARC129" s="541"/>
      <c r="ARD129" s="541"/>
      <c r="ARE129" s="541"/>
      <c r="ARF129" s="541"/>
      <c r="ARG129" s="541"/>
      <c r="ARH129" s="541"/>
      <c r="ARI129" s="541"/>
      <c r="ARJ129" s="541"/>
      <c r="ARK129" s="541"/>
      <c r="ARL129" s="541"/>
      <c r="ARM129" s="541"/>
      <c r="ARN129" s="541"/>
      <c r="ARO129" s="541"/>
      <c r="ARP129" s="541"/>
      <c r="ARQ129" s="541"/>
      <c r="ARR129" s="541"/>
      <c r="ARS129" s="541"/>
      <c r="ART129" s="541"/>
      <c r="ARU129" s="541"/>
    </row>
    <row r="130" spans="1:1165" s="658" customFormat="1">
      <c r="A130" s="613" t="s">
        <v>342</v>
      </c>
      <c r="B130" s="578" t="s">
        <v>110</v>
      </c>
      <c r="C130" s="659">
        <v>1704177</v>
      </c>
      <c r="D130" s="659">
        <v>99272004</v>
      </c>
      <c r="E130" s="581">
        <v>327692</v>
      </c>
      <c r="F130" s="581">
        <v>20142466</v>
      </c>
      <c r="G130" s="581">
        <v>226463</v>
      </c>
      <c r="H130" s="581">
        <v>16974854</v>
      </c>
      <c r="I130" s="581">
        <v>397105</v>
      </c>
      <c r="J130" s="581">
        <v>29324196</v>
      </c>
      <c r="K130" s="581">
        <v>272391</v>
      </c>
      <c r="L130" s="581">
        <v>29964159</v>
      </c>
      <c r="M130" s="581">
        <v>336950</v>
      </c>
      <c r="N130" s="581">
        <v>37675931</v>
      </c>
      <c r="O130" s="581">
        <v>371754</v>
      </c>
      <c r="P130" s="581">
        <v>45096049</v>
      </c>
      <c r="Q130" s="581">
        <v>319192</v>
      </c>
      <c r="R130" s="581">
        <v>51163829</v>
      </c>
      <c r="S130" s="581">
        <v>320163</v>
      </c>
      <c r="T130" s="581">
        <v>69347543</v>
      </c>
      <c r="U130" s="598">
        <v>368164</v>
      </c>
      <c r="V130" s="598">
        <v>123873011</v>
      </c>
      <c r="W130" s="598">
        <v>343821</v>
      </c>
      <c r="X130" s="598">
        <v>187953682</v>
      </c>
      <c r="Y130" s="598">
        <v>224461</v>
      </c>
      <c r="Z130" s="598">
        <v>126677148</v>
      </c>
      <c r="AA130" s="619">
        <v>204332</v>
      </c>
      <c r="AB130" s="619">
        <v>79156923</v>
      </c>
      <c r="AC130" s="581">
        <v>265166</v>
      </c>
      <c r="AD130" s="581">
        <v>51456028</v>
      </c>
      <c r="AE130" s="579">
        <v>299761</v>
      </c>
      <c r="AF130" s="579">
        <v>46256774</v>
      </c>
      <c r="AG130" s="579">
        <v>444264</v>
      </c>
      <c r="AH130" s="579">
        <v>99000474</v>
      </c>
      <c r="AI130" s="579">
        <v>458444</v>
      </c>
      <c r="AJ130" s="579">
        <v>152536417</v>
      </c>
      <c r="AK130" s="661">
        <v>372704</v>
      </c>
      <c r="AL130" s="661">
        <v>197540254</v>
      </c>
      <c r="AM130" s="662">
        <v>292791</v>
      </c>
      <c r="AN130" s="662">
        <v>160337523</v>
      </c>
      <c r="AO130" s="579">
        <v>300467</v>
      </c>
      <c r="AP130" s="579">
        <v>154374737</v>
      </c>
      <c r="AQ130" s="579">
        <v>322939.83</v>
      </c>
      <c r="AR130" s="579">
        <v>139138916.06999999</v>
      </c>
      <c r="AS130" s="579">
        <v>347933</v>
      </c>
      <c r="AT130" s="579">
        <v>172107391</v>
      </c>
      <c r="AU130" s="619">
        <v>353169</v>
      </c>
      <c r="AV130" s="619">
        <v>229999326</v>
      </c>
      <c r="AW130" s="598">
        <v>369920</v>
      </c>
      <c r="AX130" s="598">
        <v>246741492</v>
      </c>
      <c r="AY130" s="581">
        <v>420545</v>
      </c>
      <c r="AZ130" s="581">
        <v>242096974</v>
      </c>
      <c r="BA130" s="664"/>
      <c r="BB130" s="581"/>
      <c r="BC130" s="664"/>
      <c r="BD130" s="581"/>
      <c r="BE130" s="664"/>
      <c r="BF130" s="581"/>
      <c r="BG130" s="664"/>
      <c r="BH130" s="581"/>
      <c r="BI130" s="664"/>
      <c r="BJ130" s="651">
        <f t="shared" si="12"/>
        <v>9337076.8300000001</v>
      </c>
      <c r="BK130" s="651">
        <f t="shared" si="13"/>
        <v>2788065635.0699997</v>
      </c>
      <c r="BL130" s="541"/>
      <c r="BM130" s="624"/>
      <c r="BN130" s="624"/>
      <c r="BO130" s="624"/>
      <c r="BP130" s="624"/>
      <c r="BQ130" s="541"/>
      <c r="BR130" s="541"/>
      <c r="BS130" s="541"/>
      <c r="BT130" s="541"/>
      <c r="BU130" s="541"/>
      <c r="BV130" s="541"/>
      <c r="BW130" s="541"/>
      <c r="BX130" s="541"/>
      <c r="BY130" s="541"/>
      <c r="BZ130" s="541"/>
      <c r="CA130" s="541"/>
      <c r="CB130" s="541"/>
      <c r="CC130" s="541"/>
      <c r="CD130" s="541"/>
      <c r="CE130" s="541"/>
      <c r="CF130" s="541"/>
      <c r="CG130" s="541"/>
      <c r="CH130" s="541"/>
      <c r="CI130" s="541"/>
      <c r="CJ130" s="541"/>
      <c r="CK130" s="541"/>
      <c r="CL130" s="541"/>
      <c r="CM130" s="541"/>
      <c r="CN130" s="541"/>
      <c r="CO130" s="541"/>
      <c r="CP130" s="541"/>
      <c r="CQ130" s="541"/>
      <c r="CR130" s="541"/>
      <c r="CS130" s="541"/>
      <c r="CT130" s="541"/>
      <c r="CU130" s="541"/>
      <c r="CV130" s="541"/>
      <c r="CW130" s="541"/>
      <c r="CX130" s="541"/>
      <c r="CY130" s="541"/>
      <c r="CZ130" s="541"/>
      <c r="DA130" s="541"/>
      <c r="DB130" s="541"/>
      <c r="DC130" s="541"/>
      <c r="DD130" s="541"/>
      <c r="DE130" s="541"/>
      <c r="DF130" s="541"/>
      <c r="DG130" s="541"/>
      <c r="DH130" s="541"/>
      <c r="DI130" s="541"/>
      <c r="DJ130" s="541"/>
      <c r="DK130" s="541"/>
      <c r="DL130" s="541"/>
      <c r="DM130" s="541"/>
      <c r="DN130" s="541"/>
      <c r="DO130" s="541"/>
      <c r="DP130" s="541"/>
      <c r="DQ130" s="541"/>
      <c r="DR130" s="541"/>
      <c r="DS130" s="541"/>
      <c r="DT130" s="541"/>
      <c r="DU130" s="541"/>
      <c r="DV130" s="541"/>
      <c r="DW130" s="541"/>
      <c r="DX130" s="541"/>
      <c r="DY130" s="541"/>
      <c r="DZ130" s="541"/>
      <c r="EA130" s="541"/>
      <c r="EB130" s="541"/>
      <c r="EC130" s="541"/>
      <c r="ED130" s="541"/>
      <c r="EE130" s="541"/>
      <c r="EF130" s="541"/>
      <c r="EG130" s="541"/>
      <c r="EH130" s="541"/>
      <c r="EI130" s="541"/>
      <c r="EJ130" s="541"/>
      <c r="EK130" s="541"/>
      <c r="EL130" s="541"/>
      <c r="EM130" s="541"/>
      <c r="EN130" s="541"/>
      <c r="EO130" s="541"/>
      <c r="EP130" s="541"/>
      <c r="EQ130" s="541"/>
      <c r="ER130" s="541"/>
      <c r="ES130" s="541"/>
      <c r="ET130" s="541"/>
      <c r="EU130" s="541"/>
      <c r="EV130" s="541"/>
      <c r="EW130" s="541"/>
      <c r="EX130" s="541"/>
      <c r="EY130" s="541"/>
      <c r="EZ130" s="541"/>
      <c r="FA130" s="541"/>
      <c r="FB130" s="541"/>
      <c r="FC130" s="541"/>
      <c r="FD130" s="541"/>
      <c r="FE130" s="541"/>
      <c r="FF130" s="541"/>
      <c r="FG130" s="541"/>
      <c r="FH130" s="541"/>
      <c r="FI130" s="541"/>
      <c r="FJ130" s="541"/>
      <c r="FK130" s="541"/>
      <c r="FL130" s="541"/>
      <c r="FM130" s="541"/>
      <c r="FN130" s="541"/>
      <c r="FO130" s="541"/>
      <c r="FP130" s="541"/>
      <c r="FQ130" s="541"/>
      <c r="FR130" s="541"/>
      <c r="FS130" s="541"/>
      <c r="FT130" s="541"/>
      <c r="FU130" s="541"/>
      <c r="FV130" s="541"/>
      <c r="FW130" s="541"/>
      <c r="FX130" s="541"/>
      <c r="FY130" s="541"/>
      <c r="FZ130" s="541"/>
      <c r="GA130" s="541"/>
      <c r="GB130" s="541"/>
      <c r="GC130" s="541"/>
      <c r="GD130" s="541"/>
      <c r="GE130" s="541"/>
      <c r="GF130" s="541"/>
      <c r="GG130" s="541"/>
      <c r="GH130" s="541"/>
      <c r="GI130" s="541"/>
      <c r="GJ130" s="541"/>
      <c r="GK130" s="541"/>
      <c r="GL130" s="541"/>
      <c r="GM130" s="541"/>
      <c r="GN130" s="541"/>
      <c r="GO130" s="541"/>
      <c r="GP130" s="541"/>
      <c r="GQ130" s="541"/>
      <c r="GR130" s="541"/>
      <c r="GS130" s="541"/>
      <c r="GT130" s="541"/>
      <c r="GU130" s="541"/>
      <c r="GV130" s="541"/>
      <c r="GW130" s="541"/>
      <c r="GX130" s="541"/>
      <c r="GY130" s="541"/>
      <c r="GZ130" s="541"/>
      <c r="HA130" s="541"/>
      <c r="HB130" s="541"/>
      <c r="HC130" s="541"/>
      <c r="HD130" s="541"/>
      <c r="HE130" s="541"/>
      <c r="HF130" s="541"/>
      <c r="HG130" s="541"/>
      <c r="HH130" s="541"/>
      <c r="HI130" s="541"/>
      <c r="HJ130" s="541"/>
      <c r="HK130" s="541"/>
      <c r="HL130" s="541"/>
      <c r="HM130" s="541"/>
      <c r="HN130" s="541"/>
      <c r="HO130" s="541"/>
      <c r="HP130" s="541"/>
      <c r="HQ130" s="541"/>
      <c r="HR130" s="541"/>
      <c r="HS130" s="541"/>
      <c r="HT130" s="541"/>
      <c r="HU130" s="541"/>
      <c r="HV130" s="541"/>
      <c r="HW130" s="541"/>
      <c r="HX130" s="541"/>
      <c r="HY130" s="541"/>
      <c r="HZ130" s="541"/>
      <c r="IA130" s="541"/>
      <c r="IB130" s="541"/>
      <c r="IC130" s="541"/>
      <c r="ID130" s="541"/>
      <c r="IE130" s="541"/>
      <c r="IF130" s="541"/>
      <c r="IG130" s="541"/>
      <c r="IH130" s="541"/>
      <c r="II130" s="541"/>
      <c r="IJ130" s="541"/>
      <c r="IK130" s="541"/>
      <c r="IL130" s="541"/>
      <c r="IM130" s="541"/>
      <c r="IN130" s="541"/>
      <c r="IO130" s="541"/>
      <c r="IP130" s="541"/>
      <c r="IQ130" s="541"/>
      <c r="IR130" s="541"/>
      <c r="IS130" s="541"/>
      <c r="IT130" s="541"/>
      <c r="IU130" s="541"/>
      <c r="IV130" s="541"/>
      <c r="IW130" s="541"/>
      <c r="IX130" s="541"/>
      <c r="IY130" s="541"/>
      <c r="IZ130" s="541"/>
      <c r="JA130" s="541"/>
      <c r="JB130" s="541"/>
      <c r="JC130" s="541"/>
      <c r="JD130" s="541"/>
      <c r="JE130" s="541"/>
      <c r="JF130" s="541"/>
      <c r="JG130" s="541"/>
      <c r="JH130" s="541"/>
      <c r="JI130" s="541"/>
      <c r="JJ130" s="541"/>
      <c r="JK130" s="541"/>
      <c r="JL130" s="541"/>
      <c r="JM130" s="541"/>
      <c r="JN130" s="541"/>
      <c r="JO130" s="541"/>
      <c r="JP130" s="541"/>
      <c r="JQ130" s="541"/>
      <c r="JR130" s="541"/>
      <c r="JS130" s="541"/>
      <c r="JT130" s="541"/>
      <c r="JU130" s="541"/>
      <c r="JV130" s="541"/>
      <c r="JW130" s="541"/>
      <c r="JX130" s="541"/>
      <c r="JY130" s="541"/>
      <c r="JZ130" s="541"/>
      <c r="KA130" s="541"/>
      <c r="KB130" s="541"/>
      <c r="KC130" s="541"/>
      <c r="KD130" s="541"/>
      <c r="KE130" s="541"/>
      <c r="KF130" s="541"/>
      <c r="KG130" s="541"/>
      <c r="KH130" s="541"/>
      <c r="KI130" s="541"/>
      <c r="KJ130" s="541"/>
      <c r="KK130" s="541"/>
      <c r="KL130" s="541"/>
      <c r="KM130" s="541"/>
      <c r="KN130" s="541"/>
      <c r="KO130" s="541"/>
      <c r="KP130" s="541"/>
      <c r="KQ130" s="541"/>
      <c r="KR130" s="541"/>
      <c r="KS130" s="541"/>
      <c r="KT130" s="541"/>
      <c r="KU130" s="541"/>
      <c r="KV130" s="541"/>
      <c r="KW130" s="541"/>
      <c r="KX130" s="541"/>
      <c r="KY130" s="541"/>
      <c r="KZ130" s="541"/>
      <c r="LA130" s="541"/>
      <c r="LB130" s="541"/>
      <c r="LC130" s="541"/>
      <c r="LD130" s="541"/>
      <c r="LE130" s="541"/>
      <c r="LF130" s="541"/>
      <c r="LG130" s="541"/>
      <c r="LH130" s="541"/>
      <c r="LI130" s="541"/>
      <c r="LJ130" s="541"/>
      <c r="LK130" s="541"/>
      <c r="LL130" s="541"/>
      <c r="LM130" s="541"/>
      <c r="LN130" s="541"/>
      <c r="LO130" s="541"/>
      <c r="LP130" s="541"/>
      <c r="LQ130" s="541"/>
      <c r="LR130" s="541"/>
      <c r="LS130" s="541"/>
      <c r="LT130" s="541"/>
      <c r="LU130" s="541"/>
      <c r="LV130" s="541"/>
      <c r="LW130" s="541"/>
      <c r="LX130" s="541"/>
      <c r="LY130" s="541"/>
      <c r="LZ130" s="541"/>
      <c r="MA130" s="541"/>
      <c r="MB130" s="541"/>
      <c r="MC130" s="541"/>
      <c r="MD130" s="541"/>
      <c r="ME130" s="541"/>
      <c r="MF130" s="541"/>
      <c r="MG130" s="541"/>
      <c r="MH130" s="541"/>
      <c r="MI130" s="541"/>
      <c r="MJ130" s="541"/>
      <c r="MK130" s="541"/>
      <c r="ML130" s="541"/>
      <c r="MM130" s="541"/>
      <c r="MN130" s="541"/>
      <c r="MO130" s="541"/>
      <c r="MP130" s="541"/>
      <c r="MQ130" s="541"/>
      <c r="MR130" s="541"/>
      <c r="MS130" s="541"/>
      <c r="MT130" s="541"/>
      <c r="MU130" s="541"/>
      <c r="MV130" s="541"/>
      <c r="MW130" s="541"/>
      <c r="MX130" s="541"/>
      <c r="MY130" s="541"/>
      <c r="MZ130" s="541"/>
      <c r="NA130" s="541"/>
      <c r="NB130" s="541"/>
      <c r="NC130" s="541"/>
      <c r="ND130" s="541"/>
      <c r="NE130" s="541"/>
      <c r="NF130" s="541"/>
      <c r="NG130" s="541"/>
      <c r="NH130" s="541"/>
      <c r="NI130" s="541"/>
      <c r="NJ130" s="541"/>
      <c r="NK130" s="541"/>
      <c r="NL130" s="541"/>
      <c r="NM130" s="541"/>
      <c r="NN130" s="541"/>
      <c r="NO130" s="541"/>
      <c r="NP130" s="541"/>
      <c r="NQ130" s="541"/>
      <c r="NR130" s="541"/>
      <c r="NS130" s="541"/>
      <c r="NT130" s="541"/>
      <c r="NU130" s="541"/>
      <c r="NV130" s="541"/>
      <c r="NW130" s="541"/>
      <c r="NX130" s="541"/>
      <c r="NY130" s="541"/>
      <c r="NZ130" s="541"/>
      <c r="OA130" s="541"/>
      <c r="OB130" s="541"/>
      <c r="OC130" s="541"/>
      <c r="OD130" s="541"/>
      <c r="OE130" s="541"/>
      <c r="OF130" s="541"/>
      <c r="OG130" s="541"/>
      <c r="OH130" s="541"/>
      <c r="OI130" s="541"/>
      <c r="OJ130" s="541"/>
      <c r="OK130" s="541"/>
      <c r="OL130" s="541"/>
      <c r="OM130" s="541"/>
      <c r="ON130" s="541"/>
      <c r="OO130" s="541"/>
      <c r="OP130" s="541"/>
      <c r="OQ130" s="541"/>
      <c r="OR130" s="541"/>
      <c r="OS130" s="541"/>
      <c r="OT130" s="541"/>
      <c r="OU130" s="541"/>
      <c r="OV130" s="541"/>
      <c r="OW130" s="541"/>
      <c r="OX130" s="541"/>
      <c r="OY130" s="541"/>
      <c r="OZ130" s="541"/>
      <c r="PA130" s="541"/>
      <c r="PB130" s="541"/>
      <c r="PC130" s="541"/>
      <c r="PD130" s="541"/>
      <c r="PE130" s="541"/>
      <c r="PF130" s="541"/>
      <c r="PG130" s="541"/>
      <c r="PH130" s="541"/>
      <c r="PI130" s="541"/>
      <c r="PJ130" s="541"/>
      <c r="PK130" s="541"/>
      <c r="PL130" s="541"/>
      <c r="PM130" s="541"/>
      <c r="PN130" s="541"/>
      <c r="PO130" s="541"/>
      <c r="PP130" s="541"/>
      <c r="PQ130" s="541"/>
      <c r="PR130" s="541"/>
      <c r="PS130" s="541"/>
      <c r="PT130" s="541"/>
      <c r="PU130" s="541"/>
      <c r="PV130" s="541"/>
      <c r="PW130" s="541"/>
      <c r="PX130" s="541"/>
      <c r="PY130" s="541"/>
      <c r="PZ130" s="541"/>
      <c r="QA130" s="541"/>
      <c r="QB130" s="541"/>
      <c r="QC130" s="541"/>
      <c r="QD130" s="541"/>
      <c r="QE130" s="541"/>
      <c r="QF130" s="541"/>
      <c r="QG130" s="541"/>
      <c r="QH130" s="541"/>
      <c r="QI130" s="541"/>
      <c r="QJ130" s="541"/>
      <c r="QK130" s="541"/>
      <c r="QL130" s="541"/>
      <c r="QM130" s="541"/>
      <c r="QN130" s="541"/>
      <c r="QO130" s="541"/>
      <c r="QP130" s="541"/>
      <c r="QQ130" s="541"/>
      <c r="QR130" s="541"/>
      <c r="QS130" s="541"/>
      <c r="QT130" s="541"/>
      <c r="QU130" s="541"/>
      <c r="QV130" s="541"/>
      <c r="QW130" s="541"/>
      <c r="QX130" s="541"/>
      <c r="QY130" s="541"/>
      <c r="QZ130" s="541"/>
      <c r="RA130" s="541"/>
      <c r="RB130" s="541"/>
      <c r="RC130" s="541"/>
      <c r="RD130" s="541"/>
      <c r="RE130" s="541"/>
      <c r="RF130" s="541"/>
      <c r="RG130" s="541"/>
      <c r="RH130" s="541"/>
      <c r="RI130" s="541"/>
      <c r="RJ130" s="541"/>
      <c r="RK130" s="541"/>
      <c r="RL130" s="541"/>
      <c r="RM130" s="541"/>
      <c r="RN130" s="541"/>
      <c r="RO130" s="541"/>
      <c r="RP130" s="541"/>
      <c r="RQ130" s="541"/>
      <c r="RR130" s="541"/>
      <c r="RS130" s="541"/>
      <c r="RT130" s="541"/>
      <c r="RU130" s="541"/>
      <c r="RV130" s="541"/>
      <c r="RW130" s="541"/>
      <c r="RX130" s="541"/>
      <c r="RY130" s="541"/>
      <c r="RZ130" s="541"/>
      <c r="SA130" s="541"/>
      <c r="SB130" s="541"/>
      <c r="SC130" s="541"/>
      <c r="SD130" s="541"/>
      <c r="SE130" s="541"/>
      <c r="SF130" s="541"/>
      <c r="SG130" s="541"/>
      <c r="SH130" s="541"/>
      <c r="SI130" s="541"/>
      <c r="SJ130" s="541"/>
      <c r="SK130" s="541"/>
      <c r="SL130" s="541"/>
      <c r="SM130" s="541"/>
      <c r="SN130" s="541"/>
      <c r="SO130" s="541"/>
      <c r="SP130" s="541"/>
      <c r="SQ130" s="541"/>
      <c r="SR130" s="541"/>
      <c r="SS130" s="541"/>
      <c r="ST130" s="541"/>
      <c r="SU130" s="541"/>
      <c r="SV130" s="541"/>
      <c r="SW130" s="541"/>
      <c r="SX130" s="541"/>
      <c r="SY130" s="541"/>
      <c r="SZ130" s="541"/>
      <c r="TA130" s="541"/>
      <c r="TB130" s="541"/>
      <c r="TC130" s="541"/>
      <c r="TD130" s="541"/>
      <c r="TE130" s="541"/>
      <c r="TF130" s="541"/>
      <c r="TG130" s="541"/>
      <c r="TH130" s="541"/>
      <c r="TI130" s="541"/>
      <c r="TJ130" s="541"/>
      <c r="TK130" s="541"/>
      <c r="TL130" s="541"/>
      <c r="TM130" s="541"/>
      <c r="TN130" s="541"/>
      <c r="TO130" s="541"/>
      <c r="TP130" s="541"/>
      <c r="TQ130" s="541"/>
      <c r="TR130" s="541"/>
      <c r="TS130" s="541"/>
      <c r="TT130" s="541"/>
      <c r="TU130" s="541"/>
      <c r="TV130" s="541"/>
      <c r="TW130" s="541"/>
      <c r="TX130" s="541"/>
      <c r="TY130" s="541"/>
      <c r="TZ130" s="541"/>
      <c r="UA130" s="541"/>
      <c r="UB130" s="541"/>
      <c r="UC130" s="541"/>
      <c r="UD130" s="541"/>
      <c r="UE130" s="541"/>
      <c r="UF130" s="541"/>
      <c r="UG130" s="541"/>
      <c r="UH130" s="541"/>
      <c r="UI130" s="541"/>
      <c r="UJ130" s="541"/>
      <c r="UK130" s="541"/>
      <c r="UL130" s="541"/>
      <c r="UM130" s="541"/>
      <c r="UN130" s="541"/>
      <c r="UO130" s="541"/>
      <c r="UP130" s="541"/>
      <c r="UQ130" s="541"/>
      <c r="UR130" s="541"/>
      <c r="US130" s="541"/>
      <c r="UT130" s="541"/>
      <c r="UU130" s="541"/>
      <c r="UV130" s="541"/>
      <c r="UW130" s="541"/>
      <c r="UX130" s="541"/>
      <c r="UY130" s="541"/>
      <c r="UZ130" s="541"/>
      <c r="VA130" s="541"/>
      <c r="VB130" s="541"/>
      <c r="VC130" s="541"/>
      <c r="VD130" s="541"/>
      <c r="VE130" s="541"/>
      <c r="VF130" s="541"/>
      <c r="VG130" s="541"/>
      <c r="VH130" s="541"/>
      <c r="VI130" s="541"/>
      <c r="VJ130" s="541"/>
      <c r="VK130" s="541"/>
      <c r="VL130" s="541"/>
      <c r="VM130" s="541"/>
      <c r="VN130" s="541"/>
      <c r="VO130" s="541"/>
      <c r="VP130" s="541"/>
      <c r="VQ130" s="541"/>
      <c r="VR130" s="541"/>
      <c r="VS130" s="541"/>
      <c r="VT130" s="541"/>
      <c r="VU130" s="541"/>
      <c r="VV130" s="541"/>
      <c r="VW130" s="541"/>
      <c r="VX130" s="541"/>
      <c r="VY130" s="541"/>
      <c r="VZ130" s="541"/>
      <c r="WA130" s="541"/>
      <c r="WB130" s="541"/>
      <c r="WC130" s="541"/>
      <c r="WD130" s="541"/>
      <c r="WE130" s="541"/>
      <c r="WF130" s="541"/>
      <c r="WG130" s="541"/>
      <c r="WH130" s="541"/>
      <c r="WI130" s="541"/>
      <c r="WJ130" s="541"/>
      <c r="WK130" s="541"/>
      <c r="WL130" s="541"/>
      <c r="WM130" s="541"/>
      <c r="WN130" s="541"/>
      <c r="WO130" s="541"/>
      <c r="WP130" s="541"/>
      <c r="WQ130" s="541"/>
      <c r="WR130" s="541"/>
      <c r="WS130" s="541"/>
      <c r="WT130" s="541"/>
      <c r="WU130" s="541"/>
      <c r="WV130" s="541"/>
      <c r="WW130" s="541"/>
      <c r="WX130" s="541"/>
      <c r="WY130" s="541"/>
      <c r="WZ130" s="541"/>
      <c r="XA130" s="541"/>
      <c r="XB130" s="541"/>
      <c r="XC130" s="541"/>
      <c r="XD130" s="541"/>
      <c r="XE130" s="541"/>
      <c r="XF130" s="541"/>
      <c r="XG130" s="541"/>
      <c r="XH130" s="541"/>
      <c r="XI130" s="541"/>
      <c r="XJ130" s="541"/>
      <c r="XK130" s="541"/>
      <c r="XL130" s="541"/>
      <c r="XM130" s="541"/>
      <c r="XN130" s="541"/>
      <c r="XO130" s="541"/>
      <c r="XP130" s="541"/>
      <c r="XQ130" s="541"/>
      <c r="XR130" s="541"/>
      <c r="XS130" s="541"/>
      <c r="XT130" s="541"/>
      <c r="XU130" s="541"/>
      <c r="XV130" s="541"/>
      <c r="XW130" s="541"/>
      <c r="XX130" s="541"/>
      <c r="XY130" s="541"/>
      <c r="XZ130" s="541"/>
      <c r="YA130" s="541"/>
      <c r="YB130" s="541"/>
      <c r="YC130" s="541"/>
      <c r="YD130" s="541"/>
      <c r="YE130" s="541"/>
      <c r="YF130" s="541"/>
      <c r="YG130" s="541"/>
      <c r="YH130" s="541"/>
      <c r="YI130" s="541"/>
      <c r="YJ130" s="541"/>
      <c r="YK130" s="541"/>
      <c r="YL130" s="541"/>
      <c r="YM130" s="541"/>
      <c r="YN130" s="541"/>
      <c r="YO130" s="541"/>
      <c r="YP130" s="541"/>
      <c r="YQ130" s="541"/>
      <c r="YR130" s="541"/>
      <c r="YS130" s="541"/>
      <c r="YT130" s="541"/>
      <c r="YU130" s="541"/>
      <c r="YV130" s="541"/>
      <c r="YW130" s="541"/>
      <c r="YX130" s="541"/>
      <c r="YY130" s="541"/>
      <c r="YZ130" s="541"/>
      <c r="ZA130" s="541"/>
      <c r="ZB130" s="541"/>
      <c r="ZC130" s="541"/>
      <c r="ZD130" s="541"/>
      <c r="ZE130" s="541"/>
      <c r="ZF130" s="541"/>
      <c r="ZG130" s="541"/>
      <c r="ZH130" s="541"/>
      <c r="ZI130" s="541"/>
      <c r="ZJ130" s="541"/>
      <c r="ZK130" s="541"/>
      <c r="ZL130" s="541"/>
      <c r="ZM130" s="541"/>
      <c r="ZN130" s="541"/>
      <c r="ZO130" s="541"/>
      <c r="ZP130" s="541"/>
      <c r="ZQ130" s="541"/>
      <c r="ZR130" s="541"/>
      <c r="ZS130" s="541"/>
      <c r="ZT130" s="541"/>
      <c r="ZU130" s="541"/>
      <c r="ZV130" s="541"/>
      <c r="ZW130" s="541"/>
      <c r="ZX130" s="541"/>
      <c r="ZY130" s="541"/>
      <c r="ZZ130" s="541"/>
      <c r="AAA130" s="541"/>
      <c r="AAB130" s="541"/>
      <c r="AAC130" s="541"/>
      <c r="AAD130" s="541"/>
      <c r="AAE130" s="541"/>
      <c r="AAF130" s="541"/>
      <c r="AAG130" s="541"/>
      <c r="AAH130" s="541"/>
      <c r="AAI130" s="541"/>
      <c r="AAJ130" s="541"/>
      <c r="AAK130" s="541"/>
      <c r="AAL130" s="541"/>
      <c r="AAM130" s="541"/>
      <c r="AAN130" s="541"/>
      <c r="AAO130" s="541"/>
      <c r="AAP130" s="541"/>
      <c r="AAQ130" s="541"/>
      <c r="AAR130" s="541"/>
      <c r="AAS130" s="541"/>
      <c r="AAT130" s="541"/>
      <c r="AAU130" s="541"/>
      <c r="AAV130" s="541"/>
      <c r="AAW130" s="541"/>
      <c r="AAX130" s="541"/>
      <c r="AAY130" s="541"/>
      <c r="AAZ130" s="541"/>
      <c r="ABA130" s="541"/>
      <c r="ABB130" s="541"/>
      <c r="ABC130" s="541"/>
      <c r="ABD130" s="541"/>
      <c r="ABE130" s="541"/>
      <c r="ABF130" s="541"/>
      <c r="ABG130" s="541"/>
      <c r="ABH130" s="541"/>
      <c r="ABI130" s="541"/>
      <c r="ABJ130" s="541"/>
      <c r="ABK130" s="541"/>
      <c r="ABL130" s="541"/>
      <c r="ABM130" s="541"/>
      <c r="ABN130" s="541"/>
      <c r="ABO130" s="541"/>
      <c r="ABP130" s="541"/>
      <c r="ABQ130" s="541"/>
      <c r="ABR130" s="541"/>
      <c r="ABS130" s="541"/>
      <c r="ABT130" s="541"/>
      <c r="ABU130" s="541"/>
      <c r="ABV130" s="541"/>
      <c r="ABW130" s="541"/>
      <c r="ABX130" s="541"/>
      <c r="ABY130" s="541"/>
      <c r="ABZ130" s="541"/>
      <c r="ACA130" s="541"/>
      <c r="ACB130" s="541"/>
      <c r="ACC130" s="541"/>
      <c r="ACD130" s="541"/>
      <c r="ACE130" s="541"/>
      <c r="ACF130" s="541"/>
      <c r="ACG130" s="541"/>
      <c r="ACH130" s="541"/>
      <c r="ACI130" s="541"/>
      <c r="ACJ130" s="541"/>
      <c r="ACK130" s="541"/>
      <c r="ACL130" s="541"/>
      <c r="ACM130" s="541"/>
      <c r="ACN130" s="541"/>
      <c r="ACO130" s="541"/>
      <c r="ACP130" s="541"/>
      <c r="ACQ130" s="541"/>
      <c r="ACR130" s="541"/>
      <c r="ACS130" s="541"/>
      <c r="ACT130" s="541"/>
      <c r="ACU130" s="541"/>
      <c r="ACV130" s="541"/>
      <c r="ACW130" s="541"/>
      <c r="ACX130" s="541"/>
      <c r="ACY130" s="541"/>
      <c r="ACZ130" s="541"/>
      <c r="ADA130" s="541"/>
      <c r="ADB130" s="541"/>
      <c r="ADC130" s="541"/>
      <c r="ADD130" s="541"/>
      <c r="ADE130" s="541"/>
      <c r="ADF130" s="541"/>
      <c r="ADG130" s="541"/>
      <c r="ADH130" s="541"/>
      <c r="ADI130" s="541"/>
      <c r="ADJ130" s="541"/>
      <c r="ADK130" s="541"/>
      <c r="ADL130" s="541"/>
      <c r="ADM130" s="541"/>
      <c r="ADN130" s="541"/>
      <c r="ADO130" s="541"/>
      <c r="ADP130" s="541"/>
      <c r="ADQ130" s="541"/>
      <c r="ADR130" s="541"/>
      <c r="ADS130" s="541"/>
      <c r="ADT130" s="541"/>
      <c r="ADU130" s="541"/>
      <c r="ADV130" s="541"/>
      <c r="ADW130" s="541"/>
      <c r="ADX130" s="541"/>
      <c r="ADY130" s="541"/>
      <c r="ADZ130" s="541"/>
      <c r="AEA130" s="541"/>
      <c r="AEB130" s="541"/>
      <c r="AEC130" s="541"/>
      <c r="AED130" s="541"/>
      <c r="AEE130" s="541"/>
      <c r="AEF130" s="541"/>
      <c r="AEG130" s="541"/>
      <c r="AEH130" s="541"/>
      <c r="AEI130" s="541"/>
      <c r="AEJ130" s="541"/>
      <c r="AEK130" s="541"/>
      <c r="AEL130" s="541"/>
      <c r="AEM130" s="541"/>
      <c r="AEN130" s="541"/>
      <c r="AEO130" s="541"/>
      <c r="AEP130" s="541"/>
      <c r="AEQ130" s="541"/>
      <c r="AER130" s="541"/>
      <c r="AES130" s="541"/>
      <c r="AET130" s="541"/>
      <c r="AEU130" s="541"/>
      <c r="AEV130" s="541"/>
      <c r="AEW130" s="541"/>
      <c r="AEX130" s="541"/>
      <c r="AEY130" s="541"/>
      <c r="AEZ130" s="541"/>
      <c r="AFA130" s="541"/>
      <c r="AFB130" s="541"/>
      <c r="AFC130" s="541"/>
      <c r="AFD130" s="541"/>
      <c r="AFE130" s="541"/>
      <c r="AFF130" s="541"/>
      <c r="AFG130" s="541"/>
      <c r="AFH130" s="541"/>
      <c r="AFI130" s="541"/>
      <c r="AFJ130" s="541"/>
      <c r="AFK130" s="541"/>
      <c r="AFL130" s="541"/>
      <c r="AFM130" s="541"/>
      <c r="AFN130" s="541"/>
      <c r="AFO130" s="541"/>
      <c r="AFP130" s="541"/>
      <c r="AFQ130" s="541"/>
      <c r="AFR130" s="541"/>
      <c r="AFS130" s="541"/>
      <c r="AFT130" s="541"/>
      <c r="AFU130" s="541"/>
      <c r="AFV130" s="541"/>
      <c r="AFW130" s="541"/>
      <c r="AFX130" s="541"/>
      <c r="AFY130" s="541"/>
      <c r="AFZ130" s="541"/>
      <c r="AGA130" s="541"/>
      <c r="AGB130" s="541"/>
      <c r="AGC130" s="541"/>
      <c r="AGD130" s="541"/>
      <c r="AGE130" s="541"/>
      <c r="AGF130" s="541"/>
      <c r="AGG130" s="541"/>
      <c r="AGH130" s="541"/>
      <c r="AGI130" s="541"/>
      <c r="AGJ130" s="541"/>
      <c r="AGK130" s="541"/>
      <c r="AGL130" s="541"/>
      <c r="AGM130" s="541"/>
      <c r="AGN130" s="541"/>
      <c r="AGO130" s="541"/>
      <c r="AGP130" s="541"/>
      <c r="AGQ130" s="541"/>
      <c r="AGR130" s="541"/>
      <c r="AGS130" s="541"/>
      <c r="AGT130" s="541"/>
      <c r="AGU130" s="541"/>
      <c r="AGV130" s="541"/>
      <c r="AGW130" s="541"/>
      <c r="AGX130" s="541"/>
      <c r="AGY130" s="541"/>
      <c r="AGZ130" s="541"/>
      <c r="AHA130" s="541"/>
      <c r="AHB130" s="541"/>
      <c r="AHC130" s="541"/>
      <c r="AHD130" s="541"/>
      <c r="AHE130" s="541"/>
      <c r="AHF130" s="541"/>
      <c r="AHG130" s="541"/>
      <c r="AHH130" s="541"/>
      <c r="AHI130" s="541"/>
      <c r="AHJ130" s="541"/>
      <c r="AHK130" s="541"/>
      <c r="AHL130" s="541"/>
      <c r="AHM130" s="541"/>
      <c r="AHN130" s="541"/>
      <c r="AHO130" s="541"/>
      <c r="AHP130" s="541"/>
      <c r="AHQ130" s="541"/>
      <c r="AHR130" s="541"/>
      <c r="AHS130" s="541"/>
      <c r="AHT130" s="541"/>
      <c r="AHU130" s="541"/>
      <c r="AHV130" s="541"/>
      <c r="AHW130" s="541"/>
      <c r="AHX130" s="541"/>
      <c r="AHY130" s="541"/>
      <c r="AHZ130" s="541"/>
      <c r="AIA130" s="541"/>
      <c r="AIB130" s="541"/>
      <c r="AIC130" s="541"/>
      <c r="AID130" s="541"/>
      <c r="AIE130" s="541"/>
      <c r="AIF130" s="541"/>
      <c r="AIG130" s="541"/>
      <c r="AIH130" s="541"/>
      <c r="AII130" s="541"/>
      <c r="AIJ130" s="541"/>
      <c r="AIK130" s="541"/>
      <c r="AIL130" s="541"/>
      <c r="AIM130" s="541"/>
      <c r="AIN130" s="541"/>
      <c r="AIO130" s="541"/>
      <c r="AIP130" s="541"/>
      <c r="AIQ130" s="541"/>
      <c r="AIR130" s="541"/>
      <c r="AIS130" s="541"/>
      <c r="AIT130" s="541"/>
      <c r="AIU130" s="541"/>
      <c r="AIV130" s="541"/>
      <c r="AIW130" s="541"/>
      <c r="AIX130" s="541"/>
      <c r="AIY130" s="541"/>
      <c r="AIZ130" s="541"/>
      <c r="AJA130" s="541"/>
      <c r="AJB130" s="541"/>
      <c r="AJC130" s="541"/>
      <c r="AJD130" s="541"/>
      <c r="AJE130" s="541"/>
      <c r="AJF130" s="541"/>
      <c r="AJG130" s="541"/>
      <c r="AJH130" s="541"/>
      <c r="AJI130" s="541"/>
      <c r="AJJ130" s="541"/>
      <c r="AJK130" s="541"/>
      <c r="AJL130" s="541"/>
      <c r="AJM130" s="541"/>
      <c r="AJN130" s="541"/>
      <c r="AJO130" s="541"/>
      <c r="AJP130" s="541"/>
      <c r="AJQ130" s="541"/>
      <c r="AJR130" s="541"/>
      <c r="AJS130" s="541"/>
      <c r="AJT130" s="541"/>
      <c r="AJU130" s="541"/>
      <c r="AJV130" s="541"/>
      <c r="AJW130" s="541"/>
      <c r="AJX130" s="541"/>
      <c r="AJY130" s="541"/>
      <c r="AJZ130" s="541"/>
      <c r="AKA130" s="541"/>
      <c r="AKB130" s="541"/>
      <c r="AKC130" s="541"/>
      <c r="AKD130" s="541"/>
      <c r="AKE130" s="541"/>
      <c r="AKF130" s="541"/>
      <c r="AKG130" s="541"/>
      <c r="AKH130" s="541"/>
      <c r="AKI130" s="541"/>
      <c r="AKJ130" s="541"/>
      <c r="AKK130" s="541"/>
      <c r="AKL130" s="541"/>
      <c r="AKM130" s="541"/>
      <c r="AKN130" s="541"/>
      <c r="AKO130" s="541"/>
      <c r="AKP130" s="541"/>
      <c r="AKQ130" s="541"/>
      <c r="AKR130" s="541"/>
      <c r="AKS130" s="541"/>
      <c r="AKT130" s="541"/>
      <c r="AKU130" s="541"/>
      <c r="AKV130" s="541"/>
      <c r="AKW130" s="541"/>
      <c r="AKX130" s="541"/>
      <c r="AKY130" s="541"/>
      <c r="AKZ130" s="541"/>
      <c r="ALA130" s="541"/>
      <c r="ALB130" s="541"/>
      <c r="ALC130" s="541"/>
      <c r="ALD130" s="541"/>
      <c r="ALE130" s="541"/>
      <c r="ALF130" s="541"/>
      <c r="ALG130" s="541"/>
      <c r="ALH130" s="541"/>
      <c r="ALI130" s="541"/>
      <c r="ALJ130" s="541"/>
      <c r="ALK130" s="541"/>
      <c r="ALL130" s="541"/>
      <c r="ALM130" s="541"/>
      <c r="ALN130" s="541"/>
      <c r="ALO130" s="541"/>
      <c r="ALP130" s="541"/>
      <c r="ALQ130" s="541"/>
      <c r="ALR130" s="541"/>
      <c r="ALS130" s="541"/>
      <c r="ALT130" s="541"/>
      <c r="ALU130" s="541"/>
      <c r="ALV130" s="541"/>
      <c r="ALW130" s="541"/>
      <c r="ALX130" s="541"/>
      <c r="ALY130" s="541"/>
      <c r="ALZ130" s="541"/>
      <c r="AMA130" s="541"/>
      <c r="AMB130" s="541"/>
      <c r="AMC130" s="541"/>
      <c r="AMD130" s="541"/>
      <c r="AME130" s="541"/>
      <c r="AMF130" s="541"/>
      <c r="AMG130" s="541"/>
      <c r="AMH130" s="541"/>
      <c r="AMI130" s="541"/>
      <c r="AMJ130" s="541"/>
      <c r="AMK130" s="541"/>
      <c r="AML130" s="541"/>
      <c r="AMM130" s="541"/>
      <c r="AMN130" s="541"/>
      <c r="AMO130" s="541"/>
      <c r="AMP130" s="541"/>
      <c r="AMQ130" s="541"/>
      <c r="AMR130" s="541"/>
      <c r="AMS130" s="541"/>
      <c r="AMT130" s="541"/>
      <c r="AMU130" s="541"/>
      <c r="AMV130" s="541"/>
      <c r="AMW130" s="541"/>
      <c r="AMX130" s="541"/>
      <c r="AMY130" s="541"/>
      <c r="AMZ130" s="541"/>
      <c r="ANA130" s="541"/>
      <c r="ANB130" s="541"/>
      <c r="ANC130" s="541"/>
      <c r="AND130" s="541"/>
      <c r="ANE130" s="541"/>
      <c r="ANF130" s="541"/>
      <c r="ANG130" s="541"/>
      <c r="ANH130" s="541"/>
      <c r="ANI130" s="541"/>
      <c r="ANJ130" s="541"/>
      <c r="ANK130" s="541"/>
      <c r="ANL130" s="541"/>
      <c r="ANM130" s="541"/>
      <c r="ANN130" s="541"/>
      <c r="ANO130" s="541"/>
      <c r="ANP130" s="541"/>
      <c r="ANQ130" s="541"/>
      <c r="ANR130" s="541"/>
      <c r="ANS130" s="541"/>
      <c r="ANT130" s="541"/>
      <c r="ANU130" s="541"/>
      <c r="ANV130" s="541"/>
      <c r="ANW130" s="541"/>
      <c r="ANX130" s="541"/>
      <c r="ANY130" s="541"/>
      <c r="ANZ130" s="541"/>
      <c r="AOA130" s="541"/>
      <c r="AOB130" s="541"/>
      <c r="AOC130" s="541"/>
      <c r="AOD130" s="541"/>
      <c r="AOE130" s="541"/>
      <c r="AOF130" s="541"/>
      <c r="AOG130" s="541"/>
      <c r="AOH130" s="541"/>
      <c r="AOI130" s="541"/>
      <c r="AOJ130" s="541"/>
      <c r="AOK130" s="541"/>
      <c r="AOL130" s="541"/>
      <c r="AOM130" s="541"/>
      <c r="AON130" s="541"/>
      <c r="AOO130" s="541"/>
      <c r="AOP130" s="541"/>
      <c r="AOQ130" s="541"/>
      <c r="AOR130" s="541"/>
      <c r="AOS130" s="541"/>
      <c r="AOT130" s="541"/>
      <c r="AOU130" s="541"/>
      <c r="AOV130" s="541"/>
      <c r="AOW130" s="541"/>
      <c r="AOX130" s="541"/>
      <c r="AOY130" s="541"/>
      <c r="AOZ130" s="541"/>
      <c r="APA130" s="541"/>
      <c r="APB130" s="541"/>
      <c r="APC130" s="541"/>
      <c r="APD130" s="541"/>
      <c r="APE130" s="541"/>
      <c r="APF130" s="541"/>
      <c r="APG130" s="541"/>
      <c r="APH130" s="541"/>
      <c r="API130" s="541"/>
      <c r="APJ130" s="541"/>
      <c r="APK130" s="541"/>
      <c r="APL130" s="541"/>
      <c r="APM130" s="541"/>
      <c r="APN130" s="541"/>
      <c r="APO130" s="541"/>
      <c r="APP130" s="541"/>
      <c r="APQ130" s="541"/>
      <c r="APR130" s="541"/>
      <c r="APS130" s="541"/>
      <c r="APT130" s="541"/>
      <c r="APU130" s="541"/>
      <c r="APV130" s="541"/>
      <c r="APW130" s="541"/>
      <c r="APX130" s="541"/>
      <c r="APY130" s="541"/>
      <c r="APZ130" s="541"/>
      <c r="AQA130" s="541"/>
      <c r="AQB130" s="541"/>
      <c r="AQC130" s="541"/>
      <c r="AQD130" s="541"/>
      <c r="AQE130" s="541"/>
      <c r="AQF130" s="541"/>
      <c r="AQG130" s="541"/>
      <c r="AQH130" s="541"/>
      <c r="AQI130" s="541"/>
      <c r="AQJ130" s="541"/>
      <c r="AQK130" s="541"/>
      <c r="AQL130" s="541"/>
      <c r="AQM130" s="541"/>
      <c r="AQN130" s="541"/>
      <c r="AQO130" s="541"/>
      <c r="AQP130" s="541"/>
      <c r="AQQ130" s="541"/>
      <c r="AQR130" s="541"/>
      <c r="AQS130" s="541"/>
      <c r="AQT130" s="541"/>
      <c r="AQU130" s="541"/>
      <c r="AQV130" s="541"/>
      <c r="AQW130" s="541"/>
      <c r="AQX130" s="541"/>
      <c r="AQY130" s="541"/>
      <c r="AQZ130" s="541"/>
      <c r="ARA130" s="541"/>
      <c r="ARB130" s="541"/>
      <c r="ARC130" s="541"/>
      <c r="ARD130" s="541"/>
      <c r="ARE130" s="541"/>
      <c r="ARF130" s="541"/>
      <c r="ARG130" s="541"/>
      <c r="ARH130" s="541"/>
      <c r="ARI130" s="541"/>
      <c r="ARJ130" s="541"/>
      <c r="ARK130" s="541"/>
      <c r="ARL130" s="541"/>
      <c r="ARM130" s="541"/>
      <c r="ARN130" s="541"/>
      <c r="ARO130" s="541"/>
      <c r="ARP130" s="541"/>
      <c r="ARQ130" s="541"/>
      <c r="ARR130" s="541"/>
      <c r="ARS130" s="541"/>
      <c r="ART130" s="541"/>
      <c r="ARU130" s="541"/>
    </row>
    <row r="131" spans="1:1165" s="658" customFormat="1">
      <c r="A131" s="611" t="s">
        <v>547</v>
      </c>
      <c r="B131" s="603"/>
      <c r="C131" s="687"/>
      <c r="D131" s="598">
        <f>SUM(D119:D130)</f>
        <v>454211784</v>
      </c>
      <c r="E131" s="598"/>
      <c r="F131" s="598">
        <f>SUM(F119:F130)</f>
        <v>82789210</v>
      </c>
      <c r="G131" s="598"/>
      <c r="H131" s="598">
        <f>SUM(H119:H130)</f>
        <v>72443151</v>
      </c>
      <c r="I131" s="598"/>
      <c r="J131" s="598">
        <f>SUM(J119:J130)</f>
        <v>95526935</v>
      </c>
      <c r="K131" s="598"/>
      <c r="L131" s="598">
        <f>SUM(L119:L130)</f>
        <v>83180846</v>
      </c>
      <c r="M131" s="598"/>
      <c r="N131" s="598">
        <f>SUM(N119:N130)</f>
        <v>124691229</v>
      </c>
      <c r="O131" s="598"/>
      <c r="P131" s="598">
        <f>SUM(P119:P130)</f>
        <v>150283108</v>
      </c>
      <c r="Q131" s="598"/>
      <c r="R131" s="598">
        <f>SUM(R119:R130)</f>
        <v>167609539</v>
      </c>
      <c r="S131" s="598"/>
      <c r="T131" s="598">
        <f>SUM(T119:T130)</f>
        <v>246536716</v>
      </c>
      <c r="U131" s="579"/>
      <c r="V131" s="579">
        <f>SUM(V119:V130)</f>
        <v>328540376</v>
      </c>
      <c r="W131" s="579"/>
      <c r="X131" s="598">
        <f>SUM(X119:X130)</f>
        <v>459377353</v>
      </c>
      <c r="Y131" s="579"/>
      <c r="Z131" s="598">
        <f>SUM(Z119:Z130)</f>
        <v>412437377</v>
      </c>
      <c r="AA131" s="579"/>
      <c r="AB131" s="619">
        <f>SUM(AB119:AB130)</f>
        <v>375589208</v>
      </c>
      <c r="AC131" s="581"/>
      <c r="AD131" s="581">
        <f>SUM(AD119:AD130)</f>
        <v>345949181</v>
      </c>
      <c r="AE131" s="579"/>
      <c r="AF131" s="619">
        <f>SUM(AF119:AF130)</f>
        <v>316511611</v>
      </c>
      <c r="AG131" s="579"/>
      <c r="AH131" s="579">
        <f>SUM(AH119:AH130)</f>
        <v>416283236</v>
      </c>
      <c r="AI131" s="579"/>
      <c r="AJ131" s="579">
        <f>SUM(AJ119:AJ130)</f>
        <v>548457010</v>
      </c>
      <c r="AK131" s="661"/>
      <c r="AL131" s="661">
        <v>598071319</v>
      </c>
      <c r="AM131" s="662"/>
      <c r="AN131" s="662">
        <f>SUM(AN119:AN130)</f>
        <v>633168239</v>
      </c>
      <c r="AO131" s="579"/>
      <c r="AP131" s="579">
        <f>SUM(AP119:AP130)</f>
        <v>697587673</v>
      </c>
      <c r="AQ131" s="579"/>
      <c r="AR131" s="579">
        <f>SUM(AR119:AR130)</f>
        <v>688489405.54850316</v>
      </c>
      <c r="AS131" s="579"/>
      <c r="AT131" s="579">
        <f>SUM(AT119:AT130)</f>
        <v>862927100.30203307</v>
      </c>
      <c r="AU131" s="579"/>
      <c r="AV131" s="619">
        <f>SUM(AV119:AV130)</f>
        <v>897379899.64841866</v>
      </c>
      <c r="AW131" s="598"/>
      <c r="AX131" s="598">
        <f>SUM(AX120:AX130)</f>
        <v>855873064</v>
      </c>
      <c r="AY131" s="581"/>
      <c r="AZ131" s="581">
        <f>SUM(AZ120:AZ130)</f>
        <v>760749393</v>
      </c>
      <c r="BA131" s="666"/>
      <c r="BB131" s="598"/>
      <c r="BC131" s="598"/>
      <c r="BD131" s="598"/>
      <c r="BE131" s="664"/>
      <c r="BF131" s="598"/>
      <c r="BG131" s="598"/>
      <c r="BH131" s="598"/>
      <c r="BI131" s="664"/>
      <c r="BJ131" s="616"/>
      <c r="BK131" s="651">
        <f t="shared" si="13"/>
        <v>10591874753.498955</v>
      </c>
      <c r="BL131" s="541"/>
      <c r="BM131" s="624"/>
      <c r="BN131" s="624"/>
      <c r="BO131" s="624"/>
      <c r="BP131" s="624"/>
      <c r="BQ131" s="541"/>
      <c r="BR131" s="541"/>
      <c r="BS131" s="541"/>
      <c r="BT131" s="541"/>
      <c r="BU131" s="541"/>
      <c r="BV131" s="541"/>
      <c r="BW131" s="541"/>
      <c r="BX131" s="541"/>
      <c r="BY131" s="541"/>
      <c r="BZ131" s="541"/>
      <c r="CA131" s="541"/>
      <c r="CB131" s="541"/>
      <c r="CC131" s="541"/>
      <c r="CD131" s="541"/>
      <c r="CE131" s="541"/>
      <c r="CF131" s="541"/>
      <c r="CG131" s="541"/>
      <c r="CH131" s="541"/>
      <c r="CI131" s="541"/>
      <c r="CJ131" s="541"/>
      <c r="CK131" s="541"/>
      <c r="CL131" s="541"/>
      <c r="CM131" s="541"/>
      <c r="CN131" s="541"/>
      <c r="CO131" s="541"/>
      <c r="CP131" s="541"/>
      <c r="CQ131" s="541"/>
      <c r="CR131" s="541"/>
      <c r="CS131" s="541"/>
      <c r="CT131" s="541"/>
      <c r="CU131" s="541"/>
      <c r="CV131" s="541"/>
      <c r="CW131" s="541"/>
      <c r="CX131" s="541"/>
      <c r="CY131" s="541"/>
      <c r="CZ131" s="541"/>
      <c r="DA131" s="541"/>
      <c r="DB131" s="541"/>
      <c r="DC131" s="541"/>
      <c r="DD131" s="541"/>
      <c r="DE131" s="541"/>
      <c r="DF131" s="541"/>
      <c r="DG131" s="541"/>
      <c r="DH131" s="541"/>
      <c r="DI131" s="541"/>
      <c r="DJ131" s="541"/>
      <c r="DK131" s="541"/>
      <c r="DL131" s="541"/>
      <c r="DM131" s="541"/>
      <c r="DN131" s="541"/>
      <c r="DO131" s="541"/>
      <c r="DP131" s="541"/>
      <c r="DQ131" s="541"/>
      <c r="DR131" s="541"/>
      <c r="DS131" s="541"/>
      <c r="DT131" s="541"/>
      <c r="DU131" s="541"/>
      <c r="DV131" s="541"/>
      <c r="DW131" s="541"/>
      <c r="DX131" s="541"/>
      <c r="DY131" s="541"/>
      <c r="DZ131" s="541"/>
      <c r="EA131" s="541"/>
      <c r="EB131" s="541"/>
      <c r="EC131" s="541"/>
      <c r="ED131" s="541"/>
      <c r="EE131" s="541"/>
      <c r="EF131" s="541"/>
      <c r="EG131" s="541"/>
      <c r="EH131" s="541"/>
      <c r="EI131" s="541"/>
      <c r="EJ131" s="541"/>
      <c r="EK131" s="541"/>
      <c r="EL131" s="541"/>
      <c r="EM131" s="541"/>
      <c r="EN131" s="541"/>
      <c r="EO131" s="541"/>
      <c r="EP131" s="541"/>
      <c r="EQ131" s="541"/>
      <c r="ER131" s="541"/>
      <c r="ES131" s="541"/>
      <c r="ET131" s="541"/>
      <c r="EU131" s="541"/>
      <c r="EV131" s="541"/>
      <c r="EW131" s="541"/>
      <c r="EX131" s="541"/>
      <c r="EY131" s="541"/>
      <c r="EZ131" s="541"/>
      <c r="FA131" s="541"/>
      <c r="FB131" s="541"/>
      <c r="FC131" s="541"/>
      <c r="FD131" s="541"/>
      <c r="FE131" s="541"/>
      <c r="FF131" s="541"/>
      <c r="FG131" s="541"/>
      <c r="FH131" s="541"/>
      <c r="FI131" s="541"/>
      <c r="FJ131" s="541"/>
      <c r="FK131" s="541"/>
      <c r="FL131" s="541"/>
      <c r="FM131" s="541"/>
      <c r="FN131" s="541"/>
      <c r="FO131" s="541"/>
      <c r="FP131" s="541"/>
      <c r="FQ131" s="541"/>
      <c r="FR131" s="541"/>
      <c r="FS131" s="541"/>
      <c r="FT131" s="541"/>
      <c r="FU131" s="541"/>
      <c r="FV131" s="541"/>
      <c r="FW131" s="541"/>
      <c r="FX131" s="541"/>
      <c r="FY131" s="541"/>
      <c r="FZ131" s="541"/>
      <c r="GA131" s="541"/>
      <c r="GB131" s="541"/>
      <c r="GC131" s="541"/>
      <c r="GD131" s="541"/>
      <c r="GE131" s="541"/>
      <c r="GF131" s="541"/>
      <c r="GG131" s="541"/>
      <c r="GH131" s="541"/>
      <c r="GI131" s="541"/>
      <c r="GJ131" s="541"/>
      <c r="GK131" s="541"/>
      <c r="GL131" s="541"/>
      <c r="GM131" s="541"/>
      <c r="GN131" s="541"/>
      <c r="GO131" s="541"/>
      <c r="GP131" s="541"/>
      <c r="GQ131" s="541"/>
      <c r="GR131" s="541"/>
      <c r="GS131" s="541"/>
      <c r="GT131" s="541"/>
      <c r="GU131" s="541"/>
      <c r="GV131" s="541"/>
      <c r="GW131" s="541"/>
      <c r="GX131" s="541"/>
      <c r="GY131" s="541"/>
      <c r="GZ131" s="541"/>
      <c r="HA131" s="541"/>
      <c r="HB131" s="541"/>
      <c r="HC131" s="541"/>
      <c r="HD131" s="541"/>
      <c r="HE131" s="541"/>
      <c r="HF131" s="541"/>
      <c r="HG131" s="541"/>
      <c r="HH131" s="541"/>
      <c r="HI131" s="541"/>
      <c r="HJ131" s="541"/>
      <c r="HK131" s="541"/>
      <c r="HL131" s="541"/>
      <c r="HM131" s="541"/>
      <c r="HN131" s="541"/>
      <c r="HO131" s="541"/>
      <c r="HP131" s="541"/>
      <c r="HQ131" s="541"/>
      <c r="HR131" s="541"/>
      <c r="HS131" s="541"/>
      <c r="HT131" s="541"/>
      <c r="HU131" s="541"/>
      <c r="HV131" s="541"/>
      <c r="HW131" s="541"/>
      <c r="HX131" s="541"/>
      <c r="HY131" s="541"/>
      <c r="HZ131" s="541"/>
      <c r="IA131" s="541"/>
      <c r="IB131" s="541"/>
      <c r="IC131" s="541"/>
      <c r="ID131" s="541"/>
      <c r="IE131" s="541"/>
      <c r="IF131" s="541"/>
      <c r="IG131" s="541"/>
      <c r="IH131" s="541"/>
      <c r="II131" s="541"/>
      <c r="IJ131" s="541"/>
      <c r="IK131" s="541"/>
      <c r="IL131" s="541"/>
      <c r="IM131" s="541"/>
      <c r="IN131" s="541"/>
      <c r="IO131" s="541"/>
      <c r="IP131" s="541"/>
      <c r="IQ131" s="541"/>
      <c r="IR131" s="541"/>
      <c r="IS131" s="541"/>
      <c r="IT131" s="541"/>
      <c r="IU131" s="541"/>
      <c r="IV131" s="541"/>
      <c r="IW131" s="541"/>
      <c r="IX131" s="541"/>
      <c r="IY131" s="541"/>
      <c r="IZ131" s="541"/>
      <c r="JA131" s="541"/>
      <c r="JB131" s="541"/>
      <c r="JC131" s="541"/>
      <c r="JD131" s="541"/>
      <c r="JE131" s="541"/>
      <c r="JF131" s="541"/>
      <c r="JG131" s="541"/>
      <c r="JH131" s="541"/>
      <c r="JI131" s="541"/>
      <c r="JJ131" s="541"/>
      <c r="JK131" s="541"/>
      <c r="JL131" s="541"/>
      <c r="JM131" s="541"/>
      <c r="JN131" s="541"/>
      <c r="JO131" s="541"/>
      <c r="JP131" s="541"/>
      <c r="JQ131" s="541"/>
      <c r="JR131" s="541"/>
      <c r="JS131" s="541"/>
      <c r="JT131" s="541"/>
      <c r="JU131" s="541"/>
      <c r="JV131" s="541"/>
      <c r="JW131" s="541"/>
      <c r="JX131" s="541"/>
      <c r="JY131" s="541"/>
      <c r="JZ131" s="541"/>
      <c r="KA131" s="541"/>
      <c r="KB131" s="541"/>
      <c r="KC131" s="541"/>
      <c r="KD131" s="541"/>
      <c r="KE131" s="541"/>
      <c r="KF131" s="541"/>
      <c r="KG131" s="541"/>
      <c r="KH131" s="541"/>
      <c r="KI131" s="541"/>
      <c r="KJ131" s="541"/>
      <c r="KK131" s="541"/>
      <c r="KL131" s="541"/>
      <c r="KM131" s="541"/>
      <c r="KN131" s="541"/>
      <c r="KO131" s="541"/>
      <c r="KP131" s="541"/>
      <c r="KQ131" s="541"/>
      <c r="KR131" s="541"/>
      <c r="KS131" s="541"/>
      <c r="KT131" s="541"/>
      <c r="KU131" s="541"/>
      <c r="KV131" s="541"/>
      <c r="KW131" s="541"/>
      <c r="KX131" s="541"/>
      <c r="KY131" s="541"/>
      <c r="KZ131" s="541"/>
      <c r="LA131" s="541"/>
      <c r="LB131" s="541"/>
      <c r="LC131" s="541"/>
      <c r="LD131" s="541"/>
      <c r="LE131" s="541"/>
      <c r="LF131" s="541"/>
      <c r="LG131" s="541"/>
      <c r="LH131" s="541"/>
      <c r="LI131" s="541"/>
      <c r="LJ131" s="541"/>
      <c r="LK131" s="541"/>
      <c r="LL131" s="541"/>
      <c r="LM131" s="541"/>
      <c r="LN131" s="541"/>
      <c r="LO131" s="541"/>
      <c r="LP131" s="541"/>
      <c r="LQ131" s="541"/>
      <c r="LR131" s="541"/>
      <c r="LS131" s="541"/>
      <c r="LT131" s="541"/>
      <c r="LU131" s="541"/>
      <c r="LV131" s="541"/>
      <c r="LW131" s="541"/>
      <c r="LX131" s="541"/>
      <c r="LY131" s="541"/>
      <c r="LZ131" s="541"/>
      <c r="MA131" s="541"/>
      <c r="MB131" s="541"/>
      <c r="MC131" s="541"/>
      <c r="MD131" s="541"/>
      <c r="ME131" s="541"/>
      <c r="MF131" s="541"/>
      <c r="MG131" s="541"/>
      <c r="MH131" s="541"/>
      <c r="MI131" s="541"/>
      <c r="MJ131" s="541"/>
      <c r="MK131" s="541"/>
      <c r="ML131" s="541"/>
      <c r="MM131" s="541"/>
      <c r="MN131" s="541"/>
      <c r="MO131" s="541"/>
      <c r="MP131" s="541"/>
      <c r="MQ131" s="541"/>
      <c r="MR131" s="541"/>
      <c r="MS131" s="541"/>
      <c r="MT131" s="541"/>
      <c r="MU131" s="541"/>
      <c r="MV131" s="541"/>
      <c r="MW131" s="541"/>
      <c r="MX131" s="541"/>
      <c r="MY131" s="541"/>
      <c r="MZ131" s="541"/>
      <c r="NA131" s="541"/>
      <c r="NB131" s="541"/>
      <c r="NC131" s="541"/>
      <c r="ND131" s="541"/>
      <c r="NE131" s="541"/>
      <c r="NF131" s="541"/>
      <c r="NG131" s="541"/>
      <c r="NH131" s="541"/>
      <c r="NI131" s="541"/>
      <c r="NJ131" s="541"/>
      <c r="NK131" s="541"/>
      <c r="NL131" s="541"/>
      <c r="NM131" s="541"/>
      <c r="NN131" s="541"/>
      <c r="NO131" s="541"/>
      <c r="NP131" s="541"/>
      <c r="NQ131" s="541"/>
      <c r="NR131" s="541"/>
      <c r="NS131" s="541"/>
      <c r="NT131" s="541"/>
      <c r="NU131" s="541"/>
      <c r="NV131" s="541"/>
      <c r="NW131" s="541"/>
      <c r="NX131" s="541"/>
      <c r="NY131" s="541"/>
      <c r="NZ131" s="541"/>
      <c r="OA131" s="541"/>
      <c r="OB131" s="541"/>
      <c r="OC131" s="541"/>
      <c r="OD131" s="541"/>
      <c r="OE131" s="541"/>
      <c r="OF131" s="541"/>
      <c r="OG131" s="541"/>
      <c r="OH131" s="541"/>
      <c r="OI131" s="541"/>
      <c r="OJ131" s="541"/>
      <c r="OK131" s="541"/>
      <c r="OL131" s="541"/>
      <c r="OM131" s="541"/>
      <c r="ON131" s="541"/>
      <c r="OO131" s="541"/>
      <c r="OP131" s="541"/>
      <c r="OQ131" s="541"/>
      <c r="OR131" s="541"/>
      <c r="OS131" s="541"/>
      <c r="OT131" s="541"/>
      <c r="OU131" s="541"/>
      <c r="OV131" s="541"/>
      <c r="OW131" s="541"/>
      <c r="OX131" s="541"/>
      <c r="OY131" s="541"/>
      <c r="OZ131" s="541"/>
      <c r="PA131" s="541"/>
      <c r="PB131" s="541"/>
      <c r="PC131" s="541"/>
      <c r="PD131" s="541"/>
      <c r="PE131" s="541"/>
      <c r="PF131" s="541"/>
      <c r="PG131" s="541"/>
      <c r="PH131" s="541"/>
      <c r="PI131" s="541"/>
      <c r="PJ131" s="541"/>
      <c r="PK131" s="541"/>
      <c r="PL131" s="541"/>
      <c r="PM131" s="541"/>
      <c r="PN131" s="541"/>
      <c r="PO131" s="541"/>
      <c r="PP131" s="541"/>
      <c r="PQ131" s="541"/>
      <c r="PR131" s="541"/>
      <c r="PS131" s="541"/>
      <c r="PT131" s="541"/>
      <c r="PU131" s="541"/>
      <c r="PV131" s="541"/>
      <c r="PW131" s="541"/>
      <c r="PX131" s="541"/>
      <c r="PY131" s="541"/>
      <c r="PZ131" s="541"/>
      <c r="QA131" s="541"/>
      <c r="QB131" s="541"/>
      <c r="QC131" s="541"/>
      <c r="QD131" s="541"/>
      <c r="QE131" s="541"/>
      <c r="QF131" s="541"/>
      <c r="QG131" s="541"/>
      <c r="QH131" s="541"/>
      <c r="QI131" s="541"/>
      <c r="QJ131" s="541"/>
      <c r="QK131" s="541"/>
      <c r="QL131" s="541"/>
      <c r="QM131" s="541"/>
      <c r="QN131" s="541"/>
      <c r="QO131" s="541"/>
      <c r="QP131" s="541"/>
      <c r="QQ131" s="541"/>
      <c r="QR131" s="541"/>
      <c r="QS131" s="541"/>
      <c r="QT131" s="541"/>
      <c r="QU131" s="541"/>
      <c r="QV131" s="541"/>
      <c r="QW131" s="541"/>
      <c r="QX131" s="541"/>
      <c r="QY131" s="541"/>
      <c r="QZ131" s="541"/>
      <c r="RA131" s="541"/>
      <c r="RB131" s="541"/>
      <c r="RC131" s="541"/>
      <c r="RD131" s="541"/>
      <c r="RE131" s="541"/>
      <c r="RF131" s="541"/>
      <c r="RG131" s="541"/>
      <c r="RH131" s="541"/>
      <c r="RI131" s="541"/>
      <c r="RJ131" s="541"/>
      <c r="RK131" s="541"/>
      <c r="RL131" s="541"/>
      <c r="RM131" s="541"/>
      <c r="RN131" s="541"/>
      <c r="RO131" s="541"/>
      <c r="RP131" s="541"/>
      <c r="RQ131" s="541"/>
      <c r="RR131" s="541"/>
      <c r="RS131" s="541"/>
      <c r="RT131" s="541"/>
      <c r="RU131" s="541"/>
      <c r="RV131" s="541"/>
      <c r="RW131" s="541"/>
      <c r="RX131" s="541"/>
      <c r="RY131" s="541"/>
      <c r="RZ131" s="541"/>
      <c r="SA131" s="541"/>
      <c r="SB131" s="541"/>
      <c r="SC131" s="541"/>
      <c r="SD131" s="541"/>
      <c r="SE131" s="541"/>
      <c r="SF131" s="541"/>
      <c r="SG131" s="541"/>
      <c r="SH131" s="541"/>
      <c r="SI131" s="541"/>
      <c r="SJ131" s="541"/>
      <c r="SK131" s="541"/>
      <c r="SL131" s="541"/>
      <c r="SM131" s="541"/>
      <c r="SN131" s="541"/>
      <c r="SO131" s="541"/>
      <c r="SP131" s="541"/>
      <c r="SQ131" s="541"/>
      <c r="SR131" s="541"/>
      <c r="SS131" s="541"/>
      <c r="ST131" s="541"/>
      <c r="SU131" s="541"/>
      <c r="SV131" s="541"/>
      <c r="SW131" s="541"/>
      <c r="SX131" s="541"/>
      <c r="SY131" s="541"/>
      <c r="SZ131" s="541"/>
      <c r="TA131" s="541"/>
      <c r="TB131" s="541"/>
      <c r="TC131" s="541"/>
      <c r="TD131" s="541"/>
      <c r="TE131" s="541"/>
      <c r="TF131" s="541"/>
      <c r="TG131" s="541"/>
      <c r="TH131" s="541"/>
      <c r="TI131" s="541"/>
      <c r="TJ131" s="541"/>
      <c r="TK131" s="541"/>
      <c r="TL131" s="541"/>
      <c r="TM131" s="541"/>
      <c r="TN131" s="541"/>
      <c r="TO131" s="541"/>
      <c r="TP131" s="541"/>
      <c r="TQ131" s="541"/>
      <c r="TR131" s="541"/>
      <c r="TS131" s="541"/>
      <c r="TT131" s="541"/>
      <c r="TU131" s="541"/>
      <c r="TV131" s="541"/>
      <c r="TW131" s="541"/>
      <c r="TX131" s="541"/>
      <c r="TY131" s="541"/>
      <c r="TZ131" s="541"/>
      <c r="UA131" s="541"/>
      <c r="UB131" s="541"/>
      <c r="UC131" s="541"/>
      <c r="UD131" s="541"/>
      <c r="UE131" s="541"/>
      <c r="UF131" s="541"/>
      <c r="UG131" s="541"/>
      <c r="UH131" s="541"/>
      <c r="UI131" s="541"/>
      <c r="UJ131" s="541"/>
      <c r="UK131" s="541"/>
      <c r="UL131" s="541"/>
      <c r="UM131" s="541"/>
      <c r="UN131" s="541"/>
      <c r="UO131" s="541"/>
      <c r="UP131" s="541"/>
      <c r="UQ131" s="541"/>
      <c r="UR131" s="541"/>
      <c r="US131" s="541"/>
      <c r="UT131" s="541"/>
      <c r="UU131" s="541"/>
      <c r="UV131" s="541"/>
      <c r="UW131" s="541"/>
      <c r="UX131" s="541"/>
      <c r="UY131" s="541"/>
      <c r="UZ131" s="541"/>
      <c r="VA131" s="541"/>
      <c r="VB131" s="541"/>
      <c r="VC131" s="541"/>
      <c r="VD131" s="541"/>
      <c r="VE131" s="541"/>
      <c r="VF131" s="541"/>
      <c r="VG131" s="541"/>
      <c r="VH131" s="541"/>
      <c r="VI131" s="541"/>
      <c r="VJ131" s="541"/>
      <c r="VK131" s="541"/>
      <c r="VL131" s="541"/>
      <c r="VM131" s="541"/>
      <c r="VN131" s="541"/>
      <c r="VO131" s="541"/>
      <c r="VP131" s="541"/>
      <c r="VQ131" s="541"/>
      <c r="VR131" s="541"/>
      <c r="VS131" s="541"/>
      <c r="VT131" s="541"/>
      <c r="VU131" s="541"/>
      <c r="VV131" s="541"/>
      <c r="VW131" s="541"/>
      <c r="VX131" s="541"/>
      <c r="VY131" s="541"/>
      <c r="VZ131" s="541"/>
      <c r="WA131" s="541"/>
      <c r="WB131" s="541"/>
      <c r="WC131" s="541"/>
      <c r="WD131" s="541"/>
      <c r="WE131" s="541"/>
      <c r="WF131" s="541"/>
      <c r="WG131" s="541"/>
      <c r="WH131" s="541"/>
      <c r="WI131" s="541"/>
      <c r="WJ131" s="541"/>
      <c r="WK131" s="541"/>
      <c r="WL131" s="541"/>
      <c r="WM131" s="541"/>
      <c r="WN131" s="541"/>
      <c r="WO131" s="541"/>
      <c r="WP131" s="541"/>
      <c r="WQ131" s="541"/>
      <c r="WR131" s="541"/>
      <c r="WS131" s="541"/>
      <c r="WT131" s="541"/>
      <c r="WU131" s="541"/>
      <c r="WV131" s="541"/>
      <c r="WW131" s="541"/>
      <c r="WX131" s="541"/>
      <c r="WY131" s="541"/>
      <c r="WZ131" s="541"/>
      <c r="XA131" s="541"/>
      <c r="XB131" s="541"/>
      <c r="XC131" s="541"/>
      <c r="XD131" s="541"/>
      <c r="XE131" s="541"/>
      <c r="XF131" s="541"/>
      <c r="XG131" s="541"/>
      <c r="XH131" s="541"/>
      <c r="XI131" s="541"/>
      <c r="XJ131" s="541"/>
      <c r="XK131" s="541"/>
      <c r="XL131" s="541"/>
      <c r="XM131" s="541"/>
      <c r="XN131" s="541"/>
      <c r="XO131" s="541"/>
      <c r="XP131" s="541"/>
      <c r="XQ131" s="541"/>
      <c r="XR131" s="541"/>
      <c r="XS131" s="541"/>
      <c r="XT131" s="541"/>
      <c r="XU131" s="541"/>
      <c r="XV131" s="541"/>
      <c r="XW131" s="541"/>
      <c r="XX131" s="541"/>
      <c r="XY131" s="541"/>
      <c r="XZ131" s="541"/>
      <c r="YA131" s="541"/>
      <c r="YB131" s="541"/>
      <c r="YC131" s="541"/>
      <c r="YD131" s="541"/>
      <c r="YE131" s="541"/>
      <c r="YF131" s="541"/>
      <c r="YG131" s="541"/>
      <c r="YH131" s="541"/>
      <c r="YI131" s="541"/>
      <c r="YJ131" s="541"/>
      <c r="YK131" s="541"/>
      <c r="YL131" s="541"/>
      <c r="YM131" s="541"/>
      <c r="YN131" s="541"/>
      <c r="YO131" s="541"/>
      <c r="YP131" s="541"/>
      <c r="YQ131" s="541"/>
      <c r="YR131" s="541"/>
      <c r="YS131" s="541"/>
      <c r="YT131" s="541"/>
      <c r="YU131" s="541"/>
      <c r="YV131" s="541"/>
      <c r="YW131" s="541"/>
      <c r="YX131" s="541"/>
      <c r="YY131" s="541"/>
      <c r="YZ131" s="541"/>
      <c r="ZA131" s="541"/>
      <c r="ZB131" s="541"/>
      <c r="ZC131" s="541"/>
      <c r="ZD131" s="541"/>
      <c r="ZE131" s="541"/>
      <c r="ZF131" s="541"/>
      <c r="ZG131" s="541"/>
      <c r="ZH131" s="541"/>
      <c r="ZI131" s="541"/>
      <c r="ZJ131" s="541"/>
      <c r="ZK131" s="541"/>
      <c r="ZL131" s="541"/>
      <c r="ZM131" s="541"/>
      <c r="ZN131" s="541"/>
      <c r="ZO131" s="541"/>
      <c r="ZP131" s="541"/>
      <c r="ZQ131" s="541"/>
      <c r="ZR131" s="541"/>
      <c r="ZS131" s="541"/>
      <c r="ZT131" s="541"/>
      <c r="ZU131" s="541"/>
      <c r="ZV131" s="541"/>
      <c r="ZW131" s="541"/>
      <c r="ZX131" s="541"/>
      <c r="ZY131" s="541"/>
      <c r="ZZ131" s="541"/>
      <c r="AAA131" s="541"/>
      <c r="AAB131" s="541"/>
      <c r="AAC131" s="541"/>
      <c r="AAD131" s="541"/>
      <c r="AAE131" s="541"/>
      <c r="AAF131" s="541"/>
      <c r="AAG131" s="541"/>
      <c r="AAH131" s="541"/>
      <c r="AAI131" s="541"/>
      <c r="AAJ131" s="541"/>
      <c r="AAK131" s="541"/>
      <c r="AAL131" s="541"/>
      <c r="AAM131" s="541"/>
      <c r="AAN131" s="541"/>
      <c r="AAO131" s="541"/>
      <c r="AAP131" s="541"/>
      <c r="AAQ131" s="541"/>
      <c r="AAR131" s="541"/>
      <c r="AAS131" s="541"/>
      <c r="AAT131" s="541"/>
      <c r="AAU131" s="541"/>
      <c r="AAV131" s="541"/>
      <c r="AAW131" s="541"/>
      <c r="AAX131" s="541"/>
      <c r="AAY131" s="541"/>
      <c r="AAZ131" s="541"/>
      <c r="ABA131" s="541"/>
      <c r="ABB131" s="541"/>
      <c r="ABC131" s="541"/>
      <c r="ABD131" s="541"/>
      <c r="ABE131" s="541"/>
      <c r="ABF131" s="541"/>
      <c r="ABG131" s="541"/>
      <c r="ABH131" s="541"/>
      <c r="ABI131" s="541"/>
      <c r="ABJ131" s="541"/>
      <c r="ABK131" s="541"/>
      <c r="ABL131" s="541"/>
      <c r="ABM131" s="541"/>
      <c r="ABN131" s="541"/>
      <c r="ABO131" s="541"/>
      <c r="ABP131" s="541"/>
      <c r="ABQ131" s="541"/>
      <c r="ABR131" s="541"/>
      <c r="ABS131" s="541"/>
      <c r="ABT131" s="541"/>
      <c r="ABU131" s="541"/>
      <c r="ABV131" s="541"/>
      <c r="ABW131" s="541"/>
      <c r="ABX131" s="541"/>
      <c r="ABY131" s="541"/>
      <c r="ABZ131" s="541"/>
      <c r="ACA131" s="541"/>
      <c r="ACB131" s="541"/>
      <c r="ACC131" s="541"/>
      <c r="ACD131" s="541"/>
      <c r="ACE131" s="541"/>
      <c r="ACF131" s="541"/>
      <c r="ACG131" s="541"/>
      <c r="ACH131" s="541"/>
      <c r="ACI131" s="541"/>
      <c r="ACJ131" s="541"/>
      <c r="ACK131" s="541"/>
      <c r="ACL131" s="541"/>
      <c r="ACM131" s="541"/>
      <c r="ACN131" s="541"/>
      <c r="ACO131" s="541"/>
      <c r="ACP131" s="541"/>
      <c r="ACQ131" s="541"/>
      <c r="ACR131" s="541"/>
      <c r="ACS131" s="541"/>
      <c r="ACT131" s="541"/>
      <c r="ACU131" s="541"/>
      <c r="ACV131" s="541"/>
      <c r="ACW131" s="541"/>
      <c r="ACX131" s="541"/>
      <c r="ACY131" s="541"/>
      <c r="ACZ131" s="541"/>
      <c r="ADA131" s="541"/>
      <c r="ADB131" s="541"/>
      <c r="ADC131" s="541"/>
      <c r="ADD131" s="541"/>
      <c r="ADE131" s="541"/>
      <c r="ADF131" s="541"/>
      <c r="ADG131" s="541"/>
      <c r="ADH131" s="541"/>
      <c r="ADI131" s="541"/>
      <c r="ADJ131" s="541"/>
      <c r="ADK131" s="541"/>
      <c r="ADL131" s="541"/>
      <c r="ADM131" s="541"/>
      <c r="ADN131" s="541"/>
      <c r="ADO131" s="541"/>
      <c r="ADP131" s="541"/>
      <c r="ADQ131" s="541"/>
      <c r="ADR131" s="541"/>
      <c r="ADS131" s="541"/>
      <c r="ADT131" s="541"/>
      <c r="ADU131" s="541"/>
      <c r="ADV131" s="541"/>
      <c r="ADW131" s="541"/>
      <c r="ADX131" s="541"/>
      <c r="ADY131" s="541"/>
      <c r="ADZ131" s="541"/>
      <c r="AEA131" s="541"/>
      <c r="AEB131" s="541"/>
      <c r="AEC131" s="541"/>
      <c r="AED131" s="541"/>
      <c r="AEE131" s="541"/>
      <c r="AEF131" s="541"/>
      <c r="AEG131" s="541"/>
      <c r="AEH131" s="541"/>
      <c r="AEI131" s="541"/>
      <c r="AEJ131" s="541"/>
      <c r="AEK131" s="541"/>
      <c r="AEL131" s="541"/>
      <c r="AEM131" s="541"/>
      <c r="AEN131" s="541"/>
      <c r="AEO131" s="541"/>
      <c r="AEP131" s="541"/>
      <c r="AEQ131" s="541"/>
      <c r="AER131" s="541"/>
      <c r="AES131" s="541"/>
      <c r="AET131" s="541"/>
      <c r="AEU131" s="541"/>
      <c r="AEV131" s="541"/>
      <c r="AEW131" s="541"/>
      <c r="AEX131" s="541"/>
      <c r="AEY131" s="541"/>
      <c r="AEZ131" s="541"/>
      <c r="AFA131" s="541"/>
      <c r="AFB131" s="541"/>
      <c r="AFC131" s="541"/>
      <c r="AFD131" s="541"/>
      <c r="AFE131" s="541"/>
      <c r="AFF131" s="541"/>
      <c r="AFG131" s="541"/>
      <c r="AFH131" s="541"/>
      <c r="AFI131" s="541"/>
      <c r="AFJ131" s="541"/>
      <c r="AFK131" s="541"/>
      <c r="AFL131" s="541"/>
      <c r="AFM131" s="541"/>
      <c r="AFN131" s="541"/>
      <c r="AFO131" s="541"/>
      <c r="AFP131" s="541"/>
      <c r="AFQ131" s="541"/>
      <c r="AFR131" s="541"/>
      <c r="AFS131" s="541"/>
      <c r="AFT131" s="541"/>
      <c r="AFU131" s="541"/>
      <c r="AFV131" s="541"/>
      <c r="AFW131" s="541"/>
      <c r="AFX131" s="541"/>
      <c r="AFY131" s="541"/>
      <c r="AFZ131" s="541"/>
      <c r="AGA131" s="541"/>
      <c r="AGB131" s="541"/>
      <c r="AGC131" s="541"/>
      <c r="AGD131" s="541"/>
      <c r="AGE131" s="541"/>
      <c r="AGF131" s="541"/>
      <c r="AGG131" s="541"/>
      <c r="AGH131" s="541"/>
      <c r="AGI131" s="541"/>
      <c r="AGJ131" s="541"/>
      <c r="AGK131" s="541"/>
      <c r="AGL131" s="541"/>
      <c r="AGM131" s="541"/>
      <c r="AGN131" s="541"/>
      <c r="AGO131" s="541"/>
      <c r="AGP131" s="541"/>
      <c r="AGQ131" s="541"/>
      <c r="AGR131" s="541"/>
      <c r="AGS131" s="541"/>
      <c r="AGT131" s="541"/>
      <c r="AGU131" s="541"/>
      <c r="AGV131" s="541"/>
      <c r="AGW131" s="541"/>
      <c r="AGX131" s="541"/>
      <c r="AGY131" s="541"/>
      <c r="AGZ131" s="541"/>
      <c r="AHA131" s="541"/>
      <c r="AHB131" s="541"/>
      <c r="AHC131" s="541"/>
      <c r="AHD131" s="541"/>
      <c r="AHE131" s="541"/>
      <c r="AHF131" s="541"/>
      <c r="AHG131" s="541"/>
      <c r="AHH131" s="541"/>
      <c r="AHI131" s="541"/>
      <c r="AHJ131" s="541"/>
      <c r="AHK131" s="541"/>
      <c r="AHL131" s="541"/>
      <c r="AHM131" s="541"/>
      <c r="AHN131" s="541"/>
      <c r="AHO131" s="541"/>
      <c r="AHP131" s="541"/>
      <c r="AHQ131" s="541"/>
      <c r="AHR131" s="541"/>
      <c r="AHS131" s="541"/>
      <c r="AHT131" s="541"/>
      <c r="AHU131" s="541"/>
      <c r="AHV131" s="541"/>
      <c r="AHW131" s="541"/>
      <c r="AHX131" s="541"/>
      <c r="AHY131" s="541"/>
      <c r="AHZ131" s="541"/>
      <c r="AIA131" s="541"/>
      <c r="AIB131" s="541"/>
      <c r="AIC131" s="541"/>
      <c r="AID131" s="541"/>
      <c r="AIE131" s="541"/>
      <c r="AIF131" s="541"/>
      <c r="AIG131" s="541"/>
      <c r="AIH131" s="541"/>
      <c r="AII131" s="541"/>
      <c r="AIJ131" s="541"/>
      <c r="AIK131" s="541"/>
      <c r="AIL131" s="541"/>
      <c r="AIM131" s="541"/>
      <c r="AIN131" s="541"/>
      <c r="AIO131" s="541"/>
      <c r="AIP131" s="541"/>
      <c r="AIQ131" s="541"/>
      <c r="AIR131" s="541"/>
      <c r="AIS131" s="541"/>
      <c r="AIT131" s="541"/>
      <c r="AIU131" s="541"/>
      <c r="AIV131" s="541"/>
      <c r="AIW131" s="541"/>
      <c r="AIX131" s="541"/>
      <c r="AIY131" s="541"/>
      <c r="AIZ131" s="541"/>
      <c r="AJA131" s="541"/>
      <c r="AJB131" s="541"/>
      <c r="AJC131" s="541"/>
      <c r="AJD131" s="541"/>
      <c r="AJE131" s="541"/>
      <c r="AJF131" s="541"/>
      <c r="AJG131" s="541"/>
      <c r="AJH131" s="541"/>
      <c r="AJI131" s="541"/>
      <c r="AJJ131" s="541"/>
      <c r="AJK131" s="541"/>
      <c r="AJL131" s="541"/>
      <c r="AJM131" s="541"/>
      <c r="AJN131" s="541"/>
      <c r="AJO131" s="541"/>
      <c r="AJP131" s="541"/>
      <c r="AJQ131" s="541"/>
      <c r="AJR131" s="541"/>
      <c r="AJS131" s="541"/>
      <c r="AJT131" s="541"/>
      <c r="AJU131" s="541"/>
      <c r="AJV131" s="541"/>
      <c r="AJW131" s="541"/>
      <c r="AJX131" s="541"/>
      <c r="AJY131" s="541"/>
      <c r="AJZ131" s="541"/>
      <c r="AKA131" s="541"/>
      <c r="AKB131" s="541"/>
      <c r="AKC131" s="541"/>
      <c r="AKD131" s="541"/>
      <c r="AKE131" s="541"/>
      <c r="AKF131" s="541"/>
      <c r="AKG131" s="541"/>
      <c r="AKH131" s="541"/>
      <c r="AKI131" s="541"/>
      <c r="AKJ131" s="541"/>
      <c r="AKK131" s="541"/>
      <c r="AKL131" s="541"/>
      <c r="AKM131" s="541"/>
      <c r="AKN131" s="541"/>
      <c r="AKO131" s="541"/>
      <c r="AKP131" s="541"/>
      <c r="AKQ131" s="541"/>
      <c r="AKR131" s="541"/>
      <c r="AKS131" s="541"/>
      <c r="AKT131" s="541"/>
      <c r="AKU131" s="541"/>
      <c r="AKV131" s="541"/>
      <c r="AKW131" s="541"/>
      <c r="AKX131" s="541"/>
      <c r="AKY131" s="541"/>
      <c r="AKZ131" s="541"/>
      <c r="ALA131" s="541"/>
      <c r="ALB131" s="541"/>
      <c r="ALC131" s="541"/>
      <c r="ALD131" s="541"/>
      <c r="ALE131" s="541"/>
      <c r="ALF131" s="541"/>
      <c r="ALG131" s="541"/>
      <c r="ALH131" s="541"/>
      <c r="ALI131" s="541"/>
      <c r="ALJ131" s="541"/>
      <c r="ALK131" s="541"/>
      <c r="ALL131" s="541"/>
      <c r="ALM131" s="541"/>
      <c r="ALN131" s="541"/>
      <c r="ALO131" s="541"/>
      <c r="ALP131" s="541"/>
      <c r="ALQ131" s="541"/>
      <c r="ALR131" s="541"/>
      <c r="ALS131" s="541"/>
      <c r="ALT131" s="541"/>
      <c r="ALU131" s="541"/>
      <c r="ALV131" s="541"/>
      <c r="ALW131" s="541"/>
      <c r="ALX131" s="541"/>
      <c r="ALY131" s="541"/>
      <c r="ALZ131" s="541"/>
      <c r="AMA131" s="541"/>
      <c r="AMB131" s="541"/>
      <c r="AMC131" s="541"/>
      <c r="AMD131" s="541"/>
      <c r="AME131" s="541"/>
      <c r="AMF131" s="541"/>
      <c r="AMG131" s="541"/>
      <c r="AMH131" s="541"/>
      <c r="AMI131" s="541"/>
      <c r="AMJ131" s="541"/>
      <c r="AMK131" s="541"/>
      <c r="AML131" s="541"/>
      <c r="AMM131" s="541"/>
      <c r="AMN131" s="541"/>
      <c r="AMO131" s="541"/>
      <c r="AMP131" s="541"/>
      <c r="AMQ131" s="541"/>
      <c r="AMR131" s="541"/>
      <c r="AMS131" s="541"/>
      <c r="AMT131" s="541"/>
      <c r="AMU131" s="541"/>
      <c r="AMV131" s="541"/>
      <c r="AMW131" s="541"/>
      <c r="AMX131" s="541"/>
      <c r="AMY131" s="541"/>
      <c r="AMZ131" s="541"/>
      <c r="ANA131" s="541"/>
      <c r="ANB131" s="541"/>
      <c r="ANC131" s="541"/>
      <c r="AND131" s="541"/>
      <c r="ANE131" s="541"/>
      <c r="ANF131" s="541"/>
      <c r="ANG131" s="541"/>
      <c r="ANH131" s="541"/>
      <c r="ANI131" s="541"/>
      <c r="ANJ131" s="541"/>
      <c r="ANK131" s="541"/>
      <c r="ANL131" s="541"/>
      <c r="ANM131" s="541"/>
      <c r="ANN131" s="541"/>
      <c r="ANO131" s="541"/>
      <c r="ANP131" s="541"/>
      <c r="ANQ131" s="541"/>
      <c r="ANR131" s="541"/>
      <c r="ANS131" s="541"/>
      <c r="ANT131" s="541"/>
      <c r="ANU131" s="541"/>
      <c r="ANV131" s="541"/>
      <c r="ANW131" s="541"/>
      <c r="ANX131" s="541"/>
      <c r="ANY131" s="541"/>
      <c r="ANZ131" s="541"/>
      <c r="AOA131" s="541"/>
      <c r="AOB131" s="541"/>
      <c r="AOC131" s="541"/>
      <c r="AOD131" s="541"/>
      <c r="AOE131" s="541"/>
      <c r="AOF131" s="541"/>
      <c r="AOG131" s="541"/>
      <c r="AOH131" s="541"/>
      <c r="AOI131" s="541"/>
      <c r="AOJ131" s="541"/>
      <c r="AOK131" s="541"/>
      <c r="AOL131" s="541"/>
      <c r="AOM131" s="541"/>
      <c r="AON131" s="541"/>
      <c r="AOO131" s="541"/>
      <c r="AOP131" s="541"/>
      <c r="AOQ131" s="541"/>
      <c r="AOR131" s="541"/>
      <c r="AOS131" s="541"/>
      <c r="AOT131" s="541"/>
      <c r="AOU131" s="541"/>
      <c r="AOV131" s="541"/>
      <c r="AOW131" s="541"/>
      <c r="AOX131" s="541"/>
      <c r="AOY131" s="541"/>
      <c r="AOZ131" s="541"/>
      <c r="APA131" s="541"/>
      <c r="APB131" s="541"/>
      <c r="APC131" s="541"/>
      <c r="APD131" s="541"/>
      <c r="APE131" s="541"/>
      <c r="APF131" s="541"/>
      <c r="APG131" s="541"/>
      <c r="APH131" s="541"/>
      <c r="API131" s="541"/>
      <c r="APJ131" s="541"/>
      <c r="APK131" s="541"/>
      <c r="APL131" s="541"/>
      <c r="APM131" s="541"/>
      <c r="APN131" s="541"/>
      <c r="APO131" s="541"/>
      <c r="APP131" s="541"/>
      <c r="APQ131" s="541"/>
      <c r="APR131" s="541"/>
      <c r="APS131" s="541"/>
      <c r="APT131" s="541"/>
      <c r="APU131" s="541"/>
      <c r="APV131" s="541"/>
      <c r="APW131" s="541"/>
      <c r="APX131" s="541"/>
      <c r="APY131" s="541"/>
      <c r="APZ131" s="541"/>
      <c r="AQA131" s="541"/>
      <c r="AQB131" s="541"/>
      <c r="AQC131" s="541"/>
      <c r="AQD131" s="541"/>
      <c r="AQE131" s="541"/>
      <c r="AQF131" s="541"/>
      <c r="AQG131" s="541"/>
      <c r="AQH131" s="541"/>
      <c r="AQI131" s="541"/>
      <c r="AQJ131" s="541"/>
      <c r="AQK131" s="541"/>
      <c r="AQL131" s="541"/>
      <c r="AQM131" s="541"/>
      <c r="AQN131" s="541"/>
      <c r="AQO131" s="541"/>
      <c r="AQP131" s="541"/>
      <c r="AQQ131" s="541"/>
      <c r="AQR131" s="541"/>
      <c r="AQS131" s="541"/>
      <c r="AQT131" s="541"/>
      <c r="AQU131" s="541"/>
      <c r="AQV131" s="541"/>
      <c r="AQW131" s="541"/>
      <c r="AQX131" s="541"/>
      <c r="AQY131" s="541"/>
      <c r="AQZ131" s="541"/>
      <c r="ARA131" s="541"/>
      <c r="ARB131" s="541"/>
      <c r="ARC131" s="541"/>
      <c r="ARD131" s="541"/>
      <c r="ARE131" s="541"/>
      <c r="ARF131" s="541"/>
      <c r="ARG131" s="541"/>
      <c r="ARH131" s="541"/>
      <c r="ARI131" s="541"/>
      <c r="ARJ131" s="541"/>
      <c r="ARK131" s="541"/>
      <c r="ARL131" s="541"/>
      <c r="ARM131" s="541"/>
      <c r="ARN131" s="541"/>
      <c r="ARO131" s="541"/>
      <c r="ARP131" s="541"/>
      <c r="ARQ131" s="541"/>
      <c r="ARR131" s="541"/>
      <c r="ARS131" s="541"/>
      <c r="ART131" s="541"/>
      <c r="ARU131" s="541"/>
    </row>
    <row r="132" spans="1:1165">
      <c r="A132" s="596"/>
      <c r="B132" s="430"/>
      <c r="C132" s="684"/>
      <c r="D132" s="684"/>
      <c r="E132" s="608"/>
      <c r="F132" s="608"/>
      <c r="G132" s="608"/>
      <c r="H132" s="608"/>
      <c r="I132" s="608"/>
      <c r="J132" s="608"/>
      <c r="K132" s="608"/>
      <c r="L132" s="608"/>
      <c r="M132" s="608"/>
      <c r="N132" s="608"/>
      <c r="O132" s="608"/>
      <c r="P132" s="608"/>
      <c r="Q132" s="608"/>
      <c r="R132" s="608"/>
      <c r="S132" s="608"/>
      <c r="T132" s="608"/>
      <c r="U132" s="586"/>
      <c r="V132" s="586"/>
      <c r="W132" s="672"/>
      <c r="X132" s="672"/>
      <c r="Y132" s="586"/>
      <c r="Z132" s="586"/>
      <c r="AA132" s="586"/>
      <c r="AB132" s="586"/>
      <c r="AC132" s="608"/>
      <c r="AD132" s="608"/>
      <c r="AE132" s="586"/>
      <c r="AF132" s="623"/>
      <c r="AG132" s="586"/>
      <c r="AH132" s="586"/>
      <c r="AI132" s="586"/>
      <c r="AJ132" s="586"/>
      <c r="AK132" s="586"/>
      <c r="AL132" s="586"/>
      <c r="AM132" s="586"/>
      <c r="AN132" s="586"/>
      <c r="AO132" s="586"/>
      <c r="AP132" s="586"/>
      <c r="AQ132" s="686"/>
      <c r="AR132" s="686"/>
      <c r="AS132" s="586"/>
      <c r="AT132" s="586"/>
      <c r="AU132" s="586"/>
      <c r="AV132" s="623"/>
      <c r="AW132" s="586"/>
      <c r="AX132" s="541"/>
      <c r="AY132" s="648"/>
      <c r="AZ132" s="648"/>
      <c r="BA132" s="686"/>
      <c r="BB132" s="650"/>
      <c r="BC132" s="650"/>
      <c r="BD132" s="650"/>
      <c r="BE132" s="650"/>
      <c r="BF132" s="650"/>
      <c r="BG132" s="650"/>
      <c r="BH132" s="650"/>
      <c r="BI132" s="686"/>
      <c r="BJ132" s="650"/>
      <c r="BK132" s="650"/>
      <c r="BL132" s="541"/>
      <c r="BM132" s="624"/>
      <c r="BN132" s="624"/>
      <c r="BO132" s="624"/>
      <c r="BP132" s="624"/>
    </row>
    <row r="133" spans="1:1165">
      <c r="A133" s="591" t="s">
        <v>280</v>
      </c>
      <c r="B133" s="430"/>
      <c r="C133" s="684"/>
      <c r="D133" s="684"/>
      <c r="E133" s="608"/>
      <c r="F133" s="608"/>
      <c r="G133" s="608"/>
      <c r="H133" s="608"/>
      <c r="I133" s="608"/>
      <c r="J133" s="608"/>
      <c r="K133" s="608"/>
      <c r="L133" s="608"/>
      <c r="M133" s="608"/>
      <c r="N133" s="608"/>
      <c r="O133" s="608"/>
      <c r="P133" s="608"/>
      <c r="Q133" s="608"/>
      <c r="R133" s="608"/>
      <c r="S133" s="608"/>
      <c r="T133" s="608"/>
      <c r="U133" s="586"/>
      <c r="V133" s="586"/>
      <c r="W133" s="586"/>
      <c r="X133" s="586"/>
      <c r="Y133" s="586"/>
      <c r="Z133" s="586"/>
      <c r="AA133" s="586"/>
      <c r="AB133" s="586"/>
      <c r="AC133" s="608"/>
      <c r="AD133" s="608"/>
      <c r="AE133" s="586"/>
      <c r="AF133" s="586"/>
      <c r="AG133" s="586"/>
      <c r="AH133" s="586"/>
      <c r="AI133" s="586"/>
      <c r="AJ133" s="586"/>
      <c r="AK133" s="586"/>
      <c r="AL133" s="586"/>
      <c r="AM133" s="586"/>
      <c r="AN133" s="586"/>
      <c r="AO133" s="586"/>
      <c r="AP133" s="586"/>
      <c r="AQ133" s="586"/>
      <c r="AR133" s="586"/>
      <c r="AS133" s="586"/>
      <c r="AT133" s="586"/>
      <c r="AU133" s="586"/>
      <c r="AV133" s="586"/>
      <c r="AW133" s="608"/>
      <c r="AX133" s="608"/>
      <c r="AY133" s="648"/>
      <c r="AZ133" s="648"/>
      <c r="BA133" s="686"/>
      <c r="BB133" s="650"/>
      <c r="BC133" s="650"/>
      <c r="BD133" s="650"/>
      <c r="BE133" s="650"/>
      <c r="BF133" s="650"/>
      <c r="BG133" s="650"/>
      <c r="BH133" s="650"/>
      <c r="BI133" s="686"/>
      <c r="BJ133" s="650"/>
      <c r="BK133" s="650"/>
      <c r="BL133" s="541"/>
      <c r="BN133" s="624"/>
      <c r="BO133" s="624"/>
      <c r="BP133" s="624"/>
    </row>
    <row r="134" spans="1:1165">
      <c r="A134" s="593" t="s">
        <v>281</v>
      </c>
      <c r="B134" s="594" t="s">
        <v>110</v>
      </c>
      <c r="C134" s="670">
        <v>81529</v>
      </c>
      <c r="D134" s="670">
        <v>844292</v>
      </c>
      <c r="E134" s="595">
        <v>2568</v>
      </c>
      <c r="F134" s="595">
        <v>116932</v>
      </c>
      <c r="G134" s="595">
        <v>3181</v>
      </c>
      <c r="H134" s="595">
        <v>145799</v>
      </c>
      <c r="I134" s="595">
        <v>1914</v>
      </c>
      <c r="J134" s="595">
        <v>79613</v>
      </c>
      <c r="K134" s="595">
        <v>3551</v>
      </c>
      <c r="L134" s="595">
        <v>35507</v>
      </c>
      <c r="M134" s="595">
        <v>3158</v>
      </c>
      <c r="N134" s="595">
        <v>21425</v>
      </c>
      <c r="O134" s="595">
        <v>6560</v>
      </c>
      <c r="P134" s="595">
        <v>43954</v>
      </c>
      <c r="Q134" s="595">
        <v>9497</v>
      </c>
      <c r="R134" s="595">
        <v>76224</v>
      </c>
      <c r="S134" s="595">
        <v>4933</v>
      </c>
      <c r="T134" s="595">
        <v>149430</v>
      </c>
      <c r="U134" s="608">
        <v>21014</v>
      </c>
      <c r="V134" s="608">
        <v>850089</v>
      </c>
      <c r="W134" s="608">
        <v>7367</v>
      </c>
      <c r="X134" s="608">
        <v>328732</v>
      </c>
      <c r="Y134" s="608">
        <v>31774</v>
      </c>
      <c r="Z134" s="608">
        <v>1317361</v>
      </c>
      <c r="AA134" s="623">
        <v>17499</v>
      </c>
      <c r="AB134" s="623">
        <v>715084</v>
      </c>
      <c r="AC134" s="595">
        <v>25800</v>
      </c>
      <c r="AD134" s="595">
        <v>1132516</v>
      </c>
      <c r="AE134" s="586">
        <v>18748</v>
      </c>
      <c r="AF134" s="586">
        <v>694865</v>
      </c>
      <c r="AG134" s="586">
        <v>36169</v>
      </c>
      <c r="AH134" s="586">
        <v>1451195</v>
      </c>
      <c r="AI134" s="586">
        <v>66610</v>
      </c>
      <c r="AJ134" s="586">
        <v>2345293</v>
      </c>
      <c r="AK134" s="673">
        <v>57241</v>
      </c>
      <c r="AL134" s="673">
        <v>2120733</v>
      </c>
      <c r="AM134" s="676">
        <v>65818</v>
      </c>
      <c r="AN134" s="676">
        <v>3043804</v>
      </c>
      <c r="AO134" s="586">
        <v>59835</v>
      </c>
      <c r="AP134" s="586">
        <v>2242642</v>
      </c>
      <c r="AQ134" s="586">
        <v>44072.68</v>
      </c>
      <c r="AR134" s="586">
        <v>1734040</v>
      </c>
      <c r="AS134" s="586">
        <v>62630.98</v>
      </c>
      <c r="AT134" s="586">
        <v>2487199</v>
      </c>
      <c r="AU134" s="623">
        <v>29733</v>
      </c>
      <c r="AV134" s="623">
        <v>1494518</v>
      </c>
      <c r="AW134" s="586">
        <v>61828</v>
      </c>
      <c r="AX134" s="623">
        <v>3082424</v>
      </c>
      <c r="AY134" s="608">
        <v>21962.6</v>
      </c>
      <c r="AZ134" s="608">
        <v>986583</v>
      </c>
      <c r="BA134" s="686"/>
      <c r="BB134" s="608"/>
      <c r="BC134" s="608"/>
      <c r="BD134" s="608"/>
      <c r="BE134" s="608"/>
      <c r="BF134" s="624"/>
      <c r="BG134" s="624"/>
      <c r="BH134" s="624"/>
      <c r="BI134" s="686"/>
      <c r="BJ134" s="608">
        <f t="shared" ref="BJ134:BJ135" si="14">C134+G134+I134+K134+M134+O134+Q134+S134+U134+W134+Y134+AA134+AC134+AE134+AG134+AI134+AK134+AM134+AO134+AQ134+AS134+AU134+AW134+AY134+BB134+BF134</f>
        <v>742425.26</v>
      </c>
      <c r="BK134" s="595">
        <f>D134+H134+J134+L134+N134+P134+R134+T134+V134+X134+Z134+AB134+AD134+AF134+AH134+AJ134+AL134+AN134+AP134+AR134+AT134+AV134+AX134+AZ134+BD134+BH134</f>
        <v>27423322</v>
      </c>
      <c r="BL134" s="541"/>
      <c r="BM134" s="624"/>
      <c r="BN134" s="624"/>
      <c r="BO134" s="624"/>
      <c r="BP134" s="624"/>
    </row>
    <row r="135" spans="1:1165">
      <c r="A135" s="593" t="s">
        <v>282</v>
      </c>
      <c r="B135" s="594" t="s">
        <v>110</v>
      </c>
      <c r="C135" s="670">
        <v>2648</v>
      </c>
      <c r="D135" s="670">
        <v>162003</v>
      </c>
      <c r="E135" s="595">
        <v>352</v>
      </c>
      <c r="F135" s="595">
        <v>79225</v>
      </c>
      <c r="G135" s="595">
        <v>354</v>
      </c>
      <c r="H135" s="595">
        <v>94751</v>
      </c>
      <c r="I135" s="595">
        <v>300</v>
      </c>
      <c r="J135" s="595">
        <v>84241</v>
      </c>
      <c r="K135" s="595">
        <v>173</v>
      </c>
      <c r="L135" s="595">
        <v>45591</v>
      </c>
      <c r="M135" s="595">
        <v>30</v>
      </c>
      <c r="N135" s="595">
        <v>8037</v>
      </c>
      <c r="O135" s="608">
        <v>0</v>
      </c>
      <c r="P135" s="608">
        <v>0</v>
      </c>
      <c r="Q135" s="608">
        <v>0</v>
      </c>
      <c r="R135" s="608">
        <v>0</v>
      </c>
      <c r="S135" s="608">
        <v>0</v>
      </c>
      <c r="T135" s="608">
        <v>0</v>
      </c>
      <c r="U135" s="608">
        <v>3456</v>
      </c>
      <c r="V135" s="608">
        <v>900710</v>
      </c>
      <c r="W135" s="608">
        <v>11432</v>
      </c>
      <c r="X135" s="608">
        <v>66104</v>
      </c>
      <c r="Y135" s="608">
        <v>1971</v>
      </c>
      <c r="Z135" s="608">
        <v>105241</v>
      </c>
      <c r="AA135" s="623">
        <v>473</v>
      </c>
      <c r="AB135" s="623">
        <v>14839</v>
      </c>
      <c r="AC135" s="595">
        <v>0</v>
      </c>
      <c r="AD135" s="595">
        <v>0</v>
      </c>
      <c r="AE135" s="586">
        <v>0</v>
      </c>
      <c r="AF135" s="586">
        <v>0</v>
      </c>
      <c r="AG135" s="586">
        <v>0</v>
      </c>
      <c r="AH135" s="586">
        <v>0</v>
      </c>
      <c r="AI135" s="586">
        <v>0</v>
      </c>
      <c r="AJ135" s="586">
        <v>0</v>
      </c>
      <c r="AK135" s="586">
        <v>0</v>
      </c>
      <c r="AL135" s="586">
        <v>0</v>
      </c>
      <c r="AM135" s="586">
        <v>0</v>
      </c>
      <c r="AN135" s="586">
        <v>0</v>
      </c>
      <c r="AO135" s="586">
        <v>0</v>
      </c>
      <c r="AP135" s="586">
        <v>0</v>
      </c>
      <c r="AQ135" s="586">
        <v>0</v>
      </c>
      <c r="AR135" s="586">
        <v>0</v>
      </c>
      <c r="AS135" s="586">
        <v>0</v>
      </c>
      <c r="AT135" s="586">
        <v>0</v>
      </c>
      <c r="AU135" s="586">
        <v>0</v>
      </c>
      <c r="AV135" s="586">
        <v>0</v>
      </c>
      <c r="AW135" s="586">
        <v>0</v>
      </c>
      <c r="AX135" s="586">
        <v>0</v>
      </c>
      <c r="AY135" s="608">
        <v>0</v>
      </c>
      <c r="AZ135" s="608">
        <v>0</v>
      </c>
      <c r="BA135" s="625"/>
      <c r="BB135" s="608"/>
      <c r="BC135" s="608"/>
      <c r="BD135" s="608"/>
      <c r="BE135" s="608"/>
      <c r="BF135" s="608"/>
      <c r="BG135" s="608"/>
      <c r="BH135" s="608"/>
      <c r="BI135" s="625"/>
      <c r="BJ135" s="608">
        <f t="shared" si="14"/>
        <v>20837</v>
      </c>
      <c r="BK135" s="595">
        <f>D135+H135+J135+L135+N135+P135+R135+T135+V135+X135+Z135+AB135+AD135+AF135+AH135+AJ135+AL135+AN135+AP135+AR135+AT135+AV135+AX135+AZ135+BD135+BH135</f>
        <v>1481517</v>
      </c>
      <c r="BL135" s="541"/>
      <c r="BN135" s="624"/>
      <c r="BO135" s="624"/>
      <c r="BP135" s="624"/>
    </row>
    <row r="136" spans="1:1165">
      <c r="A136" s="596" t="s">
        <v>283</v>
      </c>
      <c r="B136" s="594"/>
      <c r="C136" s="670"/>
      <c r="D136" s="670">
        <f>SUM(D134:D135)</f>
        <v>1006295</v>
      </c>
      <c r="E136" s="595"/>
      <c r="F136" s="595">
        <f>SUM(F134:F135)</f>
        <v>196157</v>
      </c>
      <c r="G136" s="595"/>
      <c r="H136" s="595">
        <f>SUM(H134:H135)</f>
        <v>240550</v>
      </c>
      <c r="I136" s="595"/>
      <c r="J136" s="595">
        <f>SUM(J134:J135)</f>
        <v>163854</v>
      </c>
      <c r="K136" s="595"/>
      <c r="L136" s="595">
        <f>SUM(L134:L135)</f>
        <v>81098</v>
      </c>
      <c r="M136" s="595"/>
      <c r="N136" s="595">
        <f>SUM(N134:N135)</f>
        <v>29462</v>
      </c>
      <c r="O136" s="595"/>
      <c r="P136" s="595">
        <f>SUM(P134:P135)</f>
        <v>43954</v>
      </c>
      <c r="Q136" s="595"/>
      <c r="R136" s="595">
        <f>SUM(R134:R135)</f>
        <v>76224</v>
      </c>
      <c r="S136" s="595"/>
      <c r="T136" s="595">
        <f>SUM(T134:T135)</f>
        <v>149430</v>
      </c>
      <c r="U136" s="672"/>
      <c r="V136" s="595">
        <f>SUM(V134:V135)</f>
        <v>1750799</v>
      </c>
      <c r="W136" s="586"/>
      <c r="X136" s="608">
        <f>SUM(X134:X135)</f>
        <v>394836</v>
      </c>
      <c r="Y136" s="586"/>
      <c r="Z136" s="608">
        <f>SUM(Z134:Z135)</f>
        <v>1422602</v>
      </c>
      <c r="AA136" s="586"/>
      <c r="AB136" s="623">
        <f>SUM(AB134:AB135)</f>
        <v>729923</v>
      </c>
      <c r="AC136" s="595"/>
      <c r="AD136" s="595">
        <f>SUM(AD134:AD135)</f>
        <v>1132516</v>
      </c>
      <c r="AE136" s="586"/>
      <c r="AF136" s="586">
        <f>SUM(AF134:AF135)</f>
        <v>694865</v>
      </c>
      <c r="AG136" s="586"/>
      <c r="AH136" s="586">
        <f>SUM(AH134:AH135)</f>
        <v>1451195</v>
      </c>
      <c r="AI136" s="586"/>
      <c r="AJ136" s="586">
        <f>SUM(AJ134:AJ135)</f>
        <v>2345293</v>
      </c>
      <c r="AK136" s="586"/>
      <c r="AL136" s="586">
        <f>SUM(AL134:AL135)</f>
        <v>2120733</v>
      </c>
      <c r="AM136" s="586"/>
      <c r="AN136" s="586">
        <f>SUM(AN134:AN135)</f>
        <v>3043804</v>
      </c>
      <c r="AO136" s="586"/>
      <c r="AP136" s="586">
        <f>SUM(AP134:AP135)</f>
        <v>2242642</v>
      </c>
      <c r="AQ136" s="586"/>
      <c r="AR136" s="586">
        <f>SUM(AR134:AR135)</f>
        <v>1734040</v>
      </c>
      <c r="AS136" s="586"/>
      <c r="AT136" s="586">
        <f>SUM(AT134:AT135)</f>
        <v>2487199</v>
      </c>
      <c r="AU136" s="586"/>
      <c r="AV136" s="586">
        <f>SUM(AV134:AV135)</f>
        <v>1494518</v>
      </c>
      <c r="AW136" s="650"/>
      <c r="AX136" s="608">
        <f>SUM(AX134:AX135)</f>
        <v>3082424</v>
      </c>
      <c r="AY136" s="608"/>
      <c r="AZ136" s="608">
        <f>SUM(AZ134:AZ135)</f>
        <v>986583</v>
      </c>
      <c r="BA136" s="696"/>
      <c r="BB136" s="608"/>
      <c r="BC136" s="608"/>
      <c r="BD136" s="608"/>
      <c r="BE136" s="608"/>
      <c r="BF136" s="608"/>
      <c r="BG136" s="608"/>
      <c r="BH136" s="608"/>
      <c r="BI136" s="625"/>
      <c r="BJ136" s="608"/>
      <c r="BK136" s="595">
        <f>D136+H136+J136+L136+N136+P136+R136+T136+V136+X136+Z136+AB136+AD136+AF136+AH136+AJ136+AL136+AN136+AP136+AR136+AT136+AV136+AX136+AZ136+BD136+BH136</f>
        <v>28904839</v>
      </c>
      <c r="BL136" s="541"/>
      <c r="BM136" s="624"/>
      <c r="BN136" s="624"/>
      <c r="BP136" s="624"/>
    </row>
    <row r="137" spans="1:1165">
      <c r="A137" s="593"/>
      <c r="B137" s="594"/>
      <c r="C137" s="670"/>
      <c r="D137" s="670"/>
      <c r="E137" s="595"/>
      <c r="F137" s="595"/>
      <c r="G137" s="595"/>
      <c r="H137" s="595"/>
      <c r="I137" s="595"/>
      <c r="J137" s="595"/>
      <c r="K137" s="595"/>
      <c r="L137" s="595"/>
      <c r="M137" s="595"/>
      <c r="N137" s="595"/>
      <c r="O137" s="595"/>
      <c r="P137" s="595"/>
      <c r="Q137" s="595"/>
      <c r="R137" s="595"/>
      <c r="S137" s="595"/>
      <c r="T137" s="595"/>
      <c r="U137" s="672"/>
      <c r="V137" s="672"/>
      <c r="W137" s="586"/>
      <c r="X137" s="586"/>
      <c r="Y137" s="586"/>
      <c r="Z137" s="586"/>
      <c r="AA137" s="586"/>
      <c r="AB137" s="586"/>
      <c r="AC137" s="595"/>
      <c r="AD137" s="595"/>
      <c r="AE137" s="586"/>
      <c r="AF137" s="586"/>
      <c r="AG137" s="586"/>
      <c r="AH137" s="586"/>
      <c r="AI137" s="586"/>
      <c r="AJ137" s="586"/>
      <c r="AK137" s="586"/>
      <c r="AL137" s="586"/>
      <c r="AM137" s="586"/>
      <c r="AN137" s="586"/>
      <c r="AO137" s="586"/>
      <c r="AP137" s="586"/>
      <c r="AQ137" s="586"/>
      <c r="AR137" s="586"/>
      <c r="AS137" s="586"/>
      <c r="AT137" s="586"/>
      <c r="AU137" s="623"/>
      <c r="AV137" s="623"/>
      <c r="AW137" s="650"/>
      <c r="AX137" s="650"/>
      <c r="AY137" s="648"/>
      <c r="AZ137" s="648"/>
      <c r="BA137" s="686"/>
      <c r="BB137" s="650"/>
      <c r="BC137" s="650"/>
      <c r="BD137" s="650"/>
      <c r="BE137" s="650"/>
      <c r="BF137" s="650"/>
      <c r="BG137" s="650"/>
      <c r="BH137" s="650"/>
      <c r="BI137" s="686"/>
      <c r="BJ137" s="650"/>
      <c r="BK137" s="650"/>
      <c r="BL137" s="541"/>
      <c r="BN137" s="624"/>
      <c r="BO137" s="624"/>
      <c r="BP137" s="624"/>
    </row>
    <row r="138" spans="1:1165" s="658" customFormat="1">
      <c r="A138" s="577" t="s">
        <v>284</v>
      </c>
      <c r="B138" s="603"/>
      <c r="C138" s="687"/>
      <c r="D138" s="687"/>
      <c r="E138" s="598"/>
      <c r="F138" s="598"/>
      <c r="G138" s="598"/>
      <c r="H138" s="598"/>
      <c r="I138" s="598"/>
      <c r="J138" s="598"/>
      <c r="K138" s="598"/>
      <c r="L138" s="598"/>
      <c r="M138" s="598"/>
      <c r="N138" s="598"/>
      <c r="O138" s="598"/>
      <c r="P138" s="598"/>
      <c r="Q138" s="598"/>
      <c r="R138" s="598"/>
      <c r="S138" s="598"/>
      <c r="T138" s="598"/>
      <c r="U138" s="579"/>
      <c r="V138" s="579"/>
      <c r="W138" s="579"/>
      <c r="X138" s="579"/>
      <c r="Y138" s="579"/>
      <c r="Z138" s="579"/>
      <c r="AA138" s="579"/>
      <c r="AB138" s="579"/>
      <c r="AC138" s="581"/>
      <c r="AD138" s="581"/>
      <c r="AE138" s="579"/>
      <c r="AF138" s="579"/>
      <c r="AG138" s="579"/>
      <c r="AH138" s="579"/>
      <c r="AI138" s="579"/>
      <c r="AJ138" s="579"/>
      <c r="AK138" s="579"/>
      <c r="AL138" s="579"/>
      <c r="AM138" s="579"/>
      <c r="AN138" s="579"/>
      <c r="AO138" s="579"/>
      <c r="AP138" s="579"/>
      <c r="AQ138" s="579"/>
      <c r="AR138" s="579"/>
      <c r="AS138" s="579"/>
      <c r="AT138" s="579"/>
      <c r="AU138" s="579"/>
      <c r="AV138" s="579"/>
      <c r="AW138" s="657"/>
      <c r="AX138" s="657"/>
      <c r="AY138" s="656"/>
      <c r="AZ138" s="656"/>
      <c r="BA138" s="663"/>
      <c r="BB138" s="657"/>
      <c r="BC138" s="657"/>
      <c r="BD138" s="657"/>
      <c r="BE138" s="657"/>
      <c r="BF138" s="598"/>
      <c r="BG138" s="664"/>
      <c r="BH138" s="598"/>
      <c r="BI138" s="663"/>
      <c r="BJ138" s="657"/>
      <c r="BK138" s="657"/>
      <c r="BL138" s="541"/>
      <c r="BM138" s="624"/>
      <c r="BN138" s="624"/>
      <c r="BO138" s="624"/>
      <c r="BP138" s="624"/>
      <c r="BQ138" s="541"/>
      <c r="BR138" s="541"/>
      <c r="BS138" s="541"/>
      <c r="BT138" s="541"/>
      <c r="BU138" s="541"/>
      <c r="BV138" s="541"/>
      <c r="BW138" s="541"/>
      <c r="BX138" s="541"/>
      <c r="BY138" s="541"/>
      <c r="BZ138" s="541"/>
      <c r="CA138" s="541"/>
      <c r="CB138" s="541"/>
      <c r="CC138" s="541"/>
      <c r="CD138" s="541"/>
      <c r="CE138" s="541"/>
      <c r="CF138" s="541"/>
      <c r="CG138" s="541"/>
      <c r="CH138" s="541"/>
      <c r="CI138" s="541"/>
      <c r="CJ138" s="541"/>
      <c r="CK138" s="541"/>
      <c r="CL138" s="541"/>
      <c r="CM138" s="541"/>
      <c r="CN138" s="541"/>
      <c r="CO138" s="541"/>
      <c r="CP138" s="541"/>
      <c r="CQ138" s="541"/>
      <c r="CR138" s="541"/>
      <c r="CS138" s="541"/>
      <c r="CT138" s="541"/>
      <c r="CU138" s="541"/>
      <c r="CV138" s="541"/>
      <c r="CW138" s="541"/>
      <c r="CX138" s="541"/>
      <c r="CY138" s="541"/>
      <c r="CZ138" s="541"/>
      <c r="DA138" s="541"/>
      <c r="DB138" s="541"/>
      <c r="DC138" s="541"/>
      <c r="DD138" s="541"/>
      <c r="DE138" s="541"/>
      <c r="DF138" s="541"/>
      <c r="DG138" s="541"/>
      <c r="DH138" s="541"/>
      <c r="DI138" s="541"/>
      <c r="DJ138" s="541"/>
      <c r="DK138" s="541"/>
      <c r="DL138" s="541"/>
      <c r="DM138" s="541"/>
      <c r="DN138" s="541"/>
      <c r="DO138" s="541"/>
      <c r="DP138" s="541"/>
      <c r="DQ138" s="541"/>
      <c r="DR138" s="541"/>
      <c r="DS138" s="541"/>
      <c r="DT138" s="541"/>
      <c r="DU138" s="541"/>
      <c r="DV138" s="541"/>
      <c r="DW138" s="541"/>
      <c r="DX138" s="541"/>
      <c r="DY138" s="541"/>
      <c r="DZ138" s="541"/>
      <c r="EA138" s="541"/>
      <c r="EB138" s="541"/>
      <c r="EC138" s="541"/>
      <c r="ED138" s="541"/>
      <c r="EE138" s="541"/>
      <c r="EF138" s="541"/>
      <c r="EG138" s="541"/>
      <c r="EH138" s="541"/>
      <c r="EI138" s="541"/>
      <c r="EJ138" s="541"/>
      <c r="EK138" s="541"/>
      <c r="EL138" s="541"/>
      <c r="EM138" s="541"/>
      <c r="EN138" s="541"/>
      <c r="EO138" s="541"/>
      <c r="EP138" s="541"/>
      <c r="EQ138" s="541"/>
      <c r="ER138" s="541"/>
      <c r="ES138" s="541"/>
      <c r="ET138" s="541"/>
      <c r="EU138" s="541"/>
      <c r="EV138" s="541"/>
      <c r="EW138" s="541"/>
      <c r="EX138" s="541"/>
      <c r="EY138" s="541"/>
      <c r="EZ138" s="541"/>
      <c r="FA138" s="541"/>
      <c r="FB138" s="541"/>
      <c r="FC138" s="541"/>
      <c r="FD138" s="541"/>
      <c r="FE138" s="541"/>
      <c r="FF138" s="541"/>
      <c r="FG138" s="541"/>
      <c r="FH138" s="541"/>
      <c r="FI138" s="541"/>
      <c r="FJ138" s="541"/>
      <c r="FK138" s="541"/>
      <c r="FL138" s="541"/>
      <c r="FM138" s="541"/>
      <c r="FN138" s="541"/>
      <c r="FO138" s="541"/>
      <c r="FP138" s="541"/>
      <c r="FQ138" s="541"/>
      <c r="FR138" s="541"/>
      <c r="FS138" s="541"/>
      <c r="FT138" s="541"/>
      <c r="FU138" s="541"/>
      <c r="FV138" s="541"/>
      <c r="FW138" s="541"/>
      <c r="FX138" s="541"/>
      <c r="FY138" s="541"/>
      <c r="FZ138" s="541"/>
      <c r="GA138" s="541"/>
      <c r="GB138" s="541"/>
      <c r="GC138" s="541"/>
      <c r="GD138" s="541"/>
      <c r="GE138" s="541"/>
      <c r="GF138" s="541"/>
      <c r="GG138" s="541"/>
      <c r="GH138" s="541"/>
      <c r="GI138" s="541"/>
      <c r="GJ138" s="541"/>
      <c r="GK138" s="541"/>
      <c r="GL138" s="541"/>
      <c r="GM138" s="541"/>
      <c r="GN138" s="541"/>
      <c r="GO138" s="541"/>
      <c r="GP138" s="541"/>
      <c r="GQ138" s="541"/>
      <c r="GR138" s="541"/>
      <c r="GS138" s="541"/>
      <c r="GT138" s="541"/>
      <c r="GU138" s="541"/>
      <c r="GV138" s="541"/>
      <c r="GW138" s="541"/>
      <c r="GX138" s="541"/>
      <c r="GY138" s="541"/>
      <c r="GZ138" s="541"/>
      <c r="HA138" s="541"/>
      <c r="HB138" s="541"/>
      <c r="HC138" s="541"/>
      <c r="HD138" s="541"/>
      <c r="HE138" s="541"/>
      <c r="HF138" s="541"/>
      <c r="HG138" s="541"/>
      <c r="HH138" s="541"/>
      <c r="HI138" s="541"/>
      <c r="HJ138" s="541"/>
      <c r="HK138" s="541"/>
      <c r="HL138" s="541"/>
      <c r="HM138" s="541"/>
      <c r="HN138" s="541"/>
      <c r="HO138" s="541"/>
      <c r="HP138" s="541"/>
      <c r="HQ138" s="541"/>
      <c r="HR138" s="541"/>
      <c r="HS138" s="541"/>
      <c r="HT138" s="541"/>
      <c r="HU138" s="541"/>
      <c r="HV138" s="541"/>
      <c r="HW138" s="541"/>
      <c r="HX138" s="541"/>
      <c r="HY138" s="541"/>
      <c r="HZ138" s="541"/>
      <c r="IA138" s="541"/>
      <c r="IB138" s="541"/>
      <c r="IC138" s="541"/>
      <c r="ID138" s="541"/>
      <c r="IE138" s="541"/>
      <c r="IF138" s="541"/>
      <c r="IG138" s="541"/>
      <c r="IH138" s="541"/>
      <c r="II138" s="541"/>
      <c r="IJ138" s="541"/>
      <c r="IK138" s="541"/>
      <c r="IL138" s="541"/>
      <c r="IM138" s="541"/>
      <c r="IN138" s="541"/>
      <c r="IO138" s="541"/>
      <c r="IP138" s="541"/>
      <c r="IQ138" s="541"/>
      <c r="IR138" s="541"/>
      <c r="IS138" s="541"/>
      <c r="IT138" s="541"/>
      <c r="IU138" s="541"/>
      <c r="IV138" s="541"/>
      <c r="IW138" s="541"/>
      <c r="IX138" s="541"/>
      <c r="IY138" s="541"/>
      <c r="IZ138" s="541"/>
      <c r="JA138" s="541"/>
      <c r="JB138" s="541"/>
      <c r="JC138" s="541"/>
      <c r="JD138" s="541"/>
      <c r="JE138" s="541"/>
      <c r="JF138" s="541"/>
      <c r="JG138" s="541"/>
      <c r="JH138" s="541"/>
      <c r="JI138" s="541"/>
      <c r="JJ138" s="541"/>
      <c r="JK138" s="541"/>
      <c r="JL138" s="541"/>
      <c r="JM138" s="541"/>
      <c r="JN138" s="541"/>
      <c r="JO138" s="541"/>
      <c r="JP138" s="541"/>
      <c r="JQ138" s="541"/>
      <c r="JR138" s="541"/>
      <c r="JS138" s="541"/>
      <c r="JT138" s="541"/>
      <c r="JU138" s="541"/>
      <c r="JV138" s="541"/>
      <c r="JW138" s="541"/>
      <c r="JX138" s="541"/>
      <c r="JY138" s="541"/>
      <c r="JZ138" s="541"/>
      <c r="KA138" s="541"/>
      <c r="KB138" s="541"/>
      <c r="KC138" s="541"/>
      <c r="KD138" s="541"/>
      <c r="KE138" s="541"/>
      <c r="KF138" s="541"/>
      <c r="KG138" s="541"/>
      <c r="KH138" s="541"/>
      <c r="KI138" s="541"/>
      <c r="KJ138" s="541"/>
      <c r="KK138" s="541"/>
      <c r="KL138" s="541"/>
      <c r="KM138" s="541"/>
      <c r="KN138" s="541"/>
      <c r="KO138" s="541"/>
      <c r="KP138" s="541"/>
      <c r="KQ138" s="541"/>
      <c r="KR138" s="541"/>
      <c r="KS138" s="541"/>
      <c r="KT138" s="541"/>
      <c r="KU138" s="541"/>
      <c r="KV138" s="541"/>
      <c r="KW138" s="541"/>
      <c r="KX138" s="541"/>
      <c r="KY138" s="541"/>
      <c r="KZ138" s="541"/>
      <c r="LA138" s="541"/>
      <c r="LB138" s="541"/>
      <c r="LC138" s="541"/>
      <c r="LD138" s="541"/>
      <c r="LE138" s="541"/>
      <c r="LF138" s="541"/>
      <c r="LG138" s="541"/>
      <c r="LH138" s="541"/>
      <c r="LI138" s="541"/>
      <c r="LJ138" s="541"/>
      <c r="LK138" s="541"/>
      <c r="LL138" s="541"/>
      <c r="LM138" s="541"/>
      <c r="LN138" s="541"/>
      <c r="LO138" s="541"/>
      <c r="LP138" s="541"/>
      <c r="LQ138" s="541"/>
      <c r="LR138" s="541"/>
      <c r="LS138" s="541"/>
      <c r="LT138" s="541"/>
      <c r="LU138" s="541"/>
      <c r="LV138" s="541"/>
      <c r="LW138" s="541"/>
      <c r="LX138" s="541"/>
      <c r="LY138" s="541"/>
      <c r="LZ138" s="541"/>
      <c r="MA138" s="541"/>
      <c r="MB138" s="541"/>
      <c r="MC138" s="541"/>
      <c r="MD138" s="541"/>
      <c r="ME138" s="541"/>
      <c r="MF138" s="541"/>
      <c r="MG138" s="541"/>
      <c r="MH138" s="541"/>
      <c r="MI138" s="541"/>
      <c r="MJ138" s="541"/>
      <c r="MK138" s="541"/>
      <c r="ML138" s="541"/>
      <c r="MM138" s="541"/>
      <c r="MN138" s="541"/>
      <c r="MO138" s="541"/>
      <c r="MP138" s="541"/>
      <c r="MQ138" s="541"/>
      <c r="MR138" s="541"/>
      <c r="MS138" s="541"/>
      <c r="MT138" s="541"/>
      <c r="MU138" s="541"/>
      <c r="MV138" s="541"/>
      <c r="MW138" s="541"/>
      <c r="MX138" s="541"/>
      <c r="MY138" s="541"/>
      <c r="MZ138" s="541"/>
      <c r="NA138" s="541"/>
      <c r="NB138" s="541"/>
      <c r="NC138" s="541"/>
      <c r="ND138" s="541"/>
      <c r="NE138" s="541"/>
      <c r="NF138" s="541"/>
      <c r="NG138" s="541"/>
      <c r="NH138" s="541"/>
      <c r="NI138" s="541"/>
      <c r="NJ138" s="541"/>
      <c r="NK138" s="541"/>
      <c r="NL138" s="541"/>
      <c r="NM138" s="541"/>
      <c r="NN138" s="541"/>
      <c r="NO138" s="541"/>
      <c r="NP138" s="541"/>
      <c r="NQ138" s="541"/>
      <c r="NR138" s="541"/>
      <c r="NS138" s="541"/>
      <c r="NT138" s="541"/>
      <c r="NU138" s="541"/>
      <c r="NV138" s="541"/>
      <c r="NW138" s="541"/>
      <c r="NX138" s="541"/>
      <c r="NY138" s="541"/>
      <c r="NZ138" s="541"/>
      <c r="OA138" s="541"/>
      <c r="OB138" s="541"/>
      <c r="OC138" s="541"/>
      <c r="OD138" s="541"/>
      <c r="OE138" s="541"/>
      <c r="OF138" s="541"/>
      <c r="OG138" s="541"/>
      <c r="OH138" s="541"/>
      <c r="OI138" s="541"/>
      <c r="OJ138" s="541"/>
      <c r="OK138" s="541"/>
      <c r="OL138" s="541"/>
      <c r="OM138" s="541"/>
      <c r="ON138" s="541"/>
      <c r="OO138" s="541"/>
      <c r="OP138" s="541"/>
      <c r="OQ138" s="541"/>
      <c r="OR138" s="541"/>
      <c r="OS138" s="541"/>
      <c r="OT138" s="541"/>
      <c r="OU138" s="541"/>
      <c r="OV138" s="541"/>
      <c r="OW138" s="541"/>
      <c r="OX138" s="541"/>
      <c r="OY138" s="541"/>
      <c r="OZ138" s="541"/>
      <c r="PA138" s="541"/>
      <c r="PB138" s="541"/>
      <c r="PC138" s="541"/>
      <c r="PD138" s="541"/>
      <c r="PE138" s="541"/>
      <c r="PF138" s="541"/>
      <c r="PG138" s="541"/>
      <c r="PH138" s="541"/>
      <c r="PI138" s="541"/>
      <c r="PJ138" s="541"/>
      <c r="PK138" s="541"/>
      <c r="PL138" s="541"/>
      <c r="PM138" s="541"/>
      <c r="PN138" s="541"/>
      <c r="PO138" s="541"/>
      <c r="PP138" s="541"/>
      <c r="PQ138" s="541"/>
      <c r="PR138" s="541"/>
      <c r="PS138" s="541"/>
      <c r="PT138" s="541"/>
      <c r="PU138" s="541"/>
      <c r="PV138" s="541"/>
      <c r="PW138" s="541"/>
      <c r="PX138" s="541"/>
      <c r="PY138" s="541"/>
      <c r="PZ138" s="541"/>
      <c r="QA138" s="541"/>
      <c r="QB138" s="541"/>
      <c r="QC138" s="541"/>
      <c r="QD138" s="541"/>
      <c r="QE138" s="541"/>
      <c r="QF138" s="541"/>
      <c r="QG138" s="541"/>
      <c r="QH138" s="541"/>
      <c r="QI138" s="541"/>
      <c r="QJ138" s="541"/>
      <c r="QK138" s="541"/>
      <c r="QL138" s="541"/>
      <c r="QM138" s="541"/>
      <c r="QN138" s="541"/>
      <c r="QO138" s="541"/>
      <c r="QP138" s="541"/>
      <c r="QQ138" s="541"/>
      <c r="QR138" s="541"/>
      <c r="QS138" s="541"/>
      <c r="QT138" s="541"/>
      <c r="QU138" s="541"/>
      <c r="QV138" s="541"/>
      <c r="QW138" s="541"/>
      <c r="QX138" s="541"/>
      <c r="QY138" s="541"/>
      <c r="QZ138" s="541"/>
      <c r="RA138" s="541"/>
      <c r="RB138" s="541"/>
      <c r="RC138" s="541"/>
      <c r="RD138" s="541"/>
      <c r="RE138" s="541"/>
      <c r="RF138" s="541"/>
      <c r="RG138" s="541"/>
      <c r="RH138" s="541"/>
      <c r="RI138" s="541"/>
      <c r="RJ138" s="541"/>
      <c r="RK138" s="541"/>
      <c r="RL138" s="541"/>
      <c r="RM138" s="541"/>
      <c r="RN138" s="541"/>
      <c r="RO138" s="541"/>
      <c r="RP138" s="541"/>
      <c r="RQ138" s="541"/>
      <c r="RR138" s="541"/>
      <c r="RS138" s="541"/>
      <c r="RT138" s="541"/>
      <c r="RU138" s="541"/>
      <c r="RV138" s="541"/>
      <c r="RW138" s="541"/>
      <c r="RX138" s="541"/>
      <c r="RY138" s="541"/>
      <c r="RZ138" s="541"/>
      <c r="SA138" s="541"/>
      <c r="SB138" s="541"/>
      <c r="SC138" s="541"/>
      <c r="SD138" s="541"/>
      <c r="SE138" s="541"/>
      <c r="SF138" s="541"/>
      <c r="SG138" s="541"/>
      <c r="SH138" s="541"/>
      <c r="SI138" s="541"/>
      <c r="SJ138" s="541"/>
      <c r="SK138" s="541"/>
      <c r="SL138" s="541"/>
      <c r="SM138" s="541"/>
      <c r="SN138" s="541"/>
      <c r="SO138" s="541"/>
      <c r="SP138" s="541"/>
      <c r="SQ138" s="541"/>
      <c r="SR138" s="541"/>
      <c r="SS138" s="541"/>
      <c r="ST138" s="541"/>
      <c r="SU138" s="541"/>
      <c r="SV138" s="541"/>
      <c r="SW138" s="541"/>
      <c r="SX138" s="541"/>
      <c r="SY138" s="541"/>
      <c r="SZ138" s="541"/>
      <c r="TA138" s="541"/>
      <c r="TB138" s="541"/>
      <c r="TC138" s="541"/>
      <c r="TD138" s="541"/>
      <c r="TE138" s="541"/>
      <c r="TF138" s="541"/>
      <c r="TG138" s="541"/>
      <c r="TH138" s="541"/>
      <c r="TI138" s="541"/>
      <c r="TJ138" s="541"/>
      <c r="TK138" s="541"/>
      <c r="TL138" s="541"/>
      <c r="TM138" s="541"/>
      <c r="TN138" s="541"/>
      <c r="TO138" s="541"/>
      <c r="TP138" s="541"/>
      <c r="TQ138" s="541"/>
      <c r="TR138" s="541"/>
      <c r="TS138" s="541"/>
      <c r="TT138" s="541"/>
      <c r="TU138" s="541"/>
      <c r="TV138" s="541"/>
      <c r="TW138" s="541"/>
      <c r="TX138" s="541"/>
      <c r="TY138" s="541"/>
      <c r="TZ138" s="541"/>
      <c r="UA138" s="541"/>
      <c r="UB138" s="541"/>
      <c r="UC138" s="541"/>
      <c r="UD138" s="541"/>
      <c r="UE138" s="541"/>
      <c r="UF138" s="541"/>
      <c r="UG138" s="541"/>
      <c r="UH138" s="541"/>
      <c r="UI138" s="541"/>
      <c r="UJ138" s="541"/>
      <c r="UK138" s="541"/>
      <c r="UL138" s="541"/>
      <c r="UM138" s="541"/>
      <c r="UN138" s="541"/>
      <c r="UO138" s="541"/>
      <c r="UP138" s="541"/>
      <c r="UQ138" s="541"/>
      <c r="UR138" s="541"/>
      <c r="US138" s="541"/>
      <c r="UT138" s="541"/>
      <c r="UU138" s="541"/>
      <c r="UV138" s="541"/>
      <c r="UW138" s="541"/>
      <c r="UX138" s="541"/>
      <c r="UY138" s="541"/>
      <c r="UZ138" s="541"/>
      <c r="VA138" s="541"/>
      <c r="VB138" s="541"/>
      <c r="VC138" s="541"/>
      <c r="VD138" s="541"/>
      <c r="VE138" s="541"/>
      <c r="VF138" s="541"/>
      <c r="VG138" s="541"/>
      <c r="VH138" s="541"/>
      <c r="VI138" s="541"/>
      <c r="VJ138" s="541"/>
      <c r="VK138" s="541"/>
      <c r="VL138" s="541"/>
      <c r="VM138" s="541"/>
      <c r="VN138" s="541"/>
      <c r="VO138" s="541"/>
      <c r="VP138" s="541"/>
      <c r="VQ138" s="541"/>
      <c r="VR138" s="541"/>
      <c r="VS138" s="541"/>
      <c r="VT138" s="541"/>
      <c r="VU138" s="541"/>
      <c r="VV138" s="541"/>
      <c r="VW138" s="541"/>
      <c r="VX138" s="541"/>
      <c r="VY138" s="541"/>
      <c r="VZ138" s="541"/>
      <c r="WA138" s="541"/>
      <c r="WB138" s="541"/>
      <c r="WC138" s="541"/>
      <c r="WD138" s="541"/>
      <c r="WE138" s="541"/>
      <c r="WF138" s="541"/>
      <c r="WG138" s="541"/>
      <c r="WH138" s="541"/>
      <c r="WI138" s="541"/>
      <c r="WJ138" s="541"/>
      <c r="WK138" s="541"/>
      <c r="WL138" s="541"/>
      <c r="WM138" s="541"/>
      <c r="WN138" s="541"/>
      <c r="WO138" s="541"/>
      <c r="WP138" s="541"/>
      <c r="WQ138" s="541"/>
      <c r="WR138" s="541"/>
      <c r="WS138" s="541"/>
      <c r="WT138" s="541"/>
      <c r="WU138" s="541"/>
      <c r="WV138" s="541"/>
      <c r="WW138" s="541"/>
      <c r="WX138" s="541"/>
      <c r="WY138" s="541"/>
      <c r="WZ138" s="541"/>
      <c r="XA138" s="541"/>
      <c r="XB138" s="541"/>
      <c r="XC138" s="541"/>
      <c r="XD138" s="541"/>
      <c r="XE138" s="541"/>
      <c r="XF138" s="541"/>
      <c r="XG138" s="541"/>
      <c r="XH138" s="541"/>
      <c r="XI138" s="541"/>
      <c r="XJ138" s="541"/>
      <c r="XK138" s="541"/>
      <c r="XL138" s="541"/>
      <c r="XM138" s="541"/>
      <c r="XN138" s="541"/>
      <c r="XO138" s="541"/>
      <c r="XP138" s="541"/>
      <c r="XQ138" s="541"/>
      <c r="XR138" s="541"/>
      <c r="XS138" s="541"/>
      <c r="XT138" s="541"/>
      <c r="XU138" s="541"/>
      <c r="XV138" s="541"/>
      <c r="XW138" s="541"/>
      <c r="XX138" s="541"/>
      <c r="XY138" s="541"/>
      <c r="XZ138" s="541"/>
      <c r="YA138" s="541"/>
      <c r="YB138" s="541"/>
      <c r="YC138" s="541"/>
      <c r="YD138" s="541"/>
      <c r="YE138" s="541"/>
      <c r="YF138" s="541"/>
      <c r="YG138" s="541"/>
      <c r="YH138" s="541"/>
      <c r="YI138" s="541"/>
      <c r="YJ138" s="541"/>
      <c r="YK138" s="541"/>
      <c r="YL138" s="541"/>
      <c r="YM138" s="541"/>
      <c r="YN138" s="541"/>
      <c r="YO138" s="541"/>
      <c r="YP138" s="541"/>
      <c r="YQ138" s="541"/>
      <c r="YR138" s="541"/>
      <c r="YS138" s="541"/>
      <c r="YT138" s="541"/>
      <c r="YU138" s="541"/>
      <c r="YV138" s="541"/>
      <c r="YW138" s="541"/>
      <c r="YX138" s="541"/>
      <c r="YY138" s="541"/>
      <c r="YZ138" s="541"/>
      <c r="ZA138" s="541"/>
      <c r="ZB138" s="541"/>
      <c r="ZC138" s="541"/>
      <c r="ZD138" s="541"/>
      <c r="ZE138" s="541"/>
      <c r="ZF138" s="541"/>
      <c r="ZG138" s="541"/>
      <c r="ZH138" s="541"/>
      <c r="ZI138" s="541"/>
      <c r="ZJ138" s="541"/>
      <c r="ZK138" s="541"/>
      <c r="ZL138" s="541"/>
      <c r="ZM138" s="541"/>
      <c r="ZN138" s="541"/>
      <c r="ZO138" s="541"/>
      <c r="ZP138" s="541"/>
      <c r="ZQ138" s="541"/>
      <c r="ZR138" s="541"/>
      <c r="ZS138" s="541"/>
      <c r="ZT138" s="541"/>
      <c r="ZU138" s="541"/>
      <c r="ZV138" s="541"/>
      <c r="ZW138" s="541"/>
      <c r="ZX138" s="541"/>
      <c r="ZY138" s="541"/>
      <c r="ZZ138" s="541"/>
      <c r="AAA138" s="541"/>
      <c r="AAB138" s="541"/>
      <c r="AAC138" s="541"/>
      <c r="AAD138" s="541"/>
      <c r="AAE138" s="541"/>
      <c r="AAF138" s="541"/>
      <c r="AAG138" s="541"/>
      <c r="AAH138" s="541"/>
      <c r="AAI138" s="541"/>
      <c r="AAJ138" s="541"/>
      <c r="AAK138" s="541"/>
      <c r="AAL138" s="541"/>
      <c r="AAM138" s="541"/>
      <c r="AAN138" s="541"/>
      <c r="AAO138" s="541"/>
      <c r="AAP138" s="541"/>
      <c r="AAQ138" s="541"/>
      <c r="AAR138" s="541"/>
      <c r="AAS138" s="541"/>
      <c r="AAT138" s="541"/>
      <c r="AAU138" s="541"/>
      <c r="AAV138" s="541"/>
      <c r="AAW138" s="541"/>
      <c r="AAX138" s="541"/>
      <c r="AAY138" s="541"/>
      <c r="AAZ138" s="541"/>
      <c r="ABA138" s="541"/>
      <c r="ABB138" s="541"/>
      <c r="ABC138" s="541"/>
      <c r="ABD138" s="541"/>
      <c r="ABE138" s="541"/>
      <c r="ABF138" s="541"/>
      <c r="ABG138" s="541"/>
      <c r="ABH138" s="541"/>
      <c r="ABI138" s="541"/>
      <c r="ABJ138" s="541"/>
      <c r="ABK138" s="541"/>
      <c r="ABL138" s="541"/>
      <c r="ABM138" s="541"/>
      <c r="ABN138" s="541"/>
      <c r="ABO138" s="541"/>
      <c r="ABP138" s="541"/>
      <c r="ABQ138" s="541"/>
      <c r="ABR138" s="541"/>
      <c r="ABS138" s="541"/>
      <c r="ABT138" s="541"/>
      <c r="ABU138" s="541"/>
      <c r="ABV138" s="541"/>
      <c r="ABW138" s="541"/>
      <c r="ABX138" s="541"/>
      <c r="ABY138" s="541"/>
      <c r="ABZ138" s="541"/>
      <c r="ACA138" s="541"/>
      <c r="ACB138" s="541"/>
      <c r="ACC138" s="541"/>
      <c r="ACD138" s="541"/>
      <c r="ACE138" s="541"/>
      <c r="ACF138" s="541"/>
      <c r="ACG138" s="541"/>
      <c r="ACH138" s="541"/>
      <c r="ACI138" s="541"/>
      <c r="ACJ138" s="541"/>
      <c r="ACK138" s="541"/>
      <c r="ACL138" s="541"/>
      <c r="ACM138" s="541"/>
      <c r="ACN138" s="541"/>
      <c r="ACO138" s="541"/>
      <c r="ACP138" s="541"/>
      <c r="ACQ138" s="541"/>
      <c r="ACR138" s="541"/>
      <c r="ACS138" s="541"/>
      <c r="ACT138" s="541"/>
      <c r="ACU138" s="541"/>
      <c r="ACV138" s="541"/>
      <c r="ACW138" s="541"/>
      <c r="ACX138" s="541"/>
      <c r="ACY138" s="541"/>
      <c r="ACZ138" s="541"/>
      <c r="ADA138" s="541"/>
      <c r="ADB138" s="541"/>
      <c r="ADC138" s="541"/>
      <c r="ADD138" s="541"/>
      <c r="ADE138" s="541"/>
      <c r="ADF138" s="541"/>
      <c r="ADG138" s="541"/>
      <c r="ADH138" s="541"/>
      <c r="ADI138" s="541"/>
      <c r="ADJ138" s="541"/>
      <c r="ADK138" s="541"/>
      <c r="ADL138" s="541"/>
      <c r="ADM138" s="541"/>
      <c r="ADN138" s="541"/>
      <c r="ADO138" s="541"/>
      <c r="ADP138" s="541"/>
      <c r="ADQ138" s="541"/>
      <c r="ADR138" s="541"/>
      <c r="ADS138" s="541"/>
      <c r="ADT138" s="541"/>
      <c r="ADU138" s="541"/>
      <c r="ADV138" s="541"/>
      <c r="ADW138" s="541"/>
      <c r="ADX138" s="541"/>
      <c r="ADY138" s="541"/>
      <c r="ADZ138" s="541"/>
      <c r="AEA138" s="541"/>
      <c r="AEB138" s="541"/>
      <c r="AEC138" s="541"/>
      <c r="AED138" s="541"/>
      <c r="AEE138" s="541"/>
      <c r="AEF138" s="541"/>
      <c r="AEG138" s="541"/>
      <c r="AEH138" s="541"/>
      <c r="AEI138" s="541"/>
      <c r="AEJ138" s="541"/>
      <c r="AEK138" s="541"/>
      <c r="AEL138" s="541"/>
      <c r="AEM138" s="541"/>
      <c r="AEN138" s="541"/>
      <c r="AEO138" s="541"/>
      <c r="AEP138" s="541"/>
      <c r="AEQ138" s="541"/>
      <c r="AER138" s="541"/>
      <c r="AES138" s="541"/>
      <c r="AET138" s="541"/>
      <c r="AEU138" s="541"/>
      <c r="AEV138" s="541"/>
      <c r="AEW138" s="541"/>
      <c r="AEX138" s="541"/>
      <c r="AEY138" s="541"/>
      <c r="AEZ138" s="541"/>
      <c r="AFA138" s="541"/>
      <c r="AFB138" s="541"/>
      <c r="AFC138" s="541"/>
      <c r="AFD138" s="541"/>
      <c r="AFE138" s="541"/>
      <c r="AFF138" s="541"/>
      <c r="AFG138" s="541"/>
      <c r="AFH138" s="541"/>
      <c r="AFI138" s="541"/>
      <c r="AFJ138" s="541"/>
      <c r="AFK138" s="541"/>
      <c r="AFL138" s="541"/>
      <c r="AFM138" s="541"/>
      <c r="AFN138" s="541"/>
      <c r="AFO138" s="541"/>
      <c r="AFP138" s="541"/>
      <c r="AFQ138" s="541"/>
      <c r="AFR138" s="541"/>
      <c r="AFS138" s="541"/>
      <c r="AFT138" s="541"/>
      <c r="AFU138" s="541"/>
      <c r="AFV138" s="541"/>
      <c r="AFW138" s="541"/>
      <c r="AFX138" s="541"/>
      <c r="AFY138" s="541"/>
      <c r="AFZ138" s="541"/>
      <c r="AGA138" s="541"/>
      <c r="AGB138" s="541"/>
      <c r="AGC138" s="541"/>
      <c r="AGD138" s="541"/>
      <c r="AGE138" s="541"/>
      <c r="AGF138" s="541"/>
      <c r="AGG138" s="541"/>
      <c r="AGH138" s="541"/>
      <c r="AGI138" s="541"/>
      <c r="AGJ138" s="541"/>
      <c r="AGK138" s="541"/>
      <c r="AGL138" s="541"/>
      <c r="AGM138" s="541"/>
      <c r="AGN138" s="541"/>
      <c r="AGO138" s="541"/>
      <c r="AGP138" s="541"/>
      <c r="AGQ138" s="541"/>
      <c r="AGR138" s="541"/>
      <c r="AGS138" s="541"/>
      <c r="AGT138" s="541"/>
      <c r="AGU138" s="541"/>
      <c r="AGV138" s="541"/>
      <c r="AGW138" s="541"/>
      <c r="AGX138" s="541"/>
      <c r="AGY138" s="541"/>
      <c r="AGZ138" s="541"/>
      <c r="AHA138" s="541"/>
      <c r="AHB138" s="541"/>
      <c r="AHC138" s="541"/>
      <c r="AHD138" s="541"/>
      <c r="AHE138" s="541"/>
      <c r="AHF138" s="541"/>
      <c r="AHG138" s="541"/>
      <c r="AHH138" s="541"/>
      <c r="AHI138" s="541"/>
      <c r="AHJ138" s="541"/>
      <c r="AHK138" s="541"/>
      <c r="AHL138" s="541"/>
      <c r="AHM138" s="541"/>
      <c r="AHN138" s="541"/>
      <c r="AHO138" s="541"/>
      <c r="AHP138" s="541"/>
      <c r="AHQ138" s="541"/>
      <c r="AHR138" s="541"/>
      <c r="AHS138" s="541"/>
      <c r="AHT138" s="541"/>
      <c r="AHU138" s="541"/>
      <c r="AHV138" s="541"/>
      <c r="AHW138" s="541"/>
      <c r="AHX138" s="541"/>
      <c r="AHY138" s="541"/>
      <c r="AHZ138" s="541"/>
      <c r="AIA138" s="541"/>
      <c r="AIB138" s="541"/>
      <c r="AIC138" s="541"/>
      <c r="AID138" s="541"/>
      <c r="AIE138" s="541"/>
      <c r="AIF138" s="541"/>
      <c r="AIG138" s="541"/>
      <c r="AIH138" s="541"/>
      <c r="AII138" s="541"/>
      <c r="AIJ138" s="541"/>
      <c r="AIK138" s="541"/>
      <c r="AIL138" s="541"/>
      <c r="AIM138" s="541"/>
      <c r="AIN138" s="541"/>
      <c r="AIO138" s="541"/>
      <c r="AIP138" s="541"/>
      <c r="AIQ138" s="541"/>
      <c r="AIR138" s="541"/>
      <c r="AIS138" s="541"/>
      <c r="AIT138" s="541"/>
      <c r="AIU138" s="541"/>
      <c r="AIV138" s="541"/>
      <c r="AIW138" s="541"/>
      <c r="AIX138" s="541"/>
      <c r="AIY138" s="541"/>
      <c r="AIZ138" s="541"/>
      <c r="AJA138" s="541"/>
      <c r="AJB138" s="541"/>
      <c r="AJC138" s="541"/>
      <c r="AJD138" s="541"/>
      <c r="AJE138" s="541"/>
      <c r="AJF138" s="541"/>
      <c r="AJG138" s="541"/>
      <c r="AJH138" s="541"/>
      <c r="AJI138" s="541"/>
      <c r="AJJ138" s="541"/>
      <c r="AJK138" s="541"/>
      <c r="AJL138" s="541"/>
      <c r="AJM138" s="541"/>
      <c r="AJN138" s="541"/>
      <c r="AJO138" s="541"/>
      <c r="AJP138" s="541"/>
      <c r="AJQ138" s="541"/>
      <c r="AJR138" s="541"/>
      <c r="AJS138" s="541"/>
      <c r="AJT138" s="541"/>
      <c r="AJU138" s="541"/>
      <c r="AJV138" s="541"/>
      <c r="AJW138" s="541"/>
      <c r="AJX138" s="541"/>
      <c r="AJY138" s="541"/>
      <c r="AJZ138" s="541"/>
      <c r="AKA138" s="541"/>
      <c r="AKB138" s="541"/>
      <c r="AKC138" s="541"/>
      <c r="AKD138" s="541"/>
      <c r="AKE138" s="541"/>
      <c r="AKF138" s="541"/>
      <c r="AKG138" s="541"/>
      <c r="AKH138" s="541"/>
      <c r="AKI138" s="541"/>
      <c r="AKJ138" s="541"/>
      <c r="AKK138" s="541"/>
      <c r="AKL138" s="541"/>
      <c r="AKM138" s="541"/>
      <c r="AKN138" s="541"/>
      <c r="AKO138" s="541"/>
      <c r="AKP138" s="541"/>
      <c r="AKQ138" s="541"/>
      <c r="AKR138" s="541"/>
      <c r="AKS138" s="541"/>
      <c r="AKT138" s="541"/>
      <c r="AKU138" s="541"/>
      <c r="AKV138" s="541"/>
      <c r="AKW138" s="541"/>
      <c r="AKX138" s="541"/>
      <c r="AKY138" s="541"/>
      <c r="AKZ138" s="541"/>
      <c r="ALA138" s="541"/>
      <c r="ALB138" s="541"/>
      <c r="ALC138" s="541"/>
      <c r="ALD138" s="541"/>
      <c r="ALE138" s="541"/>
      <c r="ALF138" s="541"/>
      <c r="ALG138" s="541"/>
      <c r="ALH138" s="541"/>
      <c r="ALI138" s="541"/>
      <c r="ALJ138" s="541"/>
      <c r="ALK138" s="541"/>
      <c r="ALL138" s="541"/>
      <c r="ALM138" s="541"/>
      <c r="ALN138" s="541"/>
      <c r="ALO138" s="541"/>
      <c r="ALP138" s="541"/>
      <c r="ALQ138" s="541"/>
      <c r="ALR138" s="541"/>
      <c r="ALS138" s="541"/>
      <c r="ALT138" s="541"/>
      <c r="ALU138" s="541"/>
      <c r="ALV138" s="541"/>
      <c r="ALW138" s="541"/>
      <c r="ALX138" s="541"/>
      <c r="ALY138" s="541"/>
      <c r="ALZ138" s="541"/>
      <c r="AMA138" s="541"/>
      <c r="AMB138" s="541"/>
      <c r="AMC138" s="541"/>
      <c r="AMD138" s="541"/>
      <c r="AME138" s="541"/>
      <c r="AMF138" s="541"/>
      <c r="AMG138" s="541"/>
      <c r="AMH138" s="541"/>
      <c r="AMI138" s="541"/>
      <c r="AMJ138" s="541"/>
      <c r="AMK138" s="541"/>
      <c r="AML138" s="541"/>
      <c r="AMM138" s="541"/>
      <c r="AMN138" s="541"/>
      <c r="AMO138" s="541"/>
      <c r="AMP138" s="541"/>
      <c r="AMQ138" s="541"/>
      <c r="AMR138" s="541"/>
      <c r="AMS138" s="541"/>
      <c r="AMT138" s="541"/>
      <c r="AMU138" s="541"/>
      <c r="AMV138" s="541"/>
      <c r="AMW138" s="541"/>
      <c r="AMX138" s="541"/>
      <c r="AMY138" s="541"/>
      <c r="AMZ138" s="541"/>
      <c r="ANA138" s="541"/>
      <c r="ANB138" s="541"/>
      <c r="ANC138" s="541"/>
      <c r="AND138" s="541"/>
      <c r="ANE138" s="541"/>
      <c r="ANF138" s="541"/>
      <c r="ANG138" s="541"/>
      <c r="ANH138" s="541"/>
      <c r="ANI138" s="541"/>
      <c r="ANJ138" s="541"/>
      <c r="ANK138" s="541"/>
      <c r="ANL138" s="541"/>
      <c r="ANM138" s="541"/>
      <c r="ANN138" s="541"/>
      <c r="ANO138" s="541"/>
      <c r="ANP138" s="541"/>
      <c r="ANQ138" s="541"/>
      <c r="ANR138" s="541"/>
      <c r="ANS138" s="541"/>
      <c r="ANT138" s="541"/>
      <c r="ANU138" s="541"/>
      <c r="ANV138" s="541"/>
      <c r="ANW138" s="541"/>
      <c r="ANX138" s="541"/>
      <c r="ANY138" s="541"/>
      <c r="ANZ138" s="541"/>
      <c r="AOA138" s="541"/>
      <c r="AOB138" s="541"/>
      <c r="AOC138" s="541"/>
      <c r="AOD138" s="541"/>
      <c r="AOE138" s="541"/>
      <c r="AOF138" s="541"/>
      <c r="AOG138" s="541"/>
      <c r="AOH138" s="541"/>
      <c r="AOI138" s="541"/>
      <c r="AOJ138" s="541"/>
      <c r="AOK138" s="541"/>
      <c r="AOL138" s="541"/>
      <c r="AOM138" s="541"/>
      <c r="AON138" s="541"/>
      <c r="AOO138" s="541"/>
      <c r="AOP138" s="541"/>
      <c r="AOQ138" s="541"/>
      <c r="AOR138" s="541"/>
      <c r="AOS138" s="541"/>
      <c r="AOT138" s="541"/>
      <c r="AOU138" s="541"/>
      <c r="AOV138" s="541"/>
      <c r="AOW138" s="541"/>
      <c r="AOX138" s="541"/>
      <c r="AOY138" s="541"/>
      <c r="AOZ138" s="541"/>
      <c r="APA138" s="541"/>
      <c r="APB138" s="541"/>
      <c r="APC138" s="541"/>
      <c r="APD138" s="541"/>
      <c r="APE138" s="541"/>
      <c r="APF138" s="541"/>
      <c r="APG138" s="541"/>
      <c r="APH138" s="541"/>
      <c r="API138" s="541"/>
      <c r="APJ138" s="541"/>
      <c r="APK138" s="541"/>
      <c r="APL138" s="541"/>
      <c r="APM138" s="541"/>
      <c r="APN138" s="541"/>
      <c r="APO138" s="541"/>
      <c r="APP138" s="541"/>
      <c r="APQ138" s="541"/>
      <c r="APR138" s="541"/>
      <c r="APS138" s="541"/>
      <c r="APT138" s="541"/>
      <c r="APU138" s="541"/>
      <c r="APV138" s="541"/>
      <c r="APW138" s="541"/>
      <c r="APX138" s="541"/>
      <c r="APY138" s="541"/>
      <c r="APZ138" s="541"/>
      <c r="AQA138" s="541"/>
      <c r="AQB138" s="541"/>
      <c r="AQC138" s="541"/>
      <c r="AQD138" s="541"/>
      <c r="AQE138" s="541"/>
      <c r="AQF138" s="541"/>
      <c r="AQG138" s="541"/>
      <c r="AQH138" s="541"/>
      <c r="AQI138" s="541"/>
      <c r="AQJ138" s="541"/>
      <c r="AQK138" s="541"/>
      <c r="AQL138" s="541"/>
      <c r="AQM138" s="541"/>
      <c r="AQN138" s="541"/>
      <c r="AQO138" s="541"/>
      <c r="AQP138" s="541"/>
      <c r="AQQ138" s="541"/>
      <c r="AQR138" s="541"/>
      <c r="AQS138" s="541"/>
      <c r="AQT138" s="541"/>
      <c r="AQU138" s="541"/>
      <c r="AQV138" s="541"/>
      <c r="AQW138" s="541"/>
      <c r="AQX138" s="541"/>
      <c r="AQY138" s="541"/>
      <c r="AQZ138" s="541"/>
      <c r="ARA138" s="541"/>
      <c r="ARB138" s="541"/>
      <c r="ARC138" s="541"/>
      <c r="ARD138" s="541"/>
      <c r="ARE138" s="541"/>
      <c r="ARF138" s="541"/>
      <c r="ARG138" s="541"/>
      <c r="ARH138" s="541"/>
      <c r="ARI138" s="541"/>
      <c r="ARJ138" s="541"/>
      <c r="ARK138" s="541"/>
      <c r="ARL138" s="541"/>
      <c r="ARM138" s="541"/>
      <c r="ARN138" s="541"/>
      <c r="ARO138" s="541"/>
      <c r="ARP138" s="541"/>
      <c r="ARQ138" s="541"/>
      <c r="ARR138" s="541"/>
      <c r="ARS138" s="541"/>
      <c r="ART138" s="541"/>
      <c r="ARU138" s="541"/>
    </row>
    <row r="139" spans="1:1165" s="658" customFormat="1">
      <c r="A139" s="613" t="s">
        <v>285</v>
      </c>
      <c r="B139" s="578" t="s">
        <v>110</v>
      </c>
      <c r="C139" s="659">
        <f>36059783+58996</f>
        <v>36118779</v>
      </c>
      <c r="D139" s="659">
        <f>289345160+74096</f>
        <v>289419256</v>
      </c>
      <c r="E139" s="581">
        <f>1657610+57510+6486977</f>
        <v>8202097</v>
      </c>
      <c r="F139" s="581">
        <f>12229942+395666+71628071</f>
        <v>84253679</v>
      </c>
      <c r="G139" s="581">
        <f>1192606+5584621+371084</f>
        <v>7148311</v>
      </c>
      <c r="H139" s="581">
        <f>11756182+76432171+4081924</f>
        <v>92270277</v>
      </c>
      <c r="I139" s="581">
        <f>734378+6143446+447938</f>
        <v>7325762</v>
      </c>
      <c r="J139" s="581">
        <f>8025011+95277003+4405318</f>
        <v>107707332</v>
      </c>
      <c r="K139" s="581">
        <v>5419241</v>
      </c>
      <c r="L139" s="581">
        <f>3108688+77486104+5227926+3507394</f>
        <v>89330112</v>
      </c>
      <c r="M139" s="581">
        <f>875714+4977138</f>
        <v>5852852</v>
      </c>
      <c r="N139" s="581">
        <f>11605187+85004101</f>
        <v>96609288</v>
      </c>
      <c r="O139" s="581">
        <v>5968718</v>
      </c>
      <c r="P139" s="581">
        <v>102407489</v>
      </c>
      <c r="Q139" s="581">
        <v>6382235</v>
      </c>
      <c r="R139" s="581">
        <v>116709492</v>
      </c>
      <c r="S139" s="581">
        <v>5649979</v>
      </c>
      <c r="T139" s="581">
        <v>103585095</v>
      </c>
      <c r="U139" s="598">
        <v>5464527</v>
      </c>
      <c r="V139" s="598">
        <v>93583305</v>
      </c>
      <c r="W139" s="598">
        <v>4896893</v>
      </c>
      <c r="X139" s="598">
        <v>85248528</v>
      </c>
      <c r="Y139" s="598">
        <v>4772519</v>
      </c>
      <c r="Z139" s="598">
        <v>111147853</v>
      </c>
      <c r="AA139" s="619">
        <v>4773385</v>
      </c>
      <c r="AB139" s="619">
        <v>128740105</v>
      </c>
      <c r="AC139" s="581">
        <v>5638929</v>
      </c>
      <c r="AD139" s="581">
        <v>159029485</v>
      </c>
      <c r="AE139" s="619">
        <v>5475700</v>
      </c>
      <c r="AF139" s="619">
        <v>152105587</v>
      </c>
      <c r="AG139" s="579">
        <v>6434476</v>
      </c>
      <c r="AH139" s="579">
        <v>150174086</v>
      </c>
      <c r="AI139" s="579">
        <v>6533317</v>
      </c>
      <c r="AJ139" s="579">
        <v>154980117</v>
      </c>
      <c r="AK139" s="661">
        <v>5791703</v>
      </c>
      <c r="AL139" s="661">
        <v>136656820</v>
      </c>
      <c r="AM139" s="662">
        <v>7413286</v>
      </c>
      <c r="AN139" s="662">
        <v>183370087</v>
      </c>
      <c r="AO139" s="579">
        <v>6939914</v>
      </c>
      <c r="AP139" s="579">
        <v>200462609</v>
      </c>
      <c r="AQ139" s="579">
        <v>7015521</v>
      </c>
      <c r="AR139" s="579">
        <v>188894160</v>
      </c>
      <c r="AS139" s="579">
        <v>5780878</v>
      </c>
      <c r="AT139" s="579">
        <v>163634792</v>
      </c>
      <c r="AU139" s="619">
        <v>7282826</v>
      </c>
      <c r="AV139" s="619">
        <v>235698057</v>
      </c>
      <c r="AW139" s="579">
        <v>6599275</v>
      </c>
      <c r="AX139" s="579">
        <v>192414071</v>
      </c>
      <c r="AY139" s="598">
        <v>8004155</v>
      </c>
      <c r="AZ139" s="598">
        <v>189790259</v>
      </c>
      <c r="BA139" s="663"/>
      <c r="BB139" s="598"/>
      <c r="BC139" s="664"/>
      <c r="BD139" s="598"/>
      <c r="BE139" s="664"/>
      <c r="BF139" s="581"/>
      <c r="BG139" s="664"/>
      <c r="BH139" s="581"/>
      <c r="BI139" s="663"/>
      <c r="BJ139" s="598">
        <f t="shared" ref="BJ139:BJ143" si="15">C139+G139+I139+K139+M139+O139+Q139+S139+U139+W139+Y139+AA139+AC139+AE139+AG139+AI139+AK139+AM139+AO139+AQ139+AS139+AU139+AW139+AY139+BB139+BF139</f>
        <v>178683181</v>
      </c>
      <c r="BK139" s="651">
        <f>D139+H139+J139+L139+N139+P139+R139+T139+V139+X139+Z139+AB139+AD139+AF139+AH139+AJ139+AL139+AN139+AP139+AR139+AT139+AV139+AX139+AZ139+BD139+BH139</f>
        <v>3523968262</v>
      </c>
      <c r="BL139" s="541"/>
      <c r="BM139" s="624"/>
      <c r="BN139" s="541"/>
      <c r="BO139" s="541"/>
      <c r="BP139" s="624"/>
      <c r="BQ139" s="541"/>
      <c r="BR139" s="541"/>
      <c r="BS139" s="541"/>
      <c r="BT139" s="541"/>
      <c r="BU139" s="541"/>
      <c r="BV139" s="541"/>
      <c r="BW139" s="541"/>
      <c r="BX139" s="541"/>
      <c r="BY139" s="541"/>
      <c r="BZ139" s="541"/>
      <c r="CA139" s="541"/>
      <c r="CB139" s="541"/>
      <c r="CC139" s="541"/>
      <c r="CD139" s="541"/>
      <c r="CE139" s="541"/>
      <c r="CF139" s="541"/>
      <c r="CG139" s="541"/>
      <c r="CH139" s="541"/>
      <c r="CI139" s="541"/>
      <c r="CJ139" s="541"/>
      <c r="CK139" s="541"/>
      <c r="CL139" s="541"/>
      <c r="CM139" s="541"/>
      <c r="CN139" s="541"/>
      <c r="CO139" s="541"/>
      <c r="CP139" s="541"/>
      <c r="CQ139" s="541"/>
      <c r="CR139" s="541"/>
      <c r="CS139" s="541"/>
      <c r="CT139" s="541"/>
      <c r="CU139" s="541"/>
      <c r="CV139" s="541"/>
      <c r="CW139" s="541"/>
      <c r="CX139" s="541"/>
      <c r="CY139" s="541"/>
      <c r="CZ139" s="541"/>
      <c r="DA139" s="541"/>
      <c r="DB139" s="541"/>
      <c r="DC139" s="541"/>
      <c r="DD139" s="541"/>
      <c r="DE139" s="541"/>
      <c r="DF139" s="541"/>
      <c r="DG139" s="541"/>
      <c r="DH139" s="541"/>
      <c r="DI139" s="541"/>
      <c r="DJ139" s="541"/>
      <c r="DK139" s="541"/>
      <c r="DL139" s="541"/>
      <c r="DM139" s="541"/>
      <c r="DN139" s="541"/>
      <c r="DO139" s="541"/>
      <c r="DP139" s="541"/>
      <c r="DQ139" s="541"/>
      <c r="DR139" s="541"/>
      <c r="DS139" s="541"/>
      <c r="DT139" s="541"/>
      <c r="DU139" s="541"/>
      <c r="DV139" s="541"/>
      <c r="DW139" s="541"/>
      <c r="DX139" s="541"/>
      <c r="DY139" s="541"/>
      <c r="DZ139" s="541"/>
      <c r="EA139" s="541"/>
      <c r="EB139" s="541"/>
      <c r="EC139" s="541"/>
      <c r="ED139" s="541"/>
      <c r="EE139" s="541"/>
      <c r="EF139" s="541"/>
      <c r="EG139" s="541"/>
      <c r="EH139" s="541"/>
      <c r="EI139" s="541"/>
      <c r="EJ139" s="541"/>
      <c r="EK139" s="541"/>
      <c r="EL139" s="541"/>
      <c r="EM139" s="541"/>
      <c r="EN139" s="541"/>
      <c r="EO139" s="541"/>
      <c r="EP139" s="541"/>
      <c r="EQ139" s="541"/>
      <c r="ER139" s="541"/>
      <c r="ES139" s="541"/>
      <c r="ET139" s="541"/>
      <c r="EU139" s="541"/>
      <c r="EV139" s="541"/>
      <c r="EW139" s="541"/>
      <c r="EX139" s="541"/>
      <c r="EY139" s="541"/>
      <c r="EZ139" s="541"/>
      <c r="FA139" s="541"/>
      <c r="FB139" s="541"/>
      <c r="FC139" s="541"/>
      <c r="FD139" s="541"/>
      <c r="FE139" s="541"/>
      <c r="FF139" s="541"/>
      <c r="FG139" s="541"/>
      <c r="FH139" s="541"/>
      <c r="FI139" s="541"/>
      <c r="FJ139" s="541"/>
      <c r="FK139" s="541"/>
      <c r="FL139" s="541"/>
      <c r="FM139" s="541"/>
      <c r="FN139" s="541"/>
      <c r="FO139" s="541"/>
      <c r="FP139" s="541"/>
      <c r="FQ139" s="541"/>
      <c r="FR139" s="541"/>
      <c r="FS139" s="541"/>
      <c r="FT139" s="541"/>
      <c r="FU139" s="541"/>
      <c r="FV139" s="541"/>
      <c r="FW139" s="541"/>
      <c r="FX139" s="541"/>
      <c r="FY139" s="541"/>
      <c r="FZ139" s="541"/>
      <c r="GA139" s="541"/>
      <c r="GB139" s="541"/>
      <c r="GC139" s="541"/>
      <c r="GD139" s="541"/>
      <c r="GE139" s="541"/>
      <c r="GF139" s="541"/>
      <c r="GG139" s="541"/>
      <c r="GH139" s="541"/>
      <c r="GI139" s="541"/>
      <c r="GJ139" s="541"/>
      <c r="GK139" s="541"/>
      <c r="GL139" s="541"/>
      <c r="GM139" s="541"/>
      <c r="GN139" s="541"/>
      <c r="GO139" s="541"/>
      <c r="GP139" s="541"/>
      <c r="GQ139" s="541"/>
      <c r="GR139" s="541"/>
      <c r="GS139" s="541"/>
      <c r="GT139" s="541"/>
      <c r="GU139" s="541"/>
      <c r="GV139" s="541"/>
      <c r="GW139" s="541"/>
      <c r="GX139" s="541"/>
      <c r="GY139" s="541"/>
      <c r="GZ139" s="541"/>
      <c r="HA139" s="541"/>
      <c r="HB139" s="541"/>
      <c r="HC139" s="541"/>
      <c r="HD139" s="541"/>
      <c r="HE139" s="541"/>
      <c r="HF139" s="541"/>
      <c r="HG139" s="541"/>
      <c r="HH139" s="541"/>
      <c r="HI139" s="541"/>
      <c r="HJ139" s="541"/>
      <c r="HK139" s="541"/>
      <c r="HL139" s="541"/>
      <c r="HM139" s="541"/>
      <c r="HN139" s="541"/>
      <c r="HO139" s="541"/>
      <c r="HP139" s="541"/>
      <c r="HQ139" s="541"/>
      <c r="HR139" s="541"/>
      <c r="HS139" s="541"/>
      <c r="HT139" s="541"/>
      <c r="HU139" s="541"/>
      <c r="HV139" s="541"/>
      <c r="HW139" s="541"/>
      <c r="HX139" s="541"/>
      <c r="HY139" s="541"/>
      <c r="HZ139" s="541"/>
      <c r="IA139" s="541"/>
      <c r="IB139" s="541"/>
      <c r="IC139" s="541"/>
      <c r="ID139" s="541"/>
      <c r="IE139" s="541"/>
      <c r="IF139" s="541"/>
      <c r="IG139" s="541"/>
      <c r="IH139" s="541"/>
      <c r="II139" s="541"/>
      <c r="IJ139" s="541"/>
      <c r="IK139" s="541"/>
      <c r="IL139" s="541"/>
      <c r="IM139" s="541"/>
      <c r="IN139" s="541"/>
      <c r="IO139" s="541"/>
      <c r="IP139" s="541"/>
      <c r="IQ139" s="541"/>
      <c r="IR139" s="541"/>
      <c r="IS139" s="541"/>
      <c r="IT139" s="541"/>
      <c r="IU139" s="541"/>
      <c r="IV139" s="541"/>
      <c r="IW139" s="541"/>
      <c r="IX139" s="541"/>
      <c r="IY139" s="541"/>
      <c r="IZ139" s="541"/>
      <c r="JA139" s="541"/>
      <c r="JB139" s="541"/>
      <c r="JC139" s="541"/>
      <c r="JD139" s="541"/>
      <c r="JE139" s="541"/>
      <c r="JF139" s="541"/>
      <c r="JG139" s="541"/>
      <c r="JH139" s="541"/>
      <c r="JI139" s="541"/>
      <c r="JJ139" s="541"/>
      <c r="JK139" s="541"/>
      <c r="JL139" s="541"/>
      <c r="JM139" s="541"/>
      <c r="JN139" s="541"/>
      <c r="JO139" s="541"/>
      <c r="JP139" s="541"/>
      <c r="JQ139" s="541"/>
      <c r="JR139" s="541"/>
      <c r="JS139" s="541"/>
      <c r="JT139" s="541"/>
      <c r="JU139" s="541"/>
      <c r="JV139" s="541"/>
      <c r="JW139" s="541"/>
      <c r="JX139" s="541"/>
      <c r="JY139" s="541"/>
      <c r="JZ139" s="541"/>
      <c r="KA139" s="541"/>
      <c r="KB139" s="541"/>
      <c r="KC139" s="541"/>
      <c r="KD139" s="541"/>
      <c r="KE139" s="541"/>
      <c r="KF139" s="541"/>
      <c r="KG139" s="541"/>
      <c r="KH139" s="541"/>
      <c r="KI139" s="541"/>
      <c r="KJ139" s="541"/>
      <c r="KK139" s="541"/>
      <c r="KL139" s="541"/>
      <c r="KM139" s="541"/>
      <c r="KN139" s="541"/>
      <c r="KO139" s="541"/>
      <c r="KP139" s="541"/>
      <c r="KQ139" s="541"/>
      <c r="KR139" s="541"/>
      <c r="KS139" s="541"/>
      <c r="KT139" s="541"/>
      <c r="KU139" s="541"/>
      <c r="KV139" s="541"/>
      <c r="KW139" s="541"/>
      <c r="KX139" s="541"/>
      <c r="KY139" s="541"/>
      <c r="KZ139" s="541"/>
      <c r="LA139" s="541"/>
      <c r="LB139" s="541"/>
      <c r="LC139" s="541"/>
      <c r="LD139" s="541"/>
      <c r="LE139" s="541"/>
      <c r="LF139" s="541"/>
      <c r="LG139" s="541"/>
      <c r="LH139" s="541"/>
      <c r="LI139" s="541"/>
      <c r="LJ139" s="541"/>
      <c r="LK139" s="541"/>
      <c r="LL139" s="541"/>
      <c r="LM139" s="541"/>
      <c r="LN139" s="541"/>
      <c r="LO139" s="541"/>
      <c r="LP139" s="541"/>
      <c r="LQ139" s="541"/>
      <c r="LR139" s="541"/>
      <c r="LS139" s="541"/>
      <c r="LT139" s="541"/>
      <c r="LU139" s="541"/>
      <c r="LV139" s="541"/>
      <c r="LW139" s="541"/>
      <c r="LX139" s="541"/>
      <c r="LY139" s="541"/>
      <c r="LZ139" s="541"/>
      <c r="MA139" s="541"/>
      <c r="MB139" s="541"/>
      <c r="MC139" s="541"/>
      <c r="MD139" s="541"/>
      <c r="ME139" s="541"/>
      <c r="MF139" s="541"/>
      <c r="MG139" s="541"/>
      <c r="MH139" s="541"/>
      <c r="MI139" s="541"/>
      <c r="MJ139" s="541"/>
      <c r="MK139" s="541"/>
      <c r="ML139" s="541"/>
      <c r="MM139" s="541"/>
      <c r="MN139" s="541"/>
      <c r="MO139" s="541"/>
      <c r="MP139" s="541"/>
      <c r="MQ139" s="541"/>
      <c r="MR139" s="541"/>
      <c r="MS139" s="541"/>
      <c r="MT139" s="541"/>
      <c r="MU139" s="541"/>
      <c r="MV139" s="541"/>
      <c r="MW139" s="541"/>
      <c r="MX139" s="541"/>
      <c r="MY139" s="541"/>
      <c r="MZ139" s="541"/>
      <c r="NA139" s="541"/>
      <c r="NB139" s="541"/>
      <c r="NC139" s="541"/>
      <c r="ND139" s="541"/>
      <c r="NE139" s="541"/>
      <c r="NF139" s="541"/>
      <c r="NG139" s="541"/>
      <c r="NH139" s="541"/>
      <c r="NI139" s="541"/>
      <c r="NJ139" s="541"/>
      <c r="NK139" s="541"/>
      <c r="NL139" s="541"/>
      <c r="NM139" s="541"/>
      <c r="NN139" s="541"/>
      <c r="NO139" s="541"/>
      <c r="NP139" s="541"/>
      <c r="NQ139" s="541"/>
      <c r="NR139" s="541"/>
      <c r="NS139" s="541"/>
      <c r="NT139" s="541"/>
      <c r="NU139" s="541"/>
      <c r="NV139" s="541"/>
      <c r="NW139" s="541"/>
      <c r="NX139" s="541"/>
      <c r="NY139" s="541"/>
      <c r="NZ139" s="541"/>
      <c r="OA139" s="541"/>
      <c r="OB139" s="541"/>
      <c r="OC139" s="541"/>
      <c r="OD139" s="541"/>
      <c r="OE139" s="541"/>
      <c r="OF139" s="541"/>
      <c r="OG139" s="541"/>
      <c r="OH139" s="541"/>
      <c r="OI139" s="541"/>
      <c r="OJ139" s="541"/>
      <c r="OK139" s="541"/>
      <c r="OL139" s="541"/>
      <c r="OM139" s="541"/>
      <c r="ON139" s="541"/>
      <c r="OO139" s="541"/>
      <c r="OP139" s="541"/>
      <c r="OQ139" s="541"/>
      <c r="OR139" s="541"/>
      <c r="OS139" s="541"/>
      <c r="OT139" s="541"/>
      <c r="OU139" s="541"/>
      <c r="OV139" s="541"/>
      <c r="OW139" s="541"/>
      <c r="OX139" s="541"/>
      <c r="OY139" s="541"/>
      <c r="OZ139" s="541"/>
      <c r="PA139" s="541"/>
      <c r="PB139" s="541"/>
      <c r="PC139" s="541"/>
      <c r="PD139" s="541"/>
      <c r="PE139" s="541"/>
      <c r="PF139" s="541"/>
      <c r="PG139" s="541"/>
      <c r="PH139" s="541"/>
      <c r="PI139" s="541"/>
      <c r="PJ139" s="541"/>
      <c r="PK139" s="541"/>
      <c r="PL139" s="541"/>
      <c r="PM139" s="541"/>
      <c r="PN139" s="541"/>
      <c r="PO139" s="541"/>
      <c r="PP139" s="541"/>
      <c r="PQ139" s="541"/>
      <c r="PR139" s="541"/>
      <c r="PS139" s="541"/>
      <c r="PT139" s="541"/>
      <c r="PU139" s="541"/>
      <c r="PV139" s="541"/>
      <c r="PW139" s="541"/>
      <c r="PX139" s="541"/>
      <c r="PY139" s="541"/>
      <c r="PZ139" s="541"/>
      <c r="QA139" s="541"/>
      <c r="QB139" s="541"/>
      <c r="QC139" s="541"/>
      <c r="QD139" s="541"/>
      <c r="QE139" s="541"/>
      <c r="QF139" s="541"/>
      <c r="QG139" s="541"/>
      <c r="QH139" s="541"/>
      <c r="QI139" s="541"/>
      <c r="QJ139" s="541"/>
      <c r="QK139" s="541"/>
      <c r="QL139" s="541"/>
      <c r="QM139" s="541"/>
      <c r="QN139" s="541"/>
      <c r="QO139" s="541"/>
      <c r="QP139" s="541"/>
      <c r="QQ139" s="541"/>
      <c r="QR139" s="541"/>
      <c r="QS139" s="541"/>
      <c r="QT139" s="541"/>
      <c r="QU139" s="541"/>
      <c r="QV139" s="541"/>
      <c r="QW139" s="541"/>
      <c r="QX139" s="541"/>
      <c r="QY139" s="541"/>
      <c r="QZ139" s="541"/>
      <c r="RA139" s="541"/>
      <c r="RB139" s="541"/>
      <c r="RC139" s="541"/>
      <c r="RD139" s="541"/>
      <c r="RE139" s="541"/>
      <c r="RF139" s="541"/>
      <c r="RG139" s="541"/>
      <c r="RH139" s="541"/>
      <c r="RI139" s="541"/>
      <c r="RJ139" s="541"/>
      <c r="RK139" s="541"/>
      <c r="RL139" s="541"/>
      <c r="RM139" s="541"/>
      <c r="RN139" s="541"/>
      <c r="RO139" s="541"/>
      <c r="RP139" s="541"/>
      <c r="RQ139" s="541"/>
      <c r="RR139" s="541"/>
      <c r="RS139" s="541"/>
      <c r="RT139" s="541"/>
      <c r="RU139" s="541"/>
      <c r="RV139" s="541"/>
      <c r="RW139" s="541"/>
      <c r="RX139" s="541"/>
      <c r="RY139" s="541"/>
      <c r="RZ139" s="541"/>
      <c r="SA139" s="541"/>
      <c r="SB139" s="541"/>
      <c r="SC139" s="541"/>
      <c r="SD139" s="541"/>
      <c r="SE139" s="541"/>
      <c r="SF139" s="541"/>
      <c r="SG139" s="541"/>
      <c r="SH139" s="541"/>
      <c r="SI139" s="541"/>
      <c r="SJ139" s="541"/>
      <c r="SK139" s="541"/>
      <c r="SL139" s="541"/>
      <c r="SM139" s="541"/>
      <c r="SN139" s="541"/>
      <c r="SO139" s="541"/>
      <c r="SP139" s="541"/>
      <c r="SQ139" s="541"/>
      <c r="SR139" s="541"/>
      <c r="SS139" s="541"/>
      <c r="ST139" s="541"/>
      <c r="SU139" s="541"/>
      <c r="SV139" s="541"/>
      <c r="SW139" s="541"/>
      <c r="SX139" s="541"/>
      <c r="SY139" s="541"/>
      <c r="SZ139" s="541"/>
      <c r="TA139" s="541"/>
      <c r="TB139" s="541"/>
      <c r="TC139" s="541"/>
      <c r="TD139" s="541"/>
      <c r="TE139" s="541"/>
      <c r="TF139" s="541"/>
      <c r="TG139" s="541"/>
      <c r="TH139" s="541"/>
      <c r="TI139" s="541"/>
      <c r="TJ139" s="541"/>
      <c r="TK139" s="541"/>
      <c r="TL139" s="541"/>
      <c r="TM139" s="541"/>
      <c r="TN139" s="541"/>
      <c r="TO139" s="541"/>
      <c r="TP139" s="541"/>
      <c r="TQ139" s="541"/>
      <c r="TR139" s="541"/>
      <c r="TS139" s="541"/>
      <c r="TT139" s="541"/>
      <c r="TU139" s="541"/>
      <c r="TV139" s="541"/>
      <c r="TW139" s="541"/>
      <c r="TX139" s="541"/>
      <c r="TY139" s="541"/>
      <c r="TZ139" s="541"/>
      <c r="UA139" s="541"/>
      <c r="UB139" s="541"/>
      <c r="UC139" s="541"/>
      <c r="UD139" s="541"/>
      <c r="UE139" s="541"/>
      <c r="UF139" s="541"/>
      <c r="UG139" s="541"/>
      <c r="UH139" s="541"/>
      <c r="UI139" s="541"/>
      <c r="UJ139" s="541"/>
      <c r="UK139" s="541"/>
      <c r="UL139" s="541"/>
      <c r="UM139" s="541"/>
      <c r="UN139" s="541"/>
      <c r="UO139" s="541"/>
      <c r="UP139" s="541"/>
      <c r="UQ139" s="541"/>
      <c r="UR139" s="541"/>
      <c r="US139" s="541"/>
      <c r="UT139" s="541"/>
      <c r="UU139" s="541"/>
      <c r="UV139" s="541"/>
      <c r="UW139" s="541"/>
      <c r="UX139" s="541"/>
      <c r="UY139" s="541"/>
      <c r="UZ139" s="541"/>
      <c r="VA139" s="541"/>
      <c r="VB139" s="541"/>
      <c r="VC139" s="541"/>
      <c r="VD139" s="541"/>
      <c r="VE139" s="541"/>
      <c r="VF139" s="541"/>
      <c r="VG139" s="541"/>
      <c r="VH139" s="541"/>
      <c r="VI139" s="541"/>
      <c r="VJ139" s="541"/>
      <c r="VK139" s="541"/>
      <c r="VL139" s="541"/>
      <c r="VM139" s="541"/>
      <c r="VN139" s="541"/>
      <c r="VO139" s="541"/>
      <c r="VP139" s="541"/>
      <c r="VQ139" s="541"/>
      <c r="VR139" s="541"/>
      <c r="VS139" s="541"/>
      <c r="VT139" s="541"/>
      <c r="VU139" s="541"/>
      <c r="VV139" s="541"/>
      <c r="VW139" s="541"/>
      <c r="VX139" s="541"/>
      <c r="VY139" s="541"/>
      <c r="VZ139" s="541"/>
      <c r="WA139" s="541"/>
      <c r="WB139" s="541"/>
      <c r="WC139" s="541"/>
      <c r="WD139" s="541"/>
      <c r="WE139" s="541"/>
      <c r="WF139" s="541"/>
      <c r="WG139" s="541"/>
      <c r="WH139" s="541"/>
      <c r="WI139" s="541"/>
      <c r="WJ139" s="541"/>
      <c r="WK139" s="541"/>
      <c r="WL139" s="541"/>
      <c r="WM139" s="541"/>
      <c r="WN139" s="541"/>
      <c r="WO139" s="541"/>
      <c r="WP139" s="541"/>
      <c r="WQ139" s="541"/>
      <c r="WR139" s="541"/>
      <c r="WS139" s="541"/>
      <c r="WT139" s="541"/>
      <c r="WU139" s="541"/>
      <c r="WV139" s="541"/>
      <c r="WW139" s="541"/>
      <c r="WX139" s="541"/>
      <c r="WY139" s="541"/>
      <c r="WZ139" s="541"/>
      <c r="XA139" s="541"/>
      <c r="XB139" s="541"/>
      <c r="XC139" s="541"/>
      <c r="XD139" s="541"/>
      <c r="XE139" s="541"/>
      <c r="XF139" s="541"/>
      <c r="XG139" s="541"/>
      <c r="XH139" s="541"/>
      <c r="XI139" s="541"/>
      <c r="XJ139" s="541"/>
      <c r="XK139" s="541"/>
      <c r="XL139" s="541"/>
      <c r="XM139" s="541"/>
      <c r="XN139" s="541"/>
      <c r="XO139" s="541"/>
      <c r="XP139" s="541"/>
      <c r="XQ139" s="541"/>
      <c r="XR139" s="541"/>
      <c r="XS139" s="541"/>
      <c r="XT139" s="541"/>
      <c r="XU139" s="541"/>
      <c r="XV139" s="541"/>
      <c r="XW139" s="541"/>
      <c r="XX139" s="541"/>
      <c r="XY139" s="541"/>
      <c r="XZ139" s="541"/>
      <c r="YA139" s="541"/>
      <c r="YB139" s="541"/>
      <c r="YC139" s="541"/>
      <c r="YD139" s="541"/>
      <c r="YE139" s="541"/>
      <c r="YF139" s="541"/>
      <c r="YG139" s="541"/>
      <c r="YH139" s="541"/>
      <c r="YI139" s="541"/>
      <c r="YJ139" s="541"/>
      <c r="YK139" s="541"/>
      <c r="YL139" s="541"/>
      <c r="YM139" s="541"/>
      <c r="YN139" s="541"/>
      <c r="YO139" s="541"/>
      <c r="YP139" s="541"/>
      <c r="YQ139" s="541"/>
      <c r="YR139" s="541"/>
      <c r="YS139" s="541"/>
      <c r="YT139" s="541"/>
      <c r="YU139" s="541"/>
      <c r="YV139" s="541"/>
      <c r="YW139" s="541"/>
      <c r="YX139" s="541"/>
      <c r="YY139" s="541"/>
      <c r="YZ139" s="541"/>
      <c r="ZA139" s="541"/>
      <c r="ZB139" s="541"/>
      <c r="ZC139" s="541"/>
      <c r="ZD139" s="541"/>
      <c r="ZE139" s="541"/>
      <c r="ZF139" s="541"/>
      <c r="ZG139" s="541"/>
      <c r="ZH139" s="541"/>
      <c r="ZI139" s="541"/>
      <c r="ZJ139" s="541"/>
      <c r="ZK139" s="541"/>
      <c r="ZL139" s="541"/>
      <c r="ZM139" s="541"/>
      <c r="ZN139" s="541"/>
      <c r="ZO139" s="541"/>
      <c r="ZP139" s="541"/>
      <c r="ZQ139" s="541"/>
      <c r="ZR139" s="541"/>
      <c r="ZS139" s="541"/>
      <c r="ZT139" s="541"/>
      <c r="ZU139" s="541"/>
      <c r="ZV139" s="541"/>
      <c r="ZW139" s="541"/>
      <c r="ZX139" s="541"/>
      <c r="ZY139" s="541"/>
      <c r="ZZ139" s="541"/>
      <c r="AAA139" s="541"/>
      <c r="AAB139" s="541"/>
      <c r="AAC139" s="541"/>
      <c r="AAD139" s="541"/>
      <c r="AAE139" s="541"/>
      <c r="AAF139" s="541"/>
      <c r="AAG139" s="541"/>
      <c r="AAH139" s="541"/>
      <c r="AAI139" s="541"/>
      <c r="AAJ139" s="541"/>
      <c r="AAK139" s="541"/>
      <c r="AAL139" s="541"/>
      <c r="AAM139" s="541"/>
      <c r="AAN139" s="541"/>
      <c r="AAO139" s="541"/>
      <c r="AAP139" s="541"/>
      <c r="AAQ139" s="541"/>
      <c r="AAR139" s="541"/>
      <c r="AAS139" s="541"/>
      <c r="AAT139" s="541"/>
      <c r="AAU139" s="541"/>
      <c r="AAV139" s="541"/>
      <c r="AAW139" s="541"/>
      <c r="AAX139" s="541"/>
      <c r="AAY139" s="541"/>
      <c r="AAZ139" s="541"/>
      <c r="ABA139" s="541"/>
      <c r="ABB139" s="541"/>
      <c r="ABC139" s="541"/>
      <c r="ABD139" s="541"/>
      <c r="ABE139" s="541"/>
      <c r="ABF139" s="541"/>
      <c r="ABG139" s="541"/>
      <c r="ABH139" s="541"/>
      <c r="ABI139" s="541"/>
      <c r="ABJ139" s="541"/>
      <c r="ABK139" s="541"/>
      <c r="ABL139" s="541"/>
      <c r="ABM139" s="541"/>
      <c r="ABN139" s="541"/>
      <c r="ABO139" s="541"/>
      <c r="ABP139" s="541"/>
      <c r="ABQ139" s="541"/>
      <c r="ABR139" s="541"/>
      <c r="ABS139" s="541"/>
      <c r="ABT139" s="541"/>
      <c r="ABU139" s="541"/>
      <c r="ABV139" s="541"/>
      <c r="ABW139" s="541"/>
      <c r="ABX139" s="541"/>
      <c r="ABY139" s="541"/>
      <c r="ABZ139" s="541"/>
      <c r="ACA139" s="541"/>
      <c r="ACB139" s="541"/>
      <c r="ACC139" s="541"/>
      <c r="ACD139" s="541"/>
      <c r="ACE139" s="541"/>
      <c r="ACF139" s="541"/>
      <c r="ACG139" s="541"/>
      <c r="ACH139" s="541"/>
      <c r="ACI139" s="541"/>
      <c r="ACJ139" s="541"/>
      <c r="ACK139" s="541"/>
      <c r="ACL139" s="541"/>
      <c r="ACM139" s="541"/>
      <c r="ACN139" s="541"/>
      <c r="ACO139" s="541"/>
      <c r="ACP139" s="541"/>
      <c r="ACQ139" s="541"/>
      <c r="ACR139" s="541"/>
      <c r="ACS139" s="541"/>
      <c r="ACT139" s="541"/>
      <c r="ACU139" s="541"/>
      <c r="ACV139" s="541"/>
      <c r="ACW139" s="541"/>
      <c r="ACX139" s="541"/>
      <c r="ACY139" s="541"/>
      <c r="ACZ139" s="541"/>
      <c r="ADA139" s="541"/>
      <c r="ADB139" s="541"/>
      <c r="ADC139" s="541"/>
      <c r="ADD139" s="541"/>
      <c r="ADE139" s="541"/>
      <c r="ADF139" s="541"/>
      <c r="ADG139" s="541"/>
      <c r="ADH139" s="541"/>
      <c r="ADI139" s="541"/>
      <c r="ADJ139" s="541"/>
      <c r="ADK139" s="541"/>
      <c r="ADL139" s="541"/>
      <c r="ADM139" s="541"/>
      <c r="ADN139" s="541"/>
      <c r="ADO139" s="541"/>
      <c r="ADP139" s="541"/>
      <c r="ADQ139" s="541"/>
      <c r="ADR139" s="541"/>
      <c r="ADS139" s="541"/>
      <c r="ADT139" s="541"/>
      <c r="ADU139" s="541"/>
      <c r="ADV139" s="541"/>
      <c r="ADW139" s="541"/>
      <c r="ADX139" s="541"/>
      <c r="ADY139" s="541"/>
      <c r="ADZ139" s="541"/>
      <c r="AEA139" s="541"/>
      <c r="AEB139" s="541"/>
      <c r="AEC139" s="541"/>
      <c r="AED139" s="541"/>
      <c r="AEE139" s="541"/>
      <c r="AEF139" s="541"/>
      <c r="AEG139" s="541"/>
      <c r="AEH139" s="541"/>
      <c r="AEI139" s="541"/>
      <c r="AEJ139" s="541"/>
      <c r="AEK139" s="541"/>
      <c r="AEL139" s="541"/>
      <c r="AEM139" s="541"/>
      <c r="AEN139" s="541"/>
      <c r="AEO139" s="541"/>
      <c r="AEP139" s="541"/>
      <c r="AEQ139" s="541"/>
      <c r="AER139" s="541"/>
      <c r="AES139" s="541"/>
      <c r="AET139" s="541"/>
      <c r="AEU139" s="541"/>
      <c r="AEV139" s="541"/>
      <c r="AEW139" s="541"/>
      <c r="AEX139" s="541"/>
      <c r="AEY139" s="541"/>
      <c r="AEZ139" s="541"/>
      <c r="AFA139" s="541"/>
      <c r="AFB139" s="541"/>
      <c r="AFC139" s="541"/>
      <c r="AFD139" s="541"/>
      <c r="AFE139" s="541"/>
      <c r="AFF139" s="541"/>
      <c r="AFG139" s="541"/>
      <c r="AFH139" s="541"/>
      <c r="AFI139" s="541"/>
      <c r="AFJ139" s="541"/>
      <c r="AFK139" s="541"/>
      <c r="AFL139" s="541"/>
      <c r="AFM139" s="541"/>
      <c r="AFN139" s="541"/>
      <c r="AFO139" s="541"/>
      <c r="AFP139" s="541"/>
      <c r="AFQ139" s="541"/>
      <c r="AFR139" s="541"/>
      <c r="AFS139" s="541"/>
      <c r="AFT139" s="541"/>
      <c r="AFU139" s="541"/>
      <c r="AFV139" s="541"/>
      <c r="AFW139" s="541"/>
      <c r="AFX139" s="541"/>
      <c r="AFY139" s="541"/>
      <c r="AFZ139" s="541"/>
      <c r="AGA139" s="541"/>
      <c r="AGB139" s="541"/>
      <c r="AGC139" s="541"/>
      <c r="AGD139" s="541"/>
      <c r="AGE139" s="541"/>
      <c r="AGF139" s="541"/>
      <c r="AGG139" s="541"/>
      <c r="AGH139" s="541"/>
      <c r="AGI139" s="541"/>
      <c r="AGJ139" s="541"/>
      <c r="AGK139" s="541"/>
      <c r="AGL139" s="541"/>
      <c r="AGM139" s="541"/>
      <c r="AGN139" s="541"/>
      <c r="AGO139" s="541"/>
      <c r="AGP139" s="541"/>
      <c r="AGQ139" s="541"/>
      <c r="AGR139" s="541"/>
      <c r="AGS139" s="541"/>
      <c r="AGT139" s="541"/>
      <c r="AGU139" s="541"/>
      <c r="AGV139" s="541"/>
      <c r="AGW139" s="541"/>
      <c r="AGX139" s="541"/>
      <c r="AGY139" s="541"/>
      <c r="AGZ139" s="541"/>
      <c r="AHA139" s="541"/>
      <c r="AHB139" s="541"/>
      <c r="AHC139" s="541"/>
      <c r="AHD139" s="541"/>
      <c r="AHE139" s="541"/>
      <c r="AHF139" s="541"/>
      <c r="AHG139" s="541"/>
      <c r="AHH139" s="541"/>
      <c r="AHI139" s="541"/>
      <c r="AHJ139" s="541"/>
      <c r="AHK139" s="541"/>
      <c r="AHL139" s="541"/>
      <c r="AHM139" s="541"/>
      <c r="AHN139" s="541"/>
      <c r="AHO139" s="541"/>
      <c r="AHP139" s="541"/>
      <c r="AHQ139" s="541"/>
      <c r="AHR139" s="541"/>
      <c r="AHS139" s="541"/>
      <c r="AHT139" s="541"/>
      <c r="AHU139" s="541"/>
      <c r="AHV139" s="541"/>
      <c r="AHW139" s="541"/>
      <c r="AHX139" s="541"/>
      <c r="AHY139" s="541"/>
      <c r="AHZ139" s="541"/>
      <c r="AIA139" s="541"/>
      <c r="AIB139" s="541"/>
      <c r="AIC139" s="541"/>
      <c r="AID139" s="541"/>
      <c r="AIE139" s="541"/>
      <c r="AIF139" s="541"/>
      <c r="AIG139" s="541"/>
      <c r="AIH139" s="541"/>
      <c r="AII139" s="541"/>
      <c r="AIJ139" s="541"/>
      <c r="AIK139" s="541"/>
      <c r="AIL139" s="541"/>
      <c r="AIM139" s="541"/>
      <c r="AIN139" s="541"/>
      <c r="AIO139" s="541"/>
      <c r="AIP139" s="541"/>
      <c r="AIQ139" s="541"/>
      <c r="AIR139" s="541"/>
      <c r="AIS139" s="541"/>
      <c r="AIT139" s="541"/>
      <c r="AIU139" s="541"/>
      <c r="AIV139" s="541"/>
      <c r="AIW139" s="541"/>
      <c r="AIX139" s="541"/>
      <c r="AIY139" s="541"/>
      <c r="AIZ139" s="541"/>
      <c r="AJA139" s="541"/>
      <c r="AJB139" s="541"/>
      <c r="AJC139" s="541"/>
      <c r="AJD139" s="541"/>
      <c r="AJE139" s="541"/>
      <c r="AJF139" s="541"/>
      <c r="AJG139" s="541"/>
      <c r="AJH139" s="541"/>
      <c r="AJI139" s="541"/>
      <c r="AJJ139" s="541"/>
      <c r="AJK139" s="541"/>
      <c r="AJL139" s="541"/>
      <c r="AJM139" s="541"/>
      <c r="AJN139" s="541"/>
      <c r="AJO139" s="541"/>
      <c r="AJP139" s="541"/>
      <c r="AJQ139" s="541"/>
      <c r="AJR139" s="541"/>
      <c r="AJS139" s="541"/>
      <c r="AJT139" s="541"/>
      <c r="AJU139" s="541"/>
      <c r="AJV139" s="541"/>
      <c r="AJW139" s="541"/>
      <c r="AJX139" s="541"/>
      <c r="AJY139" s="541"/>
      <c r="AJZ139" s="541"/>
      <c r="AKA139" s="541"/>
      <c r="AKB139" s="541"/>
      <c r="AKC139" s="541"/>
      <c r="AKD139" s="541"/>
      <c r="AKE139" s="541"/>
      <c r="AKF139" s="541"/>
      <c r="AKG139" s="541"/>
      <c r="AKH139" s="541"/>
      <c r="AKI139" s="541"/>
      <c r="AKJ139" s="541"/>
      <c r="AKK139" s="541"/>
      <c r="AKL139" s="541"/>
      <c r="AKM139" s="541"/>
      <c r="AKN139" s="541"/>
      <c r="AKO139" s="541"/>
      <c r="AKP139" s="541"/>
      <c r="AKQ139" s="541"/>
      <c r="AKR139" s="541"/>
      <c r="AKS139" s="541"/>
      <c r="AKT139" s="541"/>
      <c r="AKU139" s="541"/>
      <c r="AKV139" s="541"/>
      <c r="AKW139" s="541"/>
      <c r="AKX139" s="541"/>
      <c r="AKY139" s="541"/>
      <c r="AKZ139" s="541"/>
      <c r="ALA139" s="541"/>
      <c r="ALB139" s="541"/>
      <c r="ALC139" s="541"/>
      <c r="ALD139" s="541"/>
      <c r="ALE139" s="541"/>
      <c r="ALF139" s="541"/>
      <c r="ALG139" s="541"/>
      <c r="ALH139" s="541"/>
      <c r="ALI139" s="541"/>
      <c r="ALJ139" s="541"/>
      <c r="ALK139" s="541"/>
      <c r="ALL139" s="541"/>
      <c r="ALM139" s="541"/>
      <c r="ALN139" s="541"/>
      <c r="ALO139" s="541"/>
      <c r="ALP139" s="541"/>
      <c r="ALQ139" s="541"/>
      <c r="ALR139" s="541"/>
      <c r="ALS139" s="541"/>
      <c r="ALT139" s="541"/>
      <c r="ALU139" s="541"/>
      <c r="ALV139" s="541"/>
      <c r="ALW139" s="541"/>
      <c r="ALX139" s="541"/>
      <c r="ALY139" s="541"/>
      <c r="ALZ139" s="541"/>
      <c r="AMA139" s="541"/>
      <c r="AMB139" s="541"/>
      <c r="AMC139" s="541"/>
      <c r="AMD139" s="541"/>
      <c r="AME139" s="541"/>
      <c r="AMF139" s="541"/>
      <c r="AMG139" s="541"/>
      <c r="AMH139" s="541"/>
      <c r="AMI139" s="541"/>
      <c r="AMJ139" s="541"/>
      <c r="AMK139" s="541"/>
      <c r="AML139" s="541"/>
      <c r="AMM139" s="541"/>
      <c r="AMN139" s="541"/>
      <c r="AMO139" s="541"/>
      <c r="AMP139" s="541"/>
      <c r="AMQ139" s="541"/>
      <c r="AMR139" s="541"/>
      <c r="AMS139" s="541"/>
      <c r="AMT139" s="541"/>
      <c r="AMU139" s="541"/>
      <c r="AMV139" s="541"/>
      <c r="AMW139" s="541"/>
      <c r="AMX139" s="541"/>
      <c r="AMY139" s="541"/>
      <c r="AMZ139" s="541"/>
      <c r="ANA139" s="541"/>
      <c r="ANB139" s="541"/>
      <c r="ANC139" s="541"/>
      <c r="AND139" s="541"/>
      <c r="ANE139" s="541"/>
      <c r="ANF139" s="541"/>
      <c r="ANG139" s="541"/>
      <c r="ANH139" s="541"/>
      <c r="ANI139" s="541"/>
      <c r="ANJ139" s="541"/>
      <c r="ANK139" s="541"/>
      <c r="ANL139" s="541"/>
      <c r="ANM139" s="541"/>
      <c r="ANN139" s="541"/>
      <c r="ANO139" s="541"/>
      <c r="ANP139" s="541"/>
      <c r="ANQ139" s="541"/>
      <c r="ANR139" s="541"/>
      <c r="ANS139" s="541"/>
      <c r="ANT139" s="541"/>
      <c r="ANU139" s="541"/>
      <c r="ANV139" s="541"/>
      <c r="ANW139" s="541"/>
      <c r="ANX139" s="541"/>
      <c r="ANY139" s="541"/>
      <c r="ANZ139" s="541"/>
      <c r="AOA139" s="541"/>
      <c r="AOB139" s="541"/>
      <c r="AOC139" s="541"/>
      <c r="AOD139" s="541"/>
      <c r="AOE139" s="541"/>
      <c r="AOF139" s="541"/>
      <c r="AOG139" s="541"/>
      <c r="AOH139" s="541"/>
      <c r="AOI139" s="541"/>
      <c r="AOJ139" s="541"/>
      <c r="AOK139" s="541"/>
      <c r="AOL139" s="541"/>
      <c r="AOM139" s="541"/>
      <c r="AON139" s="541"/>
      <c r="AOO139" s="541"/>
      <c r="AOP139" s="541"/>
      <c r="AOQ139" s="541"/>
      <c r="AOR139" s="541"/>
      <c r="AOS139" s="541"/>
      <c r="AOT139" s="541"/>
      <c r="AOU139" s="541"/>
      <c r="AOV139" s="541"/>
      <c r="AOW139" s="541"/>
      <c r="AOX139" s="541"/>
      <c r="AOY139" s="541"/>
      <c r="AOZ139" s="541"/>
      <c r="APA139" s="541"/>
      <c r="APB139" s="541"/>
      <c r="APC139" s="541"/>
      <c r="APD139" s="541"/>
      <c r="APE139" s="541"/>
      <c r="APF139" s="541"/>
      <c r="APG139" s="541"/>
      <c r="APH139" s="541"/>
      <c r="API139" s="541"/>
      <c r="APJ139" s="541"/>
      <c r="APK139" s="541"/>
      <c r="APL139" s="541"/>
      <c r="APM139" s="541"/>
      <c r="APN139" s="541"/>
      <c r="APO139" s="541"/>
      <c r="APP139" s="541"/>
      <c r="APQ139" s="541"/>
      <c r="APR139" s="541"/>
      <c r="APS139" s="541"/>
      <c r="APT139" s="541"/>
      <c r="APU139" s="541"/>
      <c r="APV139" s="541"/>
      <c r="APW139" s="541"/>
      <c r="APX139" s="541"/>
      <c r="APY139" s="541"/>
      <c r="APZ139" s="541"/>
      <c r="AQA139" s="541"/>
      <c r="AQB139" s="541"/>
      <c r="AQC139" s="541"/>
      <c r="AQD139" s="541"/>
      <c r="AQE139" s="541"/>
      <c r="AQF139" s="541"/>
      <c r="AQG139" s="541"/>
      <c r="AQH139" s="541"/>
      <c r="AQI139" s="541"/>
      <c r="AQJ139" s="541"/>
      <c r="AQK139" s="541"/>
      <c r="AQL139" s="541"/>
      <c r="AQM139" s="541"/>
      <c r="AQN139" s="541"/>
      <c r="AQO139" s="541"/>
      <c r="AQP139" s="541"/>
      <c r="AQQ139" s="541"/>
      <c r="AQR139" s="541"/>
      <c r="AQS139" s="541"/>
      <c r="AQT139" s="541"/>
      <c r="AQU139" s="541"/>
      <c r="AQV139" s="541"/>
      <c r="AQW139" s="541"/>
      <c r="AQX139" s="541"/>
      <c r="AQY139" s="541"/>
      <c r="AQZ139" s="541"/>
      <c r="ARA139" s="541"/>
      <c r="ARB139" s="541"/>
      <c r="ARC139" s="541"/>
      <c r="ARD139" s="541"/>
      <c r="ARE139" s="541"/>
      <c r="ARF139" s="541"/>
      <c r="ARG139" s="541"/>
      <c r="ARH139" s="541"/>
      <c r="ARI139" s="541"/>
      <c r="ARJ139" s="541"/>
      <c r="ARK139" s="541"/>
      <c r="ARL139" s="541"/>
      <c r="ARM139" s="541"/>
      <c r="ARN139" s="541"/>
      <c r="ARO139" s="541"/>
      <c r="ARP139" s="541"/>
      <c r="ARQ139" s="541"/>
      <c r="ARR139" s="541"/>
      <c r="ARS139" s="541"/>
      <c r="ART139" s="541"/>
      <c r="ARU139" s="541"/>
    </row>
    <row r="140" spans="1:1165" s="658" customFormat="1">
      <c r="A140" s="613" t="s">
        <v>286</v>
      </c>
      <c r="B140" s="578" t="s">
        <v>110</v>
      </c>
      <c r="C140" s="659">
        <v>802892431</v>
      </c>
      <c r="D140" s="659">
        <v>7214436003</v>
      </c>
      <c r="E140" s="581">
        <v>84952689</v>
      </c>
      <c r="F140" s="581">
        <v>1157998681</v>
      </c>
      <c r="G140" s="581">
        <f>75302640-G139</f>
        <v>68154329</v>
      </c>
      <c r="H140" s="581">
        <f>1129628976-H139</f>
        <v>1037358699</v>
      </c>
      <c r="I140" s="581">
        <f>78182395-I139</f>
        <v>70856633</v>
      </c>
      <c r="J140" s="581">
        <f>1495065014-J139</f>
        <v>1387357682</v>
      </c>
      <c r="K140" s="581">
        <f>2215960+18203684+31272604+13001535+4870519</f>
        <v>69564302</v>
      </c>
      <c r="L140" s="581">
        <f>1546325341-L139</f>
        <v>1456995229</v>
      </c>
      <c r="M140" s="581">
        <f>M143-M139</f>
        <v>84778276</v>
      </c>
      <c r="N140" s="581">
        <f>N143-N139</f>
        <v>1574676000</v>
      </c>
      <c r="O140" s="581">
        <v>82680588</v>
      </c>
      <c r="P140" s="581">
        <v>1927169247</v>
      </c>
      <c r="Q140" s="581">
        <v>74894501</v>
      </c>
      <c r="R140" s="581">
        <v>1797514359</v>
      </c>
      <c r="S140" s="581">
        <v>77892331</v>
      </c>
      <c r="T140" s="581">
        <v>1621771014</v>
      </c>
      <c r="U140" s="598">
        <v>92854562</v>
      </c>
      <c r="V140" s="598">
        <v>1663694794</v>
      </c>
      <c r="W140" s="598">
        <v>101573077</v>
      </c>
      <c r="X140" s="598">
        <v>2036817396</v>
      </c>
      <c r="Y140" s="598">
        <v>99079566</v>
      </c>
      <c r="Z140" s="598">
        <v>2315663115</v>
      </c>
      <c r="AA140" s="619">
        <v>109394339</v>
      </c>
      <c r="AB140" s="619">
        <v>2849976022</v>
      </c>
      <c r="AC140" s="581">
        <v>102508204</v>
      </c>
      <c r="AD140" s="581">
        <v>2762946127</v>
      </c>
      <c r="AE140" s="619">
        <v>110863008</v>
      </c>
      <c r="AF140" s="619">
        <v>2844629286</v>
      </c>
      <c r="AG140" s="579">
        <v>117828830</v>
      </c>
      <c r="AH140" s="579">
        <v>2480440822</v>
      </c>
      <c r="AI140" s="579">
        <v>129432288</v>
      </c>
      <c r="AJ140" s="579">
        <v>2825709297</v>
      </c>
      <c r="AK140" s="661">
        <v>127859595</v>
      </c>
      <c r="AL140" s="661">
        <v>2787821563</v>
      </c>
      <c r="AM140" s="662">
        <v>144305307</v>
      </c>
      <c r="AN140" s="662">
        <v>3449970594</v>
      </c>
      <c r="AO140" s="579">
        <v>136811715</v>
      </c>
      <c r="AP140" s="579">
        <v>3903459152</v>
      </c>
      <c r="AQ140" s="579">
        <v>135989777</v>
      </c>
      <c r="AR140" s="579">
        <v>3328272950</v>
      </c>
      <c r="AS140" s="579">
        <v>153084739</v>
      </c>
      <c r="AT140" s="579">
        <v>4201552721</v>
      </c>
      <c r="AU140" s="619">
        <v>158731693</v>
      </c>
      <c r="AV140" s="619">
        <v>5134014112</v>
      </c>
      <c r="AW140" s="579">
        <v>165167541</v>
      </c>
      <c r="AX140" s="579">
        <v>4872202224</v>
      </c>
      <c r="AY140" s="598">
        <v>186743301</v>
      </c>
      <c r="AZ140" s="598">
        <v>4871266951</v>
      </c>
      <c r="BA140" s="664"/>
      <c r="BB140" s="581"/>
      <c r="BC140" s="664"/>
      <c r="BD140" s="581"/>
      <c r="BE140" s="664"/>
      <c r="BF140" s="598"/>
      <c r="BG140" s="664"/>
      <c r="BH140" s="598"/>
      <c r="BI140" s="664"/>
      <c r="BJ140" s="598">
        <f t="shared" si="15"/>
        <v>3403940933</v>
      </c>
      <c r="BK140" s="651">
        <f>D140+H140+J140+L140+N140+P140+R140+T140+V140+X140+Z140+AB140+AD140+AF140+AH140+AJ140+AL140+AN140+AP140+AR140+AT140+AV140+AX140+AZ140+BD140+BH140</f>
        <v>70345715359</v>
      </c>
      <c r="BL140" s="541"/>
      <c r="BM140" s="541"/>
      <c r="BN140" s="624"/>
      <c r="BO140" s="541"/>
      <c r="BP140" s="624"/>
      <c r="BQ140" s="541"/>
      <c r="BR140" s="541"/>
      <c r="BS140" s="541"/>
      <c r="BT140" s="541"/>
      <c r="BU140" s="541"/>
      <c r="BV140" s="541"/>
      <c r="BW140" s="541"/>
      <c r="BX140" s="541"/>
      <c r="BY140" s="541"/>
      <c r="BZ140" s="541"/>
      <c r="CA140" s="541"/>
      <c r="CB140" s="541"/>
      <c r="CC140" s="541"/>
      <c r="CD140" s="541"/>
      <c r="CE140" s="541"/>
      <c r="CF140" s="541"/>
      <c r="CG140" s="541"/>
      <c r="CH140" s="541"/>
      <c r="CI140" s="541"/>
      <c r="CJ140" s="541"/>
      <c r="CK140" s="541"/>
      <c r="CL140" s="541"/>
      <c r="CM140" s="541"/>
      <c r="CN140" s="541"/>
      <c r="CO140" s="541"/>
      <c r="CP140" s="541"/>
      <c r="CQ140" s="541"/>
      <c r="CR140" s="541"/>
      <c r="CS140" s="541"/>
      <c r="CT140" s="541"/>
      <c r="CU140" s="541"/>
      <c r="CV140" s="541"/>
      <c r="CW140" s="541"/>
      <c r="CX140" s="541"/>
      <c r="CY140" s="541"/>
      <c r="CZ140" s="541"/>
      <c r="DA140" s="541"/>
      <c r="DB140" s="541"/>
      <c r="DC140" s="541"/>
      <c r="DD140" s="541"/>
      <c r="DE140" s="541"/>
      <c r="DF140" s="541"/>
      <c r="DG140" s="541"/>
      <c r="DH140" s="541"/>
      <c r="DI140" s="541"/>
      <c r="DJ140" s="541"/>
      <c r="DK140" s="541"/>
      <c r="DL140" s="541"/>
      <c r="DM140" s="541"/>
      <c r="DN140" s="541"/>
      <c r="DO140" s="541"/>
      <c r="DP140" s="541"/>
      <c r="DQ140" s="541"/>
      <c r="DR140" s="541"/>
      <c r="DS140" s="541"/>
      <c r="DT140" s="541"/>
      <c r="DU140" s="541"/>
      <c r="DV140" s="541"/>
      <c r="DW140" s="541"/>
      <c r="DX140" s="541"/>
      <c r="DY140" s="541"/>
      <c r="DZ140" s="541"/>
      <c r="EA140" s="541"/>
      <c r="EB140" s="541"/>
      <c r="EC140" s="541"/>
      <c r="ED140" s="541"/>
      <c r="EE140" s="541"/>
      <c r="EF140" s="541"/>
      <c r="EG140" s="541"/>
      <c r="EH140" s="541"/>
      <c r="EI140" s="541"/>
      <c r="EJ140" s="541"/>
      <c r="EK140" s="541"/>
      <c r="EL140" s="541"/>
      <c r="EM140" s="541"/>
      <c r="EN140" s="541"/>
      <c r="EO140" s="541"/>
      <c r="EP140" s="541"/>
      <c r="EQ140" s="541"/>
      <c r="ER140" s="541"/>
      <c r="ES140" s="541"/>
      <c r="ET140" s="541"/>
      <c r="EU140" s="541"/>
      <c r="EV140" s="541"/>
      <c r="EW140" s="541"/>
      <c r="EX140" s="541"/>
      <c r="EY140" s="541"/>
      <c r="EZ140" s="541"/>
      <c r="FA140" s="541"/>
      <c r="FB140" s="541"/>
      <c r="FC140" s="541"/>
      <c r="FD140" s="541"/>
      <c r="FE140" s="541"/>
      <c r="FF140" s="541"/>
      <c r="FG140" s="541"/>
      <c r="FH140" s="541"/>
      <c r="FI140" s="541"/>
      <c r="FJ140" s="541"/>
      <c r="FK140" s="541"/>
      <c r="FL140" s="541"/>
      <c r="FM140" s="541"/>
      <c r="FN140" s="541"/>
      <c r="FO140" s="541"/>
      <c r="FP140" s="541"/>
      <c r="FQ140" s="541"/>
      <c r="FR140" s="541"/>
      <c r="FS140" s="541"/>
      <c r="FT140" s="541"/>
      <c r="FU140" s="541"/>
      <c r="FV140" s="541"/>
      <c r="FW140" s="541"/>
      <c r="FX140" s="541"/>
      <c r="FY140" s="541"/>
      <c r="FZ140" s="541"/>
      <c r="GA140" s="541"/>
      <c r="GB140" s="541"/>
      <c r="GC140" s="541"/>
      <c r="GD140" s="541"/>
      <c r="GE140" s="541"/>
      <c r="GF140" s="541"/>
      <c r="GG140" s="541"/>
      <c r="GH140" s="541"/>
      <c r="GI140" s="541"/>
      <c r="GJ140" s="541"/>
      <c r="GK140" s="541"/>
      <c r="GL140" s="541"/>
      <c r="GM140" s="541"/>
      <c r="GN140" s="541"/>
      <c r="GO140" s="541"/>
      <c r="GP140" s="541"/>
      <c r="GQ140" s="541"/>
      <c r="GR140" s="541"/>
      <c r="GS140" s="541"/>
      <c r="GT140" s="541"/>
      <c r="GU140" s="541"/>
      <c r="GV140" s="541"/>
      <c r="GW140" s="541"/>
      <c r="GX140" s="541"/>
      <c r="GY140" s="541"/>
      <c r="GZ140" s="541"/>
      <c r="HA140" s="541"/>
      <c r="HB140" s="541"/>
      <c r="HC140" s="541"/>
      <c r="HD140" s="541"/>
      <c r="HE140" s="541"/>
      <c r="HF140" s="541"/>
      <c r="HG140" s="541"/>
      <c r="HH140" s="541"/>
      <c r="HI140" s="541"/>
      <c r="HJ140" s="541"/>
      <c r="HK140" s="541"/>
      <c r="HL140" s="541"/>
      <c r="HM140" s="541"/>
      <c r="HN140" s="541"/>
      <c r="HO140" s="541"/>
      <c r="HP140" s="541"/>
      <c r="HQ140" s="541"/>
      <c r="HR140" s="541"/>
      <c r="HS140" s="541"/>
      <c r="HT140" s="541"/>
      <c r="HU140" s="541"/>
      <c r="HV140" s="541"/>
      <c r="HW140" s="541"/>
      <c r="HX140" s="541"/>
      <c r="HY140" s="541"/>
      <c r="HZ140" s="541"/>
      <c r="IA140" s="541"/>
      <c r="IB140" s="541"/>
      <c r="IC140" s="541"/>
      <c r="ID140" s="541"/>
      <c r="IE140" s="541"/>
      <c r="IF140" s="541"/>
      <c r="IG140" s="541"/>
      <c r="IH140" s="541"/>
      <c r="II140" s="541"/>
      <c r="IJ140" s="541"/>
      <c r="IK140" s="541"/>
      <c r="IL140" s="541"/>
      <c r="IM140" s="541"/>
      <c r="IN140" s="541"/>
      <c r="IO140" s="541"/>
      <c r="IP140" s="541"/>
      <c r="IQ140" s="541"/>
      <c r="IR140" s="541"/>
      <c r="IS140" s="541"/>
      <c r="IT140" s="541"/>
      <c r="IU140" s="541"/>
      <c r="IV140" s="541"/>
      <c r="IW140" s="541"/>
      <c r="IX140" s="541"/>
      <c r="IY140" s="541"/>
      <c r="IZ140" s="541"/>
      <c r="JA140" s="541"/>
      <c r="JB140" s="541"/>
      <c r="JC140" s="541"/>
      <c r="JD140" s="541"/>
      <c r="JE140" s="541"/>
      <c r="JF140" s="541"/>
      <c r="JG140" s="541"/>
      <c r="JH140" s="541"/>
      <c r="JI140" s="541"/>
      <c r="JJ140" s="541"/>
      <c r="JK140" s="541"/>
      <c r="JL140" s="541"/>
      <c r="JM140" s="541"/>
      <c r="JN140" s="541"/>
      <c r="JO140" s="541"/>
      <c r="JP140" s="541"/>
      <c r="JQ140" s="541"/>
      <c r="JR140" s="541"/>
      <c r="JS140" s="541"/>
      <c r="JT140" s="541"/>
      <c r="JU140" s="541"/>
      <c r="JV140" s="541"/>
      <c r="JW140" s="541"/>
      <c r="JX140" s="541"/>
      <c r="JY140" s="541"/>
      <c r="JZ140" s="541"/>
      <c r="KA140" s="541"/>
      <c r="KB140" s="541"/>
      <c r="KC140" s="541"/>
      <c r="KD140" s="541"/>
      <c r="KE140" s="541"/>
      <c r="KF140" s="541"/>
      <c r="KG140" s="541"/>
      <c r="KH140" s="541"/>
      <c r="KI140" s="541"/>
      <c r="KJ140" s="541"/>
      <c r="KK140" s="541"/>
      <c r="KL140" s="541"/>
      <c r="KM140" s="541"/>
      <c r="KN140" s="541"/>
      <c r="KO140" s="541"/>
      <c r="KP140" s="541"/>
      <c r="KQ140" s="541"/>
      <c r="KR140" s="541"/>
      <c r="KS140" s="541"/>
      <c r="KT140" s="541"/>
      <c r="KU140" s="541"/>
      <c r="KV140" s="541"/>
      <c r="KW140" s="541"/>
      <c r="KX140" s="541"/>
      <c r="KY140" s="541"/>
      <c r="KZ140" s="541"/>
      <c r="LA140" s="541"/>
      <c r="LB140" s="541"/>
      <c r="LC140" s="541"/>
      <c r="LD140" s="541"/>
      <c r="LE140" s="541"/>
      <c r="LF140" s="541"/>
      <c r="LG140" s="541"/>
      <c r="LH140" s="541"/>
      <c r="LI140" s="541"/>
      <c r="LJ140" s="541"/>
      <c r="LK140" s="541"/>
      <c r="LL140" s="541"/>
      <c r="LM140" s="541"/>
      <c r="LN140" s="541"/>
      <c r="LO140" s="541"/>
      <c r="LP140" s="541"/>
      <c r="LQ140" s="541"/>
      <c r="LR140" s="541"/>
      <c r="LS140" s="541"/>
      <c r="LT140" s="541"/>
      <c r="LU140" s="541"/>
      <c r="LV140" s="541"/>
      <c r="LW140" s="541"/>
      <c r="LX140" s="541"/>
      <c r="LY140" s="541"/>
      <c r="LZ140" s="541"/>
      <c r="MA140" s="541"/>
      <c r="MB140" s="541"/>
      <c r="MC140" s="541"/>
      <c r="MD140" s="541"/>
      <c r="ME140" s="541"/>
      <c r="MF140" s="541"/>
      <c r="MG140" s="541"/>
      <c r="MH140" s="541"/>
      <c r="MI140" s="541"/>
      <c r="MJ140" s="541"/>
      <c r="MK140" s="541"/>
      <c r="ML140" s="541"/>
      <c r="MM140" s="541"/>
      <c r="MN140" s="541"/>
      <c r="MO140" s="541"/>
      <c r="MP140" s="541"/>
      <c r="MQ140" s="541"/>
      <c r="MR140" s="541"/>
      <c r="MS140" s="541"/>
      <c r="MT140" s="541"/>
      <c r="MU140" s="541"/>
      <c r="MV140" s="541"/>
      <c r="MW140" s="541"/>
      <c r="MX140" s="541"/>
      <c r="MY140" s="541"/>
      <c r="MZ140" s="541"/>
      <c r="NA140" s="541"/>
      <c r="NB140" s="541"/>
      <c r="NC140" s="541"/>
      <c r="ND140" s="541"/>
      <c r="NE140" s="541"/>
      <c r="NF140" s="541"/>
      <c r="NG140" s="541"/>
      <c r="NH140" s="541"/>
      <c r="NI140" s="541"/>
      <c r="NJ140" s="541"/>
      <c r="NK140" s="541"/>
      <c r="NL140" s="541"/>
      <c r="NM140" s="541"/>
      <c r="NN140" s="541"/>
      <c r="NO140" s="541"/>
      <c r="NP140" s="541"/>
      <c r="NQ140" s="541"/>
      <c r="NR140" s="541"/>
      <c r="NS140" s="541"/>
      <c r="NT140" s="541"/>
      <c r="NU140" s="541"/>
      <c r="NV140" s="541"/>
      <c r="NW140" s="541"/>
      <c r="NX140" s="541"/>
      <c r="NY140" s="541"/>
      <c r="NZ140" s="541"/>
      <c r="OA140" s="541"/>
      <c r="OB140" s="541"/>
      <c r="OC140" s="541"/>
      <c r="OD140" s="541"/>
      <c r="OE140" s="541"/>
      <c r="OF140" s="541"/>
      <c r="OG140" s="541"/>
      <c r="OH140" s="541"/>
      <c r="OI140" s="541"/>
      <c r="OJ140" s="541"/>
      <c r="OK140" s="541"/>
      <c r="OL140" s="541"/>
      <c r="OM140" s="541"/>
      <c r="ON140" s="541"/>
      <c r="OO140" s="541"/>
      <c r="OP140" s="541"/>
      <c r="OQ140" s="541"/>
      <c r="OR140" s="541"/>
      <c r="OS140" s="541"/>
      <c r="OT140" s="541"/>
      <c r="OU140" s="541"/>
      <c r="OV140" s="541"/>
      <c r="OW140" s="541"/>
      <c r="OX140" s="541"/>
      <c r="OY140" s="541"/>
      <c r="OZ140" s="541"/>
      <c r="PA140" s="541"/>
      <c r="PB140" s="541"/>
      <c r="PC140" s="541"/>
      <c r="PD140" s="541"/>
      <c r="PE140" s="541"/>
      <c r="PF140" s="541"/>
      <c r="PG140" s="541"/>
      <c r="PH140" s="541"/>
      <c r="PI140" s="541"/>
      <c r="PJ140" s="541"/>
      <c r="PK140" s="541"/>
      <c r="PL140" s="541"/>
      <c r="PM140" s="541"/>
      <c r="PN140" s="541"/>
      <c r="PO140" s="541"/>
      <c r="PP140" s="541"/>
      <c r="PQ140" s="541"/>
      <c r="PR140" s="541"/>
      <c r="PS140" s="541"/>
      <c r="PT140" s="541"/>
      <c r="PU140" s="541"/>
      <c r="PV140" s="541"/>
      <c r="PW140" s="541"/>
      <c r="PX140" s="541"/>
      <c r="PY140" s="541"/>
      <c r="PZ140" s="541"/>
      <c r="QA140" s="541"/>
      <c r="QB140" s="541"/>
      <c r="QC140" s="541"/>
      <c r="QD140" s="541"/>
      <c r="QE140" s="541"/>
      <c r="QF140" s="541"/>
      <c r="QG140" s="541"/>
      <c r="QH140" s="541"/>
      <c r="QI140" s="541"/>
      <c r="QJ140" s="541"/>
      <c r="QK140" s="541"/>
      <c r="QL140" s="541"/>
      <c r="QM140" s="541"/>
      <c r="QN140" s="541"/>
      <c r="QO140" s="541"/>
      <c r="QP140" s="541"/>
      <c r="QQ140" s="541"/>
      <c r="QR140" s="541"/>
      <c r="QS140" s="541"/>
      <c r="QT140" s="541"/>
      <c r="QU140" s="541"/>
      <c r="QV140" s="541"/>
      <c r="QW140" s="541"/>
      <c r="QX140" s="541"/>
      <c r="QY140" s="541"/>
      <c r="QZ140" s="541"/>
      <c r="RA140" s="541"/>
      <c r="RB140" s="541"/>
      <c r="RC140" s="541"/>
      <c r="RD140" s="541"/>
      <c r="RE140" s="541"/>
      <c r="RF140" s="541"/>
      <c r="RG140" s="541"/>
      <c r="RH140" s="541"/>
      <c r="RI140" s="541"/>
      <c r="RJ140" s="541"/>
      <c r="RK140" s="541"/>
      <c r="RL140" s="541"/>
      <c r="RM140" s="541"/>
      <c r="RN140" s="541"/>
      <c r="RO140" s="541"/>
      <c r="RP140" s="541"/>
      <c r="RQ140" s="541"/>
      <c r="RR140" s="541"/>
      <c r="RS140" s="541"/>
      <c r="RT140" s="541"/>
      <c r="RU140" s="541"/>
      <c r="RV140" s="541"/>
      <c r="RW140" s="541"/>
      <c r="RX140" s="541"/>
      <c r="RY140" s="541"/>
      <c r="RZ140" s="541"/>
      <c r="SA140" s="541"/>
      <c r="SB140" s="541"/>
      <c r="SC140" s="541"/>
      <c r="SD140" s="541"/>
      <c r="SE140" s="541"/>
      <c r="SF140" s="541"/>
      <c r="SG140" s="541"/>
      <c r="SH140" s="541"/>
      <c r="SI140" s="541"/>
      <c r="SJ140" s="541"/>
      <c r="SK140" s="541"/>
      <c r="SL140" s="541"/>
      <c r="SM140" s="541"/>
      <c r="SN140" s="541"/>
      <c r="SO140" s="541"/>
      <c r="SP140" s="541"/>
      <c r="SQ140" s="541"/>
      <c r="SR140" s="541"/>
      <c r="SS140" s="541"/>
      <c r="ST140" s="541"/>
      <c r="SU140" s="541"/>
      <c r="SV140" s="541"/>
      <c r="SW140" s="541"/>
      <c r="SX140" s="541"/>
      <c r="SY140" s="541"/>
      <c r="SZ140" s="541"/>
      <c r="TA140" s="541"/>
      <c r="TB140" s="541"/>
      <c r="TC140" s="541"/>
      <c r="TD140" s="541"/>
      <c r="TE140" s="541"/>
      <c r="TF140" s="541"/>
      <c r="TG140" s="541"/>
      <c r="TH140" s="541"/>
      <c r="TI140" s="541"/>
      <c r="TJ140" s="541"/>
      <c r="TK140" s="541"/>
      <c r="TL140" s="541"/>
      <c r="TM140" s="541"/>
      <c r="TN140" s="541"/>
      <c r="TO140" s="541"/>
      <c r="TP140" s="541"/>
      <c r="TQ140" s="541"/>
      <c r="TR140" s="541"/>
      <c r="TS140" s="541"/>
      <c r="TT140" s="541"/>
      <c r="TU140" s="541"/>
      <c r="TV140" s="541"/>
      <c r="TW140" s="541"/>
      <c r="TX140" s="541"/>
      <c r="TY140" s="541"/>
      <c r="TZ140" s="541"/>
      <c r="UA140" s="541"/>
      <c r="UB140" s="541"/>
      <c r="UC140" s="541"/>
      <c r="UD140" s="541"/>
      <c r="UE140" s="541"/>
      <c r="UF140" s="541"/>
      <c r="UG140" s="541"/>
      <c r="UH140" s="541"/>
      <c r="UI140" s="541"/>
      <c r="UJ140" s="541"/>
      <c r="UK140" s="541"/>
      <c r="UL140" s="541"/>
      <c r="UM140" s="541"/>
      <c r="UN140" s="541"/>
      <c r="UO140" s="541"/>
      <c r="UP140" s="541"/>
      <c r="UQ140" s="541"/>
      <c r="UR140" s="541"/>
      <c r="US140" s="541"/>
      <c r="UT140" s="541"/>
      <c r="UU140" s="541"/>
      <c r="UV140" s="541"/>
      <c r="UW140" s="541"/>
      <c r="UX140" s="541"/>
      <c r="UY140" s="541"/>
      <c r="UZ140" s="541"/>
      <c r="VA140" s="541"/>
      <c r="VB140" s="541"/>
      <c r="VC140" s="541"/>
      <c r="VD140" s="541"/>
      <c r="VE140" s="541"/>
      <c r="VF140" s="541"/>
      <c r="VG140" s="541"/>
      <c r="VH140" s="541"/>
      <c r="VI140" s="541"/>
      <c r="VJ140" s="541"/>
      <c r="VK140" s="541"/>
      <c r="VL140" s="541"/>
      <c r="VM140" s="541"/>
      <c r="VN140" s="541"/>
      <c r="VO140" s="541"/>
      <c r="VP140" s="541"/>
      <c r="VQ140" s="541"/>
      <c r="VR140" s="541"/>
      <c r="VS140" s="541"/>
      <c r="VT140" s="541"/>
      <c r="VU140" s="541"/>
      <c r="VV140" s="541"/>
      <c r="VW140" s="541"/>
      <c r="VX140" s="541"/>
      <c r="VY140" s="541"/>
      <c r="VZ140" s="541"/>
      <c r="WA140" s="541"/>
      <c r="WB140" s="541"/>
      <c r="WC140" s="541"/>
      <c r="WD140" s="541"/>
      <c r="WE140" s="541"/>
      <c r="WF140" s="541"/>
      <c r="WG140" s="541"/>
      <c r="WH140" s="541"/>
      <c r="WI140" s="541"/>
      <c r="WJ140" s="541"/>
      <c r="WK140" s="541"/>
      <c r="WL140" s="541"/>
      <c r="WM140" s="541"/>
      <c r="WN140" s="541"/>
      <c r="WO140" s="541"/>
      <c r="WP140" s="541"/>
      <c r="WQ140" s="541"/>
      <c r="WR140" s="541"/>
      <c r="WS140" s="541"/>
      <c r="WT140" s="541"/>
      <c r="WU140" s="541"/>
      <c r="WV140" s="541"/>
      <c r="WW140" s="541"/>
      <c r="WX140" s="541"/>
      <c r="WY140" s="541"/>
      <c r="WZ140" s="541"/>
      <c r="XA140" s="541"/>
      <c r="XB140" s="541"/>
      <c r="XC140" s="541"/>
      <c r="XD140" s="541"/>
      <c r="XE140" s="541"/>
      <c r="XF140" s="541"/>
      <c r="XG140" s="541"/>
      <c r="XH140" s="541"/>
      <c r="XI140" s="541"/>
      <c r="XJ140" s="541"/>
      <c r="XK140" s="541"/>
      <c r="XL140" s="541"/>
      <c r="XM140" s="541"/>
      <c r="XN140" s="541"/>
      <c r="XO140" s="541"/>
      <c r="XP140" s="541"/>
      <c r="XQ140" s="541"/>
      <c r="XR140" s="541"/>
      <c r="XS140" s="541"/>
      <c r="XT140" s="541"/>
      <c r="XU140" s="541"/>
      <c r="XV140" s="541"/>
      <c r="XW140" s="541"/>
      <c r="XX140" s="541"/>
      <c r="XY140" s="541"/>
      <c r="XZ140" s="541"/>
      <c r="YA140" s="541"/>
      <c r="YB140" s="541"/>
      <c r="YC140" s="541"/>
      <c r="YD140" s="541"/>
      <c r="YE140" s="541"/>
      <c r="YF140" s="541"/>
      <c r="YG140" s="541"/>
      <c r="YH140" s="541"/>
      <c r="YI140" s="541"/>
      <c r="YJ140" s="541"/>
      <c r="YK140" s="541"/>
      <c r="YL140" s="541"/>
      <c r="YM140" s="541"/>
      <c r="YN140" s="541"/>
      <c r="YO140" s="541"/>
      <c r="YP140" s="541"/>
      <c r="YQ140" s="541"/>
      <c r="YR140" s="541"/>
      <c r="YS140" s="541"/>
      <c r="YT140" s="541"/>
      <c r="YU140" s="541"/>
      <c r="YV140" s="541"/>
      <c r="YW140" s="541"/>
      <c r="YX140" s="541"/>
      <c r="YY140" s="541"/>
      <c r="YZ140" s="541"/>
      <c r="ZA140" s="541"/>
      <c r="ZB140" s="541"/>
      <c r="ZC140" s="541"/>
      <c r="ZD140" s="541"/>
      <c r="ZE140" s="541"/>
      <c r="ZF140" s="541"/>
      <c r="ZG140" s="541"/>
      <c r="ZH140" s="541"/>
      <c r="ZI140" s="541"/>
      <c r="ZJ140" s="541"/>
      <c r="ZK140" s="541"/>
      <c r="ZL140" s="541"/>
      <c r="ZM140" s="541"/>
      <c r="ZN140" s="541"/>
      <c r="ZO140" s="541"/>
      <c r="ZP140" s="541"/>
      <c r="ZQ140" s="541"/>
      <c r="ZR140" s="541"/>
      <c r="ZS140" s="541"/>
      <c r="ZT140" s="541"/>
      <c r="ZU140" s="541"/>
      <c r="ZV140" s="541"/>
      <c r="ZW140" s="541"/>
      <c r="ZX140" s="541"/>
      <c r="ZY140" s="541"/>
      <c r="ZZ140" s="541"/>
      <c r="AAA140" s="541"/>
      <c r="AAB140" s="541"/>
      <c r="AAC140" s="541"/>
      <c r="AAD140" s="541"/>
      <c r="AAE140" s="541"/>
      <c r="AAF140" s="541"/>
      <c r="AAG140" s="541"/>
      <c r="AAH140" s="541"/>
      <c r="AAI140" s="541"/>
      <c r="AAJ140" s="541"/>
      <c r="AAK140" s="541"/>
      <c r="AAL140" s="541"/>
      <c r="AAM140" s="541"/>
      <c r="AAN140" s="541"/>
      <c r="AAO140" s="541"/>
      <c r="AAP140" s="541"/>
      <c r="AAQ140" s="541"/>
      <c r="AAR140" s="541"/>
      <c r="AAS140" s="541"/>
      <c r="AAT140" s="541"/>
      <c r="AAU140" s="541"/>
      <c r="AAV140" s="541"/>
      <c r="AAW140" s="541"/>
      <c r="AAX140" s="541"/>
      <c r="AAY140" s="541"/>
      <c r="AAZ140" s="541"/>
      <c r="ABA140" s="541"/>
      <c r="ABB140" s="541"/>
      <c r="ABC140" s="541"/>
      <c r="ABD140" s="541"/>
      <c r="ABE140" s="541"/>
      <c r="ABF140" s="541"/>
      <c r="ABG140" s="541"/>
      <c r="ABH140" s="541"/>
      <c r="ABI140" s="541"/>
      <c r="ABJ140" s="541"/>
      <c r="ABK140" s="541"/>
      <c r="ABL140" s="541"/>
      <c r="ABM140" s="541"/>
      <c r="ABN140" s="541"/>
      <c r="ABO140" s="541"/>
      <c r="ABP140" s="541"/>
      <c r="ABQ140" s="541"/>
      <c r="ABR140" s="541"/>
      <c r="ABS140" s="541"/>
      <c r="ABT140" s="541"/>
      <c r="ABU140" s="541"/>
      <c r="ABV140" s="541"/>
      <c r="ABW140" s="541"/>
      <c r="ABX140" s="541"/>
      <c r="ABY140" s="541"/>
      <c r="ABZ140" s="541"/>
      <c r="ACA140" s="541"/>
      <c r="ACB140" s="541"/>
      <c r="ACC140" s="541"/>
      <c r="ACD140" s="541"/>
      <c r="ACE140" s="541"/>
      <c r="ACF140" s="541"/>
      <c r="ACG140" s="541"/>
      <c r="ACH140" s="541"/>
      <c r="ACI140" s="541"/>
      <c r="ACJ140" s="541"/>
      <c r="ACK140" s="541"/>
      <c r="ACL140" s="541"/>
      <c r="ACM140" s="541"/>
      <c r="ACN140" s="541"/>
      <c r="ACO140" s="541"/>
      <c r="ACP140" s="541"/>
      <c r="ACQ140" s="541"/>
      <c r="ACR140" s="541"/>
      <c r="ACS140" s="541"/>
      <c r="ACT140" s="541"/>
      <c r="ACU140" s="541"/>
      <c r="ACV140" s="541"/>
      <c r="ACW140" s="541"/>
      <c r="ACX140" s="541"/>
      <c r="ACY140" s="541"/>
      <c r="ACZ140" s="541"/>
      <c r="ADA140" s="541"/>
      <c r="ADB140" s="541"/>
      <c r="ADC140" s="541"/>
      <c r="ADD140" s="541"/>
      <c r="ADE140" s="541"/>
      <c r="ADF140" s="541"/>
      <c r="ADG140" s="541"/>
      <c r="ADH140" s="541"/>
      <c r="ADI140" s="541"/>
      <c r="ADJ140" s="541"/>
      <c r="ADK140" s="541"/>
      <c r="ADL140" s="541"/>
      <c r="ADM140" s="541"/>
      <c r="ADN140" s="541"/>
      <c r="ADO140" s="541"/>
      <c r="ADP140" s="541"/>
      <c r="ADQ140" s="541"/>
      <c r="ADR140" s="541"/>
      <c r="ADS140" s="541"/>
      <c r="ADT140" s="541"/>
      <c r="ADU140" s="541"/>
      <c r="ADV140" s="541"/>
      <c r="ADW140" s="541"/>
      <c r="ADX140" s="541"/>
      <c r="ADY140" s="541"/>
      <c r="ADZ140" s="541"/>
      <c r="AEA140" s="541"/>
      <c r="AEB140" s="541"/>
      <c r="AEC140" s="541"/>
      <c r="AED140" s="541"/>
      <c r="AEE140" s="541"/>
      <c r="AEF140" s="541"/>
      <c r="AEG140" s="541"/>
      <c r="AEH140" s="541"/>
      <c r="AEI140" s="541"/>
      <c r="AEJ140" s="541"/>
      <c r="AEK140" s="541"/>
      <c r="AEL140" s="541"/>
      <c r="AEM140" s="541"/>
      <c r="AEN140" s="541"/>
      <c r="AEO140" s="541"/>
      <c r="AEP140" s="541"/>
      <c r="AEQ140" s="541"/>
      <c r="AER140" s="541"/>
      <c r="AES140" s="541"/>
      <c r="AET140" s="541"/>
      <c r="AEU140" s="541"/>
      <c r="AEV140" s="541"/>
      <c r="AEW140" s="541"/>
      <c r="AEX140" s="541"/>
      <c r="AEY140" s="541"/>
      <c r="AEZ140" s="541"/>
      <c r="AFA140" s="541"/>
      <c r="AFB140" s="541"/>
      <c r="AFC140" s="541"/>
      <c r="AFD140" s="541"/>
      <c r="AFE140" s="541"/>
      <c r="AFF140" s="541"/>
      <c r="AFG140" s="541"/>
      <c r="AFH140" s="541"/>
      <c r="AFI140" s="541"/>
      <c r="AFJ140" s="541"/>
      <c r="AFK140" s="541"/>
      <c r="AFL140" s="541"/>
      <c r="AFM140" s="541"/>
      <c r="AFN140" s="541"/>
      <c r="AFO140" s="541"/>
      <c r="AFP140" s="541"/>
      <c r="AFQ140" s="541"/>
      <c r="AFR140" s="541"/>
      <c r="AFS140" s="541"/>
      <c r="AFT140" s="541"/>
      <c r="AFU140" s="541"/>
      <c r="AFV140" s="541"/>
      <c r="AFW140" s="541"/>
      <c r="AFX140" s="541"/>
      <c r="AFY140" s="541"/>
      <c r="AFZ140" s="541"/>
      <c r="AGA140" s="541"/>
      <c r="AGB140" s="541"/>
      <c r="AGC140" s="541"/>
      <c r="AGD140" s="541"/>
      <c r="AGE140" s="541"/>
      <c r="AGF140" s="541"/>
      <c r="AGG140" s="541"/>
      <c r="AGH140" s="541"/>
      <c r="AGI140" s="541"/>
      <c r="AGJ140" s="541"/>
      <c r="AGK140" s="541"/>
      <c r="AGL140" s="541"/>
      <c r="AGM140" s="541"/>
      <c r="AGN140" s="541"/>
      <c r="AGO140" s="541"/>
      <c r="AGP140" s="541"/>
      <c r="AGQ140" s="541"/>
      <c r="AGR140" s="541"/>
      <c r="AGS140" s="541"/>
      <c r="AGT140" s="541"/>
      <c r="AGU140" s="541"/>
      <c r="AGV140" s="541"/>
      <c r="AGW140" s="541"/>
      <c r="AGX140" s="541"/>
      <c r="AGY140" s="541"/>
      <c r="AGZ140" s="541"/>
      <c r="AHA140" s="541"/>
      <c r="AHB140" s="541"/>
      <c r="AHC140" s="541"/>
      <c r="AHD140" s="541"/>
      <c r="AHE140" s="541"/>
      <c r="AHF140" s="541"/>
      <c r="AHG140" s="541"/>
      <c r="AHH140" s="541"/>
      <c r="AHI140" s="541"/>
      <c r="AHJ140" s="541"/>
      <c r="AHK140" s="541"/>
      <c r="AHL140" s="541"/>
      <c r="AHM140" s="541"/>
      <c r="AHN140" s="541"/>
      <c r="AHO140" s="541"/>
      <c r="AHP140" s="541"/>
      <c r="AHQ140" s="541"/>
      <c r="AHR140" s="541"/>
      <c r="AHS140" s="541"/>
      <c r="AHT140" s="541"/>
      <c r="AHU140" s="541"/>
      <c r="AHV140" s="541"/>
      <c r="AHW140" s="541"/>
      <c r="AHX140" s="541"/>
      <c r="AHY140" s="541"/>
      <c r="AHZ140" s="541"/>
      <c r="AIA140" s="541"/>
      <c r="AIB140" s="541"/>
      <c r="AIC140" s="541"/>
      <c r="AID140" s="541"/>
      <c r="AIE140" s="541"/>
      <c r="AIF140" s="541"/>
      <c r="AIG140" s="541"/>
      <c r="AIH140" s="541"/>
      <c r="AII140" s="541"/>
      <c r="AIJ140" s="541"/>
      <c r="AIK140" s="541"/>
      <c r="AIL140" s="541"/>
      <c r="AIM140" s="541"/>
      <c r="AIN140" s="541"/>
      <c r="AIO140" s="541"/>
      <c r="AIP140" s="541"/>
      <c r="AIQ140" s="541"/>
      <c r="AIR140" s="541"/>
      <c r="AIS140" s="541"/>
      <c r="AIT140" s="541"/>
      <c r="AIU140" s="541"/>
      <c r="AIV140" s="541"/>
      <c r="AIW140" s="541"/>
      <c r="AIX140" s="541"/>
      <c r="AIY140" s="541"/>
      <c r="AIZ140" s="541"/>
      <c r="AJA140" s="541"/>
      <c r="AJB140" s="541"/>
      <c r="AJC140" s="541"/>
      <c r="AJD140" s="541"/>
      <c r="AJE140" s="541"/>
      <c r="AJF140" s="541"/>
      <c r="AJG140" s="541"/>
      <c r="AJH140" s="541"/>
      <c r="AJI140" s="541"/>
      <c r="AJJ140" s="541"/>
      <c r="AJK140" s="541"/>
      <c r="AJL140" s="541"/>
      <c r="AJM140" s="541"/>
      <c r="AJN140" s="541"/>
      <c r="AJO140" s="541"/>
      <c r="AJP140" s="541"/>
      <c r="AJQ140" s="541"/>
      <c r="AJR140" s="541"/>
      <c r="AJS140" s="541"/>
      <c r="AJT140" s="541"/>
      <c r="AJU140" s="541"/>
      <c r="AJV140" s="541"/>
      <c r="AJW140" s="541"/>
      <c r="AJX140" s="541"/>
      <c r="AJY140" s="541"/>
      <c r="AJZ140" s="541"/>
      <c r="AKA140" s="541"/>
      <c r="AKB140" s="541"/>
      <c r="AKC140" s="541"/>
      <c r="AKD140" s="541"/>
      <c r="AKE140" s="541"/>
      <c r="AKF140" s="541"/>
      <c r="AKG140" s="541"/>
      <c r="AKH140" s="541"/>
      <c r="AKI140" s="541"/>
      <c r="AKJ140" s="541"/>
      <c r="AKK140" s="541"/>
      <c r="AKL140" s="541"/>
      <c r="AKM140" s="541"/>
      <c r="AKN140" s="541"/>
      <c r="AKO140" s="541"/>
      <c r="AKP140" s="541"/>
      <c r="AKQ140" s="541"/>
      <c r="AKR140" s="541"/>
      <c r="AKS140" s="541"/>
      <c r="AKT140" s="541"/>
      <c r="AKU140" s="541"/>
      <c r="AKV140" s="541"/>
      <c r="AKW140" s="541"/>
      <c r="AKX140" s="541"/>
      <c r="AKY140" s="541"/>
      <c r="AKZ140" s="541"/>
      <c r="ALA140" s="541"/>
      <c r="ALB140" s="541"/>
      <c r="ALC140" s="541"/>
      <c r="ALD140" s="541"/>
      <c r="ALE140" s="541"/>
      <c r="ALF140" s="541"/>
      <c r="ALG140" s="541"/>
      <c r="ALH140" s="541"/>
      <c r="ALI140" s="541"/>
      <c r="ALJ140" s="541"/>
      <c r="ALK140" s="541"/>
      <c r="ALL140" s="541"/>
      <c r="ALM140" s="541"/>
      <c r="ALN140" s="541"/>
      <c r="ALO140" s="541"/>
      <c r="ALP140" s="541"/>
      <c r="ALQ140" s="541"/>
      <c r="ALR140" s="541"/>
      <c r="ALS140" s="541"/>
      <c r="ALT140" s="541"/>
      <c r="ALU140" s="541"/>
      <c r="ALV140" s="541"/>
      <c r="ALW140" s="541"/>
      <c r="ALX140" s="541"/>
      <c r="ALY140" s="541"/>
      <c r="ALZ140" s="541"/>
      <c r="AMA140" s="541"/>
      <c r="AMB140" s="541"/>
      <c r="AMC140" s="541"/>
      <c r="AMD140" s="541"/>
      <c r="AME140" s="541"/>
      <c r="AMF140" s="541"/>
      <c r="AMG140" s="541"/>
      <c r="AMH140" s="541"/>
      <c r="AMI140" s="541"/>
      <c r="AMJ140" s="541"/>
      <c r="AMK140" s="541"/>
      <c r="AML140" s="541"/>
      <c r="AMM140" s="541"/>
      <c r="AMN140" s="541"/>
      <c r="AMO140" s="541"/>
      <c r="AMP140" s="541"/>
      <c r="AMQ140" s="541"/>
      <c r="AMR140" s="541"/>
      <c r="AMS140" s="541"/>
      <c r="AMT140" s="541"/>
      <c r="AMU140" s="541"/>
      <c r="AMV140" s="541"/>
      <c r="AMW140" s="541"/>
      <c r="AMX140" s="541"/>
      <c r="AMY140" s="541"/>
      <c r="AMZ140" s="541"/>
      <c r="ANA140" s="541"/>
      <c r="ANB140" s="541"/>
      <c r="ANC140" s="541"/>
      <c r="AND140" s="541"/>
      <c r="ANE140" s="541"/>
      <c r="ANF140" s="541"/>
      <c r="ANG140" s="541"/>
      <c r="ANH140" s="541"/>
      <c r="ANI140" s="541"/>
      <c r="ANJ140" s="541"/>
      <c r="ANK140" s="541"/>
      <c r="ANL140" s="541"/>
      <c r="ANM140" s="541"/>
      <c r="ANN140" s="541"/>
      <c r="ANO140" s="541"/>
      <c r="ANP140" s="541"/>
      <c r="ANQ140" s="541"/>
      <c r="ANR140" s="541"/>
      <c r="ANS140" s="541"/>
      <c r="ANT140" s="541"/>
      <c r="ANU140" s="541"/>
      <c r="ANV140" s="541"/>
      <c r="ANW140" s="541"/>
      <c r="ANX140" s="541"/>
      <c r="ANY140" s="541"/>
      <c r="ANZ140" s="541"/>
      <c r="AOA140" s="541"/>
      <c r="AOB140" s="541"/>
      <c r="AOC140" s="541"/>
      <c r="AOD140" s="541"/>
      <c r="AOE140" s="541"/>
      <c r="AOF140" s="541"/>
      <c r="AOG140" s="541"/>
      <c r="AOH140" s="541"/>
      <c r="AOI140" s="541"/>
      <c r="AOJ140" s="541"/>
      <c r="AOK140" s="541"/>
      <c r="AOL140" s="541"/>
      <c r="AOM140" s="541"/>
      <c r="AON140" s="541"/>
      <c r="AOO140" s="541"/>
      <c r="AOP140" s="541"/>
      <c r="AOQ140" s="541"/>
      <c r="AOR140" s="541"/>
      <c r="AOS140" s="541"/>
      <c r="AOT140" s="541"/>
      <c r="AOU140" s="541"/>
      <c r="AOV140" s="541"/>
      <c r="AOW140" s="541"/>
      <c r="AOX140" s="541"/>
      <c r="AOY140" s="541"/>
      <c r="AOZ140" s="541"/>
      <c r="APA140" s="541"/>
      <c r="APB140" s="541"/>
      <c r="APC140" s="541"/>
      <c r="APD140" s="541"/>
      <c r="APE140" s="541"/>
      <c r="APF140" s="541"/>
      <c r="APG140" s="541"/>
      <c r="APH140" s="541"/>
      <c r="API140" s="541"/>
      <c r="APJ140" s="541"/>
      <c r="APK140" s="541"/>
      <c r="APL140" s="541"/>
      <c r="APM140" s="541"/>
      <c r="APN140" s="541"/>
      <c r="APO140" s="541"/>
      <c r="APP140" s="541"/>
      <c r="APQ140" s="541"/>
      <c r="APR140" s="541"/>
      <c r="APS140" s="541"/>
      <c r="APT140" s="541"/>
      <c r="APU140" s="541"/>
      <c r="APV140" s="541"/>
      <c r="APW140" s="541"/>
      <c r="APX140" s="541"/>
      <c r="APY140" s="541"/>
      <c r="APZ140" s="541"/>
      <c r="AQA140" s="541"/>
      <c r="AQB140" s="541"/>
      <c r="AQC140" s="541"/>
      <c r="AQD140" s="541"/>
      <c r="AQE140" s="541"/>
      <c r="AQF140" s="541"/>
      <c r="AQG140" s="541"/>
      <c r="AQH140" s="541"/>
      <c r="AQI140" s="541"/>
      <c r="AQJ140" s="541"/>
      <c r="AQK140" s="541"/>
      <c r="AQL140" s="541"/>
      <c r="AQM140" s="541"/>
      <c r="AQN140" s="541"/>
      <c r="AQO140" s="541"/>
      <c r="AQP140" s="541"/>
      <c r="AQQ140" s="541"/>
      <c r="AQR140" s="541"/>
      <c r="AQS140" s="541"/>
      <c r="AQT140" s="541"/>
      <c r="AQU140" s="541"/>
      <c r="AQV140" s="541"/>
      <c r="AQW140" s="541"/>
      <c r="AQX140" s="541"/>
      <c r="AQY140" s="541"/>
      <c r="AQZ140" s="541"/>
      <c r="ARA140" s="541"/>
      <c r="ARB140" s="541"/>
      <c r="ARC140" s="541"/>
      <c r="ARD140" s="541"/>
      <c r="ARE140" s="541"/>
      <c r="ARF140" s="541"/>
      <c r="ARG140" s="541"/>
      <c r="ARH140" s="541"/>
      <c r="ARI140" s="541"/>
      <c r="ARJ140" s="541"/>
      <c r="ARK140" s="541"/>
      <c r="ARL140" s="541"/>
      <c r="ARM140" s="541"/>
      <c r="ARN140" s="541"/>
      <c r="ARO140" s="541"/>
      <c r="ARP140" s="541"/>
      <c r="ARQ140" s="541"/>
      <c r="ARR140" s="541"/>
      <c r="ARS140" s="541"/>
      <c r="ART140" s="541"/>
      <c r="ARU140" s="541"/>
    </row>
    <row r="141" spans="1:1165" s="658" customFormat="1">
      <c r="A141" s="613" t="s">
        <v>287</v>
      </c>
      <c r="B141" s="578" t="s">
        <v>110</v>
      </c>
      <c r="C141" s="659">
        <v>50823118</v>
      </c>
      <c r="D141" s="659">
        <v>747819924</v>
      </c>
      <c r="E141" s="581">
        <v>18940</v>
      </c>
      <c r="F141" s="581">
        <v>388102</v>
      </c>
      <c r="G141" s="581">
        <v>0</v>
      </c>
      <c r="H141" s="581">
        <v>0</v>
      </c>
      <c r="I141" s="581">
        <v>0</v>
      </c>
      <c r="J141" s="581">
        <v>0</v>
      </c>
      <c r="K141" s="581">
        <v>0</v>
      </c>
      <c r="L141" s="581">
        <v>0</v>
      </c>
      <c r="M141" s="581"/>
      <c r="N141" s="581"/>
      <c r="O141" s="581">
        <v>21423</v>
      </c>
      <c r="P141" s="581">
        <v>422109</v>
      </c>
      <c r="Q141" s="581">
        <v>14204</v>
      </c>
      <c r="R141" s="581">
        <v>522000</v>
      </c>
      <c r="S141" s="581">
        <v>580433</v>
      </c>
      <c r="T141" s="581">
        <v>12294447</v>
      </c>
      <c r="U141" s="579">
        <v>0</v>
      </c>
      <c r="V141" s="579">
        <v>0</v>
      </c>
      <c r="W141" s="579">
        <v>0</v>
      </c>
      <c r="X141" s="579">
        <v>0</v>
      </c>
      <c r="Y141" s="579">
        <v>0</v>
      </c>
      <c r="Z141" s="579">
        <v>0</v>
      </c>
      <c r="AA141" s="579">
        <v>0</v>
      </c>
      <c r="AB141" s="579">
        <v>0</v>
      </c>
      <c r="AC141" s="579">
        <v>0</v>
      </c>
      <c r="AD141" s="579">
        <v>0</v>
      </c>
      <c r="AE141" s="579">
        <v>0</v>
      </c>
      <c r="AF141" s="579">
        <v>0</v>
      </c>
      <c r="AG141" s="579">
        <v>0</v>
      </c>
      <c r="AH141" s="579">
        <v>0</v>
      </c>
      <c r="AI141" s="579">
        <v>0</v>
      </c>
      <c r="AJ141" s="579">
        <v>0</v>
      </c>
      <c r="AK141" s="579">
        <v>0</v>
      </c>
      <c r="AL141" s="579">
        <v>0</v>
      </c>
      <c r="AM141" s="579">
        <v>0</v>
      </c>
      <c r="AN141" s="579">
        <v>0</v>
      </c>
      <c r="AO141" s="579">
        <v>0</v>
      </c>
      <c r="AP141" s="579">
        <v>0</v>
      </c>
      <c r="AQ141" s="579">
        <v>0</v>
      </c>
      <c r="AR141" s="579">
        <v>0</v>
      </c>
      <c r="AS141" s="579">
        <v>0</v>
      </c>
      <c r="AT141" s="579">
        <v>0</v>
      </c>
      <c r="AU141" s="579">
        <v>0</v>
      </c>
      <c r="AV141" s="579">
        <v>0</v>
      </c>
      <c r="AW141" s="579">
        <v>0</v>
      </c>
      <c r="AX141" s="579">
        <v>0</v>
      </c>
      <c r="AY141" s="598">
        <v>0</v>
      </c>
      <c r="AZ141" s="598">
        <v>0</v>
      </c>
      <c r="BA141" s="663"/>
      <c r="BB141" s="598"/>
      <c r="BC141" s="598"/>
      <c r="BD141" s="598"/>
      <c r="BE141" s="598"/>
      <c r="BF141" s="581"/>
      <c r="BG141" s="664"/>
      <c r="BH141" s="581"/>
      <c r="BI141" s="663"/>
      <c r="BJ141" s="598">
        <f t="shared" si="15"/>
        <v>51439178</v>
      </c>
      <c r="BK141" s="651">
        <f>D141+H141+J141+L141+N141+P141+R141+T141+V141+X141+Z141+AB141+AD141+AF141+AH141+AJ141+AL141+AN141+AP141+AR141+AT141+AV141+AX141+AZ141+BD141+BH141</f>
        <v>761058480</v>
      </c>
      <c r="BL141" s="541"/>
      <c r="BM141" s="541"/>
      <c r="BN141" s="624"/>
      <c r="BO141" s="541"/>
      <c r="BP141" s="624"/>
      <c r="BQ141" s="541"/>
      <c r="BR141" s="541"/>
      <c r="BS141" s="541"/>
      <c r="BT141" s="541"/>
      <c r="BU141" s="541"/>
      <c r="BV141" s="541"/>
      <c r="BW141" s="541"/>
      <c r="BX141" s="541"/>
      <c r="BY141" s="541"/>
      <c r="BZ141" s="541"/>
      <c r="CA141" s="541"/>
      <c r="CB141" s="541"/>
      <c r="CC141" s="541"/>
      <c r="CD141" s="541"/>
      <c r="CE141" s="541"/>
      <c r="CF141" s="541"/>
      <c r="CG141" s="541"/>
      <c r="CH141" s="541"/>
      <c r="CI141" s="541"/>
      <c r="CJ141" s="541"/>
      <c r="CK141" s="541"/>
      <c r="CL141" s="541"/>
      <c r="CM141" s="541"/>
      <c r="CN141" s="541"/>
      <c r="CO141" s="541"/>
      <c r="CP141" s="541"/>
      <c r="CQ141" s="541"/>
      <c r="CR141" s="541"/>
      <c r="CS141" s="541"/>
      <c r="CT141" s="541"/>
      <c r="CU141" s="541"/>
      <c r="CV141" s="541"/>
      <c r="CW141" s="541"/>
      <c r="CX141" s="541"/>
      <c r="CY141" s="541"/>
      <c r="CZ141" s="541"/>
      <c r="DA141" s="541"/>
      <c r="DB141" s="541"/>
      <c r="DC141" s="541"/>
      <c r="DD141" s="541"/>
      <c r="DE141" s="541"/>
      <c r="DF141" s="541"/>
      <c r="DG141" s="541"/>
      <c r="DH141" s="541"/>
      <c r="DI141" s="541"/>
      <c r="DJ141" s="541"/>
      <c r="DK141" s="541"/>
      <c r="DL141" s="541"/>
      <c r="DM141" s="541"/>
      <c r="DN141" s="541"/>
      <c r="DO141" s="541"/>
      <c r="DP141" s="541"/>
      <c r="DQ141" s="541"/>
      <c r="DR141" s="541"/>
      <c r="DS141" s="541"/>
      <c r="DT141" s="541"/>
      <c r="DU141" s="541"/>
      <c r="DV141" s="541"/>
      <c r="DW141" s="541"/>
      <c r="DX141" s="541"/>
      <c r="DY141" s="541"/>
      <c r="DZ141" s="541"/>
      <c r="EA141" s="541"/>
      <c r="EB141" s="541"/>
      <c r="EC141" s="541"/>
      <c r="ED141" s="541"/>
      <c r="EE141" s="541"/>
      <c r="EF141" s="541"/>
      <c r="EG141" s="541"/>
      <c r="EH141" s="541"/>
      <c r="EI141" s="541"/>
      <c r="EJ141" s="541"/>
      <c r="EK141" s="541"/>
      <c r="EL141" s="541"/>
      <c r="EM141" s="541"/>
      <c r="EN141" s="541"/>
      <c r="EO141" s="541"/>
      <c r="EP141" s="541"/>
      <c r="EQ141" s="541"/>
      <c r="ER141" s="541"/>
      <c r="ES141" s="541"/>
      <c r="ET141" s="541"/>
      <c r="EU141" s="541"/>
      <c r="EV141" s="541"/>
      <c r="EW141" s="541"/>
      <c r="EX141" s="541"/>
      <c r="EY141" s="541"/>
      <c r="EZ141" s="541"/>
      <c r="FA141" s="541"/>
      <c r="FB141" s="541"/>
      <c r="FC141" s="541"/>
      <c r="FD141" s="541"/>
      <c r="FE141" s="541"/>
      <c r="FF141" s="541"/>
      <c r="FG141" s="541"/>
      <c r="FH141" s="541"/>
      <c r="FI141" s="541"/>
      <c r="FJ141" s="541"/>
      <c r="FK141" s="541"/>
      <c r="FL141" s="541"/>
      <c r="FM141" s="541"/>
      <c r="FN141" s="541"/>
      <c r="FO141" s="541"/>
      <c r="FP141" s="541"/>
      <c r="FQ141" s="541"/>
      <c r="FR141" s="541"/>
      <c r="FS141" s="541"/>
      <c r="FT141" s="541"/>
      <c r="FU141" s="541"/>
      <c r="FV141" s="541"/>
      <c r="FW141" s="541"/>
      <c r="FX141" s="541"/>
      <c r="FY141" s="541"/>
      <c r="FZ141" s="541"/>
      <c r="GA141" s="541"/>
      <c r="GB141" s="541"/>
      <c r="GC141" s="541"/>
      <c r="GD141" s="541"/>
      <c r="GE141" s="541"/>
      <c r="GF141" s="541"/>
      <c r="GG141" s="541"/>
      <c r="GH141" s="541"/>
      <c r="GI141" s="541"/>
      <c r="GJ141" s="541"/>
      <c r="GK141" s="541"/>
      <c r="GL141" s="541"/>
      <c r="GM141" s="541"/>
      <c r="GN141" s="541"/>
      <c r="GO141" s="541"/>
      <c r="GP141" s="541"/>
      <c r="GQ141" s="541"/>
      <c r="GR141" s="541"/>
      <c r="GS141" s="541"/>
      <c r="GT141" s="541"/>
      <c r="GU141" s="541"/>
      <c r="GV141" s="541"/>
      <c r="GW141" s="541"/>
      <c r="GX141" s="541"/>
      <c r="GY141" s="541"/>
      <c r="GZ141" s="541"/>
      <c r="HA141" s="541"/>
      <c r="HB141" s="541"/>
      <c r="HC141" s="541"/>
      <c r="HD141" s="541"/>
      <c r="HE141" s="541"/>
      <c r="HF141" s="541"/>
      <c r="HG141" s="541"/>
      <c r="HH141" s="541"/>
      <c r="HI141" s="541"/>
      <c r="HJ141" s="541"/>
      <c r="HK141" s="541"/>
      <c r="HL141" s="541"/>
      <c r="HM141" s="541"/>
      <c r="HN141" s="541"/>
      <c r="HO141" s="541"/>
      <c r="HP141" s="541"/>
      <c r="HQ141" s="541"/>
      <c r="HR141" s="541"/>
      <c r="HS141" s="541"/>
      <c r="HT141" s="541"/>
      <c r="HU141" s="541"/>
      <c r="HV141" s="541"/>
      <c r="HW141" s="541"/>
      <c r="HX141" s="541"/>
      <c r="HY141" s="541"/>
      <c r="HZ141" s="541"/>
      <c r="IA141" s="541"/>
      <c r="IB141" s="541"/>
      <c r="IC141" s="541"/>
      <c r="ID141" s="541"/>
      <c r="IE141" s="541"/>
      <c r="IF141" s="541"/>
      <c r="IG141" s="541"/>
      <c r="IH141" s="541"/>
      <c r="II141" s="541"/>
      <c r="IJ141" s="541"/>
      <c r="IK141" s="541"/>
      <c r="IL141" s="541"/>
      <c r="IM141" s="541"/>
      <c r="IN141" s="541"/>
      <c r="IO141" s="541"/>
      <c r="IP141" s="541"/>
      <c r="IQ141" s="541"/>
      <c r="IR141" s="541"/>
      <c r="IS141" s="541"/>
      <c r="IT141" s="541"/>
      <c r="IU141" s="541"/>
      <c r="IV141" s="541"/>
      <c r="IW141" s="541"/>
      <c r="IX141" s="541"/>
      <c r="IY141" s="541"/>
      <c r="IZ141" s="541"/>
      <c r="JA141" s="541"/>
      <c r="JB141" s="541"/>
      <c r="JC141" s="541"/>
      <c r="JD141" s="541"/>
      <c r="JE141" s="541"/>
      <c r="JF141" s="541"/>
      <c r="JG141" s="541"/>
      <c r="JH141" s="541"/>
      <c r="JI141" s="541"/>
      <c r="JJ141" s="541"/>
      <c r="JK141" s="541"/>
      <c r="JL141" s="541"/>
      <c r="JM141" s="541"/>
      <c r="JN141" s="541"/>
      <c r="JO141" s="541"/>
      <c r="JP141" s="541"/>
      <c r="JQ141" s="541"/>
      <c r="JR141" s="541"/>
      <c r="JS141" s="541"/>
      <c r="JT141" s="541"/>
      <c r="JU141" s="541"/>
      <c r="JV141" s="541"/>
      <c r="JW141" s="541"/>
      <c r="JX141" s="541"/>
      <c r="JY141" s="541"/>
      <c r="JZ141" s="541"/>
      <c r="KA141" s="541"/>
      <c r="KB141" s="541"/>
      <c r="KC141" s="541"/>
      <c r="KD141" s="541"/>
      <c r="KE141" s="541"/>
      <c r="KF141" s="541"/>
      <c r="KG141" s="541"/>
      <c r="KH141" s="541"/>
      <c r="KI141" s="541"/>
      <c r="KJ141" s="541"/>
      <c r="KK141" s="541"/>
      <c r="KL141" s="541"/>
      <c r="KM141" s="541"/>
      <c r="KN141" s="541"/>
      <c r="KO141" s="541"/>
      <c r="KP141" s="541"/>
      <c r="KQ141" s="541"/>
      <c r="KR141" s="541"/>
      <c r="KS141" s="541"/>
      <c r="KT141" s="541"/>
      <c r="KU141" s="541"/>
      <c r="KV141" s="541"/>
      <c r="KW141" s="541"/>
      <c r="KX141" s="541"/>
      <c r="KY141" s="541"/>
      <c r="KZ141" s="541"/>
      <c r="LA141" s="541"/>
      <c r="LB141" s="541"/>
      <c r="LC141" s="541"/>
      <c r="LD141" s="541"/>
      <c r="LE141" s="541"/>
      <c r="LF141" s="541"/>
      <c r="LG141" s="541"/>
      <c r="LH141" s="541"/>
      <c r="LI141" s="541"/>
      <c r="LJ141" s="541"/>
      <c r="LK141" s="541"/>
      <c r="LL141" s="541"/>
      <c r="LM141" s="541"/>
      <c r="LN141" s="541"/>
      <c r="LO141" s="541"/>
      <c r="LP141" s="541"/>
      <c r="LQ141" s="541"/>
      <c r="LR141" s="541"/>
      <c r="LS141" s="541"/>
      <c r="LT141" s="541"/>
      <c r="LU141" s="541"/>
      <c r="LV141" s="541"/>
      <c r="LW141" s="541"/>
      <c r="LX141" s="541"/>
      <c r="LY141" s="541"/>
      <c r="LZ141" s="541"/>
      <c r="MA141" s="541"/>
      <c r="MB141" s="541"/>
      <c r="MC141" s="541"/>
      <c r="MD141" s="541"/>
      <c r="ME141" s="541"/>
      <c r="MF141" s="541"/>
      <c r="MG141" s="541"/>
      <c r="MH141" s="541"/>
      <c r="MI141" s="541"/>
      <c r="MJ141" s="541"/>
      <c r="MK141" s="541"/>
      <c r="ML141" s="541"/>
      <c r="MM141" s="541"/>
      <c r="MN141" s="541"/>
      <c r="MO141" s="541"/>
      <c r="MP141" s="541"/>
      <c r="MQ141" s="541"/>
      <c r="MR141" s="541"/>
      <c r="MS141" s="541"/>
      <c r="MT141" s="541"/>
      <c r="MU141" s="541"/>
      <c r="MV141" s="541"/>
      <c r="MW141" s="541"/>
      <c r="MX141" s="541"/>
      <c r="MY141" s="541"/>
      <c r="MZ141" s="541"/>
      <c r="NA141" s="541"/>
      <c r="NB141" s="541"/>
      <c r="NC141" s="541"/>
      <c r="ND141" s="541"/>
      <c r="NE141" s="541"/>
      <c r="NF141" s="541"/>
      <c r="NG141" s="541"/>
      <c r="NH141" s="541"/>
      <c r="NI141" s="541"/>
      <c r="NJ141" s="541"/>
      <c r="NK141" s="541"/>
      <c r="NL141" s="541"/>
      <c r="NM141" s="541"/>
      <c r="NN141" s="541"/>
      <c r="NO141" s="541"/>
      <c r="NP141" s="541"/>
      <c r="NQ141" s="541"/>
      <c r="NR141" s="541"/>
      <c r="NS141" s="541"/>
      <c r="NT141" s="541"/>
      <c r="NU141" s="541"/>
      <c r="NV141" s="541"/>
      <c r="NW141" s="541"/>
      <c r="NX141" s="541"/>
      <c r="NY141" s="541"/>
      <c r="NZ141" s="541"/>
      <c r="OA141" s="541"/>
      <c r="OB141" s="541"/>
      <c r="OC141" s="541"/>
      <c r="OD141" s="541"/>
      <c r="OE141" s="541"/>
      <c r="OF141" s="541"/>
      <c r="OG141" s="541"/>
      <c r="OH141" s="541"/>
      <c r="OI141" s="541"/>
      <c r="OJ141" s="541"/>
      <c r="OK141" s="541"/>
      <c r="OL141" s="541"/>
      <c r="OM141" s="541"/>
      <c r="ON141" s="541"/>
      <c r="OO141" s="541"/>
      <c r="OP141" s="541"/>
      <c r="OQ141" s="541"/>
      <c r="OR141" s="541"/>
      <c r="OS141" s="541"/>
      <c r="OT141" s="541"/>
      <c r="OU141" s="541"/>
      <c r="OV141" s="541"/>
      <c r="OW141" s="541"/>
      <c r="OX141" s="541"/>
      <c r="OY141" s="541"/>
      <c r="OZ141" s="541"/>
      <c r="PA141" s="541"/>
      <c r="PB141" s="541"/>
      <c r="PC141" s="541"/>
      <c r="PD141" s="541"/>
      <c r="PE141" s="541"/>
      <c r="PF141" s="541"/>
      <c r="PG141" s="541"/>
      <c r="PH141" s="541"/>
      <c r="PI141" s="541"/>
      <c r="PJ141" s="541"/>
      <c r="PK141" s="541"/>
      <c r="PL141" s="541"/>
      <c r="PM141" s="541"/>
      <c r="PN141" s="541"/>
      <c r="PO141" s="541"/>
      <c r="PP141" s="541"/>
      <c r="PQ141" s="541"/>
      <c r="PR141" s="541"/>
      <c r="PS141" s="541"/>
      <c r="PT141" s="541"/>
      <c r="PU141" s="541"/>
      <c r="PV141" s="541"/>
      <c r="PW141" s="541"/>
      <c r="PX141" s="541"/>
      <c r="PY141" s="541"/>
      <c r="PZ141" s="541"/>
      <c r="QA141" s="541"/>
      <c r="QB141" s="541"/>
      <c r="QC141" s="541"/>
      <c r="QD141" s="541"/>
      <c r="QE141" s="541"/>
      <c r="QF141" s="541"/>
      <c r="QG141" s="541"/>
      <c r="QH141" s="541"/>
      <c r="QI141" s="541"/>
      <c r="QJ141" s="541"/>
      <c r="QK141" s="541"/>
      <c r="QL141" s="541"/>
      <c r="QM141" s="541"/>
      <c r="QN141" s="541"/>
      <c r="QO141" s="541"/>
      <c r="QP141" s="541"/>
      <c r="QQ141" s="541"/>
      <c r="QR141" s="541"/>
      <c r="QS141" s="541"/>
      <c r="QT141" s="541"/>
      <c r="QU141" s="541"/>
      <c r="QV141" s="541"/>
      <c r="QW141" s="541"/>
      <c r="QX141" s="541"/>
      <c r="QY141" s="541"/>
      <c r="QZ141" s="541"/>
      <c r="RA141" s="541"/>
      <c r="RB141" s="541"/>
      <c r="RC141" s="541"/>
      <c r="RD141" s="541"/>
      <c r="RE141" s="541"/>
      <c r="RF141" s="541"/>
      <c r="RG141" s="541"/>
      <c r="RH141" s="541"/>
      <c r="RI141" s="541"/>
      <c r="RJ141" s="541"/>
      <c r="RK141" s="541"/>
      <c r="RL141" s="541"/>
      <c r="RM141" s="541"/>
      <c r="RN141" s="541"/>
      <c r="RO141" s="541"/>
      <c r="RP141" s="541"/>
      <c r="RQ141" s="541"/>
      <c r="RR141" s="541"/>
      <c r="RS141" s="541"/>
      <c r="RT141" s="541"/>
      <c r="RU141" s="541"/>
      <c r="RV141" s="541"/>
      <c r="RW141" s="541"/>
      <c r="RX141" s="541"/>
      <c r="RY141" s="541"/>
      <c r="RZ141" s="541"/>
      <c r="SA141" s="541"/>
      <c r="SB141" s="541"/>
      <c r="SC141" s="541"/>
      <c r="SD141" s="541"/>
      <c r="SE141" s="541"/>
      <c r="SF141" s="541"/>
      <c r="SG141" s="541"/>
      <c r="SH141" s="541"/>
      <c r="SI141" s="541"/>
      <c r="SJ141" s="541"/>
      <c r="SK141" s="541"/>
      <c r="SL141" s="541"/>
      <c r="SM141" s="541"/>
      <c r="SN141" s="541"/>
      <c r="SO141" s="541"/>
      <c r="SP141" s="541"/>
      <c r="SQ141" s="541"/>
      <c r="SR141" s="541"/>
      <c r="SS141" s="541"/>
      <c r="ST141" s="541"/>
      <c r="SU141" s="541"/>
      <c r="SV141" s="541"/>
      <c r="SW141" s="541"/>
      <c r="SX141" s="541"/>
      <c r="SY141" s="541"/>
      <c r="SZ141" s="541"/>
      <c r="TA141" s="541"/>
      <c r="TB141" s="541"/>
      <c r="TC141" s="541"/>
      <c r="TD141" s="541"/>
      <c r="TE141" s="541"/>
      <c r="TF141" s="541"/>
      <c r="TG141" s="541"/>
      <c r="TH141" s="541"/>
      <c r="TI141" s="541"/>
      <c r="TJ141" s="541"/>
      <c r="TK141" s="541"/>
      <c r="TL141" s="541"/>
      <c r="TM141" s="541"/>
      <c r="TN141" s="541"/>
      <c r="TO141" s="541"/>
      <c r="TP141" s="541"/>
      <c r="TQ141" s="541"/>
      <c r="TR141" s="541"/>
      <c r="TS141" s="541"/>
      <c r="TT141" s="541"/>
      <c r="TU141" s="541"/>
      <c r="TV141" s="541"/>
      <c r="TW141" s="541"/>
      <c r="TX141" s="541"/>
      <c r="TY141" s="541"/>
      <c r="TZ141" s="541"/>
      <c r="UA141" s="541"/>
      <c r="UB141" s="541"/>
      <c r="UC141" s="541"/>
      <c r="UD141" s="541"/>
      <c r="UE141" s="541"/>
      <c r="UF141" s="541"/>
      <c r="UG141" s="541"/>
      <c r="UH141" s="541"/>
      <c r="UI141" s="541"/>
      <c r="UJ141" s="541"/>
      <c r="UK141" s="541"/>
      <c r="UL141" s="541"/>
      <c r="UM141" s="541"/>
      <c r="UN141" s="541"/>
      <c r="UO141" s="541"/>
      <c r="UP141" s="541"/>
      <c r="UQ141" s="541"/>
      <c r="UR141" s="541"/>
      <c r="US141" s="541"/>
      <c r="UT141" s="541"/>
      <c r="UU141" s="541"/>
      <c r="UV141" s="541"/>
      <c r="UW141" s="541"/>
      <c r="UX141" s="541"/>
      <c r="UY141" s="541"/>
      <c r="UZ141" s="541"/>
      <c r="VA141" s="541"/>
      <c r="VB141" s="541"/>
      <c r="VC141" s="541"/>
      <c r="VD141" s="541"/>
      <c r="VE141" s="541"/>
      <c r="VF141" s="541"/>
      <c r="VG141" s="541"/>
      <c r="VH141" s="541"/>
      <c r="VI141" s="541"/>
      <c r="VJ141" s="541"/>
      <c r="VK141" s="541"/>
      <c r="VL141" s="541"/>
      <c r="VM141" s="541"/>
      <c r="VN141" s="541"/>
      <c r="VO141" s="541"/>
      <c r="VP141" s="541"/>
      <c r="VQ141" s="541"/>
      <c r="VR141" s="541"/>
      <c r="VS141" s="541"/>
      <c r="VT141" s="541"/>
      <c r="VU141" s="541"/>
      <c r="VV141" s="541"/>
      <c r="VW141" s="541"/>
      <c r="VX141" s="541"/>
      <c r="VY141" s="541"/>
      <c r="VZ141" s="541"/>
      <c r="WA141" s="541"/>
      <c r="WB141" s="541"/>
      <c r="WC141" s="541"/>
      <c r="WD141" s="541"/>
      <c r="WE141" s="541"/>
      <c r="WF141" s="541"/>
      <c r="WG141" s="541"/>
      <c r="WH141" s="541"/>
      <c r="WI141" s="541"/>
      <c r="WJ141" s="541"/>
      <c r="WK141" s="541"/>
      <c r="WL141" s="541"/>
      <c r="WM141" s="541"/>
      <c r="WN141" s="541"/>
      <c r="WO141" s="541"/>
      <c r="WP141" s="541"/>
      <c r="WQ141" s="541"/>
      <c r="WR141" s="541"/>
      <c r="WS141" s="541"/>
      <c r="WT141" s="541"/>
      <c r="WU141" s="541"/>
      <c r="WV141" s="541"/>
      <c r="WW141" s="541"/>
      <c r="WX141" s="541"/>
      <c r="WY141" s="541"/>
      <c r="WZ141" s="541"/>
      <c r="XA141" s="541"/>
      <c r="XB141" s="541"/>
      <c r="XC141" s="541"/>
      <c r="XD141" s="541"/>
      <c r="XE141" s="541"/>
      <c r="XF141" s="541"/>
      <c r="XG141" s="541"/>
      <c r="XH141" s="541"/>
      <c r="XI141" s="541"/>
      <c r="XJ141" s="541"/>
      <c r="XK141" s="541"/>
      <c r="XL141" s="541"/>
      <c r="XM141" s="541"/>
      <c r="XN141" s="541"/>
      <c r="XO141" s="541"/>
      <c r="XP141" s="541"/>
      <c r="XQ141" s="541"/>
      <c r="XR141" s="541"/>
      <c r="XS141" s="541"/>
      <c r="XT141" s="541"/>
      <c r="XU141" s="541"/>
      <c r="XV141" s="541"/>
      <c r="XW141" s="541"/>
      <c r="XX141" s="541"/>
      <c r="XY141" s="541"/>
      <c r="XZ141" s="541"/>
      <c r="YA141" s="541"/>
      <c r="YB141" s="541"/>
      <c r="YC141" s="541"/>
      <c r="YD141" s="541"/>
      <c r="YE141" s="541"/>
      <c r="YF141" s="541"/>
      <c r="YG141" s="541"/>
      <c r="YH141" s="541"/>
      <c r="YI141" s="541"/>
      <c r="YJ141" s="541"/>
      <c r="YK141" s="541"/>
      <c r="YL141" s="541"/>
      <c r="YM141" s="541"/>
      <c r="YN141" s="541"/>
      <c r="YO141" s="541"/>
      <c r="YP141" s="541"/>
      <c r="YQ141" s="541"/>
      <c r="YR141" s="541"/>
      <c r="YS141" s="541"/>
      <c r="YT141" s="541"/>
      <c r="YU141" s="541"/>
      <c r="YV141" s="541"/>
      <c r="YW141" s="541"/>
      <c r="YX141" s="541"/>
      <c r="YY141" s="541"/>
      <c r="YZ141" s="541"/>
      <c r="ZA141" s="541"/>
      <c r="ZB141" s="541"/>
      <c r="ZC141" s="541"/>
      <c r="ZD141" s="541"/>
      <c r="ZE141" s="541"/>
      <c r="ZF141" s="541"/>
      <c r="ZG141" s="541"/>
      <c r="ZH141" s="541"/>
      <c r="ZI141" s="541"/>
      <c r="ZJ141" s="541"/>
      <c r="ZK141" s="541"/>
      <c r="ZL141" s="541"/>
      <c r="ZM141" s="541"/>
      <c r="ZN141" s="541"/>
      <c r="ZO141" s="541"/>
      <c r="ZP141" s="541"/>
      <c r="ZQ141" s="541"/>
      <c r="ZR141" s="541"/>
      <c r="ZS141" s="541"/>
      <c r="ZT141" s="541"/>
      <c r="ZU141" s="541"/>
      <c r="ZV141" s="541"/>
      <c r="ZW141" s="541"/>
      <c r="ZX141" s="541"/>
      <c r="ZY141" s="541"/>
      <c r="ZZ141" s="541"/>
      <c r="AAA141" s="541"/>
      <c r="AAB141" s="541"/>
      <c r="AAC141" s="541"/>
      <c r="AAD141" s="541"/>
      <c r="AAE141" s="541"/>
      <c r="AAF141" s="541"/>
      <c r="AAG141" s="541"/>
      <c r="AAH141" s="541"/>
      <c r="AAI141" s="541"/>
      <c r="AAJ141" s="541"/>
      <c r="AAK141" s="541"/>
      <c r="AAL141" s="541"/>
      <c r="AAM141" s="541"/>
      <c r="AAN141" s="541"/>
      <c r="AAO141" s="541"/>
      <c r="AAP141" s="541"/>
      <c r="AAQ141" s="541"/>
      <c r="AAR141" s="541"/>
      <c r="AAS141" s="541"/>
      <c r="AAT141" s="541"/>
      <c r="AAU141" s="541"/>
      <c r="AAV141" s="541"/>
      <c r="AAW141" s="541"/>
      <c r="AAX141" s="541"/>
      <c r="AAY141" s="541"/>
      <c r="AAZ141" s="541"/>
      <c r="ABA141" s="541"/>
      <c r="ABB141" s="541"/>
      <c r="ABC141" s="541"/>
      <c r="ABD141" s="541"/>
      <c r="ABE141" s="541"/>
      <c r="ABF141" s="541"/>
      <c r="ABG141" s="541"/>
      <c r="ABH141" s="541"/>
      <c r="ABI141" s="541"/>
      <c r="ABJ141" s="541"/>
      <c r="ABK141" s="541"/>
      <c r="ABL141" s="541"/>
      <c r="ABM141" s="541"/>
      <c r="ABN141" s="541"/>
      <c r="ABO141" s="541"/>
      <c r="ABP141" s="541"/>
      <c r="ABQ141" s="541"/>
      <c r="ABR141" s="541"/>
      <c r="ABS141" s="541"/>
      <c r="ABT141" s="541"/>
      <c r="ABU141" s="541"/>
      <c r="ABV141" s="541"/>
      <c r="ABW141" s="541"/>
      <c r="ABX141" s="541"/>
      <c r="ABY141" s="541"/>
      <c r="ABZ141" s="541"/>
      <c r="ACA141" s="541"/>
      <c r="ACB141" s="541"/>
      <c r="ACC141" s="541"/>
      <c r="ACD141" s="541"/>
      <c r="ACE141" s="541"/>
      <c r="ACF141" s="541"/>
      <c r="ACG141" s="541"/>
      <c r="ACH141" s="541"/>
      <c r="ACI141" s="541"/>
      <c r="ACJ141" s="541"/>
      <c r="ACK141" s="541"/>
      <c r="ACL141" s="541"/>
      <c r="ACM141" s="541"/>
      <c r="ACN141" s="541"/>
      <c r="ACO141" s="541"/>
      <c r="ACP141" s="541"/>
      <c r="ACQ141" s="541"/>
      <c r="ACR141" s="541"/>
      <c r="ACS141" s="541"/>
      <c r="ACT141" s="541"/>
      <c r="ACU141" s="541"/>
      <c r="ACV141" s="541"/>
      <c r="ACW141" s="541"/>
      <c r="ACX141" s="541"/>
      <c r="ACY141" s="541"/>
      <c r="ACZ141" s="541"/>
      <c r="ADA141" s="541"/>
      <c r="ADB141" s="541"/>
      <c r="ADC141" s="541"/>
      <c r="ADD141" s="541"/>
      <c r="ADE141" s="541"/>
      <c r="ADF141" s="541"/>
      <c r="ADG141" s="541"/>
      <c r="ADH141" s="541"/>
      <c r="ADI141" s="541"/>
      <c r="ADJ141" s="541"/>
      <c r="ADK141" s="541"/>
      <c r="ADL141" s="541"/>
      <c r="ADM141" s="541"/>
      <c r="ADN141" s="541"/>
      <c r="ADO141" s="541"/>
      <c r="ADP141" s="541"/>
      <c r="ADQ141" s="541"/>
      <c r="ADR141" s="541"/>
      <c r="ADS141" s="541"/>
      <c r="ADT141" s="541"/>
      <c r="ADU141" s="541"/>
      <c r="ADV141" s="541"/>
      <c r="ADW141" s="541"/>
      <c r="ADX141" s="541"/>
      <c r="ADY141" s="541"/>
      <c r="ADZ141" s="541"/>
      <c r="AEA141" s="541"/>
      <c r="AEB141" s="541"/>
      <c r="AEC141" s="541"/>
      <c r="AED141" s="541"/>
      <c r="AEE141" s="541"/>
      <c r="AEF141" s="541"/>
      <c r="AEG141" s="541"/>
      <c r="AEH141" s="541"/>
      <c r="AEI141" s="541"/>
      <c r="AEJ141" s="541"/>
      <c r="AEK141" s="541"/>
      <c r="AEL141" s="541"/>
      <c r="AEM141" s="541"/>
      <c r="AEN141" s="541"/>
      <c r="AEO141" s="541"/>
      <c r="AEP141" s="541"/>
      <c r="AEQ141" s="541"/>
      <c r="AER141" s="541"/>
      <c r="AES141" s="541"/>
      <c r="AET141" s="541"/>
      <c r="AEU141" s="541"/>
      <c r="AEV141" s="541"/>
      <c r="AEW141" s="541"/>
      <c r="AEX141" s="541"/>
      <c r="AEY141" s="541"/>
      <c r="AEZ141" s="541"/>
      <c r="AFA141" s="541"/>
      <c r="AFB141" s="541"/>
      <c r="AFC141" s="541"/>
      <c r="AFD141" s="541"/>
      <c r="AFE141" s="541"/>
      <c r="AFF141" s="541"/>
      <c r="AFG141" s="541"/>
      <c r="AFH141" s="541"/>
      <c r="AFI141" s="541"/>
      <c r="AFJ141" s="541"/>
      <c r="AFK141" s="541"/>
      <c r="AFL141" s="541"/>
      <c r="AFM141" s="541"/>
      <c r="AFN141" s="541"/>
      <c r="AFO141" s="541"/>
      <c r="AFP141" s="541"/>
      <c r="AFQ141" s="541"/>
      <c r="AFR141" s="541"/>
      <c r="AFS141" s="541"/>
      <c r="AFT141" s="541"/>
      <c r="AFU141" s="541"/>
      <c r="AFV141" s="541"/>
      <c r="AFW141" s="541"/>
      <c r="AFX141" s="541"/>
      <c r="AFY141" s="541"/>
      <c r="AFZ141" s="541"/>
      <c r="AGA141" s="541"/>
      <c r="AGB141" s="541"/>
      <c r="AGC141" s="541"/>
      <c r="AGD141" s="541"/>
      <c r="AGE141" s="541"/>
      <c r="AGF141" s="541"/>
      <c r="AGG141" s="541"/>
      <c r="AGH141" s="541"/>
      <c r="AGI141" s="541"/>
      <c r="AGJ141" s="541"/>
      <c r="AGK141" s="541"/>
      <c r="AGL141" s="541"/>
      <c r="AGM141" s="541"/>
      <c r="AGN141" s="541"/>
      <c r="AGO141" s="541"/>
      <c r="AGP141" s="541"/>
      <c r="AGQ141" s="541"/>
      <c r="AGR141" s="541"/>
      <c r="AGS141" s="541"/>
      <c r="AGT141" s="541"/>
      <c r="AGU141" s="541"/>
      <c r="AGV141" s="541"/>
      <c r="AGW141" s="541"/>
      <c r="AGX141" s="541"/>
      <c r="AGY141" s="541"/>
      <c r="AGZ141" s="541"/>
      <c r="AHA141" s="541"/>
      <c r="AHB141" s="541"/>
      <c r="AHC141" s="541"/>
      <c r="AHD141" s="541"/>
      <c r="AHE141" s="541"/>
      <c r="AHF141" s="541"/>
      <c r="AHG141" s="541"/>
      <c r="AHH141" s="541"/>
      <c r="AHI141" s="541"/>
      <c r="AHJ141" s="541"/>
      <c r="AHK141" s="541"/>
      <c r="AHL141" s="541"/>
      <c r="AHM141" s="541"/>
      <c r="AHN141" s="541"/>
      <c r="AHO141" s="541"/>
      <c r="AHP141" s="541"/>
      <c r="AHQ141" s="541"/>
      <c r="AHR141" s="541"/>
      <c r="AHS141" s="541"/>
      <c r="AHT141" s="541"/>
      <c r="AHU141" s="541"/>
      <c r="AHV141" s="541"/>
      <c r="AHW141" s="541"/>
      <c r="AHX141" s="541"/>
      <c r="AHY141" s="541"/>
      <c r="AHZ141" s="541"/>
      <c r="AIA141" s="541"/>
      <c r="AIB141" s="541"/>
      <c r="AIC141" s="541"/>
      <c r="AID141" s="541"/>
      <c r="AIE141" s="541"/>
      <c r="AIF141" s="541"/>
      <c r="AIG141" s="541"/>
      <c r="AIH141" s="541"/>
      <c r="AII141" s="541"/>
      <c r="AIJ141" s="541"/>
      <c r="AIK141" s="541"/>
      <c r="AIL141" s="541"/>
      <c r="AIM141" s="541"/>
      <c r="AIN141" s="541"/>
      <c r="AIO141" s="541"/>
      <c r="AIP141" s="541"/>
      <c r="AIQ141" s="541"/>
      <c r="AIR141" s="541"/>
      <c r="AIS141" s="541"/>
      <c r="AIT141" s="541"/>
      <c r="AIU141" s="541"/>
      <c r="AIV141" s="541"/>
      <c r="AIW141" s="541"/>
      <c r="AIX141" s="541"/>
      <c r="AIY141" s="541"/>
      <c r="AIZ141" s="541"/>
      <c r="AJA141" s="541"/>
      <c r="AJB141" s="541"/>
      <c r="AJC141" s="541"/>
      <c r="AJD141" s="541"/>
      <c r="AJE141" s="541"/>
      <c r="AJF141" s="541"/>
      <c r="AJG141" s="541"/>
      <c r="AJH141" s="541"/>
      <c r="AJI141" s="541"/>
      <c r="AJJ141" s="541"/>
      <c r="AJK141" s="541"/>
      <c r="AJL141" s="541"/>
      <c r="AJM141" s="541"/>
      <c r="AJN141" s="541"/>
      <c r="AJO141" s="541"/>
      <c r="AJP141" s="541"/>
      <c r="AJQ141" s="541"/>
      <c r="AJR141" s="541"/>
      <c r="AJS141" s="541"/>
      <c r="AJT141" s="541"/>
      <c r="AJU141" s="541"/>
      <c r="AJV141" s="541"/>
      <c r="AJW141" s="541"/>
      <c r="AJX141" s="541"/>
      <c r="AJY141" s="541"/>
      <c r="AJZ141" s="541"/>
      <c r="AKA141" s="541"/>
      <c r="AKB141" s="541"/>
      <c r="AKC141" s="541"/>
      <c r="AKD141" s="541"/>
      <c r="AKE141" s="541"/>
      <c r="AKF141" s="541"/>
      <c r="AKG141" s="541"/>
      <c r="AKH141" s="541"/>
      <c r="AKI141" s="541"/>
      <c r="AKJ141" s="541"/>
      <c r="AKK141" s="541"/>
      <c r="AKL141" s="541"/>
      <c r="AKM141" s="541"/>
      <c r="AKN141" s="541"/>
      <c r="AKO141" s="541"/>
      <c r="AKP141" s="541"/>
      <c r="AKQ141" s="541"/>
      <c r="AKR141" s="541"/>
      <c r="AKS141" s="541"/>
      <c r="AKT141" s="541"/>
      <c r="AKU141" s="541"/>
      <c r="AKV141" s="541"/>
      <c r="AKW141" s="541"/>
      <c r="AKX141" s="541"/>
      <c r="AKY141" s="541"/>
      <c r="AKZ141" s="541"/>
      <c r="ALA141" s="541"/>
      <c r="ALB141" s="541"/>
      <c r="ALC141" s="541"/>
      <c r="ALD141" s="541"/>
      <c r="ALE141" s="541"/>
      <c r="ALF141" s="541"/>
      <c r="ALG141" s="541"/>
      <c r="ALH141" s="541"/>
      <c r="ALI141" s="541"/>
      <c r="ALJ141" s="541"/>
      <c r="ALK141" s="541"/>
      <c r="ALL141" s="541"/>
      <c r="ALM141" s="541"/>
      <c r="ALN141" s="541"/>
      <c r="ALO141" s="541"/>
      <c r="ALP141" s="541"/>
      <c r="ALQ141" s="541"/>
      <c r="ALR141" s="541"/>
      <c r="ALS141" s="541"/>
      <c r="ALT141" s="541"/>
      <c r="ALU141" s="541"/>
      <c r="ALV141" s="541"/>
      <c r="ALW141" s="541"/>
      <c r="ALX141" s="541"/>
      <c r="ALY141" s="541"/>
      <c r="ALZ141" s="541"/>
      <c r="AMA141" s="541"/>
      <c r="AMB141" s="541"/>
      <c r="AMC141" s="541"/>
      <c r="AMD141" s="541"/>
      <c r="AME141" s="541"/>
      <c r="AMF141" s="541"/>
      <c r="AMG141" s="541"/>
      <c r="AMH141" s="541"/>
      <c r="AMI141" s="541"/>
      <c r="AMJ141" s="541"/>
      <c r="AMK141" s="541"/>
      <c r="AML141" s="541"/>
      <c r="AMM141" s="541"/>
      <c r="AMN141" s="541"/>
      <c r="AMO141" s="541"/>
      <c r="AMP141" s="541"/>
      <c r="AMQ141" s="541"/>
      <c r="AMR141" s="541"/>
      <c r="AMS141" s="541"/>
      <c r="AMT141" s="541"/>
      <c r="AMU141" s="541"/>
      <c r="AMV141" s="541"/>
      <c r="AMW141" s="541"/>
      <c r="AMX141" s="541"/>
      <c r="AMY141" s="541"/>
      <c r="AMZ141" s="541"/>
      <c r="ANA141" s="541"/>
      <c r="ANB141" s="541"/>
      <c r="ANC141" s="541"/>
      <c r="AND141" s="541"/>
      <c r="ANE141" s="541"/>
      <c r="ANF141" s="541"/>
      <c r="ANG141" s="541"/>
      <c r="ANH141" s="541"/>
      <c r="ANI141" s="541"/>
      <c r="ANJ141" s="541"/>
      <c r="ANK141" s="541"/>
      <c r="ANL141" s="541"/>
      <c r="ANM141" s="541"/>
      <c r="ANN141" s="541"/>
      <c r="ANO141" s="541"/>
      <c r="ANP141" s="541"/>
      <c r="ANQ141" s="541"/>
      <c r="ANR141" s="541"/>
      <c r="ANS141" s="541"/>
      <c r="ANT141" s="541"/>
      <c r="ANU141" s="541"/>
      <c r="ANV141" s="541"/>
      <c r="ANW141" s="541"/>
      <c r="ANX141" s="541"/>
      <c r="ANY141" s="541"/>
      <c r="ANZ141" s="541"/>
      <c r="AOA141" s="541"/>
      <c r="AOB141" s="541"/>
      <c r="AOC141" s="541"/>
      <c r="AOD141" s="541"/>
      <c r="AOE141" s="541"/>
      <c r="AOF141" s="541"/>
      <c r="AOG141" s="541"/>
      <c r="AOH141" s="541"/>
      <c r="AOI141" s="541"/>
      <c r="AOJ141" s="541"/>
      <c r="AOK141" s="541"/>
      <c r="AOL141" s="541"/>
      <c r="AOM141" s="541"/>
      <c r="AON141" s="541"/>
      <c r="AOO141" s="541"/>
      <c r="AOP141" s="541"/>
      <c r="AOQ141" s="541"/>
      <c r="AOR141" s="541"/>
      <c r="AOS141" s="541"/>
      <c r="AOT141" s="541"/>
      <c r="AOU141" s="541"/>
      <c r="AOV141" s="541"/>
      <c r="AOW141" s="541"/>
      <c r="AOX141" s="541"/>
      <c r="AOY141" s="541"/>
      <c r="AOZ141" s="541"/>
      <c r="APA141" s="541"/>
      <c r="APB141" s="541"/>
      <c r="APC141" s="541"/>
      <c r="APD141" s="541"/>
      <c r="APE141" s="541"/>
      <c r="APF141" s="541"/>
      <c r="APG141" s="541"/>
      <c r="APH141" s="541"/>
      <c r="API141" s="541"/>
      <c r="APJ141" s="541"/>
      <c r="APK141" s="541"/>
      <c r="APL141" s="541"/>
      <c r="APM141" s="541"/>
      <c r="APN141" s="541"/>
      <c r="APO141" s="541"/>
      <c r="APP141" s="541"/>
      <c r="APQ141" s="541"/>
      <c r="APR141" s="541"/>
      <c r="APS141" s="541"/>
      <c r="APT141" s="541"/>
      <c r="APU141" s="541"/>
      <c r="APV141" s="541"/>
      <c r="APW141" s="541"/>
      <c r="APX141" s="541"/>
      <c r="APY141" s="541"/>
      <c r="APZ141" s="541"/>
      <c r="AQA141" s="541"/>
      <c r="AQB141" s="541"/>
      <c r="AQC141" s="541"/>
      <c r="AQD141" s="541"/>
      <c r="AQE141" s="541"/>
      <c r="AQF141" s="541"/>
      <c r="AQG141" s="541"/>
      <c r="AQH141" s="541"/>
      <c r="AQI141" s="541"/>
      <c r="AQJ141" s="541"/>
      <c r="AQK141" s="541"/>
      <c r="AQL141" s="541"/>
      <c r="AQM141" s="541"/>
      <c r="AQN141" s="541"/>
      <c r="AQO141" s="541"/>
      <c r="AQP141" s="541"/>
      <c r="AQQ141" s="541"/>
      <c r="AQR141" s="541"/>
      <c r="AQS141" s="541"/>
      <c r="AQT141" s="541"/>
      <c r="AQU141" s="541"/>
      <c r="AQV141" s="541"/>
      <c r="AQW141" s="541"/>
      <c r="AQX141" s="541"/>
      <c r="AQY141" s="541"/>
      <c r="AQZ141" s="541"/>
      <c r="ARA141" s="541"/>
      <c r="ARB141" s="541"/>
      <c r="ARC141" s="541"/>
      <c r="ARD141" s="541"/>
      <c r="ARE141" s="541"/>
      <c r="ARF141" s="541"/>
      <c r="ARG141" s="541"/>
      <c r="ARH141" s="541"/>
      <c r="ARI141" s="541"/>
      <c r="ARJ141" s="541"/>
      <c r="ARK141" s="541"/>
      <c r="ARL141" s="541"/>
      <c r="ARM141" s="541"/>
      <c r="ARN141" s="541"/>
      <c r="ARO141" s="541"/>
      <c r="ARP141" s="541"/>
      <c r="ARQ141" s="541"/>
      <c r="ARR141" s="541"/>
      <c r="ARS141" s="541"/>
      <c r="ART141" s="541"/>
      <c r="ARU141" s="541"/>
    </row>
    <row r="142" spans="1:1165" s="658" customFormat="1">
      <c r="A142" s="613" t="s">
        <v>288</v>
      </c>
      <c r="B142" s="578" t="s">
        <v>110</v>
      </c>
      <c r="C142" s="659">
        <v>1296263</v>
      </c>
      <c r="D142" s="659">
        <v>76999512</v>
      </c>
      <c r="E142" s="581">
        <v>38988</v>
      </c>
      <c r="F142" s="581">
        <v>4241104</v>
      </c>
      <c r="G142" s="581">
        <v>3763</v>
      </c>
      <c r="H142" s="581">
        <v>526820</v>
      </c>
      <c r="I142" s="581">
        <v>0</v>
      </c>
      <c r="J142" s="581">
        <v>0</v>
      </c>
      <c r="K142" s="581">
        <v>0</v>
      </c>
      <c r="L142" s="581">
        <v>0</v>
      </c>
      <c r="M142" s="581">
        <v>0</v>
      </c>
      <c r="N142" s="581">
        <v>0</v>
      </c>
      <c r="O142" s="581">
        <v>0</v>
      </c>
      <c r="P142" s="581">
        <v>0</v>
      </c>
      <c r="Q142" s="581">
        <v>0</v>
      </c>
      <c r="R142" s="581">
        <v>0</v>
      </c>
      <c r="S142" s="581">
        <v>0</v>
      </c>
      <c r="T142" s="581">
        <v>0</v>
      </c>
      <c r="U142" s="581">
        <v>0</v>
      </c>
      <c r="V142" s="581">
        <v>0</v>
      </c>
      <c r="W142" s="581">
        <v>0</v>
      </c>
      <c r="X142" s="581">
        <v>0</v>
      </c>
      <c r="Y142" s="581">
        <v>0</v>
      </c>
      <c r="Z142" s="581">
        <v>0</v>
      </c>
      <c r="AA142" s="581">
        <v>0</v>
      </c>
      <c r="AB142" s="581">
        <v>0</v>
      </c>
      <c r="AC142" s="581">
        <v>0</v>
      </c>
      <c r="AD142" s="581">
        <v>0</v>
      </c>
      <c r="AE142" s="581">
        <v>0</v>
      </c>
      <c r="AF142" s="581">
        <v>0</v>
      </c>
      <c r="AG142" s="581">
        <v>0</v>
      </c>
      <c r="AH142" s="581">
        <v>0</v>
      </c>
      <c r="AI142" s="581">
        <v>0</v>
      </c>
      <c r="AJ142" s="581">
        <v>0</v>
      </c>
      <c r="AK142" s="581">
        <v>0</v>
      </c>
      <c r="AL142" s="581">
        <v>0</v>
      </c>
      <c r="AM142" s="581">
        <v>0</v>
      </c>
      <c r="AN142" s="581">
        <v>0</v>
      </c>
      <c r="AO142" s="581">
        <v>0</v>
      </c>
      <c r="AP142" s="581">
        <v>0</v>
      </c>
      <c r="AQ142" s="581">
        <v>0</v>
      </c>
      <c r="AR142" s="581">
        <v>0</v>
      </c>
      <c r="AS142" s="581">
        <v>0</v>
      </c>
      <c r="AT142" s="579">
        <v>0</v>
      </c>
      <c r="AU142" s="579">
        <v>0</v>
      </c>
      <c r="AV142" s="579">
        <v>0</v>
      </c>
      <c r="AW142" s="579">
        <v>0</v>
      </c>
      <c r="AX142" s="579">
        <v>0</v>
      </c>
      <c r="AY142" s="598">
        <v>0</v>
      </c>
      <c r="AZ142" s="598">
        <v>0</v>
      </c>
      <c r="BA142" s="620"/>
      <c r="BB142" s="581"/>
      <c r="BC142" s="581"/>
      <c r="BD142" s="581"/>
      <c r="BE142" s="581"/>
      <c r="BF142" s="598"/>
      <c r="BG142" s="664"/>
      <c r="BH142" s="598"/>
      <c r="BI142" s="620"/>
      <c r="BJ142" s="581">
        <f t="shared" si="15"/>
        <v>1300026</v>
      </c>
      <c r="BK142" s="651">
        <f>D142+H142+J142+L142+N142+P142+R142+T142+V142+X142+Z142+AB142+AD142+AF142+AH142+AJ142+AL142+AN142+AP142+AR142+AT142+AV142+AX142+AZ142+BD142+BH142</f>
        <v>77526332</v>
      </c>
      <c r="BL142" s="541"/>
      <c r="BM142" s="541"/>
      <c r="BN142" s="541"/>
      <c r="BO142" s="624"/>
      <c r="BP142" s="624"/>
      <c r="BQ142" s="541"/>
      <c r="BR142" s="541"/>
      <c r="BS142" s="541"/>
      <c r="BT142" s="541"/>
      <c r="BU142" s="541"/>
      <c r="BV142" s="541"/>
      <c r="BW142" s="541"/>
      <c r="BX142" s="541"/>
      <c r="BY142" s="541"/>
      <c r="BZ142" s="541"/>
      <c r="CA142" s="541"/>
      <c r="CB142" s="541"/>
      <c r="CC142" s="541"/>
      <c r="CD142" s="541"/>
      <c r="CE142" s="541"/>
      <c r="CF142" s="541"/>
      <c r="CG142" s="541"/>
      <c r="CH142" s="541"/>
      <c r="CI142" s="541"/>
      <c r="CJ142" s="541"/>
      <c r="CK142" s="541"/>
      <c r="CL142" s="541"/>
      <c r="CM142" s="541"/>
      <c r="CN142" s="541"/>
      <c r="CO142" s="541"/>
      <c r="CP142" s="541"/>
      <c r="CQ142" s="541"/>
      <c r="CR142" s="541"/>
      <c r="CS142" s="541"/>
      <c r="CT142" s="541"/>
      <c r="CU142" s="541"/>
      <c r="CV142" s="541"/>
      <c r="CW142" s="541"/>
      <c r="CX142" s="541"/>
      <c r="CY142" s="541"/>
      <c r="CZ142" s="541"/>
      <c r="DA142" s="541"/>
      <c r="DB142" s="541"/>
      <c r="DC142" s="541"/>
      <c r="DD142" s="541"/>
      <c r="DE142" s="541"/>
      <c r="DF142" s="541"/>
      <c r="DG142" s="541"/>
      <c r="DH142" s="541"/>
      <c r="DI142" s="541"/>
      <c r="DJ142" s="541"/>
      <c r="DK142" s="541"/>
      <c r="DL142" s="541"/>
      <c r="DM142" s="541"/>
      <c r="DN142" s="541"/>
      <c r="DO142" s="541"/>
      <c r="DP142" s="541"/>
      <c r="DQ142" s="541"/>
      <c r="DR142" s="541"/>
      <c r="DS142" s="541"/>
      <c r="DT142" s="541"/>
      <c r="DU142" s="541"/>
      <c r="DV142" s="541"/>
      <c r="DW142" s="541"/>
      <c r="DX142" s="541"/>
      <c r="DY142" s="541"/>
      <c r="DZ142" s="541"/>
      <c r="EA142" s="541"/>
      <c r="EB142" s="541"/>
      <c r="EC142" s="541"/>
      <c r="ED142" s="541"/>
      <c r="EE142" s="541"/>
      <c r="EF142" s="541"/>
      <c r="EG142" s="541"/>
      <c r="EH142" s="541"/>
      <c r="EI142" s="541"/>
      <c r="EJ142" s="541"/>
      <c r="EK142" s="541"/>
      <c r="EL142" s="541"/>
      <c r="EM142" s="541"/>
      <c r="EN142" s="541"/>
      <c r="EO142" s="541"/>
      <c r="EP142" s="541"/>
      <c r="EQ142" s="541"/>
      <c r="ER142" s="541"/>
      <c r="ES142" s="541"/>
      <c r="ET142" s="541"/>
      <c r="EU142" s="541"/>
      <c r="EV142" s="541"/>
      <c r="EW142" s="541"/>
      <c r="EX142" s="541"/>
      <c r="EY142" s="541"/>
      <c r="EZ142" s="541"/>
      <c r="FA142" s="541"/>
      <c r="FB142" s="541"/>
      <c r="FC142" s="541"/>
      <c r="FD142" s="541"/>
      <c r="FE142" s="541"/>
      <c r="FF142" s="541"/>
      <c r="FG142" s="541"/>
      <c r="FH142" s="541"/>
      <c r="FI142" s="541"/>
      <c r="FJ142" s="541"/>
      <c r="FK142" s="541"/>
      <c r="FL142" s="541"/>
      <c r="FM142" s="541"/>
      <c r="FN142" s="541"/>
      <c r="FO142" s="541"/>
      <c r="FP142" s="541"/>
      <c r="FQ142" s="541"/>
      <c r="FR142" s="541"/>
      <c r="FS142" s="541"/>
      <c r="FT142" s="541"/>
      <c r="FU142" s="541"/>
      <c r="FV142" s="541"/>
      <c r="FW142" s="541"/>
      <c r="FX142" s="541"/>
      <c r="FY142" s="541"/>
      <c r="FZ142" s="541"/>
      <c r="GA142" s="541"/>
      <c r="GB142" s="541"/>
      <c r="GC142" s="541"/>
      <c r="GD142" s="541"/>
      <c r="GE142" s="541"/>
      <c r="GF142" s="541"/>
      <c r="GG142" s="541"/>
      <c r="GH142" s="541"/>
      <c r="GI142" s="541"/>
      <c r="GJ142" s="541"/>
      <c r="GK142" s="541"/>
      <c r="GL142" s="541"/>
      <c r="GM142" s="541"/>
      <c r="GN142" s="541"/>
      <c r="GO142" s="541"/>
      <c r="GP142" s="541"/>
      <c r="GQ142" s="541"/>
      <c r="GR142" s="541"/>
      <c r="GS142" s="541"/>
      <c r="GT142" s="541"/>
      <c r="GU142" s="541"/>
      <c r="GV142" s="541"/>
      <c r="GW142" s="541"/>
      <c r="GX142" s="541"/>
      <c r="GY142" s="541"/>
      <c r="GZ142" s="541"/>
      <c r="HA142" s="541"/>
      <c r="HB142" s="541"/>
      <c r="HC142" s="541"/>
      <c r="HD142" s="541"/>
      <c r="HE142" s="541"/>
      <c r="HF142" s="541"/>
      <c r="HG142" s="541"/>
      <c r="HH142" s="541"/>
      <c r="HI142" s="541"/>
      <c r="HJ142" s="541"/>
      <c r="HK142" s="541"/>
      <c r="HL142" s="541"/>
      <c r="HM142" s="541"/>
      <c r="HN142" s="541"/>
      <c r="HO142" s="541"/>
      <c r="HP142" s="541"/>
      <c r="HQ142" s="541"/>
      <c r="HR142" s="541"/>
      <c r="HS142" s="541"/>
      <c r="HT142" s="541"/>
      <c r="HU142" s="541"/>
      <c r="HV142" s="541"/>
      <c r="HW142" s="541"/>
      <c r="HX142" s="541"/>
      <c r="HY142" s="541"/>
      <c r="HZ142" s="541"/>
      <c r="IA142" s="541"/>
      <c r="IB142" s="541"/>
      <c r="IC142" s="541"/>
      <c r="ID142" s="541"/>
      <c r="IE142" s="541"/>
      <c r="IF142" s="541"/>
      <c r="IG142" s="541"/>
      <c r="IH142" s="541"/>
      <c r="II142" s="541"/>
      <c r="IJ142" s="541"/>
      <c r="IK142" s="541"/>
      <c r="IL142" s="541"/>
      <c r="IM142" s="541"/>
      <c r="IN142" s="541"/>
      <c r="IO142" s="541"/>
      <c r="IP142" s="541"/>
      <c r="IQ142" s="541"/>
      <c r="IR142" s="541"/>
      <c r="IS142" s="541"/>
      <c r="IT142" s="541"/>
      <c r="IU142" s="541"/>
      <c r="IV142" s="541"/>
      <c r="IW142" s="541"/>
      <c r="IX142" s="541"/>
      <c r="IY142" s="541"/>
      <c r="IZ142" s="541"/>
      <c r="JA142" s="541"/>
      <c r="JB142" s="541"/>
      <c r="JC142" s="541"/>
      <c r="JD142" s="541"/>
      <c r="JE142" s="541"/>
      <c r="JF142" s="541"/>
      <c r="JG142" s="541"/>
      <c r="JH142" s="541"/>
      <c r="JI142" s="541"/>
      <c r="JJ142" s="541"/>
      <c r="JK142" s="541"/>
      <c r="JL142" s="541"/>
      <c r="JM142" s="541"/>
      <c r="JN142" s="541"/>
      <c r="JO142" s="541"/>
      <c r="JP142" s="541"/>
      <c r="JQ142" s="541"/>
      <c r="JR142" s="541"/>
      <c r="JS142" s="541"/>
      <c r="JT142" s="541"/>
      <c r="JU142" s="541"/>
      <c r="JV142" s="541"/>
      <c r="JW142" s="541"/>
      <c r="JX142" s="541"/>
      <c r="JY142" s="541"/>
      <c r="JZ142" s="541"/>
      <c r="KA142" s="541"/>
      <c r="KB142" s="541"/>
      <c r="KC142" s="541"/>
      <c r="KD142" s="541"/>
      <c r="KE142" s="541"/>
      <c r="KF142" s="541"/>
      <c r="KG142" s="541"/>
      <c r="KH142" s="541"/>
      <c r="KI142" s="541"/>
      <c r="KJ142" s="541"/>
      <c r="KK142" s="541"/>
      <c r="KL142" s="541"/>
      <c r="KM142" s="541"/>
      <c r="KN142" s="541"/>
      <c r="KO142" s="541"/>
      <c r="KP142" s="541"/>
      <c r="KQ142" s="541"/>
      <c r="KR142" s="541"/>
      <c r="KS142" s="541"/>
      <c r="KT142" s="541"/>
      <c r="KU142" s="541"/>
      <c r="KV142" s="541"/>
      <c r="KW142" s="541"/>
      <c r="KX142" s="541"/>
      <c r="KY142" s="541"/>
      <c r="KZ142" s="541"/>
      <c r="LA142" s="541"/>
      <c r="LB142" s="541"/>
      <c r="LC142" s="541"/>
      <c r="LD142" s="541"/>
      <c r="LE142" s="541"/>
      <c r="LF142" s="541"/>
      <c r="LG142" s="541"/>
      <c r="LH142" s="541"/>
      <c r="LI142" s="541"/>
      <c r="LJ142" s="541"/>
      <c r="LK142" s="541"/>
      <c r="LL142" s="541"/>
      <c r="LM142" s="541"/>
      <c r="LN142" s="541"/>
      <c r="LO142" s="541"/>
      <c r="LP142" s="541"/>
      <c r="LQ142" s="541"/>
      <c r="LR142" s="541"/>
      <c r="LS142" s="541"/>
      <c r="LT142" s="541"/>
      <c r="LU142" s="541"/>
      <c r="LV142" s="541"/>
      <c r="LW142" s="541"/>
      <c r="LX142" s="541"/>
      <c r="LY142" s="541"/>
      <c r="LZ142" s="541"/>
      <c r="MA142" s="541"/>
      <c r="MB142" s="541"/>
      <c r="MC142" s="541"/>
      <c r="MD142" s="541"/>
      <c r="ME142" s="541"/>
      <c r="MF142" s="541"/>
      <c r="MG142" s="541"/>
      <c r="MH142" s="541"/>
      <c r="MI142" s="541"/>
      <c r="MJ142" s="541"/>
      <c r="MK142" s="541"/>
      <c r="ML142" s="541"/>
      <c r="MM142" s="541"/>
      <c r="MN142" s="541"/>
      <c r="MO142" s="541"/>
      <c r="MP142" s="541"/>
      <c r="MQ142" s="541"/>
      <c r="MR142" s="541"/>
      <c r="MS142" s="541"/>
      <c r="MT142" s="541"/>
      <c r="MU142" s="541"/>
      <c r="MV142" s="541"/>
      <c r="MW142" s="541"/>
      <c r="MX142" s="541"/>
      <c r="MY142" s="541"/>
      <c r="MZ142" s="541"/>
      <c r="NA142" s="541"/>
      <c r="NB142" s="541"/>
      <c r="NC142" s="541"/>
      <c r="ND142" s="541"/>
      <c r="NE142" s="541"/>
      <c r="NF142" s="541"/>
      <c r="NG142" s="541"/>
      <c r="NH142" s="541"/>
      <c r="NI142" s="541"/>
      <c r="NJ142" s="541"/>
      <c r="NK142" s="541"/>
      <c r="NL142" s="541"/>
      <c r="NM142" s="541"/>
      <c r="NN142" s="541"/>
      <c r="NO142" s="541"/>
      <c r="NP142" s="541"/>
      <c r="NQ142" s="541"/>
      <c r="NR142" s="541"/>
      <c r="NS142" s="541"/>
      <c r="NT142" s="541"/>
      <c r="NU142" s="541"/>
      <c r="NV142" s="541"/>
      <c r="NW142" s="541"/>
      <c r="NX142" s="541"/>
      <c r="NY142" s="541"/>
      <c r="NZ142" s="541"/>
      <c r="OA142" s="541"/>
      <c r="OB142" s="541"/>
      <c r="OC142" s="541"/>
      <c r="OD142" s="541"/>
      <c r="OE142" s="541"/>
      <c r="OF142" s="541"/>
      <c r="OG142" s="541"/>
      <c r="OH142" s="541"/>
      <c r="OI142" s="541"/>
      <c r="OJ142" s="541"/>
      <c r="OK142" s="541"/>
      <c r="OL142" s="541"/>
      <c r="OM142" s="541"/>
      <c r="ON142" s="541"/>
      <c r="OO142" s="541"/>
      <c r="OP142" s="541"/>
      <c r="OQ142" s="541"/>
      <c r="OR142" s="541"/>
      <c r="OS142" s="541"/>
      <c r="OT142" s="541"/>
      <c r="OU142" s="541"/>
      <c r="OV142" s="541"/>
      <c r="OW142" s="541"/>
      <c r="OX142" s="541"/>
      <c r="OY142" s="541"/>
      <c r="OZ142" s="541"/>
      <c r="PA142" s="541"/>
      <c r="PB142" s="541"/>
      <c r="PC142" s="541"/>
      <c r="PD142" s="541"/>
      <c r="PE142" s="541"/>
      <c r="PF142" s="541"/>
      <c r="PG142" s="541"/>
      <c r="PH142" s="541"/>
      <c r="PI142" s="541"/>
      <c r="PJ142" s="541"/>
      <c r="PK142" s="541"/>
      <c r="PL142" s="541"/>
      <c r="PM142" s="541"/>
      <c r="PN142" s="541"/>
      <c r="PO142" s="541"/>
      <c r="PP142" s="541"/>
      <c r="PQ142" s="541"/>
      <c r="PR142" s="541"/>
      <c r="PS142" s="541"/>
      <c r="PT142" s="541"/>
      <c r="PU142" s="541"/>
      <c r="PV142" s="541"/>
      <c r="PW142" s="541"/>
      <c r="PX142" s="541"/>
      <c r="PY142" s="541"/>
      <c r="PZ142" s="541"/>
      <c r="QA142" s="541"/>
      <c r="QB142" s="541"/>
      <c r="QC142" s="541"/>
      <c r="QD142" s="541"/>
      <c r="QE142" s="541"/>
      <c r="QF142" s="541"/>
      <c r="QG142" s="541"/>
      <c r="QH142" s="541"/>
      <c r="QI142" s="541"/>
      <c r="QJ142" s="541"/>
      <c r="QK142" s="541"/>
      <c r="QL142" s="541"/>
      <c r="QM142" s="541"/>
      <c r="QN142" s="541"/>
      <c r="QO142" s="541"/>
      <c r="QP142" s="541"/>
      <c r="QQ142" s="541"/>
      <c r="QR142" s="541"/>
      <c r="QS142" s="541"/>
      <c r="QT142" s="541"/>
      <c r="QU142" s="541"/>
      <c r="QV142" s="541"/>
      <c r="QW142" s="541"/>
      <c r="QX142" s="541"/>
      <c r="QY142" s="541"/>
      <c r="QZ142" s="541"/>
      <c r="RA142" s="541"/>
      <c r="RB142" s="541"/>
      <c r="RC142" s="541"/>
      <c r="RD142" s="541"/>
      <c r="RE142" s="541"/>
      <c r="RF142" s="541"/>
      <c r="RG142" s="541"/>
      <c r="RH142" s="541"/>
      <c r="RI142" s="541"/>
      <c r="RJ142" s="541"/>
      <c r="RK142" s="541"/>
      <c r="RL142" s="541"/>
      <c r="RM142" s="541"/>
      <c r="RN142" s="541"/>
      <c r="RO142" s="541"/>
      <c r="RP142" s="541"/>
      <c r="RQ142" s="541"/>
      <c r="RR142" s="541"/>
      <c r="RS142" s="541"/>
      <c r="RT142" s="541"/>
      <c r="RU142" s="541"/>
      <c r="RV142" s="541"/>
      <c r="RW142" s="541"/>
      <c r="RX142" s="541"/>
      <c r="RY142" s="541"/>
      <c r="RZ142" s="541"/>
      <c r="SA142" s="541"/>
      <c r="SB142" s="541"/>
      <c r="SC142" s="541"/>
      <c r="SD142" s="541"/>
      <c r="SE142" s="541"/>
      <c r="SF142" s="541"/>
      <c r="SG142" s="541"/>
      <c r="SH142" s="541"/>
      <c r="SI142" s="541"/>
      <c r="SJ142" s="541"/>
      <c r="SK142" s="541"/>
      <c r="SL142" s="541"/>
      <c r="SM142" s="541"/>
      <c r="SN142" s="541"/>
      <c r="SO142" s="541"/>
      <c r="SP142" s="541"/>
      <c r="SQ142" s="541"/>
      <c r="SR142" s="541"/>
      <c r="SS142" s="541"/>
      <c r="ST142" s="541"/>
      <c r="SU142" s="541"/>
      <c r="SV142" s="541"/>
      <c r="SW142" s="541"/>
      <c r="SX142" s="541"/>
      <c r="SY142" s="541"/>
      <c r="SZ142" s="541"/>
      <c r="TA142" s="541"/>
      <c r="TB142" s="541"/>
      <c r="TC142" s="541"/>
      <c r="TD142" s="541"/>
      <c r="TE142" s="541"/>
      <c r="TF142" s="541"/>
      <c r="TG142" s="541"/>
      <c r="TH142" s="541"/>
      <c r="TI142" s="541"/>
      <c r="TJ142" s="541"/>
      <c r="TK142" s="541"/>
      <c r="TL142" s="541"/>
      <c r="TM142" s="541"/>
      <c r="TN142" s="541"/>
      <c r="TO142" s="541"/>
      <c r="TP142" s="541"/>
      <c r="TQ142" s="541"/>
      <c r="TR142" s="541"/>
      <c r="TS142" s="541"/>
      <c r="TT142" s="541"/>
      <c r="TU142" s="541"/>
      <c r="TV142" s="541"/>
      <c r="TW142" s="541"/>
      <c r="TX142" s="541"/>
      <c r="TY142" s="541"/>
      <c r="TZ142" s="541"/>
      <c r="UA142" s="541"/>
      <c r="UB142" s="541"/>
      <c r="UC142" s="541"/>
      <c r="UD142" s="541"/>
      <c r="UE142" s="541"/>
      <c r="UF142" s="541"/>
      <c r="UG142" s="541"/>
      <c r="UH142" s="541"/>
      <c r="UI142" s="541"/>
      <c r="UJ142" s="541"/>
      <c r="UK142" s="541"/>
      <c r="UL142" s="541"/>
      <c r="UM142" s="541"/>
      <c r="UN142" s="541"/>
      <c r="UO142" s="541"/>
      <c r="UP142" s="541"/>
      <c r="UQ142" s="541"/>
      <c r="UR142" s="541"/>
      <c r="US142" s="541"/>
      <c r="UT142" s="541"/>
      <c r="UU142" s="541"/>
      <c r="UV142" s="541"/>
      <c r="UW142" s="541"/>
      <c r="UX142" s="541"/>
      <c r="UY142" s="541"/>
      <c r="UZ142" s="541"/>
      <c r="VA142" s="541"/>
      <c r="VB142" s="541"/>
      <c r="VC142" s="541"/>
      <c r="VD142" s="541"/>
      <c r="VE142" s="541"/>
      <c r="VF142" s="541"/>
      <c r="VG142" s="541"/>
      <c r="VH142" s="541"/>
      <c r="VI142" s="541"/>
      <c r="VJ142" s="541"/>
      <c r="VK142" s="541"/>
      <c r="VL142" s="541"/>
      <c r="VM142" s="541"/>
      <c r="VN142" s="541"/>
      <c r="VO142" s="541"/>
      <c r="VP142" s="541"/>
      <c r="VQ142" s="541"/>
      <c r="VR142" s="541"/>
      <c r="VS142" s="541"/>
      <c r="VT142" s="541"/>
      <c r="VU142" s="541"/>
      <c r="VV142" s="541"/>
      <c r="VW142" s="541"/>
      <c r="VX142" s="541"/>
      <c r="VY142" s="541"/>
      <c r="VZ142" s="541"/>
      <c r="WA142" s="541"/>
      <c r="WB142" s="541"/>
      <c r="WC142" s="541"/>
      <c r="WD142" s="541"/>
      <c r="WE142" s="541"/>
      <c r="WF142" s="541"/>
      <c r="WG142" s="541"/>
      <c r="WH142" s="541"/>
      <c r="WI142" s="541"/>
      <c r="WJ142" s="541"/>
      <c r="WK142" s="541"/>
      <c r="WL142" s="541"/>
      <c r="WM142" s="541"/>
      <c r="WN142" s="541"/>
      <c r="WO142" s="541"/>
      <c r="WP142" s="541"/>
      <c r="WQ142" s="541"/>
      <c r="WR142" s="541"/>
      <c r="WS142" s="541"/>
      <c r="WT142" s="541"/>
      <c r="WU142" s="541"/>
      <c r="WV142" s="541"/>
      <c r="WW142" s="541"/>
      <c r="WX142" s="541"/>
      <c r="WY142" s="541"/>
      <c r="WZ142" s="541"/>
      <c r="XA142" s="541"/>
      <c r="XB142" s="541"/>
      <c r="XC142" s="541"/>
      <c r="XD142" s="541"/>
      <c r="XE142" s="541"/>
      <c r="XF142" s="541"/>
      <c r="XG142" s="541"/>
      <c r="XH142" s="541"/>
      <c r="XI142" s="541"/>
      <c r="XJ142" s="541"/>
      <c r="XK142" s="541"/>
      <c r="XL142" s="541"/>
      <c r="XM142" s="541"/>
      <c r="XN142" s="541"/>
      <c r="XO142" s="541"/>
      <c r="XP142" s="541"/>
      <c r="XQ142" s="541"/>
      <c r="XR142" s="541"/>
      <c r="XS142" s="541"/>
      <c r="XT142" s="541"/>
      <c r="XU142" s="541"/>
      <c r="XV142" s="541"/>
      <c r="XW142" s="541"/>
      <c r="XX142" s="541"/>
      <c r="XY142" s="541"/>
      <c r="XZ142" s="541"/>
      <c r="YA142" s="541"/>
      <c r="YB142" s="541"/>
      <c r="YC142" s="541"/>
      <c r="YD142" s="541"/>
      <c r="YE142" s="541"/>
      <c r="YF142" s="541"/>
      <c r="YG142" s="541"/>
      <c r="YH142" s="541"/>
      <c r="YI142" s="541"/>
      <c r="YJ142" s="541"/>
      <c r="YK142" s="541"/>
      <c r="YL142" s="541"/>
      <c r="YM142" s="541"/>
      <c r="YN142" s="541"/>
      <c r="YO142" s="541"/>
      <c r="YP142" s="541"/>
      <c r="YQ142" s="541"/>
      <c r="YR142" s="541"/>
      <c r="YS142" s="541"/>
      <c r="YT142" s="541"/>
      <c r="YU142" s="541"/>
      <c r="YV142" s="541"/>
      <c r="YW142" s="541"/>
      <c r="YX142" s="541"/>
      <c r="YY142" s="541"/>
      <c r="YZ142" s="541"/>
      <c r="ZA142" s="541"/>
      <c r="ZB142" s="541"/>
      <c r="ZC142" s="541"/>
      <c r="ZD142" s="541"/>
      <c r="ZE142" s="541"/>
      <c r="ZF142" s="541"/>
      <c r="ZG142" s="541"/>
      <c r="ZH142" s="541"/>
      <c r="ZI142" s="541"/>
      <c r="ZJ142" s="541"/>
      <c r="ZK142" s="541"/>
      <c r="ZL142" s="541"/>
      <c r="ZM142" s="541"/>
      <c r="ZN142" s="541"/>
      <c r="ZO142" s="541"/>
      <c r="ZP142" s="541"/>
      <c r="ZQ142" s="541"/>
      <c r="ZR142" s="541"/>
      <c r="ZS142" s="541"/>
      <c r="ZT142" s="541"/>
      <c r="ZU142" s="541"/>
      <c r="ZV142" s="541"/>
      <c r="ZW142" s="541"/>
      <c r="ZX142" s="541"/>
      <c r="ZY142" s="541"/>
      <c r="ZZ142" s="541"/>
      <c r="AAA142" s="541"/>
      <c r="AAB142" s="541"/>
      <c r="AAC142" s="541"/>
      <c r="AAD142" s="541"/>
      <c r="AAE142" s="541"/>
      <c r="AAF142" s="541"/>
      <c r="AAG142" s="541"/>
      <c r="AAH142" s="541"/>
      <c r="AAI142" s="541"/>
      <c r="AAJ142" s="541"/>
      <c r="AAK142" s="541"/>
      <c r="AAL142" s="541"/>
      <c r="AAM142" s="541"/>
      <c r="AAN142" s="541"/>
      <c r="AAO142" s="541"/>
      <c r="AAP142" s="541"/>
      <c r="AAQ142" s="541"/>
      <c r="AAR142" s="541"/>
      <c r="AAS142" s="541"/>
      <c r="AAT142" s="541"/>
      <c r="AAU142" s="541"/>
      <c r="AAV142" s="541"/>
      <c r="AAW142" s="541"/>
      <c r="AAX142" s="541"/>
      <c r="AAY142" s="541"/>
      <c r="AAZ142" s="541"/>
      <c r="ABA142" s="541"/>
      <c r="ABB142" s="541"/>
      <c r="ABC142" s="541"/>
      <c r="ABD142" s="541"/>
      <c r="ABE142" s="541"/>
      <c r="ABF142" s="541"/>
      <c r="ABG142" s="541"/>
      <c r="ABH142" s="541"/>
      <c r="ABI142" s="541"/>
      <c r="ABJ142" s="541"/>
      <c r="ABK142" s="541"/>
      <c r="ABL142" s="541"/>
      <c r="ABM142" s="541"/>
      <c r="ABN142" s="541"/>
      <c r="ABO142" s="541"/>
      <c r="ABP142" s="541"/>
      <c r="ABQ142" s="541"/>
      <c r="ABR142" s="541"/>
      <c r="ABS142" s="541"/>
      <c r="ABT142" s="541"/>
      <c r="ABU142" s="541"/>
      <c r="ABV142" s="541"/>
      <c r="ABW142" s="541"/>
      <c r="ABX142" s="541"/>
      <c r="ABY142" s="541"/>
      <c r="ABZ142" s="541"/>
      <c r="ACA142" s="541"/>
      <c r="ACB142" s="541"/>
      <c r="ACC142" s="541"/>
      <c r="ACD142" s="541"/>
      <c r="ACE142" s="541"/>
      <c r="ACF142" s="541"/>
      <c r="ACG142" s="541"/>
      <c r="ACH142" s="541"/>
      <c r="ACI142" s="541"/>
      <c r="ACJ142" s="541"/>
      <c r="ACK142" s="541"/>
      <c r="ACL142" s="541"/>
      <c r="ACM142" s="541"/>
      <c r="ACN142" s="541"/>
      <c r="ACO142" s="541"/>
      <c r="ACP142" s="541"/>
      <c r="ACQ142" s="541"/>
      <c r="ACR142" s="541"/>
      <c r="ACS142" s="541"/>
      <c r="ACT142" s="541"/>
      <c r="ACU142" s="541"/>
      <c r="ACV142" s="541"/>
      <c r="ACW142" s="541"/>
      <c r="ACX142" s="541"/>
      <c r="ACY142" s="541"/>
      <c r="ACZ142" s="541"/>
      <c r="ADA142" s="541"/>
      <c r="ADB142" s="541"/>
      <c r="ADC142" s="541"/>
      <c r="ADD142" s="541"/>
      <c r="ADE142" s="541"/>
      <c r="ADF142" s="541"/>
      <c r="ADG142" s="541"/>
      <c r="ADH142" s="541"/>
      <c r="ADI142" s="541"/>
      <c r="ADJ142" s="541"/>
      <c r="ADK142" s="541"/>
      <c r="ADL142" s="541"/>
      <c r="ADM142" s="541"/>
      <c r="ADN142" s="541"/>
      <c r="ADO142" s="541"/>
      <c r="ADP142" s="541"/>
      <c r="ADQ142" s="541"/>
      <c r="ADR142" s="541"/>
      <c r="ADS142" s="541"/>
      <c r="ADT142" s="541"/>
      <c r="ADU142" s="541"/>
      <c r="ADV142" s="541"/>
      <c r="ADW142" s="541"/>
      <c r="ADX142" s="541"/>
      <c r="ADY142" s="541"/>
      <c r="ADZ142" s="541"/>
      <c r="AEA142" s="541"/>
      <c r="AEB142" s="541"/>
      <c r="AEC142" s="541"/>
      <c r="AED142" s="541"/>
      <c r="AEE142" s="541"/>
      <c r="AEF142" s="541"/>
      <c r="AEG142" s="541"/>
      <c r="AEH142" s="541"/>
      <c r="AEI142" s="541"/>
      <c r="AEJ142" s="541"/>
      <c r="AEK142" s="541"/>
      <c r="AEL142" s="541"/>
      <c r="AEM142" s="541"/>
      <c r="AEN142" s="541"/>
      <c r="AEO142" s="541"/>
      <c r="AEP142" s="541"/>
      <c r="AEQ142" s="541"/>
      <c r="AER142" s="541"/>
      <c r="AES142" s="541"/>
      <c r="AET142" s="541"/>
      <c r="AEU142" s="541"/>
      <c r="AEV142" s="541"/>
      <c r="AEW142" s="541"/>
      <c r="AEX142" s="541"/>
      <c r="AEY142" s="541"/>
      <c r="AEZ142" s="541"/>
      <c r="AFA142" s="541"/>
      <c r="AFB142" s="541"/>
      <c r="AFC142" s="541"/>
      <c r="AFD142" s="541"/>
      <c r="AFE142" s="541"/>
      <c r="AFF142" s="541"/>
      <c r="AFG142" s="541"/>
      <c r="AFH142" s="541"/>
      <c r="AFI142" s="541"/>
      <c r="AFJ142" s="541"/>
      <c r="AFK142" s="541"/>
      <c r="AFL142" s="541"/>
      <c r="AFM142" s="541"/>
      <c r="AFN142" s="541"/>
      <c r="AFO142" s="541"/>
      <c r="AFP142" s="541"/>
      <c r="AFQ142" s="541"/>
      <c r="AFR142" s="541"/>
      <c r="AFS142" s="541"/>
      <c r="AFT142" s="541"/>
      <c r="AFU142" s="541"/>
      <c r="AFV142" s="541"/>
      <c r="AFW142" s="541"/>
      <c r="AFX142" s="541"/>
      <c r="AFY142" s="541"/>
      <c r="AFZ142" s="541"/>
      <c r="AGA142" s="541"/>
      <c r="AGB142" s="541"/>
      <c r="AGC142" s="541"/>
      <c r="AGD142" s="541"/>
      <c r="AGE142" s="541"/>
      <c r="AGF142" s="541"/>
      <c r="AGG142" s="541"/>
      <c r="AGH142" s="541"/>
      <c r="AGI142" s="541"/>
      <c r="AGJ142" s="541"/>
      <c r="AGK142" s="541"/>
      <c r="AGL142" s="541"/>
      <c r="AGM142" s="541"/>
      <c r="AGN142" s="541"/>
      <c r="AGO142" s="541"/>
      <c r="AGP142" s="541"/>
      <c r="AGQ142" s="541"/>
      <c r="AGR142" s="541"/>
      <c r="AGS142" s="541"/>
      <c r="AGT142" s="541"/>
      <c r="AGU142" s="541"/>
      <c r="AGV142" s="541"/>
      <c r="AGW142" s="541"/>
      <c r="AGX142" s="541"/>
      <c r="AGY142" s="541"/>
      <c r="AGZ142" s="541"/>
      <c r="AHA142" s="541"/>
      <c r="AHB142" s="541"/>
      <c r="AHC142" s="541"/>
      <c r="AHD142" s="541"/>
      <c r="AHE142" s="541"/>
      <c r="AHF142" s="541"/>
      <c r="AHG142" s="541"/>
      <c r="AHH142" s="541"/>
      <c r="AHI142" s="541"/>
      <c r="AHJ142" s="541"/>
      <c r="AHK142" s="541"/>
      <c r="AHL142" s="541"/>
      <c r="AHM142" s="541"/>
      <c r="AHN142" s="541"/>
      <c r="AHO142" s="541"/>
      <c r="AHP142" s="541"/>
      <c r="AHQ142" s="541"/>
      <c r="AHR142" s="541"/>
      <c r="AHS142" s="541"/>
      <c r="AHT142" s="541"/>
      <c r="AHU142" s="541"/>
      <c r="AHV142" s="541"/>
      <c r="AHW142" s="541"/>
      <c r="AHX142" s="541"/>
      <c r="AHY142" s="541"/>
      <c r="AHZ142" s="541"/>
      <c r="AIA142" s="541"/>
      <c r="AIB142" s="541"/>
      <c r="AIC142" s="541"/>
      <c r="AID142" s="541"/>
      <c r="AIE142" s="541"/>
      <c r="AIF142" s="541"/>
      <c r="AIG142" s="541"/>
      <c r="AIH142" s="541"/>
      <c r="AII142" s="541"/>
      <c r="AIJ142" s="541"/>
      <c r="AIK142" s="541"/>
      <c r="AIL142" s="541"/>
      <c r="AIM142" s="541"/>
      <c r="AIN142" s="541"/>
      <c r="AIO142" s="541"/>
      <c r="AIP142" s="541"/>
      <c r="AIQ142" s="541"/>
      <c r="AIR142" s="541"/>
      <c r="AIS142" s="541"/>
      <c r="AIT142" s="541"/>
      <c r="AIU142" s="541"/>
      <c r="AIV142" s="541"/>
      <c r="AIW142" s="541"/>
      <c r="AIX142" s="541"/>
      <c r="AIY142" s="541"/>
      <c r="AIZ142" s="541"/>
      <c r="AJA142" s="541"/>
      <c r="AJB142" s="541"/>
      <c r="AJC142" s="541"/>
      <c r="AJD142" s="541"/>
      <c r="AJE142" s="541"/>
      <c r="AJF142" s="541"/>
      <c r="AJG142" s="541"/>
      <c r="AJH142" s="541"/>
      <c r="AJI142" s="541"/>
      <c r="AJJ142" s="541"/>
      <c r="AJK142" s="541"/>
      <c r="AJL142" s="541"/>
      <c r="AJM142" s="541"/>
      <c r="AJN142" s="541"/>
      <c r="AJO142" s="541"/>
      <c r="AJP142" s="541"/>
      <c r="AJQ142" s="541"/>
      <c r="AJR142" s="541"/>
      <c r="AJS142" s="541"/>
      <c r="AJT142" s="541"/>
      <c r="AJU142" s="541"/>
      <c r="AJV142" s="541"/>
      <c r="AJW142" s="541"/>
      <c r="AJX142" s="541"/>
      <c r="AJY142" s="541"/>
      <c r="AJZ142" s="541"/>
      <c r="AKA142" s="541"/>
      <c r="AKB142" s="541"/>
      <c r="AKC142" s="541"/>
      <c r="AKD142" s="541"/>
      <c r="AKE142" s="541"/>
      <c r="AKF142" s="541"/>
      <c r="AKG142" s="541"/>
      <c r="AKH142" s="541"/>
      <c r="AKI142" s="541"/>
      <c r="AKJ142" s="541"/>
      <c r="AKK142" s="541"/>
      <c r="AKL142" s="541"/>
      <c r="AKM142" s="541"/>
      <c r="AKN142" s="541"/>
      <c r="AKO142" s="541"/>
      <c r="AKP142" s="541"/>
      <c r="AKQ142" s="541"/>
      <c r="AKR142" s="541"/>
      <c r="AKS142" s="541"/>
      <c r="AKT142" s="541"/>
      <c r="AKU142" s="541"/>
      <c r="AKV142" s="541"/>
      <c r="AKW142" s="541"/>
      <c r="AKX142" s="541"/>
      <c r="AKY142" s="541"/>
      <c r="AKZ142" s="541"/>
      <c r="ALA142" s="541"/>
      <c r="ALB142" s="541"/>
      <c r="ALC142" s="541"/>
      <c r="ALD142" s="541"/>
      <c r="ALE142" s="541"/>
      <c r="ALF142" s="541"/>
      <c r="ALG142" s="541"/>
      <c r="ALH142" s="541"/>
      <c r="ALI142" s="541"/>
      <c r="ALJ142" s="541"/>
      <c r="ALK142" s="541"/>
      <c r="ALL142" s="541"/>
      <c r="ALM142" s="541"/>
      <c r="ALN142" s="541"/>
      <c r="ALO142" s="541"/>
      <c r="ALP142" s="541"/>
      <c r="ALQ142" s="541"/>
      <c r="ALR142" s="541"/>
      <c r="ALS142" s="541"/>
      <c r="ALT142" s="541"/>
      <c r="ALU142" s="541"/>
      <c r="ALV142" s="541"/>
      <c r="ALW142" s="541"/>
      <c r="ALX142" s="541"/>
      <c r="ALY142" s="541"/>
      <c r="ALZ142" s="541"/>
      <c r="AMA142" s="541"/>
      <c r="AMB142" s="541"/>
      <c r="AMC142" s="541"/>
      <c r="AMD142" s="541"/>
      <c r="AME142" s="541"/>
      <c r="AMF142" s="541"/>
      <c r="AMG142" s="541"/>
      <c r="AMH142" s="541"/>
      <c r="AMI142" s="541"/>
      <c r="AMJ142" s="541"/>
      <c r="AMK142" s="541"/>
      <c r="AML142" s="541"/>
      <c r="AMM142" s="541"/>
      <c r="AMN142" s="541"/>
      <c r="AMO142" s="541"/>
      <c r="AMP142" s="541"/>
      <c r="AMQ142" s="541"/>
      <c r="AMR142" s="541"/>
      <c r="AMS142" s="541"/>
      <c r="AMT142" s="541"/>
      <c r="AMU142" s="541"/>
      <c r="AMV142" s="541"/>
      <c r="AMW142" s="541"/>
      <c r="AMX142" s="541"/>
      <c r="AMY142" s="541"/>
      <c r="AMZ142" s="541"/>
      <c r="ANA142" s="541"/>
      <c r="ANB142" s="541"/>
      <c r="ANC142" s="541"/>
      <c r="AND142" s="541"/>
      <c r="ANE142" s="541"/>
      <c r="ANF142" s="541"/>
      <c r="ANG142" s="541"/>
      <c r="ANH142" s="541"/>
      <c r="ANI142" s="541"/>
      <c r="ANJ142" s="541"/>
      <c r="ANK142" s="541"/>
      <c r="ANL142" s="541"/>
      <c r="ANM142" s="541"/>
      <c r="ANN142" s="541"/>
      <c r="ANO142" s="541"/>
      <c r="ANP142" s="541"/>
      <c r="ANQ142" s="541"/>
      <c r="ANR142" s="541"/>
      <c r="ANS142" s="541"/>
      <c r="ANT142" s="541"/>
      <c r="ANU142" s="541"/>
      <c r="ANV142" s="541"/>
      <c r="ANW142" s="541"/>
      <c r="ANX142" s="541"/>
      <c r="ANY142" s="541"/>
      <c r="ANZ142" s="541"/>
      <c r="AOA142" s="541"/>
      <c r="AOB142" s="541"/>
      <c r="AOC142" s="541"/>
      <c r="AOD142" s="541"/>
      <c r="AOE142" s="541"/>
      <c r="AOF142" s="541"/>
      <c r="AOG142" s="541"/>
      <c r="AOH142" s="541"/>
      <c r="AOI142" s="541"/>
      <c r="AOJ142" s="541"/>
      <c r="AOK142" s="541"/>
      <c r="AOL142" s="541"/>
      <c r="AOM142" s="541"/>
      <c r="AON142" s="541"/>
      <c r="AOO142" s="541"/>
      <c r="AOP142" s="541"/>
      <c r="AOQ142" s="541"/>
      <c r="AOR142" s="541"/>
      <c r="AOS142" s="541"/>
      <c r="AOT142" s="541"/>
      <c r="AOU142" s="541"/>
      <c r="AOV142" s="541"/>
      <c r="AOW142" s="541"/>
      <c r="AOX142" s="541"/>
      <c r="AOY142" s="541"/>
      <c r="AOZ142" s="541"/>
      <c r="APA142" s="541"/>
      <c r="APB142" s="541"/>
      <c r="APC142" s="541"/>
      <c r="APD142" s="541"/>
      <c r="APE142" s="541"/>
      <c r="APF142" s="541"/>
      <c r="APG142" s="541"/>
      <c r="APH142" s="541"/>
      <c r="API142" s="541"/>
      <c r="APJ142" s="541"/>
      <c r="APK142" s="541"/>
      <c r="APL142" s="541"/>
      <c r="APM142" s="541"/>
      <c r="APN142" s="541"/>
      <c r="APO142" s="541"/>
      <c r="APP142" s="541"/>
      <c r="APQ142" s="541"/>
      <c r="APR142" s="541"/>
      <c r="APS142" s="541"/>
      <c r="APT142" s="541"/>
      <c r="APU142" s="541"/>
      <c r="APV142" s="541"/>
      <c r="APW142" s="541"/>
      <c r="APX142" s="541"/>
      <c r="APY142" s="541"/>
      <c r="APZ142" s="541"/>
      <c r="AQA142" s="541"/>
      <c r="AQB142" s="541"/>
      <c r="AQC142" s="541"/>
      <c r="AQD142" s="541"/>
      <c r="AQE142" s="541"/>
      <c r="AQF142" s="541"/>
      <c r="AQG142" s="541"/>
      <c r="AQH142" s="541"/>
      <c r="AQI142" s="541"/>
      <c r="AQJ142" s="541"/>
      <c r="AQK142" s="541"/>
      <c r="AQL142" s="541"/>
      <c r="AQM142" s="541"/>
      <c r="AQN142" s="541"/>
      <c r="AQO142" s="541"/>
      <c r="AQP142" s="541"/>
      <c r="AQQ142" s="541"/>
      <c r="AQR142" s="541"/>
      <c r="AQS142" s="541"/>
      <c r="AQT142" s="541"/>
      <c r="AQU142" s="541"/>
      <c r="AQV142" s="541"/>
      <c r="AQW142" s="541"/>
      <c r="AQX142" s="541"/>
      <c r="AQY142" s="541"/>
      <c r="AQZ142" s="541"/>
      <c r="ARA142" s="541"/>
      <c r="ARB142" s="541"/>
      <c r="ARC142" s="541"/>
      <c r="ARD142" s="541"/>
      <c r="ARE142" s="541"/>
      <c r="ARF142" s="541"/>
      <c r="ARG142" s="541"/>
      <c r="ARH142" s="541"/>
      <c r="ARI142" s="541"/>
      <c r="ARJ142" s="541"/>
      <c r="ARK142" s="541"/>
      <c r="ARL142" s="541"/>
      <c r="ARM142" s="541"/>
      <c r="ARN142" s="541"/>
      <c r="ARO142" s="541"/>
      <c r="ARP142" s="541"/>
      <c r="ARQ142" s="541"/>
      <c r="ARR142" s="541"/>
      <c r="ARS142" s="541"/>
      <c r="ART142" s="541"/>
      <c r="ARU142" s="541"/>
    </row>
    <row r="143" spans="1:1165" s="658" customFormat="1">
      <c r="A143" s="611" t="s">
        <v>289</v>
      </c>
      <c r="B143" s="603"/>
      <c r="C143" s="598">
        <f t="shared" ref="C143:L143" si="16">SUM(C139:C142)</f>
        <v>891130591</v>
      </c>
      <c r="D143" s="598">
        <f t="shared" si="16"/>
        <v>8328674695</v>
      </c>
      <c r="E143" s="598">
        <f t="shared" si="16"/>
        <v>93212714</v>
      </c>
      <c r="F143" s="598">
        <f t="shared" si="16"/>
        <v>1246881566</v>
      </c>
      <c r="G143" s="598">
        <f t="shared" si="16"/>
        <v>75306403</v>
      </c>
      <c r="H143" s="598">
        <f t="shared" si="16"/>
        <v>1130155796</v>
      </c>
      <c r="I143" s="598">
        <f t="shared" si="16"/>
        <v>78182395</v>
      </c>
      <c r="J143" s="598">
        <f t="shared" si="16"/>
        <v>1495065014</v>
      </c>
      <c r="K143" s="598">
        <f t="shared" si="16"/>
        <v>74983543</v>
      </c>
      <c r="L143" s="598">
        <f t="shared" si="16"/>
        <v>1546325341</v>
      </c>
      <c r="M143" s="598">
        <v>90631128</v>
      </c>
      <c r="N143" s="598">
        <v>1671285288</v>
      </c>
      <c r="O143" s="598">
        <f t="shared" ref="O143:AA143" si="17">SUM(O139:O142)</f>
        <v>88670729</v>
      </c>
      <c r="P143" s="598">
        <f t="shared" si="17"/>
        <v>2029998845</v>
      </c>
      <c r="Q143" s="598">
        <f t="shared" si="17"/>
        <v>81290940</v>
      </c>
      <c r="R143" s="598">
        <f t="shared" si="17"/>
        <v>1914745851</v>
      </c>
      <c r="S143" s="598">
        <f t="shared" si="17"/>
        <v>84122743</v>
      </c>
      <c r="T143" s="598">
        <f t="shared" si="17"/>
        <v>1737650556</v>
      </c>
      <c r="U143" s="579">
        <f t="shared" si="17"/>
        <v>98319089</v>
      </c>
      <c r="V143" s="579">
        <f t="shared" si="17"/>
        <v>1757278099</v>
      </c>
      <c r="W143" s="598">
        <f t="shared" si="17"/>
        <v>106469970</v>
      </c>
      <c r="X143" s="598">
        <f t="shared" si="17"/>
        <v>2122065924</v>
      </c>
      <c r="Y143" s="598">
        <f t="shared" si="17"/>
        <v>103852085</v>
      </c>
      <c r="Z143" s="598">
        <f t="shared" si="17"/>
        <v>2426810968</v>
      </c>
      <c r="AA143" s="619">
        <f t="shared" si="17"/>
        <v>114167724</v>
      </c>
      <c r="AB143" s="619">
        <f>SUM(AB139:AB140)</f>
        <v>2978716127</v>
      </c>
      <c r="AC143" s="581">
        <f t="shared" ref="AC143:AJ143" si="18">SUM(AC139:AC142)</f>
        <v>108147133</v>
      </c>
      <c r="AD143" s="581">
        <f t="shared" si="18"/>
        <v>2921975612</v>
      </c>
      <c r="AE143" s="579">
        <f t="shared" si="18"/>
        <v>116338708</v>
      </c>
      <c r="AF143" s="579">
        <f t="shared" si="18"/>
        <v>2996734873</v>
      </c>
      <c r="AG143" s="579">
        <f t="shared" si="18"/>
        <v>124263306</v>
      </c>
      <c r="AH143" s="579">
        <f t="shared" si="18"/>
        <v>2630614908</v>
      </c>
      <c r="AI143" s="579">
        <f t="shared" si="18"/>
        <v>135965605</v>
      </c>
      <c r="AJ143" s="579">
        <f t="shared" si="18"/>
        <v>2980689414</v>
      </c>
      <c r="AK143" s="661">
        <v>133651298</v>
      </c>
      <c r="AL143" s="661">
        <v>2924478383</v>
      </c>
      <c r="AM143" s="579">
        <f t="shared" ref="AM143:AZ143" si="19">SUM(AM139:AM142)</f>
        <v>151718593</v>
      </c>
      <c r="AN143" s="579">
        <f t="shared" si="19"/>
        <v>3633340681</v>
      </c>
      <c r="AO143" s="579">
        <f t="shared" si="19"/>
        <v>143751629</v>
      </c>
      <c r="AP143" s="579">
        <f t="shared" si="19"/>
        <v>4103921761</v>
      </c>
      <c r="AQ143" s="579">
        <f t="shared" si="19"/>
        <v>143005298</v>
      </c>
      <c r="AR143" s="579">
        <f t="shared" si="19"/>
        <v>3517167110</v>
      </c>
      <c r="AS143" s="579">
        <f t="shared" si="19"/>
        <v>158865617</v>
      </c>
      <c r="AT143" s="579">
        <f t="shared" si="19"/>
        <v>4365187513</v>
      </c>
      <c r="AU143" s="619">
        <f t="shared" si="19"/>
        <v>166014519</v>
      </c>
      <c r="AV143" s="619">
        <f t="shared" si="19"/>
        <v>5369712169</v>
      </c>
      <c r="AW143" s="581">
        <f t="shared" si="19"/>
        <v>171766816</v>
      </c>
      <c r="AX143" s="581">
        <f t="shared" si="19"/>
        <v>5064616295</v>
      </c>
      <c r="AY143" s="598">
        <f t="shared" si="19"/>
        <v>194747456</v>
      </c>
      <c r="AZ143" s="598">
        <f t="shared" si="19"/>
        <v>5061057210</v>
      </c>
      <c r="BA143" s="666"/>
      <c r="BB143" s="581"/>
      <c r="BC143" s="664"/>
      <c r="BD143" s="581"/>
      <c r="BE143" s="664"/>
      <c r="BF143" s="581"/>
      <c r="BG143" s="664"/>
      <c r="BH143" s="581"/>
      <c r="BI143" s="664"/>
      <c r="BJ143" s="581">
        <f t="shared" si="15"/>
        <v>3635363318</v>
      </c>
      <c r="BK143" s="651">
        <f>D143+H143+J143+L143+N143+P143+R143+T143+V143+X143+Z143+AB143+AD143+AF143+AH143+AJ143+AL143+AN143+AP143+AR143+AT143+AV143+AX143+AZ143+BD143+BH143</f>
        <v>74708268433</v>
      </c>
      <c r="BL143" s="541"/>
      <c r="BM143" s="541"/>
      <c r="BN143" s="541"/>
      <c r="BO143" s="624"/>
      <c r="BP143" s="624"/>
      <c r="BQ143" s="541"/>
      <c r="BR143" s="541"/>
      <c r="BS143" s="541"/>
      <c r="BT143" s="541"/>
      <c r="BU143" s="541"/>
      <c r="BV143" s="541"/>
      <c r="BW143" s="541"/>
      <c r="BX143" s="541"/>
      <c r="BY143" s="541"/>
      <c r="BZ143" s="541"/>
      <c r="CA143" s="541"/>
      <c r="CB143" s="541"/>
      <c r="CC143" s="541"/>
      <c r="CD143" s="541"/>
      <c r="CE143" s="541"/>
      <c r="CF143" s="541"/>
      <c r="CG143" s="541"/>
      <c r="CH143" s="541"/>
      <c r="CI143" s="541"/>
      <c r="CJ143" s="541"/>
      <c r="CK143" s="541"/>
      <c r="CL143" s="541"/>
      <c r="CM143" s="541"/>
      <c r="CN143" s="541"/>
      <c r="CO143" s="541"/>
      <c r="CP143" s="541"/>
      <c r="CQ143" s="541"/>
      <c r="CR143" s="541"/>
      <c r="CS143" s="541"/>
      <c r="CT143" s="541"/>
      <c r="CU143" s="541"/>
      <c r="CV143" s="541"/>
      <c r="CW143" s="541"/>
      <c r="CX143" s="541"/>
      <c r="CY143" s="541"/>
      <c r="CZ143" s="541"/>
      <c r="DA143" s="541"/>
      <c r="DB143" s="541"/>
      <c r="DC143" s="541"/>
      <c r="DD143" s="541"/>
      <c r="DE143" s="541"/>
      <c r="DF143" s="541"/>
      <c r="DG143" s="541"/>
      <c r="DH143" s="541"/>
      <c r="DI143" s="541"/>
      <c r="DJ143" s="541"/>
      <c r="DK143" s="541"/>
      <c r="DL143" s="541"/>
      <c r="DM143" s="541"/>
      <c r="DN143" s="541"/>
      <c r="DO143" s="541"/>
      <c r="DP143" s="541"/>
      <c r="DQ143" s="541"/>
      <c r="DR143" s="541"/>
      <c r="DS143" s="541"/>
      <c r="DT143" s="541"/>
      <c r="DU143" s="541"/>
      <c r="DV143" s="541"/>
      <c r="DW143" s="541"/>
      <c r="DX143" s="541"/>
      <c r="DY143" s="541"/>
      <c r="DZ143" s="541"/>
      <c r="EA143" s="541"/>
      <c r="EB143" s="541"/>
      <c r="EC143" s="541"/>
      <c r="ED143" s="541"/>
      <c r="EE143" s="541"/>
      <c r="EF143" s="541"/>
      <c r="EG143" s="541"/>
      <c r="EH143" s="541"/>
      <c r="EI143" s="541"/>
      <c r="EJ143" s="541"/>
      <c r="EK143" s="541"/>
      <c r="EL143" s="541"/>
      <c r="EM143" s="541"/>
      <c r="EN143" s="541"/>
      <c r="EO143" s="541"/>
      <c r="EP143" s="541"/>
      <c r="EQ143" s="541"/>
      <c r="ER143" s="541"/>
      <c r="ES143" s="541"/>
      <c r="ET143" s="541"/>
      <c r="EU143" s="541"/>
      <c r="EV143" s="541"/>
      <c r="EW143" s="541"/>
      <c r="EX143" s="541"/>
      <c r="EY143" s="541"/>
      <c r="EZ143" s="541"/>
      <c r="FA143" s="541"/>
      <c r="FB143" s="541"/>
      <c r="FC143" s="541"/>
      <c r="FD143" s="541"/>
      <c r="FE143" s="541"/>
      <c r="FF143" s="541"/>
      <c r="FG143" s="541"/>
      <c r="FH143" s="541"/>
      <c r="FI143" s="541"/>
      <c r="FJ143" s="541"/>
      <c r="FK143" s="541"/>
      <c r="FL143" s="541"/>
      <c r="FM143" s="541"/>
      <c r="FN143" s="541"/>
      <c r="FO143" s="541"/>
      <c r="FP143" s="541"/>
      <c r="FQ143" s="541"/>
      <c r="FR143" s="541"/>
      <c r="FS143" s="541"/>
      <c r="FT143" s="541"/>
      <c r="FU143" s="541"/>
      <c r="FV143" s="541"/>
      <c r="FW143" s="541"/>
      <c r="FX143" s="541"/>
      <c r="FY143" s="541"/>
      <c r="FZ143" s="541"/>
      <c r="GA143" s="541"/>
      <c r="GB143" s="541"/>
      <c r="GC143" s="541"/>
      <c r="GD143" s="541"/>
      <c r="GE143" s="541"/>
      <c r="GF143" s="541"/>
      <c r="GG143" s="541"/>
      <c r="GH143" s="541"/>
      <c r="GI143" s="541"/>
      <c r="GJ143" s="541"/>
      <c r="GK143" s="541"/>
      <c r="GL143" s="541"/>
      <c r="GM143" s="541"/>
      <c r="GN143" s="541"/>
      <c r="GO143" s="541"/>
      <c r="GP143" s="541"/>
      <c r="GQ143" s="541"/>
      <c r="GR143" s="541"/>
      <c r="GS143" s="541"/>
      <c r="GT143" s="541"/>
      <c r="GU143" s="541"/>
      <c r="GV143" s="541"/>
      <c r="GW143" s="541"/>
      <c r="GX143" s="541"/>
      <c r="GY143" s="541"/>
      <c r="GZ143" s="541"/>
      <c r="HA143" s="541"/>
      <c r="HB143" s="541"/>
      <c r="HC143" s="541"/>
      <c r="HD143" s="541"/>
      <c r="HE143" s="541"/>
      <c r="HF143" s="541"/>
      <c r="HG143" s="541"/>
      <c r="HH143" s="541"/>
      <c r="HI143" s="541"/>
      <c r="HJ143" s="541"/>
      <c r="HK143" s="541"/>
      <c r="HL143" s="541"/>
      <c r="HM143" s="541"/>
      <c r="HN143" s="541"/>
      <c r="HO143" s="541"/>
      <c r="HP143" s="541"/>
      <c r="HQ143" s="541"/>
      <c r="HR143" s="541"/>
      <c r="HS143" s="541"/>
      <c r="HT143" s="541"/>
      <c r="HU143" s="541"/>
      <c r="HV143" s="541"/>
      <c r="HW143" s="541"/>
      <c r="HX143" s="541"/>
      <c r="HY143" s="541"/>
      <c r="HZ143" s="541"/>
      <c r="IA143" s="541"/>
      <c r="IB143" s="541"/>
      <c r="IC143" s="541"/>
      <c r="ID143" s="541"/>
      <c r="IE143" s="541"/>
      <c r="IF143" s="541"/>
      <c r="IG143" s="541"/>
      <c r="IH143" s="541"/>
      <c r="II143" s="541"/>
      <c r="IJ143" s="541"/>
      <c r="IK143" s="541"/>
      <c r="IL143" s="541"/>
      <c r="IM143" s="541"/>
      <c r="IN143" s="541"/>
      <c r="IO143" s="541"/>
      <c r="IP143" s="541"/>
      <c r="IQ143" s="541"/>
      <c r="IR143" s="541"/>
      <c r="IS143" s="541"/>
      <c r="IT143" s="541"/>
      <c r="IU143" s="541"/>
      <c r="IV143" s="541"/>
      <c r="IW143" s="541"/>
      <c r="IX143" s="541"/>
      <c r="IY143" s="541"/>
      <c r="IZ143" s="541"/>
      <c r="JA143" s="541"/>
      <c r="JB143" s="541"/>
      <c r="JC143" s="541"/>
      <c r="JD143" s="541"/>
      <c r="JE143" s="541"/>
      <c r="JF143" s="541"/>
      <c r="JG143" s="541"/>
      <c r="JH143" s="541"/>
      <c r="JI143" s="541"/>
      <c r="JJ143" s="541"/>
      <c r="JK143" s="541"/>
      <c r="JL143" s="541"/>
      <c r="JM143" s="541"/>
      <c r="JN143" s="541"/>
      <c r="JO143" s="541"/>
      <c r="JP143" s="541"/>
      <c r="JQ143" s="541"/>
      <c r="JR143" s="541"/>
      <c r="JS143" s="541"/>
      <c r="JT143" s="541"/>
      <c r="JU143" s="541"/>
      <c r="JV143" s="541"/>
      <c r="JW143" s="541"/>
      <c r="JX143" s="541"/>
      <c r="JY143" s="541"/>
      <c r="JZ143" s="541"/>
      <c r="KA143" s="541"/>
      <c r="KB143" s="541"/>
      <c r="KC143" s="541"/>
      <c r="KD143" s="541"/>
      <c r="KE143" s="541"/>
      <c r="KF143" s="541"/>
      <c r="KG143" s="541"/>
      <c r="KH143" s="541"/>
      <c r="KI143" s="541"/>
      <c r="KJ143" s="541"/>
      <c r="KK143" s="541"/>
      <c r="KL143" s="541"/>
      <c r="KM143" s="541"/>
      <c r="KN143" s="541"/>
      <c r="KO143" s="541"/>
      <c r="KP143" s="541"/>
      <c r="KQ143" s="541"/>
      <c r="KR143" s="541"/>
      <c r="KS143" s="541"/>
      <c r="KT143" s="541"/>
      <c r="KU143" s="541"/>
      <c r="KV143" s="541"/>
      <c r="KW143" s="541"/>
      <c r="KX143" s="541"/>
      <c r="KY143" s="541"/>
      <c r="KZ143" s="541"/>
      <c r="LA143" s="541"/>
      <c r="LB143" s="541"/>
      <c r="LC143" s="541"/>
      <c r="LD143" s="541"/>
      <c r="LE143" s="541"/>
      <c r="LF143" s="541"/>
      <c r="LG143" s="541"/>
      <c r="LH143" s="541"/>
      <c r="LI143" s="541"/>
      <c r="LJ143" s="541"/>
      <c r="LK143" s="541"/>
      <c r="LL143" s="541"/>
      <c r="LM143" s="541"/>
      <c r="LN143" s="541"/>
      <c r="LO143" s="541"/>
      <c r="LP143" s="541"/>
      <c r="LQ143" s="541"/>
      <c r="LR143" s="541"/>
      <c r="LS143" s="541"/>
      <c r="LT143" s="541"/>
      <c r="LU143" s="541"/>
      <c r="LV143" s="541"/>
      <c r="LW143" s="541"/>
      <c r="LX143" s="541"/>
      <c r="LY143" s="541"/>
      <c r="LZ143" s="541"/>
      <c r="MA143" s="541"/>
      <c r="MB143" s="541"/>
      <c r="MC143" s="541"/>
      <c r="MD143" s="541"/>
      <c r="ME143" s="541"/>
      <c r="MF143" s="541"/>
      <c r="MG143" s="541"/>
      <c r="MH143" s="541"/>
      <c r="MI143" s="541"/>
      <c r="MJ143" s="541"/>
      <c r="MK143" s="541"/>
      <c r="ML143" s="541"/>
      <c r="MM143" s="541"/>
      <c r="MN143" s="541"/>
      <c r="MO143" s="541"/>
      <c r="MP143" s="541"/>
      <c r="MQ143" s="541"/>
      <c r="MR143" s="541"/>
      <c r="MS143" s="541"/>
      <c r="MT143" s="541"/>
      <c r="MU143" s="541"/>
      <c r="MV143" s="541"/>
      <c r="MW143" s="541"/>
      <c r="MX143" s="541"/>
      <c r="MY143" s="541"/>
      <c r="MZ143" s="541"/>
      <c r="NA143" s="541"/>
      <c r="NB143" s="541"/>
      <c r="NC143" s="541"/>
      <c r="ND143" s="541"/>
      <c r="NE143" s="541"/>
      <c r="NF143" s="541"/>
      <c r="NG143" s="541"/>
      <c r="NH143" s="541"/>
      <c r="NI143" s="541"/>
      <c r="NJ143" s="541"/>
      <c r="NK143" s="541"/>
      <c r="NL143" s="541"/>
      <c r="NM143" s="541"/>
      <c r="NN143" s="541"/>
      <c r="NO143" s="541"/>
      <c r="NP143" s="541"/>
      <c r="NQ143" s="541"/>
      <c r="NR143" s="541"/>
      <c r="NS143" s="541"/>
      <c r="NT143" s="541"/>
      <c r="NU143" s="541"/>
      <c r="NV143" s="541"/>
      <c r="NW143" s="541"/>
      <c r="NX143" s="541"/>
      <c r="NY143" s="541"/>
      <c r="NZ143" s="541"/>
      <c r="OA143" s="541"/>
      <c r="OB143" s="541"/>
      <c r="OC143" s="541"/>
      <c r="OD143" s="541"/>
      <c r="OE143" s="541"/>
      <c r="OF143" s="541"/>
      <c r="OG143" s="541"/>
      <c r="OH143" s="541"/>
      <c r="OI143" s="541"/>
      <c r="OJ143" s="541"/>
      <c r="OK143" s="541"/>
      <c r="OL143" s="541"/>
      <c r="OM143" s="541"/>
      <c r="ON143" s="541"/>
      <c r="OO143" s="541"/>
      <c r="OP143" s="541"/>
      <c r="OQ143" s="541"/>
      <c r="OR143" s="541"/>
      <c r="OS143" s="541"/>
      <c r="OT143" s="541"/>
      <c r="OU143" s="541"/>
      <c r="OV143" s="541"/>
      <c r="OW143" s="541"/>
      <c r="OX143" s="541"/>
      <c r="OY143" s="541"/>
      <c r="OZ143" s="541"/>
      <c r="PA143" s="541"/>
      <c r="PB143" s="541"/>
      <c r="PC143" s="541"/>
      <c r="PD143" s="541"/>
      <c r="PE143" s="541"/>
      <c r="PF143" s="541"/>
      <c r="PG143" s="541"/>
      <c r="PH143" s="541"/>
      <c r="PI143" s="541"/>
      <c r="PJ143" s="541"/>
      <c r="PK143" s="541"/>
      <c r="PL143" s="541"/>
      <c r="PM143" s="541"/>
      <c r="PN143" s="541"/>
      <c r="PO143" s="541"/>
      <c r="PP143" s="541"/>
      <c r="PQ143" s="541"/>
      <c r="PR143" s="541"/>
      <c r="PS143" s="541"/>
      <c r="PT143" s="541"/>
      <c r="PU143" s="541"/>
      <c r="PV143" s="541"/>
      <c r="PW143" s="541"/>
      <c r="PX143" s="541"/>
      <c r="PY143" s="541"/>
      <c r="PZ143" s="541"/>
      <c r="QA143" s="541"/>
      <c r="QB143" s="541"/>
      <c r="QC143" s="541"/>
      <c r="QD143" s="541"/>
      <c r="QE143" s="541"/>
      <c r="QF143" s="541"/>
      <c r="QG143" s="541"/>
      <c r="QH143" s="541"/>
      <c r="QI143" s="541"/>
      <c r="QJ143" s="541"/>
      <c r="QK143" s="541"/>
      <c r="QL143" s="541"/>
      <c r="QM143" s="541"/>
      <c r="QN143" s="541"/>
      <c r="QO143" s="541"/>
      <c r="QP143" s="541"/>
      <c r="QQ143" s="541"/>
      <c r="QR143" s="541"/>
      <c r="QS143" s="541"/>
      <c r="QT143" s="541"/>
      <c r="QU143" s="541"/>
      <c r="QV143" s="541"/>
      <c r="QW143" s="541"/>
      <c r="QX143" s="541"/>
      <c r="QY143" s="541"/>
      <c r="QZ143" s="541"/>
      <c r="RA143" s="541"/>
      <c r="RB143" s="541"/>
      <c r="RC143" s="541"/>
      <c r="RD143" s="541"/>
      <c r="RE143" s="541"/>
      <c r="RF143" s="541"/>
      <c r="RG143" s="541"/>
      <c r="RH143" s="541"/>
      <c r="RI143" s="541"/>
      <c r="RJ143" s="541"/>
      <c r="RK143" s="541"/>
      <c r="RL143" s="541"/>
      <c r="RM143" s="541"/>
      <c r="RN143" s="541"/>
      <c r="RO143" s="541"/>
      <c r="RP143" s="541"/>
      <c r="RQ143" s="541"/>
      <c r="RR143" s="541"/>
      <c r="RS143" s="541"/>
      <c r="RT143" s="541"/>
      <c r="RU143" s="541"/>
      <c r="RV143" s="541"/>
      <c r="RW143" s="541"/>
      <c r="RX143" s="541"/>
      <c r="RY143" s="541"/>
      <c r="RZ143" s="541"/>
      <c r="SA143" s="541"/>
      <c r="SB143" s="541"/>
      <c r="SC143" s="541"/>
      <c r="SD143" s="541"/>
      <c r="SE143" s="541"/>
      <c r="SF143" s="541"/>
      <c r="SG143" s="541"/>
      <c r="SH143" s="541"/>
      <c r="SI143" s="541"/>
      <c r="SJ143" s="541"/>
      <c r="SK143" s="541"/>
      <c r="SL143" s="541"/>
      <c r="SM143" s="541"/>
      <c r="SN143" s="541"/>
      <c r="SO143" s="541"/>
      <c r="SP143" s="541"/>
      <c r="SQ143" s="541"/>
      <c r="SR143" s="541"/>
      <c r="SS143" s="541"/>
      <c r="ST143" s="541"/>
      <c r="SU143" s="541"/>
      <c r="SV143" s="541"/>
      <c r="SW143" s="541"/>
      <c r="SX143" s="541"/>
      <c r="SY143" s="541"/>
      <c r="SZ143" s="541"/>
      <c r="TA143" s="541"/>
      <c r="TB143" s="541"/>
      <c r="TC143" s="541"/>
      <c r="TD143" s="541"/>
      <c r="TE143" s="541"/>
      <c r="TF143" s="541"/>
      <c r="TG143" s="541"/>
      <c r="TH143" s="541"/>
      <c r="TI143" s="541"/>
      <c r="TJ143" s="541"/>
      <c r="TK143" s="541"/>
      <c r="TL143" s="541"/>
      <c r="TM143" s="541"/>
      <c r="TN143" s="541"/>
      <c r="TO143" s="541"/>
      <c r="TP143" s="541"/>
      <c r="TQ143" s="541"/>
      <c r="TR143" s="541"/>
      <c r="TS143" s="541"/>
      <c r="TT143" s="541"/>
      <c r="TU143" s="541"/>
      <c r="TV143" s="541"/>
      <c r="TW143" s="541"/>
      <c r="TX143" s="541"/>
      <c r="TY143" s="541"/>
      <c r="TZ143" s="541"/>
      <c r="UA143" s="541"/>
      <c r="UB143" s="541"/>
      <c r="UC143" s="541"/>
      <c r="UD143" s="541"/>
      <c r="UE143" s="541"/>
      <c r="UF143" s="541"/>
      <c r="UG143" s="541"/>
      <c r="UH143" s="541"/>
      <c r="UI143" s="541"/>
      <c r="UJ143" s="541"/>
      <c r="UK143" s="541"/>
      <c r="UL143" s="541"/>
      <c r="UM143" s="541"/>
      <c r="UN143" s="541"/>
      <c r="UO143" s="541"/>
      <c r="UP143" s="541"/>
      <c r="UQ143" s="541"/>
      <c r="UR143" s="541"/>
      <c r="US143" s="541"/>
      <c r="UT143" s="541"/>
      <c r="UU143" s="541"/>
      <c r="UV143" s="541"/>
      <c r="UW143" s="541"/>
      <c r="UX143" s="541"/>
      <c r="UY143" s="541"/>
      <c r="UZ143" s="541"/>
      <c r="VA143" s="541"/>
      <c r="VB143" s="541"/>
      <c r="VC143" s="541"/>
      <c r="VD143" s="541"/>
      <c r="VE143" s="541"/>
      <c r="VF143" s="541"/>
      <c r="VG143" s="541"/>
      <c r="VH143" s="541"/>
      <c r="VI143" s="541"/>
      <c r="VJ143" s="541"/>
      <c r="VK143" s="541"/>
      <c r="VL143" s="541"/>
      <c r="VM143" s="541"/>
      <c r="VN143" s="541"/>
      <c r="VO143" s="541"/>
      <c r="VP143" s="541"/>
      <c r="VQ143" s="541"/>
      <c r="VR143" s="541"/>
      <c r="VS143" s="541"/>
      <c r="VT143" s="541"/>
      <c r="VU143" s="541"/>
      <c r="VV143" s="541"/>
      <c r="VW143" s="541"/>
      <c r="VX143" s="541"/>
      <c r="VY143" s="541"/>
      <c r="VZ143" s="541"/>
      <c r="WA143" s="541"/>
      <c r="WB143" s="541"/>
      <c r="WC143" s="541"/>
      <c r="WD143" s="541"/>
      <c r="WE143" s="541"/>
      <c r="WF143" s="541"/>
      <c r="WG143" s="541"/>
      <c r="WH143" s="541"/>
      <c r="WI143" s="541"/>
      <c r="WJ143" s="541"/>
      <c r="WK143" s="541"/>
      <c r="WL143" s="541"/>
      <c r="WM143" s="541"/>
      <c r="WN143" s="541"/>
      <c r="WO143" s="541"/>
      <c r="WP143" s="541"/>
      <c r="WQ143" s="541"/>
      <c r="WR143" s="541"/>
      <c r="WS143" s="541"/>
      <c r="WT143" s="541"/>
      <c r="WU143" s="541"/>
      <c r="WV143" s="541"/>
      <c r="WW143" s="541"/>
      <c r="WX143" s="541"/>
      <c r="WY143" s="541"/>
      <c r="WZ143" s="541"/>
      <c r="XA143" s="541"/>
      <c r="XB143" s="541"/>
      <c r="XC143" s="541"/>
      <c r="XD143" s="541"/>
      <c r="XE143" s="541"/>
      <c r="XF143" s="541"/>
      <c r="XG143" s="541"/>
      <c r="XH143" s="541"/>
      <c r="XI143" s="541"/>
      <c r="XJ143" s="541"/>
      <c r="XK143" s="541"/>
      <c r="XL143" s="541"/>
      <c r="XM143" s="541"/>
      <c r="XN143" s="541"/>
      <c r="XO143" s="541"/>
      <c r="XP143" s="541"/>
      <c r="XQ143" s="541"/>
      <c r="XR143" s="541"/>
      <c r="XS143" s="541"/>
      <c r="XT143" s="541"/>
      <c r="XU143" s="541"/>
      <c r="XV143" s="541"/>
      <c r="XW143" s="541"/>
      <c r="XX143" s="541"/>
      <c r="XY143" s="541"/>
      <c r="XZ143" s="541"/>
      <c r="YA143" s="541"/>
      <c r="YB143" s="541"/>
      <c r="YC143" s="541"/>
      <c r="YD143" s="541"/>
      <c r="YE143" s="541"/>
      <c r="YF143" s="541"/>
      <c r="YG143" s="541"/>
      <c r="YH143" s="541"/>
      <c r="YI143" s="541"/>
      <c r="YJ143" s="541"/>
      <c r="YK143" s="541"/>
      <c r="YL143" s="541"/>
      <c r="YM143" s="541"/>
      <c r="YN143" s="541"/>
      <c r="YO143" s="541"/>
      <c r="YP143" s="541"/>
      <c r="YQ143" s="541"/>
      <c r="YR143" s="541"/>
      <c r="YS143" s="541"/>
      <c r="YT143" s="541"/>
      <c r="YU143" s="541"/>
      <c r="YV143" s="541"/>
      <c r="YW143" s="541"/>
      <c r="YX143" s="541"/>
      <c r="YY143" s="541"/>
      <c r="YZ143" s="541"/>
      <c r="ZA143" s="541"/>
      <c r="ZB143" s="541"/>
      <c r="ZC143" s="541"/>
      <c r="ZD143" s="541"/>
      <c r="ZE143" s="541"/>
      <c r="ZF143" s="541"/>
      <c r="ZG143" s="541"/>
      <c r="ZH143" s="541"/>
      <c r="ZI143" s="541"/>
      <c r="ZJ143" s="541"/>
      <c r="ZK143" s="541"/>
      <c r="ZL143" s="541"/>
      <c r="ZM143" s="541"/>
      <c r="ZN143" s="541"/>
      <c r="ZO143" s="541"/>
      <c r="ZP143" s="541"/>
      <c r="ZQ143" s="541"/>
      <c r="ZR143" s="541"/>
      <c r="ZS143" s="541"/>
      <c r="ZT143" s="541"/>
      <c r="ZU143" s="541"/>
      <c r="ZV143" s="541"/>
      <c r="ZW143" s="541"/>
      <c r="ZX143" s="541"/>
      <c r="ZY143" s="541"/>
      <c r="ZZ143" s="541"/>
      <c r="AAA143" s="541"/>
      <c r="AAB143" s="541"/>
      <c r="AAC143" s="541"/>
      <c r="AAD143" s="541"/>
      <c r="AAE143" s="541"/>
      <c r="AAF143" s="541"/>
      <c r="AAG143" s="541"/>
      <c r="AAH143" s="541"/>
      <c r="AAI143" s="541"/>
      <c r="AAJ143" s="541"/>
      <c r="AAK143" s="541"/>
      <c r="AAL143" s="541"/>
      <c r="AAM143" s="541"/>
      <c r="AAN143" s="541"/>
      <c r="AAO143" s="541"/>
      <c r="AAP143" s="541"/>
      <c r="AAQ143" s="541"/>
      <c r="AAR143" s="541"/>
      <c r="AAS143" s="541"/>
      <c r="AAT143" s="541"/>
      <c r="AAU143" s="541"/>
      <c r="AAV143" s="541"/>
      <c r="AAW143" s="541"/>
      <c r="AAX143" s="541"/>
      <c r="AAY143" s="541"/>
      <c r="AAZ143" s="541"/>
      <c r="ABA143" s="541"/>
      <c r="ABB143" s="541"/>
      <c r="ABC143" s="541"/>
      <c r="ABD143" s="541"/>
      <c r="ABE143" s="541"/>
      <c r="ABF143" s="541"/>
      <c r="ABG143" s="541"/>
      <c r="ABH143" s="541"/>
      <c r="ABI143" s="541"/>
      <c r="ABJ143" s="541"/>
      <c r="ABK143" s="541"/>
      <c r="ABL143" s="541"/>
      <c r="ABM143" s="541"/>
      <c r="ABN143" s="541"/>
      <c r="ABO143" s="541"/>
      <c r="ABP143" s="541"/>
      <c r="ABQ143" s="541"/>
      <c r="ABR143" s="541"/>
      <c r="ABS143" s="541"/>
      <c r="ABT143" s="541"/>
      <c r="ABU143" s="541"/>
      <c r="ABV143" s="541"/>
      <c r="ABW143" s="541"/>
      <c r="ABX143" s="541"/>
      <c r="ABY143" s="541"/>
      <c r="ABZ143" s="541"/>
      <c r="ACA143" s="541"/>
      <c r="ACB143" s="541"/>
      <c r="ACC143" s="541"/>
      <c r="ACD143" s="541"/>
      <c r="ACE143" s="541"/>
      <c r="ACF143" s="541"/>
      <c r="ACG143" s="541"/>
      <c r="ACH143" s="541"/>
      <c r="ACI143" s="541"/>
      <c r="ACJ143" s="541"/>
      <c r="ACK143" s="541"/>
      <c r="ACL143" s="541"/>
      <c r="ACM143" s="541"/>
      <c r="ACN143" s="541"/>
      <c r="ACO143" s="541"/>
      <c r="ACP143" s="541"/>
      <c r="ACQ143" s="541"/>
      <c r="ACR143" s="541"/>
      <c r="ACS143" s="541"/>
      <c r="ACT143" s="541"/>
      <c r="ACU143" s="541"/>
      <c r="ACV143" s="541"/>
      <c r="ACW143" s="541"/>
      <c r="ACX143" s="541"/>
      <c r="ACY143" s="541"/>
      <c r="ACZ143" s="541"/>
      <c r="ADA143" s="541"/>
      <c r="ADB143" s="541"/>
      <c r="ADC143" s="541"/>
      <c r="ADD143" s="541"/>
      <c r="ADE143" s="541"/>
      <c r="ADF143" s="541"/>
      <c r="ADG143" s="541"/>
      <c r="ADH143" s="541"/>
      <c r="ADI143" s="541"/>
      <c r="ADJ143" s="541"/>
      <c r="ADK143" s="541"/>
      <c r="ADL143" s="541"/>
      <c r="ADM143" s="541"/>
      <c r="ADN143" s="541"/>
      <c r="ADO143" s="541"/>
      <c r="ADP143" s="541"/>
      <c r="ADQ143" s="541"/>
      <c r="ADR143" s="541"/>
      <c r="ADS143" s="541"/>
      <c r="ADT143" s="541"/>
      <c r="ADU143" s="541"/>
      <c r="ADV143" s="541"/>
      <c r="ADW143" s="541"/>
      <c r="ADX143" s="541"/>
      <c r="ADY143" s="541"/>
      <c r="ADZ143" s="541"/>
      <c r="AEA143" s="541"/>
      <c r="AEB143" s="541"/>
      <c r="AEC143" s="541"/>
      <c r="AED143" s="541"/>
      <c r="AEE143" s="541"/>
      <c r="AEF143" s="541"/>
      <c r="AEG143" s="541"/>
      <c r="AEH143" s="541"/>
      <c r="AEI143" s="541"/>
      <c r="AEJ143" s="541"/>
      <c r="AEK143" s="541"/>
      <c r="AEL143" s="541"/>
      <c r="AEM143" s="541"/>
      <c r="AEN143" s="541"/>
      <c r="AEO143" s="541"/>
      <c r="AEP143" s="541"/>
      <c r="AEQ143" s="541"/>
      <c r="AER143" s="541"/>
      <c r="AES143" s="541"/>
      <c r="AET143" s="541"/>
      <c r="AEU143" s="541"/>
      <c r="AEV143" s="541"/>
      <c r="AEW143" s="541"/>
      <c r="AEX143" s="541"/>
      <c r="AEY143" s="541"/>
      <c r="AEZ143" s="541"/>
      <c r="AFA143" s="541"/>
      <c r="AFB143" s="541"/>
      <c r="AFC143" s="541"/>
      <c r="AFD143" s="541"/>
      <c r="AFE143" s="541"/>
      <c r="AFF143" s="541"/>
      <c r="AFG143" s="541"/>
      <c r="AFH143" s="541"/>
      <c r="AFI143" s="541"/>
      <c r="AFJ143" s="541"/>
      <c r="AFK143" s="541"/>
      <c r="AFL143" s="541"/>
      <c r="AFM143" s="541"/>
      <c r="AFN143" s="541"/>
      <c r="AFO143" s="541"/>
      <c r="AFP143" s="541"/>
      <c r="AFQ143" s="541"/>
      <c r="AFR143" s="541"/>
      <c r="AFS143" s="541"/>
      <c r="AFT143" s="541"/>
      <c r="AFU143" s="541"/>
      <c r="AFV143" s="541"/>
      <c r="AFW143" s="541"/>
      <c r="AFX143" s="541"/>
      <c r="AFY143" s="541"/>
      <c r="AFZ143" s="541"/>
      <c r="AGA143" s="541"/>
      <c r="AGB143" s="541"/>
      <c r="AGC143" s="541"/>
      <c r="AGD143" s="541"/>
      <c r="AGE143" s="541"/>
      <c r="AGF143" s="541"/>
      <c r="AGG143" s="541"/>
      <c r="AGH143" s="541"/>
      <c r="AGI143" s="541"/>
      <c r="AGJ143" s="541"/>
      <c r="AGK143" s="541"/>
      <c r="AGL143" s="541"/>
      <c r="AGM143" s="541"/>
      <c r="AGN143" s="541"/>
      <c r="AGO143" s="541"/>
      <c r="AGP143" s="541"/>
      <c r="AGQ143" s="541"/>
      <c r="AGR143" s="541"/>
      <c r="AGS143" s="541"/>
      <c r="AGT143" s="541"/>
      <c r="AGU143" s="541"/>
      <c r="AGV143" s="541"/>
      <c r="AGW143" s="541"/>
      <c r="AGX143" s="541"/>
      <c r="AGY143" s="541"/>
      <c r="AGZ143" s="541"/>
      <c r="AHA143" s="541"/>
      <c r="AHB143" s="541"/>
      <c r="AHC143" s="541"/>
      <c r="AHD143" s="541"/>
      <c r="AHE143" s="541"/>
      <c r="AHF143" s="541"/>
      <c r="AHG143" s="541"/>
      <c r="AHH143" s="541"/>
      <c r="AHI143" s="541"/>
      <c r="AHJ143" s="541"/>
      <c r="AHK143" s="541"/>
      <c r="AHL143" s="541"/>
      <c r="AHM143" s="541"/>
      <c r="AHN143" s="541"/>
      <c r="AHO143" s="541"/>
      <c r="AHP143" s="541"/>
      <c r="AHQ143" s="541"/>
      <c r="AHR143" s="541"/>
      <c r="AHS143" s="541"/>
      <c r="AHT143" s="541"/>
      <c r="AHU143" s="541"/>
      <c r="AHV143" s="541"/>
      <c r="AHW143" s="541"/>
      <c r="AHX143" s="541"/>
      <c r="AHY143" s="541"/>
      <c r="AHZ143" s="541"/>
      <c r="AIA143" s="541"/>
      <c r="AIB143" s="541"/>
      <c r="AIC143" s="541"/>
      <c r="AID143" s="541"/>
      <c r="AIE143" s="541"/>
      <c r="AIF143" s="541"/>
      <c r="AIG143" s="541"/>
      <c r="AIH143" s="541"/>
      <c r="AII143" s="541"/>
      <c r="AIJ143" s="541"/>
      <c r="AIK143" s="541"/>
      <c r="AIL143" s="541"/>
      <c r="AIM143" s="541"/>
      <c r="AIN143" s="541"/>
      <c r="AIO143" s="541"/>
      <c r="AIP143" s="541"/>
      <c r="AIQ143" s="541"/>
      <c r="AIR143" s="541"/>
      <c r="AIS143" s="541"/>
      <c r="AIT143" s="541"/>
      <c r="AIU143" s="541"/>
      <c r="AIV143" s="541"/>
      <c r="AIW143" s="541"/>
      <c r="AIX143" s="541"/>
      <c r="AIY143" s="541"/>
      <c r="AIZ143" s="541"/>
      <c r="AJA143" s="541"/>
      <c r="AJB143" s="541"/>
      <c r="AJC143" s="541"/>
      <c r="AJD143" s="541"/>
      <c r="AJE143" s="541"/>
      <c r="AJF143" s="541"/>
      <c r="AJG143" s="541"/>
      <c r="AJH143" s="541"/>
      <c r="AJI143" s="541"/>
      <c r="AJJ143" s="541"/>
      <c r="AJK143" s="541"/>
      <c r="AJL143" s="541"/>
      <c r="AJM143" s="541"/>
      <c r="AJN143" s="541"/>
      <c r="AJO143" s="541"/>
      <c r="AJP143" s="541"/>
      <c r="AJQ143" s="541"/>
      <c r="AJR143" s="541"/>
      <c r="AJS143" s="541"/>
      <c r="AJT143" s="541"/>
      <c r="AJU143" s="541"/>
      <c r="AJV143" s="541"/>
      <c r="AJW143" s="541"/>
      <c r="AJX143" s="541"/>
      <c r="AJY143" s="541"/>
      <c r="AJZ143" s="541"/>
      <c r="AKA143" s="541"/>
      <c r="AKB143" s="541"/>
      <c r="AKC143" s="541"/>
      <c r="AKD143" s="541"/>
      <c r="AKE143" s="541"/>
      <c r="AKF143" s="541"/>
      <c r="AKG143" s="541"/>
      <c r="AKH143" s="541"/>
      <c r="AKI143" s="541"/>
      <c r="AKJ143" s="541"/>
      <c r="AKK143" s="541"/>
      <c r="AKL143" s="541"/>
      <c r="AKM143" s="541"/>
      <c r="AKN143" s="541"/>
      <c r="AKO143" s="541"/>
      <c r="AKP143" s="541"/>
      <c r="AKQ143" s="541"/>
      <c r="AKR143" s="541"/>
      <c r="AKS143" s="541"/>
      <c r="AKT143" s="541"/>
      <c r="AKU143" s="541"/>
      <c r="AKV143" s="541"/>
      <c r="AKW143" s="541"/>
      <c r="AKX143" s="541"/>
      <c r="AKY143" s="541"/>
      <c r="AKZ143" s="541"/>
      <c r="ALA143" s="541"/>
      <c r="ALB143" s="541"/>
      <c r="ALC143" s="541"/>
      <c r="ALD143" s="541"/>
      <c r="ALE143" s="541"/>
      <c r="ALF143" s="541"/>
      <c r="ALG143" s="541"/>
      <c r="ALH143" s="541"/>
      <c r="ALI143" s="541"/>
      <c r="ALJ143" s="541"/>
      <c r="ALK143" s="541"/>
      <c r="ALL143" s="541"/>
      <c r="ALM143" s="541"/>
      <c r="ALN143" s="541"/>
      <c r="ALO143" s="541"/>
      <c r="ALP143" s="541"/>
      <c r="ALQ143" s="541"/>
      <c r="ALR143" s="541"/>
      <c r="ALS143" s="541"/>
      <c r="ALT143" s="541"/>
      <c r="ALU143" s="541"/>
      <c r="ALV143" s="541"/>
      <c r="ALW143" s="541"/>
      <c r="ALX143" s="541"/>
      <c r="ALY143" s="541"/>
      <c r="ALZ143" s="541"/>
      <c r="AMA143" s="541"/>
      <c r="AMB143" s="541"/>
      <c r="AMC143" s="541"/>
      <c r="AMD143" s="541"/>
      <c r="AME143" s="541"/>
      <c r="AMF143" s="541"/>
      <c r="AMG143" s="541"/>
      <c r="AMH143" s="541"/>
      <c r="AMI143" s="541"/>
      <c r="AMJ143" s="541"/>
      <c r="AMK143" s="541"/>
      <c r="AML143" s="541"/>
      <c r="AMM143" s="541"/>
      <c r="AMN143" s="541"/>
      <c r="AMO143" s="541"/>
      <c r="AMP143" s="541"/>
      <c r="AMQ143" s="541"/>
      <c r="AMR143" s="541"/>
      <c r="AMS143" s="541"/>
      <c r="AMT143" s="541"/>
      <c r="AMU143" s="541"/>
      <c r="AMV143" s="541"/>
      <c r="AMW143" s="541"/>
      <c r="AMX143" s="541"/>
      <c r="AMY143" s="541"/>
      <c r="AMZ143" s="541"/>
      <c r="ANA143" s="541"/>
      <c r="ANB143" s="541"/>
      <c r="ANC143" s="541"/>
      <c r="AND143" s="541"/>
      <c r="ANE143" s="541"/>
      <c r="ANF143" s="541"/>
      <c r="ANG143" s="541"/>
      <c r="ANH143" s="541"/>
      <c r="ANI143" s="541"/>
      <c r="ANJ143" s="541"/>
      <c r="ANK143" s="541"/>
      <c r="ANL143" s="541"/>
      <c r="ANM143" s="541"/>
      <c r="ANN143" s="541"/>
      <c r="ANO143" s="541"/>
      <c r="ANP143" s="541"/>
      <c r="ANQ143" s="541"/>
      <c r="ANR143" s="541"/>
      <c r="ANS143" s="541"/>
      <c r="ANT143" s="541"/>
      <c r="ANU143" s="541"/>
      <c r="ANV143" s="541"/>
      <c r="ANW143" s="541"/>
      <c r="ANX143" s="541"/>
      <c r="ANY143" s="541"/>
      <c r="ANZ143" s="541"/>
      <c r="AOA143" s="541"/>
      <c r="AOB143" s="541"/>
      <c r="AOC143" s="541"/>
      <c r="AOD143" s="541"/>
      <c r="AOE143" s="541"/>
      <c r="AOF143" s="541"/>
      <c r="AOG143" s="541"/>
      <c r="AOH143" s="541"/>
      <c r="AOI143" s="541"/>
      <c r="AOJ143" s="541"/>
      <c r="AOK143" s="541"/>
      <c r="AOL143" s="541"/>
      <c r="AOM143" s="541"/>
      <c r="AON143" s="541"/>
      <c r="AOO143" s="541"/>
      <c r="AOP143" s="541"/>
      <c r="AOQ143" s="541"/>
      <c r="AOR143" s="541"/>
      <c r="AOS143" s="541"/>
      <c r="AOT143" s="541"/>
      <c r="AOU143" s="541"/>
      <c r="AOV143" s="541"/>
      <c r="AOW143" s="541"/>
      <c r="AOX143" s="541"/>
      <c r="AOY143" s="541"/>
      <c r="AOZ143" s="541"/>
      <c r="APA143" s="541"/>
      <c r="APB143" s="541"/>
      <c r="APC143" s="541"/>
      <c r="APD143" s="541"/>
      <c r="APE143" s="541"/>
      <c r="APF143" s="541"/>
      <c r="APG143" s="541"/>
      <c r="APH143" s="541"/>
      <c r="API143" s="541"/>
      <c r="APJ143" s="541"/>
      <c r="APK143" s="541"/>
      <c r="APL143" s="541"/>
      <c r="APM143" s="541"/>
      <c r="APN143" s="541"/>
      <c r="APO143" s="541"/>
      <c r="APP143" s="541"/>
      <c r="APQ143" s="541"/>
      <c r="APR143" s="541"/>
      <c r="APS143" s="541"/>
      <c r="APT143" s="541"/>
      <c r="APU143" s="541"/>
      <c r="APV143" s="541"/>
      <c r="APW143" s="541"/>
      <c r="APX143" s="541"/>
      <c r="APY143" s="541"/>
      <c r="APZ143" s="541"/>
      <c r="AQA143" s="541"/>
      <c r="AQB143" s="541"/>
      <c r="AQC143" s="541"/>
      <c r="AQD143" s="541"/>
      <c r="AQE143" s="541"/>
      <c r="AQF143" s="541"/>
      <c r="AQG143" s="541"/>
      <c r="AQH143" s="541"/>
      <c r="AQI143" s="541"/>
      <c r="AQJ143" s="541"/>
      <c r="AQK143" s="541"/>
      <c r="AQL143" s="541"/>
      <c r="AQM143" s="541"/>
      <c r="AQN143" s="541"/>
      <c r="AQO143" s="541"/>
      <c r="AQP143" s="541"/>
      <c r="AQQ143" s="541"/>
      <c r="AQR143" s="541"/>
      <c r="AQS143" s="541"/>
      <c r="AQT143" s="541"/>
      <c r="AQU143" s="541"/>
      <c r="AQV143" s="541"/>
      <c r="AQW143" s="541"/>
      <c r="AQX143" s="541"/>
      <c r="AQY143" s="541"/>
      <c r="AQZ143" s="541"/>
      <c r="ARA143" s="541"/>
      <c r="ARB143" s="541"/>
      <c r="ARC143" s="541"/>
      <c r="ARD143" s="541"/>
      <c r="ARE143" s="541"/>
      <c r="ARF143" s="541"/>
      <c r="ARG143" s="541"/>
      <c r="ARH143" s="541"/>
      <c r="ARI143" s="541"/>
      <c r="ARJ143" s="541"/>
      <c r="ARK143" s="541"/>
      <c r="ARL143" s="541"/>
      <c r="ARM143" s="541"/>
      <c r="ARN143" s="541"/>
      <c r="ARO143" s="541"/>
      <c r="ARP143" s="541"/>
      <c r="ARQ143" s="541"/>
      <c r="ARR143" s="541"/>
      <c r="ARS143" s="541"/>
      <c r="ART143" s="541"/>
      <c r="ARU143" s="541"/>
    </row>
    <row r="144" spans="1:1165">
      <c r="A144" s="596"/>
      <c r="B144" s="430"/>
      <c r="C144" s="684"/>
      <c r="D144" s="684"/>
      <c r="E144" s="608"/>
      <c r="F144" s="608"/>
      <c r="G144" s="608"/>
      <c r="H144" s="608"/>
      <c r="I144" s="608"/>
      <c r="J144" s="608"/>
      <c r="K144" s="608"/>
      <c r="L144" s="608"/>
      <c r="M144" s="608"/>
      <c r="N144" s="608"/>
      <c r="O144" s="608"/>
      <c r="P144" s="608"/>
      <c r="Q144" s="608"/>
      <c r="R144" s="608"/>
      <c r="S144" s="608"/>
      <c r="T144" s="608"/>
      <c r="U144" s="586"/>
      <c r="V144" s="586"/>
      <c r="W144" s="672"/>
      <c r="X144" s="672"/>
      <c r="Y144" s="586"/>
      <c r="Z144" s="586"/>
      <c r="AA144" s="586"/>
      <c r="AB144" s="586"/>
      <c r="AC144" s="595"/>
      <c r="AD144" s="595"/>
      <c r="AE144" s="586"/>
      <c r="AF144" s="586"/>
      <c r="AG144" s="586"/>
      <c r="AH144" s="586"/>
      <c r="AI144" s="586"/>
      <c r="AJ144" s="586"/>
      <c r="AK144" s="586"/>
      <c r="AL144" s="586"/>
      <c r="AM144" s="586"/>
      <c r="AN144" s="586"/>
      <c r="AO144" s="586"/>
      <c r="AP144" s="586"/>
      <c r="AQ144" s="686"/>
      <c r="AR144" s="686"/>
      <c r="AS144" s="586"/>
      <c r="AT144" s="586"/>
      <c r="AU144" s="623"/>
      <c r="AV144" s="623"/>
      <c r="AW144" s="650"/>
      <c r="AX144" s="650"/>
      <c r="AY144" s="648"/>
      <c r="AZ144" s="648"/>
      <c r="BA144" s="686"/>
      <c r="BB144" s="608"/>
      <c r="BC144" s="608"/>
      <c r="BD144" s="608"/>
      <c r="BE144" s="608"/>
      <c r="BF144" s="608"/>
      <c r="BG144" s="608"/>
      <c r="BH144" s="608"/>
      <c r="BI144" s="686"/>
      <c r="BJ144" s="608"/>
      <c r="BK144" s="608"/>
      <c r="BL144" s="541"/>
      <c r="BM144" s="624"/>
      <c r="BP144" s="624"/>
    </row>
    <row r="145" spans="1:1165">
      <c r="A145" s="591" t="s">
        <v>290</v>
      </c>
      <c r="B145" s="430"/>
      <c r="C145" s="684"/>
      <c r="D145" s="684"/>
      <c r="E145" s="608"/>
      <c r="F145" s="608"/>
      <c r="G145" s="608"/>
      <c r="H145" s="608"/>
      <c r="I145" s="608"/>
      <c r="J145" s="608"/>
      <c r="K145" s="608"/>
      <c r="L145" s="608"/>
      <c r="M145" s="608"/>
      <c r="N145" s="608"/>
      <c r="O145" s="608"/>
      <c r="P145" s="608"/>
      <c r="Q145" s="608"/>
      <c r="R145" s="608"/>
      <c r="S145" s="608"/>
      <c r="T145" s="608"/>
      <c r="U145" s="608"/>
      <c r="V145" s="608"/>
      <c r="W145" s="586"/>
      <c r="X145" s="586"/>
      <c r="Y145" s="586"/>
      <c r="Z145" s="586"/>
      <c r="AA145" s="586"/>
      <c r="AB145" s="586"/>
      <c r="AC145" s="595"/>
      <c r="AD145" s="595"/>
      <c r="AE145" s="586"/>
      <c r="AF145" s="586"/>
      <c r="AG145" s="586"/>
      <c r="AH145" s="586"/>
      <c r="AI145" s="586"/>
      <c r="AJ145" s="586"/>
      <c r="AK145" s="586"/>
      <c r="AL145" s="586"/>
      <c r="AM145" s="586"/>
      <c r="AN145" s="586"/>
      <c r="AO145" s="586"/>
      <c r="AP145" s="586"/>
      <c r="AQ145" s="586"/>
      <c r="AR145" s="586"/>
      <c r="AS145" s="586"/>
      <c r="AT145" s="586"/>
      <c r="AU145" s="623"/>
      <c r="AV145" s="623"/>
      <c r="AW145" s="650"/>
      <c r="AX145" s="650"/>
      <c r="AY145" s="648"/>
      <c r="AZ145" s="648"/>
      <c r="BA145" s="686"/>
      <c r="BB145" s="608"/>
      <c r="BC145" s="608"/>
      <c r="BD145" s="608"/>
      <c r="BE145" s="608"/>
      <c r="BF145" s="608"/>
      <c r="BG145" s="608"/>
      <c r="BH145" s="608"/>
      <c r="BI145" s="686"/>
      <c r="BJ145" s="608"/>
      <c r="BK145" s="608"/>
      <c r="BL145" s="541"/>
      <c r="BM145" s="624"/>
      <c r="BN145" s="624"/>
      <c r="BP145" s="624"/>
    </row>
    <row r="146" spans="1:1165">
      <c r="A146" s="593" t="s">
        <v>291</v>
      </c>
      <c r="B146" s="594" t="s">
        <v>110</v>
      </c>
      <c r="C146" s="670">
        <v>3681</v>
      </c>
      <c r="D146" s="670">
        <v>29628</v>
      </c>
      <c r="E146" s="595">
        <v>0</v>
      </c>
      <c r="F146" s="595">
        <v>0</v>
      </c>
      <c r="G146" s="595">
        <v>0</v>
      </c>
      <c r="H146" s="595">
        <v>0</v>
      </c>
      <c r="I146" s="595">
        <v>0</v>
      </c>
      <c r="J146" s="595">
        <v>0</v>
      </c>
      <c r="K146" s="595">
        <v>0</v>
      </c>
      <c r="L146" s="595">
        <v>0</v>
      </c>
      <c r="M146" s="595">
        <v>0</v>
      </c>
      <c r="N146" s="595">
        <v>0</v>
      </c>
      <c r="O146" s="595">
        <v>300</v>
      </c>
      <c r="P146" s="595">
        <v>2100</v>
      </c>
      <c r="Q146" s="595">
        <v>330</v>
      </c>
      <c r="R146" s="595">
        <v>2310</v>
      </c>
      <c r="S146" s="595">
        <v>243</v>
      </c>
      <c r="T146" s="595">
        <v>3162</v>
      </c>
      <c r="U146" s="608">
        <v>0</v>
      </c>
      <c r="V146" s="608">
        <v>0</v>
      </c>
      <c r="W146" s="608">
        <v>360</v>
      </c>
      <c r="X146" s="608">
        <v>7200</v>
      </c>
      <c r="Y146" s="608">
        <v>333</v>
      </c>
      <c r="Z146" s="608">
        <v>6660</v>
      </c>
      <c r="AA146" s="623">
        <v>0</v>
      </c>
      <c r="AB146" s="623">
        <v>0</v>
      </c>
      <c r="AC146" s="608">
        <v>280</v>
      </c>
      <c r="AD146" s="608">
        <v>1120</v>
      </c>
      <c r="AE146" s="586">
        <v>0</v>
      </c>
      <c r="AF146" s="623">
        <v>0</v>
      </c>
      <c r="AG146" s="586">
        <v>2500</v>
      </c>
      <c r="AH146" s="586">
        <v>25000</v>
      </c>
      <c r="AI146" s="586">
        <v>3950</v>
      </c>
      <c r="AJ146" s="586">
        <v>39500</v>
      </c>
      <c r="AK146" s="673">
        <v>7342</v>
      </c>
      <c r="AL146" s="673">
        <v>62040</v>
      </c>
      <c r="AM146" s="676">
        <v>4387</v>
      </c>
      <c r="AN146" s="676">
        <v>126045</v>
      </c>
      <c r="AO146" s="586">
        <v>3624</v>
      </c>
      <c r="AP146" s="586">
        <v>86372</v>
      </c>
      <c r="AQ146" s="586">
        <v>3086</v>
      </c>
      <c r="AR146" s="586">
        <v>67892</v>
      </c>
      <c r="AS146" s="586">
        <v>2932</v>
      </c>
      <c r="AT146" s="586">
        <v>64504</v>
      </c>
      <c r="AU146" s="623">
        <v>10221</v>
      </c>
      <c r="AV146" s="623">
        <v>164408</v>
      </c>
      <c r="AW146" s="623">
        <v>17599</v>
      </c>
      <c r="AX146" s="623">
        <v>327033</v>
      </c>
      <c r="AY146" s="595">
        <v>7585</v>
      </c>
      <c r="AZ146" s="595">
        <v>65984</v>
      </c>
      <c r="BA146" s="595"/>
      <c r="BB146" s="595"/>
      <c r="BC146" s="586"/>
      <c r="BD146" s="595"/>
      <c r="BE146" s="586"/>
      <c r="BF146" s="624"/>
      <c r="BG146" s="624"/>
      <c r="BH146" s="624"/>
      <c r="BI146" s="595"/>
      <c r="BJ146" s="595">
        <f t="shared" ref="BJ146:BJ147" si="20">C146+G146+I146+K146+M146+O146+Q146+S146+U146+W146+Y146+AA146+AC146+AE146+AG146+AI146+AK146+AM146+AO146+AQ146+AS146+AU146+AW146+AY146+BB146+BF146</f>
        <v>68753</v>
      </c>
      <c r="BK146" s="595">
        <f>D146+H146+J146+L146+N146+P146+R146+T146+V146+X146+Z146+AB146+AD146+AF146+AH146+AJ146+AL146+AN146+AP146+AR146+AT146+AV146+AX146+AZ146+BD146+BH146</f>
        <v>1080958</v>
      </c>
      <c r="BL146" s="541"/>
      <c r="BM146" s="624"/>
      <c r="BN146" s="624"/>
      <c r="BP146" s="624"/>
    </row>
    <row r="147" spans="1:1165">
      <c r="A147" s="593" t="s">
        <v>292</v>
      </c>
      <c r="B147" s="594" t="s">
        <v>110</v>
      </c>
      <c r="C147" s="670">
        <v>15153489</v>
      </c>
      <c r="D147" s="670">
        <v>19272893</v>
      </c>
      <c r="E147" s="595">
        <v>607812</v>
      </c>
      <c r="F147" s="595">
        <v>1792235</v>
      </c>
      <c r="G147" s="595">
        <v>637350</v>
      </c>
      <c r="H147" s="595">
        <v>2028155</v>
      </c>
      <c r="I147" s="595">
        <v>514252</v>
      </c>
      <c r="J147" s="595">
        <v>1659214</v>
      </c>
      <c r="K147" s="595">
        <v>345481</v>
      </c>
      <c r="L147" s="595">
        <v>1686993</v>
      </c>
      <c r="M147" s="595">
        <v>184696</v>
      </c>
      <c r="N147" s="595">
        <v>968942</v>
      </c>
      <c r="O147" s="595">
        <v>193511</v>
      </c>
      <c r="P147" s="595">
        <v>1151735</v>
      </c>
      <c r="Q147" s="595">
        <v>217092</v>
      </c>
      <c r="R147" s="595">
        <v>1006511</v>
      </c>
      <c r="S147" s="595">
        <v>131866</v>
      </c>
      <c r="T147" s="595">
        <v>1311783</v>
      </c>
      <c r="U147" s="608">
        <v>2138091</v>
      </c>
      <c r="V147" s="608">
        <v>10322448</v>
      </c>
      <c r="W147" s="608">
        <v>1812436</v>
      </c>
      <c r="X147" s="608">
        <v>7795442</v>
      </c>
      <c r="Y147" s="608">
        <v>1828663</v>
      </c>
      <c r="Z147" s="608">
        <v>10640754</v>
      </c>
      <c r="AA147" s="623">
        <v>1737984</v>
      </c>
      <c r="AB147" s="623">
        <v>9709097</v>
      </c>
      <c r="AC147" s="608">
        <v>2083846</v>
      </c>
      <c r="AD147" s="608">
        <v>13055973</v>
      </c>
      <c r="AE147" s="586">
        <v>2099107</v>
      </c>
      <c r="AF147" s="623">
        <v>14189487</v>
      </c>
      <c r="AG147" s="586">
        <v>2249595</v>
      </c>
      <c r="AH147" s="586">
        <v>15123079</v>
      </c>
      <c r="AI147" s="586">
        <v>2189534</v>
      </c>
      <c r="AJ147" s="586">
        <v>14819627</v>
      </c>
      <c r="AK147" s="673">
        <v>2667429</v>
      </c>
      <c r="AL147" s="673">
        <v>17747807</v>
      </c>
      <c r="AM147" s="676">
        <v>2277880</v>
      </c>
      <c r="AN147" s="676">
        <v>13685622</v>
      </c>
      <c r="AO147" s="586">
        <v>3002887</v>
      </c>
      <c r="AP147" s="586">
        <v>12916212</v>
      </c>
      <c r="AQ147" s="586">
        <v>3004290.21</v>
      </c>
      <c r="AR147" s="586">
        <v>13969321</v>
      </c>
      <c r="AS147" s="586">
        <v>2968501.47</v>
      </c>
      <c r="AT147" s="586">
        <v>13949154.48</v>
      </c>
      <c r="AU147" s="623">
        <v>3511669</v>
      </c>
      <c r="AV147" s="623">
        <v>15444737</v>
      </c>
      <c r="AW147" s="586">
        <v>3943000</v>
      </c>
      <c r="AX147" s="586">
        <v>16636737</v>
      </c>
      <c r="AY147" s="595">
        <v>5416874</v>
      </c>
      <c r="AZ147" s="595">
        <v>28410365</v>
      </c>
      <c r="BA147" s="595"/>
      <c r="BB147" s="595"/>
      <c r="BC147" s="586"/>
      <c r="BD147" s="595"/>
      <c r="BE147" s="586"/>
      <c r="BF147" s="624"/>
      <c r="BG147" s="586"/>
      <c r="BH147" s="624"/>
      <c r="BI147" s="586"/>
      <c r="BJ147" s="595">
        <f t="shared" si="20"/>
        <v>60309523.68</v>
      </c>
      <c r="BK147" s="595">
        <f>D147+H147+J147+L147+N147+P147+R147+T147+V147+X147+Z147+AB147+AD147+AF147+AH147+AJ147+AL147+AN147+AP147+AR147+AT147+AV147+AX147+AZ147+BD147+BH147</f>
        <v>257502088.47999999</v>
      </c>
      <c r="BL147" s="541"/>
      <c r="BM147" s="624"/>
      <c r="BO147" s="624"/>
      <c r="BP147" s="624"/>
    </row>
    <row r="148" spans="1:1165">
      <c r="A148" s="596" t="s">
        <v>293</v>
      </c>
      <c r="B148" s="430"/>
      <c r="C148" s="684"/>
      <c r="D148" s="684">
        <f>SUM(D146:D147)</f>
        <v>19302521</v>
      </c>
      <c r="E148" s="608"/>
      <c r="F148" s="608">
        <f>SUM(F146:F147)</f>
        <v>1792235</v>
      </c>
      <c r="G148" s="608"/>
      <c r="H148" s="608">
        <f>SUM(H146:H147)</f>
        <v>2028155</v>
      </c>
      <c r="I148" s="608"/>
      <c r="J148" s="608">
        <f>SUM(J146:J147)</f>
        <v>1659214</v>
      </c>
      <c r="K148" s="608"/>
      <c r="L148" s="608">
        <f>SUM(L146:L147)</f>
        <v>1686993</v>
      </c>
      <c r="M148" s="608"/>
      <c r="N148" s="608">
        <f>SUM(N146:N147)</f>
        <v>968942</v>
      </c>
      <c r="O148" s="608"/>
      <c r="P148" s="608">
        <f>SUM(P146:P147)</f>
        <v>1153835</v>
      </c>
      <c r="Q148" s="608"/>
      <c r="R148" s="608">
        <f>SUM(R146:R147)</f>
        <v>1008821</v>
      </c>
      <c r="S148" s="608"/>
      <c r="T148" s="608">
        <f>SUM(T146:T147)</f>
        <v>1314945</v>
      </c>
      <c r="U148" s="586"/>
      <c r="V148" s="586">
        <f>SUM(V146:V147)</f>
        <v>10322448</v>
      </c>
      <c r="W148" s="586"/>
      <c r="X148" s="608">
        <f>SUM(X146:X147)</f>
        <v>7802642</v>
      </c>
      <c r="Y148" s="586"/>
      <c r="Z148" s="608">
        <f>SUM(Z146:Z147)</f>
        <v>10647414</v>
      </c>
      <c r="AA148" s="586"/>
      <c r="AB148" s="623">
        <f>SUM(AB146:AB147)</f>
        <v>9709097</v>
      </c>
      <c r="AC148" s="608"/>
      <c r="AD148" s="608">
        <f>SUM(AD146:AD147)</f>
        <v>13057093</v>
      </c>
      <c r="AE148" s="586"/>
      <c r="AF148" s="586">
        <f>SUM(AF146:AF147)</f>
        <v>14189487</v>
      </c>
      <c r="AG148" s="586"/>
      <c r="AH148" s="586">
        <f>SUM(AH146:AH147)</f>
        <v>15148079</v>
      </c>
      <c r="AI148" s="586"/>
      <c r="AJ148" s="586">
        <f>SUM(AJ146:AJ147)</f>
        <v>14859127</v>
      </c>
      <c r="AK148" s="673"/>
      <c r="AL148" s="673">
        <v>17809847</v>
      </c>
      <c r="AM148" s="676"/>
      <c r="AN148" s="676">
        <v>13811667</v>
      </c>
      <c r="AO148" s="586"/>
      <c r="AP148" s="586">
        <v>13002584</v>
      </c>
      <c r="AQ148" s="586"/>
      <c r="AR148" s="586">
        <v>14037213</v>
      </c>
      <c r="AS148" s="586"/>
      <c r="AT148" s="586">
        <f>SUM(AT146:AT147)</f>
        <v>14013658.48</v>
      </c>
      <c r="AU148" s="586"/>
      <c r="AV148" s="623">
        <f>SUM(AV146:AV147)</f>
        <v>15609145</v>
      </c>
      <c r="AW148" s="586"/>
      <c r="AX148" s="586">
        <f>SUM(AX146:AX147)</f>
        <v>16963770</v>
      </c>
      <c r="AY148" s="595"/>
      <c r="AZ148" s="595">
        <f>SUM(AZ146:AZ147)</f>
        <v>28476349</v>
      </c>
      <c r="BA148" s="677"/>
      <c r="BB148" s="595"/>
      <c r="BC148" s="586"/>
      <c r="BD148" s="595"/>
      <c r="BE148" s="586"/>
      <c r="BF148" s="624"/>
      <c r="BG148" s="624"/>
      <c r="BH148" s="624"/>
      <c r="BI148" s="586"/>
      <c r="BJ148" s="595"/>
      <c r="BK148" s="595">
        <f>D148+H148+J148+L148+N148+P148+R148+T148+V148+X148+Z148+AB148+AD148+AF148+AH148+AJ148+AL148+AN148+AP148+AR148+AT148+AV148+AX148+AZ148+BD148+BH148</f>
        <v>258583046.47999999</v>
      </c>
      <c r="BL148" s="541"/>
      <c r="BM148" s="624"/>
      <c r="BP148" s="624"/>
    </row>
    <row r="149" spans="1:1165">
      <c r="A149" s="599"/>
      <c r="B149" s="430"/>
      <c r="C149" s="684"/>
      <c r="D149" s="684"/>
      <c r="E149" s="608"/>
      <c r="F149" s="608"/>
      <c r="G149" s="608"/>
      <c r="H149" s="608"/>
      <c r="I149" s="608"/>
      <c r="J149" s="608"/>
      <c r="K149" s="608"/>
      <c r="L149" s="608"/>
      <c r="M149" s="608"/>
      <c r="N149" s="608"/>
      <c r="O149" s="608"/>
      <c r="P149" s="608"/>
      <c r="Q149" s="608"/>
      <c r="R149" s="608"/>
      <c r="S149" s="608"/>
      <c r="T149" s="608"/>
      <c r="U149" s="672"/>
      <c r="V149" s="672"/>
      <c r="W149" s="586"/>
      <c r="X149" s="608"/>
      <c r="Y149" s="586"/>
      <c r="Z149" s="608"/>
      <c r="AA149" s="586"/>
      <c r="AB149" s="623"/>
      <c r="AC149" s="595"/>
      <c r="AD149" s="595"/>
      <c r="AE149" s="623"/>
      <c r="AF149" s="623"/>
      <c r="AG149" s="623"/>
      <c r="AH149" s="623"/>
      <c r="AI149" s="623"/>
      <c r="AJ149" s="623"/>
      <c r="AK149" s="623"/>
      <c r="AL149" s="623"/>
      <c r="AM149" s="586"/>
      <c r="AN149" s="586"/>
      <c r="AO149" s="586"/>
      <c r="AP149" s="586"/>
      <c r="AQ149" s="586"/>
      <c r="AR149" s="586"/>
      <c r="AS149" s="586"/>
      <c r="AT149" s="586"/>
      <c r="AU149" s="586"/>
      <c r="AV149" s="623"/>
      <c r="AW149" s="650"/>
      <c r="AX149" s="650"/>
      <c r="AY149" s="648"/>
      <c r="AZ149" s="648"/>
      <c r="BA149" s="686"/>
      <c r="BB149" s="608"/>
      <c r="BC149" s="608"/>
      <c r="BD149" s="608"/>
      <c r="BE149" s="608"/>
      <c r="BF149" s="608"/>
      <c r="BG149" s="608"/>
      <c r="BH149" s="608"/>
      <c r="BI149" s="686"/>
      <c r="BJ149" s="608"/>
      <c r="BK149" s="608"/>
      <c r="BL149" s="541"/>
      <c r="BM149" s="624"/>
      <c r="BO149" s="624"/>
      <c r="BP149" s="624"/>
    </row>
    <row r="150" spans="1:1165" s="658" customFormat="1">
      <c r="A150" s="577" t="s">
        <v>294</v>
      </c>
      <c r="B150" s="578" t="s">
        <v>110</v>
      </c>
      <c r="C150" s="659">
        <v>60376</v>
      </c>
      <c r="D150" s="659">
        <v>1075116</v>
      </c>
      <c r="E150" s="581">
        <v>0</v>
      </c>
      <c r="F150" s="581">
        <v>0</v>
      </c>
      <c r="G150" s="581">
        <v>0</v>
      </c>
      <c r="H150" s="581">
        <v>0</v>
      </c>
      <c r="I150" s="581">
        <v>0</v>
      </c>
      <c r="J150" s="581">
        <v>0</v>
      </c>
      <c r="K150" s="581">
        <v>0</v>
      </c>
      <c r="L150" s="581">
        <v>0</v>
      </c>
      <c r="M150" s="581">
        <v>16729</v>
      </c>
      <c r="N150" s="581">
        <v>215936</v>
      </c>
      <c r="O150" s="598">
        <v>0</v>
      </c>
      <c r="P150" s="598">
        <v>0</v>
      </c>
      <c r="Q150" s="598">
        <v>0</v>
      </c>
      <c r="R150" s="598">
        <v>0</v>
      </c>
      <c r="S150" s="598">
        <v>0</v>
      </c>
      <c r="T150" s="598">
        <v>0</v>
      </c>
      <c r="U150" s="598">
        <v>0</v>
      </c>
      <c r="V150" s="598">
        <v>0</v>
      </c>
      <c r="W150" s="598">
        <v>0</v>
      </c>
      <c r="X150" s="598">
        <v>0</v>
      </c>
      <c r="Y150" s="598">
        <v>0</v>
      </c>
      <c r="Z150" s="598">
        <v>0</v>
      </c>
      <c r="AA150" s="598">
        <v>0</v>
      </c>
      <c r="AB150" s="598">
        <v>0</v>
      </c>
      <c r="AC150" s="598">
        <v>0</v>
      </c>
      <c r="AD150" s="598">
        <v>0</v>
      </c>
      <c r="AE150" s="598">
        <v>0</v>
      </c>
      <c r="AF150" s="598">
        <v>0</v>
      </c>
      <c r="AG150" s="598">
        <v>0</v>
      </c>
      <c r="AH150" s="598">
        <v>0</v>
      </c>
      <c r="AI150" s="598">
        <v>0</v>
      </c>
      <c r="AJ150" s="598">
        <v>0</v>
      </c>
      <c r="AK150" s="598">
        <v>0</v>
      </c>
      <c r="AL150" s="598">
        <v>0</v>
      </c>
      <c r="AM150" s="598">
        <v>0</v>
      </c>
      <c r="AN150" s="598">
        <v>0</v>
      </c>
      <c r="AO150" s="598">
        <v>0</v>
      </c>
      <c r="AP150" s="598">
        <v>0</v>
      </c>
      <c r="AQ150" s="598">
        <v>0</v>
      </c>
      <c r="AR150" s="598">
        <v>0</v>
      </c>
      <c r="AS150" s="598">
        <v>0</v>
      </c>
      <c r="AT150" s="598">
        <v>0</v>
      </c>
      <c r="AU150" s="598">
        <v>0</v>
      </c>
      <c r="AV150" s="598">
        <v>0</v>
      </c>
      <c r="AW150" s="581">
        <v>0</v>
      </c>
      <c r="AX150" s="581">
        <v>0</v>
      </c>
      <c r="AY150" s="581">
        <v>0</v>
      </c>
      <c r="AZ150" s="581">
        <v>0</v>
      </c>
      <c r="BA150" s="620"/>
      <c r="BB150" s="581"/>
      <c r="BC150" s="581"/>
      <c r="BD150" s="581"/>
      <c r="BE150" s="581"/>
      <c r="BF150" s="581"/>
      <c r="BG150" s="581"/>
      <c r="BH150" s="581"/>
      <c r="BI150" s="620"/>
      <c r="BJ150" s="581">
        <f>C150+G150+I150+K150+M150+O150+Q150+S150+U150+W150+Y150+AA150+AC150+AE150+AG150+AI150+AK150+AM150+AO150+AQ150+AS150+AU150+AW150+AY150+BB150+BF150</f>
        <v>77105</v>
      </c>
      <c r="BK150" s="651">
        <f>D150+H150+J150+L150+N150+P150+R150+T150+V150+X150+Z150+AB150+AD150+AF150+AH150+AJ150+AL150+AN150+AP150+AR150+AT150+AV150+AX150+AZ150+BD150+BH150</f>
        <v>1291052</v>
      </c>
      <c r="BL150" s="541"/>
      <c r="BM150" s="624"/>
      <c r="BN150" s="624"/>
      <c r="BO150" s="624"/>
      <c r="BP150" s="624"/>
      <c r="BQ150" s="541"/>
      <c r="BR150" s="541"/>
      <c r="BS150" s="541"/>
      <c r="BT150" s="541"/>
      <c r="BU150" s="541"/>
      <c r="BV150" s="541"/>
      <c r="BW150" s="541"/>
      <c r="BX150" s="541"/>
      <c r="BY150" s="541"/>
      <c r="BZ150" s="541"/>
      <c r="CA150" s="541"/>
      <c r="CB150" s="541"/>
      <c r="CC150" s="541"/>
      <c r="CD150" s="541"/>
      <c r="CE150" s="541"/>
      <c r="CF150" s="541"/>
      <c r="CG150" s="541"/>
      <c r="CH150" s="541"/>
      <c r="CI150" s="541"/>
      <c r="CJ150" s="541"/>
      <c r="CK150" s="541"/>
      <c r="CL150" s="541"/>
      <c r="CM150" s="541"/>
      <c r="CN150" s="541"/>
      <c r="CO150" s="541"/>
      <c r="CP150" s="541"/>
      <c r="CQ150" s="541"/>
      <c r="CR150" s="541"/>
      <c r="CS150" s="541"/>
      <c r="CT150" s="541"/>
      <c r="CU150" s="541"/>
      <c r="CV150" s="541"/>
      <c r="CW150" s="541"/>
      <c r="CX150" s="541"/>
      <c r="CY150" s="541"/>
      <c r="CZ150" s="541"/>
      <c r="DA150" s="541"/>
      <c r="DB150" s="541"/>
      <c r="DC150" s="541"/>
      <c r="DD150" s="541"/>
      <c r="DE150" s="541"/>
      <c r="DF150" s="541"/>
      <c r="DG150" s="541"/>
      <c r="DH150" s="541"/>
      <c r="DI150" s="541"/>
      <c r="DJ150" s="541"/>
      <c r="DK150" s="541"/>
      <c r="DL150" s="541"/>
      <c r="DM150" s="541"/>
      <c r="DN150" s="541"/>
      <c r="DO150" s="541"/>
      <c r="DP150" s="541"/>
      <c r="DQ150" s="541"/>
      <c r="DR150" s="541"/>
      <c r="DS150" s="541"/>
      <c r="DT150" s="541"/>
      <c r="DU150" s="541"/>
      <c r="DV150" s="541"/>
      <c r="DW150" s="541"/>
      <c r="DX150" s="541"/>
      <c r="DY150" s="541"/>
      <c r="DZ150" s="541"/>
      <c r="EA150" s="541"/>
      <c r="EB150" s="541"/>
      <c r="EC150" s="541"/>
      <c r="ED150" s="541"/>
      <c r="EE150" s="541"/>
      <c r="EF150" s="541"/>
      <c r="EG150" s="541"/>
      <c r="EH150" s="541"/>
      <c r="EI150" s="541"/>
      <c r="EJ150" s="541"/>
      <c r="EK150" s="541"/>
      <c r="EL150" s="541"/>
      <c r="EM150" s="541"/>
      <c r="EN150" s="541"/>
      <c r="EO150" s="541"/>
      <c r="EP150" s="541"/>
      <c r="EQ150" s="541"/>
      <c r="ER150" s="541"/>
      <c r="ES150" s="541"/>
      <c r="ET150" s="541"/>
      <c r="EU150" s="541"/>
      <c r="EV150" s="541"/>
      <c r="EW150" s="541"/>
      <c r="EX150" s="541"/>
      <c r="EY150" s="541"/>
      <c r="EZ150" s="541"/>
      <c r="FA150" s="541"/>
      <c r="FB150" s="541"/>
      <c r="FC150" s="541"/>
      <c r="FD150" s="541"/>
      <c r="FE150" s="541"/>
      <c r="FF150" s="541"/>
      <c r="FG150" s="541"/>
      <c r="FH150" s="541"/>
      <c r="FI150" s="541"/>
      <c r="FJ150" s="541"/>
      <c r="FK150" s="541"/>
      <c r="FL150" s="541"/>
      <c r="FM150" s="541"/>
      <c r="FN150" s="541"/>
      <c r="FO150" s="541"/>
      <c r="FP150" s="541"/>
      <c r="FQ150" s="541"/>
      <c r="FR150" s="541"/>
      <c r="FS150" s="541"/>
      <c r="FT150" s="541"/>
      <c r="FU150" s="541"/>
      <c r="FV150" s="541"/>
      <c r="FW150" s="541"/>
      <c r="FX150" s="541"/>
      <c r="FY150" s="541"/>
      <c r="FZ150" s="541"/>
      <c r="GA150" s="541"/>
      <c r="GB150" s="541"/>
      <c r="GC150" s="541"/>
      <c r="GD150" s="541"/>
      <c r="GE150" s="541"/>
      <c r="GF150" s="541"/>
      <c r="GG150" s="541"/>
      <c r="GH150" s="541"/>
      <c r="GI150" s="541"/>
      <c r="GJ150" s="541"/>
      <c r="GK150" s="541"/>
      <c r="GL150" s="541"/>
      <c r="GM150" s="541"/>
      <c r="GN150" s="541"/>
      <c r="GO150" s="541"/>
      <c r="GP150" s="541"/>
      <c r="GQ150" s="541"/>
      <c r="GR150" s="541"/>
      <c r="GS150" s="541"/>
      <c r="GT150" s="541"/>
      <c r="GU150" s="541"/>
      <c r="GV150" s="541"/>
      <c r="GW150" s="541"/>
      <c r="GX150" s="541"/>
      <c r="GY150" s="541"/>
      <c r="GZ150" s="541"/>
      <c r="HA150" s="541"/>
      <c r="HB150" s="541"/>
      <c r="HC150" s="541"/>
      <c r="HD150" s="541"/>
      <c r="HE150" s="541"/>
      <c r="HF150" s="541"/>
      <c r="HG150" s="541"/>
      <c r="HH150" s="541"/>
      <c r="HI150" s="541"/>
      <c r="HJ150" s="541"/>
      <c r="HK150" s="541"/>
      <c r="HL150" s="541"/>
      <c r="HM150" s="541"/>
      <c r="HN150" s="541"/>
      <c r="HO150" s="541"/>
      <c r="HP150" s="541"/>
      <c r="HQ150" s="541"/>
      <c r="HR150" s="541"/>
      <c r="HS150" s="541"/>
      <c r="HT150" s="541"/>
      <c r="HU150" s="541"/>
      <c r="HV150" s="541"/>
      <c r="HW150" s="541"/>
      <c r="HX150" s="541"/>
      <c r="HY150" s="541"/>
      <c r="HZ150" s="541"/>
      <c r="IA150" s="541"/>
      <c r="IB150" s="541"/>
      <c r="IC150" s="541"/>
      <c r="ID150" s="541"/>
      <c r="IE150" s="541"/>
      <c r="IF150" s="541"/>
      <c r="IG150" s="541"/>
      <c r="IH150" s="541"/>
      <c r="II150" s="541"/>
      <c r="IJ150" s="541"/>
      <c r="IK150" s="541"/>
      <c r="IL150" s="541"/>
      <c r="IM150" s="541"/>
      <c r="IN150" s="541"/>
      <c r="IO150" s="541"/>
      <c r="IP150" s="541"/>
      <c r="IQ150" s="541"/>
      <c r="IR150" s="541"/>
      <c r="IS150" s="541"/>
      <c r="IT150" s="541"/>
      <c r="IU150" s="541"/>
      <c r="IV150" s="541"/>
      <c r="IW150" s="541"/>
      <c r="IX150" s="541"/>
      <c r="IY150" s="541"/>
      <c r="IZ150" s="541"/>
      <c r="JA150" s="541"/>
      <c r="JB150" s="541"/>
      <c r="JC150" s="541"/>
      <c r="JD150" s="541"/>
      <c r="JE150" s="541"/>
      <c r="JF150" s="541"/>
      <c r="JG150" s="541"/>
      <c r="JH150" s="541"/>
      <c r="JI150" s="541"/>
      <c r="JJ150" s="541"/>
      <c r="JK150" s="541"/>
      <c r="JL150" s="541"/>
      <c r="JM150" s="541"/>
      <c r="JN150" s="541"/>
      <c r="JO150" s="541"/>
      <c r="JP150" s="541"/>
      <c r="JQ150" s="541"/>
      <c r="JR150" s="541"/>
      <c r="JS150" s="541"/>
      <c r="JT150" s="541"/>
      <c r="JU150" s="541"/>
      <c r="JV150" s="541"/>
      <c r="JW150" s="541"/>
      <c r="JX150" s="541"/>
      <c r="JY150" s="541"/>
      <c r="JZ150" s="541"/>
      <c r="KA150" s="541"/>
      <c r="KB150" s="541"/>
      <c r="KC150" s="541"/>
      <c r="KD150" s="541"/>
      <c r="KE150" s="541"/>
      <c r="KF150" s="541"/>
      <c r="KG150" s="541"/>
      <c r="KH150" s="541"/>
      <c r="KI150" s="541"/>
      <c r="KJ150" s="541"/>
      <c r="KK150" s="541"/>
      <c r="KL150" s="541"/>
      <c r="KM150" s="541"/>
      <c r="KN150" s="541"/>
      <c r="KO150" s="541"/>
      <c r="KP150" s="541"/>
      <c r="KQ150" s="541"/>
      <c r="KR150" s="541"/>
      <c r="KS150" s="541"/>
      <c r="KT150" s="541"/>
      <c r="KU150" s="541"/>
      <c r="KV150" s="541"/>
      <c r="KW150" s="541"/>
      <c r="KX150" s="541"/>
      <c r="KY150" s="541"/>
      <c r="KZ150" s="541"/>
      <c r="LA150" s="541"/>
      <c r="LB150" s="541"/>
      <c r="LC150" s="541"/>
      <c r="LD150" s="541"/>
      <c r="LE150" s="541"/>
      <c r="LF150" s="541"/>
      <c r="LG150" s="541"/>
      <c r="LH150" s="541"/>
      <c r="LI150" s="541"/>
      <c r="LJ150" s="541"/>
      <c r="LK150" s="541"/>
      <c r="LL150" s="541"/>
      <c r="LM150" s="541"/>
      <c r="LN150" s="541"/>
      <c r="LO150" s="541"/>
      <c r="LP150" s="541"/>
      <c r="LQ150" s="541"/>
      <c r="LR150" s="541"/>
      <c r="LS150" s="541"/>
      <c r="LT150" s="541"/>
      <c r="LU150" s="541"/>
      <c r="LV150" s="541"/>
      <c r="LW150" s="541"/>
      <c r="LX150" s="541"/>
      <c r="LY150" s="541"/>
      <c r="LZ150" s="541"/>
      <c r="MA150" s="541"/>
      <c r="MB150" s="541"/>
      <c r="MC150" s="541"/>
      <c r="MD150" s="541"/>
      <c r="ME150" s="541"/>
      <c r="MF150" s="541"/>
      <c r="MG150" s="541"/>
      <c r="MH150" s="541"/>
      <c r="MI150" s="541"/>
      <c r="MJ150" s="541"/>
      <c r="MK150" s="541"/>
      <c r="ML150" s="541"/>
      <c r="MM150" s="541"/>
      <c r="MN150" s="541"/>
      <c r="MO150" s="541"/>
      <c r="MP150" s="541"/>
      <c r="MQ150" s="541"/>
      <c r="MR150" s="541"/>
      <c r="MS150" s="541"/>
      <c r="MT150" s="541"/>
      <c r="MU150" s="541"/>
      <c r="MV150" s="541"/>
      <c r="MW150" s="541"/>
      <c r="MX150" s="541"/>
      <c r="MY150" s="541"/>
      <c r="MZ150" s="541"/>
      <c r="NA150" s="541"/>
      <c r="NB150" s="541"/>
      <c r="NC150" s="541"/>
      <c r="ND150" s="541"/>
      <c r="NE150" s="541"/>
      <c r="NF150" s="541"/>
      <c r="NG150" s="541"/>
      <c r="NH150" s="541"/>
      <c r="NI150" s="541"/>
      <c r="NJ150" s="541"/>
      <c r="NK150" s="541"/>
      <c r="NL150" s="541"/>
      <c r="NM150" s="541"/>
      <c r="NN150" s="541"/>
      <c r="NO150" s="541"/>
      <c r="NP150" s="541"/>
      <c r="NQ150" s="541"/>
      <c r="NR150" s="541"/>
      <c r="NS150" s="541"/>
      <c r="NT150" s="541"/>
      <c r="NU150" s="541"/>
      <c r="NV150" s="541"/>
      <c r="NW150" s="541"/>
      <c r="NX150" s="541"/>
      <c r="NY150" s="541"/>
      <c r="NZ150" s="541"/>
      <c r="OA150" s="541"/>
      <c r="OB150" s="541"/>
      <c r="OC150" s="541"/>
      <c r="OD150" s="541"/>
      <c r="OE150" s="541"/>
      <c r="OF150" s="541"/>
      <c r="OG150" s="541"/>
      <c r="OH150" s="541"/>
      <c r="OI150" s="541"/>
      <c r="OJ150" s="541"/>
      <c r="OK150" s="541"/>
      <c r="OL150" s="541"/>
      <c r="OM150" s="541"/>
      <c r="ON150" s="541"/>
      <c r="OO150" s="541"/>
      <c r="OP150" s="541"/>
      <c r="OQ150" s="541"/>
      <c r="OR150" s="541"/>
      <c r="OS150" s="541"/>
      <c r="OT150" s="541"/>
      <c r="OU150" s="541"/>
      <c r="OV150" s="541"/>
      <c r="OW150" s="541"/>
      <c r="OX150" s="541"/>
      <c r="OY150" s="541"/>
      <c r="OZ150" s="541"/>
      <c r="PA150" s="541"/>
      <c r="PB150" s="541"/>
      <c r="PC150" s="541"/>
      <c r="PD150" s="541"/>
      <c r="PE150" s="541"/>
      <c r="PF150" s="541"/>
      <c r="PG150" s="541"/>
      <c r="PH150" s="541"/>
      <c r="PI150" s="541"/>
      <c r="PJ150" s="541"/>
      <c r="PK150" s="541"/>
      <c r="PL150" s="541"/>
      <c r="PM150" s="541"/>
      <c r="PN150" s="541"/>
      <c r="PO150" s="541"/>
      <c r="PP150" s="541"/>
      <c r="PQ150" s="541"/>
      <c r="PR150" s="541"/>
      <c r="PS150" s="541"/>
      <c r="PT150" s="541"/>
      <c r="PU150" s="541"/>
      <c r="PV150" s="541"/>
      <c r="PW150" s="541"/>
      <c r="PX150" s="541"/>
      <c r="PY150" s="541"/>
      <c r="PZ150" s="541"/>
      <c r="QA150" s="541"/>
      <c r="QB150" s="541"/>
      <c r="QC150" s="541"/>
      <c r="QD150" s="541"/>
      <c r="QE150" s="541"/>
      <c r="QF150" s="541"/>
      <c r="QG150" s="541"/>
      <c r="QH150" s="541"/>
      <c r="QI150" s="541"/>
      <c r="QJ150" s="541"/>
      <c r="QK150" s="541"/>
      <c r="QL150" s="541"/>
      <c r="QM150" s="541"/>
      <c r="QN150" s="541"/>
      <c r="QO150" s="541"/>
      <c r="QP150" s="541"/>
      <c r="QQ150" s="541"/>
      <c r="QR150" s="541"/>
      <c r="QS150" s="541"/>
      <c r="QT150" s="541"/>
      <c r="QU150" s="541"/>
      <c r="QV150" s="541"/>
      <c r="QW150" s="541"/>
      <c r="QX150" s="541"/>
      <c r="QY150" s="541"/>
      <c r="QZ150" s="541"/>
      <c r="RA150" s="541"/>
      <c r="RB150" s="541"/>
      <c r="RC150" s="541"/>
      <c r="RD150" s="541"/>
      <c r="RE150" s="541"/>
      <c r="RF150" s="541"/>
      <c r="RG150" s="541"/>
      <c r="RH150" s="541"/>
      <c r="RI150" s="541"/>
      <c r="RJ150" s="541"/>
      <c r="RK150" s="541"/>
      <c r="RL150" s="541"/>
      <c r="RM150" s="541"/>
      <c r="RN150" s="541"/>
      <c r="RO150" s="541"/>
      <c r="RP150" s="541"/>
      <c r="RQ150" s="541"/>
      <c r="RR150" s="541"/>
      <c r="RS150" s="541"/>
      <c r="RT150" s="541"/>
      <c r="RU150" s="541"/>
      <c r="RV150" s="541"/>
      <c r="RW150" s="541"/>
      <c r="RX150" s="541"/>
      <c r="RY150" s="541"/>
      <c r="RZ150" s="541"/>
      <c r="SA150" s="541"/>
      <c r="SB150" s="541"/>
      <c r="SC150" s="541"/>
      <c r="SD150" s="541"/>
      <c r="SE150" s="541"/>
      <c r="SF150" s="541"/>
      <c r="SG150" s="541"/>
      <c r="SH150" s="541"/>
      <c r="SI150" s="541"/>
      <c r="SJ150" s="541"/>
      <c r="SK150" s="541"/>
      <c r="SL150" s="541"/>
      <c r="SM150" s="541"/>
      <c r="SN150" s="541"/>
      <c r="SO150" s="541"/>
      <c r="SP150" s="541"/>
      <c r="SQ150" s="541"/>
      <c r="SR150" s="541"/>
      <c r="SS150" s="541"/>
      <c r="ST150" s="541"/>
      <c r="SU150" s="541"/>
      <c r="SV150" s="541"/>
      <c r="SW150" s="541"/>
      <c r="SX150" s="541"/>
      <c r="SY150" s="541"/>
      <c r="SZ150" s="541"/>
      <c r="TA150" s="541"/>
      <c r="TB150" s="541"/>
      <c r="TC150" s="541"/>
      <c r="TD150" s="541"/>
      <c r="TE150" s="541"/>
      <c r="TF150" s="541"/>
      <c r="TG150" s="541"/>
      <c r="TH150" s="541"/>
      <c r="TI150" s="541"/>
      <c r="TJ150" s="541"/>
      <c r="TK150" s="541"/>
      <c r="TL150" s="541"/>
      <c r="TM150" s="541"/>
      <c r="TN150" s="541"/>
      <c r="TO150" s="541"/>
      <c r="TP150" s="541"/>
      <c r="TQ150" s="541"/>
      <c r="TR150" s="541"/>
      <c r="TS150" s="541"/>
      <c r="TT150" s="541"/>
      <c r="TU150" s="541"/>
      <c r="TV150" s="541"/>
      <c r="TW150" s="541"/>
      <c r="TX150" s="541"/>
      <c r="TY150" s="541"/>
      <c r="TZ150" s="541"/>
      <c r="UA150" s="541"/>
      <c r="UB150" s="541"/>
      <c r="UC150" s="541"/>
      <c r="UD150" s="541"/>
      <c r="UE150" s="541"/>
      <c r="UF150" s="541"/>
      <c r="UG150" s="541"/>
      <c r="UH150" s="541"/>
      <c r="UI150" s="541"/>
      <c r="UJ150" s="541"/>
      <c r="UK150" s="541"/>
      <c r="UL150" s="541"/>
      <c r="UM150" s="541"/>
      <c r="UN150" s="541"/>
      <c r="UO150" s="541"/>
      <c r="UP150" s="541"/>
      <c r="UQ150" s="541"/>
      <c r="UR150" s="541"/>
      <c r="US150" s="541"/>
      <c r="UT150" s="541"/>
      <c r="UU150" s="541"/>
      <c r="UV150" s="541"/>
      <c r="UW150" s="541"/>
      <c r="UX150" s="541"/>
      <c r="UY150" s="541"/>
      <c r="UZ150" s="541"/>
      <c r="VA150" s="541"/>
      <c r="VB150" s="541"/>
      <c r="VC150" s="541"/>
      <c r="VD150" s="541"/>
      <c r="VE150" s="541"/>
      <c r="VF150" s="541"/>
      <c r="VG150" s="541"/>
      <c r="VH150" s="541"/>
      <c r="VI150" s="541"/>
      <c r="VJ150" s="541"/>
      <c r="VK150" s="541"/>
      <c r="VL150" s="541"/>
      <c r="VM150" s="541"/>
      <c r="VN150" s="541"/>
      <c r="VO150" s="541"/>
      <c r="VP150" s="541"/>
      <c r="VQ150" s="541"/>
      <c r="VR150" s="541"/>
      <c r="VS150" s="541"/>
      <c r="VT150" s="541"/>
      <c r="VU150" s="541"/>
      <c r="VV150" s="541"/>
      <c r="VW150" s="541"/>
      <c r="VX150" s="541"/>
      <c r="VY150" s="541"/>
      <c r="VZ150" s="541"/>
      <c r="WA150" s="541"/>
      <c r="WB150" s="541"/>
      <c r="WC150" s="541"/>
      <c r="WD150" s="541"/>
      <c r="WE150" s="541"/>
      <c r="WF150" s="541"/>
      <c r="WG150" s="541"/>
      <c r="WH150" s="541"/>
      <c r="WI150" s="541"/>
      <c r="WJ150" s="541"/>
      <c r="WK150" s="541"/>
      <c r="WL150" s="541"/>
      <c r="WM150" s="541"/>
      <c r="WN150" s="541"/>
      <c r="WO150" s="541"/>
      <c r="WP150" s="541"/>
      <c r="WQ150" s="541"/>
      <c r="WR150" s="541"/>
      <c r="WS150" s="541"/>
      <c r="WT150" s="541"/>
      <c r="WU150" s="541"/>
      <c r="WV150" s="541"/>
      <c r="WW150" s="541"/>
      <c r="WX150" s="541"/>
      <c r="WY150" s="541"/>
      <c r="WZ150" s="541"/>
      <c r="XA150" s="541"/>
      <c r="XB150" s="541"/>
      <c r="XC150" s="541"/>
      <c r="XD150" s="541"/>
      <c r="XE150" s="541"/>
      <c r="XF150" s="541"/>
      <c r="XG150" s="541"/>
      <c r="XH150" s="541"/>
      <c r="XI150" s="541"/>
      <c r="XJ150" s="541"/>
      <c r="XK150" s="541"/>
      <c r="XL150" s="541"/>
      <c r="XM150" s="541"/>
      <c r="XN150" s="541"/>
      <c r="XO150" s="541"/>
      <c r="XP150" s="541"/>
      <c r="XQ150" s="541"/>
      <c r="XR150" s="541"/>
      <c r="XS150" s="541"/>
      <c r="XT150" s="541"/>
      <c r="XU150" s="541"/>
      <c r="XV150" s="541"/>
      <c r="XW150" s="541"/>
      <c r="XX150" s="541"/>
      <c r="XY150" s="541"/>
      <c r="XZ150" s="541"/>
      <c r="YA150" s="541"/>
      <c r="YB150" s="541"/>
      <c r="YC150" s="541"/>
      <c r="YD150" s="541"/>
      <c r="YE150" s="541"/>
      <c r="YF150" s="541"/>
      <c r="YG150" s="541"/>
      <c r="YH150" s="541"/>
      <c r="YI150" s="541"/>
      <c r="YJ150" s="541"/>
      <c r="YK150" s="541"/>
      <c r="YL150" s="541"/>
      <c r="YM150" s="541"/>
      <c r="YN150" s="541"/>
      <c r="YO150" s="541"/>
      <c r="YP150" s="541"/>
      <c r="YQ150" s="541"/>
      <c r="YR150" s="541"/>
      <c r="YS150" s="541"/>
      <c r="YT150" s="541"/>
      <c r="YU150" s="541"/>
      <c r="YV150" s="541"/>
      <c r="YW150" s="541"/>
      <c r="YX150" s="541"/>
      <c r="YY150" s="541"/>
      <c r="YZ150" s="541"/>
      <c r="ZA150" s="541"/>
      <c r="ZB150" s="541"/>
      <c r="ZC150" s="541"/>
      <c r="ZD150" s="541"/>
      <c r="ZE150" s="541"/>
      <c r="ZF150" s="541"/>
      <c r="ZG150" s="541"/>
      <c r="ZH150" s="541"/>
      <c r="ZI150" s="541"/>
      <c r="ZJ150" s="541"/>
      <c r="ZK150" s="541"/>
      <c r="ZL150" s="541"/>
      <c r="ZM150" s="541"/>
      <c r="ZN150" s="541"/>
      <c r="ZO150" s="541"/>
      <c r="ZP150" s="541"/>
      <c r="ZQ150" s="541"/>
      <c r="ZR150" s="541"/>
      <c r="ZS150" s="541"/>
      <c r="ZT150" s="541"/>
      <c r="ZU150" s="541"/>
      <c r="ZV150" s="541"/>
      <c r="ZW150" s="541"/>
      <c r="ZX150" s="541"/>
      <c r="ZY150" s="541"/>
      <c r="ZZ150" s="541"/>
      <c r="AAA150" s="541"/>
      <c r="AAB150" s="541"/>
      <c r="AAC150" s="541"/>
      <c r="AAD150" s="541"/>
      <c r="AAE150" s="541"/>
      <c r="AAF150" s="541"/>
      <c r="AAG150" s="541"/>
      <c r="AAH150" s="541"/>
      <c r="AAI150" s="541"/>
      <c r="AAJ150" s="541"/>
      <c r="AAK150" s="541"/>
      <c r="AAL150" s="541"/>
      <c r="AAM150" s="541"/>
      <c r="AAN150" s="541"/>
      <c r="AAO150" s="541"/>
      <c r="AAP150" s="541"/>
      <c r="AAQ150" s="541"/>
      <c r="AAR150" s="541"/>
      <c r="AAS150" s="541"/>
      <c r="AAT150" s="541"/>
      <c r="AAU150" s="541"/>
      <c r="AAV150" s="541"/>
      <c r="AAW150" s="541"/>
      <c r="AAX150" s="541"/>
      <c r="AAY150" s="541"/>
      <c r="AAZ150" s="541"/>
      <c r="ABA150" s="541"/>
      <c r="ABB150" s="541"/>
      <c r="ABC150" s="541"/>
      <c r="ABD150" s="541"/>
      <c r="ABE150" s="541"/>
      <c r="ABF150" s="541"/>
      <c r="ABG150" s="541"/>
      <c r="ABH150" s="541"/>
      <c r="ABI150" s="541"/>
      <c r="ABJ150" s="541"/>
      <c r="ABK150" s="541"/>
      <c r="ABL150" s="541"/>
      <c r="ABM150" s="541"/>
      <c r="ABN150" s="541"/>
      <c r="ABO150" s="541"/>
      <c r="ABP150" s="541"/>
      <c r="ABQ150" s="541"/>
      <c r="ABR150" s="541"/>
      <c r="ABS150" s="541"/>
      <c r="ABT150" s="541"/>
      <c r="ABU150" s="541"/>
      <c r="ABV150" s="541"/>
      <c r="ABW150" s="541"/>
      <c r="ABX150" s="541"/>
      <c r="ABY150" s="541"/>
      <c r="ABZ150" s="541"/>
      <c r="ACA150" s="541"/>
      <c r="ACB150" s="541"/>
      <c r="ACC150" s="541"/>
      <c r="ACD150" s="541"/>
      <c r="ACE150" s="541"/>
      <c r="ACF150" s="541"/>
      <c r="ACG150" s="541"/>
      <c r="ACH150" s="541"/>
      <c r="ACI150" s="541"/>
      <c r="ACJ150" s="541"/>
      <c r="ACK150" s="541"/>
      <c r="ACL150" s="541"/>
      <c r="ACM150" s="541"/>
      <c r="ACN150" s="541"/>
      <c r="ACO150" s="541"/>
      <c r="ACP150" s="541"/>
      <c r="ACQ150" s="541"/>
      <c r="ACR150" s="541"/>
      <c r="ACS150" s="541"/>
      <c r="ACT150" s="541"/>
      <c r="ACU150" s="541"/>
      <c r="ACV150" s="541"/>
      <c r="ACW150" s="541"/>
      <c r="ACX150" s="541"/>
      <c r="ACY150" s="541"/>
      <c r="ACZ150" s="541"/>
      <c r="ADA150" s="541"/>
      <c r="ADB150" s="541"/>
      <c r="ADC150" s="541"/>
      <c r="ADD150" s="541"/>
      <c r="ADE150" s="541"/>
      <c r="ADF150" s="541"/>
      <c r="ADG150" s="541"/>
      <c r="ADH150" s="541"/>
      <c r="ADI150" s="541"/>
      <c r="ADJ150" s="541"/>
      <c r="ADK150" s="541"/>
      <c r="ADL150" s="541"/>
      <c r="ADM150" s="541"/>
      <c r="ADN150" s="541"/>
      <c r="ADO150" s="541"/>
      <c r="ADP150" s="541"/>
      <c r="ADQ150" s="541"/>
      <c r="ADR150" s="541"/>
      <c r="ADS150" s="541"/>
      <c r="ADT150" s="541"/>
      <c r="ADU150" s="541"/>
      <c r="ADV150" s="541"/>
      <c r="ADW150" s="541"/>
      <c r="ADX150" s="541"/>
      <c r="ADY150" s="541"/>
      <c r="ADZ150" s="541"/>
      <c r="AEA150" s="541"/>
      <c r="AEB150" s="541"/>
      <c r="AEC150" s="541"/>
      <c r="AED150" s="541"/>
      <c r="AEE150" s="541"/>
      <c r="AEF150" s="541"/>
      <c r="AEG150" s="541"/>
      <c r="AEH150" s="541"/>
      <c r="AEI150" s="541"/>
      <c r="AEJ150" s="541"/>
      <c r="AEK150" s="541"/>
      <c r="AEL150" s="541"/>
      <c r="AEM150" s="541"/>
      <c r="AEN150" s="541"/>
      <c r="AEO150" s="541"/>
      <c r="AEP150" s="541"/>
      <c r="AEQ150" s="541"/>
      <c r="AER150" s="541"/>
      <c r="AES150" s="541"/>
      <c r="AET150" s="541"/>
      <c r="AEU150" s="541"/>
      <c r="AEV150" s="541"/>
      <c r="AEW150" s="541"/>
      <c r="AEX150" s="541"/>
      <c r="AEY150" s="541"/>
      <c r="AEZ150" s="541"/>
      <c r="AFA150" s="541"/>
      <c r="AFB150" s="541"/>
      <c r="AFC150" s="541"/>
      <c r="AFD150" s="541"/>
      <c r="AFE150" s="541"/>
      <c r="AFF150" s="541"/>
      <c r="AFG150" s="541"/>
      <c r="AFH150" s="541"/>
      <c r="AFI150" s="541"/>
      <c r="AFJ150" s="541"/>
      <c r="AFK150" s="541"/>
      <c r="AFL150" s="541"/>
      <c r="AFM150" s="541"/>
      <c r="AFN150" s="541"/>
      <c r="AFO150" s="541"/>
      <c r="AFP150" s="541"/>
      <c r="AFQ150" s="541"/>
      <c r="AFR150" s="541"/>
      <c r="AFS150" s="541"/>
      <c r="AFT150" s="541"/>
      <c r="AFU150" s="541"/>
      <c r="AFV150" s="541"/>
      <c r="AFW150" s="541"/>
      <c r="AFX150" s="541"/>
      <c r="AFY150" s="541"/>
      <c r="AFZ150" s="541"/>
      <c r="AGA150" s="541"/>
      <c r="AGB150" s="541"/>
      <c r="AGC150" s="541"/>
      <c r="AGD150" s="541"/>
      <c r="AGE150" s="541"/>
      <c r="AGF150" s="541"/>
      <c r="AGG150" s="541"/>
      <c r="AGH150" s="541"/>
      <c r="AGI150" s="541"/>
      <c r="AGJ150" s="541"/>
      <c r="AGK150" s="541"/>
      <c r="AGL150" s="541"/>
      <c r="AGM150" s="541"/>
      <c r="AGN150" s="541"/>
      <c r="AGO150" s="541"/>
      <c r="AGP150" s="541"/>
      <c r="AGQ150" s="541"/>
      <c r="AGR150" s="541"/>
      <c r="AGS150" s="541"/>
      <c r="AGT150" s="541"/>
      <c r="AGU150" s="541"/>
      <c r="AGV150" s="541"/>
      <c r="AGW150" s="541"/>
      <c r="AGX150" s="541"/>
      <c r="AGY150" s="541"/>
      <c r="AGZ150" s="541"/>
      <c r="AHA150" s="541"/>
      <c r="AHB150" s="541"/>
      <c r="AHC150" s="541"/>
      <c r="AHD150" s="541"/>
      <c r="AHE150" s="541"/>
      <c r="AHF150" s="541"/>
      <c r="AHG150" s="541"/>
      <c r="AHH150" s="541"/>
      <c r="AHI150" s="541"/>
      <c r="AHJ150" s="541"/>
      <c r="AHK150" s="541"/>
      <c r="AHL150" s="541"/>
      <c r="AHM150" s="541"/>
      <c r="AHN150" s="541"/>
      <c r="AHO150" s="541"/>
      <c r="AHP150" s="541"/>
      <c r="AHQ150" s="541"/>
      <c r="AHR150" s="541"/>
      <c r="AHS150" s="541"/>
      <c r="AHT150" s="541"/>
      <c r="AHU150" s="541"/>
      <c r="AHV150" s="541"/>
      <c r="AHW150" s="541"/>
      <c r="AHX150" s="541"/>
      <c r="AHY150" s="541"/>
      <c r="AHZ150" s="541"/>
      <c r="AIA150" s="541"/>
      <c r="AIB150" s="541"/>
      <c r="AIC150" s="541"/>
      <c r="AID150" s="541"/>
      <c r="AIE150" s="541"/>
      <c r="AIF150" s="541"/>
      <c r="AIG150" s="541"/>
      <c r="AIH150" s="541"/>
      <c r="AII150" s="541"/>
      <c r="AIJ150" s="541"/>
      <c r="AIK150" s="541"/>
      <c r="AIL150" s="541"/>
      <c r="AIM150" s="541"/>
      <c r="AIN150" s="541"/>
      <c r="AIO150" s="541"/>
      <c r="AIP150" s="541"/>
      <c r="AIQ150" s="541"/>
      <c r="AIR150" s="541"/>
      <c r="AIS150" s="541"/>
      <c r="AIT150" s="541"/>
      <c r="AIU150" s="541"/>
      <c r="AIV150" s="541"/>
      <c r="AIW150" s="541"/>
      <c r="AIX150" s="541"/>
      <c r="AIY150" s="541"/>
      <c r="AIZ150" s="541"/>
      <c r="AJA150" s="541"/>
      <c r="AJB150" s="541"/>
      <c r="AJC150" s="541"/>
      <c r="AJD150" s="541"/>
      <c r="AJE150" s="541"/>
      <c r="AJF150" s="541"/>
      <c r="AJG150" s="541"/>
      <c r="AJH150" s="541"/>
      <c r="AJI150" s="541"/>
      <c r="AJJ150" s="541"/>
      <c r="AJK150" s="541"/>
      <c r="AJL150" s="541"/>
      <c r="AJM150" s="541"/>
      <c r="AJN150" s="541"/>
      <c r="AJO150" s="541"/>
      <c r="AJP150" s="541"/>
      <c r="AJQ150" s="541"/>
      <c r="AJR150" s="541"/>
      <c r="AJS150" s="541"/>
      <c r="AJT150" s="541"/>
      <c r="AJU150" s="541"/>
      <c r="AJV150" s="541"/>
      <c r="AJW150" s="541"/>
      <c r="AJX150" s="541"/>
      <c r="AJY150" s="541"/>
      <c r="AJZ150" s="541"/>
      <c r="AKA150" s="541"/>
      <c r="AKB150" s="541"/>
      <c r="AKC150" s="541"/>
      <c r="AKD150" s="541"/>
      <c r="AKE150" s="541"/>
      <c r="AKF150" s="541"/>
      <c r="AKG150" s="541"/>
      <c r="AKH150" s="541"/>
      <c r="AKI150" s="541"/>
      <c r="AKJ150" s="541"/>
      <c r="AKK150" s="541"/>
      <c r="AKL150" s="541"/>
      <c r="AKM150" s="541"/>
      <c r="AKN150" s="541"/>
      <c r="AKO150" s="541"/>
      <c r="AKP150" s="541"/>
      <c r="AKQ150" s="541"/>
      <c r="AKR150" s="541"/>
      <c r="AKS150" s="541"/>
      <c r="AKT150" s="541"/>
      <c r="AKU150" s="541"/>
      <c r="AKV150" s="541"/>
      <c r="AKW150" s="541"/>
      <c r="AKX150" s="541"/>
      <c r="AKY150" s="541"/>
      <c r="AKZ150" s="541"/>
      <c r="ALA150" s="541"/>
      <c r="ALB150" s="541"/>
      <c r="ALC150" s="541"/>
      <c r="ALD150" s="541"/>
      <c r="ALE150" s="541"/>
      <c r="ALF150" s="541"/>
      <c r="ALG150" s="541"/>
      <c r="ALH150" s="541"/>
      <c r="ALI150" s="541"/>
      <c r="ALJ150" s="541"/>
      <c r="ALK150" s="541"/>
      <c r="ALL150" s="541"/>
      <c r="ALM150" s="541"/>
      <c r="ALN150" s="541"/>
      <c r="ALO150" s="541"/>
      <c r="ALP150" s="541"/>
      <c r="ALQ150" s="541"/>
      <c r="ALR150" s="541"/>
      <c r="ALS150" s="541"/>
      <c r="ALT150" s="541"/>
      <c r="ALU150" s="541"/>
      <c r="ALV150" s="541"/>
      <c r="ALW150" s="541"/>
      <c r="ALX150" s="541"/>
      <c r="ALY150" s="541"/>
      <c r="ALZ150" s="541"/>
      <c r="AMA150" s="541"/>
      <c r="AMB150" s="541"/>
      <c r="AMC150" s="541"/>
      <c r="AMD150" s="541"/>
      <c r="AME150" s="541"/>
      <c r="AMF150" s="541"/>
      <c r="AMG150" s="541"/>
      <c r="AMH150" s="541"/>
      <c r="AMI150" s="541"/>
      <c r="AMJ150" s="541"/>
      <c r="AMK150" s="541"/>
      <c r="AML150" s="541"/>
      <c r="AMM150" s="541"/>
      <c r="AMN150" s="541"/>
      <c r="AMO150" s="541"/>
      <c r="AMP150" s="541"/>
      <c r="AMQ150" s="541"/>
      <c r="AMR150" s="541"/>
      <c r="AMS150" s="541"/>
      <c r="AMT150" s="541"/>
      <c r="AMU150" s="541"/>
      <c r="AMV150" s="541"/>
      <c r="AMW150" s="541"/>
      <c r="AMX150" s="541"/>
      <c r="AMY150" s="541"/>
      <c r="AMZ150" s="541"/>
      <c r="ANA150" s="541"/>
      <c r="ANB150" s="541"/>
      <c r="ANC150" s="541"/>
      <c r="AND150" s="541"/>
      <c r="ANE150" s="541"/>
      <c r="ANF150" s="541"/>
      <c r="ANG150" s="541"/>
      <c r="ANH150" s="541"/>
      <c r="ANI150" s="541"/>
      <c r="ANJ150" s="541"/>
      <c r="ANK150" s="541"/>
      <c r="ANL150" s="541"/>
      <c r="ANM150" s="541"/>
      <c r="ANN150" s="541"/>
      <c r="ANO150" s="541"/>
      <c r="ANP150" s="541"/>
      <c r="ANQ150" s="541"/>
      <c r="ANR150" s="541"/>
      <c r="ANS150" s="541"/>
      <c r="ANT150" s="541"/>
      <c r="ANU150" s="541"/>
      <c r="ANV150" s="541"/>
      <c r="ANW150" s="541"/>
      <c r="ANX150" s="541"/>
      <c r="ANY150" s="541"/>
      <c r="ANZ150" s="541"/>
      <c r="AOA150" s="541"/>
      <c r="AOB150" s="541"/>
      <c r="AOC150" s="541"/>
      <c r="AOD150" s="541"/>
      <c r="AOE150" s="541"/>
      <c r="AOF150" s="541"/>
      <c r="AOG150" s="541"/>
      <c r="AOH150" s="541"/>
      <c r="AOI150" s="541"/>
      <c r="AOJ150" s="541"/>
      <c r="AOK150" s="541"/>
      <c r="AOL150" s="541"/>
      <c r="AOM150" s="541"/>
      <c r="AON150" s="541"/>
      <c r="AOO150" s="541"/>
      <c r="AOP150" s="541"/>
      <c r="AOQ150" s="541"/>
      <c r="AOR150" s="541"/>
      <c r="AOS150" s="541"/>
      <c r="AOT150" s="541"/>
      <c r="AOU150" s="541"/>
      <c r="AOV150" s="541"/>
      <c r="AOW150" s="541"/>
      <c r="AOX150" s="541"/>
      <c r="AOY150" s="541"/>
      <c r="AOZ150" s="541"/>
      <c r="APA150" s="541"/>
      <c r="APB150" s="541"/>
      <c r="APC150" s="541"/>
      <c r="APD150" s="541"/>
      <c r="APE150" s="541"/>
      <c r="APF150" s="541"/>
      <c r="APG150" s="541"/>
      <c r="APH150" s="541"/>
      <c r="API150" s="541"/>
      <c r="APJ150" s="541"/>
      <c r="APK150" s="541"/>
      <c r="APL150" s="541"/>
      <c r="APM150" s="541"/>
      <c r="APN150" s="541"/>
      <c r="APO150" s="541"/>
      <c r="APP150" s="541"/>
      <c r="APQ150" s="541"/>
      <c r="APR150" s="541"/>
      <c r="APS150" s="541"/>
      <c r="APT150" s="541"/>
      <c r="APU150" s="541"/>
      <c r="APV150" s="541"/>
      <c r="APW150" s="541"/>
      <c r="APX150" s="541"/>
      <c r="APY150" s="541"/>
      <c r="APZ150" s="541"/>
      <c r="AQA150" s="541"/>
      <c r="AQB150" s="541"/>
      <c r="AQC150" s="541"/>
      <c r="AQD150" s="541"/>
      <c r="AQE150" s="541"/>
      <c r="AQF150" s="541"/>
      <c r="AQG150" s="541"/>
      <c r="AQH150" s="541"/>
      <c r="AQI150" s="541"/>
      <c r="AQJ150" s="541"/>
      <c r="AQK150" s="541"/>
      <c r="AQL150" s="541"/>
      <c r="AQM150" s="541"/>
      <c r="AQN150" s="541"/>
      <c r="AQO150" s="541"/>
      <c r="AQP150" s="541"/>
      <c r="AQQ150" s="541"/>
      <c r="AQR150" s="541"/>
      <c r="AQS150" s="541"/>
      <c r="AQT150" s="541"/>
      <c r="AQU150" s="541"/>
      <c r="AQV150" s="541"/>
      <c r="AQW150" s="541"/>
      <c r="AQX150" s="541"/>
      <c r="AQY150" s="541"/>
      <c r="AQZ150" s="541"/>
      <c r="ARA150" s="541"/>
      <c r="ARB150" s="541"/>
      <c r="ARC150" s="541"/>
      <c r="ARD150" s="541"/>
      <c r="ARE150" s="541"/>
      <c r="ARF150" s="541"/>
      <c r="ARG150" s="541"/>
      <c r="ARH150" s="541"/>
      <c r="ARI150" s="541"/>
      <c r="ARJ150" s="541"/>
      <c r="ARK150" s="541"/>
      <c r="ARL150" s="541"/>
      <c r="ARM150" s="541"/>
      <c r="ARN150" s="541"/>
      <c r="ARO150" s="541"/>
      <c r="ARP150" s="541"/>
      <c r="ARQ150" s="541"/>
      <c r="ARR150" s="541"/>
      <c r="ARS150" s="541"/>
      <c r="ART150" s="541"/>
      <c r="ARU150" s="541"/>
    </row>
    <row r="151" spans="1:1165">
      <c r="A151" s="599"/>
      <c r="B151" s="430"/>
      <c r="C151" s="670"/>
      <c r="D151" s="670"/>
      <c r="E151" s="608"/>
      <c r="F151" s="608"/>
      <c r="G151" s="608"/>
      <c r="H151" s="608"/>
      <c r="I151" s="608"/>
      <c r="J151" s="608"/>
      <c r="K151" s="608"/>
      <c r="L151" s="608"/>
      <c r="M151" s="608"/>
      <c r="N151" s="608"/>
      <c r="O151" s="608"/>
      <c r="P151" s="608"/>
      <c r="Q151" s="608"/>
      <c r="R151" s="608"/>
      <c r="S151" s="608"/>
      <c r="T151" s="608"/>
      <c r="U151" s="672"/>
      <c r="V151" s="672"/>
      <c r="W151" s="586"/>
      <c r="X151" s="608"/>
      <c r="Y151" s="586"/>
      <c r="Z151" s="608"/>
      <c r="AA151" s="586"/>
      <c r="AB151" s="623"/>
      <c r="AC151" s="595"/>
      <c r="AD151" s="595"/>
      <c r="AE151" s="623"/>
      <c r="AF151" s="623"/>
      <c r="AG151" s="623"/>
      <c r="AH151" s="623"/>
      <c r="AI151" s="623"/>
      <c r="AJ151" s="623"/>
      <c r="AK151" s="623"/>
      <c r="AL151" s="623"/>
      <c r="AM151" s="586"/>
      <c r="AN151" s="586"/>
      <c r="AO151" s="586"/>
      <c r="AP151" s="586"/>
      <c r="AQ151" s="586"/>
      <c r="AR151" s="586"/>
      <c r="AS151" s="586"/>
      <c r="AT151" s="586"/>
      <c r="AU151" s="586"/>
      <c r="AV151" s="623"/>
      <c r="AW151" s="650"/>
      <c r="AX151" s="650"/>
      <c r="AY151" s="648"/>
      <c r="AZ151" s="648"/>
      <c r="BA151" s="686"/>
      <c r="BB151" s="650"/>
      <c r="BC151" s="650"/>
      <c r="BD151" s="650"/>
      <c r="BE151" s="650"/>
      <c r="BF151" s="650"/>
      <c r="BG151" s="650"/>
      <c r="BH151" s="650"/>
      <c r="BI151" s="686"/>
      <c r="BJ151" s="650"/>
      <c r="BK151" s="650"/>
      <c r="BL151" s="541"/>
      <c r="BM151" s="624"/>
      <c r="BP151" s="624"/>
    </row>
    <row r="152" spans="1:1165">
      <c r="A152" s="591" t="s">
        <v>295</v>
      </c>
      <c r="B152" s="594" t="s">
        <v>110</v>
      </c>
      <c r="C152" s="684">
        <f>1933359+2254+5135</f>
        <v>1940748</v>
      </c>
      <c r="D152" s="684">
        <f>41514513+90860+81538</f>
        <v>41686911</v>
      </c>
      <c r="E152" s="595">
        <v>1693</v>
      </c>
      <c r="F152" s="595">
        <v>36738</v>
      </c>
      <c r="G152" s="595">
        <v>1196</v>
      </c>
      <c r="H152" s="595">
        <v>29885</v>
      </c>
      <c r="I152" s="595">
        <v>74</v>
      </c>
      <c r="J152" s="595">
        <v>1852</v>
      </c>
      <c r="K152" s="595">
        <v>0</v>
      </c>
      <c r="L152" s="595">
        <v>0</v>
      </c>
      <c r="M152" s="595">
        <v>0</v>
      </c>
      <c r="N152" s="595">
        <v>0</v>
      </c>
      <c r="O152" s="608">
        <v>0</v>
      </c>
      <c r="P152" s="608">
        <v>0</v>
      </c>
      <c r="Q152" s="608">
        <v>0</v>
      </c>
      <c r="R152" s="608">
        <v>0</v>
      </c>
      <c r="S152" s="608">
        <v>0</v>
      </c>
      <c r="T152" s="608">
        <v>0</v>
      </c>
      <c r="U152" s="608">
        <v>0</v>
      </c>
      <c r="V152" s="608">
        <v>0</v>
      </c>
      <c r="W152" s="608">
        <v>11375</v>
      </c>
      <c r="X152" s="608">
        <v>50000</v>
      </c>
      <c r="Y152" s="608">
        <v>364577</v>
      </c>
      <c r="Z152" s="608">
        <v>57927462</v>
      </c>
      <c r="AA152" s="623">
        <v>209640</v>
      </c>
      <c r="AB152" s="623">
        <v>37774547</v>
      </c>
      <c r="AC152" s="595">
        <v>402844</v>
      </c>
      <c r="AD152" s="595">
        <v>72200142</v>
      </c>
      <c r="AE152" s="623">
        <v>247858</v>
      </c>
      <c r="AF152" s="623">
        <v>43403053</v>
      </c>
      <c r="AG152" s="586">
        <v>202523</v>
      </c>
      <c r="AH152" s="586">
        <v>22742452</v>
      </c>
      <c r="AI152" s="586">
        <v>227900</v>
      </c>
      <c r="AJ152" s="586">
        <v>28424450</v>
      </c>
      <c r="AK152" s="673">
        <v>296807</v>
      </c>
      <c r="AL152" s="673">
        <v>32668655</v>
      </c>
      <c r="AM152" s="676">
        <v>176990</v>
      </c>
      <c r="AN152" s="676">
        <v>22153201</v>
      </c>
      <c r="AO152" s="586">
        <v>79430</v>
      </c>
      <c r="AP152" s="586">
        <v>8129205</v>
      </c>
      <c r="AQ152" s="586">
        <v>108155</v>
      </c>
      <c r="AR152" s="586">
        <v>13201137</v>
      </c>
      <c r="AS152" s="586">
        <v>259536</v>
      </c>
      <c r="AT152" s="586">
        <v>33614116</v>
      </c>
      <c r="AU152" s="623">
        <v>498603</v>
      </c>
      <c r="AV152" s="623">
        <v>76091438</v>
      </c>
      <c r="AW152" s="623">
        <v>578388</v>
      </c>
      <c r="AX152" s="623">
        <v>75626451</v>
      </c>
      <c r="AY152" s="595">
        <v>587836</v>
      </c>
      <c r="AZ152" s="595">
        <v>65180987</v>
      </c>
      <c r="BA152" s="685"/>
      <c r="BB152" s="595"/>
      <c r="BC152" s="586"/>
      <c r="BD152" s="595"/>
      <c r="BE152" s="586"/>
      <c r="BF152" s="624"/>
      <c r="BG152" s="624"/>
      <c r="BH152" s="624"/>
      <c r="BI152" s="586"/>
      <c r="BJ152" s="595">
        <f>C152+G152+I152+K152+M152+O152+Q152+S152+U152+W152+Y152+AA152+AC152+AE152+AG152+AI152+AK152+AM152+AO152+AQ152+AS152+AU152+AW152+AY152+BB152+BF152</f>
        <v>6194480</v>
      </c>
      <c r="BK152" s="595">
        <f>D152+H152+J152+L152+N152+P152+R152+T152+V152+X152+Z152+AB152+AD152+AF152+AH152+AJ152+AL152+AN152+AP152+AR152+AT152+AV152+AX152+AZ152+BD152+BH152</f>
        <v>630905944</v>
      </c>
      <c r="BL152" s="541"/>
      <c r="BM152" s="624"/>
      <c r="BN152" s="624"/>
      <c r="BP152" s="624"/>
    </row>
    <row r="153" spans="1:1165">
      <c r="A153" s="591"/>
      <c r="B153" s="594"/>
      <c r="C153" s="684"/>
      <c r="D153" s="684"/>
      <c r="E153" s="595"/>
      <c r="F153" s="595"/>
      <c r="G153" s="595"/>
      <c r="H153" s="595"/>
      <c r="I153" s="595"/>
      <c r="J153" s="595"/>
      <c r="K153" s="595"/>
      <c r="L153" s="595"/>
      <c r="M153" s="595"/>
      <c r="N153" s="595"/>
      <c r="O153" s="608"/>
      <c r="P153" s="608"/>
      <c r="Q153" s="608"/>
      <c r="R153" s="608"/>
      <c r="S153" s="608"/>
      <c r="T153" s="608"/>
      <c r="U153" s="608"/>
      <c r="V153" s="608"/>
      <c r="W153" s="608"/>
      <c r="X153" s="608"/>
      <c r="Y153" s="608"/>
      <c r="Z153" s="608"/>
      <c r="AA153" s="623"/>
      <c r="AB153" s="623"/>
      <c r="AC153" s="595"/>
      <c r="AD153" s="595"/>
      <c r="AE153" s="623"/>
      <c r="AF153" s="623"/>
      <c r="AG153" s="586"/>
      <c r="AH153" s="586"/>
      <c r="AI153" s="586"/>
      <c r="AJ153" s="586"/>
      <c r="AK153" s="673"/>
      <c r="AL153" s="673"/>
      <c r="AM153" s="676"/>
      <c r="AN153" s="676"/>
      <c r="AO153" s="586"/>
      <c r="AP153" s="586"/>
      <c r="AQ153" s="586"/>
      <c r="AR153" s="586"/>
      <c r="AS153" s="586"/>
      <c r="AT153" s="586"/>
      <c r="AU153" s="623"/>
      <c r="AV153" s="623"/>
      <c r="AW153" s="645"/>
      <c r="AX153" s="645"/>
      <c r="AY153" s="693"/>
      <c r="AZ153" s="693"/>
      <c r="BA153" s="685"/>
      <c r="BB153" s="645"/>
      <c r="BC153" s="645"/>
      <c r="BD153" s="645"/>
      <c r="BE153" s="645"/>
      <c r="BF153" s="645"/>
      <c r="BG153" s="645"/>
      <c r="BH153" s="645"/>
      <c r="BI153" s="685"/>
      <c r="BJ153" s="645"/>
      <c r="BK153" s="645"/>
      <c r="BL153" s="541"/>
      <c r="BM153" s="624"/>
      <c r="BN153" s="624"/>
      <c r="BP153" s="624"/>
    </row>
    <row r="154" spans="1:1165" s="658" customFormat="1">
      <c r="A154" s="577" t="s">
        <v>296</v>
      </c>
      <c r="B154" s="578" t="s">
        <v>110</v>
      </c>
      <c r="C154" s="659">
        <v>79</v>
      </c>
      <c r="D154" s="659">
        <v>1730</v>
      </c>
      <c r="E154" s="581">
        <v>0</v>
      </c>
      <c r="F154" s="581">
        <v>0</v>
      </c>
      <c r="G154" s="581">
        <v>0</v>
      </c>
      <c r="H154" s="581">
        <v>0</v>
      </c>
      <c r="I154" s="581">
        <v>0</v>
      </c>
      <c r="J154" s="581">
        <v>0</v>
      </c>
      <c r="K154" s="581">
        <v>0</v>
      </c>
      <c r="L154" s="581">
        <v>0</v>
      </c>
      <c r="M154" s="581">
        <v>16729</v>
      </c>
      <c r="N154" s="581">
        <v>215936</v>
      </c>
      <c r="O154" s="598">
        <v>0</v>
      </c>
      <c r="P154" s="598">
        <v>0</v>
      </c>
      <c r="Q154" s="598">
        <v>0</v>
      </c>
      <c r="R154" s="598">
        <v>0</v>
      </c>
      <c r="S154" s="598">
        <v>0</v>
      </c>
      <c r="T154" s="598">
        <v>0</v>
      </c>
      <c r="U154" s="598">
        <v>0</v>
      </c>
      <c r="V154" s="598">
        <v>0</v>
      </c>
      <c r="W154" s="598">
        <v>0</v>
      </c>
      <c r="X154" s="598">
        <v>0</v>
      </c>
      <c r="Y154" s="598">
        <v>0</v>
      </c>
      <c r="Z154" s="598">
        <v>0</v>
      </c>
      <c r="AA154" s="598">
        <v>0</v>
      </c>
      <c r="AB154" s="598">
        <v>0</v>
      </c>
      <c r="AC154" s="598">
        <v>0</v>
      </c>
      <c r="AD154" s="598">
        <v>0</v>
      </c>
      <c r="AE154" s="598">
        <v>0</v>
      </c>
      <c r="AF154" s="598">
        <v>0</v>
      </c>
      <c r="AG154" s="598">
        <v>0</v>
      </c>
      <c r="AH154" s="598">
        <v>0</v>
      </c>
      <c r="AI154" s="598">
        <v>0</v>
      </c>
      <c r="AJ154" s="598">
        <v>0</v>
      </c>
      <c r="AK154" s="598">
        <v>0</v>
      </c>
      <c r="AL154" s="598">
        <v>0</v>
      </c>
      <c r="AM154" s="598">
        <v>0</v>
      </c>
      <c r="AN154" s="598">
        <v>0</v>
      </c>
      <c r="AO154" s="598">
        <v>0</v>
      </c>
      <c r="AP154" s="598">
        <v>0</v>
      </c>
      <c r="AQ154" s="598">
        <v>0</v>
      </c>
      <c r="AR154" s="598">
        <v>0</v>
      </c>
      <c r="AS154" s="598">
        <v>0</v>
      </c>
      <c r="AT154" s="598">
        <v>0</v>
      </c>
      <c r="AU154" s="598">
        <v>0</v>
      </c>
      <c r="AV154" s="598">
        <v>0</v>
      </c>
      <c r="AW154" s="581">
        <v>0</v>
      </c>
      <c r="AX154" s="581">
        <v>0</v>
      </c>
      <c r="AY154" s="581">
        <v>0</v>
      </c>
      <c r="AZ154" s="581">
        <v>0</v>
      </c>
      <c r="BA154" s="620"/>
      <c r="BB154" s="581"/>
      <c r="BC154" s="581"/>
      <c r="BD154" s="581"/>
      <c r="BE154" s="581"/>
      <c r="BF154" s="581"/>
      <c r="BG154" s="581"/>
      <c r="BH154" s="581"/>
      <c r="BI154" s="581"/>
      <c r="BJ154" s="581">
        <f>C154+G154+I154+K154+M154+O154+Q154+S154+U154+W154+Y154+AA154+AC154+AE154+AG154+AI154+AK154+AM154+AO154+AQ154+AS154+AU154+AW154+AY154+BB154+BF154</f>
        <v>16808</v>
      </c>
      <c r="BK154" s="651">
        <f>D154+H154+J154+L154+N154+P154+R154+T154+V154+X154+Z154+AB154+AD154+AF154+AH154+AJ154+AL154+AN154+AP154+AR154+AT154+AV154+AX154+AZ154+BD154+BH154</f>
        <v>217666</v>
      </c>
      <c r="BL154" s="541"/>
      <c r="BM154" s="624"/>
      <c r="BN154" s="541"/>
      <c r="BO154" s="541"/>
      <c r="BP154" s="624"/>
      <c r="BQ154" s="541"/>
      <c r="BR154" s="541"/>
      <c r="BS154" s="541"/>
      <c r="BT154" s="541"/>
      <c r="BU154" s="541"/>
      <c r="BV154" s="541"/>
      <c r="BW154" s="541"/>
      <c r="BX154" s="541"/>
      <c r="BY154" s="541"/>
      <c r="BZ154" s="541"/>
      <c r="CA154" s="541"/>
      <c r="CB154" s="541"/>
      <c r="CC154" s="541"/>
      <c r="CD154" s="541"/>
      <c r="CE154" s="541"/>
      <c r="CF154" s="541"/>
      <c r="CG154" s="541"/>
      <c r="CH154" s="541"/>
      <c r="CI154" s="541"/>
      <c r="CJ154" s="541"/>
      <c r="CK154" s="541"/>
      <c r="CL154" s="541"/>
      <c r="CM154" s="541"/>
      <c r="CN154" s="541"/>
      <c r="CO154" s="541"/>
      <c r="CP154" s="541"/>
      <c r="CQ154" s="541"/>
      <c r="CR154" s="541"/>
      <c r="CS154" s="541"/>
      <c r="CT154" s="541"/>
      <c r="CU154" s="541"/>
      <c r="CV154" s="541"/>
      <c r="CW154" s="541"/>
      <c r="CX154" s="541"/>
      <c r="CY154" s="541"/>
      <c r="CZ154" s="541"/>
      <c r="DA154" s="541"/>
      <c r="DB154" s="541"/>
      <c r="DC154" s="541"/>
      <c r="DD154" s="541"/>
      <c r="DE154" s="541"/>
      <c r="DF154" s="541"/>
      <c r="DG154" s="541"/>
      <c r="DH154" s="541"/>
      <c r="DI154" s="541"/>
      <c r="DJ154" s="541"/>
      <c r="DK154" s="541"/>
      <c r="DL154" s="541"/>
      <c r="DM154" s="541"/>
      <c r="DN154" s="541"/>
      <c r="DO154" s="541"/>
      <c r="DP154" s="541"/>
      <c r="DQ154" s="541"/>
      <c r="DR154" s="541"/>
      <c r="DS154" s="541"/>
      <c r="DT154" s="541"/>
      <c r="DU154" s="541"/>
      <c r="DV154" s="541"/>
      <c r="DW154" s="541"/>
      <c r="DX154" s="541"/>
      <c r="DY154" s="541"/>
      <c r="DZ154" s="541"/>
      <c r="EA154" s="541"/>
      <c r="EB154" s="541"/>
      <c r="EC154" s="541"/>
      <c r="ED154" s="541"/>
      <c r="EE154" s="541"/>
      <c r="EF154" s="541"/>
      <c r="EG154" s="541"/>
      <c r="EH154" s="541"/>
      <c r="EI154" s="541"/>
      <c r="EJ154" s="541"/>
      <c r="EK154" s="541"/>
      <c r="EL154" s="541"/>
      <c r="EM154" s="541"/>
      <c r="EN154" s="541"/>
      <c r="EO154" s="541"/>
      <c r="EP154" s="541"/>
      <c r="EQ154" s="541"/>
      <c r="ER154" s="541"/>
      <c r="ES154" s="541"/>
      <c r="ET154" s="541"/>
      <c r="EU154" s="541"/>
      <c r="EV154" s="541"/>
      <c r="EW154" s="541"/>
      <c r="EX154" s="541"/>
      <c r="EY154" s="541"/>
      <c r="EZ154" s="541"/>
      <c r="FA154" s="541"/>
      <c r="FB154" s="541"/>
      <c r="FC154" s="541"/>
      <c r="FD154" s="541"/>
      <c r="FE154" s="541"/>
      <c r="FF154" s="541"/>
      <c r="FG154" s="541"/>
      <c r="FH154" s="541"/>
      <c r="FI154" s="541"/>
      <c r="FJ154" s="541"/>
      <c r="FK154" s="541"/>
      <c r="FL154" s="541"/>
      <c r="FM154" s="541"/>
      <c r="FN154" s="541"/>
      <c r="FO154" s="541"/>
      <c r="FP154" s="541"/>
      <c r="FQ154" s="541"/>
      <c r="FR154" s="541"/>
      <c r="FS154" s="541"/>
      <c r="FT154" s="541"/>
      <c r="FU154" s="541"/>
      <c r="FV154" s="541"/>
      <c r="FW154" s="541"/>
      <c r="FX154" s="541"/>
      <c r="FY154" s="541"/>
      <c r="FZ154" s="541"/>
      <c r="GA154" s="541"/>
      <c r="GB154" s="541"/>
      <c r="GC154" s="541"/>
      <c r="GD154" s="541"/>
      <c r="GE154" s="541"/>
      <c r="GF154" s="541"/>
      <c r="GG154" s="541"/>
      <c r="GH154" s="541"/>
      <c r="GI154" s="541"/>
      <c r="GJ154" s="541"/>
      <c r="GK154" s="541"/>
      <c r="GL154" s="541"/>
      <c r="GM154" s="541"/>
      <c r="GN154" s="541"/>
      <c r="GO154" s="541"/>
      <c r="GP154" s="541"/>
      <c r="GQ154" s="541"/>
      <c r="GR154" s="541"/>
      <c r="GS154" s="541"/>
      <c r="GT154" s="541"/>
      <c r="GU154" s="541"/>
      <c r="GV154" s="541"/>
      <c r="GW154" s="541"/>
      <c r="GX154" s="541"/>
      <c r="GY154" s="541"/>
      <c r="GZ154" s="541"/>
      <c r="HA154" s="541"/>
      <c r="HB154" s="541"/>
      <c r="HC154" s="541"/>
      <c r="HD154" s="541"/>
      <c r="HE154" s="541"/>
      <c r="HF154" s="541"/>
      <c r="HG154" s="541"/>
      <c r="HH154" s="541"/>
      <c r="HI154" s="541"/>
      <c r="HJ154" s="541"/>
      <c r="HK154" s="541"/>
      <c r="HL154" s="541"/>
      <c r="HM154" s="541"/>
      <c r="HN154" s="541"/>
      <c r="HO154" s="541"/>
      <c r="HP154" s="541"/>
      <c r="HQ154" s="541"/>
      <c r="HR154" s="541"/>
      <c r="HS154" s="541"/>
      <c r="HT154" s="541"/>
      <c r="HU154" s="541"/>
      <c r="HV154" s="541"/>
      <c r="HW154" s="541"/>
      <c r="HX154" s="541"/>
      <c r="HY154" s="541"/>
      <c r="HZ154" s="541"/>
      <c r="IA154" s="541"/>
      <c r="IB154" s="541"/>
      <c r="IC154" s="541"/>
      <c r="ID154" s="541"/>
      <c r="IE154" s="541"/>
      <c r="IF154" s="541"/>
      <c r="IG154" s="541"/>
      <c r="IH154" s="541"/>
      <c r="II154" s="541"/>
      <c r="IJ154" s="541"/>
      <c r="IK154" s="541"/>
      <c r="IL154" s="541"/>
      <c r="IM154" s="541"/>
      <c r="IN154" s="541"/>
      <c r="IO154" s="541"/>
      <c r="IP154" s="541"/>
      <c r="IQ154" s="541"/>
      <c r="IR154" s="541"/>
      <c r="IS154" s="541"/>
      <c r="IT154" s="541"/>
      <c r="IU154" s="541"/>
      <c r="IV154" s="541"/>
      <c r="IW154" s="541"/>
      <c r="IX154" s="541"/>
      <c r="IY154" s="541"/>
      <c r="IZ154" s="541"/>
      <c r="JA154" s="541"/>
      <c r="JB154" s="541"/>
      <c r="JC154" s="541"/>
      <c r="JD154" s="541"/>
      <c r="JE154" s="541"/>
      <c r="JF154" s="541"/>
      <c r="JG154" s="541"/>
      <c r="JH154" s="541"/>
      <c r="JI154" s="541"/>
      <c r="JJ154" s="541"/>
      <c r="JK154" s="541"/>
      <c r="JL154" s="541"/>
      <c r="JM154" s="541"/>
      <c r="JN154" s="541"/>
      <c r="JO154" s="541"/>
      <c r="JP154" s="541"/>
      <c r="JQ154" s="541"/>
      <c r="JR154" s="541"/>
      <c r="JS154" s="541"/>
      <c r="JT154" s="541"/>
      <c r="JU154" s="541"/>
      <c r="JV154" s="541"/>
      <c r="JW154" s="541"/>
      <c r="JX154" s="541"/>
      <c r="JY154" s="541"/>
      <c r="JZ154" s="541"/>
      <c r="KA154" s="541"/>
      <c r="KB154" s="541"/>
      <c r="KC154" s="541"/>
      <c r="KD154" s="541"/>
      <c r="KE154" s="541"/>
      <c r="KF154" s="541"/>
      <c r="KG154" s="541"/>
      <c r="KH154" s="541"/>
      <c r="KI154" s="541"/>
      <c r="KJ154" s="541"/>
      <c r="KK154" s="541"/>
      <c r="KL154" s="541"/>
      <c r="KM154" s="541"/>
      <c r="KN154" s="541"/>
      <c r="KO154" s="541"/>
      <c r="KP154" s="541"/>
      <c r="KQ154" s="541"/>
      <c r="KR154" s="541"/>
      <c r="KS154" s="541"/>
      <c r="KT154" s="541"/>
      <c r="KU154" s="541"/>
      <c r="KV154" s="541"/>
      <c r="KW154" s="541"/>
      <c r="KX154" s="541"/>
      <c r="KY154" s="541"/>
      <c r="KZ154" s="541"/>
      <c r="LA154" s="541"/>
      <c r="LB154" s="541"/>
      <c r="LC154" s="541"/>
      <c r="LD154" s="541"/>
      <c r="LE154" s="541"/>
      <c r="LF154" s="541"/>
      <c r="LG154" s="541"/>
      <c r="LH154" s="541"/>
      <c r="LI154" s="541"/>
      <c r="LJ154" s="541"/>
      <c r="LK154" s="541"/>
      <c r="LL154" s="541"/>
      <c r="LM154" s="541"/>
      <c r="LN154" s="541"/>
      <c r="LO154" s="541"/>
      <c r="LP154" s="541"/>
      <c r="LQ154" s="541"/>
      <c r="LR154" s="541"/>
      <c r="LS154" s="541"/>
      <c r="LT154" s="541"/>
      <c r="LU154" s="541"/>
      <c r="LV154" s="541"/>
      <c r="LW154" s="541"/>
      <c r="LX154" s="541"/>
      <c r="LY154" s="541"/>
      <c r="LZ154" s="541"/>
      <c r="MA154" s="541"/>
      <c r="MB154" s="541"/>
      <c r="MC154" s="541"/>
      <c r="MD154" s="541"/>
      <c r="ME154" s="541"/>
      <c r="MF154" s="541"/>
      <c r="MG154" s="541"/>
      <c r="MH154" s="541"/>
      <c r="MI154" s="541"/>
      <c r="MJ154" s="541"/>
      <c r="MK154" s="541"/>
      <c r="ML154" s="541"/>
      <c r="MM154" s="541"/>
      <c r="MN154" s="541"/>
      <c r="MO154" s="541"/>
      <c r="MP154" s="541"/>
      <c r="MQ154" s="541"/>
      <c r="MR154" s="541"/>
      <c r="MS154" s="541"/>
      <c r="MT154" s="541"/>
      <c r="MU154" s="541"/>
      <c r="MV154" s="541"/>
      <c r="MW154" s="541"/>
      <c r="MX154" s="541"/>
      <c r="MY154" s="541"/>
      <c r="MZ154" s="541"/>
      <c r="NA154" s="541"/>
      <c r="NB154" s="541"/>
      <c r="NC154" s="541"/>
      <c r="ND154" s="541"/>
      <c r="NE154" s="541"/>
      <c r="NF154" s="541"/>
      <c r="NG154" s="541"/>
      <c r="NH154" s="541"/>
      <c r="NI154" s="541"/>
      <c r="NJ154" s="541"/>
      <c r="NK154" s="541"/>
      <c r="NL154" s="541"/>
      <c r="NM154" s="541"/>
      <c r="NN154" s="541"/>
      <c r="NO154" s="541"/>
      <c r="NP154" s="541"/>
      <c r="NQ154" s="541"/>
      <c r="NR154" s="541"/>
      <c r="NS154" s="541"/>
      <c r="NT154" s="541"/>
      <c r="NU154" s="541"/>
      <c r="NV154" s="541"/>
      <c r="NW154" s="541"/>
      <c r="NX154" s="541"/>
      <c r="NY154" s="541"/>
      <c r="NZ154" s="541"/>
      <c r="OA154" s="541"/>
      <c r="OB154" s="541"/>
      <c r="OC154" s="541"/>
      <c r="OD154" s="541"/>
      <c r="OE154" s="541"/>
      <c r="OF154" s="541"/>
      <c r="OG154" s="541"/>
      <c r="OH154" s="541"/>
      <c r="OI154" s="541"/>
      <c r="OJ154" s="541"/>
      <c r="OK154" s="541"/>
      <c r="OL154" s="541"/>
      <c r="OM154" s="541"/>
      <c r="ON154" s="541"/>
      <c r="OO154" s="541"/>
      <c r="OP154" s="541"/>
      <c r="OQ154" s="541"/>
      <c r="OR154" s="541"/>
      <c r="OS154" s="541"/>
      <c r="OT154" s="541"/>
      <c r="OU154" s="541"/>
      <c r="OV154" s="541"/>
      <c r="OW154" s="541"/>
      <c r="OX154" s="541"/>
      <c r="OY154" s="541"/>
      <c r="OZ154" s="541"/>
      <c r="PA154" s="541"/>
      <c r="PB154" s="541"/>
      <c r="PC154" s="541"/>
      <c r="PD154" s="541"/>
      <c r="PE154" s="541"/>
      <c r="PF154" s="541"/>
      <c r="PG154" s="541"/>
      <c r="PH154" s="541"/>
      <c r="PI154" s="541"/>
      <c r="PJ154" s="541"/>
      <c r="PK154" s="541"/>
      <c r="PL154" s="541"/>
      <c r="PM154" s="541"/>
      <c r="PN154" s="541"/>
      <c r="PO154" s="541"/>
      <c r="PP154" s="541"/>
      <c r="PQ154" s="541"/>
      <c r="PR154" s="541"/>
      <c r="PS154" s="541"/>
      <c r="PT154" s="541"/>
      <c r="PU154" s="541"/>
      <c r="PV154" s="541"/>
      <c r="PW154" s="541"/>
      <c r="PX154" s="541"/>
      <c r="PY154" s="541"/>
      <c r="PZ154" s="541"/>
      <c r="QA154" s="541"/>
      <c r="QB154" s="541"/>
      <c r="QC154" s="541"/>
      <c r="QD154" s="541"/>
      <c r="QE154" s="541"/>
      <c r="QF154" s="541"/>
      <c r="QG154" s="541"/>
      <c r="QH154" s="541"/>
      <c r="QI154" s="541"/>
      <c r="QJ154" s="541"/>
      <c r="QK154" s="541"/>
      <c r="QL154" s="541"/>
      <c r="QM154" s="541"/>
      <c r="QN154" s="541"/>
      <c r="QO154" s="541"/>
      <c r="QP154" s="541"/>
      <c r="QQ154" s="541"/>
      <c r="QR154" s="541"/>
      <c r="QS154" s="541"/>
      <c r="QT154" s="541"/>
      <c r="QU154" s="541"/>
      <c r="QV154" s="541"/>
      <c r="QW154" s="541"/>
      <c r="QX154" s="541"/>
      <c r="QY154" s="541"/>
      <c r="QZ154" s="541"/>
      <c r="RA154" s="541"/>
      <c r="RB154" s="541"/>
      <c r="RC154" s="541"/>
      <c r="RD154" s="541"/>
      <c r="RE154" s="541"/>
      <c r="RF154" s="541"/>
      <c r="RG154" s="541"/>
      <c r="RH154" s="541"/>
      <c r="RI154" s="541"/>
      <c r="RJ154" s="541"/>
      <c r="RK154" s="541"/>
      <c r="RL154" s="541"/>
      <c r="RM154" s="541"/>
      <c r="RN154" s="541"/>
      <c r="RO154" s="541"/>
      <c r="RP154" s="541"/>
      <c r="RQ154" s="541"/>
      <c r="RR154" s="541"/>
      <c r="RS154" s="541"/>
      <c r="RT154" s="541"/>
      <c r="RU154" s="541"/>
      <c r="RV154" s="541"/>
      <c r="RW154" s="541"/>
      <c r="RX154" s="541"/>
      <c r="RY154" s="541"/>
      <c r="RZ154" s="541"/>
      <c r="SA154" s="541"/>
      <c r="SB154" s="541"/>
      <c r="SC154" s="541"/>
      <c r="SD154" s="541"/>
      <c r="SE154" s="541"/>
      <c r="SF154" s="541"/>
      <c r="SG154" s="541"/>
      <c r="SH154" s="541"/>
      <c r="SI154" s="541"/>
      <c r="SJ154" s="541"/>
      <c r="SK154" s="541"/>
      <c r="SL154" s="541"/>
      <c r="SM154" s="541"/>
      <c r="SN154" s="541"/>
      <c r="SO154" s="541"/>
      <c r="SP154" s="541"/>
      <c r="SQ154" s="541"/>
      <c r="SR154" s="541"/>
      <c r="SS154" s="541"/>
      <c r="ST154" s="541"/>
      <c r="SU154" s="541"/>
      <c r="SV154" s="541"/>
      <c r="SW154" s="541"/>
      <c r="SX154" s="541"/>
      <c r="SY154" s="541"/>
      <c r="SZ154" s="541"/>
      <c r="TA154" s="541"/>
      <c r="TB154" s="541"/>
      <c r="TC154" s="541"/>
      <c r="TD154" s="541"/>
      <c r="TE154" s="541"/>
      <c r="TF154" s="541"/>
      <c r="TG154" s="541"/>
      <c r="TH154" s="541"/>
      <c r="TI154" s="541"/>
      <c r="TJ154" s="541"/>
      <c r="TK154" s="541"/>
      <c r="TL154" s="541"/>
      <c r="TM154" s="541"/>
      <c r="TN154" s="541"/>
      <c r="TO154" s="541"/>
      <c r="TP154" s="541"/>
      <c r="TQ154" s="541"/>
      <c r="TR154" s="541"/>
      <c r="TS154" s="541"/>
      <c r="TT154" s="541"/>
      <c r="TU154" s="541"/>
      <c r="TV154" s="541"/>
      <c r="TW154" s="541"/>
      <c r="TX154" s="541"/>
      <c r="TY154" s="541"/>
      <c r="TZ154" s="541"/>
      <c r="UA154" s="541"/>
      <c r="UB154" s="541"/>
      <c r="UC154" s="541"/>
      <c r="UD154" s="541"/>
      <c r="UE154" s="541"/>
      <c r="UF154" s="541"/>
      <c r="UG154" s="541"/>
      <c r="UH154" s="541"/>
      <c r="UI154" s="541"/>
      <c r="UJ154" s="541"/>
      <c r="UK154" s="541"/>
      <c r="UL154" s="541"/>
      <c r="UM154" s="541"/>
      <c r="UN154" s="541"/>
      <c r="UO154" s="541"/>
      <c r="UP154" s="541"/>
      <c r="UQ154" s="541"/>
      <c r="UR154" s="541"/>
      <c r="US154" s="541"/>
      <c r="UT154" s="541"/>
      <c r="UU154" s="541"/>
      <c r="UV154" s="541"/>
      <c r="UW154" s="541"/>
      <c r="UX154" s="541"/>
      <c r="UY154" s="541"/>
      <c r="UZ154" s="541"/>
      <c r="VA154" s="541"/>
      <c r="VB154" s="541"/>
      <c r="VC154" s="541"/>
      <c r="VD154" s="541"/>
      <c r="VE154" s="541"/>
      <c r="VF154" s="541"/>
      <c r="VG154" s="541"/>
      <c r="VH154" s="541"/>
      <c r="VI154" s="541"/>
      <c r="VJ154" s="541"/>
      <c r="VK154" s="541"/>
      <c r="VL154" s="541"/>
      <c r="VM154" s="541"/>
      <c r="VN154" s="541"/>
      <c r="VO154" s="541"/>
      <c r="VP154" s="541"/>
      <c r="VQ154" s="541"/>
      <c r="VR154" s="541"/>
      <c r="VS154" s="541"/>
      <c r="VT154" s="541"/>
      <c r="VU154" s="541"/>
      <c r="VV154" s="541"/>
      <c r="VW154" s="541"/>
      <c r="VX154" s="541"/>
      <c r="VY154" s="541"/>
      <c r="VZ154" s="541"/>
      <c r="WA154" s="541"/>
      <c r="WB154" s="541"/>
      <c r="WC154" s="541"/>
      <c r="WD154" s="541"/>
      <c r="WE154" s="541"/>
      <c r="WF154" s="541"/>
      <c r="WG154" s="541"/>
      <c r="WH154" s="541"/>
      <c r="WI154" s="541"/>
      <c r="WJ154" s="541"/>
      <c r="WK154" s="541"/>
      <c r="WL154" s="541"/>
      <c r="WM154" s="541"/>
      <c r="WN154" s="541"/>
      <c r="WO154" s="541"/>
      <c r="WP154" s="541"/>
      <c r="WQ154" s="541"/>
      <c r="WR154" s="541"/>
      <c r="WS154" s="541"/>
      <c r="WT154" s="541"/>
      <c r="WU154" s="541"/>
      <c r="WV154" s="541"/>
      <c r="WW154" s="541"/>
      <c r="WX154" s="541"/>
      <c r="WY154" s="541"/>
      <c r="WZ154" s="541"/>
      <c r="XA154" s="541"/>
      <c r="XB154" s="541"/>
      <c r="XC154" s="541"/>
      <c r="XD154" s="541"/>
      <c r="XE154" s="541"/>
      <c r="XF154" s="541"/>
      <c r="XG154" s="541"/>
      <c r="XH154" s="541"/>
      <c r="XI154" s="541"/>
      <c r="XJ154" s="541"/>
      <c r="XK154" s="541"/>
      <c r="XL154" s="541"/>
      <c r="XM154" s="541"/>
      <c r="XN154" s="541"/>
      <c r="XO154" s="541"/>
      <c r="XP154" s="541"/>
      <c r="XQ154" s="541"/>
      <c r="XR154" s="541"/>
      <c r="XS154" s="541"/>
      <c r="XT154" s="541"/>
      <c r="XU154" s="541"/>
      <c r="XV154" s="541"/>
      <c r="XW154" s="541"/>
      <c r="XX154" s="541"/>
      <c r="XY154" s="541"/>
      <c r="XZ154" s="541"/>
      <c r="YA154" s="541"/>
      <c r="YB154" s="541"/>
      <c r="YC154" s="541"/>
      <c r="YD154" s="541"/>
      <c r="YE154" s="541"/>
      <c r="YF154" s="541"/>
      <c r="YG154" s="541"/>
      <c r="YH154" s="541"/>
      <c r="YI154" s="541"/>
      <c r="YJ154" s="541"/>
      <c r="YK154" s="541"/>
      <c r="YL154" s="541"/>
      <c r="YM154" s="541"/>
      <c r="YN154" s="541"/>
      <c r="YO154" s="541"/>
      <c r="YP154" s="541"/>
      <c r="YQ154" s="541"/>
      <c r="YR154" s="541"/>
      <c r="YS154" s="541"/>
      <c r="YT154" s="541"/>
      <c r="YU154" s="541"/>
      <c r="YV154" s="541"/>
      <c r="YW154" s="541"/>
      <c r="YX154" s="541"/>
      <c r="YY154" s="541"/>
      <c r="YZ154" s="541"/>
      <c r="ZA154" s="541"/>
      <c r="ZB154" s="541"/>
      <c r="ZC154" s="541"/>
      <c r="ZD154" s="541"/>
      <c r="ZE154" s="541"/>
      <c r="ZF154" s="541"/>
      <c r="ZG154" s="541"/>
      <c r="ZH154" s="541"/>
      <c r="ZI154" s="541"/>
      <c r="ZJ154" s="541"/>
      <c r="ZK154" s="541"/>
      <c r="ZL154" s="541"/>
      <c r="ZM154" s="541"/>
      <c r="ZN154" s="541"/>
      <c r="ZO154" s="541"/>
      <c r="ZP154" s="541"/>
      <c r="ZQ154" s="541"/>
      <c r="ZR154" s="541"/>
      <c r="ZS154" s="541"/>
      <c r="ZT154" s="541"/>
      <c r="ZU154" s="541"/>
      <c r="ZV154" s="541"/>
      <c r="ZW154" s="541"/>
      <c r="ZX154" s="541"/>
      <c r="ZY154" s="541"/>
      <c r="ZZ154" s="541"/>
      <c r="AAA154" s="541"/>
      <c r="AAB154" s="541"/>
      <c r="AAC154" s="541"/>
      <c r="AAD154" s="541"/>
      <c r="AAE154" s="541"/>
      <c r="AAF154" s="541"/>
      <c r="AAG154" s="541"/>
      <c r="AAH154" s="541"/>
      <c r="AAI154" s="541"/>
      <c r="AAJ154" s="541"/>
      <c r="AAK154" s="541"/>
      <c r="AAL154" s="541"/>
      <c r="AAM154" s="541"/>
      <c r="AAN154" s="541"/>
      <c r="AAO154" s="541"/>
      <c r="AAP154" s="541"/>
      <c r="AAQ154" s="541"/>
      <c r="AAR154" s="541"/>
      <c r="AAS154" s="541"/>
      <c r="AAT154" s="541"/>
      <c r="AAU154" s="541"/>
      <c r="AAV154" s="541"/>
      <c r="AAW154" s="541"/>
      <c r="AAX154" s="541"/>
      <c r="AAY154" s="541"/>
      <c r="AAZ154" s="541"/>
      <c r="ABA154" s="541"/>
      <c r="ABB154" s="541"/>
      <c r="ABC154" s="541"/>
      <c r="ABD154" s="541"/>
      <c r="ABE154" s="541"/>
      <c r="ABF154" s="541"/>
      <c r="ABG154" s="541"/>
      <c r="ABH154" s="541"/>
      <c r="ABI154" s="541"/>
      <c r="ABJ154" s="541"/>
      <c r="ABK154" s="541"/>
      <c r="ABL154" s="541"/>
      <c r="ABM154" s="541"/>
      <c r="ABN154" s="541"/>
      <c r="ABO154" s="541"/>
      <c r="ABP154" s="541"/>
      <c r="ABQ154" s="541"/>
      <c r="ABR154" s="541"/>
      <c r="ABS154" s="541"/>
      <c r="ABT154" s="541"/>
      <c r="ABU154" s="541"/>
      <c r="ABV154" s="541"/>
      <c r="ABW154" s="541"/>
      <c r="ABX154" s="541"/>
      <c r="ABY154" s="541"/>
      <c r="ABZ154" s="541"/>
      <c r="ACA154" s="541"/>
      <c r="ACB154" s="541"/>
      <c r="ACC154" s="541"/>
      <c r="ACD154" s="541"/>
      <c r="ACE154" s="541"/>
      <c r="ACF154" s="541"/>
      <c r="ACG154" s="541"/>
      <c r="ACH154" s="541"/>
      <c r="ACI154" s="541"/>
      <c r="ACJ154" s="541"/>
      <c r="ACK154" s="541"/>
      <c r="ACL154" s="541"/>
      <c r="ACM154" s="541"/>
      <c r="ACN154" s="541"/>
      <c r="ACO154" s="541"/>
      <c r="ACP154" s="541"/>
      <c r="ACQ154" s="541"/>
      <c r="ACR154" s="541"/>
      <c r="ACS154" s="541"/>
      <c r="ACT154" s="541"/>
      <c r="ACU154" s="541"/>
      <c r="ACV154" s="541"/>
      <c r="ACW154" s="541"/>
      <c r="ACX154" s="541"/>
      <c r="ACY154" s="541"/>
      <c r="ACZ154" s="541"/>
      <c r="ADA154" s="541"/>
      <c r="ADB154" s="541"/>
      <c r="ADC154" s="541"/>
      <c r="ADD154" s="541"/>
      <c r="ADE154" s="541"/>
      <c r="ADF154" s="541"/>
      <c r="ADG154" s="541"/>
      <c r="ADH154" s="541"/>
      <c r="ADI154" s="541"/>
      <c r="ADJ154" s="541"/>
      <c r="ADK154" s="541"/>
      <c r="ADL154" s="541"/>
      <c r="ADM154" s="541"/>
      <c r="ADN154" s="541"/>
      <c r="ADO154" s="541"/>
      <c r="ADP154" s="541"/>
      <c r="ADQ154" s="541"/>
      <c r="ADR154" s="541"/>
      <c r="ADS154" s="541"/>
      <c r="ADT154" s="541"/>
      <c r="ADU154" s="541"/>
      <c r="ADV154" s="541"/>
      <c r="ADW154" s="541"/>
      <c r="ADX154" s="541"/>
      <c r="ADY154" s="541"/>
      <c r="ADZ154" s="541"/>
      <c r="AEA154" s="541"/>
      <c r="AEB154" s="541"/>
      <c r="AEC154" s="541"/>
      <c r="AED154" s="541"/>
      <c r="AEE154" s="541"/>
      <c r="AEF154" s="541"/>
      <c r="AEG154" s="541"/>
      <c r="AEH154" s="541"/>
      <c r="AEI154" s="541"/>
      <c r="AEJ154" s="541"/>
      <c r="AEK154" s="541"/>
      <c r="AEL154" s="541"/>
      <c r="AEM154" s="541"/>
      <c r="AEN154" s="541"/>
      <c r="AEO154" s="541"/>
      <c r="AEP154" s="541"/>
      <c r="AEQ154" s="541"/>
      <c r="AER154" s="541"/>
      <c r="AES154" s="541"/>
      <c r="AET154" s="541"/>
      <c r="AEU154" s="541"/>
      <c r="AEV154" s="541"/>
      <c r="AEW154" s="541"/>
      <c r="AEX154" s="541"/>
      <c r="AEY154" s="541"/>
      <c r="AEZ154" s="541"/>
      <c r="AFA154" s="541"/>
      <c r="AFB154" s="541"/>
      <c r="AFC154" s="541"/>
      <c r="AFD154" s="541"/>
      <c r="AFE154" s="541"/>
      <c r="AFF154" s="541"/>
      <c r="AFG154" s="541"/>
      <c r="AFH154" s="541"/>
      <c r="AFI154" s="541"/>
      <c r="AFJ154" s="541"/>
      <c r="AFK154" s="541"/>
      <c r="AFL154" s="541"/>
      <c r="AFM154" s="541"/>
      <c r="AFN154" s="541"/>
      <c r="AFO154" s="541"/>
      <c r="AFP154" s="541"/>
      <c r="AFQ154" s="541"/>
      <c r="AFR154" s="541"/>
      <c r="AFS154" s="541"/>
      <c r="AFT154" s="541"/>
      <c r="AFU154" s="541"/>
      <c r="AFV154" s="541"/>
      <c r="AFW154" s="541"/>
      <c r="AFX154" s="541"/>
      <c r="AFY154" s="541"/>
      <c r="AFZ154" s="541"/>
      <c r="AGA154" s="541"/>
      <c r="AGB154" s="541"/>
      <c r="AGC154" s="541"/>
      <c r="AGD154" s="541"/>
      <c r="AGE154" s="541"/>
      <c r="AGF154" s="541"/>
      <c r="AGG154" s="541"/>
      <c r="AGH154" s="541"/>
      <c r="AGI154" s="541"/>
      <c r="AGJ154" s="541"/>
      <c r="AGK154" s="541"/>
      <c r="AGL154" s="541"/>
      <c r="AGM154" s="541"/>
      <c r="AGN154" s="541"/>
      <c r="AGO154" s="541"/>
      <c r="AGP154" s="541"/>
      <c r="AGQ154" s="541"/>
      <c r="AGR154" s="541"/>
      <c r="AGS154" s="541"/>
      <c r="AGT154" s="541"/>
      <c r="AGU154" s="541"/>
      <c r="AGV154" s="541"/>
      <c r="AGW154" s="541"/>
      <c r="AGX154" s="541"/>
      <c r="AGY154" s="541"/>
      <c r="AGZ154" s="541"/>
      <c r="AHA154" s="541"/>
      <c r="AHB154" s="541"/>
      <c r="AHC154" s="541"/>
      <c r="AHD154" s="541"/>
      <c r="AHE154" s="541"/>
      <c r="AHF154" s="541"/>
      <c r="AHG154" s="541"/>
      <c r="AHH154" s="541"/>
      <c r="AHI154" s="541"/>
      <c r="AHJ154" s="541"/>
      <c r="AHK154" s="541"/>
      <c r="AHL154" s="541"/>
      <c r="AHM154" s="541"/>
      <c r="AHN154" s="541"/>
      <c r="AHO154" s="541"/>
      <c r="AHP154" s="541"/>
      <c r="AHQ154" s="541"/>
      <c r="AHR154" s="541"/>
      <c r="AHS154" s="541"/>
      <c r="AHT154" s="541"/>
      <c r="AHU154" s="541"/>
      <c r="AHV154" s="541"/>
      <c r="AHW154" s="541"/>
      <c r="AHX154" s="541"/>
      <c r="AHY154" s="541"/>
      <c r="AHZ154" s="541"/>
      <c r="AIA154" s="541"/>
      <c r="AIB154" s="541"/>
      <c r="AIC154" s="541"/>
      <c r="AID154" s="541"/>
      <c r="AIE154" s="541"/>
      <c r="AIF154" s="541"/>
      <c r="AIG154" s="541"/>
      <c r="AIH154" s="541"/>
      <c r="AII154" s="541"/>
      <c r="AIJ154" s="541"/>
      <c r="AIK154" s="541"/>
      <c r="AIL154" s="541"/>
      <c r="AIM154" s="541"/>
      <c r="AIN154" s="541"/>
      <c r="AIO154" s="541"/>
      <c r="AIP154" s="541"/>
      <c r="AIQ154" s="541"/>
      <c r="AIR154" s="541"/>
      <c r="AIS154" s="541"/>
      <c r="AIT154" s="541"/>
      <c r="AIU154" s="541"/>
      <c r="AIV154" s="541"/>
      <c r="AIW154" s="541"/>
      <c r="AIX154" s="541"/>
      <c r="AIY154" s="541"/>
      <c r="AIZ154" s="541"/>
      <c r="AJA154" s="541"/>
      <c r="AJB154" s="541"/>
      <c r="AJC154" s="541"/>
      <c r="AJD154" s="541"/>
      <c r="AJE154" s="541"/>
      <c r="AJF154" s="541"/>
      <c r="AJG154" s="541"/>
      <c r="AJH154" s="541"/>
      <c r="AJI154" s="541"/>
      <c r="AJJ154" s="541"/>
      <c r="AJK154" s="541"/>
      <c r="AJL154" s="541"/>
      <c r="AJM154" s="541"/>
      <c r="AJN154" s="541"/>
      <c r="AJO154" s="541"/>
      <c r="AJP154" s="541"/>
      <c r="AJQ154" s="541"/>
      <c r="AJR154" s="541"/>
      <c r="AJS154" s="541"/>
      <c r="AJT154" s="541"/>
      <c r="AJU154" s="541"/>
      <c r="AJV154" s="541"/>
      <c r="AJW154" s="541"/>
      <c r="AJX154" s="541"/>
      <c r="AJY154" s="541"/>
      <c r="AJZ154" s="541"/>
      <c r="AKA154" s="541"/>
      <c r="AKB154" s="541"/>
      <c r="AKC154" s="541"/>
      <c r="AKD154" s="541"/>
      <c r="AKE154" s="541"/>
      <c r="AKF154" s="541"/>
      <c r="AKG154" s="541"/>
      <c r="AKH154" s="541"/>
      <c r="AKI154" s="541"/>
      <c r="AKJ154" s="541"/>
      <c r="AKK154" s="541"/>
      <c r="AKL154" s="541"/>
      <c r="AKM154" s="541"/>
      <c r="AKN154" s="541"/>
      <c r="AKO154" s="541"/>
      <c r="AKP154" s="541"/>
      <c r="AKQ154" s="541"/>
      <c r="AKR154" s="541"/>
      <c r="AKS154" s="541"/>
      <c r="AKT154" s="541"/>
      <c r="AKU154" s="541"/>
      <c r="AKV154" s="541"/>
      <c r="AKW154" s="541"/>
      <c r="AKX154" s="541"/>
      <c r="AKY154" s="541"/>
      <c r="AKZ154" s="541"/>
      <c r="ALA154" s="541"/>
      <c r="ALB154" s="541"/>
      <c r="ALC154" s="541"/>
      <c r="ALD154" s="541"/>
      <c r="ALE154" s="541"/>
      <c r="ALF154" s="541"/>
      <c r="ALG154" s="541"/>
      <c r="ALH154" s="541"/>
      <c r="ALI154" s="541"/>
      <c r="ALJ154" s="541"/>
      <c r="ALK154" s="541"/>
      <c r="ALL154" s="541"/>
      <c r="ALM154" s="541"/>
      <c r="ALN154" s="541"/>
      <c r="ALO154" s="541"/>
      <c r="ALP154" s="541"/>
      <c r="ALQ154" s="541"/>
      <c r="ALR154" s="541"/>
      <c r="ALS154" s="541"/>
      <c r="ALT154" s="541"/>
      <c r="ALU154" s="541"/>
      <c r="ALV154" s="541"/>
      <c r="ALW154" s="541"/>
      <c r="ALX154" s="541"/>
      <c r="ALY154" s="541"/>
      <c r="ALZ154" s="541"/>
      <c r="AMA154" s="541"/>
      <c r="AMB154" s="541"/>
      <c r="AMC154" s="541"/>
      <c r="AMD154" s="541"/>
      <c r="AME154" s="541"/>
      <c r="AMF154" s="541"/>
      <c r="AMG154" s="541"/>
      <c r="AMH154" s="541"/>
      <c r="AMI154" s="541"/>
      <c r="AMJ154" s="541"/>
      <c r="AMK154" s="541"/>
      <c r="AML154" s="541"/>
      <c r="AMM154" s="541"/>
      <c r="AMN154" s="541"/>
      <c r="AMO154" s="541"/>
      <c r="AMP154" s="541"/>
      <c r="AMQ154" s="541"/>
      <c r="AMR154" s="541"/>
      <c r="AMS154" s="541"/>
      <c r="AMT154" s="541"/>
      <c r="AMU154" s="541"/>
      <c r="AMV154" s="541"/>
      <c r="AMW154" s="541"/>
      <c r="AMX154" s="541"/>
      <c r="AMY154" s="541"/>
      <c r="AMZ154" s="541"/>
      <c r="ANA154" s="541"/>
      <c r="ANB154" s="541"/>
      <c r="ANC154" s="541"/>
      <c r="AND154" s="541"/>
      <c r="ANE154" s="541"/>
      <c r="ANF154" s="541"/>
      <c r="ANG154" s="541"/>
      <c r="ANH154" s="541"/>
      <c r="ANI154" s="541"/>
      <c r="ANJ154" s="541"/>
      <c r="ANK154" s="541"/>
      <c r="ANL154" s="541"/>
      <c r="ANM154" s="541"/>
      <c r="ANN154" s="541"/>
      <c r="ANO154" s="541"/>
      <c r="ANP154" s="541"/>
      <c r="ANQ154" s="541"/>
      <c r="ANR154" s="541"/>
      <c r="ANS154" s="541"/>
      <c r="ANT154" s="541"/>
      <c r="ANU154" s="541"/>
      <c r="ANV154" s="541"/>
      <c r="ANW154" s="541"/>
      <c r="ANX154" s="541"/>
      <c r="ANY154" s="541"/>
      <c r="ANZ154" s="541"/>
      <c r="AOA154" s="541"/>
      <c r="AOB154" s="541"/>
      <c r="AOC154" s="541"/>
      <c r="AOD154" s="541"/>
      <c r="AOE154" s="541"/>
      <c r="AOF154" s="541"/>
      <c r="AOG154" s="541"/>
      <c r="AOH154" s="541"/>
      <c r="AOI154" s="541"/>
      <c r="AOJ154" s="541"/>
      <c r="AOK154" s="541"/>
      <c r="AOL154" s="541"/>
      <c r="AOM154" s="541"/>
      <c r="AON154" s="541"/>
      <c r="AOO154" s="541"/>
      <c r="AOP154" s="541"/>
      <c r="AOQ154" s="541"/>
      <c r="AOR154" s="541"/>
      <c r="AOS154" s="541"/>
      <c r="AOT154" s="541"/>
      <c r="AOU154" s="541"/>
      <c r="AOV154" s="541"/>
      <c r="AOW154" s="541"/>
      <c r="AOX154" s="541"/>
      <c r="AOY154" s="541"/>
      <c r="AOZ154" s="541"/>
      <c r="APA154" s="541"/>
      <c r="APB154" s="541"/>
      <c r="APC154" s="541"/>
      <c r="APD154" s="541"/>
      <c r="APE154" s="541"/>
      <c r="APF154" s="541"/>
      <c r="APG154" s="541"/>
      <c r="APH154" s="541"/>
      <c r="API154" s="541"/>
      <c r="APJ154" s="541"/>
      <c r="APK154" s="541"/>
      <c r="APL154" s="541"/>
      <c r="APM154" s="541"/>
      <c r="APN154" s="541"/>
      <c r="APO154" s="541"/>
      <c r="APP154" s="541"/>
      <c r="APQ154" s="541"/>
      <c r="APR154" s="541"/>
      <c r="APS154" s="541"/>
      <c r="APT154" s="541"/>
      <c r="APU154" s="541"/>
      <c r="APV154" s="541"/>
      <c r="APW154" s="541"/>
      <c r="APX154" s="541"/>
      <c r="APY154" s="541"/>
      <c r="APZ154" s="541"/>
      <c r="AQA154" s="541"/>
      <c r="AQB154" s="541"/>
      <c r="AQC154" s="541"/>
      <c r="AQD154" s="541"/>
      <c r="AQE154" s="541"/>
      <c r="AQF154" s="541"/>
      <c r="AQG154" s="541"/>
      <c r="AQH154" s="541"/>
      <c r="AQI154" s="541"/>
      <c r="AQJ154" s="541"/>
      <c r="AQK154" s="541"/>
      <c r="AQL154" s="541"/>
      <c r="AQM154" s="541"/>
      <c r="AQN154" s="541"/>
      <c r="AQO154" s="541"/>
      <c r="AQP154" s="541"/>
      <c r="AQQ154" s="541"/>
      <c r="AQR154" s="541"/>
      <c r="AQS154" s="541"/>
      <c r="AQT154" s="541"/>
      <c r="AQU154" s="541"/>
      <c r="AQV154" s="541"/>
      <c r="AQW154" s="541"/>
      <c r="AQX154" s="541"/>
      <c r="AQY154" s="541"/>
      <c r="AQZ154" s="541"/>
      <c r="ARA154" s="541"/>
      <c r="ARB154" s="541"/>
      <c r="ARC154" s="541"/>
      <c r="ARD154" s="541"/>
      <c r="ARE154" s="541"/>
      <c r="ARF154" s="541"/>
      <c r="ARG154" s="541"/>
      <c r="ARH154" s="541"/>
      <c r="ARI154" s="541"/>
      <c r="ARJ154" s="541"/>
      <c r="ARK154" s="541"/>
      <c r="ARL154" s="541"/>
      <c r="ARM154" s="541"/>
      <c r="ARN154" s="541"/>
      <c r="ARO154" s="541"/>
      <c r="ARP154" s="541"/>
      <c r="ARQ154" s="541"/>
      <c r="ARR154" s="541"/>
      <c r="ARS154" s="541"/>
      <c r="ART154" s="541"/>
      <c r="ARU154" s="541"/>
    </row>
    <row r="155" spans="1:1165">
      <c r="A155" s="591"/>
      <c r="B155" s="594"/>
      <c r="C155" s="670"/>
      <c r="D155" s="670"/>
      <c r="E155" s="595"/>
      <c r="F155" s="595"/>
      <c r="G155" s="595"/>
      <c r="H155" s="595"/>
      <c r="I155" s="595"/>
      <c r="J155" s="595"/>
      <c r="K155" s="595"/>
      <c r="L155" s="595"/>
      <c r="M155" s="595"/>
      <c r="N155" s="595"/>
      <c r="O155" s="595"/>
      <c r="P155" s="595"/>
      <c r="Q155" s="595"/>
      <c r="R155" s="595"/>
      <c r="S155" s="595"/>
      <c r="T155" s="595"/>
      <c r="U155" s="672"/>
      <c r="V155" s="672"/>
      <c r="W155" s="586"/>
      <c r="X155" s="586"/>
      <c r="Y155" s="586"/>
      <c r="Z155" s="586"/>
      <c r="AA155" s="623"/>
      <c r="AB155" s="623"/>
      <c r="AC155" s="608"/>
      <c r="AD155" s="608"/>
      <c r="AE155" s="623"/>
      <c r="AF155" s="623"/>
      <c r="AG155" s="623"/>
      <c r="AH155" s="623"/>
      <c r="AI155" s="623"/>
      <c r="AJ155" s="623"/>
      <c r="AK155" s="623"/>
      <c r="AL155" s="623"/>
      <c r="AM155" s="586"/>
      <c r="AN155" s="586"/>
      <c r="AO155" s="586"/>
      <c r="AP155" s="586"/>
      <c r="AQ155" s="586"/>
      <c r="AR155" s="586"/>
      <c r="AS155" s="586"/>
      <c r="AT155" s="586"/>
      <c r="AU155" s="623"/>
      <c r="AV155" s="623"/>
      <c r="AW155" s="645"/>
      <c r="AX155" s="645"/>
      <c r="AY155" s="693"/>
      <c r="AZ155" s="693"/>
      <c r="BA155" s="685"/>
      <c r="BB155" s="645"/>
      <c r="BC155" s="645"/>
      <c r="BD155" s="645"/>
      <c r="BE155" s="645"/>
      <c r="BF155" s="645"/>
      <c r="BG155" s="645"/>
      <c r="BH155" s="645"/>
      <c r="BI155" s="685"/>
      <c r="BJ155" s="645"/>
      <c r="BK155" s="645"/>
      <c r="BL155" s="541"/>
      <c r="BM155" s="624"/>
      <c r="BO155" s="624"/>
      <c r="BP155" s="624"/>
    </row>
    <row r="156" spans="1:1165">
      <c r="A156" s="591" t="s">
        <v>297</v>
      </c>
      <c r="B156" s="594"/>
      <c r="C156" s="670"/>
      <c r="D156" s="670"/>
      <c r="E156" s="595"/>
      <c r="F156" s="595"/>
      <c r="G156" s="595"/>
      <c r="H156" s="595"/>
      <c r="I156" s="595"/>
      <c r="J156" s="595"/>
      <c r="K156" s="595"/>
      <c r="L156" s="595"/>
      <c r="M156" s="595"/>
      <c r="N156" s="595"/>
      <c r="O156" s="595"/>
      <c r="P156" s="595"/>
      <c r="Q156" s="595"/>
      <c r="R156" s="595"/>
      <c r="S156" s="595"/>
      <c r="T156" s="595"/>
      <c r="U156" s="608"/>
      <c r="V156" s="608"/>
      <c r="W156" s="672"/>
      <c r="X156" s="672"/>
      <c r="Y156" s="586"/>
      <c r="Z156" s="586"/>
      <c r="AA156" s="623"/>
      <c r="AB156" s="623"/>
      <c r="AC156" s="608"/>
      <c r="AD156" s="608"/>
      <c r="AE156" s="623"/>
      <c r="AF156" s="623"/>
      <c r="AG156" s="623"/>
      <c r="AH156" s="623"/>
      <c r="AI156" s="623"/>
      <c r="AJ156" s="623"/>
      <c r="AK156" s="623"/>
      <c r="AL156" s="623"/>
      <c r="AM156" s="586"/>
      <c r="AN156" s="586"/>
      <c r="AO156" s="586"/>
      <c r="AP156" s="586"/>
      <c r="AQ156" s="586"/>
      <c r="AR156" s="586"/>
      <c r="AS156" s="586"/>
      <c r="AT156" s="586"/>
      <c r="AU156" s="623"/>
      <c r="AV156" s="623"/>
      <c r="AW156" s="650"/>
      <c r="AX156" s="650"/>
      <c r="AY156" s="648"/>
      <c r="AZ156" s="648"/>
      <c r="BA156" s="686"/>
      <c r="BB156" s="650"/>
      <c r="BC156" s="650"/>
      <c r="BD156" s="650"/>
      <c r="BE156" s="650"/>
      <c r="BF156" s="650"/>
      <c r="BG156" s="650"/>
      <c r="BH156" s="650"/>
      <c r="BI156" s="686"/>
      <c r="BJ156" s="650"/>
      <c r="BK156" s="650"/>
      <c r="BL156" s="541"/>
      <c r="BM156" s="624"/>
      <c r="BP156" s="624"/>
    </row>
    <row r="157" spans="1:1165">
      <c r="A157" s="593" t="s">
        <v>491</v>
      </c>
      <c r="B157" s="594" t="s">
        <v>110</v>
      </c>
      <c r="C157" s="670">
        <v>3008</v>
      </c>
      <c r="D157" s="670">
        <v>21968147</v>
      </c>
      <c r="E157" s="595">
        <v>983</v>
      </c>
      <c r="F157" s="595">
        <v>13023142</v>
      </c>
      <c r="G157" s="595">
        <v>609</v>
      </c>
      <c r="H157" s="595">
        <v>7689911</v>
      </c>
      <c r="I157" s="595">
        <v>534</v>
      </c>
      <c r="J157" s="595">
        <v>5314179</v>
      </c>
      <c r="K157" s="595">
        <v>447</v>
      </c>
      <c r="L157" s="595">
        <v>3169424</v>
      </c>
      <c r="M157" s="595">
        <v>520</v>
      </c>
      <c r="N157" s="595">
        <v>6556752</v>
      </c>
      <c r="O157" s="595">
        <v>508</v>
      </c>
      <c r="P157" s="595">
        <v>9629912</v>
      </c>
      <c r="Q157" s="595">
        <v>484</v>
      </c>
      <c r="R157" s="595">
        <v>5564158</v>
      </c>
      <c r="S157" s="595">
        <v>368</v>
      </c>
      <c r="T157" s="595">
        <v>1858290</v>
      </c>
      <c r="U157" s="608">
        <v>287</v>
      </c>
      <c r="V157" s="608">
        <v>4456414</v>
      </c>
      <c r="W157" s="608">
        <v>261</v>
      </c>
      <c r="X157" s="608">
        <v>4472086</v>
      </c>
      <c r="Y157" s="608">
        <v>268</v>
      </c>
      <c r="Z157" s="608">
        <v>4264988</v>
      </c>
      <c r="AA157" s="623">
        <v>288</v>
      </c>
      <c r="AB157" s="623">
        <v>6062266</v>
      </c>
      <c r="AC157" s="595">
        <v>557</v>
      </c>
      <c r="AD157" s="595">
        <v>30281378</v>
      </c>
      <c r="AE157" s="623">
        <v>297</v>
      </c>
      <c r="AF157" s="623">
        <v>10916333</v>
      </c>
      <c r="AG157" s="586">
        <v>657</v>
      </c>
      <c r="AH157" s="586">
        <v>35844989</v>
      </c>
      <c r="AI157" s="586">
        <v>824</v>
      </c>
      <c r="AJ157" s="586">
        <v>56374547</v>
      </c>
      <c r="AK157" s="673">
        <v>942.28099999999995</v>
      </c>
      <c r="AL157" s="673">
        <v>63521086</v>
      </c>
      <c r="AM157" s="676">
        <v>1219.008</v>
      </c>
      <c r="AN157" s="676">
        <v>58771721</v>
      </c>
      <c r="AO157" s="586">
        <v>1269</v>
      </c>
      <c r="AP157" s="586">
        <v>84579343</v>
      </c>
      <c r="AQ157" s="586">
        <v>1010.34484</v>
      </c>
      <c r="AR157" s="586">
        <v>37681101.764114715</v>
      </c>
      <c r="AS157" s="586">
        <v>1564.39</v>
      </c>
      <c r="AT157" s="586">
        <v>79316782</v>
      </c>
      <c r="AU157" s="623">
        <v>2008</v>
      </c>
      <c r="AV157" s="623">
        <v>77843596</v>
      </c>
      <c r="AW157" s="623">
        <v>2068</v>
      </c>
      <c r="AX157" s="623">
        <v>53657040</v>
      </c>
      <c r="AY157" s="595">
        <v>1779</v>
      </c>
      <c r="AZ157" s="595">
        <v>52756999</v>
      </c>
      <c r="BA157" s="595"/>
      <c r="BB157" s="595"/>
      <c r="BC157" s="622"/>
      <c r="BD157" s="595"/>
      <c r="BE157" s="622"/>
      <c r="BF157" s="624"/>
      <c r="BG157" s="622"/>
      <c r="BH157" s="624"/>
      <c r="BI157" s="622"/>
      <c r="BJ157" s="595">
        <f t="shared" ref="BJ157:BJ166" si="21">C157+G157+I157+K157+M157+O157+Q157+S157+U157+W157+Y157+AA157+AC157+AE157+AG157+AI157+AK157+AM157+AO157+AQ157+AS157+AU157+AW157+AY157+BB157+BF157</f>
        <v>21777.023839999998</v>
      </c>
      <c r="BK157" s="595">
        <f t="shared" ref="BK157:BK167" si="22">D157+H157+J157+L157+N157+P157+R157+T157+V157+X157+Z157+AB157+AD157+AF157+AH157+AJ157+AL157+AN157+AP157+AR157+AT157+AV157+AX157+AZ157+BD157+BH157</f>
        <v>722551442.76411474</v>
      </c>
      <c r="BL157" s="541"/>
      <c r="BM157" s="624"/>
      <c r="BP157" s="624"/>
    </row>
    <row r="158" spans="1:1165">
      <c r="A158" s="593" t="s">
        <v>492</v>
      </c>
      <c r="B158" s="594" t="s">
        <v>110</v>
      </c>
      <c r="C158" s="586">
        <v>0</v>
      </c>
      <c r="D158" s="586">
        <v>0</v>
      </c>
      <c r="E158" s="586">
        <v>0</v>
      </c>
      <c r="F158" s="586">
        <v>0</v>
      </c>
      <c r="G158" s="586">
        <v>0</v>
      </c>
      <c r="H158" s="586">
        <v>0</v>
      </c>
      <c r="I158" s="586">
        <v>0</v>
      </c>
      <c r="J158" s="586">
        <v>0</v>
      </c>
      <c r="K158" s="586">
        <v>0</v>
      </c>
      <c r="L158" s="586">
        <v>0</v>
      </c>
      <c r="M158" s="586">
        <v>0</v>
      </c>
      <c r="N158" s="586">
        <v>0</v>
      </c>
      <c r="O158" s="586">
        <v>0</v>
      </c>
      <c r="P158" s="586">
        <v>0</v>
      </c>
      <c r="Q158" s="586">
        <v>0</v>
      </c>
      <c r="R158" s="586">
        <v>0</v>
      </c>
      <c r="S158" s="586">
        <v>0</v>
      </c>
      <c r="T158" s="586">
        <v>0</v>
      </c>
      <c r="U158" s="586">
        <v>0</v>
      </c>
      <c r="V158" s="586">
        <v>0</v>
      </c>
      <c r="W158" s="586">
        <v>0</v>
      </c>
      <c r="X158" s="586">
        <v>0</v>
      </c>
      <c r="Y158" s="586">
        <v>0</v>
      </c>
      <c r="Z158" s="586">
        <v>0</v>
      </c>
      <c r="AA158" s="586">
        <v>0</v>
      </c>
      <c r="AB158" s="586">
        <v>0</v>
      </c>
      <c r="AC158" s="586">
        <v>0</v>
      </c>
      <c r="AD158" s="586">
        <v>0</v>
      </c>
      <c r="AE158" s="586">
        <v>0</v>
      </c>
      <c r="AF158" s="586">
        <v>0</v>
      </c>
      <c r="AG158" s="586">
        <v>0</v>
      </c>
      <c r="AH158" s="586">
        <v>0</v>
      </c>
      <c r="AI158" s="586">
        <v>0</v>
      </c>
      <c r="AJ158" s="586">
        <v>0</v>
      </c>
      <c r="AK158" s="586">
        <v>0</v>
      </c>
      <c r="AL158" s="586">
        <v>0</v>
      </c>
      <c r="AM158" s="586">
        <v>0</v>
      </c>
      <c r="AN158" s="586">
        <v>0</v>
      </c>
      <c r="AO158" s="586">
        <v>0</v>
      </c>
      <c r="AP158" s="586">
        <v>0</v>
      </c>
      <c r="AQ158" s="586">
        <v>0</v>
      </c>
      <c r="AR158" s="586">
        <v>0</v>
      </c>
      <c r="AS158" s="586">
        <v>1013.16</v>
      </c>
      <c r="AT158" s="586">
        <v>47020250</v>
      </c>
      <c r="AU158" s="623">
        <v>1482.9</v>
      </c>
      <c r="AV158" s="623">
        <v>48471747</v>
      </c>
      <c r="AW158" s="623">
        <v>2116</v>
      </c>
      <c r="AX158" s="623">
        <v>51122414</v>
      </c>
      <c r="AY158" s="595">
        <v>3004.54</v>
      </c>
      <c r="AZ158" s="595">
        <v>79296234</v>
      </c>
      <c r="BA158" s="625"/>
      <c r="BB158" s="682"/>
      <c r="BC158" s="682"/>
      <c r="BD158" s="682"/>
      <c r="BE158" s="622"/>
      <c r="BF158" s="624"/>
      <c r="BG158" s="622"/>
      <c r="BH158" s="624"/>
      <c r="BI158" s="622"/>
      <c r="BJ158" s="595">
        <f t="shared" si="21"/>
        <v>7616.5999999999995</v>
      </c>
      <c r="BK158" s="595">
        <f t="shared" si="22"/>
        <v>225910645</v>
      </c>
      <c r="BL158" s="541"/>
      <c r="BM158" s="624"/>
      <c r="BN158" s="624"/>
      <c r="BP158" s="624"/>
    </row>
    <row r="159" spans="1:1165">
      <c r="A159" s="593" t="s">
        <v>493</v>
      </c>
      <c r="B159" s="594" t="s">
        <v>110</v>
      </c>
      <c r="C159" s="586">
        <v>0</v>
      </c>
      <c r="D159" s="586">
        <v>0</v>
      </c>
      <c r="E159" s="586">
        <v>0</v>
      </c>
      <c r="F159" s="586">
        <v>0</v>
      </c>
      <c r="G159" s="586">
        <v>0</v>
      </c>
      <c r="H159" s="586">
        <v>0</v>
      </c>
      <c r="I159" s="586">
        <v>0</v>
      </c>
      <c r="J159" s="586">
        <v>0</v>
      </c>
      <c r="K159" s="586">
        <v>0</v>
      </c>
      <c r="L159" s="586">
        <v>0</v>
      </c>
      <c r="M159" s="586">
        <v>0</v>
      </c>
      <c r="N159" s="586">
        <v>0</v>
      </c>
      <c r="O159" s="586">
        <v>0</v>
      </c>
      <c r="P159" s="586">
        <v>0</v>
      </c>
      <c r="Q159" s="586">
        <v>0</v>
      </c>
      <c r="R159" s="586">
        <v>0</v>
      </c>
      <c r="S159" s="586">
        <v>0</v>
      </c>
      <c r="T159" s="586">
        <v>0</v>
      </c>
      <c r="U159" s="586">
        <v>0</v>
      </c>
      <c r="V159" s="586">
        <v>0</v>
      </c>
      <c r="W159" s="586">
        <v>0</v>
      </c>
      <c r="X159" s="586">
        <v>0</v>
      </c>
      <c r="Y159" s="586">
        <v>0</v>
      </c>
      <c r="Z159" s="586">
        <v>0</v>
      </c>
      <c r="AA159" s="586">
        <v>0</v>
      </c>
      <c r="AB159" s="586">
        <v>0</v>
      </c>
      <c r="AC159" s="586">
        <v>0</v>
      </c>
      <c r="AD159" s="586">
        <v>0</v>
      </c>
      <c r="AE159" s="586">
        <v>0</v>
      </c>
      <c r="AF159" s="586">
        <v>0</v>
      </c>
      <c r="AG159" s="586">
        <v>0</v>
      </c>
      <c r="AH159" s="586">
        <v>0</v>
      </c>
      <c r="AI159" s="586">
        <v>0</v>
      </c>
      <c r="AJ159" s="586">
        <v>0</v>
      </c>
      <c r="AK159" s="586">
        <v>0</v>
      </c>
      <c r="AL159" s="586">
        <v>0</v>
      </c>
      <c r="AM159" s="586">
        <v>0</v>
      </c>
      <c r="AN159" s="586">
        <v>0</v>
      </c>
      <c r="AO159" s="586">
        <v>0</v>
      </c>
      <c r="AP159" s="586">
        <v>0</v>
      </c>
      <c r="AQ159" s="586">
        <v>0</v>
      </c>
      <c r="AR159" s="586">
        <v>0</v>
      </c>
      <c r="AS159" s="586">
        <v>1021.84</v>
      </c>
      <c r="AT159" s="586">
        <v>31317780</v>
      </c>
      <c r="AU159" s="623">
        <v>774</v>
      </c>
      <c r="AV159" s="623">
        <v>19958728</v>
      </c>
      <c r="AW159" s="623">
        <v>514.27</v>
      </c>
      <c r="AX159" s="623">
        <v>14166005</v>
      </c>
      <c r="AY159" s="595">
        <v>381</v>
      </c>
      <c r="AZ159" s="595">
        <v>12985078</v>
      </c>
      <c r="BA159" s="595"/>
      <c r="BB159" s="595"/>
      <c r="BC159" s="595"/>
      <c r="BD159" s="595"/>
      <c r="BE159" s="595"/>
      <c r="BF159" s="624"/>
      <c r="BG159" s="622"/>
      <c r="BH159" s="624"/>
      <c r="BI159" s="622"/>
      <c r="BJ159" s="595">
        <f t="shared" si="21"/>
        <v>2691.11</v>
      </c>
      <c r="BK159" s="595">
        <f t="shared" si="22"/>
        <v>78427591</v>
      </c>
      <c r="BL159" s="541"/>
      <c r="BM159" s="624"/>
      <c r="BP159" s="624"/>
    </row>
    <row r="160" spans="1:1165">
      <c r="A160" s="596" t="s">
        <v>298</v>
      </c>
      <c r="B160" s="594"/>
      <c r="C160" s="595">
        <f t="shared" ref="C160:R160" si="23">SUM(C157:C159)</f>
        <v>3008</v>
      </c>
      <c r="D160" s="595">
        <f t="shared" si="23"/>
        <v>21968147</v>
      </c>
      <c r="E160" s="595">
        <f t="shared" si="23"/>
        <v>983</v>
      </c>
      <c r="F160" s="595">
        <f t="shared" si="23"/>
        <v>13023142</v>
      </c>
      <c r="G160" s="595">
        <f t="shared" si="23"/>
        <v>609</v>
      </c>
      <c r="H160" s="595">
        <f t="shared" si="23"/>
        <v>7689911</v>
      </c>
      <c r="I160" s="595">
        <f t="shared" si="23"/>
        <v>534</v>
      </c>
      <c r="J160" s="595">
        <f t="shared" si="23"/>
        <v>5314179</v>
      </c>
      <c r="K160" s="595">
        <f t="shared" si="23"/>
        <v>447</v>
      </c>
      <c r="L160" s="595">
        <f t="shared" si="23"/>
        <v>3169424</v>
      </c>
      <c r="M160" s="595">
        <f t="shared" si="23"/>
        <v>520</v>
      </c>
      <c r="N160" s="595">
        <f t="shared" si="23"/>
        <v>6556752</v>
      </c>
      <c r="O160" s="595">
        <f t="shared" si="23"/>
        <v>508</v>
      </c>
      <c r="P160" s="595">
        <f t="shared" si="23"/>
        <v>9629912</v>
      </c>
      <c r="Q160" s="586">
        <f t="shared" si="23"/>
        <v>484</v>
      </c>
      <c r="R160" s="586">
        <f t="shared" si="23"/>
        <v>5564158</v>
      </c>
      <c r="S160" s="586"/>
      <c r="T160" s="586">
        <f>SUM(T157:T159)</f>
        <v>1858290</v>
      </c>
      <c r="U160" s="608"/>
      <c r="V160" s="586">
        <f t="shared" ref="V160:AV160" si="24">SUM(V157:V159)</f>
        <v>4456414</v>
      </c>
      <c r="W160" s="608">
        <f t="shared" si="24"/>
        <v>261</v>
      </c>
      <c r="X160" s="608">
        <f t="shared" si="24"/>
        <v>4472086</v>
      </c>
      <c r="Y160" s="608">
        <f t="shared" si="24"/>
        <v>268</v>
      </c>
      <c r="Z160" s="608">
        <f t="shared" si="24"/>
        <v>4264988</v>
      </c>
      <c r="AA160" s="608">
        <f t="shared" si="24"/>
        <v>288</v>
      </c>
      <c r="AB160" s="623">
        <f t="shared" si="24"/>
        <v>6062266</v>
      </c>
      <c r="AC160" s="608">
        <f t="shared" si="24"/>
        <v>557</v>
      </c>
      <c r="AD160" s="623">
        <f t="shared" si="24"/>
        <v>30281378</v>
      </c>
      <c r="AE160" s="623">
        <f t="shared" si="24"/>
        <v>297</v>
      </c>
      <c r="AF160" s="623">
        <f t="shared" si="24"/>
        <v>10916333</v>
      </c>
      <c r="AG160" s="586">
        <f t="shared" si="24"/>
        <v>657</v>
      </c>
      <c r="AH160" s="586">
        <f t="shared" si="24"/>
        <v>35844989</v>
      </c>
      <c r="AI160" s="586">
        <f t="shared" si="24"/>
        <v>824</v>
      </c>
      <c r="AJ160" s="586">
        <f t="shared" si="24"/>
        <v>56374547</v>
      </c>
      <c r="AK160" s="586">
        <f t="shared" si="24"/>
        <v>942.28099999999995</v>
      </c>
      <c r="AL160" s="586">
        <f t="shared" si="24"/>
        <v>63521086</v>
      </c>
      <c r="AM160" s="586">
        <f t="shared" si="24"/>
        <v>1219.008</v>
      </c>
      <c r="AN160" s="586">
        <f t="shared" si="24"/>
        <v>58771721</v>
      </c>
      <c r="AO160" s="586">
        <f t="shared" si="24"/>
        <v>1269</v>
      </c>
      <c r="AP160" s="586">
        <f t="shared" si="24"/>
        <v>84579343</v>
      </c>
      <c r="AQ160" s="586">
        <f t="shared" si="24"/>
        <v>1010.34484</v>
      </c>
      <c r="AR160" s="586">
        <f t="shared" si="24"/>
        <v>37681101.764114715</v>
      </c>
      <c r="AS160" s="586">
        <f t="shared" si="24"/>
        <v>3599.3900000000003</v>
      </c>
      <c r="AT160" s="586">
        <f t="shared" si="24"/>
        <v>157654812</v>
      </c>
      <c r="AU160" s="623">
        <f t="shared" si="24"/>
        <v>4264.8999999999996</v>
      </c>
      <c r="AV160" s="623">
        <f t="shared" si="24"/>
        <v>146274071</v>
      </c>
      <c r="AW160" s="623"/>
      <c r="AX160" s="623">
        <f>SUM(AX157:AX159)</f>
        <v>118945459</v>
      </c>
      <c r="AY160" s="595"/>
      <c r="AZ160" s="595">
        <f>SUM(AZ157:AZ159)</f>
        <v>145038311</v>
      </c>
      <c r="BA160" s="677"/>
      <c r="BB160" s="595"/>
      <c r="BC160" s="595"/>
      <c r="BD160" s="595"/>
      <c r="BE160" s="622"/>
      <c r="BF160" s="624"/>
      <c r="BG160" s="624"/>
      <c r="BH160" s="624"/>
      <c r="BI160" s="622"/>
      <c r="BJ160" s="595">
        <f t="shared" si="21"/>
        <v>21566.923839999996</v>
      </c>
      <c r="BK160" s="595">
        <f t="shared" si="22"/>
        <v>1026889678.7641147</v>
      </c>
      <c r="BL160" s="541"/>
      <c r="BM160" s="624"/>
      <c r="BO160" s="624"/>
      <c r="BP160" s="624"/>
    </row>
    <row r="161" spans="1:1165">
      <c r="A161" s="593" t="s">
        <v>735</v>
      </c>
      <c r="B161" s="594" t="s">
        <v>110</v>
      </c>
      <c r="C161" s="670">
        <v>4109967</v>
      </c>
      <c r="D161" s="670">
        <v>1838854785</v>
      </c>
      <c r="E161" s="595">
        <v>396534</v>
      </c>
      <c r="F161" s="595">
        <v>303751597</v>
      </c>
      <c r="G161" s="595">
        <v>405946</v>
      </c>
      <c r="H161" s="595">
        <v>306484456</v>
      </c>
      <c r="I161" s="595">
        <v>457785</v>
      </c>
      <c r="J161" s="595">
        <v>332138957</v>
      </c>
      <c r="K161" s="595">
        <v>494007</v>
      </c>
      <c r="L161" s="595">
        <v>288621810</v>
      </c>
      <c r="M161" s="595">
        <v>496630</v>
      </c>
      <c r="N161" s="595">
        <v>320229972</v>
      </c>
      <c r="O161" s="595">
        <v>483207</v>
      </c>
      <c r="P161" s="595">
        <v>379142920</v>
      </c>
      <c r="Q161" s="595">
        <v>402398</v>
      </c>
      <c r="R161" s="595">
        <v>262931472</v>
      </c>
      <c r="S161" s="595">
        <v>416152</v>
      </c>
      <c r="T161" s="595">
        <v>291185395</v>
      </c>
      <c r="U161" s="608">
        <v>337723</v>
      </c>
      <c r="V161" s="608">
        <v>480849980</v>
      </c>
      <c r="W161" s="608">
        <v>384381</v>
      </c>
      <c r="X161" s="608">
        <v>678568855</v>
      </c>
      <c r="Y161" s="608">
        <v>486225</v>
      </c>
      <c r="Z161" s="608">
        <v>543077506</v>
      </c>
      <c r="AA161" s="623">
        <v>521511</v>
      </c>
      <c r="AB161" s="623">
        <v>567874813</v>
      </c>
      <c r="AC161" s="595">
        <v>462786</v>
      </c>
      <c r="AD161" s="595">
        <v>457569201</v>
      </c>
      <c r="AE161" s="623">
        <v>529997</v>
      </c>
      <c r="AF161" s="623">
        <v>437744354</v>
      </c>
      <c r="AG161" s="586">
        <v>677185</v>
      </c>
      <c r="AH161" s="586">
        <v>630129006</v>
      </c>
      <c r="AI161" s="586">
        <v>751788</v>
      </c>
      <c r="AJ161" s="586">
        <v>1094171929</v>
      </c>
      <c r="AK161" s="673">
        <v>764281</v>
      </c>
      <c r="AL161" s="673">
        <v>1033883708</v>
      </c>
      <c r="AM161" s="676">
        <v>873119</v>
      </c>
      <c r="AN161" s="676">
        <v>1136002794</v>
      </c>
      <c r="AO161" s="586">
        <v>952901</v>
      </c>
      <c r="AP161" s="586">
        <v>1039122520</v>
      </c>
      <c r="AQ161" s="586">
        <v>790080</v>
      </c>
      <c r="AR161" s="586">
        <v>1046218365</v>
      </c>
      <c r="AS161" s="586">
        <v>860689</v>
      </c>
      <c r="AT161" s="586">
        <v>1912004771</v>
      </c>
      <c r="AU161" s="623">
        <v>1010418</v>
      </c>
      <c r="AV161" s="623">
        <v>1671766445</v>
      </c>
      <c r="AW161" s="623">
        <v>1234067</v>
      </c>
      <c r="AX161" s="623">
        <v>1841344135</v>
      </c>
      <c r="AY161" s="595">
        <v>1501997</v>
      </c>
      <c r="AZ161" s="595">
        <v>2158863411</v>
      </c>
      <c r="BA161" s="595"/>
      <c r="BB161" s="595"/>
      <c r="BC161" s="622"/>
      <c r="BD161" s="595"/>
      <c r="BE161" s="622"/>
      <c r="BF161" s="624"/>
      <c r="BG161" s="622"/>
      <c r="BH161" s="624"/>
      <c r="BI161" s="622"/>
      <c r="BJ161" s="595">
        <f t="shared" si="21"/>
        <v>19405240</v>
      </c>
      <c r="BK161" s="595">
        <f t="shared" si="22"/>
        <v>20748781560</v>
      </c>
      <c r="BL161" s="541"/>
      <c r="BM161" s="624"/>
      <c r="BP161" s="624"/>
    </row>
    <row r="162" spans="1:1165">
      <c r="A162" s="593" t="s">
        <v>490</v>
      </c>
      <c r="B162" s="594" t="s">
        <v>110</v>
      </c>
      <c r="C162" s="595">
        <v>0</v>
      </c>
      <c r="D162" s="595">
        <v>0</v>
      </c>
      <c r="E162" s="595">
        <v>0</v>
      </c>
      <c r="F162" s="595">
        <v>0</v>
      </c>
      <c r="G162" s="586">
        <v>0</v>
      </c>
      <c r="H162" s="586">
        <v>0</v>
      </c>
      <c r="I162" s="586">
        <v>0</v>
      </c>
      <c r="J162" s="586">
        <v>0</v>
      </c>
      <c r="K162" s="595">
        <v>0</v>
      </c>
      <c r="L162" s="595">
        <v>0</v>
      </c>
      <c r="M162" s="595">
        <v>0</v>
      </c>
      <c r="N162" s="595">
        <v>0</v>
      </c>
      <c r="O162" s="595">
        <v>0</v>
      </c>
      <c r="P162" s="595">
        <v>0</v>
      </c>
      <c r="Q162" s="586">
        <v>0</v>
      </c>
      <c r="R162" s="586">
        <v>0</v>
      </c>
      <c r="S162" s="586">
        <v>0</v>
      </c>
      <c r="T162" s="586">
        <v>0</v>
      </c>
      <c r="U162" s="608">
        <v>0</v>
      </c>
      <c r="V162" s="608">
        <v>0</v>
      </c>
      <c r="W162" s="608">
        <v>0</v>
      </c>
      <c r="X162" s="608">
        <v>0</v>
      </c>
      <c r="Y162" s="623"/>
      <c r="Z162" s="623"/>
      <c r="AA162" s="623">
        <v>0</v>
      </c>
      <c r="AB162" s="623">
        <v>0</v>
      </c>
      <c r="AC162" s="586">
        <v>1056</v>
      </c>
      <c r="AD162" s="586">
        <v>2202178</v>
      </c>
      <c r="AE162" s="586">
        <v>0</v>
      </c>
      <c r="AF162" s="586">
        <v>0</v>
      </c>
      <c r="AG162" s="586">
        <v>0</v>
      </c>
      <c r="AH162" s="586">
        <v>0</v>
      </c>
      <c r="AI162" s="586">
        <v>0</v>
      </c>
      <c r="AJ162" s="586">
        <v>0</v>
      </c>
      <c r="AK162" s="586">
        <v>0</v>
      </c>
      <c r="AL162" s="586">
        <v>0</v>
      </c>
      <c r="AM162" s="586">
        <v>0</v>
      </c>
      <c r="AN162" s="586">
        <v>0</v>
      </c>
      <c r="AO162" s="586">
        <v>0</v>
      </c>
      <c r="AP162" s="586">
        <v>0</v>
      </c>
      <c r="AQ162" s="586">
        <v>3800.9760000000001</v>
      </c>
      <c r="AR162" s="586">
        <v>38741570</v>
      </c>
      <c r="AS162" s="586">
        <v>23939</v>
      </c>
      <c r="AT162" s="586">
        <v>339672398</v>
      </c>
      <c r="AU162" s="623">
        <v>35301.370000000003</v>
      </c>
      <c r="AV162" s="623">
        <v>402713927</v>
      </c>
      <c r="AW162" s="586">
        <v>32011.991000000002</v>
      </c>
      <c r="AX162" s="623">
        <v>401212339</v>
      </c>
      <c r="AY162" s="595">
        <v>38213</v>
      </c>
      <c r="AZ162" s="595">
        <v>521380522</v>
      </c>
      <c r="BA162" s="625"/>
      <c r="BB162" s="682"/>
      <c r="BC162" s="622"/>
      <c r="BD162" s="682"/>
      <c r="BE162" s="622"/>
      <c r="BF162" s="624"/>
      <c r="BG162" s="622"/>
      <c r="BH162" s="624"/>
      <c r="BI162" s="622"/>
      <c r="BJ162" s="595">
        <f t="shared" si="21"/>
        <v>134322.337</v>
      </c>
      <c r="BK162" s="595">
        <f t="shared" si="22"/>
        <v>1705922934</v>
      </c>
      <c r="BL162" s="541"/>
      <c r="BM162" s="624"/>
      <c r="BO162" s="624"/>
      <c r="BP162" s="624"/>
    </row>
    <row r="163" spans="1:1165">
      <c r="A163" s="593" t="s">
        <v>299</v>
      </c>
      <c r="B163" s="594" t="s">
        <v>110</v>
      </c>
      <c r="C163" s="670">
        <v>782698</v>
      </c>
      <c r="D163" s="670">
        <v>70699625</v>
      </c>
      <c r="E163" s="595">
        <v>86565</v>
      </c>
      <c r="F163" s="595">
        <v>18554973</v>
      </c>
      <c r="G163" s="595">
        <v>85894</v>
      </c>
      <c r="H163" s="595">
        <v>17869788</v>
      </c>
      <c r="I163" s="595">
        <v>98187</v>
      </c>
      <c r="J163" s="595">
        <v>19411692</v>
      </c>
      <c r="K163" s="595">
        <v>19399</v>
      </c>
      <c r="L163" s="595">
        <v>2919743</v>
      </c>
      <c r="M163" s="595">
        <v>0</v>
      </c>
      <c r="N163" s="595">
        <v>0</v>
      </c>
      <c r="O163" s="595">
        <v>17877</v>
      </c>
      <c r="P163" s="595">
        <v>3383183</v>
      </c>
      <c r="Q163" s="595">
        <v>66715</v>
      </c>
      <c r="R163" s="595">
        <v>12207125</v>
      </c>
      <c r="S163" s="595">
        <v>20602</v>
      </c>
      <c r="T163" s="595">
        <v>2965739</v>
      </c>
      <c r="U163" s="608">
        <v>0</v>
      </c>
      <c r="V163" s="608">
        <v>0</v>
      </c>
      <c r="W163" s="608">
        <v>17101</v>
      </c>
      <c r="X163" s="608">
        <v>10281141</v>
      </c>
      <c r="Y163" s="608">
        <v>28649</v>
      </c>
      <c r="Z163" s="608">
        <v>14892472</v>
      </c>
      <c r="AA163" s="623">
        <v>2318</v>
      </c>
      <c r="AB163" s="623">
        <v>1368276</v>
      </c>
      <c r="AC163" s="608">
        <v>2892</v>
      </c>
      <c r="AD163" s="608">
        <v>1767117</v>
      </c>
      <c r="AE163" s="586">
        <v>0</v>
      </c>
      <c r="AF163" s="586">
        <v>0</v>
      </c>
      <c r="AG163" s="586">
        <v>0</v>
      </c>
      <c r="AH163" s="586">
        <v>0</v>
      </c>
      <c r="AI163" s="586">
        <v>0</v>
      </c>
      <c r="AJ163" s="586">
        <v>0</v>
      </c>
      <c r="AK163" s="586">
        <v>0</v>
      </c>
      <c r="AL163" s="586">
        <v>0</v>
      </c>
      <c r="AM163" s="586">
        <v>0</v>
      </c>
      <c r="AN163" s="586">
        <v>0</v>
      </c>
      <c r="AO163" s="586">
        <v>0</v>
      </c>
      <c r="AP163" s="586">
        <v>0</v>
      </c>
      <c r="AQ163" s="586">
        <v>0</v>
      </c>
      <c r="AR163" s="586">
        <v>0</v>
      </c>
      <c r="AS163" s="586">
        <v>0</v>
      </c>
      <c r="AT163" s="586">
        <v>0</v>
      </c>
      <c r="AU163" s="586">
        <v>0</v>
      </c>
      <c r="AV163" s="586">
        <v>0</v>
      </c>
      <c r="AW163" s="586">
        <v>0</v>
      </c>
      <c r="AX163" s="623">
        <v>0</v>
      </c>
      <c r="AY163" s="595">
        <v>0</v>
      </c>
      <c r="AZ163" s="595">
        <v>0</v>
      </c>
      <c r="BA163" s="625"/>
      <c r="BB163" s="682"/>
      <c r="BC163" s="682"/>
      <c r="BD163" s="682"/>
      <c r="BE163" s="682"/>
      <c r="BF163" s="682"/>
      <c r="BG163" s="682"/>
      <c r="BH163" s="682"/>
      <c r="BI163" s="625"/>
      <c r="BJ163" s="682">
        <f t="shared" si="21"/>
        <v>1142332</v>
      </c>
      <c r="BK163" s="595">
        <f t="shared" si="22"/>
        <v>157765901</v>
      </c>
      <c r="BL163" s="541"/>
      <c r="BM163" s="624"/>
      <c r="BN163" s="624"/>
      <c r="BO163" s="624"/>
      <c r="BP163" s="624"/>
    </row>
    <row r="164" spans="1:1165">
      <c r="A164" s="593" t="s">
        <v>485</v>
      </c>
      <c r="B164" s="594" t="s">
        <v>196</v>
      </c>
      <c r="C164" s="670">
        <v>1622</v>
      </c>
      <c r="D164" s="670">
        <v>4426647</v>
      </c>
      <c r="E164" s="595">
        <v>328</v>
      </c>
      <c r="F164" s="595">
        <v>1834614</v>
      </c>
      <c r="G164" s="595">
        <v>401</v>
      </c>
      <c r="H164" s="595">
        <v>1254422</v>
      </c>
      <c r="I164" s="595">
        <v>416</v>
      </c>
      <c r="J164" s="595">
        <v>1112023</v>
      </c>
      <c r="K164" s="595">
        <v>449</v>
      </c>
      <c r="L164" s="595">
        <v>1963478</v>
      </c>
      <c r="M164" s="595">
        <v>523</v>
      </c>
      <c r="N164" s="595">
        <v>2693559</v>
      </c>
      <c r="O164" s="595">
        <v>476</v>
      </c>
      <c r="P164" s="595">
        <v>2382702</v>
      </c>
      <c r="Q164" s="595">
        <v>482</v>
      </c>
      <c r="R164" s="595">
        <v>2557435</v>
      </c>
      <c r="S164" s="595">
        <v>450</v>
      </c>
      <c r="T164" s="595">
        <v>2980875</v>
      </c>
      <c r="U164" s="608">
        <v>360</v>
      </c>
      <c r="V164" s="608">
        <v>2118657</v>
      </c>
      <c r="W164" s="608">
        <v>323</v>
      </c>
      <c r="X164" s="608">
        <v>1917445</v>
      </c>
      <c r="Y164" s="608">
        <v>435</v>
      </c>
      <c r="Z164" s="608">
        <v>1185127</v>
      </c>
      <c r="AA164" s="623">
        <v>351</v>
      </c>
      <c r="AB164" s="623">
        <v>1260296</v>
      </c>
      <c r="AC164" s="608">
        <v>539</v>
      </c>
      <c r="AD164" s="608">
        <v>1372039</v>
      </c>
      <c r="AE164" s="586">
        <v>405</v>
      </c>
      <c r="AF164" s="623">
        <v>2035430</v>
      </c>
      <c r="AG164" s="586">
        <v>450</v>
      </c>
      <c r="AH164" s="586">
        <v>2904466</v>
      </c>
      <c r="AI164" s="586">
        <v>528</v>
      </c>
      <c r="AJ164" s="586">
        <v>3065446</v>
      </c>
      <c r="AK164" s="673">
        <v>558.78599999999994</v>
      </c>
      <c r="AL164" s="673">
        <v>2416416</v>
      </c>
      <c r="AM164" s="676">
        <v>429.30700000000002</v>
      </c>
      <c r="AN164" s="676">
        <v>3227915</v>
      </c>
      <c r="AO164" s="586">
        <v>827</v>
      </c>
      <c r="AP164" s="586">
        <v>10096972</v>
      </c>
      <c r="AQ164" s="586">
        <v>815.52119984889157</v>
      </c>
      <c r="AR164" s="586">
        <v>10566068.640663452</v>
      </c>
      <c r="AS164" s="586">
        <v>812.19299999999998</v>
      </c>
      <c r="AT164" s="586">
        <v>28280483</v>
      </c>
      <c r="AU164" s="623">
        <v>827.71299999999997</v>
      </c>
      <c r="AV164" s="623">
        <v>32267391</v>
      </c>
      <c r="AW164" s="586">
        <v>810.452</v>
      </c>
      <c r="AX164" s="623">
        <v>16146791</v>
      </c>
      <c r="AY164" s="595">
        <v>477.05799999999999</v>
      </c>
      <c r="AZ164" s="595">
        <v>4002358</v>
      </c>
      <c r="BA164" s="686"/>
      <c r="BB164" s="608"/>
      <c r="BC164" s="608"/>
      <c r="BD164" s="608"/>
      <c r="BE164" s="608"/>
      <c r="BF164" s="624"/>
      <c r="BG164" s="624"/>
      <c r="BH164" s="624"/>
      <c r="BI164" s="686"/>
      <c r="BJ164" s="682">
        <f t="shared" si="21"/>
        <v>13768.03019984889</v>
      </c>
      <c r="BK164" s="595">
        <f t="shared" si="22"/>
        <v>142234441.64066344</v>
      </c>
      <c r="BL164" s="541"/>
      <c r="BM164" s="624"/>
      <c r="BN164" s="624"/>
      <c r="BP164" s="624"/>
    </row>
    <row r="165" spans="1:1165">
      <c r="A165" s="593" t="s">
        <v>486</v>
      </c>
      <c r="B165" s="594" t="s">
        <v>196</v>
      </c>
      <c r="C165" s="670">
        <v>626</v>
      </c>
      <c r="D165" s="670">
        <v>3918687</v>
      </c>
      <c r="E165" s="595">
        <v>64</v>
      </c>
      <c r="F165" s="595">
        <v>954184</v>
      </c>
      <c r="G165" s="595">
        <v>65</v>
      </c>
      <c r="H165" s="595">
        <v>868736</v>
      </c>
      <c r="I165" s="595">
        <v>74</v>
      </c>
      <c r="J165" s="595">
        <v>933357</v>
      </c>
      <c r="K165" s="595">
        <v>52</v>
      </c>
      <c r="L165" s="595">
        <v>863905</v>
      </c>
      <c r="M165" s="595">
        <v>66</v>
      </c>
      <c r="N165" s="595">
        <v>1010176</v>
      </c>
      <c r="O165" s="595">
        <v>95</v>
      </c>
      <c r="P165" s="595">
        <v>1405304</v>
      </c>
      <c r="Q165" s="595">
        <v>115</v>
      </c>
      <c r="R165" s="595">
        <v>2459690</v>
      </c>
      <c r="S165" s="595">
        <v>84</v>
      </c>
      <c r="T165" s="595">
        <v>2150013</v>
      </c>
      <c r="U165" s="586">
        <v>73</v>
      </c>
      <c r="V165" s="586">
        <v>1584833</v>
      </c>
      <c r="W165" s="608">
        <v>61</v>
      </c>
      <c r="X165" s="608">
        <v>1275979</v>
      </c>
      <c r="Y165" s="608">
        <v>96</v>
      </c>
      <c r="Z165" s="608">
        <v>1235806</v>
      </c>
      <c r="AA165" s="623">
        <v>82</v>
      </c>
      <c r="AB165" s="623">
        <v>1494173</v>
      </c>
      <c r="AC165" s="595">
        <v>143</v>
      </c>
      <c r="AD165" s="595">
        <v>1249742</v>
      </c>
      <c r="AE165" s="586">
        <v>79</v>
      </c>
      <c r="AF165" s="623">
        <v>1142319</v>
      </c>
      <c r="AG165" s="586">
        <v>113</v>
      </c>
      <c r="AH165" s="586">
        <v>1266118</v>
      </c>
      <c r="AI165" s="586">
        <v>74</v>
      </c>
      <c r="AJ165" s="586">
        <v>1734790</v>
      </c>
      <c r="AK165" s="673">
        <v>119.31399999999999</v>
      </c>
      <c r="AL165" s="673">
        <v>1584578</v>
      </c>
      <c r="AM165" s="676">
        <v>314.654</v>
      </c>
      <c r="AN165" s="676">
        <v>2419386</v>
      </c>
      <c r="AO165" s="586">
        <v>155</v>
      </c>
      <c r="AP165" s="586">
        <v>2852073</v>
      </c>
      <c r="AQ165" s="586">
        <v>90.426869773498154</v>
      </c>
      <c r="AR165" s="586">
        <v>1700644.5099171938</v>
      </c>
      <c r="AS165" s="586">
        <v>170.58199999999999</v>
      </c>
      <c r="AT165" s="586">
        <v>4976316</v>
      </c>
      <c r="AU165" s="623">
        <v>173.685</v>
      </c>
      <c r="AV165" s="623">
        <v>5302472</v>
      </c>
      <c r="AW165" s="586">
        <v>122.00200000000001</v>
      </c>
      <c r="AX165" s="623">
        <v>2945218</v>
      </c>
      <c r="AY165" s="595">
        <v>133.346</v>
      </c>
      <c r="AZ165" s="595">
        <v>4306903</v>
      </c>
      <c r="BA165" s="686"/>
      <c r="BB165" s="608"/>
      <c r="BC165" s="608"/>
      <c r="BD165" s="608"/>
      <c r="BE165" s="608"/>
      <c r="BF165" s="624"/>
      <c r="BG165" s="624"/>
      <c r="BH165" s="624"/>
      <c r="BI165" s="686"/>
      <c r="BJ165" s="682">
        <f t="shared" si="21"/>
        <v>3177.0098697734979</v>
      </c>
      <c r="BK165" s="595">
        <f t="shared" si="22"/>
        <v>50681218.509917192</v>
      </c>
      <c r="BL165" s="541"/>
      <c r="BM165" s="624"/>
      <c r="BN165" s="624"/>
      <c r="BP165" s="624"/>
    </row>
    <row r="166" spans="1:1165">
      <c r="A166" s="593" t="s">
        <v>300</v>
      </c>
      <c r="B166" s="594" t="s">
        <v>196</v>
      </c>
      <c r="C166" s="670">
        <v>32</v>
      </c>
      <c r="D166" s="670">
        <v>51640</v>
      </c>
      <c r="E166" s="595">
        <v>0</v>
      </c>
      <c r="F166" s="595">
        <v>0</v>
      </c>
      <c r="G166" s="595">
        <v>0</v>
      </c>
      <c r="H166" s="595">
        <v>0</v>
      </c>
      <c r="I166" s="595">
        <v>0</v>
      </c>
      <c r="J166" s="595">
        <v>0</v>
      </c>
      <c r="K166" s="595">
        <v>0</v>
      </c>
      <c r="L166" s="595">
        <v>0</v>
      </c>
      <c r="M166" s="595">
        <v>0</v>
      </c>
      <c r="N166" s="595">
        <v>0</v>
      </c>
      <c r="O166" s="595">
        <v>0</v>
      </c>
      <c r="P166" s="595">
        <v>0</v>
      </c>
      <c r="Q166" s="595">
        <v>0</v>
      </c>
      <c r="R166" s="595">
        <v>0</v>
      </c>
      <c r="S166" s="595">
        <v>0</v>
      </c>
      <c r="T166" s="595">
        <v>0</v>
      </c>
      <c r="U166" s="595">
        <v>0</v>
      </c>
      <c r="V166" s="595">
        <v>0</v>
      </c>
      <c r="W166" s="595">
        <v>0</v>
      </c>
      <c r="X166" s="595">
        <v>0</v>
      </c>
      <c r="Y166" s="595">
        <v>0</v>
      </c>
      <c r="Z166" s="595">
        <v>0</v>
      </c>
      <c r="AA166" s="595">
        <v>0</v>
      </c>
      <c r="AB166" s="595">
        <v>0</v>
      </c>
      <c r="AC166" s="595">
        <v>0</v>
      </c>
      <c r="AD166" s="595">
        <v>0</v>
      </c>
      <c r="AE166" s="595">
        <v>0</v>
      </c>
      <c r="AF166" s="595">
        <v>0</v>
      </c>
      <c r="AG166" s="595">
        <v>0</v>
      </c>
      <c r="AH166" s="595">
        <v>0</v>
      </c>
      <c r="AI166" s="595">
        <v>0</v>
      </c>
      <c r="AJ166" s="595">
        <v>0</v>
      </c>
      <c r="AK166" s="595">
        <v>0</v>
      </c>
      <c r="AL166" s="595">
        <v>0</v>
      </c>
      <c r="AM166" s="595">
        <v>0</v>
      </c>
      <c r="AN166" s="595">
        <v>0</v>
      </c>
      <c r="AO166" s="595">
        <v>0</v>
      </c>
      <c r="AP166" s="595">
        <v>0</v>
      </c>
      <c r="AQ166" s="595">
        <v>0</v>
      </c>
      <c r="AR166" s="595">
        <v>0</v>
      </c>
      <c r="AS166" s="595">
        <v>0</v>
      </c>
      <c r="AT166" s="595">
        <v>0</v>
      </c>
      <c r="AU166" s="595">
        <v>0</v>
      </c>
      <c r="AV166" s="595">
        <v>0</v>
      </c>
      <c r="AW166" s="623">
        <v>0</v>
      </c>
      <c r="AX166" s="623">
        <v>0</v>
      </c>
      <c r="AY166" s="595">
        <v>0</v>
      </c>
      <c r="AZ166" s="595">
        <v>0</v>
      </c>
      <c r="BA166" s="594"/>
      <c r="BB166" s="604"/>
      <c r="BC166" s="604"/>
      <c r="BD166" s="604"/>
      <c r="BE166" s="604"/>
      <c r="BF166" s="604"/>
      <c r="BG166" s="604"/>
      <c r="BH166" s="604"/>
      <c r="BI166" s="594"/>
      <c r="BJ166" s="604">
        <f t="shared" si="21"/>
        <v>32</v>
      </c>
      <c r="BK166" s="595">
        <f t="shared" si="22"/>
        <v>51640</v>
      </c>
      <c r="BL166" s="541"/>
      <c r="BM166" s="624"/>
      <c r="BN166" s="624"/>
      <c r="BP166" s="624"/>
    </row>
    <row r="167" spans="1:1165">
      <c r="A167" s="596" t="s">
        <v>301</v>
      </c>
      <c r="B167" s="430"/>
      <c r="C167" s="608"/>
      <c r="D167" s="608">
        <f>SUM(D160:D166)</f>
        <v>1939919531</v>
      </c>
      <c r="E167" s="608"/>
      <c r="F167" s="608">
        <f>SUM(F160:F166)</f>
        <v>338118510</v>
      </c>
      <c r="G167" s="608"/>
      <c r="H167" s="608">
        <f>SUM(H160:H166)</f>
        <v>334167313</v>
      </c>
      <c r="I167" s="608"/>
      <c r="J167" s="608">
        <f>SUM(J160:J166)</f>
        <v>358910208</v>
      </c>
      <c r="K167" s="608"/>
      <c r="L167" s="608">
        <f>SUM(L160:L166)</f>
        <v>297538360</v>
      </c>
      <c r="M167" s="608"/>
      <c r="N167" s="608">
        <f>SUM(N160:N166)</f>
        <v>330490459</v>
      </c>
      <c r="O167" s="608"/>
      <c r="P167" s="608">
        <f>SUM(P160:P166)</f>
        <v>395944021</v>
      </c>
      <c r="Q167" s="608"/>
      <c r="R167" s="608">
        <f>SUM(R160:R166)</f>
        <v>285719880</v>
      </c>
      <c r="S167" s="608"/>
      <c r="T167" s="608">
        <f>SUM(T160:T166)</f>
        <v>301140312</v>
      </c>
      <c r="U167" s="586"/>
      <c r="V167" s="586">
        <f>SUM(V160:V166)</f>
        <v>489009884</v>
      </c>
      <c r="W167" s="586"/>
      <c r="X167" s="608">
        <f>SUM(X160:X166)</f>
        <v>696515506</v>
      </c>
      <c r="Y167" s="586"/>
      <c r="Z167" s="608">
        <f>SUM(Z160:Z166)</f>
        <v>564655899</v>
      </c>
      <c r="AA167" s="586"/>
      <c r="AB167" s="623">
        <f>SUM(AB160:AB166)</f>
        <v>578059824</v>
      </c>
      <c r="AC167" s="595"/>
      <c r="AD167" s="623">
        <f>SUM(AD160:AD166)</f>
        <v>494441655</v>
      </c>
      <c r="AE167" s="623"/>
      <c r="AF167" s="623">
        <f>SUM(AF160:AF166)</f>
        <v>451838436</v>
      </c>
      <c r="AG167" s="586"/>
      <c r="AH167" s="586">
        <f>SUM(AH160:AH166)</f>
        <v>670144579</v>
      </c>
      <c r="AI167" s="586"/>
      <c r="AJ167" s="586">
        <f>SUM(AJ160:AJ166)</f>
        <v>1155346712</v>
      </c>
      <c r="AK167" s="673"/>
      <c r="AL167" s="673">
        <f>SUM(AL160:AL166)</f>
        <v>1101405788</v>
      </c>
      <c r="AM167" s="676"/>
      <c r="AN167" s="676">
        <f>SUM(AN160:AN166)</f>
        <v>1200421816</v>
      </c>
      <c r="AO167" s="586"/>
      <c r="AP167" s="586">
        <f>SUM(AP160:AP166)</f>
        <v>1136650908</v>
      </c>
      <c r="AQ167" s="586"/>
      <c r="AR167" s="586">
        <f>SUM(AR160:AR166)</f>
        <v>1134907749.9146953</v>
      </c>
      <c r="AS167" s="586"/>
      <c r="AT167" s="586">
        <f>SUM(AT160:AT166)</f>
        <v>2442588780</v>
      </c>
      <c r="AU167" s="586"/>
      <c r="AV167" s="623">
        <f>SUM(AV160:AV166)</f>
        <v>2258324306</v>
      </c>
      <c r="AW167" s="595"/>
      <c r="AX167" s="595">
        <f>SUM(AX160:AX166)</f>
        <v>2380593942</v>
      </c>
      <c r="AY167" s="677"/>
      <c r="AZ167" s="595">
        <f>SUM(AZ160:AZ166)</f>
        <v>2833591505</v>
      </c>
      <c r="BA167" s="677"/>
      <c r="BB167" s="595"/>
      <c r="BC167" s="595"/>
      <c r="BD167" s="595"/>
      <c r="BE167" s="622"/>
      <c r="BF167" s="595"/>
      <c r="BG167" s="595"/>
      <c r="BH167" s="624"/>
      <c r="BI167" s="622"/>
      <c r="BJ167" s="595"/>
      <c r="BK167" s="595">
        <f t="shared" si="22"/>
        <v>23832327373.914696</v>
      </c>
      <c r="BL167" s="541"/>
      <c r="BM167" s="624"/>
      <c r="BP167" s="624"/>
    </row>
    <row r="168" spans="1:1165">
      <c r="A168" s="596"/>
      <c r="B168" s="430"/>
      <c r="C168" s="608"/>
      <c r="D168" s="608"/>
      <c r="E168" s="608"/>
      <c r="F168" s="608"/>
      <c r="G168" s="608"/>
      <c r="H168" s="608"/>
      <c r="I168" s="608"/>
      <c r="J168" s="608"/>
      <c r="K168" s="608"/>
      <c r="L168" s="608"/>
      <c r="M168" s="608"/>
      <c r="N168" s="608"/>
      <c r="O168" s="608"/>
      <c r="P168" s="608"/>
      <c r="Q168" s="608"/>
      <c r="R168" s="608"/>
      <c r="S168" s="608"/>
      <c r="T168" s="608"/>
      <c r="U168" s="586"/>
      <c r="V168" s="586"/>
      <c r="W168" s="586"/>
      <c r="X168" s="608"/>
      <c r="Y168" s="586"/>
      <c r="Z168" s="608"/>
      <c r="AA168" s="586"/>
      <c r="AB168" s="623"/>
      <c r="AC168" s="595"/>
      <c r="AD168" s="623"/>
      <c r="AE168" s="623"/>
      <c r="AF168" s="623"/>
      <c r="AG168" s="586"/>
      <c r="AH168" s="586"/>
      <c r="AI168" s="586"/>
      <c r="AJ168" s="586"/>
      <c r="AK168" s="673"/>
      <c r="AL168" s="673"/>
      <c r="AM168" s="676"/>
      <c r="AN168" s="676"/>
      <c r="AO168" s="586"/>
      <c r="AP168" s="586"/>
      <c r="AQ168" s="586"/>
      <c r="AR168" s="586"/>
      <c r="AS168" s="586"/>
      <c r="AT168" s="586"/>
      <c r="AU168" s="586"/>
      <c r="AV168" s="623"/>
      <c r="AW168" s="650"/>
      <c r="AX168" s="650"/>
      <c r="AY168" s="648"/>
      <c r="AZ168" s="595"/>
      <c r="BA168" s="686"/>
      <c r="BB168" s="650"/>
      <c r="BC168" s="650"/>
      <c r="BD168" s="650"/>
      <c r="BE168" s="650"/>
      <c r="BF168" s="650"/>
      <c r="BG168" s="650"/>
      <c r="BH168" s="650"/>
      <c r="BI168" s="686"/>
      <c r="BJ168" s="650"/>
      <c r="BK168" s="650"/>
      <c r="BL168" s="541"/>
      <c r="BM168" s="624"/>
      <c r="BP168" s="624"/>
    </row>
    <row r="169" spans="1:1165" s="658" customFormat="1">
      <c r="A169" s="577" t="s">
        <v>302</v>
      </c>
      <c r="B169" s="578"/>
      <c r="C169" s="659"/>
      <c r="D169" s="659">
        <v>3893</v>
      </c>
      <c r="E169" s="581">
        <v>0</v>
      </c>
      <c r="F169" s="581">
        <v>0</v>
      </c>
      <c r="G169" s="581">
        <v>0</v>
      </c>
      <c r="H169" s="581">
        <v>0</v>
      </c>
      <c r="I169" s="581">
        <v>0</v>
      </c>
      <c r="J169" s="581">
        <v>0</v>
      </c>
      <c r="K169" s="581">
        <v>0</v>
      </c>
      <c r="L169" s="581">
        <v>0</v>
      </c>
      <c r="M169" s="581">
        <v>16729</v>
      </c>
      <c r="N169" s="581">
        <v>215936</v>
      </c>
      <c r="O169" s="598">
        <v>0</v>
      </c>
      <c r="P169" s="598">
        <v>0</v>
      </c>
      <c r="Q169" s="598">
        <v>0</v>
      </c>
      <c r="R169" s="598">
        <v>0</v>
      </c>
      <c r="S169" s="598">
        <v>0</v>
      </c>
      <c r="T169" s="598">
        <v>0</v>
      </c>
      <c r="U169" s="598">
        <v>0</v>
      </c>
      <c r="V169" s="598">
        <v>0</v>
      </c>
      <c r="W169" s="598">
        <v>0</v>
      </c>
      <c r="X169" s="598">
        <v>0</v>
      </c>
      <c r="Y169" s="598">
        <v>0</v>
      </c>
      <c r="Z169" s="598">
        <v>0</v>
      </c>
      <c r="AA169" s="598">
        <v>0</v>
      </c>
      <c r="AB169" s="598">
        <v>0</v>
      </c>
      <c r="AC169" s="598">
        <v>0</v>
      </c>
      <c r="AD169" s="598">
        <v>0</v>
      </c>
      <c r="AE169" s="598">
        <v>0</v>
      </c>
      <c r="AF169" s="598">
        <v>0</v>
      </c>
      <c r="AG169" s="598">
        <v>0</v>
      </c>
      <c r="AH169" s="598">
        <v>0</v>
      </c>
      <c r="AI169" s="598">
        <v>0</v>
      </c>
      <c r="AJ169" s="598">
        <v>0</v>
      </c>
      <c r="AK169" s="598">
        <v>0</v>
      </c>
      <c r="AL169" s="598">
        <v>0</v>
      </c>
      <c r="AM169" s="598">
        <v>0</v>
      </c>
      <c r="AN169" s="598">
        <v>0</v>
      </c>
      <c r="AO169" s="598">
        <v>0</v>
      </c>
      <c r="AP169" s="598">
        <v>0</v>
      </c>
      <c r="AQ169" s="598">
        <v>0</v>
      </c>
      <c r="AR169" s="598">
        <v>0</v>
      </c>
      <c r="AS169" s="598">
        <v>0</v>
      </c>
      <c r="AT169" s="598">
        <v>0</v>
      </c>
      <c r="AU169" s="598">
        <v>0</v>
      </c>
      <c r="AV169" s="598">
        <v>0</v>
      </c>
      <c r="AW169" s="581">
        <v>0</v>
      </c>
      <c r="AX169" s="581">
        <v>0</v>
      </c>
      <c r="AY169" s="581">
        <v>0</v>
      </c>
      <c r="AZ169" s="581">
        <v>0</v>
      </c>
      <c r="BA169" s="620"/>
      <c r="BB169" s="581"/>
      <c r="BC169" s="581"/>
      <c r="BD169" s="581"/>
      <c r="BE169" s="620"/>
      <c r="BF169" s="581"/>
      <c r="BG169" s="581"/>
      <c r="BH169" s="581"/>
      <c r="BI169" s="620"/>
      <c r="BJ169" s="581">
        <f>C169+G169+I169+K169+M169+O169+Q169+S169+U169+W169+Y169+AA169+AC169+AE169+AG169+AI169+AK169+AM169+AO169+AQ169+AS169+AU169+AW169+AY169+BB169+BF169</f>
        <v>16729</v>
      </c>
      <c r="BK169" s="651">
        <f>D169+H169+J169+L169+N169+P169+R169+T169+V169+X169+Z169+AB169+AD169+AF169+AH169+AJ169+AL169+AN169+AP169+AR169+AT169+AV169+AX169+AZ169+BD169+BH169</f>
        <v>219829</v>
      </c>
      <c r="BL169" s="541"/>
      <c r="BM169" s="624"/>
      <c r="BN169" s="541"/>
      <c r="BO169" s="541"/>
      <c r="BP169" s="624"/>
      <c r="BQ169" s="541"/>
      <c r="BR169" s="541"/>
      <c r="BS169" s="541"/>
      <c r="BT169" s="541"/>
      <c r="BU169" s="541"/>
      <c r="BV169" s="541"/>
      <c r="BW169" s="541"/>
      <c r="BX169" s="541"/>
      <c r="BY169" s="541"/>
      <c r="BZ169" s="541"/>
      <c r="CA169" s="541"/>
      <c r="CB169" s="541"/>
      <c r="CC169" s="541"/>
      <c r="CD169" s="541"/>
      <c r="CE169" s="541"/>
      <c r="CF169" s="541"/>
      <c r="CG169" s="541"/>
      <c r="CH169" s="541"/>
      <c r="CI169" s="541"/>
      <c r="CJ169" s="541"/>
      <c r="CK169" s="541"/>
      <c r="CL169" s="541"/>
      <c r="CM169" s="541"/>
      <c r="CN169" s="541"/>
      <c r="CO169" s="541"/>
      <c r="CP169" s="541"/>
      <c r="CQ169" s="541"/>
      <c r="CR169" s="541"/>
      <c r="CS169" s="541"/>
      <c r="CT169" s="541"/>
      <c r="CU169" s="541"/>
      <c r="CV169" s="541"/>
      <c r="CW169" s="541"/>
      <c r="CX169" s="541"/>
      <c r="CY169" s="541"/>
      <c r="CZ169" s="541"/>
      <c r="DA169" s="541"/>
      <c r="DB169" s="541"/>
      <c r="DC169" s="541"/>
      <c r="DD169" s="541"/>
      <c r="DE169" s="541"/>
      <c r="DF169" s="541"/>
      <c r="DG169" s="541"/>
      <c r="DH169" s="541"/>
      <c r="DI169" s="541"/>
      <c r="DJ169" s="541"/>
      <c r="DK169" s="541"/>
      <c r="DL169" s="541"/>
      <c r="DM169" s="541"/>
      <c r="DN169" s="541"/>
      <c r="DO169" s="541"/>
      <c r="DP169" s="541"/>
      <c r="DQ169" s="541"/>
      <c r="DR169" s="541"/>
      <c r="DS169" s="541"/>
      <c r="DT169" s="541"/>
      <c r="DU169" s="541"/>
      <c r="DV169" s="541"/>
      <c r="DW169" s="541"/>
      <c r="DX169" s="541"/>
      <c r="DY169" s="541"/>
      <c r="DZ169" s="541"/>
      <c r="EA169" s="541"/>
      <c r="EB169" s="541"/>
      <c r="EC169" s="541"/>
      <c r="ED169" s="541"/>
      <c r="EE169" s="541"/>
      <c r="EF169" s="541"/>
      <c r="EG169" s="541"/>
      <c r="EH169" s="541"/>
      <c r="EI169" s="541"/>
      <c r="EJ169" s="541"/>
      <c r="EK169" s="541"/>
      <c r="EL169" s="541"/>
      <c r="EM169" s="541"/>
      <c r="EN169" s="541"/>
      <c r="EO169" s="541"/>
      <c r="EP169" s="541"/>
      <c r="EQ169" s="541"/>
      <c r="ER169" s="541"/>
      <c r="ES169" s="541"/>
      <c r="ET169" s="541"/>
      <c r="EU169" s="541"/>
      <c r="EV169" s="541"/>
      <c r="EW169" s="541"/>
      <c r="EX169" s="541"/>
      <c r="EY169" s="541"/>
      <c r="EZ169" s="541"/>
      <c r="FA169" s="541"/>
      <c r="FB169" s="541"/>
      <c r="FC169" s="541"/>
      <c r="FD169" s="541"/>
      <c r="FE169" s="541"/>
      <c r="FF169" s="541"/>
      <c r="FG169" s="541"/>
      <c r="FH169" s="541"/>
      <c r="FI169" s="541"/>
      <c r="FJ169" s="541"/>
      <c r="FK169" s="541"/>
      <c r="FL169" s="541"/>
      <c r="FM169" s="541"/>
      <c r="FN169" s="541"/>
      <c r="FO169" s="541"/>
      <c r="FP169" s="541"/>
      <c r="FQ169" s="541"/>
      <c r="FR169" s="541"/>
      <c r="FS169" s="541"/>
      <c r="FT169" s="541"/>
      <c r="FU169" s="541"/>
      <c r="FV169" s="541"/>
      <c r="FW169" s="541"/>
      <c r="FX169" s="541"/>
      <c r="FY169" s="541"/>
      <c r="FZ169" s="541"/>
      <c r="GA169" s="541"/>
      <c r="GB169" s="541"/>
      <c r="GC169" s="541"/>
      <c r="GD169" s="541"/>
      <c r="GE169" s="541"/>
      <c r="GF169" s="541"/>
      <c r="GG169" s="541"/>
      <c r="GH169" s="541"/>
      <c r="GI169" s="541"/>
      <c r="GJ169" s="541"/>
      <c r="GK169" s="541"/>
      <c r="GL169" s="541"/>
      <c r="GM169" s="541"/>
      <c r="GN169" s="541"/>
      <c r="GO169" s="541"/>
      <c r="GP169" s="541"/>
      <c r="GQ169" s="541"/>
      <c r="GR169" s="541"/>
      <c r="GS169" s="541"/>
      <c r="GT169" s="541"/>
      <c r="GU169" s="541"/>
      <c r="GV169" s="541"/>
      <c r="GW169" s="541"/>
      <c r="GX169" s="541"/>
      <c r="GY169" s="541"/>
      <c r="GZ169" s="541"/>
      <c r="HA169" s="541"/>
      <c r="HB169" s="541"/>
      <c r="HC169" s="541"/>
      <c r="HD169" s="541"/>
      <c r="HE169" s="541"/>
      <c r="HF169" s="541"/>
      <c r="HG169" s="541"/>
      <c r="HH169" s="541"/>
      <c r="HI169" s="541"/>
      <c r="HJ169" s="541"/>
      <c r="HK169" s="541"/>
      <c r="HL169" s="541"/>
      <c r="HM169" s="541"/>
      <c r="HN169" s="541"/>
      <c r="HO169" s="541"/>
      <c r="HP169" s="541"/>
      <c r="HQ169" s="541"/>
      <c r="HR169" s="541"/>
      <c r="HS169" s="541"/>
      <c r="HT169" s="541"/>
      <c r="HU169" s="541"/>
      <c r="HV169" s="541"/>
      <c r="HW169" s="541"/>
      <c r="HX169" s="541"/>
      <c r="HY169" s="541"/>
      <c r="HZ169" s="541"/>
      <c r="IA169" s="541"/>
      <c r="IB169" s="541"/>
      <c r="IC169" s="541"/>
      <c r="ID169" s="541"/>
      <c r="IE169" s="541"/>
      <c r="IF169" s="541"/>
      <c r="IG169" s="541"/>
      <c r="IH169" s="541"/>
      <c r="II169" s="541"/>
      <c r="IJ169" s="541"/>
      <c r="IK169" s="541"/>
      <c r="IL169" s="541"/>
      <c r="IM169" s="541"/>
      <c r="IN169" s="541"/>
      <c r="IO169" s="541"/>
      <c r="IP169" s="541"/>
      <c r="IQ169" s="541"/>
      <c r="IR169" s="541"/>
      <c r="IS169" s="541"/>
      <c r="IT169" s="541"/>
      <c r="IU169" s="541"/>
      <c r="IV169" s="541"/>
      <c r="IW169" s="541"/>
      <c r="IX169" s="541"/>
      <c r="IY169" s="541"/>
      <c r="IZ169" s="541"/>
      <c r="JA169" s="541"/>
      <c r="JB169" s="541"/>
      <c r="JC169" s="541"/>
      <c r="JD169" s="541"/>
      <c r="JE169" s="541"/>
      <c r="JF169" s="541"/>
      <c r="JG169" s="541"/>
      <c r="JH169" s="541"/>
      <c r="JI169" s="541"/>
      <c r="JJ169" s="541"/>
      <c r="JK169" s="541"/>
      <c r="JL169" s="541"/>
      <c r="JM169" s="541"/>
      <c r="JN169" s="541"/>
      <c r="JO169" s="541"/>
      <c r="JP169" s="541"/>
      <c r="JQ169" s="541"/>
      <c r="JR169" s="541"/>
      <c r="JS169" s="541"/>
      <c r="JT169" s="541"/>
      <c r="JU169" s="541"/>
      <c r="JV169" s="541"/>
      <c r="JW169" s="541"/>
      <c r="JX169" s="541"/>
      <c r="JY169" s="541"/>
      <c r="JZ169" s="541"/>
      <c r="KA169" s="541"/>
      <c r="KB169" s="541"/>
      <c r="KC169" s="541"/>
      <c r="KD169" s="541"/>
      <c r="KE169" s="541"/>
      <c r="KF169" s="541"/>
      <c r="KG169" s="541"/>
      <c r="KH169" s="541"/>
      <c r="KI169" s="541"/>
      <c r="KJ169" s="541"/>
      <c r="KK169" s="541"/>
      <c r="KL169" s="541"/>
      <c r="KM169" s="541"/>
      <c r="KN169" s="541"/>
      <c r="KO169" s="541"/>
      <c r="KP169" s="541"/>
      <c r="KQ169" s="541"/>
      <c r="KR169" s="541"/>
      <c r="KS169" s="541"/>
      <c r="KT169" s="541"/>
      <c r="KU169" s="541"/>
      <c r="KV169" s="541"/>
      <c r="KW169" s="541"/>
      <c r="KX169" s="541"/>
      <c r="KY169" s="541"/>
      <c r="KZ169" s="541"/>
      <c r="LA169" s="541"/>
      <c r="LB169" s="541"/>
      <c r="LC169" s="541"/>
      <c r="LD169" s="541"/>
      <c r="LE169" s="541"/>
      <c r="LF169" s="541"/>
      <c r="LG169" s="541"/>
      <c r="LH169" s="541"/>
      <c r="LI169" s="541"/>
      <c r="LJ169" s="541"/>
      <c r="LK169" s="541"/>
      <c r="LL169" s="541"/>
      <c r="LM169" s="541"/>
      <c r="LN169" s="541"/>
      <c r="LO169" s="541"/>
      <c r="LP169" s="541"/>
      <c r="LQ169" s="541"/>
      <c r="LR169" s="541"/>
      <c r="LS169" s="541"/>
      <c r="LT169" s="541"/>
      <c r="LU169" s="541"/>
      <c r="LV169" s="541"/>
      <c r="LW169" s="541"/>
      <c r="LX169" s="541"/>
      <c r="LY169" s="541"/>
      <c r="LZ169" s="541"/>
      <c r="MA169" s="541"/>
      <c r="MB169" s="541"/>
      <c r="MC169" s="541"/>
      <c r="MD169" s="541"/>
      <c r="ME169" s="541"/>
      <c r="MF169" s="541"/>
      <c r="MG169" s="541"/>
      <c r="MH169" s="541"/>
      <c r="MI169" s="541"/>
      <c r="MJ169" s="541"/>
      <c r="MK169" s="541"/>
      <c r="ML169" s="541"/>
      <c r="MM169" s="541"/>
      <c r="MN169" s="541"/>
      <c r="MO169" s="541"/>
      <c r="MP169" s="541"/>
      <c r="MQ169" s="541"/>
      <c r="MR169" s="541"/>
      <c r="MS169" s="541"/>
      <c r="MT169" s="541"/>
      <c r="MU169" s="541"/>
      <c r="MV169" s="541"/>
      <c r="MW169" s="541"/>
      <c r="MX169" s="541"/>
      <c r="MY169" s="541"/>
      <c r="MZ169" s="541"/>
      <c r="NA169" s="541"/>
      <c r="NB169" s="541"/>
      <c r="NC169" s="541"/>
      <c r="ND169" s="541"/>
      <c r="NE169" s="541"/>
      <c r="NF169" s="541"/>
      <c r="NG169" s="541"/>
      <c r="NH169" s="541"/>
      <c r="NI169" s="541"/>
      <c r="NJ169" s="541"/>
      <c r="NK169" s="541"/>
      <c r="NL169" s="541"/>
      <c r="NM169" s="541"/>
      <c r="NN169" s="541"/>
      <c r="NO169" s="541"/>
      <c r="NP169" s="541"/>
      <c r="NQ169" s="541"/>
      <c r="NR169" s="541"/>
      <c r="NS169" s="541"/>
      <c r="NT169" s="541"/>
      <c r="NU169" s="541"/>
      <c r="NV169" s="541"/>
      <c r="NW169" s="541"/>
      <c r="NX169" s="541"/>
      <c r="NY169" s="541"/>
      <c r="NZ169" s="541"/>
      <c r="OA169" s="541"/>
      <c r="OB169" s="541"/>
      <c r="OC169" s="541"/>
      <c r="OD169" s="541"/>
      <c r="OE169" s="541"/>
      <c r="OF169" s="541"/>
      <c r="OG169" s="541"/>
      <c r="OH169" s="541"/>
      <c r="OI169" s="541"/>
      <c r="OJ169" s="541"/>
      <c r="OK169" s="541"/>
      <c r="OL169" s="541"/>
      <c r="OM169" s="541"/>
      <c r="ON169" s="541"/>
      <c r="OO169" s="541"/>
      <c r="OP169" s="541"/>
      <c r="OQ169" s="541"/>
      <c r="OR169" s="541"/>
      <c r="OS169" s="541"/>
      <c r="OT169" s="541"/>
      <c r="OU169" s="541"/>
      <c r="OV169" s="541"/>
      <c r="OW169" s="541"/>
      <c r="OX169" s="541"/>
      <c r="OY169" s="541"/>
      <c r="OZ169" s="541"/>
      <c r="PA169" s="541"/>
      <c r="PB169" s="541"/>
      <c r="PC169" s="541"/>
      <c r="PD169" s="541"/>
      <c r="PE169" s="541"/>
      <c r="PF169" s="541"/>
      <c r="PG169" s="541"/>
      <c r="PH169" s="541"/>
      <c r="PI169" s="541"/>
      <c r="PJ169" s="541"/>
      <c r="PK169" s="541"/>
      <c r="PL169" s="541"/>
      <c r="PM169" s="541"/>
      <c r="PN169" s="541"/>
      <c r="PO169" s="541"/>
      <c r="PP169" s="541"/>
      <c r="PQ169" s="541"/>
      <c r="PR169" s="541"/>
      <c r="PS169" s="541"/>
      <c r="PT169" s="541"/>
      <c r="PU169" s="541"/>
      <c r="PV169" s="541"/>
      <c r="PW169" s="541"/>
      <c r="PX169" s="541"/>
      <c r="PY169" s="541"/>
      <c r="PZ169" s="541"/>
      <c r="QA169" s="541"/>
      <c r="QB169" s="541"/>
      <c r="QC169" s="541"/>
      <c r="QD169" s="541"/>
      <c r="QE169" s="541"/>
      <c r="QF169" s="541"/>
      <c r="QG169" s="541"/>
      <c r="QH169" s="541"/>
      <c r="QI169" s="541"/>
      <c r="QJ169" s="541"/>
      <c r="QK169" s="541"/>
      <c r="QL169" s="541"/>
      <c r="QM169" s="541"/>
      <c r="QN169" s="541"/>
      <c r="QO169" s="541"/>
      <c r="QP169" s="541"/>
      <c r="QQ169" s="541"/>
      <c r="QR169" s="541"/>
      <c r="QS169" s="541"/>
      <c r="QT169" s="541"/>
      <c r="QU169" s="541"/>
      <c r="QV169" s="541"/>
      <c r="QW169" s="541"/>
      <c r="QX169" s="541"/>
      <c r="QY169" s="541"/>
      <c r="QZ169" s="541"/>
      <c r="RA169" s="541"/>
      <c r="RB169" s="541"/>
      <c r="RC169" s="541"/>
      <c r="RD169" s="541"/>
      <c r="RE169" s="541"/>
      <c r="RF169" s="541"/>
      <c r="RG169" s="541"/>
      <c r="RH169" s="541"/>
      <c r="RI169" s="541"/>
      <c r="RJ169" s="541"/>
      <c r="RK169" s="541"/>
      <c r="RL169" s="541"/>
      <c r="RM169" s="541"/>
      <c r="RN169" s="541"/>
      <c r="RO169" s="541"/>
      <c r="RP169" s="541"/>
      <c r="RQ169" s="541"/>
      <c r="RR169" s="541"/>
      <c r="RS169" s="541"/>
      <c r="RT169" s="541"/>
      <c r="RU169" s="541"/>
      <c r="RV169" s="541"/>
      <c r="RW169" s="541"/>
      <c r="RX169" s="541"/>
      <c r="RY169" s="541"/>
      <c r="RZ169" s="541"/>
      <c r="SA169" s="541"/>
      <c r="SB169" s="541"/>
      <c r="SC169" s="541"/>
      <c r="SD169" s="541"/>
      <c r="SE169" s="541"/>
      <c r="SF169" s="541"/>
      <c r="SG169" s="541"/>
      <c r="SH169" s="541"/>
      <c r="SI169" s="541"/>
      <c r="SJ169" s="541"/>
      <c r="SK169" s="541"/>
      <c r="SL169" s="541"/>
      <c r="SM169" s="541"/>
      <c r="SN169" s="541"/>
      <c r="SO169" s="541"/>
      <c r="SP169" s="541"/>
      <c r="SQ169" s="541"/>
      <c r="SR169" s="541"/>
      <c r="SS169" s="541"/>
      <c r="ST169" s="541"/>
      <c r="SU169" s="541"/>
      <c r="SV169" s="541"/>
      <c r="SW169" s="541"/>
      <c r="SX169" s="541"/>
      <c r="SY169" s="541"/>
      <c r="SZ169" s="541"/>
      <c r="TA169" s="541"/>
      <c r="TB169" s="541"/>
      <c r="TC169" s="541"/>
      <c r="TD169" s="541"/>
      <c r="TE169" s="541"/>
      <c r="TF169" s="541"/>
      <c r="TG169" s="541"/>
      <c r="TH169" s="541"/>
      <c r="TI169" s="541"/>
      <c r="TJ169" s="541"/>
      <c r="TK169" s="541"/>
      <c r="TL169" s="541"/>
      <c r="TM169" s="541"/>
      <c r="TN169" s="541"/>
      <c r="TO169" s="541"/>
      <c r="TP169" s="541"/>
      <c r="TQ169" s="541"/>
      <c r="TR169" s="541"/>
      <c r="TS169" s="541"/>
      <c r="TT169" s="541"/>
      <c r="TU169" s="541"/>
      <c r="TV169" s="541"/>
      <c r="TW169" s="541"/>
      <c r="TX169" s="541"/>
      <c r="TY169" s="541"/>
      <c r="TZ169" s="541"/>
      <c r="UA169" s="541"/>
      <c r="UB169" s="541"/>
      <c r="UC169" s="541"/>
      <c r="UD169" s="541"/>
      <c r="UE169" s="541"/>
      <c r="UF169" s="541"/>
      <c r="UG169" s="541"/>
      <c r="UH169" s="541"/>
      <c r="UI169" s="541"/>
      <c r="UJ169" s="541"/>
      <c r="UK169" s="541"/>
      <c r="UL169" s="541"/>
      <c r="UM169" s="541"/>
      <c r="UN169" s="541"/>
      <c r="UO169" s="541"/>
      <c r="UP169" s="541"/>
      <c r="UQ169" s="541"/>
      <c r="UR169" s="541"/>
      <c r="US169" s="541"/>
      <c r="UT169" s="541"/>
      <c r="UU169" s="541"/>
      <c r="UV169" s="541"/>
      <c r="UW169" s="541"/>
      <c r="UX169" s="541"/>
      <c r="UY169" s="541"/>
      <c r="UZ169" s="541"/>
      <c r="VA169" s="541"/>
      <c r="VB169" s="541"/>
      <c r="VC169" s="541"/>
      <c r="VD169" s="541"/>
      <c r="VE169" s="541"/>
      <c r="VF169" s="541"/>
      <c r="VG169" s="541"/>
      <c r="VH169" s="541"/>
      <c r="VI169" s="541"/>
      <c r="VJ169" s="541"/>
      <c r="VK169" s="541"/>
      <c r="VL169" s="541"/>
      <c r="VM169" s="541"/>
      <c r="VN169" s="541"/>
      <c r="VO169" s="541"/>
      <c r="VP169" s="541"/>
      <c r="VQ169" s="541"/>
      <c r="VR169" s="541"/>
      <c r="VS169" s="541"/>
      <c r="VT169" s="541"/>
      <c r="VU169" s="541"/>
      <c r="VV169" s="541"/>
      <c r="VW169" s="541"/>
      <c r="VX169" s="541"/>
      <c r="VY169" s="541"/>
      <c r="VZ169" s="541"/>
      <c r="WA169" s="541"/>
      <c r="WB169" s="541"/>
      <c r="WC169" s="541"/>
      <c r="WD169" s="541"/>
      <c r="WE169" s="541"/>
      <c r="WF169" s="541"/>
      <c r="WG169" s="541"/>
      <c r="WH169" s="541"/>
      <c r="WI169" s="541"/>
      <c r="WJ169" s="541"/>
      <c r="WK169" s="541"/>
      <c r="WL169" s="541"/>
      <c r="WM169" s="541"/>
      <c r="WN169" s="541"/>
      <c r="WO169" s="541"/>
      <c r="WP169" s="541"/>
      <c r="WQ169" s="541"/>
      <c r="WR169" s="541"/>
      <c r="WS169" s="541"/>
      <c r="WT169" s="541"/>
      <c r="WU169" s="541"/>
      <c r="WV169" s="541"/>
      <c r="WW169" s="541"/>
      <c r="WX169" s="541"/>
      <c r="WY169" s="541"/>
      <c r="WZ169" s="541"/>
      <c r="XA169" s="541"/>
      <c r="XB169" s="541"/>
      <c r="XC169" s="541"/>
      <c r="XD169" s="541"/>
      <c r="XE169" s="541"/>
      <c r="XF169" s="541"/>
      <c r="XG169" s="541"/>
      <c r="XH169" s="541"/>
      <c r="XI169" s="541"/>
      <c r="XJ169" s="541"/>
      <c r="XK169" s="541"/>
      <c r="XL169" s="541"/>
      <c r="XM169" s="541"/>
      <c r="XN169" s="541"/>
      <c r="XO169" s="541"/>
      <c r="XP169" s="541"/>
      <c r="XQ169" s="541"/>
      <c r="XR169" s="541"/>
      <c r="XS169" s="541"/>
      <c r="XT169" s="541"/>
      <c r="XU169" s="541"/>
      <c r="XV169" s="541"/>
      <c r="XW169" s="541"/>
      <c r="XX169" s="541"/>
      <c r="XY169" s="541"/>
      <c r="XZ169" s="541"/>
      <c r="YA169" s="541"/>
      <c r="YB169" s="541"/>
      <c r="YC169" s="541"/>
      <c r="YD169" s="541"/>
      <c r="YE169" s="541"/>
      <c r="YF169" s="541"/>
      <c r="YG169" s="541"/>
      <c r="YH169" s="541"/>
      <c r="YI169" s="541"/>
      <c r="YJ169" s="541"/>
      <c r="YK169" s="541"/>
      <c r="YL169" s="541"/>
      <c r="YM169" s="541"/>
      <c r="YN169" s="541"/>
      <c r="YO169" s="541"/>
      <c r="YP169" s="541"/>
      <c r="YQ169" s="541"/>
      <c r="YR169" s="541"/>
      <c r="YS169" s="541"/>
      <c r="YT169" s="541"/>
      <c r="YU169" s="541"/>
      <c r="YV169" s="541"/>
      <c r="YW169" s="541"/>
      <c r="YX169" s="541"/>
      <c r="YY169" s="541"/>
      <c r="YZ169" s="541"/>
      <c r="ZA169" s="541"/>
      <c r="ZB169" s="541"/>
      <c r="ZC169" s="541"/>
      <c r="ZD169" s="541"/>
      <c r="ZE169" s="541"/>
      <c r="ZF169" s="541"/>
      <c r="ZG169" s="541"/>
      <c r="ZH169" s="541"/>
      <c r="ZI169" s="541"/>
      <c r="ZJ169" s="541"/>
      <c r="ZK169" s="541"/>
      <c r="ZL169" s="541"/>
      <c r="ZM169" s="541"/>
      <c r="ZN169" s="541"/>
      <c r="ZO169" s="541"/>
      <c r="ZP169" s="541"/>
      <c r="ZQ169" s="541"/>
      <c r="ZR169" s="541"/>
      <c r="ZS169" s="541"/>
      <c r="ZT169" s="541"/>
      <c r="ZU169" s="541"/>
      <c r="ZV169" s="541"/>
      <c r="ZW169" s="541"/>
      <c r="ZX169" s="541"/>
      <c r="ZY169" s="541"/>
      <c r="ZZ169" s="541"/>
      <c r="AAA169" s="541"/>
      <c r="AAB169" s="541"/>
      <c r="AAC169" s="541"/>
      <c r="AAD169" s="541"/>
      <c r="AAE169" s="541"/>
      <c r="AAF169" s="541"/>
      <c r="AAG169" s="541"/>
      <c r="AAH169" s="541"/>
      <c r="AAI169" s="541"/>
      <c r="AAJ169" s="541"/>
      <c r="AAK169" s="541"/>
      <c r="AAL169" s="541"/>
      <c r="AAM169" s="541"/>
      <c r="AAN169" s="541"/>
      <c r="AAO169" s="541"/>
      <c r="AAP169" s="541"/>
      <c r="AAQ169" s="541"/>
      <c r="AAR169" s="541"/>
      <c r="AAS169" s="541"/>
      <c r="AAT169" s="541"/>
      <c r="AAU169" s="541"/>
      <c r="AAV169" s="541"/>
      <c r="AAW169" s="541"/>
      <c r="AAX169" s="541"/>
      <c r="AAY169" s="541"/>
      <c r="AAZ169" s="541"/>
      <c r="ABA169" s="541"/>
      <c r="ABB169" s="541"/>
      <c r="ABC169" s="541"/>
      <c r="ABD169" s="541"/>
      <c r="ABE169" s="541"/>
      <c r="ABF169" s="541"/>
      <c r="ABG169" s="541"/>
      <c r="ABH169" s="541"/>
      <c r="ABI169" s="541"/>
      <c r="ABJ169" s="541"/>
      <c r="ABK169" s="541"/>
      <c r="ABL169" s="541"/>
      <c r="ABM169" s="541"/>
      <c r="ABN169" s="541"/>
      <c r="ABO169" s="541"/>
      <c r="ABP169" s="541"/>
      <c r="ABQ169" s="541"/>
      <c r="ABR169" s="541"/>
      <c r="ABS169" s="541"/>
      <c r="ABT169" s="541"/>
      <c r="ABU169" s="541"/>
      <c r="ABV169" s="541"/>
      <c r="ABW169" s="541"/>
      <c r="ABX169" s="541"/>
      <c r="ABY169" s="541"/>
      <c r="ABZ169" s="541"/>
      <c r="ACA169" s="541"/>
      <c r="ACB169" s="541"/>
      <c r="ACC169" s="541"/>
      <c r="ACD169" s="541"/>
      <c r="ACE169" s="541"/>
      <c r="ACF169" s="541"/>
      <c r="ACG169" s="541"/>
      <c r="ACH169" s="541"/>
      <c r="ACI169" s="541"/>
      <c r="ACJ169" s="541"/>
      <c r="ACK169" s="541"/>
      <c r="ACL169" s="541"/>
      <c r="ACM169" s="541"/>
      <c r="ACN169" s="541"/>
      <c r="ACO169" s="541"/>
      <c r="ACP169" s="541"/>
      <c r="ACQ169" s="541"/>
      <c r="ACR169" s="541"/>
      <c r="ACS169" s="541"/>
      <c r="ACT169" s="541"/>
      <c r="ACU169" s="541"/>
      <c r="ACV169" s="541"/>
      <c r="ACW169" s="541"/>
      <c r="ACX169" s="541"/>
      <c r="ACY169" s="541"/>
      <c r="ACZ169" s="541"/>
      <c r="ADA169" s="541"/>
      <c r="ADB169" s="541"/>
      <c r="ADC169" s="541"/>
      <c r="ADD169" s="541"/>
      <c r="ADE169" s="541"/>
      <c r="ADF169" s="541"/>
      <c r="ADG169" s="541"/>
      <c r="ADH169" s="541"/>
      <c r="ADI169" s="541"/>
      <c r="ADJ169" s="541"/>
      <c r="ADK169" s="541"/>
      <c r="ADL169" s="541"/>
      <c r="ADM169" s="541"/>
      <c r="ADN169" s="541"/>
      <c r="ADO169" s="541"/>
      <c r="ADP169" s="541"/>
      <c r="ADQ169" s="541"/>
      <c r="ADR169" s="541"/>
      <c r="ADS169" s="541"/>
      <c r="ADT169" s="541"/>
      <c r="ADU169" s="541"/>
      <c r="ADV169" s="541"/>
      <c r="ADW169" s="541"/>
      <c r="ADX169" s="541"/>
      <c r="ADY169" s="541"/>
      <c r="ADZ169" s="541"/>
      <c r="AEA169" s="541"/>
      <c r="AEB169" s="541"/>
      <c r="AEC169" s="541"/>
      <c r="AED169" s="541"/>
      <c r="AEE169" s="541"/>
      <c r="AEF169" s="541"/>
      <c r="AEG169" s="541"/>
      <c r="AEH169" s="541"/>
      <c r="AEI169" s="541"/>
      <c r="AEJ169" s="541"/>
      <c r="AEK169" s="541"/>
      <c r="AEL169" s="541"/>
      <c r="AEM169" s="541"/>
      <c r="AEN169" s="541"/>
      <c r="AEO169" s="541"/>
      <c r="AEP169" s="541"/>
      <c r="AEQ169" s="541"/>
      <c r="AER169" s="541"/>
      <c r="AES169" s="541"/>
      <c r="AET169" s="541"/>
      <c r="AEU169" s="541"/>
      <c r="AEV169" s="541"/>
      <c r="AEW169" s="541"/>
      <c r="AEX169" s="541"/>
      <c r="AEY169" s="541"/>
      <c r="AEZ169" s="541"/>
      <c r="AFA169" s="541"/>
      <c r="AFB169" s="541"/>
      <c r="AFC169" s="541"/>
      <c r="AFD169" s="541"/>
      <c r="AFE169" s="541"/>
      <c r="AFF169" s="541"/>
      <c r="AFG169" s="541"/>
      <c r="AFH169" s="541"/>
      <c r="AFI169" s="541"/>
      <c r="AFJ169" s="541"/>
      <c r="AFK169" s="541"/>
      <c r="AFL169" s="541"/>
      <c r="AFM169" s="541"/>
      <c r="AFN169" s="541"/>
      <c r="AFO169" s="541"/>
      <c r="AFP169" s="541"/>
      <c r="AFQ169" s="541"/>
      <c r="AFR169" s="541"/>
      <c r="AFS169" s="541"/>
      <c r="AFT169" s="541"/>
      <c r="AFU169" s="541"/>
      <c r="AFV169" s="541"/>
      <c r="AFW169" s="541"/>
      <c r="AFX169" s="541"/>
      <c r="AFY169" s="541"/>
      <c r="AFZ169" s="541"/>
      <c r="AGA169" s="541"/>
      <c r="AGB169" s="541"/>
      <c r="AGC169" s="541"/>
      <c r="AGD169" s="541"/>
      <c r="AGE169" s="541"/>
      <c r="AGF169" s="541"/>
      <c r="AGG169" s="541"/>
      <c r="AGH169" s="541"/>
      <c r="AGI169" s="541"/>
      <c r="AGJ169" s="541"/>
      <c r="AGK169" s="541"/>
      <c r="AGL169" s="541"/>
      <c r="AGM169" s="541"/>
      <c r="AGN169" s="541"/>
      <c r="AGO169" s="541"/>
      <c r="AGP169" s="541"/>
      <c r="AGQ169" s="541"/>
      <c r="AGR169" s="541"/>
      <c r="AGS169" s="541"/>
      <c r="AGT169" s="541"/>
      <c r="AGU169" s="541"/>
      <c r="AGV169" s="541"/>
      <c r="AGW169" s="541"/>
      <c r="AGX169" s="541"/>
      <c r="AGY169" s="541"/>
      <c r="AGZ169" s="541"/>
      <c r="AHA169" s="541"/>
      <c r="AHB169" s="541"/>
      <c r="AHC169" s="541"/>
      <c r="AHD169" s="541"/>
      <c r="AHE169" s="541"/>
      <c r="AHF169" s="541"/>
      <c r="AHG169" s="541"/>
      <c r="AHH169" s="541"/>
      <c r="AHI169" s="541"/>
      <c r="AHJ169" s="541"/>
      <c r="AHK169" s="541"/>
      <c r="AHL169" s="541"/>
      <c r="AHM169" s="541"/>
      <c r="AHN169" s="541"/>
      <c r="AHO169" s="541"/>
      <c r="AHP169" s="541"/>
      <c r="AHQ169" s="541"/>
      <c r="AHR169" s="541"/>
      <c r="AHS169" s="541"/>
      <c r="AHT169" s="541"/>
      <c r="AHU169" s="541"/>
      <c r="AHV169" s="541"/>
      <c r="AHW169" s="541"/>
      <c r="AHX169" s="541"/>
      <c r="AHY169" s="541"/>
      <c r="AHZ169" s="541"/>
      <c r="AIA169" s="541"/>
      <c r="AIB169" s="541"/>
      <c r="AIC169" s="541"/>
      <c r="AID169" s="541"/>
      <c r="AIE169" s="541"/>
      <c r="AIF169" s="541"/>
      <c r="AIG169" s="541"/>
      <c r="AIH169" s="541"/>
      <c r="AII169" s="541"/>
      <c r="AIJ169" s="541"/>
      <c r="AIK169" s="541"/>
      <c r="AIL169" s="541"/>
      <c r="AIM169" s="541"/>
      <c r="AIN169" s="541"/>
      <c r="AIO169" s="541"/>
      <c r="AIP169" s="541"/>
      <c r="AIQ169" s="541"/>
      <c r="AIR169" s="541"/>
      <c r="AIS169" s="541"/>
      <c r="AIT169" s="541"/>
      <c r="AIU169" s="541"/>
      <c r="AIV169" s="541"/>
      <c r="AIW169" s="541"/>
      <c r="AIX169" s="541"/>
      <c r="AIY169" s="541"/>
      <c r="AIZ169" s="541"/>
      <c r="AJA169" s="541"/>
      <c r="AJB169" s="541"/>
      <c r="AJC169" s="541"/>
      <c r="AJD169" s="541"/>
      <c r="AJE169" s="541"/>
      <c r="AJF169" s="541"/>
      <c r="AJG169" s="541"/>
      <c r="AJH169" s="541"/>
      <c r="AJI169" s="541"/>
      <c r="AJJ169" s="541"/>
      <c r="AJK169" s="541"/>
      <c r="AJL169" s="541"/>
      <c r="AJM169" s="541"/>
      <c r="AJN169" s="541"/>
      <c r="AJO169" s="541"/>
      <c r="AJP169" s="541"/>
      <c r="AJQ169" s="541"/>
      <c r="AJR169" s="541"/>
      <c r="AJS169" s="541"/>
      <c r="AJT169" s="541"/>
      <c r="AJU169" s="541"/>
      <c r="AJV169" s="541"/>
      <c r="AJW169" s="541"/>
      <c r="AJX169" s="541"/>
      <c r="AJY169" s="541"/>
      <c r="AJZ169" s="541"/>
      <c r="AKA169" s="541"/>
      <c r="AKB169" s="541"/>
      <c r="AKC169" s="541"/>
      <c r="AKD169" s="541"/>
      <c r="AKE169" s="541"/>
      <c r="AKF169" s="541"/>
      <c r="AKG169" s="541"/>
      <c r="AKH169" s="541"/>
      <c r="AKI169" s="541"/>
      <c r="AKJ169" s="541"/>
      <c r="AKK169" s="541"/>
      <c r="AKL169" s="541"/>
      <c r="AKM169" s="541"/>
      <c r="AKN169" s="541"/>
      <c r="AKO169" s="541"/>
      <c r="AKP169" s="541"/>
      <c r="AKQ169" s="541"/>
      <c r="AKR169" s="541"/>
      <c r="AKS169" s="541"/>
      <c r="AKT169" s="541"/>
      <c r="AKU169" s="541"/>
      <c r="AKV169" s="541"/>
      <c r="AKW169" s="541"/>
      <c r="AKX169" s="541"/>
      <c r="AKY169" s="541"/>
      <c r="AKZ169" s="541"/>
      <c r="ALA169" s="541"/>
      <c r="ALB169" s="541"/>
      <c r="ALC169" s="541"/>
      <c r="ALD169" s="541"/>
      <c r="ALE169" s="541"/>
      <c r="ALF169" s="541"/>
      <c r="ALG169" s="541"/>
      <c r="ALH169" s="541"/>
      <c r="ALI169" s="541"/>
      <c r="ALJ169" s="541"/>
      <c r="ALK169" s="541"/>
      <c r="ALL169" s="541"/>
      <c r="ALM169" s="541"/>
      <c r="ALN169" s="541"/>
      <c r="ALO169" s="541"/>
      <c r="ALP169" s="541"/>
      <c r="ALQ169" s="541"/>
      <c r="ALR169" s="541"/>
      <c r="ALS169" s="541"/>
      <c r="ALT169" s="541"/>
      <c r="ALU169" s="541"/>
      <c r="ALV169" s="541"/>
      <c r="ALW169" s="541"/>
      <c r="ALX169" s="541"/>
      <c r="ALY169" s="541"/>
      <c r="ALZ169" s="541"/>
      <c r="AMA169" s="541"/>
      <c r="AMB169" s="541"/>
      <c r="AMC169" s="541"/>
      <c r="AMD169" s="541"/>
      <c r="AME169" s="541"/>
      <c r="AMF169" s="541"/>
      <c r="AMG169" s="541"/>
      <c r="AMH169" s="541"/>
      <c r="AMI169" s="541"/>
      <c r="AMJ169" s="541"/>
      <c r="AMK169" s="541"/>
      <c r="AML169" s="541"/>
      <c r="AMM169" s="541"/>
      <c r="AMN169" s="541"/>
      <c r="AMO169" s="541"/>
      <c r="AMP169" s="541"/>
      <c r="AMQ169" s="541"/>
      <c r="AMR169" s="541"/>
      <c r="AMS169" s="541"/>
      <c r="AMT169" s="541"/>
      <c r="AMU169" s="541"/>
      <c r="AMV169" s="541"/>
      <c r="AMW169" s="541"/>
      <c r="AMX169" s="541"/>
      <c r="AMY169" s="541"/>
      <c r="AMZ169" s="541"/>
      <c r="ANA169" s="541"/>
      <c r="ANB169" s="541"/>
      <c r="ANC169" s="541"/>
      <c r="AND169" s="541"/>
      <c r="ANE169" s="541"/>
      <c r="ANF169" s="541"/>
      <c r="ANG169" s="541"/>
      <c r="ANH169" s="541"/>
      <c r="ANI169" s="541"/>
      <c r="ANJ169" s="541"/>
      <c r="ANK169" s="541"/>
      <c r="ANL169" s="541"/>
      <c r="ANM169" s="541"/>
      <c r="ANN169" s="541"/>
      <c r="ANO169" s="541"/>
      <c r="ANP169" s="541"/>
      <c r="ANQ169" s="541"/>
      <c r="ANR169" s="541"/>
      <c r="ANS169" s="541"/>
      <c r="ANT169" s="541"/>
      <c r="ANU169" s="541"/>
      <c r="ANV169" s="541"/>
      <c r="ANW169" s="541"/>
      <c r="ANX169" s="541"/>
      <c r="ANY169" s="541"/>
      <c r="ANZ169" s="541"/>
      <c r="AOA169" s="541"/>
      <c r="AOB169" s="541"/>
      <c r="AOC169" s="541"/>
      <c r="AOD169" s="541"/>
      <c r="AOE169" s="541"/>
      <c r="AOF169" s="541"/>
      <c r="AOG169" s="541"/>
      <c r="AOH169" s="541"/>
      <c r="AOI169" s="541"/>
      <c r="AOJ169" s="541"/>
      <c r="AOK169" s="541"/>
      <c r="AOL169" s="541"/>
      <c r="AOM169" s="541"/>
      <c r="AON169" s="541"/>
      <c r="AOO169" s="541"/>
      <c r="AOP169" s="541"/>
      <c r="AOQ169" s="541"/>
      <c r="AOR169" s="541"/>
      <c r="AOS169" s="541"/>
      <c r="AOT169" s="541"/>
      <c r="AOU169" s="541"/>
      <c r="AOV169" s="541"/>
      <c r="AOW169" s="541"/>
      <c r="AOX169" s="541"/>
      <c r="AOY169" s="541"/>
      <c r="AOZ169" s="541"/>
      <c r="APA169" s="541"/>
      <c r="APB169" s="541"/>
      <c r="APC169" s="541"/>
      <c r="APD169" s="541"/>
      <c r="APE169" s="541"/>
      <c r="APF169" s="541"/>
      <c r="APG169" s="541"/>
      <c r="APH169" s="541"/>
      <c r="API169" s="541"/>
      <c r="APJ169" s="541"/>
      <c r="APK169" s="541"/>
      <c r="APL169" s="541"/>
      <c r="APM169" s="541"/>
      <c r="APN169" s="541"/>
      <c r="APO169" s="541"/>
      <c r="APP169" s="541"/>
      <c r="APQ169" s="541"/>
      <c r="APR169" s="541"/>
      <c r="APS169" s="541"/>
      <c r="APT169" s="541"/>
      <c r="APU169" s="541"/>
      <c r="APV169" s="541"/>
      <c r="APW169" s="541"/>
      <c r="APX169" s="541"/>
      <c r="APY169" s="541"/>
      <c r="APZ169" s="541"/>
      <c r="AQA169" s="541"/>
      <c r="AQB169" s="541"/>
      <c r="AQC169" s="541"/>
      <c r="AQD169" s="541"/>
      <c r="AQE169" s="541"/>
      <c r="AQF169" s="541"/>
      <c r="AQG169" s="541"/>
      <c r="AQH169" s="541"/>
      <c r="AQI169" s="541"/>
      <c r="AQJ169" s="541"/>
      <c r="AQK169" s="541"/>
      <c r="AQL169" s="541"/>
      <c r="AQM169" s="541"/>
      <c r="AQN169" s="541"/>
      <c r="AQO169" s="541"/>
      <c r="AQP169" s="541"/>
      <c r="AQQ169" s="541"/>
      <c r="AQR169" s="541"/>
      <c r="AQS169" s="541"/>
      <c r="AQT169" s="541"/>
      <c r="AQU169" s="541"/>
      <c r="AQV169" s="541"/>
      <c r="AQW169" s="541"/>
      <c r="AQX169" s="541"/>
      <c r="AQY169" s="541"/>
      <c r="AQZ169" s="541"/>
      <c r="ARA169" s="541"/>
      <c r="ARB169" s="541"/>
      <c r="ARC169" s="541"/>
      <c r="ARD169" s="541"/>
      <c r="ARE169" s="541"/>
      <c r="ARF169" s="541"/>
      <c r="ARG169" s="541"/>
      <c r="ARH169" s="541"/>
      <c r="ARI169" s="541"/>
      <c r="ARJ169" s="541"/>
      <c r="ARK169" s="541"/>
      <c r="ARL169" s="541"/>
      <c r="ARM169" s="541"/>
      <c r="ARN169" s="541"/>
      <c r="ARO169" s="541"/>
      <c r="ARP169" s="541"/>
      <c r="ARQ169" s="541"/>
      <c r="ARR169" s="541"/>
      <c r="ARS169" s="541"/>
      <c r="ART169" s="541"/>
      <c r="ARU169" s="541"/>
    </row>
    <row r="170" spans="1:1165">
      <c r="A170" s="596"/>
      <c r="B170" s="430"/>
      <c r="C170" s="608"/>
      <c r="D170" s="608"/>
      <c r="E170" s="608"/>
      <c r="F170" s="608"/>
      <c r="G170" s="608"/>
      <c r="H170" s="608"/>
      <c r="I170" s="608"/>
      <c r="J170" s="608"/>
      <c r="K170" s="608"/>
      <c r="L170" s="608"/>
      <c r="M170" s="608"/>
      <c r="N170" s="608"/>
      <c r="O170" s="608"/>
      <c r="P170" s="608"/>
      <c r="Q170" s="608"/>
      <c r="R170" s="608"/>
      <c r="S170" s="608"/>
      <c r="T170" s="608"/>
      <c r="U170" s="587"/>
      <c r="V170" s="587"/>
      <c r="W170" s="586"/>
      <c r="X170" s="586"/>
      <c r="Y170" s="672"/>
      <c r="Z170" s="672"/>
      <c r="AA170" s="586"/>
      <c r="AB170" s="623"/>
      <c r="AC170" s="608"/>
      <c r="AD170" s="608"/>
      <c r="AE170" s="623"/>
      <c r="AF170" s="623"/>
      <c r="AG170" s="623"/>
      <c r="AH170" s="623"/>
      <c r="AI170" s="623"/>
      <c r="AJ170" s="623"/>
      <c r="AK170" s="586"/>
      <c r="AL170" s="586"/>
      <c r="AM170" s="586"/>
      <c r="AN170" s="586"/>
      <c r="AO170" s="586"/>
      <c r="AP170" s="586"/>
      <c r="AQ170" s="686"/>
      <c r="AR170" s="586"/>
      <c r="AS170" s="586"/>
      <c r="AT170" s="586"/>
      <c r="AU170" s="586"/>
      <c r="AV170" s="623"/>
      <c r="AW170" s="650"/>
      <c r="AX170" s="650"/>
      <c r="AY170" s="648"/>
      <c r="AZ170" s="648"/>
      <c r="BA170" s="686"/>
      <c r="BB170" s="650"/>
      <c r="BC170" s="650"/>
      <c r="BD170" s="650"/>
      <c r="BE170" s="650"/>
      <c r="BF170" s="650"/>
      <c r="BG170" s="650"/>
      <c r="BH170" s="650"/>
      <c r="BI170" s="686"/>
      <c r="BJ170" s="650"/>
      <c r="BK170" s="650"/>
      <c r="BL170" s="541"/>
      <c r="BM170" s="624"/>
      <c r="BP170" s="624"/>
    </row>
    <row r="171" spans="1:1165">
      <c r="A171" s="591" t="s">
        <v>303</v>
      </c>
      <c r="B171" s="638" t="s">
        <v>110</v>
      </c>
      <c r="C171" s="684">
        <v>4052</v>
      </c>
      <c r="D171" s="684">
        <v>62633</v>
      </c>
      <c r="E171" s="608">
        <v>0</v>
      </c>
      <c r="F171" s="608">
        <v>0</v>
      </c>
      <c r="G171" s="608">
        <v>0</v>
      </c>
      <c r="H171" s="608">
        <v>0</v>
      </c>
      <c r="I171" s="608">
        <v>0</v>
      </c>
      <c r="J171" s="608">
        <v>0</v>
      </c>
      <c r="K171" s="608">
        <v>0</v>
      </c>
      <c r="L171" s="608">
        <v>0</v>
      </c>
      <c r="M171" s="608">
        <v>0</v>
      </c>
      <c r="N171" s="608">
        <v>0</v>
      </c>
      <c r="O171" s="608">
        <v>9620</v>
      </c>
      <c r="P171" s="608">
        <v>423303</v>
      </c>
      <c r="Q171" s="608">
        <v>1474</v>
      </c>
      <c r="R171" s="608">
        <v>44315</v>
      </c>
      <c r="S171" s="608">
        <v>1236</v>
      </c>
      <c r="T171" s="608">
        <v>53041</v>
      </c>
      <c r="U171" s="608">
        <v>1151</v>
      </c>
      <c r="V171" s="608">
        <v>67245</v>
      </c>
      <c r="W171" s="608">
        <v>1212</v>
      </c>
      <c r="X171" s="608">
        <v>72557</v>
      </c>
      <c r="Y171" s="595">
        <v>861</v>
      </c>
      <c r="Z171" s="595">
        <v>58774</v>
      </c>
      <c r="AA171" s="623">
        <v>403</v>
      </c>
      <c r="AB171" s="623">
        <v>29974</v>
      </c>
      <c r="AC171" s="608">
        <v>918</v>
      </c>
      <c r="AD171" s="608">
        <v>68315</v>
      </c>
      <c r="AE171" s="586">
        <v>1025</v>
      </c>
      <c r="AF171" s="586">
        <v>76189</v>
      </c>
      <c r="AG171" s="586">
        <v>786</v>
      </c>
      <c r="AH171" s="586">
        <v>58531</v>
      </c>
      <c r="AI171" s="586">
        <v>1113</v>
      </c>
      <c r="AJ171" s="586">
        <v>78400</v>
      </c>
      <c r="AK171" s="673">
        <v>0</v>
      </c>
      <c r="AL171" s="673">
        <v>0</v>
      </c>
      <c r="AM171" s="586">
        <v>0</v>
      </c>
      <c r="AN171" s="586">
        <v>0</v>
      </c>
      <c r="AO171" s="586">
        <v>0</v>
      </c>
      <c r="AP171" s="586">
        <v>0</v>
      </c>
      <c r="AQ171" s="586">
        <v>0</v>
      </c>
      <c r="AR171" s="586">
        <v>0</v>
      </c>
      <c r="AS171" s="586">
        <v>0</v>
      </c>
      <c r="AT171" s="586">
        <v>0</v>
      </c>
      <c r="AU171" s="586">
        <v>0</v>
      </c>
      <c r="AV171" s="586">
        <v>0</v>
      </c>
      <c r="AW171" s="682">
        <v>0</v>
      </c>
      <c r="AX171" s="682">
        <v>0</v>
      </c>
      <c r="AY171" s="682">
        <v>0</v>
      </c>
      <c r="AZ171" s="682">
        <v>0</v>
      </c>
      <c r="BA171" s="625"/>
      <c r="BB171" s="682"/>
      <c r="BC171" s="682"/>
      <c r="BD171" s="682"/>
      <c r="BE171" s="625"/>
      <c r="BF171" s="682"/>
      <c r="BG171" s="682"/>
      <c r="BH171" s="682"/>
      <c r="BI171" s="625"/>
      <c r="BJ171" s="682">
        <f>C171+G171+I171+K171+M171+O171+Q171+S171+U171+W171+Y171+AA171+AC171+AE171+AG171+AI171+AK171+AM171+AO171+AQ171+AS171+AU171+AW171+AY171+BB171+BF171</f>
        <v>23851</v>
      </c>
      <c r="BK171" s="595">
        <f>D171+H171+J171+L171+N171+P171+R171+T171+V171+X171+Z171+AB171+AD171+AF171+AH171+AJ171+AL171+AN171+AP171+AR171+AT171+AV171+AX171+AZ171+BD171+BH171</f>
        <v>1093277</v>
      </c>
      <c r="BL171" s="541"/>
      <c r="BM171" s="624"/>
      <c r="BO171" s="624"/>
      <c r="BP171" s="624"/>
    </row>
    <row r="172" spans="1:1165">
      <c r="A172" s="599" t="s">
        <v>304</v>
      </c>
      <c r="B172" s="430"/>
      <c r="C172" s="684"/>
      <c r="D172" s="684"/>
      <c r="E172" s="608"/>
      <c r="F172" s="608"/>
      <c r="G172" s="608"/>
      <c r="H172" s="608"/>
      <c r="I172" s="608"/>
      <c r="J172" s="608"/>
      <c r="K172" s="608"/>
      <c r="L172" s="608"/>
      <c r="M172" s="608"/>
      <c r="N172" s="608"/>
      <c r="O172" s="608"/>
      <c r="P172" s="608"/>
      <c r="Q172" s="608"/>
      <c r="R172" s="608"/>
      <c r="S172" s="608"/>
      <c r="T172" s="608"/>
      <c r="U172" s="586"/>
      <c r="V172" s="586"/>
      <c r="W172" s="586"/>
      <c r="X172" s="586"/>
      <c r="Y172" s="608"/>
      <c r="Z172" s="608"/>
      <c r="AA172" s="623"/>
      <c r="AB172" s="623"/>
      <c r="AC172" s="595"/>
      <c r="AD172" s="595"/>
      <c r="AE172" s="586"/>
      <c r="AF172" s="586"/>
      <c r="AG172" s="586"/>
      <c r="AH172" s="586"/>
      <c r="AI172" s="586"/>
      <c r="AJ172" s="586"/>
      <c r="AK172" s="586"/>
      <c r="AL172" s="586"/>
      <c r="AM172" s="586"/>
      <c r="AN172" s="586"/>
      <c r="AO172" s="586"/>
      <c r="AP172" s="586"/>
      <c r="AQ172" s="586"/>
      <c r="AR172" s="586"/>
      <c r="AS172" s="586"/>
      <c r="AT172" s="586"/>
      <c r="AU172" s="586"/>
      <c r="AV172" s="623"/>
      <c r="AW172" s="650"/>
      <c r="AX172" s="650"/>
      <c r="AY172" s="648"/>
      <c r="AZ172" s="648"/>
      <c r="BA172" s="686"/>
      <c r="BB172" s="650"/>
      <c r="BC172" s="650"/>
      <c r="BD172" s="650"/>
      <c r="BE172" s="650"/>
      <c r="BF172" s="650"/>
      <c r="BG172" s="650"/>
      <c r="BH172" s="650"/>
      <c r="BI172" s="686"/>
      <c r="BJ172" s="650"/>
      <c r="BK172" s="650"/>
      <c r="BL172" s="541"/>
      <c r="BM172" s="624"/>
      <c r="BO172" s="624"/>
      <c r="BP172" s="624"/>
    </row>
    <row r="173" spans="1:1165" s="658" customFormat="1">
      <c r="A173" s="577" t="s">
        <v>305</v>
      </c>
      <c r="B173" s="603"/>
      <c r="C173" s="687"/>
      <c r="D173" s="687"/>
      <c r="E173" s="598"/>
      <c r="F173" s="598"/>
      <c r="G173" s="598"/>
      <c r="H173" s="598"/>
      <c r="I173" s="598"/>
      <c r="J173" s="598"/>
      <c r="K173" s="598"/>
      <c r="L173" s="598"/>
      <c r="M173" s="598"/>
      <c r="N173" s="598"/>
      <c r="O173" s="598"/>
      <c r="P173" s="598"/>
      <c r="Q173" s="598"/>
      <c r="R173" s="598"/>
      <c r="S173" s="598"/>
      <c r="T173" s="598"/>
      <c r="U173" s="620"/>
      <c r="V173" s="620"/>
      <c r="W173" s="579"/>
      <c r="X173" s="579"/>
      <c r="Y173" s="598"/>
      <c r="Z173" s="598"/>
      <c r="AA173" s="619"/>
      <c r="AB173" s="619"/>
      <c r="AC173" s="581"/>
      <c r="AD173" s="581"/>
      <c r="AE173" s="579"/>
      <c r="AF173" s="579"/>
      <c r="AG173" s="579"/>
      <c r="AH173" s="579"/>
      <c r="AI173" s="579"/>
      <c r="AJ173" s="579"/>
      <c r="AK173" s="579"/>
      <c r="AL173" s="579"/>
      <c r="AM173" s="579"/>
      <c r="AN173" s="579"/>
      <c r="AO173" s="579"/>
      <c r="AP173" s="579"/>
      <c r="AQ173" s="579"/>
      <c r="AR173" s="579"/>
      <c r="AS173" s="579"/>
      <c r="AT173" s="579"/>
      <c r="AU173" s="619"/>
      <c r="AV173" s="619"/>
      <c r="AW173" s="657"/>
      <c r="AX173" s="657"/>
      <c r="AY173" s="656"/>
      <c r="AZ173" s="656"/>
      <c r="BA173" s="663"/>
      <c r="BB173" s="657"/>
      <c r="BC173" s="657"/>
      <c r="BD173" s="657"/>
      <c r="BE173" s="657"/>
      <c r="BF173" s="657"/>
      <c r="BG173" s="657"/>
      <c r="BH173" s="657"/>
      <c r="BI173" s="663"/>
      <c r="BJ173" s="657"/>
      <c r="BK173" s="657"/>
      <c r="BL173" s="541"/>
      <c r="BM173" s="624"/>
      <c r="BN173" s="541"/>
      <c r="BO173" s="541"/>
      <c r="BP173" s="624"/>
      <c r="BQ173" s="541"/>
      <c r="BR173" s="541"/>
      <c r="BS173" s="541"/>
      <c r="BT173" s="541"/>
      <c r="BU173" s="541"/>
      <c r="BV173" s="541"/>
      <c r="BW173" s="541"/>
      <c r="BX173" s="541"/>
      <c r="BY173" s="541"/>
      <c r="BZ173" s="541"/>
      <c r="CA173" s="541"/>
      <c r="CB173" s="541"/>
      <c r="CC173" s="541"/>
      <c r="CD173" s="541"/>
      <c r="CE173" s="541"/>
      <c r="CF173" s="541"/>
      <c r="CG173" s="541"/>
      <c r="CH173" s="541"/>
      <c r="CI173" s="541"/>
      <c r="CJ173" s="541"/>
      <c r="CK173" s="541"/>
      <c r="CL173" s="541"/>
      <c r="CM173" s="541"/>
      <c r="CN173" s="541"/>
      <c r="CO173" s="541"/>
      <c r="CP173" s="541"/>
      <c r="CQ173" s="541"/>
      <c r="CR173" s="541"/>
      <c r="CS173" s="541"/>
      <c r="CT173" s="541"/>
      <c r="CU173" s="541"/>
      <c r="CV173" s="541"/>
      <c r="CW173" s="541"/>
      <c r="CX173" s="541"/>
      <c r="CY173" s="541"/>
      <c r="CZ173" s="541"/>
      <c r="DA173" s="541"/>
      <c r="DB173" s="541"/>
      <c r="DC173" s="541"/>
      <c r="DD173" s="541"/>
      <c r="DE173" s="541"/>
      <c r="DF173" s="541"/>
      <c r="DG173" s="541"/>
      <c r="DH173" s="541"/>
      <c r="DI173" s="541"/>
      <c r="DJ173" s="541"/>
      <c r="DK173" s="541"/>
      <c r="DL173" s="541"/>
      <c r="DM173" s="541"/>
      <c r="DN173" s="541"/>
      <c r="DO173" s="541"/>
      <c r="DP173" s="541"/>
      <c r="DQ173" s="541"/>
      <c r="DR173" s="541"/>
      <c r="DS173" s="541"/>
      <c r="DT173" s="541"/>
      <c r="DU173" s="541"/>
      <c r="DV173" s="541"/>
      <c r="DW173" s="541"/>
      <c r="DX173" s="541"/>
      <c r="DY173" s="541"/>
      <c r="DZ173" s="541"/>
      <c r="EA173" s="541"/>
      <c r="EB173" s="541"/>
      <c r="EC173" s="541"/>
      <c r="ED173" s="541"/>
      <c r="EE173" s="541"/>
      <c r="EF173" s="541"/>
      <c r="EG173" s="541"/>
      <c r="EH173" s="541"/>
      <c r="EI173" s="541"/>
      <c r="EJ173" s="541"/>
      <c r="EK173" s="541"/>
      <c r="EL173" s="541"/>
      <c r="EM173" s="541"/>
      <c r="EN173" s="541"/>
      <c r="EO173" s="541"/>
      <c r="EP173" s="541"/>
      <c r="EQ173" s="541"/>
      <c r="ER173" s="541"/>
      <c r="ES173" s="541"/>
      <c r="ET173" s="541"/>
      <c r="EU173" s="541"/>
      <c r="EV173" s="541"/>
      <c r="EW173" s="541"/>
      <c r="EX173" s="541"/>
      <c r="EY173" s="541"/>
      <c r="EZ173" s="541"/>
      <c r="FA173" s="541"/>
      <c r="FB173" s="541"/>
      <c r="FC173" s="541"/>
      <c r="FD173" s="541"/>
      <c r="FE173" s="541"/>
      <c r="FF173" s="541"/>
      <c r="FG173" s="541"/>
      <c r="FH173" s="541"/>
      <c r="FI173" s="541"/>
      <c r="FJ173" s="541"/>
      <c r="FK173" s="541"/>
      <c r="FL173" s="541"/>
      <c r="FM173" s="541"/>
      <c r="FN173" s="541"/>
      <c r="FO173" s="541"/>
      <c r="FP173" s="541"/>
      <c r="FQ173" s="541"/>
      <c r="FR173" s="541"/>
      <c r="FS173" s="541"/>
      <c r="FT173" s="541"/>
      <c r="FU173" s="541"/>
      <c r="FV173" s="541"/>
      <c r="FW173" s="541"/>
      <c r="FX173" s="541"/>
      <c r="FY173" s="541"/>
      <c r="FZ173" s="541"/>
      <c r="GA173" s="541"/>
      <c r="GB173" s="541"/>
      <c r="GC173" s="541"/>
      <c r="GD173" s="541"/>
      <c r="GE173" s="541"/>
      <c r="GF173" s="541"/>
      <c r="GG173" s="541"/>
      <c r="GH173" s="541"/>
      <c r="GI173" s="541"/>
      <c r="GJ173" s="541"/>
      <c r="GK173" s="541"/>
      <c r="GL173" s="541"/>
      <c r="GM173" s="541"/>
      <c r="GN173" s="541"/>
      <c r="GO173" s="541"/>
      <c r="GP173" s="541"/>
      <c r="GQ173" s="541"/>
      <c r="GR173" s="541"/>
      <c r="GS173" s="541"/>
      <c r="GT173" s="541"/>
      <c r="GU173" s="541"/>
      <c r="GV173" s="541"/>
      <c r="GW173" s="541"/>
      <c r="GX173" s="541"/>
      <c r="GY173" s="541"/>
      <c r="GZ173" s="541"/>
      <c r="HA173" s="541"/>
      <c r="HB173" s="541"/>
      <c r="HC173" s="541"/>
      <c r="HD173" s="541"/>
      <c r="HE173" s="541"/>
      <c r="HF173" s="541"/>
      <c r="HG173" s="541"/>
      <c r="HH173" s="541"/>
      <c r="HI173" s="541"/>
      <c r="HJ173" s="541"/>
      <c r="HK173" s="541"/>
      <c r="HL173" s="541"/>
      <c r="HM173" s="541"/>
      <c r="HN173" s="541"/>
      <c r="HO173" s="541"/>
      <c r="HP173" s="541"/>
      <c r="HQ173" s="541"/>
      <c r="HR173" s="541"/>
      <c r="HS173" s="541"/>
      <c r="HT173" s="541"/>
      <c r="HU173" s="541"/>
      <c r="HV173" s="541"/>
      <c r="HW173" s="541"/>
      <c r="HX173" s="541"/>
      <c r="HY173" s="541"/>
      <c r="HZ173" s="541"/>
      <c r="IA173" s="541"/>
      <c r="IB173" s="541"/>
      <c r="IC173" s="541"/>
      <c r="ID173" s="541"/>
      <c r="IE173" s="541"/>
      <c r="IF173" s="541"/>
      <c r="IG173" s="541"/>
      <c r="IH173" s="541"/>
      <c r="II173" s="541"/>
      <c r="IJ173" s="541"/>
      <c r="IK173" s="541"/>
      <c r="IL173" s="541"/>
      <c r="IM173" s="541"/>
      <c r="IN173" s="541"/>
      <c r="IO173" s="541"/>
      <c r="IP173" s="541"/>
      <c r="IQ173" s="541"/>
      <c r="IR173" s="541"/>
      <c r="IS173" s="541"/>
      <c r="IT173" s="541"/>
      <c r="IU173" s="541"/>
      <c r="IV173" s="541"/>
      <c r="IW173" s="541"/>
      <c r="IX173" s="541"/>
      <c r="IY173" s="541"/>
      <c r="IZ173" s="541"/>
      <c r="JA173" s="541"/>
      <c r="JB173" s="541"/>
      <c r="JC173" s="541"/>
      <c r="JD173" s="541"/>
      <c r="JE173" s="541"/>
      <c r="JF173" s="541"/>
      <c r="JG173" s="541"/>
      <c r="JH173" s="541"/>
      <c r="JI173" s="541"/>
      <c r="JJ173" s="541"/>
      <c r="JK173" s="541"/>
      <c r="JL173" s="541"/>
      <c r="JM173" s="541"/>
      <c r="JN173" s="541"/>
      <c r="JO173" s="541"/>
      <c r="JP173" s="541"/>
      <c r="JQ173" s="541"/>
      <c r="JR173" s="541"/>
      <c r="JS173" s="541"/>
      <c r="JT173" s="541"/>
      <c r="JU173" s="541"/>
      <c r="JV173" s="541"/>
      <c r="JW173" s="541"/>
      <c r="JX173" s="541"/>
      <c r="JY173" s="541"/>
      <c r="JZ173" s="541"/>
      <c r="KA173" s="541"/>
      <c r="KB173" s="541"/>
      <c r="KC173" s="541"/>
      <c r="KD173" s="541"/>
      <c r="KE173" s="541"/>
      <c r="KF173" s="541"/>
      <c r="KG173" s="541"/>
      <c r="KH173" s="541"/>
      <c r="KI173" s="541"/>
      <c r="KJ173" s="541"/>
      <c r="KK173" s="541"/>
      <c r="KL173" s="541"/>
      <c r="KM173" s="541"/>
      <c r="KN173" s="541"/>
      <c r="KO173" s="541"/>
      <c r="KP173" s="541"/>
      <c r="KQ173" s="541"/>
      <c r="KR173" s="541"/>
      <c r="KS173" s="541"/>
      <c r="KT173" s="541"/>
      <c r="KU173" s="541"/>
      <c r="KV173" s="541"/>
      <c r="KW173" s="541"/>
      <c r="KX173" s="541"/>
      <c r="KY173" s="541"/>
      <c r="KZ173" s="541"/>
      <c r="LA173" s="541"/>
      <c r="LB173" s="541"/>
      <c r="LC173" s="541"/>
      <c r="LD173" s="541"/>
      <c r="LE173" s="541"/>
      <c r="LF173" s="541"/>
      <c r="LG173" s="541"/>
      <c r="LH173" s="541"/>
      <c r="LI173" s="541"/>
      <c r="LJ173" s="541"/>
      <c r="LK173" s="541"/>
      <c r="LL173" s="541"/>
      <c r="LM173" s="541"/>
      <c r="LN173" s="541"/>
      <c r="LO173" s="541"/>
      <c r="LP173" s="541"/>
      <c r="LQ173" s="541"/>
      <c r="LR173" s="541"/>
      <c r="LS173" s="541"/>
      <c r="LT173" s="541"/>
      <c r="LU173" s="541"/>
      <c r="LV173" s="541"/>
      <c r="LW173" s="541"/>
      <c r="LX173" s="541"/>
      <c r="LY173" s="541"/>
      <c r="LZ173" s="541"/>
      <c r="MA173" s="541"/>
      <c r="MB173" s="541"/>
      <c r="MC173" s="541"/>
      <c r="MD173" s="541"/>
      <c r="ME173" s="541"/>
      <c r="MF173" s="541"/>
      <c r="MG173" s="541"/>
      <c r="MH173" s="541"/>
      <c r="MI173" s="541"/>
      <c r="MJ173" s="541"/>
      <c r="MK173" s="541"/>
      <c r="ML173" s="541"/>
      <c r="MM173" s="541"/>
      <c r="MN173" s="541"/>
      <c r="MO173" s="541"/>
      <c r="MP173" s="541"/>
      <c r="MQ173" s="541"/>
      <c r="MR173" s="541"/>
      <c r="MS173" s="541"/>
      <c r="MT173" s="541"/>
      <c r="MU173" s="541"/>
      <c r="MV173" s="541"/>
      <c r="MW173" s="541"/>
      <c r="MX173" s="541"/>
      <c r="MY173" s="541"/>
      <c r="MZ173" s="541"/>
      <c r="NA173" s="541"/>
      <c r="NB173" s="541"/>
      <c r="NC173" s="541"/>
      <c r="ND173" s="541"/>
      <c r="NE173" s="541"/>
      <c r="NF173" s="541"/>
      <c r="NG173" s="541"/>
      <c r="NH173" s="541"/>
      <c r="NI173" s="541"/>
      <c r="NJ173" s="541"/>
      <c r="NK173" s="541"/>
      <c r="NL173" s="541"/>
      <c r="NM173" s="541"/>
      <c r="NN173" s="541"/>
      <c r="NO173" s="541"/>
      <c r="NP173" s="541"/>
      <c r="NQ173" s="541"/>
      <c r="NR173" s="541"/>
      <c r="NS173" s="541"/>
      <c r="NT173" s="541"/>
      <c r="NU173" s="541"/>
      <c r="NV173" s="541"/>
      <c r="NW173" s="541"/>
      <c r="NX173" s="541"/>
      <c r="NY173" s="541"/>
      <c r="NZ173" s="541"/>
      <c r="OA173" s="541"/>
      <c r="OB173" s="541"/>
      <c r="OC173" s="541"/>
      <c r="OD173" s="541"/>
      <c r="OE173" s="541"/>
      <c r="OF173" s="541"/>
      <c r="OG173" s="541"/>
      <c r="OH173" s="541"/>
      <c r="OI173" s="541"/>
      <c r="OJ173" s="541"/>
      <c r="OK173" s="541"/>
      <c r="OL173" s="541"/>
      <c r="OM173" s="541"/>
      <c r="ON173" s="541"/>
      <c r="OO173" s="541"/>
      <c r="OP173" s="541"/>
      <c r="OQ173" s="541"/>
      <c r="OR173" s="541"/>
      <c r="OS173" s="541"/>
      <c r="OT173" s="541"/>
      <c r="OU173" s="541"/>
      <c r="OV173" s="541"/>
      <c r="OW173" s="541"/>
      <c r="OX173" s="541"/>
      <c r="OY173" s="541"/>
      <c r="OZ173" s="541"/>
      <c r="PA173" s="541"/>
      <c r="PB173" s="541"/>
      <c r="PC173" s="541"/>
      <c r="PD173" s="541"/>
      <c r="PE173" s="541"/>
      <c r="PF173" s="541"/>
      <c r="PG173" s="541"/>
      <c r="PH173" s="541"/>
      <c r="PI173" s="541"/>
      <c r="PJ173" s="541"/>
      <c r="PK173" s="541"/>
      <c r="PL173" s="541"/>
      <c r="PM173" s="541"/>
      <c r="PN173" s="541"/>
      <c r="PO173" s="541"/>
      <c r="PP173" s="541"/>
      <c r="PQ173" s="541"/>
      <c r="PR173" s="541"/>
      <c r="PS173" s="541"/>
      <c r="PT173" s="541"/>
      <c r="PU173" s="541"/>
      <c r="PV173" s="541"/>
      <c r="PW173" s="541"/>
      <c r="PX173" s="541"/>
      <c r="PY173" s="541"/>
      <c r="PZ173" s="541"/>
      <c r="QA173" s="541"/>
      <c r="QB173" s="541"/>
      <c r="QC173" s="541"/>
      <c r="QD173" s="541"/>
      <c r="QE173" s="541"/>
      <c r="QF173" s="541"/>
      <c r="QG173" s="541"/>
      <c r="QH173" s="541"/>
      <c r="QI173" s="541"/>
      <c r="QJ173" s="541"/>
      <c r="QK173" s="541"/>
      <c r="QL173" s="541"/>
      <c r="QM173" s="541"/>
      <c r="QN173" s="541"/>
      <c r="QO173" s="541"/>
      <c r="QP173" s="541"/>
      <c r="QQ173" s="541"/>
      <c r="QR173" s="541"/>
      <c r="QS173" s="541"/>
      <c r="QT173" s="541"/>
      <c r="QU173" s="541"/>
      <c r="QV173" s="541"/>
      <c r="QW173" s="541"/>
      <c r="QX173" s="541"/>
      <c r="QY173" s="541"/>
      <c r="QZ173" s="541"/>
      <c r="RA173" s="541"/>
      <c r="RB173" s="541"/>
      <c r="RC173" s="541"/>
      <c r="RD173" s="541"/>
      <c r="RE173" s="541"/>
      <c r="RF173" s="541"/>
      <c r="RG173" s="541"/>
      <c r="RH173" s="541"/>
      <c r="RI173" s="541"/>
      <c r="RJ173" s="541"/>
      <c r="RK173" s="541"/>
      <c r="RL173" s="541"/>
      <c r="RM173" s="541"/>
      <c r="RN173" s="541"/>
      <c r="RO173" s="541"/>
      <c r="RP173" s="541"/>
      <c r="RQ173" s="541"/>
      <c r="RR173" s="541"/>
      <c r="RS173" s="541"/>
      <c r="RT173" s="541"/>
      <c r="RU173" s="541"/>
      <c r="RV173" s="541"/>
      <c r="RW173" s="541"/>
      <c r="RX173" s="541"/>
      <c r="RY173" s="541"/>
      <c r="RZ173" s="541"/>
      <c r="SA173" s="541"/>
      <c r="SB173" s="541"/>
      <c r="SC173" s="541"/>
      <c r="SD173" s="541"/>
      <c r="SE173" s="541"/>
      <c r="SF173" s="541"/>
      <c r="SG173" s="541"/>
      <c r="SH173" s="541"/>
      <c r="SI173" s="541"/>
      <c r="SJ173" s="541"/>
      <c r="SK173" s="541"/>
      <c r="SL173" s="541"/>
      <c r="SM173" s="541"/>
      <c r="SN173" s="541"/>
      <c r="SO173" s="541"/>
      <c r="SP173" s="541"/>
      <c r="SQ173" s="541"/>
      <c r="SR173" s="541"/>
      <c r="SS173" s="541"/>
      <c r="ST173" s="541"/>
      <c r="SU173" s="541"/>
      <c r="SV173" s="541"/>
      <c r="SW173" s="541"/>
      <c r="SX173" s="541"/>
      <c r="SY173" s="541"/>
      <c r="SZ173" s="541"/>
      <c r="TA173" s="541"/>
      <c r="TB173" s="541"/>
      <c r="TC173" s="541"/>
      <c r="TD173" s="541"/>
      <c r="TE173" s="541"/>
      <c r="TF173" s="541"/>
      <c r="TG173" s="541"/>
      <c r="TH173" s="541"/>
      <c r="TI173" s="541"/>
      <c r="TJ173" s="541"/>
      <c r="TK173" s="541"/>
      <c r="TL173" s="541"/>
      <c r="TM173" s="541"/>
      <c r="TN173" s="541"/>
      <c r="TO173" s="541"/>
      <c r="TP173" s="541"/>
      <c r="TQ173" s="541"/>
      <c r="TR173" s="541"/>
      <c r="TS173" s="541"/>
      <c r="TT173" s="541"/>
      <c r="TU173" s="541"/>
      <c r="TV173" s="541"/>
      <c r="TW173" s="541"/>
      <c r="TX173" s="541"/>
      <c r="TY173" s="541"/>
      <c r="TZ173" s="541"/>
      <c r="UA173" s="541"/>
      <c r="UB173" s="541"/>
      <c r="UC173" s="541"/>
      <c r="UD173" s="541"/>
      <c r="UE173" s="541"/>
      <c r="UF173" s="541"/>
      <c r="UG173" s="541"/>
      <c r="UH173" s="541"/>
      <c r="UI173" s="541"/>
      <c r="UJ173" s="541"/>
      <c r="UK173" s="541"/>
      <c r="UL173" s="541"/>
      <c r="UM173" s="541"/>
      <c r="UN173" s="541"/>
      <c r="UO173" s="541"/>
      <c r="UP173" s="541"/>
      <c r="UQ173" s="541"/>
      <c r="UR173" s="541"/>
      <c r="US173" s="541"/>
      <c r="UT173" s="541"/>
      <c r="UU173" s="541"/>
      <c r="UV173" s="541"/>
      <c r="UW173" s="541"/>
      <c r="UX173" s="541"/>
      <c r="UY173" s="541"/>
      <c r="UZ173" s="541"/>
      <c r="VA173" s="541"/>
      <c r="VB173" s="541"/>
      <c r="VC173" s="541"/>
      <c r="VD173" s="541"/>
      <c r="VE173" s="541"/>
      <c r="VF173" s="541"/>
      <c r="VG173" s="541"/>
      <c r="VH173" s="541"/>
      <c r="VI173" s="541"/>
      <c r="VJ173" s="541"/>
      <c r="VK173" s="541"/>
      <c r="VL173" s="541"/>
      <c r="VM173" s="541"/>
      <c r="VN173" s="541"/>
      <c r="VO173" s="541"/>
      <c r="VP173" s="541"/>
      <c r="VQ173" s="541"/>
      <c r="VR173" s="541"/>
      <c r="VS173" s="541"/>
      <c r="VT173" s="541"/>
      <c r="VU173" s="541"/>
      <c r="VV173" s="541"/>
      <c r="VW173" s="541"/>
      <c r="VX173" s="541"/>
      <c r="VY173" s="541"/>
      <c r="VZ173" s="541"/>
      <c r="WA173" s="541"/>
      <c r="WB173" s="541"/>
      <c r="WC173" s="541"/>
      <c r="WD173" s="541"/>
      <c r="WE173" s="541"/>
      <c r="WF173" s="541"/>
      <c r="WG173" s="541"/>
      <c r="WH173" s="541"/>
      <c r="WI173" s="541"/>
      <c r="WJ173" s="541"/>
      <c r="WK173" s="541"/>
      <c r="WL173" s="541"/>
      <c r="WM173" s="541"/>
      <c r="WN173" s="541"/>
      <c r="WO173" s="541"/>
      <c r="WP173" s="541"/>
      <c r="WQ173" s="541"/>
      <c r="WR173" s="541"/>
      <c r="WS173" s="541"/>
      <c r="WT173" s="541"/>
      <c r="WU173" s="541"/>
      <c r="WV173" s="541"/>
      <c r="WW173" s="541"/>
      <c r="WX173" s="541"/>
      <c r="WY173" s="541"/>
      <c r="WZ173" s="541"/>
      <c r="XA173" s="541"/>
      <c r="XB173" s="541"/>
      <c r="XC173" s="541"/>
      <c r="XD173" s="541"/>
      <c r="XE173" s="541"/>
      <c r="XF173" s="541"/>
      <c r="XG173" s="541"/>
      <c r="XH173" s="541"/>
      <c r="XI173" s="541"/>
      <c r="XJ173" s="541"/>
      <c r="XK173" s="541"/>
      <c r="XL173" s="541"/>
      <c r="XM173" s="541"/>
      <c r="XN173" s="541"/>
      <c r="XO173" s="541"/>
      <c r="XP173" s="541"/>
      <c r="XQ173" s="541"/>
      <c r="XR173" s="541"/>
      <c r="XS173" s="541"/>
      <c r="XT173" s="541"/>
      <c r="XU173" s="541"/>
      <c r="XV173" s="541"/>
      <c r="XW173" s="541"/>
      <c r="XX173" s="541"/>
      <c r="XY173" s="541"/>
      <c r="XZ173" s="541"/>
      <c r="YA173" s="541"/>
      <c r="YB173" s="541"/>
      <c r="YC173" s="541"/>
      <c r="YD173" s="541"/>
      <c r="YE173" s="541"/>
      <c r="YF173" s="541"/>
      <c r="YG173" s="541"/>
      <c r="YH173" s="541"/>
      <c r="YI173" s="541"/>
      <c r="YJ173" s="541"/>
      <c r="YK173" s="541"/>
      <c r="YL173" s="541"/>
      <c r="YM173" s="541"/>
      <c r="YN173" s="541"/>
      <c r="YO173" s="541"/>
      <c r="YP173" s="541"/>
      <c r="YQ173" s="541"/>
      <c r="YR173" s="541"/>
      <c r="YS173" s="541"/>
      <c r="YT173" s="541"/>
      <c r="YU173" s="541"/>
      <c r="YV173" s="541"/>
      <c r="YW173" s="541"/>
      <c r="YX173" s="541"/>
      <c r="YY173" s="541"/>
      <c r="YZ173" s="541"/>
      <c r="ZA173" s="541"/>
      <c r="ZB173" s="541"/>
      <c r="ZC173" s="541"/>
      <c r="ZD173" s="541"/>
      <c r="ZE173" s="541"/>
      <c r="ZF173" s="541"/>
      <c r="ZG173" s="541"/>
      <c r="ZH173" s="541"/>
      <c r="ZI173" s="541"/>
      <c r="ZJ173" s="541"/>
      <c r="ZK173" s="541"/>
      <c r="ZL173" s="541"/>
      <c r="ZM173" s="541"/>
      <c r="ZN173" s="541"/>
      <c r="ZO173" s="541"/>
      <c r="ZP173" s="541"/>
      <c r="ZQ173" s="541"/>
      <c r="ZR173" s="541"/>
      <c r="ZS173" s="541"/>
      <c r="ZT173" s="541"/>
      <c r="ZU173" s="541"/>
      <c r="ZV173" s="541"/>
      <c r="ZW173" s="541"/>
      <c r="ZX173" s="541"/>
      <c r="ZY173" s="541"/>
      <c r="ZZ173" s="541"/>
      <c r="AAA173" s="541"/>
      <c r="AAB173" s="541"/>
      <c r="AAC173" s="541"/>
      <c r="AAD173" s="541"/>
      <c r="AAE173" s="541"/>
      <c r="AAF173" s="541"/>
      <c r="AAG173" s="541"/>
      <c r="AAH173" s="541"/>
      <c r="AAI173" s="541"/>
      <c r="AAJ173" s="541"/>
      <c r="AAK173" s="541"/>
      <c r="AAL173" s="541"/>
      <c r="AAM173" s="541"/>
      <c r="AAN173" s="541"/>
      <c r="AAO173" s="541"/>
      <c r="AAP173" s="541"/>
      <c r="AAQ173" s="541"/>
      <c r="AAR173" s="541"/>
      <c r="AAS173" s="541"/>
      <c r="AAT173" s="541"/>
      <c r="AAU173" s="541"/>
      <c r="AAV173" s="541"/>
      <c r="AAW173" s="541"/>
      <c r="AAX173" s="541"/>
      <c r="AAY173" s="541"/>
      <c r="AAZ173" s="541"/>
      <c r="ABA173" s="541"/>
      <c r="ABB173" s="541"/>
      <c r="ABC173" s="541"/>
      <c r="ABD173" s="541"/>
      <c r="ABE173" s="541"/>
      <c r="ABF173" s="541"/>
      <c r="ABG173" s="541"/>
      <c r="ABH173" s="541"/>
      <c r="ABI173" s="541"/>
      <c r="ABJ173" s="541"/>
      <c r="ABK173" s="541"/>
      <c r="ABL173" s="541"/>
      <c r="ABM173" s="541"/>
      <c r="ABN173" s="541"/>
      <c r="ABO173" s="541"/>
      <c r="ABP173" s="541"/>
      <c r="ABQ173" s="541"/>
      <c r="ABR173" s="541"/>
      <c r="ABS173" s="541"/>
      <c r="ABT173" s="541"/>
      <c r="ABU173" s="541"/>
      <c r="ABV173" s="541"/>
      <c r="ABW173" s="541"/>
      <c r="ABX173" s="541"/>
      <c r="ABY173" s="541"/>
      <c r="ABZ173" s="541"/>
      <c r="ACA173" s="541"/>
      <c r="ACB173" s="541"/>
      <c r="ACC173" s="541"/>
      <c r="ACD173" s="541"/>
      <c r="ACE173" s="541"/>
      <c r="ACF173" s="541"/>
      <c r="ACG173" s="541"/>
      <c r="ACH173" s="541"/>
      <c r="ACI173" s="541"/>
      <c r="ACJ173" s="541"/>
      <c r="ACK173" s="541"/>
      <c r="ACL173" s="541"/>
      <c r="ACM173" s="541"/>
      <c r="ACN173" s="541"/>
      <c r="ACO173" s="541"/>
      <c r="ACP173" s="541"/>
      <c r="ACQ173" s="541"/>
      <c r="ACR173" s="541"/>
      <c r="ACS173" s="541"/>
      <c r="ACT173" s="541"/>
      <c r="ACU173" s="541"/>
      <c r="ACV173" s="541"/>
      <c r="ACW173" s="541"/>
      <c r="ACX173" s="541"/>
      <c r="ACY173" s="541"/>
      <c r="ACZ173" s="541"/>
      <c r="ADA173" s="541"/>
      <c r="ADB173" s="541"/>
      <c r="ADC173" s="541"/>
      <c r="ADD173" s="541"/>
      <c r="ADE173" s="541"/>
      <c r="ADF173" s="541"/>
      <c r="ADG173" s="541"/>
      <c r="ADH173" s="541"/>
      <c r="ADI173" s="541"/>
      <c r="ADJ173" s="541"/>
      <c r="ADK173" s="541"/>
      <c r="ADL173" s="541"/>
      <c r="ADM173" s="541"/>
      <c r="ADN173" s="541"/>
      <c r="ADO173" s="541"/>
      <c r="ADP173" s="541"/>
      <c r="ADQ173" s="541"/>
      <c r="ADR173" s="541"/>
      <c r="ADS173" s="541"/>
      <c r="ADT173" s="541"/>
      <c r="ADU173" s="541"/>
      <c r="ADV173" s="541"/>
      <c r="ADW173" s="541"/>
      <c r="ADX173" s="541"/>
      <c r="ADY173" s="541"/>
      <c r="ADZ173" s="541"/>
      <c r="AEA173" s="541"/>
      <c r="AEB173" s="541"/>
      <c r="AEC173" s="541"/>
      <c r="AED173" s="541"/>
      <c r="AEE173" s="541"/>
      <c r="AEF173" s="541"/>
      <c r="AEG173" s="541"/>
      <c r="AEH173" s="541"/>
      <c r="AEI173" s="541"/>
      <c r="AEJ173" s="541"/>
      <c r="AEK173" s="541"/>
      <c r="AEL173" s="541"/>
      <c r="AEM173" s="541"/>
      <c r="AEN173" s="541"/>
      <c r="AEO173" s="541"/>
      <c r="AEP173" s="541"/>
      <c r="AEQ173" s="541"/>
      <c r="AER173" s="541"/>
      <c r="AES173" s="541"/>
      <c r="AET173" s="541"/>
      <c r="AEU173" s="541"/>
      <c r="AEV173" s="541"/>
      <c r="AEW173" s="541"/>
      <c r="AEX173" s="541"/>
      <c r="AEY173" s="541"/>
      <c r="AEZ173" s="541"/>
      <c r="AFA173" s="541"/>
      <c r="AFB173" s="541"/>
      <c r="AFC173" s="541"/>
      <c r="AFD173" s="541"/>
      <c r="AFE173" s="541"/>
      <c r="AFF173" s="541"/>
      <c r="AFG173" s="541"/>
      <c r="AFH173" s="541"/>
      <c r="AFI173" s="541"/>
      <c r="AFJ173" s="541"/>
      <c r="AFK173" s="541"/>
      <c r="AFL173" s="541"/>
      <c r="AFM173" s="541"/>
      <c r="AFN173" s="541"/>
      <c r="AFO173" s="541"/>
      <c r="AFP173" s="541"/>
      <c r="AFQ173" s="541"/>
      <c r="AFR173" s="541"/>
      <c r="AFS173" s="541"/>
      <c r="AFT173" s="541"/>
      <c r="AFU173" s="541"/>
      <c r="AFV173" s="541"/>
      <c r="AFW173" s="541"/>
      <c r="AFX173" s="541"/>
      <c r="AFY173" s="541"/>
      <c r="AFZ173" s="541"/>
      <c r="AGA173" s="541"/>
      <c r="AGB173" s="541"/>
      <c r="AGC173" s="541"/>
      <c r="AGD173" s="541"/>
      <c r="AGE173" s="541"/>
      <c r="AGF173" s="541"/>
      <c r="AGG173" s="541"/>
      <c r="AGH173" s="541"/>
      <c r="AGI173" s="541"/>
      <c r="AGJ173" s="541"/>
      <c r="AGK173" s="541"/>
      <c r="AGL173" s="541"/>
      <c r="AGM173" s="541"/>
      <c r="AGN173" s="541"/>
      <c r="AGO173" s="541"/>
      <c r="AGP173" s="541"/>
      <c r="AGQ173" s="541"/>
      <c r="AGR173" s="541"/>
      <c r="AGS173" s="541"/>
      <c r="AGT173" s="541"/>
      <c r="AGU173" s="541"/>
      <c r="AGV173" s="541"/>
      <c r="AGW173" s="541"/>
      <c r="AGX173" s="541"/>
      <c r="AGY173" s="541"/>
      <c r="AGZ173" s="541"/>
      <c r="AHA173" s="541"/>
      <c r="AHB173" s="541"/>
      <c r="AHC173" s="541"/>
      <c r="AHD173" s="541"/>
      <c r="AHE173" s="541"/>
      <c r="AHF173" s="541"/>
      <c r="AHG173" s="541"/>
      <c r="AHH173" s="541"/>
      <c r="AHI173" s="541"/>
      <c r="AHJ173" s="541"/>
      <c r="AHK173" s="541"/>
      <c r="AHL173" s="541"/>
      <c r="AHM173" s="541"/>
      <c r="AHN173" s="541"/>
      <c r="AHO173" s="541"/>
      <c r="AHP173" s="541"/>
      <c r="AHQ173" s="541"/>
      <c r="AHR173" s="541"/>
      <c r="AHS173" s="541"/>
      <c r="AHT173" s="541"/>
      <c r="AHU173" s="541"/>
      <c r="AHV173" s="541"/>
      <c r="AHW173" s="541"/>
      <c r="AHX173" s="541"/>
      <c r="AHY173" s="541"/>
      <c r="AHZ173" s="541"/>
      <c r="AIA173" s="541"/>
      <c r="AIB173" s="541"/>
      <c r="AIC173" s="541"/>
      <c r="AID173" s="541"/>
      <c r="AIE173" s="541"/>
      <c r="AIF173" s="541"/>
      <c r="AIG173" s="541"/>
      <c r="AIH173" s="541"/>
      <c r="AII173" s="541"/>
      <c r="AIJ173" s="541"/>
      <c r="AIK173" s="541"/>
      <c r="AIL173" s="541"/>
      <c r="AIM173" s="541"/>
      <c r="AIN173" s="541"/>
      <c r="AIO173" s="541"/>
      <c r="AIP173" s="541"/>
      <c r="AIQ173" s="541"/>
      <c r="AIR173" s="541"/>
      <c r="AIS173" s="541"/>
      <c r="AIT173" s="541"/>
      <c r="AIU173" s="541"/>
      <c r="AIV173" s="541"/>
      <c r="AIW173" s="541"/>
      <c r="AIX173" s="541"/>
      <c r="AIY173" s="541"/>
      <c r="AIZ173" s="541"/>
      <c r="AJA173" s="541"/>
      <c r="AJB173" s="541"/>
      <c r="AJC173" s="541"/>
      <c r="AJD173" s="541"/>
      <c r="AJE173" s="541"/>
      <c r="AJF173" s="541"/>
      <c r="AJG173" s="541"/>
      <c r="AJH173" s="541"/>
      <c r="AJI173" s="541"/>
      <c r="AJJ173" s="541"/>
      <c r="AJK173" s="541"/>
      <c r="AJL173" s="541"/>
      <c r="AJM173" s="541"/>
      <c r="AJN173" s="541"/>
      <c r="AJO173" s="541"/>
      <c r="AJP173" s="541"/>
      <c r="AJQ173" s="541"/>
      <c r="AJR173" s="541"/>
      <c r="AJS173" s="541"/>
      <c r="AJT173" s="541"/>
      <c r="AJU173" s="541"/>
      <c r="AJV173" s="541"/>
      <c r="AJW173" s="541"/>
      <c r="AJX173" s="541"/>
      <c r="AJY173" s="541"/>
      <c r="AJZ173" s="541"/>
      <c r="AKA173" s="541"/>
      <c r="AKB173" s="541"/>
      <c r="AKC173" s="541"/>
      <c r="AKD173" s="541"/>
      <c r="AKE173" s="541"/>
      <c r="AKF173" s="541"/>
      <c r="AKG173" s="541"/>
      <c r="AKH173" s="541"/>
      <c r="AKI173" s="541"/>
      <c r="AKJ173" s="541"/>
      <c r="AKK173" s="541"/>
      <c r="AKL173" s="541"/>
      <c r="AKM173" s="541"/>
      <c r="AKN173" s="541"/>
      <c r="AKO173" s="541"/>
      <c r="AKP173" s="541"/>
      <c r="AKQ173" s="541"/>
      <c r="AKR173" s="541"/>
      <c r="AKS173" s="541"/>
      <c r="AKT173" s="541"/>
      <c r="AKU173" s="541"/>
      <c r="AKV173" s="541"/>
      <c r="AKW173" s="541"/>
      <c r="AKX173" s="541"/>
      <c r="AKY173" s="541"/>
      <c r="AKZ173" s="541"/>
      <c r="ALA173" s="541"/>
      <c r="ALB173" s="541"/>
      <c r="ALC173" s="541"/>
      <c r="ALD173" s="541"/>
      <c r="ALE173" s="541"/>
      <c r="ALF173" s="541"/>
      <c r="ALG173" s="541"/>
      <c r="ALH173" s="541"/>
      <c r="ALI173" s="541"/>
      <c r="ALJ173" s="541"/>
      <c r="ALK173" s="541"/>
      <c r="ALL173" s="541"/>
      <c r="ALM173" s="541"/>
      <c r="ALN173" s="541"/>
      <c r="ALO173" s="541"/>
      <c r="ALP173" s="541"/>
      <c r="ALQ173" s="541"/>
      <c r="ALR173" s="541"/>
      <c r="ALS173" s="541"/>
      <c r="ALT173" s="541"/>
      <c r="ALU173" s="541"/>
      <c r="ALV173" s="541"/>
      <c r="ALW173" s="541"/>
      <c r="ALX173" s="541"/>
      <c r="ALY173" s="541"/>
      <c r="ALZ173" s="541"/>
      <c r="AMA173" s="541"/>
      <c r="AMB173" s="541"/>
      <c r="AMC173" s="541"/>
      <c r="AMD173" s="541"/>
      <c r="AME173" s="541"/>
      <c r="AMF173" s="541"/>
      <c r="AMG173" s="541"/>
      <c r="AMH173" s="541"/>
      <c r="AMI173" s="541"/>
      <c r="AMJ173" s="541"/>
      <c r="AMK173" s="541"/>
      <c r="AML173" s="541"/>
      <c r="AMM173" s="541"/>
      <c r="AMN173" s="541"/>
      <c r="AMO173" s="541"/>
      <c r="AMP173" s="541"/>
      <c r="AMQ173" s="541"/>
      <c r="AMR173" s="541"/>
      <c r="AMS173" s="541"/>
      <c r="AMT173" s="541"/>
      <c r="AMU173" s="541"/>
      <c r="AMV173" s="541"/>
      <c r="AMW173" s="541"/>
      <c r="AMX173" s="541"/>
      <c r="AMY173" s="541"/>
      <c r="AMZ173" s="541"/>
      <c r="ANA173" s="541"/>
      <c r="ANB173" s="541"/>
      <c r="ANC173" s="541"/>
      <c r="AND173" s="541"/>
      <c r="ANE173" s="541"/>
      <c r="ANF173" s="541"/>
      <c r="ANG173" s="541"/>
      <c r="ANH173" s="541"/>
      <c r="ANI173" s="541"/>
      <c r="ANJ173" s="541"/>
      <c r="ANK173" s="541"/>
      <c r="ANL173" s="541"/>
      <c r="ANM173" s="541"/>
      <c r="ANN173" s="541"/>
      <c r="ANO173" s="541"/>
      <c r="ANP173" s="541"/>
      <c r="ANQ173" s="541"/>
      <c r="ANR173" s="541"/>
      <c r="ANS173" s="541"/>
      <c r="ANT173" s="541"/>
      <c r="ANU173" s="541"/>
      <c r="ANV173" s="541"/>
      <c r="ANW173" s="541"/>
      <c r="ANX173" s="541"/>
      <c r="ANY173" s="541"/>
      <c r="ANZ173" s="541"/>
      <c r="AOA173" s="541"/>
      <c r="AOB173" s="541"/>
      <c r="AOC173" s="541"/>
      <c r="AOD173" s="541"/>
      <c r="AOE173" s="541"/>
      <c r="AOF173" s="541"/>
      <c r="AOG173" s="541"/>
      <c r="AOH173" s="541"/>
      <c r="AOI173" s="541"/>
      <c r="AOJ173" s="541"/>
      <c r="AOK173" s="541"/>
      <c r="AOL173" s="541"/>
      <c r="AOM173" s="541"/>
      <c r="AON173" s="541"/>
      <c r="AOO173" s="541"/>
      <c r="AOP173" s="541"/>
      <c r="AOQ173" s="541"/>
      <c r="AOR173" s="541"/>
      <c r="AOS173" s="541"/>
      <c r="AOT173" s="541"/>
      <c r="AOU173" s="541"/>
      <c r="AOV173" s="541"/>
      <c r="AOW173" s="541"/>
      <c r="AOX173" s="541"/>
      <c r="AOY173" s="541"/>
      <c r="AOZ173" s="541"/>
      <c r="APA173" s="541"/>
      <c r="APB173" s="541"/>
      <c r="APC173" s="541"/>
      <c r="APD173" s="541"/>
      <c r="APE173" s="541"/>
      <c r="APF173" s="541"/>
      <c r="APG173" s="541"/>
      <c r="APH173" s="541"/>
      <c r="API173" s="541"/>
      <c r="APJ173" s="541"/>
      <c r="APK173" s="541"/>
      <c r="APL173" s="541"/>
      <c r="APM173" s="541"/>
      <c r="APN173" s="541"/>
      <c r="APO173" s="541"/>
      <c r="APP173" s="541"/>
      <c r="APQ173" s="541"/>
      <c r="APR173" s="541"/>
      <c r="APS173" s="541"/>
      <c r="APT173" s="541"/>
      <c r="APU173" s="541"/>
      <c r="APV173" s="541"/>
      <c r="APW173" s="541"/>
      <c r="APX173" s="541"/>
      <c r="APY173" s="541"/>
      <c r="APZ173" s="541"/>
      <c r="AQA173" s="541"/>
      <c r="AQB173" s="541"/>
      <c r="AQC173" s="541"/>
      <c r="AQD173" s="541"/>
      <c r="AQE173" s="541"/>
      <c r="AQF173" s="541"/>
      <c r="AQG173" s="541"/>
      <c r="AQH173" s="541"/>
      <c r="AQI173" s="541"/>
      <c r="AQJ173" s="541"/>
      <c r="AQK173" s="541"/>
      <c r="AQL173" s="541"/>
      <c r="AQM173" s="541"/>
      <c r="AQN173" s="541"/>
      <c r="AQO173" s="541"/>
      <c r="AQP173" s="541"/>
      <c r="AQQ173" s="541"/>
      <c r="AQR173" s="541"/>
      <c r="AQS173" s="541"/>
      <c r="AQT173" s="541"/>
      <c r="AQU173" s="541"/>
      <c r="AQV173" s="541"/>
      <c r="AQW173" s="541"/>
      <c r="AQX173" s="541"/>
      <c r="AQY173" s="541"/>
      <c r="AQZ173" s="541"/>
      <c r="ARA173" s="541"/>
      <c r="ARB173" s="541"/>
      <c r="ARC173" s="541"/>
      <c r="ARD173" s="541"/>
      <c r="ARE173" s="541"/>
      <c r="ARF173" s="541"/>
      <c r="ARG173" s="541"/>
      <c r="ARH173" s="541"/>
      <c r="ARI173" s="541"/>
      <c r="ARJ173" s="541"/>
      <c r="ARK173" s="541"/>
      <c r="ARL173" s="541"/>
      <c r="ARM173" s="541"/>
      <c r="ARN173" s="541"/>
      <c r="ARO173" s="541"/>
      <c r="ARP173" s="541"/>
      <c r="ARQ173" s="541"/>
      <c r="ARR173" s="541"/>
      <c r="ARS173" s="541"/>
      <c r="ART173" s="541"/>
      <c r="ARU173" s="541"/>
    </row>
    <row r="174" spans="1:1165" s="658" customFormat="1">
      <c r="A174" s="613" t="s">
        <v>97</v>
      </c>
      <c r="B174" s="578" t="s">
        <v>306</v>
      </c>
      <c r="C174" s="659">
        <v>38667</v>
      </c>
      <c r="D174" s="659">
        <v>1150798</v>
      </c>
      <c r="E174" s="581">
        <v>2435</v>
      </c>
      <c r="F174" s="581">
        <v>310780</v>
      </c>
      <c r="G174" s="581">
        <v>2630</v>
      </c>
      <c r="H174" s="581">
        <v>355899</v>
      </c>
      <c r="I174" s="581">
        <f>2750+658</f>
        <v>3408</v>
      </c>
      <c r="J174" s="581">
        <v>518900</v>
      </c>
      <c r="K174" s="581">
        <f>SUM(979+2191)*1.28311707</f>
        <v>4067.4811119000001</v>
      </c>
      <c r="L174" s="581">
        <v>715898</v>
      </c>
      <c r="M174" s="581">
        <f>SUM(872+2062+19271)*1.28311707</f>
        <v>28491.614539350001</v>
      </c>
      <c r="N174" s="581">
        <v>5558723</v>
      </c>
      <c r="O174" s="581">
        <f>209264*1.28311707</f>
        <v>268510.21053648001</v>
      </c>
      <c r="P174" s="581">
        <v>64885784</v>
      </c>
      <c r="Q174" s="581">
        <f>329396*1.28311707</f>
        <v>422653.63038972003</v>
      </c>
      <c r="R174" s="581">
        <v>58584914</v>
      </c>
      <c r="S174" s="581">
        <v>921912</v>
      </c>
      <c r="T174" s="581">
        <v>135427471</v>
      </c>
      <c r="U174" s="598">
        <v>1129983</v>
      </c>
      <c r="V174" s="598">
        <v>146254032</v>
      </c>
      <c r="W174" s="598">
        <v>1353197</v>
      </c>
      <c r="X174" s="598">
        <v>197155951</v>
      </c>
      <c r="Y174" s="598">
        <v>1719444</v>
      </c>
      <c r="Z174" s="598">
        <v>333903937</v>
      </c>
      <c r="AA174" s="619">
        <v>1869768</v>
      </c>
      <c r="AB174" s="619">
        <v>313744896</v>
      </c>
      <c r="AC174" s="581">
        <v>2060353</v>
      </c>
      <c r="AD174" s="581">
        <v>366702321</v>
      </c>
      <c r="AE174" s="579">
        <v>2168549</v>
      </c>
      <c r="AF174" s="579">
        <v>359859020</v>
      </c>
      <c r="AG174" s="579">
        <v>2341459</v>
      </c>
      <c r="AH174" s="579">
        <v>331191631</v>
      </c>
      <c r="AI174" s="579">
        <v>3828078</v>
      </c>
      <c r="AJ174" s="579">
        <v>564909332</v>
      </c>
      <c r="AK174" s="661">
        <v>4965927</v>
      </c>
      <c r="AL174" s="661">
        <v>773723615</v>
      </c>
      <c r="AM174" s="662">
        <v>6436741</v>
      </c>
      <c r="AN174" s="662">
        <v>1103314266</v>
      </c>
      <c r="AO174" s="579">
        <v>6406169</v>
      </c>
      <c r="AP174" s="579">
        <v>887059959</v>
      </c>
      <c r="AQ174" s="579">
        <v>5565129</v>
      </c>
      <c r="AR174" s="579">
        <v>1013297673.5700001</v>
      </c>
      <c r="AS174" s="579">
        <v>6196347</v>
      </c>
      <c r="AT174" s="579">
        <v>1946370988</v>
      </c>
      <c r="AU174" s="619">
        <v>6015068</v>
      </c>
      <c r="AV174" s="619">
        <v>1787908337</v>
      </c>
      <c r="AW174" s="598">
        <v>6878561</v>
      </c>
      <c r="AX174" s="598">
        <v>1928576225</v>
      </c>
      <c r="AY174" s="598">
        <v>6393743</v>
      </c>
      <c r="AZ174" s="598">
        <v>1765463476</v>
      </c>
      <c r="BA174" s="663"/>
      <c r="BB174" s="598"/>
      <c r="BC174" s="598"/>
      <c r="BD174" s="598"/>
      <c r="BE174" s="664"/>
      <c r="BF174" s="598"/>
      <c r="BG174" s="598"/>
      <c r="BH174" s="598"/>
      <c r="BI174" s="664"/>
      <c r="BJ174" s="581">
        <f t="shared" ref="BJ174:BJ179" si="25">C174+G174+I174+K174+M174+O174+Q174+S174+U174+W174+Y174+AA174+AC174+AE174+AG174+AI174+AK174+AM174+AO174+AQ174+AS174+AU174+AW174+AY174+BB174+BF174</f>
        <v>67018855.936577454</v>
      </c>
      <c r="BK174" s="651">
        <f t="shared" ref="BK174:BK180" si="26">D174+H174+J174+L174+N174+P174+R174+T174+V174+X174+Z174+AB174+AD174+AF174+AH174+AJ174+AL174+AN174+AP174+AR174+AT174+AV174+AX174+AZ174+BD174+BH174</f>
        <v>14086634046.57</v>
      </c>
      <c r="BL174" s="541"/>
      <c r="BM174" s="624"/>
      <c r="BN174" s="624"/>
      <c r="BO174" s="624"/>
      <c r="BP174" s="624"/>
      <c r="BQ174" s="541"/>
      <c r="BR174" s="541"/>
      <c r="BS174" s="541"/>
      <c r="BT174" s="541"/>
      <c r="BU174" s="541"/>
      <c r="BV174" s="541"/>
      <c r="BW174" s="541"/>
      <c r="BX174" s="541"/>
      <c r="BY174" s="541"/>
      <c r="BZ174" s="541"/>
      <c r="CA174" s="541"/>
      <c r="CB174" s="541"/>
      <c r="CC174" s="541"/>
      <c r="CD174" s="541"/>
      <c r="CE174" s="541"/>
      <c r="CF174" s="541"/>
      <c r="CG174" s="541"/>
      <c r="CH174" s="541"/>
      <c r="CI174" s="541"/>
      <c r="CJ174" s="541"/>
      <c r="CK174" s="541"/>
      <c r="CL174" s="541"/>
      <c r="CM174" s="541"/>
      <c r="CN174" s="541"/>
      <c r="CO174" s="541"/>
      <c r="CP174" s="541"/>
      <c r="CQ174" s="541"/>
      <c r="CR174" s="541"/>
      <c r="CS174" s="541"/>
      <c r="CT174" s="541"/>
      <c r="CU174" s="541"/>
      <c r="CV174" s="541"/>
      <c r="CW174" s="541"/>
      <c r="CX174" s="541"/>
      <c r="CY174" s="541"/>
      <c r="CZ174" s="541"/>
      <c r="DA174" s="541"/>
      <c r="DB174" s="541"/>
      <c r="DC174" s="541"/>
      <c r="DD174" s="541"/>
      <c r="DE174" s="541"/>
      <c r="DF174" s="541"/>
      <c r="DG174" s="541"/>
      <c r="DH174" s="541"/>
      <c r="DI174" s="541"/>
      <c r="DJ174" s="541"/>
      <c r="DK174" s="541"/>
      <c r="DL174" s="541"/>
      <c r="DM174" s="541"/>
      <c r="DN174" s="541"/>
      <c r="DO174" s="541"/>
      <c r="DP174" s="541"/>
      <c r="DQ174" s="541"/>
      <c r="DR174" s="541"/>
      <c r="DS174" s="541"/>
      <c r="DT174" s="541"/>
      <c r="DU174" s="541"/>
      <c r="DV174" s="541"/>
      <c r="DW174" s="541"/>
      <c r="DX174" s="541"/>
      <c r="DY174" s="541"/>
      <c r="DZ174" s="541"/>
      <c r="EA174" s="541"/>
      <c r="EB174" s="541"/>
      <c r="EC174" s="541"/>
      <c r="ED174" s="541"/>
      <c r="EE174" s="541"/>
      <c r="EF174" s="541"/>
      <c r="EG174" s="541"/>
      <c r="EH174" s="541"/>
      <c r="EI174" s="541"/>
      <c r="EJ174" s="541"/>
      <c r="EK174" s="541"/>
      <c r="EL174" s="541"/>
      <c r="EM174" s="541"/>
      <c r="EN174" s="541"/>
      <c r="EO174" s="541"/>
      <c r="EP174" s="541"/>
      <c r="EQ174" s="541"/>
      <c r="ER174" s="541"/>
      <c r="ES174" s="541"/>
      <c r="ET174" s="541"/>
      <c r="EU174" s="541"/>
      <c r="EV174" s="541"/>
      <c r="EW174" s="541"/>
      <c r="EX174" s="541"/>
      <c r="EY174" s="541"/>
      <c r="EZ174" s="541"/>
      <c r="FA174" s="541"/>
      <c r="FB174" s="541"/>
      <c r="FC174" s="541"/>
      <c r="FD174" s="541"/>
      <c r="FE174" s="541"/>
      <c r="FF174" s="541"/>
      <c r="FG174" s="541"/>
      <c r="FH174" s="541"/>
      <c r="FI174" s="541"/>
      <c r="FJ174" s="541"/>
      <c r="FK174" s="541"/>
      <c r="FL174" s="541"/>
      <c r="FM174" s="541"/>
      <c r="FN174" s="541"/>
      <c r="FO174" s="541"/>
      <c r="FP174" s="541"/>
      <c r="FQ174" s="541"/>
      <c r="FR174" s="541"/>
      <c r="FS174" s="541"/>
      <c r="FT174" s="541"/>
      <c r="FU174" s="541"/>
      <c r="FV174" s="541"/>
      <c r="FW174" s="541"/>
      <c r="FX174" s="541"/>
      <c r="FY174" s="541"/>
      <c r="FZ174" s="541"/>
      <c r="GA174" s="541"/>
      <c r="GB174" s="541"/>
      <c r="GC174" s="541"/>
      <c r="GD174" s="541"/>
      <c r="GE174" s="541"/>
      <c r="GF174" s="541"/>
      <c r="GG174" s="541"/>
      <c r="GH174" s="541"/>
      <c r="GI174" s="541"/>
      <c r="GJ174" s="541"/>
      <c r="GK174" s="541"/>
      <c r="GL174" s="541"/>
      <c r="GM174" s="541"/>
      <c r="GN174" s="541"/>
      <c r="GO174" s="541"/>
      <c r="GP174" s="541"/>
      <c r="GQ174" s="541"/>
      <c r="GR174" s="541"/>
      <c r="GS174" s="541"/>
      <c r="GT174" s="541"/>
      <c r="GU174" s="541"/>
      <c r="GV174" s="541"/>
      <c r="GW174" s="541"/>
      <c r="GX174" s="541"/>
      <c r="GY174" s="541"/>
      <c r="GZ174" s="541"/>
      <c r="HA174" s="541"/>
      <c r="HB174" s="541"/>
      <c r="HC174" s="541"/>
      <c r="HD174" s="541"/>
      <c r="HE174" s="541"/>
      <c r="HF174" s="541"/>
      <c r="HG174" s="541"/>
      <c r="HH174" s="541"/>
      <c r="HI174" s="541"/>
      <c r="HJ174" s="541"/>
      <c r="HK174" s="541"/>
      <c r="HL174" s="541"/>
      <c r="HM174" s="541"/>
      <c r="HN174" s="541"/>
      <c r="HO174" s="541"/>
      <c r="HP174" s="541"/>
      <c r="HQ174" s="541"/>
      <c r="HR174" s="541"/>
      <c r="HS174" s="541"/>
      <c r="HT174" s="541"/>
      <c r="HU174" s="541"/>
      <c r="HV174" s="541"/>
      <c r="HW174" s="541"/>
      <c r="HX174" s="541"/>
      <c r="HY174" s="541"/>
      <c r="HZ174" s="541"/>
      <c r="IA174" s="541"/>
      <c r="IB174" s="541"/>
      <c r="IC174" s="541"/>
      <c r="ID174" s="541"/>
      <c r="IE174" s="541"/>
      <c r="IF174" s="541"/>
      <c r="IG174" s="541"/>
      <c r="IH174" s="541"/>
      <c r="II174" s="541"/>
      <c r="IJ174" s="541"/>
      <c r="IK174" s="541"/>
      <c r="IL174" s="541"/>
      <c r="IM174" s="541"/>
      <c r="IN174" s="541"/>
      <c r="IO174" s="541"/>
      <c r="IP174" s="541"/>
      <c r="IQ174" s="541"/>
      <c r="IR174" s="541"/>
      <c r="IS174" s="541"/>
      <c r="IT174" s="541"/>
      <c r="IU174" s="541"/>
      <c r="IV174" s="541"/>
      <c r="IW174" s="541"/>
      <c r="IX174" s="541"/>
      <c r="IY174" s="541"/>
      <c r="IZ174" s="541"/>
      <c r="JA174" s="541"/>
      <c r="JB174" s="541"/>
      <c r="JC174" s="541"/>
      <c r="JD174" s="541"/>
      <c r="JE174" s="541"/>
      <c r="JF174" s="541"/>
      <c r="JG174" s="541"/>
      <c r="JH174" s="541"/>
      <c r="JI174" s="541"/>
      <c r="JJ174" s="541"/>
      <c r="JK174" s="541"/>
      <c r="JL174" s="541"/>
      <c r="JM174" s="541"/>
      <c r="JN174" s="541"/>
      <c r="JO174" s="541"/>
      <c r="JP174" s="541"/>
      <c r="JQ174" s="541"/>
      <c r="JR174" s="541"/>
      <c r="JS174" s="541"/>
      <c r="JT174" s="541"/>
      <c r="JU174" s="541"/>
      <c r="JV174" s="541"/>
      <c r="JW174" s="541"/>
      <c r="JX174" s="541"/>
      <c r="JY174" s="541"/>
      <c r="JZ174" s="541"/>
      <c r="KA174" s="541"/>
      <c r="KB174" s="541"/>
      <c r="KC174" s="541"/>
      <c r="KD174" s="541"/>
      <c r="KE174" s="541"/>
      <c r="KF174" s="541"/>
      <c r="KG174" s="541"/>
      <c r="KH174" s="541"/>
      <c r="KI174" s="541"/>
      <c r="KJ174" s="541"/>
      <c r="KK174" s="541"/>
      <c r="KL174" s="541"/>
      <c r="KM174" s="541"/>
      <c r="KN174" s="541"/>
      <c r="KO174" s="541"/>
      <c r="KP174" s="541"/>
      <c r="KQ174" s="541"/>
      <c r="KR174" s="541"/>
      <c r="KS174" s="541"/>
      <c r="KT174" s="541"/>
      <c r="KU174" s="541"/>
      <c r="KV174" s="541"/>
      <c r="KW174" s="541"/>
      <c r="KX174" s="541"/>
      <c r="KY174" s="541"/>
      <c r="KZ174" s="541"/>
      <c r="LA174" s="541"/>
      <c r="LB174" s="541"/>
      <c r="LC174" s="541"/>
      <c r="LD174" s="541"/>
      <c r="LE174" s="541"/>
      <c r="LF174" s="541"/>
      <c r="LG174" s="541"/>
      <c r="LH174" s="541"/>
      <c r="LI174" s="541"/>
      <c r="LJ174" s="541"/>
      <c r="LK174" s="541"/>
      <c r="LL174" s="541"/>
      <c r="LM174" s="541"/>
      <c r="LN174" s="541"/>
      <c r="LO174" s="541"/>
      <c r="LP174" s="541"/>
      <c r="LQ174" s="541"/>
      <c r="LR174" s="541"/>
      <c r="LS174" s="541"/>
      <c r="LT174" s="541"/>
      <c r="LU174" s="541"/>
      <c r="LV174" s="541"/>
      <c r="LW174" s="541"/>
      <c r="LX174" s="541"/>
      <c r="LY174" s="541"/>
      <c r="LZ174" s="541"/>
      <c r="MA174" s="541"/>
      <c r="MB174" s="541"/>
      <c r="MC174" s="541"/>
      <c r="MD174" s="541"/>
      <c r="ME174" s="541"/>
      <c r="MF174" s="541"/>
      <c r="MG174" s="541"/>
      <c r="MH174" s="541"/>
      <c r="MI174" s="541"/>
      <c r="MJ174" s="541"/>
      <c r="MK174" s="541"/>
      <c r="ML174" s="541"/>
      <c r="MM174" s="541"/>
      <c r="MN174" s="541"/>
      <c r="MO174" s="541"/>
      <c r="MP174" s="541"/>
      <c r="MQ174" s="541"/>
      <c r="MR174" s="541"/>
      <c r="MS174" s="541"/>
      <c r="MT174" s="541"/>
      <c r="MU174" s="541"/>
      <c r="MV174" s="541"/>
      <c r="MW174" s="541"/>
      <c r="MX174" s="541"/>
      <c r="MY174" s="541"/>
      <c r="MZ174" s="541"/>
      <c r="NA174" s="541"/>
      <c r="NB174" s="541"/>
      <c r="NC174" s="541"/>
      <c r="ND174" s="541"/>
      <c r="NE174" s="541"/>
      <c r="NF174" s="541"/>
      <c r="NG174" s="541"/>
      <c r="NH174" s="541"/>
      <c r="NI174" s="541"/>
      <c r="NJ174" s="541"/>
      <c r="NK174" s="541"/>
      <c r="NL174" s="541"/>
      <c r="NM174" s="541"/>
      <c r="NN174" s="541"/>
      <c r="NO174" s="541"/>
      <c r="NP174" s="541"/>
      <c r="NQ174" s="541"/>
      <c r="NR174" s="541"/>
      <c r="NS174" s="541"/>
      <c r="NT174" s="541"/>
      <c r="NU174" s="541"/>
      <c r="NV174" s="541"/>
      <c r="NW174" s="541"/>
      <c r="NX174" s="541"/>
      <c r="NY174" s="541"/>
      <c r="NZ174" s="541"/>
      <c r="OA174" s="541"/>
      <c r="OB174" s="541"/>
      <c r="OC174" s="541"/>
      <c r="OD174" s="541"/>
      <c r="OE174" s="541"/>
      <c r="OF174" s="541"/>
      <c r="OG174" s="541"/>
      <c r="OH174" s="541"/>
      <c r="OI174" s="541"/>
      <c r="OJ174" s="541"/>
      <c r="OK174" s="541"/>
      <c r="OL174" s="541"/>
      <c r="OM174" s="541"/>
      <c r="ON174" s="541"/>
      <c r="OO174" s="541"/>
      <c r="OP174" s="541"/>
      <c r="OQ174" s="541"/>
      <c r="OR174" s="541"/>
      <c r="OS174" s="541"/>
      <c r="OT174" s="541"/>
      <c r="OU174" s="541"/>
      <c r="OV174" s="541"/>
      <c r="OW174" s="541"/>
      <c r="OX174" s="541"/>
      <c r="OY174" s="541"/>
      <c r="OZ174" s="541"/>
      <c r="PA174" s="541"/>
      <c r="PB174" s="541"/>
      <c r="PC174" s="541"/>
      <c r="PD174" s="541"/>
      <c r="PE174" s="541"/>
      <c r="PF174" s="541"/>
      <c r="PG174" s="541"/>
      <c r="PH174" s="541"/>
      <c r="PI174" s="541"/>
      <c r="PJ174" s="541"/>
      <c r="PK174" s="541"/>
      <c r="PL174" s="541"/>
      <c r="PM174" s="541"/>
      <c r="PN174" s="541"/>
      <c r="PO174" s="541"/>
      <c r="PP174" s="541"/>
      <c r="PQ174" s="541"/>
      <c r="PR174" s="541"/>
      <c r="PS174" s="541"/>
      <c r="PT174" s="541"/>
      <c r="PU174" s="541"/>
      <c r="PV174" s="541"/>
      <c r="PW174" s="541"/>
      <c r="PX174" s="541"/>
      <c r="PY174" s="541"/>
      <c r="PZ174" s="541"/>
      <c r="QA174" s="541"/>
      <c r="QB174" s="541"/>
      <c r="QC174" s="541"/>
      <c r="QD174" s="541"/>
      <c r="QE174" s="541"/>
      <c r="QF174" s="541"/>
      <c r="QG174" s="541"/>
      <c r="QH174" s="541"/>
      <c r="QI174" s="541"/>
      <c r="QJ174" s="541"/>
      <c r="QK174" s="541"/>
      <c r="QL174" s="541"/>
      <c r="QM174" s="541"/>
      <c r="QN174" s="541"/>
      <c r="QO174" s="541"/>
      <c r="QP174" s="541"/>
      <c r="QQ174" s="541"/>
      <c r="QR174" s="541"/>
      <c r="QS174" s="541"/>
      <c r="QT174" s="541"/>
      <c r="QU174" s="541"/>
      <c r="QV174" s="541"/>
      <c r="QW174" s="541"/>
      <c r="QX174" s="541"/>
      <c r="QY174" s="541"/>
      <c r="QZ174" s="541"/>
      <c r="RA174" s="541"/>
      <c r="RB174" s="541"/>
      <c r="RC174" s="541"/>
      <c r="RD174" s="541"/>
      <c r="RE174" s="541"/>
      <c r="RF174" s="541"/>
      <c r="RG174" s="541"/>
      <c r="RH174" s="541"/>
      <c r="RI174" s="541"/>
      <c r="RJ174" s="541"/>
      <c r="RK174" s="541"/>
      <c r="RL174" s="541"/>
      <c r="RM174" s="541"/>
      <c r="RN174" s="541"/>
      <c r="RO174" s="541"/>
      <c r="RP174" s="541"/>
      <c r="RQ174" s="541"/>
      <c r="RR174" s="541"/>
      <c r="RS174" s="541"/>
      <c r="RT174" s="541"/>
      <c r="RU174" s="541"/>
      <c r="RV174" s="541"/>
      <c r="RW174" s="541"/>
      <c r="RX174" s="541"/>
      <c r="RY174" s="541"/>
      <c r="RZ174" s="541"/>
      <c r="SA174" s="541"/>
      <c r="SB174" s="541"/>
      <c r="SC174" s="541"/>
      <c r="SD174" s="541"/>
      <c r="SE174" s="541"/>
      <c r="SF174" s="541"/>
      <c r="SG174" s="541"/>
      <c r="SH174" s="541"/>
      <c r="SI174" s="541"/>
      <c r="SJ174" s="541"/>
      <c r="SK174" s="541"/>
      <c r="SL174" s="541"/>
      <c r="SM174" s="541"/>
      <c r="SN174" s="541"/>
      <c r="SO174" s="541"/>
      <c r="SP174" s="541"/>
      <c r="SQ174" s="541"/>
      <c r="SR174" s="541"/>
      <c r="SS174" s="541"/>
      <c r="ST174" s="541"/>
      <c r="SU174" s="541"/>
      <c r="SV174" s="541"/>
      <c r="SW174" s="541"/>
      <c r="SX174" s="541"/>
      <c r="SY174" s="541"/>
      <c r="SZ174" s="541"/>
      <c r="TA174" s="541"/>
      <c r="TB174" s="541"/>
      <c r="TC174" s="541"/>
      <c r="TD174" s="541"/>
      <c r="TE174" s="541"/>
      <c r="TF174" s="541"/>
      <c r="TG174" s="541"/>
      <c r="TH174" s="541"/>
      <c r="TI174" s="541"/>
      <c r="TJ174" s="541"/>
      <c r="TK174" s="541"/>
      <c r="TL174" s="541"/>
      <c r="TM174" s="541"/>
      <c r="TN174" s="541"/>
      <c r="TO174" s="541"/>
      <c r="TP174" s="541"/>
      <c r="TQ174" s="541"/>
      <c r="TR174" s="541"/>
      <c r="TS174" s="541"/>
      <c r="TT174" s="541"/>
      <c r="TU174" s="541"/>
      <c r="TV174" s="541"/>
      <c r="TW174" s="541"/>
      <c r="TX174" s="541"/>
      <c r="TY174" s="541"/>
      <c r="TZ174" s="541"/>
      <c r="UA174" s="541"/>
      <c r="UB174" s="541"/>
      <c r="UC174" s="541"/>
      <c r="UD174" s="541"/>
      <c r="UE174" s="541"/>
      <c r="UF174" s="541"/>
      <c r="UG174" s="541"/>
      <c r="UH174" s="541"/>
      <c r="UI174" s="541"/>
      <c r="UJ174" s="541"/>
      <c r="UK174" s="541"/>
      <c r="UL174" s="541"/>
      <c r="UM174" s="541"/>
      <c r="UN174" s="541"/>
      <c r="UO174" s="541"/>
      <c r="UP174" s="541"/>
      <c r="UQ174" s="541"/>
      <c r="UR174" s="541"/>
      <c r="US174" s="541"/>
      <c r="UT174" s="541"/>
      <c r="UU174" s="541"/>
      <c r="UV174" s="541"/>
      <c r="UW174" s="541"/>
      <c r="UX174" s="541"/>
      <c r="UY174" s="541"/>
      <c r="UZ174" s="541"/>
      <c r="VA174" s="541"/>
      <c r="VB174" s="541"/>
      <c r="VC174" s="541"/>
      <c r="VD174" s="541"/>
      <c r="VE174" s="541"/>
      <c r="VF174" s="541"/>
      <c r="VG174" s="541"/>
      <c r="VH174" s="541"/>
      <c r="VI174" s="541"/>
      <c r="VJ174" s="541"/>
      <c r="VK174" s="541"/>
      <c r="VL174" s="541"/>
      <c r="VM174" s="541"/>
      <c r="VN174" s="541"/>
      <c r="VO174" s="541"/>
      <c r="VP174" s="541"/>
      <c r="VQ174" s="541"/>
      <c r="VR174" s="541"/>
      <c r="VS174" s="541"/>
      <c r="VT174" s="541"/>
      <c r="VU174" s="541"/>
      <c r="VV174" s="541"/>
      <c r="VW174" s="541"/>
      <c r="VX174" s="541"/>
      <c r="VY174" s="541"/>
      <c r="VZ174" s="541"/>
      <c r="WA174" s="541"/>
      <c r="WB174" s="541"/>
      <c r="WC174" s="541"/>
      <c r="WD174" s="541"/>
      <c r="WE174" s="541"/>
      <c r="WF174" s="541"/>
      <c r="WG174" s="541"/>
      <c r="WH174" s="541"/>
      <c r="WI174" s="541"/>
      <c r="WJ174" s="541"/>
      <c r="WK174" s="541"/>
      <c r="WL174" s="541"/>
      <c r="WM174" s="541"/>
      <c r="WN174" s="541"/>
      <c r="WO174" s="541"/>
      <c r="WP174" s="541"/>
      <c r="WQ174" s="541"/>
      <c r="WR174" s="541"/>
      <c r="WS174" s="541"/>
      <c r="WT174" s="541"/>
      <c r="WU174" s="541"/>
      <c r="WV174" s="541"/>
      <c r="WW174" s="541"/>
      <c r="WX174" s="541"/>
      <c r="WY174" s="541"/>
      <c r="WZ174" s="541"/>
      <c r="XA174" s="541"/>
      <c r="XB174" s="541"/>
      <c r="XC174" s="541"/>
      <c r="XD174" s="541"/>
      <c r="XE174" s="541"/>
      <c r="XF174" s="541"/>
      <c r="XG174" s="541"/>
      <c r="XH174" s="541"/>
      <c r="XI174" s="541"/>
      <c r="XJ174" s="541"/>
      <c r="XK174" s="541"/>
      <c r="XL174" s="541"/>
      <c r="XM174" s="541"/>
      <c r="XN174" s="541"/>
      <c r="XO174" s="541"/>
      <c r="XP174" s="541"/>
      <c r="XQ174" s="541"/>
      <c r="XR174" s="541"/>
      <c r="XS174" s="541"/>
      <c r="XT174" s="541"/>
      <c r="XU174" s="541"/>
      <c r="XV174" s="541"/>
      <c r="XW174" s="541"/>
      <c r="XX174" s="541"/>
      <c r="XY174" s="541"/>
      <c r="XZ174" s="541"/>
      <c r="YA174" s="541"/>
      <c r="YB174" s="541"/>
      <c r="YC174" s="541"/>
      <c r="YD174" s="541"/>
      <c r="YE174" s="541"/>
      <c r="YF174" s="541"/>
      <c r="YG174" s="541"/>
      <c r="YH174" s="541"/>
      <c r="YI174" s="541"/>
      <c r="YJ174" s="541"/>
      <c r="YK174" s="541"/>
      <c r="YL174" s="541"/>
      <c r="YM174" s="541"/>
      <c r="YN174" s="541"/>
      <c r="YO174" s="541"/>
      <c r="YP174" s="541"/>
      <c r="YQ174" s="541"/>
      <c r="YR174" s="541"/>
      <c r="YS174" s="541"/>
      <c r="YT174" s="541"/>
      <c r="YU174" s="541"/>
      <c r="YV174" s="541"/>
      <c r="YW174" s="541"/>
      <c r="YX174" s="541"/>
      <c r="YY174" s="541"/>
      <c r="YZ174" s="541"/>
      <c r="ZA174" s="541"/>
      <c r="ZB174" s="541"/>
      <c r="ZC174" s="541"/>
      <c r="ZD174" s="541"/>
      <c r="ZE174" s="541"/>
      <c r="ZF174" s="541"/>
      <c r="ZG174" s="541"/>
      <c r="ZH174" s="541"/>
      <c r="ZI174" s="541"/>
      <c r="ZJ174" s="541"/>
      <c r="ZK174" s="541"/>
      <c r="ZL174" s="541"/>
      <c r="ZM174" s="541"/>
      <c r="ZN174" s="541"/>
      <c r="ZO174" s="541"/>
      <c r="ZP174" s="541"/>
      <c r="ZQ174" s="541"/>
      <c r="ZR174" s="541"/>
      <c r="ZS174" s="541"/>
      <c r="ZT174" s="541"/>
      <c r="ZU174" s="541"/>
      <c r="ZV174" s="541"/>
      <c r="ZW174" s="541"/>
      <c r="ZX174" s="541"/>
      <c r="ZY174" s="541"/>
      <c r="ZZ174" s="541"/>
      <c r="AAA174" s="541"/>
      <c r="AAB174" s="541"/>
      <c r="AAC174" s="541"/>
      <c r="AAD174" s="541"/>
      <c r="AAE174" s="541"/>
      <c r="AAF174" s="541"/>
      <c r="AAG174" s="541"/>
      <c r="AAH174" s="541"/>
      <c r="AAI174" s="541"/>
      <c r="AAJ174" s="541"/>
      <c r="AAK174" s="541"/>
      <c r="AAL174" s="541"/>
      <c r="AAM174" s="541"/>
      <c r="AAN174" s="541"/>
      <c r="AAO174" s="541"/>
      <c r="AAP174" s="541"/>
      <c r="AAQ174" s="541"/>
      <c r="AAR174" s="541"/>
      <c r="AAS174" s="541"/>
      <c r="AAT174" s="541"/>
      <c r="AAU174" s="541"/>
      <c r="AAV174" s="541"/>
      <c r="AAW174" s="541"/>
      <c r="AAX174" s="541"/>
      <c r="AAY174" s="541"/>
      <c r="AAZ174" s="541"/>
      <c r="ABA174" s="541"/>
      <c r="ABB174" s="541"/>
      <c r="ABC174" s="541"/>
      <c r="ABD174" s="541"/>
      <c r="ABE174" s="541"/>
      <c r="ABF174" s="541"/>
      <c r="ABG174" s="541"/>
      <c r="ABH174" s="541"/>
      <c r="ABI174" s="541"/>
      <c r="ABJ174" s="541"/>
      <c r="ABK174" s="541"/>
      <c r="ABL174" s="541"/>
      <c r="ABM174" s="541"/>
      <c r="ABN174" s="541"/>
      <c r="ABO174" s="541"/>
      <c r="ABP174" s="541"/>
      <c r="ABQ174" s="541"/>
      <c r="ABR174" s="541"/>
      <c r="ABS174" s="541"/>
      <c r="ABT174" s="541"/>
      <c r="ABU174" s="541"/>
      <c r="ABV174" s="541"/>
      <c r="ABW174" s="541"/>
      <c r="ABX174" s="541"/>
      <c r="ABY174" s="541"/>
      <c r="ABZ174" s="541"/>
      <c r="ACA174" s="541"/>
      <c r="ACB174" s="541"/>
      <c r="ACC174" s="541"/>
      <c r="ACD174" s="541"/>
      <c r="ACE174" s="541"/>
      <c r="ACF174" s="541"/>
      <c r="ACG174" s="541"/>
      <c r="ACH174" s="541"/>
      <c r="ACI174" s="541"/>
      <c r="ACJ174" s="541"/>
      <c r="ACK174" s="541"/>
      <c r="ACL174" s="541"/>
      <c r="ACM174" s="541"/>
      <c r="ACN174" s="541"/>
      <c r="ACO174" s="541"/>
      <c r="ACP174" s="541"/>
      <c r="ACQ174" s="541"/>
      <c r="ACR174" s="541"/>
      <c r="ACS174" s="541"/>
      <c r="ACT174" s="541"/>
      <c r="ACU174" s="541"/>
      <c r="ACV174" s="541"/>
      <c r="ACW174" s="541"/>
      <c r="ACX174" s="541"/>
      <c r="ACY174" s="541"/>
      <c r="ACZ174" s="541"/>
      <c r="ADA174" s="541"/>
      <c r="ADB174" s="541"/>
      <c r="ADC174" s="541"/>
      <c r="ADD174" s="541"/>
      <c r="ADE174" s="541"/>
      <c r="ADF174" s="541"/>
      <c r="ADG174" s="541"/>
      <c r="ADH174" s="541"/>
      <c r="ADI174" s="541"/>
      <c r="ADJ174" s="541"/>
      <c r="ADK174" s="541"/>
      <c r="ADL174" s="541"/>
      <c r="ADM174" s="541"/>
      <c r="ADN174" s="541"/>
      <c r="ADO174" s="541"/>
      <c r="ADP174" s="541"/>
      <c r="ADQ174" s="541"/>
      <c r="ADR174" s="541"/>
      <c r="ADS174" s="541"/>
      <c r="ADT174" s="541"/>
      <c r="ADU174" s="541"/>
      <c r="ADV174" s="541"/>
      <c r="ADW174" s="541"/>
      <c r="ADX174" s="541"/>
      <c r="ADY174" s="541"/>
      <c r="ADZ174" s="541"/>
      <c r="AEA174" s="541"/>
      <c r="AEB174" s="541"/>
      <c r="AEC174" s="541"/>
      <c r="AED174" s="541"/>
      <c r="AEE174" s="541"/>
      <c r="AEF174" s="541"/>
      <c r="AEG174" s="541"/>
      <c r="AEH174" s="541"/>
      <c r="AEI174" s="541"/>
      <c r="AEJ174" s="541"/>
      <c r="AEK174" s="541"/>
      <c r="AEL174" s="541"/>
      <c r="AEM174" s="541"/>
      <c r="AEN174" s="541"/>
      <c r="AEO174" s="541"/>
      <c r="AEP174" s="541"/>
      <c r="AEQ174" s="541"/>
      <c r="AER174" s="541"/>
      <c r="AES174" s="541"/>
      <c r="AET174" s="541"/>
      <c r="AEU174" s="541"/>
      <c r="AEV174" s="541"/>
      <c r="AEW174" s="541"/>
      <c r="AEX174" s="541"/>
      <c r="AEY174" s="541"/>
      <c r="AEZ174" s="541"/>
      <c r="AFA174" s="541"/>
      <c r="AFB174" s="541"/>
      <c r="AFC174" s="541"/>
      <c r="AFD174" s="541"/>
      <c r="AFE174" s="541"/>
      <c r="AFF174" s="541"/>
      <c r="AFG174" s="541"/>
      <c r="AFH174" s="541"/>
      <c r="AFI174" s="541"/>
      <c r="AFJ174" s="541"/>
      <c r="AFK174" s="541"/>
      <c r="AFL174" s="541"/>
      <c r="AFM174" s="541"/>
      <c r="AFN174" s="541"/>
      <c r="AFO174" s="541"/>
      <c r="AFP174" s="541"/>
      <c r="AFQ174" s="541"/>
      <c r="AFR174" s="541"/>
      <c r="AFS174" s="541"/>
      <c r="AFT174" s="541"/>
      <c r="AFU174" s="541"/>
      <c r="AFV174" s="541"/>
      <c r="AFW174" s="541"/>
      <c r="AFX174" s="541"/>
      <c r="AFY174" s="541"/>
      <c r="AFZ174" s="541"/>
      <c r="AGA174" s="541"/>
      <c r="AGB174" s="541"/>
      <c r="AGC174" s="541"/>
      <c r="AGD174" s="541"/>
      <c r="AGE174" s="541"/>
      <c r="AGF174" s="541"/>
      <c r="AGG174" s="541"/>
      <c r="AGH174" s="541"/>
      <c r="AGI174" s="541"/>
      <c r="AGJ174" s="541"/>
      <c r="AGK174" s="541"/>
      <c r="AGL174" s="541"/>
      <c r="AGM174" s="541"/>
      <c r="AGN174" s="541"/>
      <c r="AGO174" s="541"/>
      <c r="AGP174" s="541"/>
      <c r="AGQ174" s="541"/>
      <c r="AGR174" s="541"/>
      <c r="AGS174" s="541"/>
      <c r="AGT174" s="541"/>
      <c r="AGU174" s="541"/>
      <c r="AGV174" s="541"/>
      <c r="AGW174" s="541"/>
      <c r="AGX174" s="541"/>
      <c r="AGY174" s="541"/>
      <c r="AGZ174" s="541"/>
      <c r="AHA174" s="541"/>
      <c r="AHB174" s="541"/>
      <c r="AHC174" s="541"/>
      <c r="AHD174" s="541"/>
      <c r="AHE174" s="541"/>
      <c r="AHF174" s="541"/>
      <c r="AHG174" s="541"/>
      <c r="AHH174" s="541"/>
      <c r="AHI174" s="541"/>
      <c r="AHJ174" s="541"/>
      <c r="AHK174" s="541"/>
      <c r="AHL174" s="541"/>
      <c r="AHM174" s="541"/>
      <c r="AHN174" s="541"/>
      <c r="AHO174" s="541"/>
      <c r="AHP174" s="541"/>
      <c r="AHQ174" s="541"/>
      <c r="AHR174" s="541"/>
      <c r="AHS174" s="541"/>
      <c r="AHT174" s="541"/>
      <c r="AHU174" s="541"/>
      <c r="AHV174" s="541"/>
      <c r="AHW174" s="541"/>
      <c r="AHX174" s="541"/>
      <c r="AHY174" s="541"/>
      <c r="AHZ174" s="541"/>
      <c r="AIA174" s="541"/>
      <c r="AIB174" s="541"/>
      <c r="AIC174" s="541"/>
      <c r="AID174" s="541"/>
      <c r="AIE174" s="541"/>
      <c r="AIF174" s="541"/>
      <c r="AIG174" s="541"/>
      <c r="AIH174" s="541"/>
      <c r="AII174" s="541"/>
      <c r="AIJ174" s="541"/>
      <c r="AIK174" s="541"/>
      <c r="AIL174" s="541"/>
      <c r="AIM174" s="541"/>
      <c r="AIN174" s="541"/>
      <c r="AIO174" s="541"/>
      <c r="AIP174" s="541"/>
      <c r="AIQ174" s="541"/>
      <c r="AIR174" s="541"/>
      <c r="AIS174" s="541"/>
      <c r="AIT174" s="541"/>
      <c r="AIU174" s="541"/>
      <c r="AIV174" s="541"/>
      <c r="AIW174" s="541"/>
      <c r="AIX174" s="541"/>
      <c r="AIY174" s="541"/>
      <c r="AIZ174" s="541"/>
      <c r="AJA174" s="541"/>
      <c r="AJB174" s="541"/>
      <c r="AJC174" s="541"/>
      <c r="AJD174" s="541"/>
      <c r="AJE174" s="541"/>
      <c r="AJF174" s="541"/>
      <c r="AJG174" s="541"/>
      <c r="AJH174" s="541"/>
      <c r="AJI174" s="541"/>
      <c r="AJJ174" s="541"/>
      <c r="AJK174" s="541"/>
      <c r="AJL174" s="541"/>
      <c r="AJM174" s="541"/>
      <c r="AJN174" s="541"/>
      <c r="AJO174" s="541"/>
      <c r="AJP174" s="541"/>
      <c r="AJQ174" s="541"/>
      <c r="AJR174" s="541"/>
      <c r="AJS174" s="541"/>
      <c r="AJT174" s="541"/>
      <c r="AJU174" s="541"/>
      <c r="AJV174" s="541"/>
      <c r="AJW174" s="541"/>
      <c r="AJX174" s="541"/>
      <c r="AJY174" s="541"/>
      <c r="AJZ174" s="541"/>
      <c r="AKA174" s="541"/>
      <c r="AKB174" s="541"/>
      <c r="AKC174" s="541"/>
      <c r="AKD174" s="541"/>
      <c r="AKE174" s="541"/>
      <c r="AKF174" s="541"/>
      <c r="AKG174" s="541"/>
      <c r="AKH174" s="541"/>
      <c r="AKI174" s="541"/>
      <c r="AKJ174" s="541"/>
      <c r="AKK174" s="541"/>
      <c r="AKL174" s="541"/>
      <c r="AKM174" s="541"/>
      <c r="AKN174" s="541"/>
      <c r="AKO174" s="541"/>
      <c r="AKP174" s="541"/>
      <c r="AKQ174" s="541"/>
      <c r="AKR174" s="541"/>
      <c r="AKS174" s="541"/>
      <c r="AKT174" s="541"/>
      <c r="AKU174" s="541"/>
      <c r="AKV174" s="541"/>
      <c r="AKW174" s="541"/>
      <c r="AKX174" s="541"/>
      <c r="AKY174" s="541"/>
      <c r="AKZ174" s="541"/>
      <c r="ALA174" s="541"/>
      <c r="ALB174" s="541"/>
      <c r="ALC174" s="541"/>
      <c r="ALD174" s="541"/>
      <c r="ALE174" s="541"/>
      <c r="ALF174" s="541"/>
      <c r="ALG174" s="541"/>
      <c r="ALH174" s="541"/>
      <c r="ALI174" s="541"/>
      <c r="ALJ174" s="541"/>
      <c r="ALK174" s="541"/>
      <c r="ALL174" s="541"/>
      <c r="ALM174" s="541"/>
      <c r="ALN174" s="541"/>
      <c r="ALO174" s="541"/>
      <c r="ALP174" s="541"/>
      <c r="ALQ174" s="541"/>
      <c r="ALR174" s="541"/>
      <c r="ALS174" s="541"/>
      <c r="ALT174" s="541"/>
      <c r="ALU174" s="541"/>
      <c r="ALV174" s="541"/>
      <c r="ALW174" s="541"/>
      <c r="ALX174" s="541"/>
      <c r="ALY174" s="541"/>
      <c r="ALZ174" s="541"/>
      <c r="AMA174" s="541"/>
      <c r="AMB174" s="541"/>
      <c r="AMC174" s="541"/>
      <c r="AMD174" s="541"/>
      <c r="AME174" s="541"/>
      <c r="AMF174" s="541"/>
      <c r="AMG174" s="541"/>
      <c r="AMH174" s="541"/>
      <c r="AMI174" s="541"/>
      <c r="AMJ174" s="541"/>
      <c r="AMK174" s="541"/>
      <c r="AML174" s="541"/>
      <c r="AMM174" s="541"/>
      <c r="AMN174" s="541"/>
      <c r="AMO174" s="541"/>
      <c r="AMP174" s="541"/>
      <c r="AMQ174" s="541"/>
      <c r="AMR174" s="541"/>
      <c r="AMS174" s="541"/>
      <c r="AMT174" s="541"/>
      <c r="AMU174" s="541"/>
      <c r="AMV174" s="541"/>
      <c r="AMW174" s="541"/>
      <c r="AMX174" s="541"/>
      <c r="AMY174" s="541"/>
      <c r="AMZ174" s="541"/>
      <c r="ANA174" s="541"/>
      <c r="ANB174" s="541"/>
      <c r="ANC174" s="541"/>
      <c r="AND174" s="541"/>
      <c r="ANE174" s="541"/>
      <c r="ANF174" s="541"/>
      <c r="ANG174" s="541"/>
      <c r="ANH174" s="541"/>
      <c r="ANI174" s="541"/>
      <c r="ANJ174" s="541"/>
      <c r="ANK174" s="541"/>
      <c r="ANL174" s="541"/>
      <c r="ANM174" s="541"/>
      <c r="ANN174" s="541"/>
      <c r="ANO174" s="541"/>
      <c r="ANP174" s="541"/>
      <c r="ANQ174" s="541"/>
      <c r="ANR174" s="541"/>
      <c r="ANS174" s="541"/>
      <c r="ANT174" s="541"/>
      <c r="ANU174" s="541"/>
      <c r="ANV174" s="541"/>
      <c r="ANW174" s="541"/>
      <c r="ANX174" s="541"/>
      <c r="ANY174" s="541"/>
      <c r="ANZ174" s="541"/>
      <c r="AOA174" s="541"/>
      <c r="AOB174" s="541"/>
      <c r="AOC174" s="541"/>
      <c r="AOD174" s="541"/>
      <c r="AOE174" s="541"/>
      <c r="AOF174" s="541"/>
      <c r="AOG174" s="541"/>
      <c r="AOH174" s="541"/>
      <c r="AOI174" s="541"/>
      <c r="AOJ174" s="541"/>
      <c r="AOK174" s="541"/>
      <c r="AOL174" s="541"/>
      <c r="AOM174" s="541"/>
      <c r="AON174" s="541"/>
      <c r="AOO174" s="541"/>
      <c r="AOP174" s="541"/>
      <c r="AOQ174" s="541"/>
      <c r="AOR174" s="541"/>
      <c r="AOS174" s="541"/>
      <c r="AOT174" s="541"/>
      <c r="AOU174" s="541"/>
      <c r="AOV174" s="541"/>
      <c r="AOW174" s="541"/>
      <c r="AOX174" s="541"/>
      <c r="AOY174" s="541"/>
      <c r="AOZ174" s="541"/>
      <c r="APA174" s="541"/>
      <c r="APB174" s="541"/>
      <c r="APC174" s="541"/>
      <c r="APD174" s="541"/>
      <c r="APE174" s="541"/>
      <c r="APF174" s="541"/>
      <c r="APG174" s="541"/>
      <c r="APH174" s="541"/>
      <c r="API174" s="541"/>
      <c r="APJ174" s="541"/>
      <c r="APK174" s="541"/>
      <c r="APL174" s="541"/>
      <c r="APM174" s="541"/>
      <c r="APN174" s="541"/>
      <c r="APO174" s="541"/>
      <c r="APP174" s="541"/>
      <c r="APQ174" s="541"/>
      <c r="APR174" s="541"/>
      <c r="APS174" s="541"/>
      <c r="APT174" s="541"/>
      <c r="APU174" s="541"/>
      <c r="APV174" s="541"/>
      <c r="APW174" s="541"/>
      <c r="APX174" s="541"/>
      <c r="APY174" s="541"/>
      <c r="APZ174" s="541"/>
      <c r="AQA174" s="541"/>
      <c r="AQB174" s="541"/>
      <c r="AQC174" s="541"/>
      <c r="AQD174" s="541"/>
      <c r="AQE174" s="541"/>
      <c r="AQF174" s="541"/>
      <c r="AQG174" s="541"/>
      <c r="AQH174" s="541"/>
      <c r="AQI174" s="541"/>
      <c r="AQJ174" s="541"/>
      <c r="AQK174" s="541"/>
      <c r="AQL174" s="541"/>
      <c r="AQM174" s="541"/>
      <c r="AQN174" s="541"/>
      <c r="AQO174" s="541"/>
      <c r="AQP174" s="541"/>
      <c r="AQQ174" s="541"/>
      <c r="AQR174" s="541"/>
      <c r="AQS174" s="541"/>
      <c r="AQT174" s="541"/>
      <c r="AQU174" s="541"/>
      <c r="AQV174" s="541"/>
      <c r="AQW174" s="541"/>
      <c r="AQX174" s="541"/>
      <c r="AQY174" s="541"/>
      <c r="AQZ174" s="541"/>
      <c r="ARA174" s="541"/>
      <c r="ARB174" s="541"/>
      <c r="ARC174" s="541"/>
      <c r="ARD174" s="541"/>
      <c r="ARE174" s="541"/>
      <c r="ARF174" s="541"/>
      <c r="ARG174" s="541"/>
      <c r="ARH174" s="541"/>
      <c r="ARI174" s="541"/>
      <c r="ARJ174" s="541"/>
      <c r="ARK174" s="541"/>
      <c r="ARL174" s="541"/>
      <c r="ARM174" s="541"/>
      <c r="ARN174" s="541"/>
      <c r="ARO174" s="541"/>
      <c r="ARP174" s="541"/>
      <c r="ARQ174" s="541"/>
      <c r="ARR174" s="541"/>
      <c r="ARS174" s="541"/>
      <c r="ART174" s="541"/>
      <c r="ARU174" s="541"/>
    </row>
    <row r="175" spans="1:1165" s="658" customFormat="1">
      <c r="A175" s="613" t="s">
        <v>96</v>
      </c>
      <c r="B175" s="578" t="s">
        <v>306</v>
      </c>
      <c r="C175" s="659">
        <v>27285996</v>
      </c>
      <c r="D175" s="659">
        <v>879157349</v>
      </c>
      <c r="E175" s="581">
        <v>624748</v>
      </c>
      <c r="F175" s="581">
        <v>268782192</v>
      </c>
      <c r="G175" s="581">
        <v>1439274</v>
      </c>
      <c r="H175" s="581">
        <v>278612808</v>
      </c>
      <c r="I175" s="581">
        <v>1278000</v>
      </c>
      <c r="J175" s="581">
        <v>258602636</v>
      </c>
      <c r="K175" s="581">
        <v>1260801</v>
      </c>
      <c r="L175" s="581">
        <v>300712136</v>
      </c>
      <c r="M175" s="581">
        <v>1295520</v>
      </c>
      <c r="N175" s="581">
        <v>283635789</v>
      </c>
      <c r="O175" s="581">
        <v>1207875</v>
      </c>
      <c r="P175" s="581">
        <v>318717603</v>
      </c>
      <c r="Q175" s="581">
        <v>1607251</v>
      </c>
      <c r="R175" s="581">
        <v>260582180</v>
      </c>
      <c r="S175" s="581">
        <v>1764084</v>
      </c>
      <c r="T175" s="581">
        <v>314913379</v>
      </c>
      <c r="U175" s="598">
        <v>2056808</v>
      </c>
      <c r="V175" s="598">
        <v>246110792</v>
      </c>
      <c r="W175" s="598">
        <v>2514049</v>
      </c>
      <c r="X175" s="598">
        <v>369850063</v>
      </c>
      <c r="Y175" s="581">
        <v>5200749</v>
      </c>
      <c r="Z175" s="581">
        <v>1023216415</v>
      </c>
      <c r="AA175" s="619">
        <v>5214637</v>
      </c>
      <c r="AB175" s="619">
        <v>901415578</v>
      </c>
      <c r="AC175" s="581">
        <v>5046694</v>
      </c>
      <c r="AD175" s="581">
        <v>917363371</v>
      </c>
      <c r="AE175" s="579">
        <v>4048865</v>
      </c>
      <c r="AF175" s="579">
        <v>709316334</v>
      </c>
      <c r="AG175" s="579">
        <v>8752619</v>
      </c>
      <c r="AH175" s="579">
        <v>1299752620</v>
      </c>
      <c r="AI175" s="579">
        <v>8683505</v>
      </c>
      <c r="AJ175" s="579">
        <v>1384829505</v>
      </c>
      <c r="AK175" s="661">
        <v>11258708</v>
      </c>
      <c r="AL175" s="661">
        <v>1958824698</v>
      </c>
      <c r="AM175" s="662">
        <v>9539869</v>
      </c>
      <c r="AN175" s="662">
        <v>1719801811.3599999</v>
      </c>
      <c r="AO175" s="579">
        <v>10977222</v>
      </c>
      <c r="AP175" s="579">
        <v>1497550122</v>
      </c>
      <c r="AQ175" s="579">
        <v>8490438.5938721336</v>
      </c>
      <c r="AR175" s="579">
        <v>1559291022.8499999</v>
      </c>
      <c r="AS175" s="579">
        <v>13743415</v>
      </c>
      <c r="AT175" s="579">
        <v>4472416146.1800003</v>
      </c>
      <c r="AU175" s="619">
        <v>14061255</v>
      </c>
      <c r="AV175" s="619">
        <v>4246653099</v>
      </c>
      <c r="AW175" s="598">
        <v>15216491</v>
      </c>
      <c r="AX175" s="598">
        <v>4457025360</v>
      </c>
      <c r="AY175" s="598">
        <v>14119334</v>
      </c>
      <c r="AZ175" s="598">
        <v>4034630921</v>
      </c>
      <c r="BA175" s="663"/>
      <c r="BB175" s="598"/>
      <c r="BC175" s="664"/>
      <c r="BD175" s="598"/>
      <c r="BE175" s="664"/>
      <c r="BF175" s="598"/>
      <c r="BG175" s="598"/>
      <c r="BH175" s="598"/>
      <c r="BI175" s="664"/>
      <c r="BJ175" s="581">
        <f t="shared" si="25"/>
        <v>176063459.59387213</v>
      </c>
      <c r="BK175" s="651">
        <f t="shared" si="26"/>
        <v>33692981738.389999</v>
      </c>
      <c r="BL175" s="541"/>
      <c r="BM175" s="624"/>
      <c r="BN175" s="624"/>
      <c r="BO175" s="541"/>
      <c r="BP175" s="624"/>
      <c r="BQ175" s="541"/>
      <c r="BR175" s="541"/>
      <c r="BS175" s="541"/>
      <c r="BT175" s="541"/>
      <c r="BU175" s="541"/>
      <c r="BV175" s="541"/>
      <c r="BW175" s="541"/>
      <c r="BX175" s="541"/>
      <c r="BY175" s="541"/>
      <c r="BZ175" s="541"/>
      <c r="CA175" s="541"/>
      <c r="CB175" s="541"/>
      <c r="CC175" s="541"/>
      <c r="CD175" s="541"/>
      <c r="CE175" s="541"/>
      <c r="CF175" s="541"/>
      <c r="CG175" s="541"/>
      <c r="CH175" s="541"/>
      <c r="CI175" s="541"/>
      <c r="CJ175" s="541"/>
      <c r="CK175" s="541"/>
      <c r="CL175" s="541"/>
      <c r="CM175" s="541"/>
      <c r="CN175" s="541"/>
      <c r="CO175" s="541"/>
      <c r="CP175" s="541"/>
      <c r="CQ175" s="541"/>
      <c r="CR175" s="541"/>
      <c r="CS175" s="541"/>
      <c r="CT175" s="541"/>
      <c r="CU175" s="541"/>
      <c r="CV175" s="541"/>
      <c r="CW175" s="541"/>
      <c r="CX175" s="541"/>
      <c r="CY175" s="541"/>
      <c r="CZ175" s="541"/>
      <c r="DA175" s="541"/>
      <c r="DB175" s="541"/>
      <c r="DC175" s="541"/>
      <c r="DD175" s="541"/>
      <c r="DE175" s="541"/>
      <c r="DF175" s="541"/>
      <c r="DG175" s="541"/>
      <c r="DH175" s="541"/>
      <c r="DI175" s="541"/>
      <c r="DJ175" s="541"/>
      <c r="DK175" s="541"/>
      <c r="DL175" s="541"/>
      <c r="DM175" s="541"/>
      <c r="DN175" s="541"/>
      <c r="DO175" s="541"/>
      <c r="DP175" s="541"/>
      <c r="DQ175" s="541"/>
      <c r="DR175" s="541"/>
      <c r="DS175" s="541"/>
      <c r="DT175" s="541"/>
      <c r="DU175" s="541"/>
      <c r="DV175" s="541"/>
      <c r="DW175" s="541"/>
      <c r="DX175" s="541"/>
      <c r="DY175" s="541"/>
      <c r="DZ175" s="541"/>
      <c r="EA175" s="541"/>
      <c r="EB175" s="541"/>
      <c r="EC175" s="541"/>
      <c r="ED175" s="541"/>
      <c r="EE175" s="541"/>
      <c r="EF175" s="541"/>
      <c r="EG175" s="541"/>
      <c r="EH175" s="541"/>
      <c r="EI175" s="541"/>
      <c r="EJ175" s="541"/>
      <c r="EK175" s="541"/>
      <c r="EL175" s="541"/>
      <c r="EM175" s="541"/>
      <c r="EN175" s="541"/>
      <c r="EO175" s="541"/>
      <c r="EP175" s="541"/>
      <c r="EQ175" s="541"/>
      <c r="ER175" s="541"/>
      <c r="ES175" s="541"/>
      <c r="ET175" s="541"/>
      <c r="EU175" s="541"/>
      <c r="EV175" s="541"/>
      <c r="EW175" s="541"/>
      <c r="EX175" s="541"/>
      <c r="EY175" s="541"/>
      <c r="EZ175" s="541"/>
      <c r="FA175" s="541"/>
      <c r="FB175" s="541"/>
      <c r="FC175" s="541"/>
      <c r="FD175" s="541"/>
      <c r="FE175" s="541"/>
      <c r="FF175" s="541"/>
      <c r="FG175" s="541"/>
      <c r="FH175" s="541"/>
      <c r="FI175" s="541"/>
      <c r="FJ175" s="541"/>
      <c r="FK175" s="541"/>
      <c r="FL175" s="541"/>
      <c r="FM175" s="541"/>
      <c r="FN175" s="541"/>
      <c r="FO175" s="541"/>
      <c r="FP175" s="541"/>
      <c r="FQ175" s="541"/>
      <c r="FR175" s="541"/>
      <c r="FS175" s="541"/>
      <c r="FT175" s="541"/>
      <c r="FU175" s="541"/>
      <c r="FV175" s="541"/>
      <c r="FW175" s="541"/>
      <c r="FX175" s="541"/>
      <c r="FY175" s="541"/>
      <c r="FZ175" s="541"/>
      <c r="GA175" s="541"/>
      <c r="GB175" s="541"/>
      <c r="GC175" s="541"/>
      <c r="GD175" s="541"/>
      <c r="GE175" s="541"/>
      <c r="GF175" s="541"/>
      <c r="GG175" s="541"/>
      <c r="GH175" s="541"/>
      <c r="GI175" s="541"/>
      <c r="GJ175" s="541"/>
      <c r="GK175" s="541"/>
      <c r="GL175" s="541"/>
      <c r="GM175" s="541"/>
      <c r="GN175" s="541"/>
      <c r="GO175" s="541"/>
      <c r="GP175" s="541"/>
      <c r="GQ175" s="541"/>
      <c r="GR175" s="541"/>
      <c r="GS175" s="541"/>
      <c r="GT175" s="541"/>
      <c r="GU175" s="541"/>
      <c r="GV175" s="541"/>
      <c r="GW175" s="541"/>
      <c r="GX175" s="541"/>
      <c r="GY175" s="541"/>
      <c r="GZ175" s="541"/>
      <c r="HA175" s="541"/>
      <c r="HB175" s="541"/>
      <c r="HC175" s="541"/>
      <c r="HD175" s="541"/>
      <c r="HE175" s="541"/>
      <c r="HF175" s="541"/>
      <c r="HG175" s="541"/>
      <c r="HH175" s="541"/>
      <c r="HI175" s="541"/>
      <c r="HJ175" s="541"/>
      <c r="HK175" s="541"/>
      <c r="HL175" s="541"/>
      <c r="HM175" s="541"/>
      <c r="HN175" s="541"/>
      <c r="HO175" s="541"/>
      <c r="HP175" s="541"/>
      <c r="HQ175" s="541"/>
      <c r="HR175" s="541"/>
      <c r="HS175" s="541"/>
      <c r="HT175" s="541"/>
      <c r="HU175" s="541"/>
      <c r="HV175" s="541"/>
      <c r="HW175" s="541"/>
      <c r="HX175" s="541"/>
      <c r="HY175" s="541"/>
      <c r="HZ175" s="541"/>
      <c r="IA175" s="541"/>
      <c r="IB175" s="541"/>
      <c r="IC175" s="541"/>
      <c r="ID175" s="541"/>
      <c r="IE175" s="541"/>
      <c r="IF175" s="541"/>
      <c r="IG175" s="541"/>
      <c r="IH175" s="541"/>
      <c r="II175" s="541"/>
      <c r="IJ175" s="541"/>
      <c r="IK175" s="541"/>
      <c r="IL175" s="541"/>
      <c r="IM175" s="541"/>
      <c r="IN175" s="541"/>
      <c r="IO175" s="541"/>
      <c r="IP175" s="541"/>
      <c r="IQ175" s="541"/>
      <c r="IR175" s="541"/>
      <c r="IS175" s="541"/>
      <c r="IT175" s="541"/>
      <c r="IU175" s="541"/>
      <c r="IV175" s="541"/>
      <c r="IW175" s="541"/>
      <c r="IX175" s="541"/>
      <c r="IY175" s="541"/>
      <c r="IZ175" s="541"/>
      <c r="JA175" s="541"/>
      <c r="JB175" s="541"/>
      <c r="JC175" s="541"/>
      <c r="JD175" s="541"/>
      <c r="JE175" s="541"/>
      <c r="JF175" s="541"/>
      <c r="JG175" s="541"/>
      <c r="JH175" s="541"/>
      <c r="JI175" s="541"/>
      <c r="JJ175" s="541"/>
      <c r="JK175" s="541"/>
      <c r="JL175" s="541"/>
      <c r="JM175" s="541"/>
      <c r="JN175" s="541"/>
      <c r="JO175" s="541"/>
      <c r="JP175" s="541"/>
      <c r="JQ175" s="541"/>
      <c r="JR175" s="541"/>
      <c r="JS175" s="541"/>
      <c r="JT175" s="541"/>
      <c r="JU175" s="541"/>
      <c r="JV175" s="541"/>
      <c r="JW175" s="541"/>
      <c r="JX175" s="541"/>
      <c r="JY175" s="541"/>
      <c r="JZ175" s="541"/>
      <c r="KA175" s="541"/>
      <c r="KB175" s="541"/>
      <c r="KC175" s="541"/>
      <c r="KD175" s="541"/>
      <c r="KE175" s="541"/>
      <c r="KF175" s="541"/>
      <c r="KG175" s="541"/>
      <c r="KH175" s="541"/>
      <c r="KI175" s="541"/>
      <c r="KJ175" s="541"/>
      <c r="KK175" s="541"/>
      <c r="KL175" s="541"/>
      <c r="KM175" s="541"/>
      <c r="KN175" s="541"/>
      <c r="KO175" s="541"/>
      <c r="KP175" s="541"/>
      <c r="KQ175" s="541"/>
      <c r="KR175" s="541"/>
      <c r="KS175" s="541"/>
      <c r="KT175" s="541"/>
      <c r="KU175" s="541"/>
      <c r="KV175" s="541"/>
      <c r="KW175" s="541"/>
      <c r="KX175" s="541"/>
      <c r="KY175" s="541"/>
      <c r="KZ175" s="541"/>
      <c r="LA175" s="541"/>
      <c r="LB175" s="541"/>
      <c r="LC175" s="541"/>
      <c r="LD175" s="541"/>
      <c r="LE175" s="541"/>
      <c r="LF175" s="541"/>
      <c r="LG175" s="541"/>
      <c r="LH175" s="541"/>
      <c r="LI175" s="541"/>
      <c r="LJ175" s="541"/>
      <c r="LK175" s="541"/>
      <c r="LL175" s="541"/>
      <c r="LM175" s="541"/>
      <c r="LN175" s="541"/>
      <c r="LO175" s="541"/>
      <c r="LP175" s="541"/>
      <c r="LQ175" s="541"/>
      <c r="LR175" s="541"/>
      <c r="LS175" s="541"/>
      <c r="LT175" s="541"/>
      <c r="LU175" s="541"/>
      <c r="LV175" s="541"/>
      <c r="LW175" s="541"/>
      <c r="LX175" s="541"/>
      <c r="LY175" s="541"/>
      <c r="LZ175" s="541"/>
      <c r="MA175" s="541"/>
      <c r="MB175" s="541"/>
      <c r="MC175" s="541"/>
      <c r="MD175" s="541"/>
      <c r="ME175" s="541"/>
      <c r="MF175" s="541"/>
      <c r="MG175" s="541"/>
      <c r="MH175" s="541"/>
      <c r="MI175" s="541"/>
      <c r="MJ175" s="541"/>
      <c r="MK175" s="541"/>
      <c r="ML175" s="541"/>
      <c r="MM175" s="541"/>
      <c r="MN175" s="541"/>
      <c r="MO175" s="541"/>
      <c r="MP175" s="541"/>
      <c r="MQ175" s="541"/>
      <c r="MR175" s="541"/>
      <c r="MS175" s="541"/>
      <c r="MT175" s="541"/>
      <c r="MU175" s="541"/>
      <c r="MV175" s="541"/>
      <c r="MW175" s="541"/>
      <c r="MX175" s="541"/>
      <c r="MY175" s="541"/>
      <c r="MZ175" s="541"/>
      <c r="NA175" s="541"/>
      <c r="NB175" s="541"/>
      <c r="NC175" s="541"/>
      <c r="ND175" s="541"/>
      <c r="NE175" s="541"/>
      <c r="NF175" s="541"/>
      <c r="NG175" s="541"/>
      <c r="NH175" s="541"/>
      <c r="NI175" s="541"/>
      <c r="NJ175" s="541"/>
      <c r="NK175" s="541"/>
      <c r="NL175" s="541"/>
      <c r="NM175" s="541"/>
      <c r="NN175" s="541"/>
      <c r="NO175" s="541"/>
      <c r="NP175" s="541"/>
      <c r="NQ175" s="541"/>
      <c r="NR175" s="541"/>
      <c r="NS175" s="541"/>
      <c r="NT175" s="541"/>
      <c r="NU175" s="541"/>
      <c r="NV175" s="541"/>
      <c r="NW175" s="541"/>
      <c r="NX175" s="541"/>
      <c r="NY175" s="541"/>
      <c r="NZ175" s="541"/>
      <c r="OA175" s="541"/>
      <c r="OB175" s="541"/>
      <c r="OC175" s="541"/>
      <c r="OD175" s="541"/>
      <c r="OE175" s="541"/>
      <c r="OF175" s="541"/>
      <c r="OG175" s="541"/>
      <c r="OH175" s="541"/>
      <c r="OI175" s="541"/>
      <c r="OJ175" s="541"/>
      <c r="OK175" s="541"/>
      <c r="OL175" s="541"/>
      <c r="OM175" s="541"/>
      <c r="ON175" s="541"/>
      <c r="OO175" s="541"/>
      <c r="OP175" s="541"/>
      <c r="OQ175" s="541"/>
      <c r="OR175" s="541"/>
      <c r="OS175" s="541"/>
      <c r="OT175" s="541"/>
      <c r="OU175" s="541"/>
      <c r="OV175" s="541"/>
      <c r="OW175" s="541"/>
      <c r="OX175" s="541"/>
      <c r="OY175" s="541"/>
      <c r="OZ175" s="541"/>
      <c r="PA175" s="541"/>
      <c r="PB175" s="541"/>
      <c r="PC175" s="541"/>
      <c r="PD175" s="541"/>
      <c r="PE175" s="541"/>
      <c r="PF175" s="541"/>
      <c r="PG175" s="541"/>
      <c r="PH175" s="541"/>
      <c r="PI175" s="541"/>
      <c r="PJ175" s="541"/>
      <c r="PK175" s="541"/>
      <c r="PL175" s="541"/>
      <c r="PM175" s="541"/>
      <c r="PN175" s="541"/>
      <c r="PO175" s="541"/>
      <c r="PP175" s="541"/>
      <c r="PQ175" s="541"/>
      <c r="PR175" s="541"/>
      <c r="PS175" s="541"/>
      <c r="PT175" s="541"/>
      <c r="PU175" s="541"/>
      <c r="PV175" s="541"/>
      <c r="PW175" s="541"/>
      <c r="PX175" s="541"/>
      <c r="PY175" s="541"/>
      <c r="PZ175" s="541"/>
      <c r="QA175" s="541"/>
      <c r="QB175" s="541"/>
      <c r="QC175" s="541"/>
      <c r="QD175" s="541"/>
      <c r="QE175" s="541"/>
      <c r="QF175" s="541"/>
      <c r="QG175" s="541"/>
      <c r="QH175" s="541"/>
      <c r="QI175" s="541"/>
      <c r="QJ175" s="541"/>
      <c r="QK175" s="541"/>
      <c r="QL175" s="541"/>
      <c r="QM175" s="541"/>
      <c r="QN175" s="541"/>
      <c r="QO175" s="541"/>
      <c r="QP175" s="541"/>
      <c r="QQ175" s="541"/>
      <c r="QR175" s="541"/>
      <c r="QS175" s="541"/>
      <c r="QT175" s="541"/>
      <c r="QU175" s="541"/>
      <c r="QV175" s="541"/>
      <c r="QW175" s="541"/>
      <c r="QX175" s="541"/>
      <c r="QY175" s="541"/>
      <c r="QZ175" s="541"/>
      <c r="RA175" s="541"/>
      <c r="RB175" s="541"/>
      <c r="RC175" s="541"/>
      <c r="RD175" s="541"/>
      <c r="RE175" s="541"/>
      <c r="RF175" s="541"/>
      <c r="RG175" s="541"/>
      <c r="RH175" s="541"/>
      <c r="RI175" s="541"/>
      <c r="RJ175" s="541"/>
      <c r="RK175" s="541"/>
      <c r="RL175" s="541"/>
      <c r="RM175" s="541"/>
      <c r="RN175" s="541"/>
      <c r="RO175" s="541"/>
      <c r="RP175" s="541"/>
      <c r="RQ175" s="541"/>
      <c r="RR175" s="541"/>
      <c r="RS175" s="541"/>
      <c r="RT175" s="541"/>
      <c r="RU175" s="541"/>
      <c r="RV175" s="541"/>
      <c r="RW175" s="541"/>
      <c r="RX175" s="541"/>
      <c r="RY175" s="541"/>
      <c r="RZ175" s="541"/>
      <c r="SA175" s="541"/>
      <c r="SB175" s="541"/>
      <c r="SC175" s="541"/>
      <c r="SD175" s="541"/>
      <c r="SE175" s="541"/>
      <c r="SF175" s="541"/>
      <c r="SG175" s="541"/>
      <c r="SH175" s="541"/>
      <c r="SI175" s="541"/>
      <c r="SJ175" s="541"/>
      <c r="SK175" s="541"/>
      <c r="SL175" s="541"/>
      <c r="SM175" s="541"/>
      <c r="SN175" s="541"/>
      <c r="SO175" s="541"/>
      <c r="SP175" s="541"/>
      <c r="SQ175" s="541"/>
      <c r="SR175" s="541"/>
      <c r="SS175" s="541"/>
      <c r="ST175" s="541"/>
      <c r="SU175" s="541"/>
      <c r="SV175" s="541"/>
      <c r="SW175" s="541"/>
      <c r="SX175" s="541"/>
      <c r="SY175" s="541"/>
      <c r="SZ175" s="541"/>
      <c r="TA175" s="541"/>
      <c r="TB175" s="541"/>
      <c r="TC175" s="541"/>
      <c r="TD175" s="541"/>
      <c r="TE175" s="541"/>
      <c r="TF175" s="541"/>
      <c r="TG175" s="541"/>
      <c r="TH175" s="541"/>
      <c r="TI175" s="541"/>
      <c r="TJ175" s="541"/>
      <c r="TK175" s="541"/>
      <c r="TL175" s="541"/>
      <c r="TM175" s="541"/>
      <c r="TN175" s="541"/>
      <c r="TO175" s="541"/>
      <c r="TP175" s="541"/>
      <c r="TQ175" s="541"/>
      <c r="TR175" s="541"/>
      <c r="TS175" s="541"/>
      <c r="TT175" s="541"/>
      <c r="TU175" s="541"/>
      <c r="TV175" s="541"/>
      <c r="TW175" s="541"/>
      <c r="TX175" s="541"/>
      <c r="TY175" s="541"/>
      <c r="TZ175" s="541"/>
      <c r="UA175" s="541"/>
      <c r="UB175" s="541"/>
      <c r="UC175" s="541"/>
      <c r="UD175" s="541"/>
      <c r="UE175" s="541"/>
      <c r="UF175" s="541"/>
      <c r="UG175" s="541"/>
      <c r="UH175" s="541"/>
      <c r="UI175" s="541"/>
      <c r="UJ175" s="541"/>
      <c r="UK175" s="541"/>
      <c r="UL175" s="541"/>
      <c r="UM175" s="541"/>
      <c r="UN175" s="541"/>
      <c r="UO175" s="541"/>
      <c r="UP175" s="541"/>
      <c r="UQ175" s="541"/>
      <c r="UR175" s="541"/>
      <c r="US175" s="541"/>
      <c r="UT175" s="541"/>
      <c r="UU175" s="541"/>
      <c r="UV175" s="541"/>
      <c r="UW175" s="541"/>
      <c r="UX175" s="541"/>
      <c r="UY175" s="541"/>
      <c r="UZ175" s="541"/>
      <c r="VA175" s="541"/>
      <c r="VB175" s="541"/>
      <c r="VC175" s="541"/>
      <c r="VD175" s="541"/>
      <c r="VE175" s="541"/>
      <c r="VF175" s="541"/>
      <c r="VG175" s="541"/>
      <c r="VH175" s="541"/>
      <c r="VI175" s="541"/>
      <c r="VJ175" s="541"/>
      <c r="VK175" s="541"/>
      <c r="VL175" s="541"/>
      <c r="VM175" s="541"/>
      <c r="VN175" s="541"/>
      <c r="VO175" s="541"/>
      <c r="VP175" s="541"/>
      <c r="VQ175" s="541"/>
      <c r="VR175" s="541"/>
      <c r="VS175" s="541"/>
      <c r="VT175" s="541"/>
      <c r="VU175" s="541"/>
      <c r="VV175" s="541"/>
      <c r="VW175" s="541"/>
      <c r="VX175" s="541"/>
      <c r="VY175" s="541"/>
      <c r="VZ175" s="541"/>
      <c r="WA175" s="541"/>
      <c r="WB175" s="541"/>
      <c r="WC175" s="541"/>
      <c r="WD175" s="541"/>
      <c r="WE175" s="541"/>
      <c r="WF175" s="541"/>
      <c r="WG175" s="541"/>
      <c r="WH175" s="541"/>
      <c r="WI175" s="541"/>
      <c r="WJ175" s="541"/>
      <c r="WK175" s="541"/>
      <c r="WL175" s="541"/>
      <c r="WM175" s="541"/>
      <c r="WN175" s="541"/>
      <c r="WO175" s="541"/>
      <c r="WP175" s="541"/>
      <c r="WQ175" s="541"/>
      <c r="WR175" s="541"/>
      <c r="WS175" s="541"/>
      <c r="WT175" s="541"/>
      <c r="WU175" s="541"/>
      <c r="WV175" s="541"/>
      <c r="WW175" s="541"/>
      <c r="WX175" s="541"/>
      <c r="WY175" s="541"/>
      <c r="WZ175" s="541"/>
      <c r="XA175" s="541"/>
      <c r="XB175" s="541"/>
      <c r="XC175" s="541"/>
      <c r="XD175" s="541"/>
      <c r="XE175" s="541"/>
      <c r="XF175" s="541"/>
      <c r="XG175" s="541"/>
      <c r="XH175" s="541"/>
      <c r="XI175" s="541"/>
      <c r="XJ175" s="541"/>
      <c r="XK175" s="541"/>
      <c r="XL175" s="541"/>
      <c r="XM175" s="541"/>
      <c r="XN175" s="541"/>
      <c r="XO175" s="541"/>
      <c r="XP175" s="541"/>
      <c r="XQ175" s="541"/>
      <c r="XR175" s="541"/>
      <c r="XS175" s="541"/>
      <c r="XT175" s="541"/>
      <c r="XU175" s="541"/>
      <c r="XV175" s="541"/>
      <c r="XW175" s="541"/>
      <c r="XX175" s="541"/>
      <c r="XY175" s="541"/>
      <c r="XZ175" s="541"/>
      <c r="YA175" s="541"/>
      <c r="YB175" s="541"/>
      <c r="YC175" s="541"/>
      <c r="YD175" s="541"/>
      <c r="YE175" s="541"/>
      <c r="YF175" s="541"/>
      <c r="YG175" s="541"/>
      <c r="YH175" s="541"/>
      <c r="YI175" s="541"/>
      <c r="YJ175" s="541"/>
      <c r="YK175" s="541"/>
      <c r="YL175" s="541"/>
      <c r="YM175" s="541"/>
      <c r="YN175" s="541"/>
      <c r="YO175" s="541"/>
      <c r="YP175" s="541"/>
      <c r="YQ175" s="541"/>
      <c r="YR175" s="541"/>
      <c r="YS175" s="541"/>
      <c r="YT175" s="541"/>
      <c r="YU175" s="541"/>
      <c r="YV175" s="541"/>
      <c r="YW175" s="541"/>
      <c r="YX175" s="541"/>
      <c r="YY175" s="541"/>
      <c r="YZ175" s="541"/>
      <c r="ZA175" s="541"/>
      <c r="ZB175" s="541"/>
      <c r="ZC175" s="541"/>
      <c r="ZD175" s="541"/>
      <c r="ZE175" s="541"/>
      <c r="ZF175" s="541"/>
      <c r="ZG175" s="541"/>
      <c r="ZH175" s="541"/>
      <c r="ZI175" s="541"/>
      <c r="ZJ175" s="541"/>
      <c r="ZK175" s="541"/>
      <c r="ZL175" s="541"/>
      <c r="ZM175" s="541"/>
      <c r="ZN175" s="541"/>
      <c r="ZO175" s="541"/>
      <c r="ZP175" s="541"/>
      <c r="ZQ175" s="541"/>
      <c r="ZR175" s="541"/>
      <c r="ZS175" s="541"/>
      <c r="ZT175" s="541"/>
      <c r="ZU175" s="541"/>
      <c r="ZV175" s="541"/>
      <c r="ZW175" s="541"/>
      <c r="ZX175" s="541"/>
      <c r="ZY175" s="541"/>
      <c r="ZZ175" s="541"/>
      <c r="AAA175" s="541"/>
      <c r="AAB175" s="541"/>
      <c r="AAC175" s="541"/>
      <c r="AAD175" s="541"/>
      <c r="AAE175" s="541"/>
      <c r="AAF175" s="541"/>
      <c r="AAG175" s="541"/>
      <c r="AAH175" s="541"/>
      <c r="AAI175" s="541"/>
      <c r="AAJ175" s="541"/>
      <c r="AAK175" s="541"/>
      <c r="AAL175" s="541"/>
      <c r="AAM175" s="541"/>
      <c r="AAN175" s="541"/>
      <c r="AAO175" s="541"/>
      <c r="AAP175" s="541"/>
      <c r="AAQ175" s="541"/>
      <c r="AAR175" s="541"/>
      <c r="AAS175" s="541"/>
      <c r="AAT175" s="541"/>
      <c r="AAU175" s="541"/>
      <c r="AAV175" s="541"/>
      <c r="AAW175" s="541"/>
      <c r="AAX175" s="541"/>
      <c r="AAY175" s="541"/>
      <c r="AAZ175" s="541"/>
      <c r="ABA175" s="541"/>
      <c r="ABB175" s="541"/>
      <c r="ABC175" s="541"/>
      <c r="ABD175" s="541"/>
      <c r="ABE175" s="541"/>
      <c r="ABF175" s="541"/>
      <c r="ABG175" s="541"/>
      <c r="ABH175" s="541"/>
      <c r="ABI175" s="541"/>
      <c r="ABJ175" s="541"/>
      <c r="ABK175" s="541"/>
      <c r="ABL175" s="541"/>
      <c r="ABM175" s="541"/>
      <c r="ABN175" s="541"/>
      <c r="ABO175" s="541"/>
      <c r="ABP175" s="541"/>
      <c r="ABQ175" s="541"/>
      <c r="ABR175" s="541"/>
      <c r="ABS175" s="541"/>
      <c r="ABT175" s="541"/>
      <c r="ABU175" s="541"/>
      <c r="ABV175" s="541"/>
      <c r="ABW175" s="541"/>
      <c r="ABX175" s="541"/>
      <c r="ABY175" s="541"/>
      <c r="ABZ175" s="541"/>
      <c r="ACA175" s="541"/>
      <c r="ACB175" s="541"/>
      <c r="ACC175" s="541"/>
      <c r="ACD175" s="541"/>
      <c r="ACE175" s="541"/>
      <c r="ACF175" s="541"/>
      <c r="ACG175" s="541"/>
      <c r="ACH175" s="541"/>
      <c r="ACI175" s="541"/>
      <c r="ACJ175" s="541"/>
      <c r="ACK175" s="541"/>
      <c r="ACL175" s="541"/>
      <c r="ACM175" s="541"/>
      <c r="ACN175" s="541"/>
      <c r="ACO175" s="541"/>
      <c r="ACP175" s="541"/>
      <c r="ACQ175" s="541"/>
      <c r="ACR175" s="541"/>
      <c r="ACS175" s="541"/>
      <c r="ACT175" s="541"/>
      <c r="ACU175" s="541"/>
      <c r="ACV175" s="541"/>
      <c r="ACW175" s="541"/>
      <c r="ACX175" s="541"/>
      <c r="ACY175" s="541"/>
      <c r="ACZ175" s="541"/>
      <c r="ADA175" s="541"/>
      <c r="ADB175" s="541"/>
      <c r="ADC175" s="541"/>
      <c r="ADD175" s="541"/>
      <c r="ADE175" s="541"/>
      <c r="ADF175" s="541"/>
      <c r="ADG175" s="541"/>
      <c r="ADH175" s="541"/>
      <c r="ADI175" s="541"/>
      <c r="ADJ175" s="541"/>
      <c r="ADK175" s="541"/>
      <c r="ADL175" s="541"/>
      <c r="ADM175" s="541"/>
      <c r="ADN175" s="541"/>
      <c r="ADO175" s="541"/>
      <c r="ADP175" s="541"/>
      <c r="ADQ175" s="541"/>
      <c r="ADR175" s="541"/>
      <c r="ADS175" s="541"/>
      <c r="ADT175" s="541"/>
      <c r="ADU175" s="541"/>
      <c r="ADV175" s="541"/>
      <c r="ADW175" s="541"/>
      <c r="ADX175" s="541"/>
      <c r="ADY175" s="541"/>
      <c r="ADZ175" s="541"/>
      <c r="AEA175" s="541"/>
      <c r="AEB175" s="541"/>
      <c r="AEC175" s="541"/>
      <c r="AED175" s="541"/>
      <c r="AEE175" s="541"/>
      <c r="AEF175" s="541"/>
      <c r="AEG175" s="541"/>
      <c r="AEH175" s="541"/>
      <c r="AEI175" s="541"/>
      <c r="AEJ175" s="541"/>
      <c r="AEK175" s="541"/>
      <c r="AEL175" s="541"/>
      <c r="AEM175" s="541"/>
      <c r="AEN175" s="541"/>
      <c r="AEO175" s="541"/>
      <c r="AEP175" s="541"/>
      <c r="AEQ175" s="541"/>
      <c r="AER175" s="541"/>
      <c r="AES175" s="541"/>
      <c r="AET175" s="541"/>
      <c r="AEU175" s="541"/>
      <c r="AEV175" s="541"/>
      <c r="AEW175" s="541"/>
      <c r="AEX175" s="541"/>
      <c r="AEY175" s="541"/>
      <c r="AEZ175" s="541"/>
      <c r="AFA175" s="541"/>
      <c r="AFB175" s="541"/>
      <c r="AFC175" s="541"/>
      <c r="AFD175" s="541"/>
      <c r="AFE175" s="541"/>
      <c r="AFF175" s="541"/>
      <c r="AFG175" s="541"/>
      <c r="AFH175" s="541"/>
      <c r="AFI175" s="541"/>
      <c r="AFJ175" s="541"/>
      <c r="AFK175" s="541"/>
      <c r="AFL175" s="541"/>
      <c r="AFM175" s="541"/>
      <c r="AFN175" s="541"/>
      <c r="AFO175" s="541"/>
      <c r="AFP175" s="541"/>
      <c r="AFQ175" s="541"/>
      <c r="AFR175" s="541"/>
      <c r="AFS175" s="541"/>
      <c r="AFT175" s="541"/>
      <c r="AFU175" s="541"/>
      <c r="AFV175" s="541"/>
      <c r="AFW175" s="541"/>
      <c r="AFX175" s="541"/>
      <c r="AFY175" s="541"/>
      <c r="AFZ175" s="541"/>
      <c r="AGA175" s="541"/>
      <c r="AGB175" s="541"/>
      <c r="AGC175" s="541"/>
      <c r="AGD175" s="541"/>
      <c r="AGE175" s="541"/>
      <c r="AGF175" s="541"/>
      <c r="AGG175" s="541"/>
      <c r="AGH175" s="541"/>
      <c r="AGI175" s="541"/>
      <c r="AGJ175" s="541"/>
      <c r="AGK175" s="541"/>
      <c r="AGL175" s="541"/>
      <c r="AGM175" s="541"/>
      <c r="AGN175" s="541"/>
      <c r="AGO175" s="541"/>
      <c r="AGP175" s="541"/>
      <c r="AGQ175" s="541"/>
      <c r="AGR175" s="541"/>
      <c r="AGS175" s="541"/>
      <c r="AGT175" s="541"/>
      <c r="AGU175" s="541"/>
      <c r="AGV175" s="541"/>
      <c r="AGW175" s="541"/>
      <c r="AGX175" s="541"/>
      <c r="AGY175" s="541"/>
      <c r="AGZ175" s="541"/>
      <c r="AHA175" s="541"/>
      <c r="AHB175" s="541"/>
      <c r="AHC175" s="541"/>
      <c r="AHD175" s="541"/>
      <c r="AHE175" s="541"/>
      <c r="AHF175" s="541"/>
      <c r="AHG175" s="541"/>
      <c r="AHH175" s="541"/>
      <c r="AHI175" s="541"/>
      <c r="AHJ175" s="541"/>
      <c r="AHK175" s="541"/>
      <c r="AHL175" s="541"/>
      <c r="AHM175" s="541"/>
      <c r="AHN175" s="541"/>
      <c r="AHO175" s="541"/>
      <c r="AHP175" s="541"/>
      <c r="AHQ175" s="541"/>
      <c r="AHR175" s="541"/>
      <c r="AHS175" s="541"/>
      <c r="AHT175" s="541"/>
      <c r="AHU175" s="541"/>
      <c r="AHV175" s="541"/>
      <c r="AHW175" s="541"/>
      <c r="AHX175" s="541"/>
      <c r="AHY175" s="541"/>
      <c r="AHZ175" s="541"/>
      <c r="AIA175" s="541"/>
      <c r="AIB175" s="541"/>
      <c r="AIC175" s="541"/>
      <c r="AID175" s="541"/>
      <c r="AIE175" s="541"/>
      <c r="AIF175" s="541"/>
      <c r="AIG175" s="541"/>
      <c r="AIH175" s="541"/>
      <c r="AII175" s="541"/>
      <c r="AIJ175" s="541"/>
      <c r="AIK175" s="541"/>
      <c r="AIL175" s="541"/>
      <c r="AIM175" s="541"/>
      <c r="AIN175" s="541"/>
      <c r="AIO175" s="541"/>
      <c r="AIP175" s="541"/>
      <c r="AIQ175" s="541"/>
      <c r="AIR175" s="541"/>
      <c r="AIS175" s="541"/>
      <c r="AIT175" s="541"/>
      <c r="AIU175" s="541"/>
      <c r="AIV175" s="541"/>
      <c r="AIW175" s="541"/>
      <c r="AIX175" s="541"/>
      <c r="AIY175" s="541"/>
      <c r="AIZ175" s="541"/>
      <c r="AJA175" s="541"/>
      <c r="AJB175" s="541"/>
      <c r="AJC175" s="541"/>
      <c r="AJD175" s="541"/>
      <c r="AJE175" s="541"/>
      <c r="AJF175" s="541"/>
      <c r="AJG175" s="541"/>
      <c r="AJH175" s="541"/>
      <c r="AJI175" s="541"/>
      <c r="AJJ175" s="541"/>
      <c r="AJK175" s="541"/>
      <c r="AJL175" s="541"/>
      <c r="AJM175" s="541"/>
      <c r="AJN175" s="541"/>
      <c r="AJO175" s="541"/>
      <c r="AJP175" s="541"/>
      <c r="AJQ175" s="541"/>
      <c r="AJR175" s="541"/>
      <c r="AJS175" s="541"/>
      <c r="AJT175" s="541"/>
      <c r="AJU175" s="541"/>
      <c r="AJV175" s="541"/>
      <c r="AJW175" s="541"/>
      <c r="AJX175" s="541"/>
      <c r="AJY175" s="541"/>
      <c r="AJZ175" s="541"/>
      <c r="AKA175" s="541"/>
      <c r="AKB175" s="541"/>
      <c r="AKC175" s="541"/>
      <c r="AKD175" s="541"/>
      <c r="AKE175" s="541"/>
      <c r="AKF175" s="541"/>
      <c r="AKG175" s="541"/>
      <c r="AKH175" s="541"/>
      <c r="AKI175" s="541"/>
      <c r="AKJ175" s="541"/>
      <c r="AKK175" s="541"/>
      <c r="AKL175" s="541"/>
      <c r="AKM175" s="541"/>
      <c r="AKN175" s="541"/>
      <c r="AKO175" s="541"/>
      <c r="AKP175" s="541"/>
      <c r="AKQ175" s="541"/>
      <c r="AKR175" s="541"/>
      <c r="AKS175" s="541"/>
      <c r="AKT175" s="541"/>
      <c r="AKU175" s="541"/>
      <c r="AKV175" s="541"/>
      <c r="AKW175" s="541"/>
      <c r="AKX175" s="541"/>
      <c r="AKY175" s="541"/>
      <c r="AKZ175" s="541"/>
      <c r="ALA175" s="541"/>
      <c r="ALB175" s="541"/>
      <c r="ALC175" s="541"/>
      <c r="ALD175" s="541"/>
      <c r="ALE175" s="541"/>
      <c r="ALF175" s="541"/>
      <c r="ALG175" s="541"/>
      <c r="ALH175" s="541"/>
      <c r="ALI175" s="541"/>
      <c r="ALJ175" s="541"/>
      <c r="ALK175" s="541"/>
      <c r="ALL175" s="541"/>
      <c r="ALM175" s="541"/>
      <c r="ALN175" s="541"/>
      <c r="ALO175" s="541"/>
      <c r="ALP175" s="541"/>
      <c r="ALQ175" s="541"/>
      <c r="ALR175" s="541"/>
      <c r="ALS175" s="541"/>
      <c r="ALT175" s="541"/>
      <c r="ALU175" s="541"/>
      <c r="ALV175" s="541"/>
      <c r="ALW175" s="541"/>
      <c r="ALX175" s="541"/>
      <c r="ALY175" s="541"/>
      <c r="ALZ175" s="541"/>
      <c r="AMA175" s="541"/>
      <c r="AMB175" s="541"/>
      <c r="AMC175" s="541"/>
      <c r="AMD175" s="541"/>
      <c r="AME175" s="541"/>
      <c r="AMF175" s="541"/>
      <c r="AMG175" s="541"/>
      <c r="AMH175" s="541"/>
      <c r="AMI175" s="541"/>
      <c r="AMJ175" s="541"/>
      <c r="AMK175" s="541"/>
      <c r="AML175" s="541"/>
      <c r="AMM175" s="541"/>
      <c r="AMN175" s="541"/>
      <c r="AMO175" s="541"/>
      <c r="AMP175" s="541"/>
      <c r="AMQ175" s="541"/>
      <c r="AMR175" s="541"/>
      <c r="AMS175" s="541"/>
      <c r="AMT175" s="541"/>
      <c r="AMU175" s="541"/>
      <c r="AMV175" s="541"/>
      <c r="AMW175" s="541"/>
      <c r="AMX175" s="541"/>
      <c r="AMY175" s="541"/>
      <c r="AMZ175" s="541"/>
      <c r="ANA175" s="541"/>
      <c r="ANB175" s="541"/>
      <c r="ANC175" s="541"/>
      <c r="AND175" s="541"/>
      <c r="ANE175" s="541"/>
      <c r="ANF175" s="541"/>
      <c r="ANG175" s="541"/>
      <c r="ANH175" s="541"/>
      <c r="ANI175" s="541"/>
      <c r="ANJ175" s="541"/>
      <c r="ANK175" s="541"/>
      <c r="ANL175" s="541"/>
      <c r="ANM175" s="541"/>
      <c r="ANN175" s="541"/>
      <c r="ANO175" s="541"/>
      <c r="ANP175" s="541"/>
      <c r="ANQ175" s="541"/>
      <c r="ANR175" s="541"/>
      <c r="ANS175" s="541"/>
      <c r="ANT175" s="541"/>
      <c r="ANU175" s="541"/>
      <c r="ANV175" s="541"/>
      <c r="ANW175" s="541"/>
      <c r="ANX175" s="541"/>
      <c r="ANY175" s="541"/>
      <c r="ANZ175" s="541"/>
      <c r="AOA175" s="541"/>
      <c r="AOB175" s="541"/>
      <c r="AOC175" s="541"/>
      <c r="AOD175" s="541"/>
      <c r="AOE175" s="541"/>
      <c r="AOF175" s="541"/>
      <c r="AOG175" s="541"/>
      <c r="AOH175" s="541"/>
      <c r="AOI175" s="541"/>
      <c r="AOJ175" s="541"/>
      <c r="AOK175" s="541"/>
      <c r="AOL175" s="541"/>
      <c r="AOM175" s="541"/>
      <c r="AON175" s="541"/>
      <c r="AOO175" s="541"/>
      <c r="AOP175" s="541"/>
      <c r="AOQ175" s="541"/>
      <c r="AOR175" s="541"/>
      <c r="AOS175" s="541"/>
      <c r="AOT175" s="541"/>
      <c r="AOU175" s="541"/>
      <c r="AOV175" s="541"/>
      <c r="AOW175" s="541"/>
      <c r="AOX175" s="541"/>
      <c r="AOY175" s="541"/>
      <c r="AOZ175" s="541"/>
      <c r="APA175" s="541"/>
      <c r="APB175" s="541"/>
      <c r="APC175" s="541"/>
      <c r="APD175" s="541"/>
      <c r="APE175" s="541"/>
      <c r="APF175" s="541"/>
      <c r="APG175" s="541"/>
      <c r="APH175" s="541"/>
      <c r="API175" s="541"/>
      <c r="APJ175" s="541"/>
      <c r="APK175" s="541"/>
      <c r="APL175" s="541"/>
      <c r="APM175" s="541"/>
      <c r="APN175" s="541"/>
      <c r="APO175" s="541"/>
      <c r="APP175" s="541"/>
      <c r="APQ175" s="541"/>
      <c r="APR175" s="541"/>
      <c r="APS175" s="541"/>
      <c r="APT175" s="541"/>
      <c r="APU175" s="541"/>
      <c r="APV175" s="541"/>
      <c r="APW175" s="541"/>
      <c r="APX175" s="541"/>
      <c r="APY175" s="541"/>
      <c r="APZ175" s="541"/>
      <c r="AQA175" s="541"/>
      <c r="AQB175" s="541"/>
      <c r="AQC175" s="541"/>
      <c r="AQD175" s="541"/>
      <c r="AQE175" s="541"/>
      <c r="AQF175" s="541"/>
      <c r="AQG175" s="541"/>
      <c r="AQH175" s="541"/>
      <c r="AQI175" s="541"/>
      <c r="AQJ175" s="541"/>
      <c r="AQK175" s="541"/>
      <c r="AQL175" s="541"/>
      <c r="AQM175" s="541"/>
      <c r="AQN175" s="541"/>
      <c r="AQO175" s="541"/>
      <c r="AQP175" s="541"/>
      <c r="AQQ175" s="541"/>
      <c r="AQR175" s="541"/>
      <c r="AQS175" s="541"/>
      <c r="AQT175" s="541"/>
      <c r="AQU175" s="541"/>
      <c r="AQV175" s="541"/>
      <c r="AQW175" s="541"/>
      <c r="AQX175" s="541"/>
      <c r="AQY175" s="541"/>
      <c r="AQZ175" s="541"/>
      <c r="ARA175" s="541"/>
      <c r="ARB175" s="541"/>
      <c r="ARC175" s="541"/>
      <c r="ARD175" s="541"/>
      <c r="ARE175" s="541"/>
      <c r="ARF175" s="541"/>
      <c r="ARG175" s="541"/>
      <c r="ARH175" s="541"/>
      <c r="ARI175" s="541"/>
      <c r="ARJ175" s="541"/>
      <c r="ARK175" s="541"/>
      <c r="ARL175" s="541"/>
      <c r="ARM175" s="541"/>
      <c r="ARN175" s="541"/>
      <c r="ARO175" s="541"/>
      <c r="ARP175" s="541"/>
      <c r="ARQ175" s="541"/>
      <c r="ARR175" s="541"/>
      <c r="ARS175" s="541"/>
      <c r="ART175" s="541"/>
      <c r="ARU175" s="541"/>
    </row>
    <row r="176" spans="1:1165" s="658" customFormat="1">
      <c r="A176" s="613" t="s">
        <v>345</v>
      </c>
      <c r="B176" s="578" t="s">
        <v>110</v>
      </c>
      <c r="C176" s="598">
        <v>0</v>
      </c>
      <c r="D176" s="598">
        <v>0</v>
      </c>
      <c r="E176" s="598">
        <v>0</v>
      </c>
      <c r="F176" s="598">
        <v>0</v>
      </c>
      <c r="G176" s="598">
        <v>0</v>
      </c>
      <c r="H176" s="598">
        <v>0</v>
      </c>
      <c r="I176" s="598">
        <v>0</v>
      </c>
      <c r="J176" s="598">
        <v>0</v>
      </c>
      <c r="K176" s="598">
        <v>0</v>
      </c>
      <c r="L176" s="598">
        <v>0</v>
      </c>
      <c r="M176" s="598">
        <v>0</v>
      </c>
      <c r="N176" s="598">
        <v>0</v>
      </c>
      <c r="O176" s="598">
        <v>0</v>
      </c>
      <c r="P176" s="598">
        <v>0</v>
      </c>
      <c r="Q176" s="598">
        <v>0</v>
      </c>
      <c r="R176" s="598">
        <v>0</v>
      </c>
      <c r="S176" s="598">
        <v>0</v>
      </c>
      <c r="T176" s="598">
        <v>0</v>
      </c>
      <c r="U176" s="598">
        <v>0</v>
      </c>
      <c r="V176" s="598">
        <v>0</v>
      </c>
      <c r="W176" s="598">
        <v>724675</v>
      </c>
      <c r="X176" s="598">
        <v>113427505</v>
      </c>
      <c r="Y176" s="598">
        <v>2945027.3076923075</v>
      </c>
      <c r="Z176" s="598">
        <v>508103078</v>
      </c>
      <c r="AA176" s="598">
        <v>3938443.6153846155</v>
      </c>
      <c r="AB176" s="598">
        <v>957953276</v>
      </c>
      <c r="AC176" s="598">
        <v>4570048.634615385</v>
      </c>
      <c r="AD176" s="598">
        <v>966473640</v>
      </c>
      <c r="AE176" s="598">
        <v>5091341.923076923</v>
      </c>
      <c r="AF176" s="598">
        <v>997875786</v>
      </c>
      <c r="AG176" s="598">
        <v>6445317.692307692</v>
      </c>
      <c r="AH176" s="598">
        <v>1431962934</v>
      </c>
      <c r="AI176" s="598">
        <v>7218118.519230769</v>
      </c>
      <c r="AJ176" s="598">
        <v>1827784494</v>
      </c>
      <c r="AK176" s="661">
        <v>7265855</v>
      </c>
      <c r="AL176" s="661">
        <v>1789397826</v>
      </c>
      <c r="AM176" s="662">
        <v>7252140</v>
      </c>
      <c r="AN176" s="662">
        <v>2037600251</v>
      </c>
      <c r="AO176" s="579">
        <v>7460694.230769231</v>
      </c>
      <c r="AP176" s="579">
        <v>2044370517</v>
      </c>
      <c r="AQ176" s="579">
        <v>7449647.192307692</v>
      </c>
      <c r="AR176" s="579">
        <v>1934438941</v>
      </c>
      <c r="AS176" s="579">
        <v>7415618.076923077</v>
      </c>
      <c r="AT176" s="579">
        <v>2986974950</v>
      </c>
      <c r="AU176" s="619">
        <v>7491659.538461538</v>
      </c>
      <c r="AV176" s="619">
        <v>3482872967</v>
      </c>
      <c r="AW176" s="598">
        <v>7372240.615384615</v>
      </c>
      <c r="AX176" s="598">
        <v>2974400068</v>
      </c>
      <c r="AY176" s="598">
        <v>7851384.692307692</v>
      </c>
      <c r="AZ176" s="598">
        <v>2874614163</v>
      </c>
      <c r="BA176" s="664"/>
      <c r="BB176" s="581"/>
      <c r="BC176" s="581"/>
      <c r="BD176" s="581"/>
      <c r="BE176" s="581"/>
      <c r="BF176" s="598"/>
      <c r="BG176" s="598"/>
      <c r="BH176" s="598"/>
      <c r="BI176" s="664"/>
      <c r="BJ176" s="581">
        <f t="shared" si="25"/>
        <v>90492212.038461536</v>
      </c>
      <c r="BK176" s="651">
        <f t="shared" si="26"/>
        <v>26928250396</v>
      </c>
      <c r="BL176" s="541"/>
      <c r="BM176" s="624"/>
      <c r="BN176" s="541"/>
      <c r="BO176" s="624"/>
      <c r="BP176" s="624"/>
      <c r="BQ176" s="541"/>
      <c r="BR176" s="541"/>
      <c r="BS176" s="541"/>
      <c r="BT176" s="541"/>
      <c r="BU176" s="541"/>
      <c r="BV176" s="541"/>
      <c r="BW176" s="541"/>
      <c r="BX176" s="541"/>
      <c r="BY176" s="541"/>
      <c r="BZ176" s="541"/>
      <c r="CA176" s="541"/>
      <c r="CB176" s="541"/>
      <c r="CC176" s="541"/>
      <c r="CD176" s="541"/>
      <c r="CE176" s="541"/>
      <c r="CF176" s="541"/>
      <c r="CG176" s="541"/>
      <c r="CH176" s="541"/>
      <c r="CI176" s="541"/>
      <c r="CJ176" s="541"/>
      <c r="CK176" s="541"/>
      <c r="CL176" s="541"/>
      <c r="CM176" s="541"/>
      <c r="CN176" s="541"/>
      <c r="CO176" s="541"/>
      <c r="CP176" s="541"/>
      <c r="CQ176" s="541"/>
      <c r="CR176" s="541"/>
      <c r="CS176" s="541"/>
      <c r="CT176" s="541"/>
      <c r="CU176" s="541"/>
      <c r="CV176" s="541"/>
      <c r="CW176" s="541"/>
      <c r="CX176" s="541"/>
      <c r="CY176" s="541"/>
      <c r="CZ176" s="541"/>
      <c r="DA176" s="541"/>
      <c r="DB176" s="541"/>
      <c r="DC176" s="541"/>
      <c r="DD176" s="541"/>
      <c r="DE176" s="541"/>
      <c r="DF176" s="541"/>
      <c r="DG176" s="541"/>
      <c r="DH176" s="541"/>
      <c r="DI176" s="541"/>
      <c r="DJ176" s="541"/>
      <c r="DK176" s="541"/>
      <c r="DL176" s="541"/>
      <c r="DM176" s="541"/>
      <c r="DN176" s="541"/>
      <c r="DO176" s="541"/>
      <c r="DP176" s="541"/>
      <c r="DQ176" s="541"/>
      <c r="DR176" s="541"/>
      <c r="DS176" s="541"/>
      <c r="DT176" s="541"/>
      <c r="DU176" s="541"/>
      <c r="DV176" s="541"/>
      <c r="DW176" s="541"/>
      <c r="DX176" s="541"/>
      <c r="DY176" s="541"/>
      <c r="DZ176" s="541"/>
      <c r="EA176" s="541"/>
      <c r="EB176" s="541"/>
      <c r="EC176" s="541"/>
      <c r="ED176" s="541"/>
      <c r="EE176" s="541"/>
      <c r="EF176" s="541"/>
      <c r="EG176" s="541"/>
      <c r="EH176" s="541"/>
      <c r="EI176" s="541"/>
      <c r="EJ176" s="541"/>
      <c r="EK176" s="541"/>
      <c r="EL176" s="541"/>
      <c r="EM176" s="541"/>
      <c r="EN176" s="541"/>
      <c r="EO176" s="541"/>
      <c r="EP176" s="541"/>
      <c r="EQ176" s="541"/>
      <c r="ER176" s="541"/>
      <c r="ES176" s="541"/>
      <c r="ET176" s="541"/>
      <c r="EU176" s="541"/>
      <c r="EV176" s="541"/>
      <c r="EW176" s="541"/>
      <c r="EX176" s="541"/>
      <c r="EY176" s="541"/>
      <c r="EZ176" s="541"/>
      <c r="FA176" s="541"/>
      <c r="FB176" s="541"/>
      <c r="FC176" s="541"/>
      <c r="FD176" s="541"/>
      <c r="FE176" s="541"/>
      <c r="FF176" s="541"/>
      <c r="FG176" s="541"/>
      <c r="FH176" s="541"/>
      <c r="FI176" s="541"/>
      <c r="FJ176" s="541"/>
      <c r="FK176" s="541"/>
      <c r="FL176" s="541"/>
      <c r="FM176" s="541"/>
      <c r="FN176" s="541"/>
      <c r="FO176" s="541"/>
      <c r="FP176" s="541"/>
      <c r="FQ176" s="541"/>
      <c r="FR176" s="541"/>
      <c r="FS176" s="541"/>
      <c r="FT176" s="541"/>
      <c r="FU176" s="541"/>
      <c r="FV176" s="541"/>
      <c r="FW176" s="541"/>
      <c r="FX176" s="541"/>
      <c r="FY176" s="541"/>
      <c r="FZ176" s="541"/>
      <c r="GA176" s="541"/>
      <c r="GB176" s="541"/>
      <c r="GC176" s="541"/>
      <c r="GD176" s="541"/>
      <c r="GE176" s="541"/>
      <c r="GF176" s="541"/>
      <c r="GG176" s="541"/>
      <c r="GH176" s="541"/>
      <c r="GI176" s="541"/>
      <c r="GJ176" s="541"/>
      <c r="GK176" s="541"/>
      <c r="GL176" s="541"/>
      <c r="GM176" s="541"/>
      <c r="GN176" s="541"/>
      <c r="GO176" s="541"/>
      <c r="GP176" s="541"/>
      <c r="GQ176" s="541"/>
      <c r="GR176" s="541"/>
      <c r="GS176" s="541"/>
      <c r="GT176" s="541"/>
      <c r="GU176" s="541"/>
      <c r="GV176" s="541"/>
      <c r="GW176" s="541"/>
      <c r="GX176" s="541"/>
      <c r="GY176" s="541"/>
      <c r="GZ176" s="541"/>
      <c r="HA176" s="541"/>
      <c r="HB176" s="541"/>
      <c r="HC176" s="541"/>
      <c r="HD176" s="541"/>
      <c r="HE176" s="541"/>
      <c r="HF176" s="541"/>
      <c r="HG176" s="541"/>
      <c r="HH176" s="541"/>
      <c r="HI176" s="541"/>
      <c r="HJ176" s="541"/>
      <c r="HK176" s="541"/>
      <c r="HL176" s="541"/>
      <c r="HM176" s="541"/>
      <c r="HN176" s="541"/>
      <c r="HO176" s="541"/>
      <c r="HP176" s="541"/>
      <c r="HQ176" s="541"/>
      <c r="HR176" s="541"/>
      <c r="HS176" s="541"/>
      <c r="HT176" s="541"/>
      <c r="HU176" s="541"/>
      <c r="HV176" s="541"/>
      <c r="HW176" s="541"/>
      <c r="HX176" s="541"/>
      <c r="HY176" s="541"/>
      <c r="HZ176" s="541"/>
      <c r="IA176" s="541"/>
      <c r="IB176" s="541"/>
      <c r="IC176" s="541"/>
      <c r="ID176" s="541"/>
      <c r="IE176" s="541"/>
      <c r="IF176" s="541"/>
      <c r="IG176" s="541"/>
      <c r="IH176" s="541"/>
      <c r="II176" s="541"/>
      <c r="IJ176" s="541"/>
      <c r="IK176" s="541"/>
      <c r="IL176" s="541"/>
      <c r="IM176" s="541"/>
      <c r="IN176" s="541"/>
      <c r="IO176" s="541"/>
      <c r="IP176" s="541"/>
      <c r="IQ176" s="541"/>
      <c r="IR176" s="541"/>
      <c r="IS176" s="541"/>
      <c r="IT176" s="541"/>
      <c r="IU176" s="541"/>
      <c r="IV176" s="541"/>
      <c r="IW176" s="541"/>
      <c r="IX176" s="541"/>
      <c r="IY176" s="541"/>
      <c r="IZ176" s="541"/>
      <c r="JA176" s="541"/>
      <c r="JB176" s="541"/>
      <c r="JC176" s="541"/>
      <c r="JD176" s="541"/>
      <c r="JE176" s="541"/>
      <c r="JF176" s="541"/>
      <c r="JG176" s="541"/>
      <c r="JH176" s="541"/>
      <c r="JI176" s="541"/>
      <c r="JJ176" s="541"/>
      <c r="JK176" s="541"/>
      <c r="JL176" s="541"/>
      <c r="JM176" s="541"/>
      <c r="JN176" s="541"/>
      <c r="JO176" s="541"/>
      <c r="JP176" s="541"/>
      <c r="JQ176" s="541"/>
      <c r="JR176" s="541"/>
      <c r="JS176" s="541"/>
      <c r="JT176" s="541"/>
      <c r="JU176" s="541"/>
      <c r="JV176" s="541"/>
      <c r="JW176" s="541"/>
      <c r="JX176" s="541"/>
      <c r="JY176" s="541"/>
      <c r="JZ176" s="541"/>
      <c r="KA176" s="541"/>
      <c r="KB176" s="541"/>
      <c r="KC176" s="541"/>
      <c r="KD176" s="541"/>
      <c r="KE176" s="541"/>
      <c r="KF176" s="541"/>
      <c r="KG176" s="541"/>
      <c r="KH176" s="541"/>
      <c r="KI176" s="541"/>
      <c r="KJ176" s="541"/>
      <c r="KK176" s="541"/>
      <c r="KL176" s="541"/>
      <c r="KM176" s="541"/>
      <c r="KN176" s="541"/>
      <c r="KO176" s="541"/>
      <c r="KP176" s="541"/>
      <c r="KQ176" s="541"/>
      <c r="KR176" s="541"/>
      <c r="KS176" s="541"/>
      <c r="KT176" s="541"/>
      <c r="KU176" s="541"/>
      <c r="KV176" s="541"/>
      <c r="KW176" s="541"/>
      <c r="KX176" s="541"/>
      <c r="KY176" s="541"/>
      <c r="KZ176" s="541"/>
      <c r="LA176" s="541"/>
      <c r="LB176" s="541"/>
      <c r="LC176" s="541"/>
      <c r="LD176" s="541"/>
      <c r="LE176" s="541"/>
      <c r="LF176" s="541"/>
      <c r="LG176" s="541"/>
      <c r="LH176" s="541"/>
      <c r="LI176" s="541"/>
      <c r="LJ176" s="541"/>
      <c r="LK176" s="541"/>
      <c r="LL176" s="541"/>
      <c r="LM176" s="541"/>
      <c r="LN176" s="541"/>
      <c r="LO176" s="541"/>
      <c r="LP176" s="541"/>
      <c r="LQ176" s="541"/>
      <c r="LR176" s="541"/>
      <c r="LS176" s="541"/>
      <c r="LT176" s="541"/>
      <c r="LU176" s="541"/>
      <c r="LV176" s="541"/>
      <c r="LW176" s="541"/>
      <c r="LX176" s="541"/>
      <c r="LY176" s="541"/>
      <c r="LZ176" s="541"/>
      <c r="MA176" s="541"/>
      <c r="MB176" s="541"/>
      <c r="MC176" s="541"/>
      <c r="MD176" s="541"/>
      <c r="ME176" s="541"/>
      <c r="MF176" s="541"/>
      <c r="MG176" s="541"/>
      <c r="MH176" s="541"/>
      <c r="MI176" s="541"/>
      <c r="MJ176" s="541"/>
      <c r="MK176" s="541"/>
      <c r="ML176" s="541"/>
      <c r="MM176" s="541"/>
      <c r="MN176" s="541"/>
      <c r="MO176" s="541"/>
      <c r="MP176" s="541"/>
      <c r="MQ176" s="541"/>
      <c r="MR176" s="541"/>
      <c r="MS176" s="541"/>
      <c r="MT176" s="541"/>
      <c r="MU176" s="541"/>
      <c r="MV176" s="541"/>
      <c r="MW176" s="541"/>
      <c r="MX176" s="541"/>
      <c r="MY176" s="541"/>
      <c r="MZ176" s="541"/>
      <c r="NA176" s="541"/>
      <c r="NB176" s="541"/>
      <c r="NC176" s="541"/>
      <c r="ND176" s="541"/>
      <c r="NE176" s="541"/>
      <c r="NF176" s="541"/>
      <c r="NG176" s="541"/>
      <c r="NH176" s="541"/>
      <c r="NI176" s="541"/>
      <c r="NJ176" s="541"/>
      <c r="NK176" s="541"/>
      <c r="NL176" s="541"/>
      <c r="NM176" s="541"/>
      <c r="NN176" s="541"/>
      <c r="NO176" s="541"/>
      <c r="NP176" s="541"/>
      <c r="NQ176" s="541"/>
      <c r="NR176" s="541"/>
      <c r="NS176" s="541"/>
      <c r="NT176" s="541"/>
      <c r="NU176" s="541"/>
      <c r="NV176" s="541"/>
      <c r="NW176" s="541"/>
      <c r="NX176" s="541"/>
      <c r="NY176" s="541"/>
      <c r="NZ176" s="541"/>
      <c r="OA176" s="541"/>
      <c r="OB176" s="541"/>
      <c r="OC176" s="541"/>
      <c r="OD176" s="541"/>
      <c r="OE176" s="541"/>
      <c r="OF176" s="541"/>
      <c r="OG176" s="541"/>
      <c r="OH176" s="541"/>
      <c r="OI176" s="541"/>
      <c r="OJ176" s="541"/>
      <c r="OK176" s="541"/>
      <c r="OL176" s="541"/>
      <c r="OM176" s="541"/>
      <c r="ON176" s="541"/>
      <c r="OO176" s="541"/>
      <c r="OP176" s="541"/>
      <c r="OQ176" s="541"/>
      <c r="OR176" s="541"/>
      <c r="OS176" s="541"/>
      <c r="OT176" s="541"/>
      <c r="OU176" s="541"/>
      <c r="OV176" s="541"/>
      <c r="OW176" s="541"/>
      <c r="OX176" s="541"/>
      <c r="OY176" s="541"/>
      <c r="OZ176" s="541"/>
      <c r="PA176" s="541"/>
      <c r="PB176" s="541"/>
      <c r="PC176" s="541"/>
      <c r="PD176" s="541"/>
      <c r="PE176" s="541"/>
      <c r="PF176" s="541"/>
      <c r="PG176" s="541"/>
      <c r="PH176" s="541"/>
      <c r="PI176" s="541"/>
      <c r="PJ176" s="541"/>
      <c r="PK176" s="541"/>
      <c r="PL176" s="541"/>
      <c r="PM176" s="541"/>
      <c r="PN176" s="541"/>
      <c r="PO176" s="541"/>
      <c r="PP176" s="541"/>
      <c r="PQ176" s="541"/>
      <c r="PR176" s="541"/>
      <c r="PS176" s="541"/>
      <c r="PT176" s="541"/>
      <c r="PU176" s="541"/>
      <c r="PV176" s="541"/>
      <c r="PW176" s="541"/>
      <c r="PX176" s="541"/>
      <c r="PY176" s="541"/>
      <c r="PZ176" s="541"/>
      <c r="QA176" s="541"/>
      <c r="QB176" s="541"/>
      <c r="QC176" s="541"/>
      <c r="QD176" s="541"/>
      <c r="QE176" s="541"/>
      <c r="QF176" s="541"/>
      <c r="QG176" s="541"/>
      <c r="QH176" s="541"/>
      <c r="QI176" s="541"/>
      <c r="QJ176" s="541"/>
      <c r="QK176" s="541"/>
      <c r="QL176" s="541"/>
      <c r="QM176" s="541"/>
      <c r="QN176" s="541"/>
      <c r="QO176" s="541"/>
      <c r="QP176" s="541"/>
      <c r="QQ176" s="541"/>
      <c r="QR176" s="541"/>
      <c r="QS176" s="541"/>
      <c r="QT176" s="541"/>
      <c r="QU176" s="541"/>
      <c r="QV176" s="541"/>
      <c r="QW176" s="541"/>
      <c r="QX176" s="541"/>
      <c r="QY176" s="541"/>
      <c r="QZ176" s="541"/>
      <c r="RA176" s="541"/>
      <c r="RB176" s="541"/>
      <c r="RC176" s="541"/>
      <c r="RD176" s="541"/>
      <c r="RE176" s="541"/>
      <c r="RF176" s="541"/>
      <c r="RG176" s="541"/>
      <c r="RH176" s="541"/>
      <c r="RI176" s="541"/>
      <c r="RJ176" s="541"/>
      <c r="RK176" s="541"/>
      <c r="RL176" s="541"/>
      <c r="RM176" s="541"/>
      <c r="RN176" s="541"/>
      <c r="RO176" s="541"/>
      <c r="RP176" s="541"/>
      <c r="RQ176" s="541"/>
      <c r="RR176" s="541"/>
      <c r="RS176" s="541"/>
      <c r="RT176" s="541"/>
      <c r="RU176" s="541"/>
      <c r="RV176" s="541"/>
      <c r="RW176" s="541"/>
      <c r="RX176" s="541"/>
      <c r="RY176" s="541"/>
      <c r="RZ176" s="541"/>
      <c r="SA176" s="541"/>
      <c r="SB176" s="541"/>
      <c r="SC176" s="541"/>
      <c r="SD176" s="541"/>
      <c r="SE176" s="541"/>
      <c r="SF176" s="541"/>
      <c r="SG176" s="541"/>
      <c r="SH176" s="541"/>
      <c r="SI176" s="541"/>
      <c r="SJ176" s="541"/>
      <c r="SK176" s="541"/>
      <c r="SL176" s="541"/>
      <c r="SM176" s="541"/>
      <c r="SN176" s="541"/>
      <c r="SO176" s="541"/>
      <c r="SP176" s="541"/>
      <c r="SQ176" s="541"/>
      <c r="SR176" s="541"/>
      <c r="SS176" s="541"/>
      <c r="ST176" s="541"/>
      <c r="SU176" s="541"/>
      <c r="SV176" s="541"/>
      <c r="SW176" s="541"/>
      <c r="SX176" s="541"/>
      <c r="SY176" s="541"/>
      <c r="SZ176" s="541"/>
      <c r="TA176" s="541"/>
      <c r="TB176" s="541"/>
      <c r="TC176" s="541"/>
      <c r="TD176" s="541"/>
      <c r="TE176" s="541"/>
      <c r="TF176" s="541"/>
      <c r="TG176" s="541"/>
      <c r="TH176" s="541"/>
      <c r="TI176" s="541"/>
      <c r="TJ176" s="541"/>
      <c r="TK176" s="541"/>
      <c r="TL176" s="541"/>
      <c r="TM176" s="541"/>
      <c r="TN176" s="541"/>
      <c r="TO176" s="541"/>
      <c r="TP176" s="541"/>
      <c r="TQ176" s="541"/>
      <c r="TR176" s="541"/>
      <c r="TS176" s="541"/>
      <c r="TT176" s="541"/>
      <c r="TU176" s="541"/>
      <c r="TV176" s="541"/>
      <c r="TW176" s="541"/>
      <c r="TX176" s="541"/>
      <c r="TY176" s="541"/>
      <c r="TZ176" s="541"/>
      <c r="UA176" s="541"/>
      <c r="UB176" s="541"/>
      <c r="UC176" s="541"/>
      <c r="UD176" s="541"/>
      <c r="UE176" s="541"/>
      <c r="UF176" s="541"/>
      <c r="UG176" s="541"/>
      <c r="UH176" s="541"/>
      <c r="UI176" s="541"/>
      <c r="UJ176" s="541"/>
      <c r="UK176" s="541"/>
      <c r="UL176" s="541"/>
      <c r="UM176" s="541"/>
      <c r="UN176" s="541"/>
      <c r="UO176" s="541"/>
      <c r="UP176" s="541"/>
      <c r="UQ176" s="541"/>
      <c r="UR176" s="541"/>
      <c r="US176" s="541"/>
      <c r="UT176" s="541"/>
      <c r="UU176" s="541"/>
      <c r="UV176" s="541"/>
      <c r="UW176" s="541"/>
      <c r="UX176" s="541"/>
      <c r="UY176" s="541"/>
      <c r="UZ176" s="541"/>
      <c r="VA176" s="541"/>
      <c r="VB176" s="541"/>
      <c r="VC176" s="541"/>
      <c r="VD176" s="541"/>
      <c r="VE176" s="541"/>
      <c r="VF176" s="541"/>
      <c r="VG176" s="541"/>
      <c r="VH176" s="541"/>
      <c r="VI176" s="541"/>
      <c r="VJ176" s="541"/>
      <c r="VK176" s="541"/>
      <c r="VL176" s="541"/>
      <c r="VM176" s="541"/>
      <c r="VN176" s="541"/>
      <c r="VO176" s="541"/>
      <c r="VP176" s="541"/>
      <c r="VQ176" s="541"/>
      <c r="VR176" s="541"/>
      <c r="VS176" s="541"/>
      <c r="VT176" s="541"/>
      <c r="VU176" s="541"/>
      <c r="VV176" s="541"/>
      <c r="VW176" s="541"/>
      <c r="VX176" s="541"/>
      <c r="VY176" s="541"/>
      <c r="VZ176" s="541"/>
      <c r="WA176" s="541"/>
      <c r="WB176" s="541"/>
      <c r="WC176" s="541"/>
      <c r="WD176" s="541"/>
      <c r="WE176" s="541"/>
      <c r="WF176" s="541"/>
      <c r="WG176" s="541"/>
      <c r="WH176" s="541"/>
      <c r="WI176" s="541"/>
      <c r="WJ176" s="541"/>
      <c r="WK176" s="541"/>
      <c r="WL176" s="541"/>
      <c r="WM176" s="541"/>
      <c r="WN176" s="541"/>
      <c r="WO176" s="541"/>
      <c r="WP176" s="541"/>
      <c r="WQ176" s="541"/>
      <c r="WR176" s="541"/>
      <c r="WS176" s="541"/>
      <c r="WT176" s="541"/>
      <c r="WU176" s="541"/>
      <c r="WV176" s="541"/>
      <c r="WW176" s="541"/>
      <c r="WX176" s="541"/>
      <c r="WY176" s="541"/>
      <c r="WZ176" s="541"/>
      <c r="XA176" s="541"/>
      <c r="XB176" s="541"/>
      <c r="XC176" s="541"/>
      <c r="XD176" s="541"/>
      <c r="XE176" s="541"/>
      <c r="XF176" s="541"/>
      <c r="XG176" s="541"/>
      <c r="XH176" s="541"/>
      <c r="XI176" s="541"/>
      <c r="XJ176" s="541"/>
      <c r="XK176" s="541"/>
      <c r="XL176" s="541"/>
      <c r="XM176" s="541"/>
      <c r="XN176" s="541"/>
      <c r="XO176" s="541"/>
      <c r="XP176" s="541"/>
      <c r="XQ176" s="541"/>
      <c r="XR176" s="541"/>
      <c r="XS176" s="541"/>
      <c r="XT176" s="541"/>
      <c r="XU176" s="541"/>
      <c r="XV176" s="541"/>
      <c r="XW176" s="541"/>
      <c r="XX176" s="541"/>
      <c r="XY176" s="541"/>
      <c r="XZ176" s="541"/>
      <c r="YA176" s="541"/>
      <c r="YB176" s="541"/>
      <c r="YC176" s="541"/>
      <c r="YD176" s="541"/>
      <c r="YE176" s="541"/>
      <c r="YF176" s="541"/>
      <c r="YG176" s="541"/>
      <c r="YH176" s="541"/>
      <c r="YI176" s="541"/>
      <c r="YJ176" s="541"/>
      <c r="YK176" s="541"/>
      <c r="YL176" s="541"/>
      <c r="YM176" s="541"/>
      <c r="YN176" s="541"/>
      <c r="YO176" s="541"/>
      <c r="YP176" s="541"/>
      <c r="YQ176" s="541"/>
      <c r="YR176" s="541"/>
      <c r="YS176" s="541"/>
      <c r="YT176" s="541"/>
      <c r="YU176" s="541"/>
      <c r="YV176" s="541"/>
      <c r="YW176" s="541"/>
      <c r="YX176" s="541"/>
      <c r="YY176" s="541"/>
      <c r="YZ176" s="541"/>
      <c r="ZA176" s="541"/>
      <c r="ZB176" s="541"/>
      <c r="ZC176" s="541"/>
      <c r="ZD176" s="541"/>
      <c r="ZE176" s="541"/>
      <c r="ZF176" s="541"/>
      <c r="ZG176" s="541"/>
      <c r="ZH176" s="541"/>
      <c r="ZI176" s="541"/>
      <c r="ZJ176" s="541"/>
      <c r="ZK176" s="541"/>
      <c r="ZL176" s="541"/>
      <c r="ZM176" s="541"/>
      <c r="ZN176" s="541"/>
      <c r="ZO176" s="541"/>
      <c r="ZP176" s="541"/>
      <c r="ZQ176" s="541"/>
      <c r="ZR176" s="541"/>
      <c r="ZS176" s="541"/>
      <c r="ZT176" s="541"/>
      <c r="ZU176" s="541"/>
      <c r="ZV176" s="541"/>
      <c r="ZW176" s="541"/>
      <c r="ZX176" s="541"/>
      <c r="ZY176" s="541"/>
      <c r="ZZ176" s="541"/>
      <c r="AAA176" s="541"/>
      <c r="AAB176" s="541"/>
      <c r="AAC176" s="541"/>
      <c r="AAD176" s="541"/>
      <c r="AAE176" s="541"/>
      <c r="AAF176" s="541"/>
      <c r="AAG176" s="541"/>
      <c r="AAH176" s="541"/>
      <c r="AAI176" s="541"/>
      <c r="AAJ176" s="541"/>
      <c r="AAK176" s="541"/>
      <c r="AAL176" s="541"/>
      <c r="AAM176" s="541"/>
      <c r="AAN176" s="541"/>
      <c r="AAO176" s="541"/>
      <c r="AAP176" s="541"/>
      <c r="AAQ176" s="541"/>
      <c r="AAR176" s="541"/>
      <c r="AAS176" s="541"/>
      <c r="AAT176" s="541"/>
      <c r="AAU176" s="541"/>
      <c r="AAV176" s="541"/>
      <c r="AAW176" s="541"/>
      <c r="AAX176" s="541"/>
      <c r="AAY176" s="541"/>
      <c r="AAZ176" s="541"/>
      <c r="ABA176" s="541"/>
      <c r="ABB176" s="541"/>
      <c r="ABC176" s="541"/>
      <c r="ABD176" s="541"/>
      <c r="ABE176" s="541"/>
      <c r="ABF176" s="541"/>
      <c r="ABG176" s="541"/>
      <c r="ABH176" s="541"/>
      <c r="ABI176" s="541"/>
      <c r="ABJ176" s="541"/>
      <c r="ABK176" s="541"/>
      <c r="ABL176" s="541"/>
      <c r="ABM176" s="541"/>
      <c r="ABN176" s="541"/>
      <c r="ABO176" s="541"/>
      <c r="ABP176" s="541"/>
      <c r="ABQ176" s="541"/>
      <c r="ABR176" s="541"/>
      <c r="ABS176" s="541"/>
      <c r="ABT176" s="541"/>
      <c r="ABU176" s="541"/>
      <c r="ABV176" s="541"/>
      <c r="ABW176" s="541"/>
      <c r="ABX176" s="541"/>
      <c r="ABY176" s="541"/>
      <c r="ABZ176" s="541"/>
      <c r="ACA176" s="541"/>
      <c r="ACB176" s="541"/>
      <c r="ACC176" s="541"/>
      <c r="ACD176" s="541"/>
      <c r="ACE176" s="541"/>
      <c r="ACF176" s="541"/>
      <c r="ACG176" s="541"/>
      <c r="ACH176" s="541"/>
      <c r="ACI176" s="541"/>
      <c r="ACJ176" s="541"/>
      <c r="ACK176" s="541"/>
      <c r="ACL176" s="541"/>
      <c r="ACM176" s="541"/>
      <c r="ACN176" s="541"/>
      <c r="ACO176" s="541"/>
      <c r="ACP176" s="541"/>
      <c r="ACQ176" s="541"/>
      <c r="ACR176" s="541"/>
      <c r="ACS176" s="541"/>
      <c r="ACT176" s="541"/>
      <c r="ACU176" s="541"/>
      <c r="ACV176" s="541"/>
      <c r="ACW176" s="541"/>
      <c r="ACX176" s="541"/>
      <c r="ACY176" s="541"/>
      <c r="ACZ176" s="541"/>
      <c r="ADA176" s="541"/>
      <c r="ADB176" s="541"/>
      <c r="ADC176" s="541"/>
      <c r="ADD176" s="541"/>
      <c r="ADE176" s="541"/>
      <c r="ADF176" s="541"/>
      <c r="ADG176" s="541"/>
      <c r="ADH176" s="541"/>
      <c r="ADI176" s="541"/>
      <c r="ADJ176" s="541"/>
      <c r="ADK176" s="541"/>
      <c r="ADL176" s="541"/>
      <c r="ADM176" s="541"/>
      <c r="ADN176" s="541"/>
      <c r="ADO176" s="541"/>
      <c r="ADP176" s="541"/>
      <c r="ADQ176" s="541"/>
      <c r="ADR176" s="541"/>
      <c r="ADS176" s="541"/>
      <c r="ADT176" s="541"/>
      <c r="ADU176" s="541"/>
      <c r="ADV176" s="541"/>
      <c r="ADW176" s="541"/>
      <c r="ADX176" s="541"/>
      <c r="ADY176" s="541"/>
      <c r="ADZ176" s="541"/>
      <c r="AEA176" s="541"/>
      <c r="AEB176" s="541"/>
      <c r="AEC176" s="541"/>
      <c r="AED176" s="541"/>
      <c r="AEE176" s="541"/>
      <c r="AEF176" s="541"/>
      <c r="AEG176" s="541"/>
      <c r="AEH176" s="541"/>
      <c r="AEI176" s="541"/>
      <c r="AEJ176" s="541"/>
      <c r="AEK176" s="541"/>
      <c r="AEL176" s="541"/>
      <c r="AEM176" s="541"/>
      <c r="AEN176" s="541"/>
      <c r="AEO176" s="541"/>
      <c r="AEP176" s="541"/>
      <c r="AEQ176" s="541"/>
      <c r="AER176" s="541"/>
      <c r="AES176" s="541"/>
      <c r="AET176" s="541"/>
      <c r="AEU176" s="541"/>
      <c r="AEV176" s="541"/>
      <c r="AEW176" s="541"/>
      <c r="AEX176" s="541"/>
      <c r="AEY176" s="541"/>
      <c r="AEZ176" s="541"/>
      <c r="AFA176" s="541"/>
      <c r="AFB176" s="541"/>
      <c r="AFC176" s="541"/>
      <c r="AFD176" s="541"/>
      <c r="AFE176" s="541"/>
      <c r="AFF176" s="541"/>
      <c r="AFG176" s="541"/>
      <c r="AFH176" s="541"/>
      <c r="AFI176" s="541"/>
      <c r="AFJ176" s="541"/>
      <c r="AFK176" s="541"/>
      <c r="AFL176" s="541"/>
      <c r="AFM176" s="541"/>
      <c r="AFN176" s="541"/>
      <c r="AFO176" s="541"/>
      <c r="AFP176" s="541"/>
      <c r="AFQ176" s="541"/>
      <c r="AFR176" s="541"/>
      <c r="AFS176" s="541"/>
      <c r="AFT176" s="541"/>
      <c r="AFU176" s="541"/>
      <c r="AFV176" s="541"/>
      <c r="AFW176" s="541"/>
      <c r="AFX176" s="541"/>
      <c r="AFY176" s="541"/>
      <c r="AFZ176" s="541"/>
      <c r="AGA176" s="541"/>
      <c r="AGB176" s="541"/>
      <c r="AGC176" s="541"/>
      <c r="AGD176" s="541"/>
      <c r="AGE176" s="541"/>
      <c r="AGF176" s="541"/>
      <c r="AGG176" s="541"/>
      <c r="AGH176" s="541"/>
      <c r="AGI176" s="541"/>
      <c r="AGJ176" s="541"/>
      <c r="AGK176" s="541"/>
      <c r="AGL176" s="541"/>
      <c r="AGM176" s="541"/>
      <c r="AGN176" s="541"/>
      <c r="AGO176" s="541"/>
      <c r="AGP176" s="541"/>
      <c r="AGQ176" s="541"/>
      <c r="AGR176" s="541"/>
      <c r="AGS176" s="541"/>
      <c r="AGT176" s="541"/>
      <c r="AGU176" s="541"/>
      <c r="AGV176" s="541"/>
      <c r="AGW176" s="541"/>
      <c r="AGX176" s="541"/>
      <c r="AGY176" s="541"/>
      <c r="AGZ176" s="541"/>
      <c r="AHA176" s="541"/>
      <c r="AHB176" s="541"/>
      <c r="AHC176" s="541"/>
      <c r="AHD176" s="541"/>
      <c r="AHE176" s="541"/>
      <c r="AHF176" s="541"/>
      <c r="AHG176" s="541"/>
      <c r="AHH176" s="541"/>
      <c r="AHI176" s="541"/>
      <c r="AHJ176" s="541"/>
      <c r="AHK176" s="541"/>
      <c r="AHL176" s="541"/>
      <c r="AHM176" s="541"/>
      <c r="AHN176" s="541"/>
      <c r="AHO176" s="541"/>
      <c r="AHP176" s="541"/>
      <c r="AHQ176" s="541"/>
      <c r="AHR176" s="541"/>
      <c r="AHS176" s="541"/>
      <c r="AHT176" s="541"/>
      <c r="AHU176" s="541"/>
      <c r="AHV176" s="541"/>
      <c r="AHW176" s="541"/>
      <c r="AHX176" s="541"/>
      <c r="AHY176" s="541"/>
      <c r="AHZ176" s="541"/>
      <c r="AIA176" s="541"/>
      <c r="AIB176" s="541"/>
      <c r="AIC176" s="541"/>
      <c r="AID176" s="541"/>
      <c r="AIE176" s="541"/>
      <c r="AIF176" s="541"/>
      <c r="AIG176" s="541"/>
      <c r="AIH176" s="541"/>
      <c r="AII176" s="541"/>
      <c r="AIJ176" s="541"/>
      <c r="AIK176" s="541"/>
      <c r="AIL176" s="541"/>
      <c r="AIM176" s="541"/>
      <c r="AIN176" s="541"/>
      <c r="AIO176" s="541"/>
      <c r="AIP176" s="541"/>
      <c r="AIQ176" s="541"/>
      <c r="AIR176" s="541"/>
      <c r="AIS176" s="541"/>
      <c r="AIT176" s="541"/>
      <c r="AIU176" s="541"/>
      <c r="AIV176" s="541"/>
      <c r="AIW176" s="541"/>
      <c r="AIX176" s="541"/>
      <c r="AIY176" s="541"/>
      <c r="AIZ176" s="541"/>
      <c r="AJA176" s="541"/>
      <c r="AJB176" s="541"/>
      <c r="AJC176" s="541"/>
      <c r="AJD176" s="541"/>
      <c r="AJE176" s="541"/>
      <c r="AJF176" s="541"/>
      <c r="AJG176" s="541"/>
      <c r="AJH176" s="541"/>
      <c r="AJI176" s="541"/>
      <c r="AJJ176" s="541"/>
      <c r="AJK176" s="541"/>
      <c r="AJL176" s="541"/>
      <c r="AJM176" s="541"/>
      <c r="AJN176" s="541"/>
      <c r="AJO176" s="541"/>
      <c r="AJP176" s="541"/>
      <c r="AJQ176" s="541"/>
      <c r="AJR176" s="541"/>
      <c r="AJS176" s="541"/>
      <c r="AJT176" s="541"/>
      <c r="AJU176" s="541"/>
      <c r="AJV176" s="541"/>
      <c r="AJW176" s="541"/>
      <c r="AJX176" s="541"/>
      <c r="AJY176" s="541"/>
      <c r="AJZ176" s="541"/>
      <c r="AKA176" s="541"/>
      <c r="AKB176" s="541"/>
      <c r="AKC176" s="541"/>
      <c r="AKD176" s="541"/>
      <c r="AKE176" s="541"/>
      <c r="AKF176" s="541"/>
      <c r="AKG176" s="541"/>
      <c r="AKH176" s="541"/>
      <c r="AKI176" s="541"/>
      <c r="AKJ176" s="541"/>
      <c r="AKK176" s="541"/>
      <c r="AKL176" s="541"/>
      <c r="AKM176" s="541"/>
      <c r="AKN176" s="541"/>
      <c r="AKO176" s="541"/>
      <c r="AKP176" s="541"/>
      <c r="AKQ176" s="541"/>
      <c r="AKR176" s="541"/>
      <c r="AKS176" s="541"/>
      <c r="AKT176" s="541"/>
      <c r="AKU176" s="541"/>
      <c r="AKV176" s="541"/>
      <c r="AKW176" s="541"/>
      <c r="AKX176" s="541"/>
      <c r="AKY176" s="541"/>
      <c r="AKZ176" s="541"/>
      <c r="ALA176" s="541"/>
      <c r="ALB176" s="541"/>
      <c r="ALC176" s="541"/>
      <c r="ALD176" s="541"/>
      <c r="ALE176" s="541"/>
      <c r="ALF176" s="541"/>
      <c r="ALG176" s="541"/>
      <c r="ALH176" s="541"/>
      <c r="ALI176" s="541"/>
      <c r="ALJ176" s="541"/>
      <c r="ALK176" s="541"/>
      <c r="ALL176" s="541"/>
      <c r="ALM176" s="541"/>
      <c r="ALN176" s="541"/>
      <c r="ALO176" s="541"/>
      <c r="ALP176" s="541"/>
      <c r="ALQ176" s="541"/>
      <c r="ALR176" s="541"/>
      <c r="ALS176" s="541"/>
      <c r="ALT176" s="541"/>
      <c r="ALU176" s="541"/>
      <c r="ALV176" s="541"/>
      <c r="ALW176" s="541"/>
      <c r="ALX176" s="541"/>
      <c r="ALY176" s="541"/>
      <c r="ALZ176" s="541"/>
      <c r="AMA176" s="541"/>
      <c r="AMB176" s="541"/>
      <c r="AMC176" s="541"/>
      <c r="AMD176" s="541"/>
      <c r="AME176" s="541"/>
      <c r="AMF176" s="541"/>
      <c r="AMG176" s="541"/>
      <c r="AMH176" s="541"/>
      <c r="AMI176" s="541"/>
      <c r="AMJ176" s="541"/>
      <c r="AMK176" s="541"/>
      <c r="AML176" s="541"/>
      <c r="AMM176" s="541"/>
      <c r="AMN176" s="541"/>
      <c r="AMO176" s="541"/>
      <c r="AMP176" s="541"/>
      <c r="AMQ176" s="541"/>
      <c r="AMR176" s="541"/>
      <c r="AMS176" s="541"/>
      <c r="AMT176" s="541"/>
      <c r="AMU176" s="541"/>
      <c r="AMV176" s="541"/>
      <c r="AMW176" s="541"/>
      <c r="AMX176" s="541"/>
      <c r="AMY176" s="541"/>
      <c r="AMZ176" s="541"/>
      <c r="ANA176" s="541"/>
      <c r="ANB176" s="541"/>
      <c r="ANC176" s="541"/>
      <c r="AND176" s="541"/>
      <c r="ANE176" s="541"/>
      <c r="ANF176" s="541"/>
      <c r="ANG176" s="541"/>
      <c r="ANH176" s="541"/>
      <c r="ANI176" s="541"/>
      <c r="ANJ176" s="541"/>
      <c r="ANK176" s="541"/>
      <c r="ANL176" s="541"/>
      <c r="ANM176" s="541"/>
      <c r="ANN176" s="541"/>
      <c r="ANO176" s="541"/>
      <c r="ANP176" s="541"/>
      <c r="ANQ176" s="541"/>
      <c r="ANR176" s="541"/>
      <c r="ANS176" s="541"/>
      <c r="ANT176" s="541"/>
      <c r="ANU176" s="541"/>
      <c r="ANV176" s="541"/>
      <c r="ANW176" s="541"/>
      <c r="ANX176" s="541"/>
      <c r="ANY176" s="541"/>
      <c r="ANZ176" s="541"/>
      <c r="AOA176" s="541"/>
      <c r="AOB176" s="541"/>
      <c r="AOC176" s="541"/>
      <c r="AOD176" s="541"/>
      <c r="AOE176" s="541"/>
      <c r="AOF176" s="541"/>
      <c r="AOG176" s="541"/>
      <c r="AOH176" s="541"/>
      <c r="AOI176" s="541"/>
      <c r="AOJ176" s="541"/>
      <c r="AOK176" s="541"/>
      <c r="AOL176" s="541"/>
      <c r="AOM176" s="541"/>
      <c r="AON176" s="541"/>
      <c r="AOO176" s="541"/>
      <c r="AOP176" s="541"/>
      <c r="AOQ176" s="541"/>
      <c r="AOR176" s="541"/>
      <c r="AOS176" s="541"/>
      <c r="AOT176" s="541"/>
      <c r="AOU176" s="541"/>
      <c r="AOV176" s="541"/>
      <c r="AOW176" s="541"/>
      <c r="AOX176" s="541"/>
      <c r="AOY176" s="541"/>
      <c r="AOZ176" s="541"/>
      <c r="APA176" s="541"/>
      <c r="APB176" s="541"/>
      <c r="APC176" s="541"/>
      <c r="APD176" s="541"/>
      <c r="APE176" s="541"/>
      <c r="APF176" s="541"/>
      <c r="APG176" s="541"/>
      <c r="APH176" s="541"/>
      <c r="API176" s="541"/>
      <c r="APJ176" s="541"/>
      <c r="APK176" s="541"/>
      <c r="APL176" s="541"/>
      <c r="APM176" s="541"/>
      <c r="APN176" s="541"/>
      <c r="APO176" s="541"/>
      <c r="APP176" s="541"/>
      <c r="APQ176" s="541"/>
      <c r="APR176" s="541"/>
      <c r="APS176" s="541"/>
      <c r="APT176" s="541"/>
      <c r="APU176" s="541"/>
      <c r="APV176" s="541"/>
      <c r="APW176" s="541"/>
      <c r="APX176" s="541"/>
      <c r="APY176" s="541"/>
      <c r="APZ176" s="541"/>
      <c r="AQA176" s="541"/>
      <c r="AQB176" s="541"/>
      <c r="AQC176" s="541"/>
      <c r="AQD176" s="541"/>
      <c r="AQE176" s="541"/>
      <c r="AQF176" s="541"/>
      <c r="AQG176" s="541"/>
      <c r="AQH176" s="541"/>
      <c r="AQI176" s="541"/>
      <c r="AQJ176" s="541"/>
      <c r="AQK176" s="541"/>
      <c r="AQL176" s="541"/>
      <c r="AQM176" s="541"/>
      <c r="AQN176" s="541"/>
      <c r="AQO176" s="541"/>
      <c r="AQP176" s="541"/>
      <c r="AQQ176" s="541"/>
      <c r="AQR176" s="541"/>
      <c r="AQS176" s="541"/>
      <c r="AQT176" s="541"/>
      <c r="AQU176" s="541"/>
      <c r="AQV176" s="541"/>
      <c r="AQW176" s="541"/>
      <c r="AQX176" s="541"/>
      <c r="AQY176" s="541"/>
      <c r="AQZ176" s="541"/>
      <c r="ARA176" s="541"/>
      <c r="ARB176" s="541"/>
      <c r="ARC176" s="541"/>
      <c r="ARD176" s="541"/>
      <c r="ARE176" s="541"/>
      <c r="ARF176" s="541"/>
      <c r="ARG176" s="541"/>
      <c r="ARH176" s="541"/>
      <c r="ARI176" s="541"/>
      <c r="ARJ176" s="541"/>
      <c r="ARK176" s="541"/>
      <c r="ARL176" s="541"/>
      <c r="ARM176" s="541"/>
      <c r="ARN176" s="541"/>
      <c r="ARO176" s="541"/>
      <c r="ARP176" s="541"/>
      <c r="ARQ176" s="541"/>
      <c r="ARR176" s="541"/>
      <c r="ARS176" s="541"/>
      <c r="ART176" s="541"/>
      <c r="ARU176" s="541"/>
    </row>
    <row r="177" spans="1:1165" s="658" customFormat="1">
      <c r="A177" s="613" t="s">
        <v>488</v>
      </c>
      <c r="B177" s="578" t="s">
        <v>110</v>
      </c>
      <c r="C177" s="598">
        <v>0</v>
      </c>
      <c r="D177" s="598">
        <v>0</v>
      </c>
      <c r="E177" s="598">
        <v>0</v>
      </c>
      <c r="F177" s="598">
        <v>0</v>
      </c>
      <c r="G177" s="598">
        <v>0</v>
      </c>
      <c r="H177" s="598">
        <v>0</v>
      </c>
      <c r="I177" s="598">
        <v>0</v>
      </c>
      <c r="J177" s="598">
        <v>0</v>
      </c>
      <c r="K177" s="579">
        <v>0</v>
      </c>
      <c r="L177" s="579">
        <v>0</v>
      </c>
      <c r="M177" s="579">
        <v>0</v>
      </c>
      <c r="N177" s="579">
        <v>0</v>
      </c>
      <c r="O177" s="579">
        <v>0</v>
      </c>
      <c r="P177" s="579">
        <v>0</v>
      </c>
      <c r="Q177" s="579">
        <v>0</v>
      </c>
      <c r="R177" s="579">
        <v>0</v>
      </c>
      <c r="S177" s="579">
        <v>0</v>
      </c>
      <c r="T177" s="579">
        <v>0</v>
      </c>
      <c r="U177" s="579">
        <v>0</v>
      </c>
      <c r="V177" s="579">
        <v>0</v>
      </c>
      <c r="W177" s="579">
        <v>0</v>
      </c>
      <c r="X177" s="579">
        <v>0</v>
      </c>
      <c r="Y177" s="579">
        <v>0</v>
      </c>
      <c r="Z177" s="579">
        <v>0</v>
      </c>
      <c r="AA177" s="579">
        <v>0</v>
      </c>
      <c r="AB177" s="579">
        <v>0</v>
      </c>
      <c r="AC177" s="579">
        <v>0</v>
      </c>
      <c r="AD177" s="579">
        <v>0</v>
      </c>
      <c r="AE177" s="579">
        <v>0</v>
      </c>
      <c r="AF177" s="579">
        <v>0</v>
      </c>
      <c r="AG177" s="579">
        <v>0</v>
      </c>
      <c r="AH177" s="579">
        <v>0</v>
      </c>
      <c r="AI177" s="579">
        <v>19423</v>
      </c>
      <c r="AJ177" s="579">
        <v>4729257</v>
      </c>
      <c r="AK177" s="661">
        <v>158962</v>
      </c>
      <c r="AL177" s="661">
        <v>37441182</v>
      </c>
      <c r="AM177" s="662">
        <v>320425</v>
      </c>
      <c r="AN177" s="662">
        <v>93168890</v>
      </c>
      <c r="AO177" s="579">
        <v>384535</v>
      </c>
      <c r="AP177" s="579">
        <v>86631007</v>
      </c>
      <c r="AQ177" s="579">
        <v>390075</v>
      </c>
      <c r="AR177" s="579">
        <v>116548575</v>
      </c>
      <c r="AS177" s="579">
        <v>450571</v>
      </c>
      <c r="AT177" s="579">
        <v>225367267.99999997</v>
      </c>
      <c r="AU177" s="619">
        <v>475246</v>
      </c>
      <c r="AV177" s="619">
        <v>217539558</v>
      </c>
      <c r="AW177" s="598">
        <v>458153</v>
      </c>
      <c r="AX177" s="598">
        <v>197559482</v>
      </c>
      <c r="AY177" s="598">
        <v>425199</v>
      </c>
      <c r="AZ177" s="598">
        <v>182825510</v>
      </c>
      <c r="BA177" s="663"/>
      <c r="BB177" s="598"/>
      <c r="BC177" s="598"/>
      <c r="BD177" s="598"/>
      <c r="BE177" s="598"/>
      <c r="BF177" s="598"/>
      <c r="BG177" s="598"/>
      <c r="BH177" s="598"/>
      <c r="BI177" s="664"/>
      <c r="BJ177" s="581">
        <f t="shared" si="25"/>
        <v>3082589</v>
      </c>
      <c r="BK177" s="651">
        <f t="shared" si="26"/>
        <v>1161810729</v>
      </c>
      <c r="BL177" s="541"/>
      <c r="BM177" s="624"/>
      <c r="BN177" s="624"/>
      <c r="BO177" s="624"/>
      <c r="BP177" s="624"/>
      <c r="BQ177" s="541"/>
      <c r="BR177" s="541"/>
      <c r="BS177" s="541"/>
      <c r="BT177" s="541"/>
      <c r="BU177" s="541"/>
      <c r="BV177" s="541"/>
      <c r="BW177" s="541"/>
      <c r="BX177" s="541"/>
      <c r="BY177" s="541"/>
      <c r="BZ177" s="541"/>
      <c r="CA177" s="541"/>
      <c r="CB177" s="541"/>
      <c r="CC177" s="541"/>
      <c r="CD177" s="541"/>
      <c r="CE177" s="541"/>
      <c r="CF177" s="541"/>
      <c r="CG177" s="541"/>
      <c r="CH177" s="541"/>
      <c r="CI177" s="541"/>
      <c r="CJ177" s="541"/>
      <c r="CK177" s="541"/>
      <c r="CL177" s="541"/>
      <c r="CM177" s="541"/>
      <c r="CN177" s="541"/>
      <c r="CO177" s="541"/>
      <c r="CP177" s="541"/>
      <c r="CQ177" s="541"/>
      <c r="CR177" s="541"/>
      <c r="CS177" s="541"/>
      <c r="CT177" s="541"/>
      <c r="CU177" s="541"/>
      <c r="CV177" s="541"/>
      <c r="CW177" s="541"/>
      <c r="CX177" s="541"/>
      <c r="CY177" s="541"/>
      <c r="CZ177" s="541"/>
      <c r="DA177" s="541"/>
      <c r="DB177" s="541"/>
      <c r="DC177" s="541"/>
      <c r="DD177" s="541"/>
      <c r="DE177" s="541"/>
      <c r="DF177" s="541"/>
      <c r="DG177" s="541"/>
      <c r="DH177" s="541"/>
      <c r="DI177" s="541"/>
      <c r="DJ177" s="541"/>
      <c r="DK177" s="541"/>
      <c r="DL177" s="541"/>
      <c r="DM177" s="541"/>
      <c r="DN177" s="541"/>
      <c r="DO177" s="541"/>
      <c r="DP177" s="541"/>
      <c r="DQ177" s="541"/>
      <c r="DR177" s="541"/>
      <c r="DS177" s="541"/>
      <c r="DT177" s="541"/>
      <c r="DU177" s="541"/>
      <c r="DV177" s="541"/>
      <c r="DW177" s="541"/>
      <c r="DX177" s="541"/>
      <c r="DY177" s="541"/>
      <c r="DZ177" s="541"/>
      <c r="EA177" s="541"/>
      <c r="EB177" s="541"/>
      <c r="EC177" s="541"/>
      <c r="ED177" s="541"/>
      <c r="EE177" s="541"/>
      <c r="EF177" s="541"/>
      <c r="EG177" s="541"/>
      <c r="EH177" s="541"/>
      <c r="EI177" s="541"/>
      <c r="EJ177" s="541"/>
      <c r="EK177" s="541"/>
      <c r="EL177" s="541"/>
      <c r="EM177" s="541"/>
      <c r="EN177" s="541"/>
      <c r="EO177" s="541"/>
      <c r="EP177" s="541"/>
      <c r="EQ177" s="541"/>
      <c r="ER177" s="541"/>
      <c r="ES177" s="541"/>
      <c r="ET177" s="541"/>
      <c r="EU177" s="541"/>
      <c r="EV177" s="541"/>
      <c r="EW177" s="541"/>
      <c r="EX177" s="541"/>
      <c r="EY177" s="541"/>
      <c r="EZ177" s="541"/>
      <c r="FA177" s="541"/>
      <c r="FB177" s="541"/>
      <c r="FC177" s="541"/>
      <c r="FD177" s="541"/>
      <c r="FE177" s="541"/>
      <c r="FF177" s="541"/>
      <c r="FG177" s="541"/>
      <c r="FH177" s="541"/>
      <c r="FI177" s="541"/>
      <c r="FJ177" s="541"/>
      <c r="FK177" s="541"/>
      <c r="FL177" s="541"/>
      <c r="FM177" s="541"/>
      <c r="FN177" s="541"/>
      <c r="FO177" s="541"/>
      <c r="FP177" s="541"/>
      <c r="FQ177" s="541"/>
      <c r="FR177" s="541"/>
      <c r="FS177" s="541"/>
      <c r="FT177" s="541"/>
      <c r="FU177" s="541"/>
      <c r="FV177" s="541"/>
      <c r="FW177" s="541"/>
      <c r="FX177" s="541"/>
      <c r="FY177" s="541"/>
      <c r="FZ177" s="541"/>
      <c r="GA177" s="541"/>
      <c r="GB177" s="541"/>
      <c r="GC177" s="541"/>
      <c r="GD177" s="541"/>
      <c r="GE177" s="541"/>
      <c r="GF177" s="541"/>
      <c r="GG177" s="541"/>
      <c r="GH177" s="541"/>
      <c r="GI177" s="541"/>
      <c r="GJ177" s="541"/>
      <c r="GK177" s="541"/>
      <c r="GL177" s="541"/>
      <c r="GM177" s="541"/>
      <c r="GN177" s="541"/>
      <c r="GO177" s="541"/>
      <c r="GP177" s="541"/>
      <c r="GQ177" s="541"/>
      <c r="GR177" s="541"/>
      <c r="GS177" s="541"/>
      <c r="GT177" s="541"/>
      <c r="GU177" s="541"/>
      <c r="GV177" s="541"/>
      <c r="GW177" s="541"/>
      <c r="GX177" s="541"/>
      <c r="GY177" s="541"/>
      <c r="GZ177" s="541"/>
      <c r="HA177" s="541"/>
      <c r="HB177" s="541"/>
      <c r="HC177" s="541"/>
      <c r="HD177" s="541"/>
      <c r="HE177" s="541"/>
      <c r="HF177" s="541"/>
      <c r="HG177" s="541"/>
      <c r="HH177" s="541"/>
      <c r="HI177" s="541"/>
      <c r="HJ177" s="541"/>
      <c r="HK177" s="541"/>
      <c r="HL177" s="541"/>
      <c r="HM177" s="541"/>
      <c r="HN177" s="541"/>
      <c r="HO177" s="541"/>
      <c r="HP177" s="541"/>
      <c r="HQ177" s="541"/>
      <c r="HR177" s="541"/>
      <c r="HS177" s="541"/>
      <c r="HT177" s="541"/>
      <c r="HU177" s="541"/>
      <c r="HV177" s="541"/>
      <c r="HW177" s="541"/>
      <c r="HX177" s="541"/>
      <c r="HY177" s="541"/>
      <c r="HZ177" s="541"/>
      <c r="IA177" s="541"/>
      <c r="IB177" s="541"/>
      <c r="IC177" s="541"/>
      <c r="ID177" s="541"/>
      <c r="IE177" s="541"/>
      <c r="IF177" s="541"/>
      <c r="IG177" s="541"/>
      <c r="IH177" s="541"/>
      <c r="II177" s="541"/>
      <c r="IJ177" s="541"/>
      <c r="IK177" s="541"/>
      <c r="IL177" s="541"/>
      <c r="IM177" s="541"/>
      <c r="IN177" s="541"/>
      <c r="IO177" s="541"/>
      <c r="IP177" s="541"/>
      <c r="IQ177" s="541"/>
      <c r="IR177" s="541"/>
      <c r="IS177" s="541"/>
      <c r="IT177" s="541"/>
      <c r="IU177" s="541"/>
      <c r="IV177" s="541"/>
      <c r="IW177" s="541"/>
      <c r="IX177" s="541"/>
      <c r="IY177" s="541"/>
      <c r="IZ177" s="541"/>
      <c r="JA177" s="541"/>
      <c r="JB177" s="541"/>
      <c r="JC177" s="541"/>
      <c r="JD177" s="541"/>
      <c r="JE177" s="541"/>
      <c r="JF177" s="541"/>
      <c r="JG177" s="541"/>
      <c r="JH177" s="541"/>
      <c r="JI177" s="541"/>
      <c r="JJ177" s="541"/>
      <c r="JK177" s="541"/>
      <c r="JL177" s="541"/>
      <c r="JM177" s="541"/>
      <c r="JN177" s="541"/>
      <c r="JO177" s="541"/>
      <c r="JP177" s="541"/>
      <c r="JQ177" s="541"/>
      <c r="JR177" s="541"/>
      <c r="JS177" s="541"/>
      <c r="JT177" s="541"/>
      <c r="JU177" s="541"/>
      <c r="JV177" s="541"/>
      <c r="JW177" s="541"/>
      <c r="JX177" s="541"/>
      <c r="JY177" s="541"/>
      <c r="JZ177" s="541"/>
      <c r="KA177" s="541"/>
      <c r="KB177" s="541"/>
      <c r="KC177" s="541"/>
      <c r="KD177" s="541"/>
      <c r="KE177" s="541"/>
      <c r="KF177" s="541"/>
      <c r="KG177" s="541"/>
      <c r="KH177" s="541"/>
      <c r="KI177" s="541"/>
      <c r="KJ177" s="541"/>
      <c r="KK177" s="541"/>
      <c r="KL177" s="541"/>
      <c r="KM177" s="541"/>
      <c r="KN177" s="541"/>
      <c r="KO177" s="541"/>
      <c r="KP177" s="541"/>
      <c r="KQ177" s="541"/>
      <c r="KR177" s="541"/>
      <c r="KS177" s="541"/>
      <c r="KT177" s="541"/>
      <c r="KU177" s="541"/>
      <c r="KV177" s="541"/>
      <c r="KW177" s="541"/>
      <c r="KX177" s="541"/>
      <c r="KY177" s="541"/>
      <c r="KZ177" s="541"/>
      <c r="LA177" s="541"/>
      <c r="LB177" s="541"/>
      <c r="LC177" s="541"/>
      <c r="LD177" s="541"/>
      <c r="LE177" s="541"/>
      <c r="LF177" s="541"/>
      <c r="LG177" s="541"/>
      <c r="LH177" s="541"/>
      <c r="LI177" s="541"/>
      <c r="LJ177" s="541"/>
      <c r="LK177" s="541"/>
      <c r="LL177" s="541"/>
      <c r="LM177" s="541"/>
      <c r="LN177" s="541"/>
      <c r="LO177" s="541"/>
      <c r="LP177" s="541"/>
      <c r="LQ177" s="541"/>
      <c r="LR177" s="541"/>
      <c r="LS177" s="541"/>
      <c r="LT177" s="541"/>
      <c r="LU177" s="541"/>
      <c r="LV177" s="541"/>
      <c r="LW177" s="541"/>
      <c r="LX177" s="541"/>
      <c r="LY177" s="541"/>
      <c r="LZ177" s="541"/>
      <c r="MA177" s="541"/>
      <c r="MB177" s="541"/>
      <c r="MC177" s="541"/>
      <c r="MD177" s="541"/>
      <c r="ME177" s="541"/>
      <c r="MF177" s="541"/>
      <c r="MG177" s="541"/>
      <c r="MH177" s="541"/>
      <c r="MI177" s="541"/>
      <c r="MJ177" s="541"/>
      <c r="MK177" s="541"/>
      <c r="ML177" s="541"/>
      <c r="MM177" s="541"/>
      <c r="MN177" s="541"/>
      <c r="MO177" s="541"/>
      <c r="MP177" s="541"/>
      <c r="MQ177" s="541"/>
      <c r="MR177" s="541"/>
      <c r="MS177" s="541"/>
      <c r="MT177" s="541"/>
      <c r="MU177" s="541"/>
      <c r="MV177" s="541"/>
      <c r="MW177" s="541"/>
      <c r="MX177" s="541"/>
      <c r="MY177" s="541"/>
      <c r="MZ177" s="541"/>
      <c r="NA177" s="541"/>
      <c r="NB177" s="541"/>
      <c r="NC177" s="541"/>
      <c r="ND177" s="541"/>
      <c r="NE177" s="541"/>
      <c r="NF177" s="541"/>
      <c r="NG177" s="541"/>
      <c r="NH177" s="541"/>
      <c r="NI177" s="541"/>
      <c r="NJ177" s="541"/>
      <c r="NK177" s="541"/>
      <c r="NL177" s="541"/>
      <c r="NM177" s="541"/>
      <c r="NN177" s="541"/>
      <c r="NO177" s="541"/>
      <c r="NP177" s="541"/>
      <c r="NQ177" s="541"/>
      <c r="NR177" s="541"/>
      <c r="NS177" s="541"/>
      <c r="NT177" s="541"/>
      <c r="NU177" s="541"/>
      <c r="NV177" s="541"/>
      <c r="NW177" s="541"/>
      <c r="NX177" s="541"/>
      <c r="NY177" s="541"/>
      <c r="NZ177" s="541"/>
      <c r="OA177" s="541"/>
      <c r="OB177" s="541"/>
      <c r="OC177" s="541"/>
      <c r="OD177" s="541"/>
      <c r="OE177" s="541"/>
      <c r="OF177" s="541"/>
      <c r="OG177" s="541"/>
      <c r="OH177" s="541"/>
      <c r="OI177" s="541"/>
      <c r="OJ177" s="541"/>
      <c r="OK177" s="541"/>
      <c r="OL177" s="541"/>
      <c r="OM177" s="541"/>
      <c r="ON177" s="541"/>
      <c r="OO177" s="541"/>
      <c r="OP177" s="541"/>
      <c r="OQ177" s="541"/>
      <c r="OR177" s="541"/>
      <c r="OS177" s="541"/>
      <c r="OT177" s="541"/>
      <c r="OU177" s="541"/>
      <c r="OV177" s="541"/>
      <c r="OW177" s="541"/>
      <c r="OX177" s="541"/>
      <c r="OY177" s="541"/>
      <c r="OZ177" s="541"/>
      <c r="PA177" s="541"/>
      <c r="PB177" s="541"/>
      <c r="PC177" s="541"/>
      <c r="PD177" s="541"/>
      <c r="PE177" s="541"/>
      <c r="PF177" s="541"/>
      <c r="PG177" s="541"/>
      <c r="PH177" s="541"/>
      <c r="PI177" s="541"/>
      <c r="PJ177" s="541"/>
      <c r="PK177" s="541"/>
      <c r="PL177" s="541"/>
      <c r="PM177" s="541"/>
      <c r="PN177" s="541"/>
      <c r="PO177" s="541"/>
      <c r="PP177" s="541"/>
      <c r="PQ177" s="541"/>
      <c r="PR177" s="541"/>
      <c r="PS177" s="541"/>
      <c r="PT177" s="541"/>
      <c r="PU177" s="541"/>
      <c r="PV177" s="541"/>
      <c r="PW177" s="541"/>
      <c r="PX177" s="541"/>
      <c r="PY177" s="541"/>
      <c r="PZ177" s="541"/>
      <c r="QA177" s="541"/>
      <c r="QB177" s="541"/>
      <c r="QC177" s="541"/>
      <c r="QD177" s="541"/>
      <c r="QE177" s="541"/>
      <c r="QF177" s="541"/>
      <c r="QG177" s="541"/>
      <c r="QH177" s="541"/>
      <c r="QI177" s="541"/>
      <c r="QJ177" s="541"/>
      <c r="QK177" s="541"/>
      <c r="QL177" s="541"/>
      <c r="QM177" s="541"/>
      <c r="QN177" s="541"/>
      <c r="QO177" s="541"/>
      <c r="QP177" s="541"/>
      <c r="QQ177" s="541"/>
      <c r="QR177" s="541"/>
      <c r="QS177" s="541"/>
      <c r="QT177" s="541"/>
      <c r="QU177" s="541"/>
      <c r="QV177" s="541"/>
      <c r="QW177" s="541"/>
      <c r="QX177" s="541"/>
      <c r="QY177" s="541"/>
      <c r="QZ177" s="541"/>
      <c r="RA177" s="541"/>
      <c r="RB177" s="541"/>
      <c r="RC177" s="541"/>
      <c r="RD177" s="541"/>
      <c r="RE177" s="541"/>
      <c r="RF177" s="541"/>
      <c r="RG177" s="541"/>
      <c r="RH177" s="541"/>
      <c r="RI177" s="541"/>
      <c r="RJ177" s="541"/>
      <c r="RK177" s="541"/>
      <c r="RL177" s="541"/>
      <c r="RM177" s="541"/>
      <c r="RN177" s="541"/>
      <c r="RO177" s="541"/>
      <c r="RP177" s="541"/>
      <c r="RQ177" s="541"/>
      <c r="RR177" s="541"/>
      <c r="RS177" s="541"/>
      <c r="RT177" s="541"/>
      <c r="RU177" s="541"/>
      <c r="RV177" s="541"/>
      <c r="RW177" s="541"/>
      <c r="RX177" s="541"/>
      <c r="RY177" s="541"/>
      <c r="RZ177" s="541"/>
      <c r="SA177" s="541"/>
      <c r="SB177" s="541"/>
      <c r="SC177" s="541"/>
      <c r="SD177" s="541"/>
      <c r="SE177" s="541"/>
      <c r="SF177" s="541"/>
      <c r="SG177" s="541"/>
      <c r="SH177" s="541"/>
      <c r="SI177" s="541"/>
      <c r="SJ177" s="541"/>
      <c r="SK177" s="541"/>
      <c r="SL177" s="541"/>
      <c r="SM177" s="541"/>
      <c r="SN177" s="541"/>
      <c r="SO177" s="541"/>
      <c r="SP177" s="541"/>
      <c r="SQ177" s="541"/>
      <c r="SR177" s="541"/>
      <c r="SS177" s="541"/>
      <c r="ST177" s="541"/>
      <c r="SU177" s="541"/>
      <c r="SV177" s="541"/>
      <c r="SW177" s="541"/>
      <c r="SX177" s="541"/>
      <c r="SY177" s="541"/>
      <c r="SZ177" s="541"/>
      <c r="TA177" s="541"/>
      <c r="TB177" s="541"/>
      <c r="TC177" s="541"/>
      <c r="TD177" s="541"/>
      <c r="TE177" s="541"/>
      <c r="TF177" s="541"/>
      <c r="TG177" s="541"/>
      <c r="TH177" s="541"/>
      <c r="TI177" s="541"/>
      <c r="TJ177" s="541"/>
      <c r="TK177" s="541"/>
      <c r="TL177" s="541"/>
      <c r="TM177" s="541"/>
      <c r="TN177" s="541"/>
      <c r="TO177" s="541"/>
      <c r="TP177" s="541"/>
      <c r="TQ177" s="541"/>
      <c r="TR177" s="541"/>
      <c r="TS177" s="541"/>
      <c r="TT177" s="541"/>
      <c r="TU177" s="541"/>
      <c r="TV177" s="541"/>
      <c r="TW177" s="541"/>
      <c r="TX177" s="541"/>
      <c r="TY177" s="541"/>
      <c r="TZ177" s="541"/>
      <c r="UA177" s="541"/>
      <c r="UB177" s="541"/>
      <c r="UC177" s="541"/>
      <c r="UD177" s="541"/>
      <c r="UE177" s="541"/>
      <c r="UF177" s="541"/>
      <c r="UG177" s="541"/>
      <c r="UH177" s="541"/>
      <c r="UI177" s="541"/>
      <c r="UJ177" s="541"/>
      <c r="UK177" s="541"/>
      <c r="UL177" s="541"/>
      <c r="UM177" s="541"/>
      <c r="UN177" s="541"/>
      <c r="UO177" s="541"/>
      <c r="UP177" s="541"/>
      <c r="UQ177" s="541"/>
      <c r="UR177" s="541"/>
      <c r="US177" s="541"/>
      <c r="UT177" s="541"/>
      <c r="UU177" s="541"/>
      <c r="UV177" s="541"/>
      <c r="UW177" s="541"/>
      <c r="UX177" s="541"/>
      <c r="UY177" s="541"/>
      <c r="UZ177" s="541"/>
      <c r="VA177" s="541"/>
      <c r="VB177" s="541"/>
      <c r="VC177" s="541"/>
      <c r="VD177" s="541"/>
      <c r="VE177" s="541"/>
      <c r="VF177" s="541"/>
      <c r="VG177" s="541"/>
      <c r="VH177" s="541"/>
      <c r="VI177" s="541"/>
      <c r="VJ177" s="541"/>
      <c r="VK177" s="541"/>
      <c r="VL177" s="541"/>
      <c r="VM177" s="541"/>
      <c r="VN177" s="541"/>
      <c r="VO177" s="541"/>
      <c r="VP177" s="541"/>
      <c r="VQ177" s="541"/>
      <c r="VR177" s="541"/>
      <c r="VS177" s="541"/>
      <c r="VT177" s="541"/>
      <c r="VU177" s="541"/>
      <c r="VV177" s="541"/>
      <c r="VW177" s="541"/>
      <c r="VX177" s="541"/>
      <c r="VY177" s="541"/>
      <c r="VZ177" s="541"/>
      <c r="WA177" s="541"/>
      <c r="WB177" s="541"/>
      <c r="WC177" s="541"/>
      <c r="WD177" s="541"/>
      <c r="WE177" s="541"/>
      <c r="WF177" s="541"/>
      <c r="WG177" s="541"/>
      <c r="WH177" s="541"/>
      <c r="WI177" s="541"/>
      <c r="WJ177" s="541"/>
      <c r="WK177" s="541"/>
      <c r="WL177" s="541"/>
      <c r="WM177" s="541"/>
      <c r="WN177" s="541"/>
      <c r="WO177" s="541"/>
      <c r="WP177" s="541"/>
      <c r="WQ177" s="541"/>
      <c r="WR177" s="541"/>
      <c r="WS177" s="541"/>
      <c r="WT177" s="541"/>
      <c r="WU177" s="541"/>
      <c r="WV177" s="541"/>
      <c r="WW177" s="541"/>
      <c r="WX177" s="541"/>
      <c r="WY177" s="541"/>
      <c r="WZ177" s="541"/>
      <c r="XA177" s="541"/>
      <c r="XB177" s="541"/>
      <c r="XC177" s="541"/>
      <c r="XD177" s="541"/>
      <c r="XE177" s="541"/>
      <c r="XF177" s="541"/>
      <c r="XG177" s="541"/>
      <c r="XH177" s="541"/>
      <c r="XI177" s="541"/>
      <c r="XJ177" s="541"/>
      <c r="XK177" s="541"/>
      <c r="XL177" s="541"/>
      <c r="XM177" s="541"/>
      <c r="XN177" s="541"/>
      <c r="XO177" s="541"/>
      <c r="XP177" s="541"/>
      <c r="XQ177" s="541"/>
      <c r="XR177" s="541"/>
      <c r="XS177" s="541"/>
      <c r="XT177" s="541"/>
      <c r="XU177" s="541"/>
      <c r="XV177" s="541"/>
      <c r="XW177" s="541"/>
      <c r="XX177" s="541"/>
      <c r="XY177" s="541"/>
      <c r="XZ177" s="541"/>
      <c r="YA177" s="541"/>
      <c r="YB177" s="541"/>
      <c r="YC177" s="541"/>
      <c r="YD177" s="541"/>
      <c r="YE177" s="541"/>
      <c r="YF177" s="541"/>
      <c r="YG177" s="541"/>
      <c r="YH177" s="541"/>
      <c r="YI177" s="541"/>
      <c r="YJ177" s="541"/>
      <c r="YK177" s="541"/>
      <c r="YL177" s="541"/>
      <c r="YM177" s="541"/>
      <c r="YN177" s="541"/>
      <c r="YO177" s="541"/>
      <c r="YP177" s="541"/>
      <c r="YQ177" s="541"/>
      <c r="YR177" s="541"/>
      <c r="YS177" s="541"/>
      <c r="YT177" s="541"/>
      <c r="YU177" s="541"/>
      <c r="YV177" s="541"/>
      <c r="YW177" s="541"/>
      <c r="YX177" s="541"/>
      <c r="YY177" s="541"/>
      <c r="YZ177" s="541"/>
      <c r="ZA177" s="541"/>
      <c r="ZB177" s="541"/>
      <c r="ZC177" s="541"/>
      <c r="ZD177" s="541"/>
      <c r="ZE177" s="541"/>
      <c r="ZF177" s="541"/>
      <c r="ZG177" s="541"/>
      <c r="ZH177" s="541"/>
      <c r="ZI177" s="541"/>
      <c r="ZJ177" s="541"/>
      <c r="ZK177" s="541"/>
      <c r="ZL177" s="541"/>
      <c r="ZM177" s="541"/>
      <c r="ZN177" s="541"/>
      <c r="ZO177" s="541"/>
      <c r="ZP177" s="541"/>
      <c r="ZQ177" s="541"/>
      <c r="ZR177" s="541"/>
      <c r="ZS177" s="541"/>
      <c r="ZT177" s="541"/>
      <c r="ZU177" s="541"/>
      <c r="ZV177" s="541"/>
      <c r="ZW177" s="541"/>
      <c r="ZX177" s="541"/>
      <c r="ZY177" s="541"/>
      <c r="ZZ177" s="541"/>
      <c r="AAA177" s="541"/>
      <c r="AAB177" s="541"/>
      <c r="AAC177" s="541"/>
      <c r="AAD177" s="541"/>
      <c r="AAE177" s="541"/>
      <c r="AAF177" s="541"/>
      <c r="AAG177" s="541"/>
      <c r="AAH177" s="541"/>
      <c r="AAI177" s="541"/>
      <c r="AAJ177" s="541"/>
      <c r="AAK177" s="541"/>
      <c r="AAL177" s="541"/>
      <c r="AAM177" s="541"/>
      <c r="AAN177" s="541"/>
      <c r="AAO177" s="541"/>
      <c r="AAP177" s="541"/>
      <c r="AAQ177" s="541"/>
      <c r="AAR177" s="541"/>
      <c r="AAS177" s="541"/>
      <c r="AAT177" s="541"/>
      <c r="AAU177" s="541"/>
      <c r="AAV177" s="541"/>
      <c r="AAW177" s="541"/>
      <c r="AAX177" s="541"/>
      <c r="AAY177" s="541"/>
      <c r="AAZ177" s="541"/>
      <c r="ABA177" s="541"/>
      <c r="ABB177" s="541"/>
      <c r="ABC177" s="541"/>
      <c r="ABD177" s="541"/>
      <c r="ABE177" s="541"/>
      <c r="ABF177" s="541"/>
      <c r="ABG177" s="541"/>
      <c r="ABH177" s="541"/>
      <c r="ABI177" s="541"/>
      <c r="ABJ177" s="541"/>
      <c r="ABK177" s="541"/>
      <c r="ABL177" s="541"/>
      <c r="ABM177" s="541"/>
      <c r="ABN177" s="541"/>
      <c r="ABO177" s="541"/>
      <c r="ABP177" s="541"/>
      <c r="ABQ177" s="541"/>
      <c r="ABR177" s="541"/>
      <c r="ABS177" s="541"/>
      <c r="ABT177" s="541"/>
      <c r="ABU177" s="541"/>
      <c r="ABV177" s="541"/>
      <c r="ABW177" s="541"/>
      <c r="ABX177" s="541"/>
      <c r="ABY177" s="541"/>
      <c r="ABZ177" s="541"/>
      <c r="ACA177" s="541"/>
      <c r="ACB177" s="541"/>
      <c r="ACC177" s="541"/>
      <c r="ACD177" s="541"/>
      <c r="ACE177" s="541"/>
      <c r="ACF177" s="541"/>
      <c r="ACG177" s="541"/>
      <c r="ACH177" s="541"/>
      <c r="ACI177" s="541"/>
      <c r="ACJ177" s="541"/>
      <c r="ACK177" s="541"/>
      <c r="ACL177" s="541"/>
      <c r="ACM177" s="541"/>
      <c r="ACN177" s="541"/>
      <c r="ACO177" s="541"/>
      <c r="ACP177" s="541"/>
      <c r="ACQ177" s="541"/>
      <c r="ACR177" s="541"/>
      <c r="ACS177" s="541"/>
      <c r="ACT177" s="541"/>
      <c r="ACU177" s="541"/>
      <c r="ACV177" s="541"/>
      <c r="ACW177" s="541"/>
      <c r="ACX177" s="541"/>
      <c r="ACY177" s="541"/>
      <c r="ACZ177" s="541"/>
      <c r="ADA177" s="541"/>
      <c r="ADB177" s="541"/>
      <c r="ADC177" s="541"/>
      <c r="ADD177" s="541"/>
      <c r="ADE177" s="541"/>
      <c r="ADF177" s="541"/>
      <c r="ADG177" s="541"/>
      <c r="ADH177" s="541"/>
      <c r="ADI177" s="541"/>
      <c r="ADJ177" s="541"/>
      <c r="ADK177" s="541"/>
      <c r="ADL177" s="541"/>
      <c r="ADM177" s="541"/>
      <c r="ADN177" s="541"/>
      <c r="ADO177" s="541"/>
      <c r="ADP177" s="541"/>
      <c r="ADQ177" s="541"/>
      <c r="ADR177" s="541"/>
      <c r="ADS177" s="541"/>
      <c r="ADT177" s="541"/>
      <c r="ADU177" s="541"/>
      <c r="ADV177" s="541"/>
      <c r="ADW177" s="541"/>
      <c r="ADX177" s="541"/>
      <c r="ADY177" s="541"/>
      <c r="ADZ177" s="541"/>
      <c r="AEA177" s="541"/>
      <c r="AEB177" s="541"/>
      <c r="AEC177" s="541"/>
      <c r="AED177" s="541"/>
      <c r="AEE177" s="541"/>
      <c r="AEF177" s="541"/>
      <c r="AEG177" s="541"/>
      <c r="AEH177" s="541"/>
      <c r="AEI177" s="541"/>
      <c r="AEJ177" s="541"/>
      <c r="AEK177" s="541"/>
      <c r="AEL177" s="541"/>
      <c r="AEM177" s="541"/>
      <c r="AEN177" s="541"/>
      <c r="AEO177" s="541"/>
      <c r="AEP177" s="541"/>
      <c r="AEQ177" s="541"/>
      <c r="AER177" s="541"/>
      <c r="AES177" s="541"/>
      <c r="AET177" s="541"/>
      <c r="AEU177" s="541"/>
      <c r="AEV177" s="541"/>
      <c r="AEW177" s="541"/>
      <c r="AEX177" s="541"/>
      <c r="AEY177" s="541"/>
      <c r="AEZ177" s="541"/>
      <c r="AFA177" s="541"/>
      <c r="AFB177" s="541"/>
      <c r="AFC177" s="541"/>
      <c r="AFD177" s="541"/>
      <c r="AFE177" s="541"/>
      <c r="AFF177" s="541"/>
      <c r="AFG177" s="541"/>
      <c r="AFH177" s="541"/>
      <c r="AFI177" s="541"/>
      <c r="AFJ177" s="541"/>
      <c r="AFK177" s="541"/>
      <c r="AFL177" s="541"/>
      <c r="AFM177" s="541"/>
      <c r="AFN177" s="541"/>
      <c r="AFO177" s="541"/>
      <c r="AFP177" s="541"/>
      <c r="AFQ177" s="541"/>
      <c r="AFR177" s="541"/>
      <c r="AFS177" s="541"/>
      <c r="AFT177" s="541"/>
      <c r="AFU177" s="541"/>
      <c r="AFV177" s="541"/>
      <c r="AFW177" s="541"/>
      <c r="AFX177" s="541"/>
      <c r="AFY177" s="541"/>
      <c r="AFZ177" s="541"/>
      <c r="AGA177" s="541"/>
      <c r="AGB177" s="541"/>
      <c r="AGC177" s="541"/>
      <c r="AGD177" s="541"/>
      <c r="AGE177" s="541"/>
      <c r="AGF177" s="541"/>
      <c r="AGG177" s="541"/>
      <c r="AGH177" s="541"/>
      <c r="AGI177" s="541"/>
      <c r="AGJ177" s="541"/>
      <c r="AGK177" s="541"/>
      <c r="AGL177" s="541"/>
      <c r="AGM177" s="541"/>
      <c r="AGN177" s="541"/>
      <c r="AGO177" s="541"/>
      <c r="AGP177" s="541"/>
      <c r="AGQ177" s="541"/>
      <c r="AGR177" s="541"/>
      <c r="AGS177" s="541"/>
      <c r="AGT177" s="541"/>
      <c r="AGU177" s="541"/>
      <c r="AGV177" s="541"/>
      <c r="AGW177" s="541"/>
      <c r="AGX177" s="541"/>
      <c r="AGY177" s="541"/>
      <c r="AGZ177" s="541"/>
      <c r="AHA177" s="541"/>
      <c r="AHB177" s="541"/>
      <c r="AHC177" s="541"/>
      <c r="AHD177" s="541"/>
      <c r="AHE177" s="541"/>
      <c r="AHF177" s="541"/>
      <c r="AHG177" s="541"/>
      <c r="AHH177" s="541"/>
      <c r="AHI177" s="541"/>
      <c r="AHJ177" s="541"/>
      <c r="AHK177" s="541"/>
      <c r="AHL177" s="541"/>
      <c r="AHM177" s="541"/>
      <c r="AHN177" s="541"/>
      <c r="AHO177" s="541"/>
      <c r="AHP177" s="541"/>
      <c r="AHQ177" s="541"/>
      <c r="AHR177" s="541"/>
      <c r="AHS177" s="541"/>
      <c r="AHT177" s="541"/>
      <c r="AHU177" s="541"/>
      <c r="AHV177" s="541"/>
      <c r="AHW177" s="541"/>
      <c r="AHX177" s="541"/>
      <c r="AHY177" s="541"/>
      <c r="AHZ177" s="541"/>
      <c r="AIA177" s="541"/>
      <c r="AIB177" s="541"/>
      <c r="AIC177" s="541"/>
      <c r="AID177" s="541"/>
      <c r="AIE177" s="541"/>
      <c r="AIF177" s="541"/>
      <c r="AIG177" s="541"/>
      <c r="AIH177" s="541"/>
      <c r="AII177" s="541"/>
      <c r="AIJ177" s="541"/>
      <c r="AIK177" s="541"/>
      <c r="AIL177" s="541"/>
      <c r="AIM177" s="541"/>
      <c r="AIN177" s="541"/>
      <c r="AIO177" s="541"/>
      <c r="AIP177" s="541"/>
      <c r="AIQ177" s="541"/>
      <c r="AIR177" s="541"/>
      <c r="AIS177" s="541"/>
      <c r="AIT177" s="541"/>
      <c r="AIU177" s="541"/>
      <c r="AIV177" s="541"/>
      <c r="AIW177" s="541"/>
      <c r="AIX177" s="541"/>
      <c r="AIY177" s="541"/>
      <c r="AIZ177" s="541"/>
      <c r="AJA177" s="541"/>
      <c r="AJB177" s="541"/>
      <c r="AJC177" s="541"/>
      <c r="AJD177" s="541"/>
      <c r="AJE177" s="541"/>
      <c r="AJF177" s="541"/>
      <c r="AJG177" s="541"/>
      <c r="AJH177" s="541"/>
      <c r="AJI177" s="541"/>
      <c r="AJJ177" s="541"/>
      <c r="AJK177" s="541"/>
      <c r="AJL177" s="541"/>
      <c r="AJM177" s="541"/>
      <c r="AJN177" s="541"/>
      <c r="AJO177" s="541"/>
      <c r="AJP177" s="541"/>
      <c r="AJQ177" s="541"/>
      <c r="AJR177" s="541"/>
      <c r="AJS177" s="541"/>
      <c r="AJT177" s="541"/>
      <c r="AJU177" s="541"/>
      <c r="AJV177" s="541"/>
      <c r="AJW177" s="541"/>
      <c r="AJX177" s="541"/>
      <c r="AJY177" s="541"/>
      <c r="AJZ177" s="541"/>
      <c r="AKA177" s="541"/>
      <c r="AKB177" s="541"/>
      <c r="AKC177" s="541"/>
      <c r="AKD177" s="541"/>
      <c r="AKE177" s="541"/>
      <c r="AKF177" s="541"/>
      <c r="AKG177" s="541"/>
      <c r="AKH177" s="541"/>
      <c r="AKI177" s="541"/>
      <c r="AKJ177" s="541"/>
      <c r="AKK177" s="541"/>
      <c r="AKL177" s="541"/>
      <c r="AKM177" s="541"/>
      <c r="AKN177" s="541"/>
      <c r="AKO177" s="541"/>
      <c r="AKP177" s="541"/>
      <c r="AKQ177" s="541"/>
      <c r="AKR177" s="541"/>
      <c r="AKS177" s="541"/>
      <c r="AKT177" s="541"/>
      <c r="AKU177" s="541"/>
      <c r="AKV177" s="541"/>
      <c r="AKW177" s="541"/>
      <c r="AKX177" s="541"/>
      <c r="AKY177" s="541"/>
      <c r="AKZ177" s="541"/>
      <c r="ALA177" s="541"/>
      <c r="ALB177" s="541"/>
      <c r="ALC177" s="541"/>
      <c r="ALD177" s="541"/>
      <c r="ALE177" s="541"/>
      <c r="ALF177" s="541"/>
      <c r="ALG177" s="541"/>
      <c r="ALH177" s="541"/>
      <c r="ALI177" s="541"/>
      <c r="ALJ177" s="541"/>
      <c r="ALK177" s="541"/>
      <c r="ALL177" s="541"/>
      <c r="ALM177" s="541"/>
      <c r="ALN177" s="541"/>
      <c r="ALO177" s="541"/>
      <c r="ALP177" s="541"/>
      <c r="ALQ177" s="541"/>
      <c r="ALR177" s="541"/>
      <c r="ALS177" s="541"/>
      <c r="ALT177" s="541"/>
      <c r="ALU177" s="541"/>
      <c r="ALV177" s="541"/>
      <c r="ALW177" s="541"/>
      <c r="ALX177" s="541"/>
      <c r="ALY177" s="541"/>
      <c r="ALZ177" s="541"/>
      <c r="AMA177" s="541"/>
      <c r="AMB177" s="541"/>
      <c r="AMC177" s="541"/>
      <c r="AMD177" s="541"/>
      <c r="AME177" s="541"/>
      <c r="AMF177" s="541"/>
      <c r="AMG177" s="541"/>
      <c r="AMH177" s="541"/>
      <c r="AMI177" s="541"/>
      <c r="AMJ177" s="541"/>
      <c r="AMK177" s="541"/>
      <c r="AML177" s="541"/>
      <c r="AMM177" s="541"/>
      <c r="AMN177" s="541"/>
      <c r="AMO177" s="541"/>
      <c r="AMP177" s="541"/>
      <c r="AMQ177" s="541"/>
      <c r="AMR177" s="541"/>
      <c r="AMS177" s="541"/>
      <c r="AMT177" s="541"/>
      <c r="AMU177" s="541"/>
      <c r="AMV177" s="541"/>
      <c r="AMW177" s="541"/>
      <c r="AMX177" s="541"/>
      <c r="AMY177" s="541"/>
      <c r="AMZ177" s="541"/>
      <c r="ANA177" s="541"/>
      <c r="ANB177" s="541"/>
      <c r="ANC177" s="541"/>
      <c r="AND177" s="541"/>
      <c r="ANE177" s="541"/>
      <c r="ANF177" s="541"/>
      <c r="ANG177" s="541"/>
      <c r="ANH177" s="541"/>
      <c r="ANI177" s="541"/>
      <c r="ANJ177" s="541"/>
      <c r="ANK177" s="541"/>
      <c r="ANL177" s="541"/>
      <c r="ANM177" s="541"/>
      <c r="ANN177" s="541"/>
      <c r="ANO177" s="541"/>
      <c r="ANP177" s="541"/>
      <c r="ANQ177" s="541"/>
      <c r="ANR177" s="541"/>
      <c r="ANS177" s="541"/>
      <c r="ANT177" s="541"/>
      <c r="ANU177" s="541"/>
      <c r="ANV177" s="541"/>
      <c r="ANW177" s="541"/>
      <c r="ANX177" s="541"/>
      <c r="ANY177" s="541"/>
      <c r="ANZ177" s="541"/>
      <c r="AOA177" s="541"/>
      <c r="AOB177" s="541"/>
      <c r="AOC177" s="541"/>
      <c r="AOD177" s="541"/>
      <c r="AOE177" s="541"/>
      <c r="AOF177" s="541"/>
      <c r="AOG177" s="541"/>
      <c r="AOH177" s="541"/>
      <c r="AOI177" s="541"/>
      <c r="AOJ177" s="541"/>
      <c r="AOK177" s="541"/>
      <c r="AOL177" s="541"/>
      <c r="AOM177" s="541"/>
      <c r="AON177" s="541"/>
      <c r="AOO177" s="541"/>
      <c r="AOP177" s="541"/>
      <c r="AOQ177" s="541"/>
      <c r="AOR177" s="541"/>
      <c r="AOS177" s="541"/>
      <c r="AOT177" s="541"/>
      <c r="AOU177" s="541"/>
      <c r="AOV177" s="541"/>
      <c r="AOW177" s="541"/>
      <c r="AOX177" s="541"/>
      <c r="AOY177" s="541"/>
      <c r="AOZ177" s="541"/>
      <c r="APA177" s="541"/>
      <c r="APB177" s="541"/>
      <c r="APC177" s="541"/>
      <c r="APD177" s="541"/>
      <c r="APE177" s="541"/>
      <c r="APF177" s="541"/>
      <c r="APG177" s="541"/>
      <c r="APH177" s="541"/>
      <c r="API177" s="541"/>
      <c r="APJ177" s="541"/>
      <c r="APK177" s="541"/>
      <c r="APL177" s="541"/>
      <c r="APM177" s="541"/>
      <c r="APN177" s="541"/>
      <c r="APO177" s="541"/>
      <c r="APP177" s="541"/>
      <c r="APQ177" s="541"/>
      <c r="APR177" s="541"/>
      <c r="APS177" s="541"/>
      <c r="APT177" s="541"/>
      <c r="APU177" s="541"/>
      <c r="APV177" s="541"/>
      <c r="APW177" s="541"/>
      <c r="APX177" s="541"/>
      <c r="APY177" s="541"/>
      <c r="APZ177" s="541"/>
      <c r="AQA177" s="541"/>
      <c r="AQB177" s="541"/>
      <c r="AQC177" s="541"/>
      <c r="AQD177" s="541"/>
      <c r="AQE177" s="541"/>
      <c r="AQF177" s="541"/>
      <c r="AQG177" s="541"/>
      <c r="AQH177" s="541"/>
      <c r="AQI177" s="541"/>
      <c r="AQJ177" s="541"/>
      <c r="AQK177" s="541"/>
      <c r="AQL177" s="541"/>
      <c r="AQM177" s="541"/>
      <c r="AQN177" s="541"/>
      <c r="AQO177" s="541"/>
      <c r="AQP177" s="541"/>
      <c r="AQQ177" s="541"/>
      <c r="AQR177" s="541"/>
      <c r="AQS177" s="541"/>
      <c r="AQT177" s="541"/>
      <c r="AQU177" s="541"/>
      <c r="AQV177" s="541"/>
      <c r="AQW177" s="541"/>
      <c r="AQX177" s="541"/>
      <c r="AQY177" s="541"/>
      <c r="AQZ177" s="541"/>
      <c r="ARA177" s="541"/>
      <c r="ARB177" s="541"/>
      <c r="ARC177" s="541"/>
      <c r="ARD177" s="541"/>
      <c r="ARE177" s="541"/>
      <c r="ARF177" s="541"/>
      <c r="ARG177" s="541"/>
      <c r="ARH177" s="541"/>
      <c r="ARI177" s="541"/>
      <c r="ARJ177" s="541"/>
      <c r="ARK177" s="541"/>
      <c r="ARL177" s="541"/>
      <c r="ARM177" s="541"/>
      <c r="ARN177" s="541"/>
      <c r="ARO177" s="541"/>
      <c r="ARP177" s="541"/>
      <c r="ARQ177" s="541"/>
      <c r="ARR177" s="541"/>
      <c r="ARS177" s="541"/>
      <c r="ART177" s="541"/>
      <c r="ARU177" s="541"/>
    </row>
    <row r="178" spans="1:1165" s="658" customFormat="1">
      <c r="A178" s="613" t="s">
        <v>489</v>
      </c>
      <c r="B178" s="578" t="s">
        <v>110</v>
      </c>
      <c r="C178" s="598">
        <v>0</v>
      </c>
      <c r="D178" s="598">
        <v>0</v>
      </c>
      <c r="E178" s="598">
        <v>0</v>
      </c>
      <c r="F178" s="598">
        <v>0</v>
      </c>
      <c r="G178" s="598">
        <v>0</v>
      </c>
      <c r="H178" s="598">
        <v>0</v>
      </c>
      <c r="I178" s="598">
        <v>0</v>
      </c>
      <c r="J178" s="598">
        <v>0</v>
      </c>
      <c r="K178" s="579">
        <v>0</v>
      </c>
      <c r="L178" s="579">
        <v>0</v>
      </c>
      <c r="M178" s="579">
        <v>0</v>
      </c>
      <c r="N178" s="579">
        <v>0</v>
      </c>
      <c r="O178" s="579">
        <v>0</v>
      </c>
      <c r="P178" s="579">
        <v>0</v>
      </c>
      <c r="Q178" s="579">
        <v>0</v>
      </c>
      <c r="R178" s="579">
        <v>0</v>
      </c>
      <c r="S178" s="579">
        <v>0</v>
      </c>
      <c r="T178" s="579">
        <v>0</v>
      </c>
      <c r="U178" s="579">
        <v>0</v>
      </c>
      <c r="V178" s="579">
        <v>0</v>
      </c>
      <c r="W178" s="579">
        <v>0</v>
      </c>
      <c r="X178" s="579">
        <v>0</v>
      </c>
      <c r="Y178" s="579">
        <v>0</v>
      </c>
      <c r="Z178" s="579">
        <v>0</v>
      </c>
      <c r="AA178" s="579">
        <v>0</v>
      </c>
      <c r="AB178" s="579">
        <v>0</v>
      </c>
      <c r="AC178" s="579">
        <v>0</v>
      </c>
      <c r="AD178" s="579">
        <v>0</v>
      </c>
      <c r="AE178" s="579">
        <v>0</v>
      </c>
      <c r="AF178" s="579">
        <v>0</v>
      </c>
      <c r="AG178" s="579">
        <v>0</v>
      </c>
      <c r="AH178" s="579">
        <v>0</v>
      </c>
      <c r="AI178" s="579">
        <v>14139</v>
      </c>
      <c r="AJ178" s="579">
        <v>3442453</v>
      </c>
      <c r="AK178" s="661">
        <v>150835</v>
      </c>
      <c r="AL178" s="661">
        <v>36929761</v>
      </c>
      <c r="AM178" s="662">
        <v>253817</v>
      </c>
      <c r="AN178" s="662">
        <v>73825137</v>
      </c>
      <c r="AO178" s="579">
        <v>263815</v>
      </c>
      <c r="AP178" s="579">
        <v>55870605</v>
      </c>
      <c r="AQ178" s="579">
        <v>260443</v>
      </c>
      <c r="AR178" s="579">
        <v>81771642.760000005</v>
      </c>
      <c r="AS178" s="579">
        <v>364533</v>
      </c>
      <c r="AT178" s="579">
        <v>183355542</v>
      </c>
      <c r="AU178" s="619">
        <v>385834</v>
      </c>
      <c r="AV178" s="619">
        <v>185081893</v>
      </c>
      <c r="AW178" s="598">
        <v>357413</v>
      </c>
      <c r="AX178" s="598">
        <v>165884336</v>
      </c>
      <c r="AY178" s="598">
        <v>319970</v>
      </c>
      <c r="AZ178" s="598">
        <v>142721362</v>
      </c>
      <c r="BA178" s="663"/>
      <c r="BB178" s="598"/>
      <c r="BC178" s="598"/>
      <c r="BD178" s="598"/>
      <c r="BE178" s="598"/>
      <c r="BF178" s="598"/>
      <c r="BG178" s="598"/>
      <c r="BH178" s="598"/>
      <c r="BI178" s="664"/>
      <c r="BJ178" s="581">
        <f t="shared" si="25"/>
        <v>2370799</v>
      </c>
      <c r="BK178" s="651">
        <f t="shared" si="26"/>
        <v>928882731.75999999</v>
      </c>
      <c r="BL178" s="541"/>
      <c r="BM178" s="624"/>
      <c r="BN178" s="541"/>
      <c r="BO178" s="541"/>
      <c r="BP178" s="624"/>
      <c r="BQ178" s="541"/>
      <c r="BR178" s="541"/>
      <c r="BS178" s="541"/>
      <c r="BT178" s="541"/>
      <c r="BU178" s="541"/>
      <c r="BV178" s="541"/>
      <c r="BW178" s="541"/>
      <c r="BX178" s="541"/>
      <c r="BY178" s="541"/>
      <c r="BZ178" s="541"/>
      <c r="CA178" s="541"/>
      <c r="CB178" s="541"/>
      <c r="CC178" s="541"/>
      <c r="CD178" s="541"/>
      <c r="CE178" s="541"/>
      <c r="CF178" s="541"/>
      <c r="CG178" s="541"/>
      <c r="CH178" s="541"/>
      <c r="CI178" s="541"/>
      <c r="CJ178" s="541"/>
      <c r="CK178" s="541"/>
      <c r="CL178" s="541"/>
      <c r="CM178" s="541"/>
      <c r="CN178" s="541"/>
      <c r="CO178" s="541"/>
      <c r="CP178" s="541"/>
      <c r="CQ178" s="541"/>
      <c r="CR178" s="541"/>
      <c r="CS178" s="541"/>
      <c r="CT178" s="541"/>
      <c r="CU178" s="541"/>
      <c r="CV178" s="541"/>
      <c r="CW178" s="541"/>
      <c r="CX178" s="541"/>
      <c r="CY178" s="541"/>
      <c r="CZ178" s="541"/>
      <c r="DA178" s="541"/>
      <c r="DB178" s="541"/>
      <c r="DC178" s="541"/>
      <c r="DD178" s="541"/>
      <c r="DE178" s="541"/>
      <c r="DF178" s="541"/>
      <c r="DG178" s="541"/>
      <c r="DH178" s="541"/>
      <c r="DI178" s="541"/>
      <c r="DJ178" s="541"/>
      <c r="DK178" s="541"/>
      <c r="DL178" s="541"/>
      <c r="DM178" s="541"/>
      <c r="DN178" s="541"/>
      <c r="DO178" s="541"/>
      <c r="DP178" s="541"/>
      <c r="DQ178" s="541"/>
      <c r="DR178" s="541"/>
      <c r="DS178" s="541"/>
      <c r="DT178" s="541"/>
      <c r="DU178" s="541"/>
      <c r="DV178" s="541"/>
      <c r="DW178" s="541"/>
      <c r="DX178" s="541"/>
      <c r="DY178" s="541"/>
      <c r="DZ178" s="541"/>
      <c r="EA178" s="541"/>
      <c r="EB178" s="541"/>
      <c r="EC178" s="541"/>
      <c r="ED178" s="541"/>
      <c r="EE178" s="541"/>
      <c r="EF178" s="541"/>
      <c r="EG178" s="541"/>
      <c r="EH178" s="541"/>
      <c r="EI178" s="541"/>
      <c r="EJ178" s="541"/>
      <c r="EK178" s="541"/>
      <c r="EL178" s="541"/>
      <c r="EM178" s="541"/>
      <c r="EN178" s="541"/>
      <c r="EO178" s="541"/>
      <c r="EP178" s="541"/>
      <c r="EQ178" s="541"/>
      <c r="ER178" s="541"/>
      <c r="ES178" s="541"/>
      <c r="ET178" s="541"/>
      <c r="EU178" s="541"/>
      <c r="EV178" s="541"/>
      <c r="EW178" s="541"/>
      <c r="EX178" s="541"/>
      <c r="EY178" s="541"/>
      <c r="EZ178" s="541"/>
      <c r="FA178" s="541"/>
      <c r="FB178" s="541"/>
      <c r="FC178" s="541"/>
      <c r="FD178" s="541"/>
      <c r="FE178" s="541"/>
      <c r="FF178" s="541"/>
      <c r="FG178" s="541"/>
      <c r="FH178" s="541"/>
      <c r="FI178" s="541"/>
      <c r="FJ178" s="541"/>
      <c r="FK178" s="541"/>
      <c r="FL178" s="541"/>
      <c r="FM178" s="541"/>
      <c r="FN178" s="541"/>
      <c r="FO178" s="541"/>
      <c r="FP178" s="541"/>
      <c r="FQ178" s="541"/>
      <c r="FR178" s="541"/>
      <c r="FS178" s="541"/>
      <c r="FT178" s="541"/>
      <c r="FU178" s="541"/>
      <c r="FV178" s="541"/>
      <c r="FW178" s="541"/>
      <c r="FX178" s="541"/>
      <c r="FY178" s="541"/>
      <c r="FZ178" s="541"/>
      <c r="GA178" s="541"/>
      <c r="GB178" s="541"/>
      <c r="GC178" s="541"/>
      <c r="GD178" s="541"/>
      <c r="GE178" s="541"/>
      <c r="GF178" s="541"/>
      <c r="GG178" s="541"/>
      <c r="GH178" s="541"/>
      <c r="GI178" s="541"/>
      <c r="GJ178" s="541"/>
      <c r="GK178" s="541"/>
      <c r="GL178" s="541"/>
      <c r="GM178" s="541"/>
      <c r="GN178" s="541"/>
      <c r="GO178" s="541"/>
      <c r="GP178" s="541"/>
      <c r="GQ178" s="541"/>
      <c r="GR178" s="541"/>
      <c r="GS178" s="541"/>
      <c r="GT178" s="541"/>
      <c r="GU178" s="541"/>
      <c r="GV178" s="541"/>
      <c r="GW178" s="541"/>
      <c r="GX178" s="541"/>
      <c r="GY178" s="541"/>
      <c r="GZ178" s="541"/>
      <c r="HA178" s="541"/>
      <c r="HB178" s="541"/>
      <c r="HC178" s="541"/>
      <c r="HD178" s="541"/>
      <c r="HE178" s="541"/>
      <c r="HF178" s="541"/>
      <c r="HG178" s="541"/>
      <c r="HH178" s="541"/>
      <c r="HI178" s="541"/>
      <c r="HJ178" s="541"/>
      <c r="HK178" s="541"/>
      <c r="HL178" s="541"/>
      <c r="HM178" s="541"/>
      <c r="HN178" s="541"/>
      <c r="HO178" s="541"/>
      <c r="HP178" s="541"/>
      <c r="HQ178" s="541"/>
      <c r="HR178" s="541"/>
      <c r="HS178" s="541"/>
      <c r="HT178" s="541"/>
      <c r="HU178" s="541"/>
      <c r="HV178" s="541"/>
      <c r="HW178" s="541"/>
      <c r="HX178" s="541"/>
      <c r="HY178" s="541"/>
      <c r="HZ178" s="541"/>
      <c r="IA178" s="541"/>
      <c r="IB178" s="541"/>
      <c r="IC178" s="541"/>
      <c r="ID178" s="541"/>
      <c r="IE178" s="541"/>
      <c r="IF178" s="541"/>
      <c r="IG178" s="541"/>
      <c r="IH178" s="541"/>
      <c r="II178" s="541"/>
      <c r="IJ178" s="541"/>
      <c r="IK178" s="541"/>
      <c r="IL178" s="541"/>
      <c r="IM178" s="541"/>
      <c r="IN178" s="541"/>
      <c r="IO178" s="541"/>
      <c r="IP178" s="541"/>
      <c r="IQ178" s="541"/>
      <c r="IR178" s="541"/>
      <c r="IS178" s="541"/>
      <c r="IT178" s="541"/>
      <c r="IU178" s="541"/>
      <c r="IV178" s="541"/>
      <c r="IW178" s="541"/>
      <c r="IX178" s="541"/>
      <c r="IY178" s="541"/>
      <c r="IZ178" s="541"/>
      <c r="JA178" s="541"/>
      <c r="JB178" s="541"/>
      <c r="JC178" s="541"/>
      <c r="JD178" s="541"/>
      <c r="JE178" s="541"/>
      <c r="JF178" s="541"/>
      <c r="JG178" s="541"/>
      <c r="JH178" s="541"/>
      <c r="JI178" s="541"/>
      <c r="JJ178" s="541"/>
      <c r="JK178" s="541"/>
      <c r="JL178" s="541"/>
      <c r="JM178" s="541"/>
      <c r="JN178" s="541"/>
      <c r="JO178" s="541"/>
      <c r="JP178" s="541"/>
      <c r="JQ178" s="541"/>
      <c r="JR178" s="541"/>
      <c r="JS178" s="541"/>
      <c r="JT178" s="541"/>
      <c r="JU178" s="541"/>
      <c r="JV178" s="541"/>
      <c r="JW178" s="541"/>
      <c r="JX178" s="541"/>
      <c r="JY178" s="541"/>
      <c r="JZ178" s="541"/>
      <c r="KA178" s="541"/>
      <c r="KB178" s="541"/>
      <c r="KC178" s="541"/>
      <c r="KD178" s="541"/>
      <c r="KE178" s="541"/>
      <c r="KF178" s="541"/>
      <c r="KG178" s="541"/>
      <c r="KH178" s="541"/>
      <c r="KI178" s="541"/>
      <c r="KJ178" s="541"/>
      <c r="KK178" s="541"/>
      <c r="KL178" s="541"/>
      <c r="KM178" s="541"/>
      <c r="KN178" s="541"/>
      <c r="KO178" s="541"/>
      <c r="KP178" s="541"/>
      <c r="KQ178" s="541"/>
      <c r="KR178" s="541"/>
      <c r="KS178" s="541"/>
      <c r="KT178" s="541"/>
      <c r="KU178" s="541"/>
      <c r="KV178" s="541"/>
      <c r="KW178" s="541"/>
      <c r="KX178" s="541"/>
      <c r="KY178" s="541"/>
      <c r="KZ178" s="541"/>
      <c r="LA178" s="541"/>
      <c r="LB178" s="541"/>
      <c r="LC178" s="541"/>
      <c r="LD178" s="541"/>
      <c r="LE178" s="541"/>
      <c r="LF178" s="541"/>
      <c r="LG178" s="541"/>
      <c r="LH178" s="541"/>
      <c r="LI178" s="541"/>
      <c r="LJ178" s="541"/>
      <c r="LK178" s="541"/>
      <c r="LL178" s="541"/>
      <c r="LM178" s="541"/>
      <c r="LN178" s="541"/>
      <c r="LO178" s="541"/>
      <c r="LP178" s="541"/>
      <c r="LQ178" s="541"/>
      <c r="LR178" s="541"/>
      <c r="LS178" s="541"/>
      <c r="LT178" s="541"/>
      <c r="LU178" s="541"/>
      <c r="LV178" s="541"/>
      <c r="LW178" s="541"/>
      <c r="LX178" s="541"/>
      <c r="LY178" s="541"/>
      <c r="LZ178" s="541"/>
      <c r="MA178" s="541"/>
      <c r="MB178" s="541"/>
      <c r="MC178" s="541"/>
      <c r="MD178" s="541"/>
      <c r="ME178" s="541"/>
      <c r="MF178" s="541"/>
      <c r="MG178" s="541"/>
      <c r="MH178" s="541"/>
      <c r="MI178" s="541"/>
      <c r="MJ178" s="541"/>
      <c r="MK178" s="541"/>
      <c r="ML178" s="541"/>
      <c r="MM178" s="541"/>
      <c r="MN178" s="541"/>
      <c r="MO178" s="541"/>
      <c r="MP178" s="541"/>
      <c r="MQ178" s="541"/>
      <c r="MR178" s="541"/>
      <c r="MS178" s="541"/>
      <c r="MT178" s="541"/>
      <c r="MU178" s="541"/>
      <c r="MV178" s="541"/>
      <c r="MW178" s="541"/>
      <c r="MX178" s="541"/>
      <c r="MY178" s="541"/>
      <c r="MZ178" s="541"/>
      <c r="NA178" s="541"/>
      <c r="NB178" s="541"/>
      <c r="NC178" s="541"/>
      <c r="ND178" s="541"/>
      <c r="NE178" s="541"/>
      <c r="NF178" s="541"/>
      <c r="NG178" s="541"/>
      <c r="NH178" s="541"/>
      <c r="NI178" s="541"/>
      <c r="NJ178" s="541"/>
      <c r="NK178" s="541"/>
      <c r="NL178" s="541"/>
      <c r="NM178" s="541"/>
      <c r="NN178" s="541"/>
      <c r="NO178" s="541"/>
      <c r="NP178" s="541"/>
      <c r="NQ178" s="541"/>
      <c r="NR178" s="541"/>
      <c r="NS178" s="541"/>
      <c r="NT178" s="541"/>
      <c r="NU178" s="541"/>
      <c r="NV178" s="541"/>
      <c r="NW178" s="541"/>
      <c r="NX178" s="541"/>
      <c r="NY178" s="541"/>
      <c r="NZ178" s="541"/>
      <c r="OA178" s="541"/>
      <c r="OB178" s="541"/>
      <c r="OC178" s="541"/>
      <c r="OD178" s="541"/>
      <c r="OE178" s="541"/>
      <c r="OF178" s="541"/>
      <c r="OG178" s="541"/>
      <c r="OH178" s="541"/>
      <c r="OI178" s="541"/>
      <c r="OJ178" s="541"/>
      <c r="OK178" s="541"/>
      <c r="OL178" s="541"/>
      <c r="OM178" s="541"/>
      <c r="ON178" s="541"/>
      <c r="OO178" s="541"/>
      <c r="OP178" s="541"/>
      <c r="OQ178" s="541"/>
      <c r="OR178" s="541"/>
      <c r="OS178" s="541"/>
      <c r="OT178" s="541"/>
      <c r="OU178" s="541"/>
      <c r="OV178" s="541"/>
      <c r="OW178" s="541"/>
      <c r="OX178" s="541"/>
      <c r="OY178" s="541"/>
      <c r="OZ178" s="541"/>
      <c r="PA178" s="541"/>
      <c r="PB178" s="541"/>
      <c r="PC178" s="541"/>
      <c r="PD178" s="541"/>
      <c r="PE178" s="541"/>
      <c r="PF178" s="541"/>
      <c r="PG178" s="541"/>
      <c r="PH178" s="541"/>
      <c r="PI178" s="541"/>
      <c r="PJ178" s="541"/>
      <c r="PK178" s="541"/>
      <c r="PL178" s="541"/>
      <c r="PM178" s="541"/>
      <c r="PN178" s="541"/>
      <c r="PO178" s="541"/>
      <c r="PP178" s="541"/>
      <c r="PQ178" s="541"/>
      <c r="PR178" s="541"/>
      <c r="PS178" s="541"/>
      <c r="PT178" s="541"/>
      <c r="PU178" s="541"/>
      <c r="PV178" s="541"/>
      <c r="PW178" s="541"/>
      <c r="PX178" s="541"/>
      <c r="PY178" s="541"/>
      <c r="PZ178" s="541"/>
      <c r="QA178" s="541"/>
      <c r="QB178" s="541"/>
      <c r="QC178" s="541"/>
      <c r="QD178" s="541"/>
      <c r="QE178" s="541"/>
      <c r="QF178" s="541"/>
      <c r="QG178" s="541"/>
      <c r="QH178" s="541"/>
      <c r="QI178" s="541"/>
      <c r="QJ178" s="541"/>
      <c r="QK178" s="541"/>
      <c r="QL178" s="541"/>
      <c r="QM178" s="541"/>
      <c r="QN178" s="541"/>
      <c r="QO178" s="541"/>
      <c r="QP178" s="541"/>
      <c r="QQ178" s="541"/>
      <c r="QR178" s="541"/>
      <c r="QS178" s="541"/>
      <c r="QT178" s="541"/>
      <c r="QU178" s="541"/>
      <c r="QV178" s="541"/>
      <c r="QW178" s="541"/>
      <c r="QX178" s="541"/>
      <c r="QY178" s="541"/>
      <c r="QZ178" s="541"/>
      <c r="RA178" s="541"/>
      <c r="RB178" s="541"/>
      <c r="RC178" s="541"/>
      <c r="RD178" s="541"/>
      <c r="RE178" s="541"/>
      <c r="RF178" s="541"/>
      <c r="RG178" s="541"/>
      <c r="RH178" s="541"/>
      <c r="RI178" s="541"/>
      <c r="RJ178" s="541"/>
      <c r="RK178" s="541"/>
      <c r="RL178" s="541"/>
      <c r="RM178" s="541"/>
      <c r="RN178" s="541"/>
      <c r="RO178" s="541"/>
      <c r="RP178" s="541"/>
      <c r="RQ178" s="541"/>
      <c r="RR178" s="541"/>
      <c r="RS178" s="541"/>
      <c r="RT178" s="541"/>
      <c r="RU178" s="541"/>
      <c r="RV178" s="541"/>
      <c r="RW178" s="541"/>
      <c r="RX178" s="541"/>
      <c r="RY178" s="541"/>
      <c r="RZ178" s="541"/>
      <c r="SA178" s="541"/>
      <c r="SB178" s="541"/>
      <c r="SC178" s="541"/>
      <c r="SD178" s="541"/>
      <c r="SE178" s="541"/>
      <c r="SF178" s="541"/>
      <c r="SG178" s="541"/>
      <c r="SH178" s="541"/>
      <c r="SI178" s="541"/>
      <c r="SJ178" s="541"/>
      <c r="SK178" s="541"/>
      <c r="SL178" s="541"/>
      <c r="SM178" s="541"/>
      <c r="SN178" s="541"/>
      <c r="SO178" s="541"/>
      <c r="SP178" s="541"/>
      <c r="SQ178" s="541"/>
      <c r="SR178" s="541"/>
      <c r="SS178" s="541"/>
      <c r="ST178" s="541"/>
      <c r="SU178" s="541"/>
      <c r="SV178" s="541"/>
      <c r="SW178" s="541"/>
      <c r="SX178" s="541"/>
      <c r="SY178" s="541"/>
      <c r="SZ178" s="541"/>
      <c r="TA178" s="541"/>
      <c r="TB178" s="541"/>
      <c r="TC178" s="541"/>
      <c r="TD178" s="541"/>
      <c r="TE178" s="541"/>
      <c r="TF178" s="541"/>
      <c r="TG178" s="541"/>
      <c r="TH178" s="541"/>
      <c r="TI178" s="541"/>
      <c r="TJ178" s="541"/>
      <c r="TK178" s="541"/>
      <c r="TL178" s="541"/>
      <c r="TM178" s="541"/>
      <c r="TN178" s="541"/>
      <c r="TO178" s="541"/>
      <c r="TP178" s="541"/>
      <c r="TQ178" s="541"/>
      <c r="TR178" s="541"/>
      <c r="TS178" s="541"/>
      <c r="TT178" s="541"/>
      <c r="TU178" s="541"/>
      <c r="TV178" s="541"/>
      <c r="TW178" s="541"/>
      <c r="TX178" s="541"/>
      <c r="TY178" s="541"/>
      <c r="TZ178" s="541"/>
      <c r="UA178" s="541"/>
      <c r="UB178" s="541"/>
      <c r="UC178" s="541"/>
      <c r="UD178" s="541"/>
      <c r="UE178" s="541"/>
      <c r="UF178" s="541"/>
      <c r="UG178" s="541"/>
      <c r="UH178" s="541"/>
      <c r="UI178" s="541"/>
      <c r="UJ178" s="541"/>
      <c r="UK178" s="541"/>
      <c r="UL178" s="541"/>
      <c r="UM178" s="541"/>
      <c r="UN178" s="541"/>
      <c r="UO178" s="541"/>
      <c r="UP178" s="541"/>
      <c r="UQ178" s="541"/>
      <c r="UR178" s="541"/>
      <c r="US178" s="541"/>
      <c r="UT178" s="541"/>
      <c r="UU178" s="541"/>
      <c r="UV178" s="541"/>
      <c r="UW178" s="541"/>
      <c r="UX178" s="541"/>
      <c r="UY178" s="541"/>
      <c r="UZ178" s="541"/>
      <c r="VA178" s="541"/>
      <c r="VB178" s="541"/>
      <c r="VC178" s="541"/>
      <c r="VD178" s="541"/>
      <c r="VE178" s="541"/>
      <c r="VF178" s="541"/>
      <c r="VG178" s="541"/>
      <c r="VH178" s="541"/>
      <c r="VI178" s="541"/>
      <c r="VJ178" s="541"/>
      <c r="VK178" s="541"/>
      <c r="VL178" s="541"/>
      <c r="VM178" s="541"/>
      <c r="VN178" s="541"/>
      <c r="VO178" s="541"/>
      <c r="VP178" s="541"/>
      <c r="VQ178" s="541"/>
      <c r="VR178" s="541"/>
      <c r="VS178" s="541"/>
      <c r="VT178" s="541"/>
      <c r="VU178" s="541"/>
      <c r="VV178" s="541"/>
      <c r="VW178" s="541"/>
      <c r="VX178" s="541"/>
      <c r="VY178" s="541"/>
      <c r="VZ178" s="541"/>
      <c r="WA178" s="541"/>
      <c r="WB178" s="541"/>
      <c r="WC178" s="541"/>
      <c r="WD178" s="541"/>
      <c r="WE178" s="541"/>
      <c r="WF178" s="541"/>
      <c r="WG178" s="541"/>
      <c r="WH178" s="541"/>
      <c r="WI178" s="541"/>
      <c r="WJ178" s="541"/>
      <c r="WK178" s="541"/>
      <c r="WL178" s="541"/>
      <c r="WM178" s="541"/>
      <c r="WN178" s="541"/>
      <c r="WO178" s="541"/>
      <c r="WP178" s="541"/>
      <c r="WQ178" s="541"/>
      <c r="WR178" s="541"/>
      <c r="WS178" s="541"/>
      <c r="WT178" s="541"/>
      <c r="WU178" s="541"/>
      <c r="WV178" s="541"/>
      <c r="WW178" s="541"/>
      <c r="WX178" s="541"/>
      <c r="WY178" s="541"/>
      <c r="WZ178" s="541"/>
      <c r="XA178" s="541"/>
      <c r="XB178" s="541"/>
      <c r="XC178" s="541"/>
      <c r="XD178" s="541"/>
      <c r="XE178" s="541"/>
      <c r="XF178" s="541"/>
      <c r="XG178" s="541"/>
      <c r="XH178" s="541"/>
      <c r="XI178" s="541"/>
      <c r="XJ178" s="541"/>
      <c r="XK178" s="541"/>
      <c r="XL178" s="541"/>
      <c r="XM178" s="541"/>
      <c r="XN178" s="541"/>
      <c r="XO178" s="541"/>
      <c r="XP178" s="541"/>
      <c r="XQ178" s="541"/>
      <c r="XR178" s="541"/>
      <c r="XS178" s="541"/>
      <c r="XT178" s="541"/>
      <c r="XU178" s="541"/>
      <c r="XV178" s="541"/>
      <c r="XW178" s="541"/>
      <c r="XX178" s="541"/>
      <c r="XY178" s="541"/>
      <c r="XZ178" s="541"/>
      <c r="YA178" s="541"/>
      <c r="YB178" s="541"/>
      <c r="YC178" s="541"/>
      <c r="YD178" s="541"/>
      <c r="YE178" s="541"/>
      <c r="YF178" s="541"/>
      <c r="YG178" s="541"/>
      <c r="YH178" s="541"/>
      <c r="YI178" s="541"/>
      <c r="YJ178" s="541"/>
      <c r="YK178" s="541"/>
      <c r="YL178" s="541"/>
      <c r="YM178" s="541"/>
      <c r="YN178" s="541"/>
      <c r="YO178" s="541"/>
      <c r="YP178" s="541"/>
      <c r="YQ178" s="541"/>
      <c r="YR178" s="541"/>
      <c r="YS178" s="541"/>
      <c r="YT178" s="541"/>
      <c r="YU178" s="541"/>
      <c r="YV178" s="541"/>
      <c r="YW178" s="541"/>
      <c r="YX178" s="541"/>
      <c r="YY178" s="541"/>
      <c r="YZ178" s="541"/>
      <c r="ZA178" s="541"/>
      <c r="ZB178" s="541"/>
      <c r="ZC178" s="541"/>
      <c r="ZD178" s="541"/>
      <c r="ZE178" s="541"/>
      <c r="ZF178" s="541"/>
      <c r="ZG178" s="541"/>
      <c r="ZH178" s="541"/>
      <c r="ZI178" s="541"/>
      <c r="ZJ178" s="541"/>
      <c r="ZK178" s="541"/>
      <c r="ZL178" s="541"/>
      <c r="ZM178" s="541"/>
      <c r="ZN178" s="541"/>
      <c r="ZO178" s="541"/>
      <c r="ZP178" s="541"/>
      <c r="ZQ178" s="541"/>
      <c r="ZR178" s="541"/>
      <c r="ZS178" s="541"/>
      <c r="ZT178" s="541"/>
      <c r="ZU178" s="541"/>
      <c r="ZV178" s="541"/>
      <c r="ZW178" s="541"/>
      <c r="ZX178" s="541"/>
      <c r="ZY178" s="541"/>
      <c r="ZZ178" s="541"/>
      <c r="AAA178" s="541"/>
      <c r="AAB178" s="541"/>
      <c r="AAC178" s="541"/>
      <c r="AAD178" s="541"/>
      <c r="AAE178" s="541"/>
      <c r="AAF178" s="541"/>
      <c r="AAG178" s="541"/>
      <c r="AAH178" s="541"/>
      <c r="AAI178" s="541"/>
      <c r="AAJ178" s="541"/>
      <c r="AAK178" s="541"/>
      <c r="AAL178" s="541"/>
      <c r="AAM178" s="541"/>
      <c r="AAN178" s="541"/>
      <c r="AAO178" s="541"/>
      <c r="AAP178" s="541"/>
      <c r="AAQ178" s="541"/>
      <c r="AAR178" s="541"/>
      <c r="AAS178" s="541"/>
      <c r="AAT178" s="541"/>
      <c r="AAU178" s="541"/>
      <c r="AAV178" s="541"/>
      <c r="AAW178" s="541"/>
      <c r="AAX178" s="541"/>
      <c r="AAY178" s="541"/>
      <c r="AAZ178" s="541"/>
      <c r="ABA178" s="541"/>
      <c r="ABB178" s="541"/>
      <c r="ABC178" s="541"/>
      <c r="ABD178" s="541"/>
      <c r="ABE178" s="541"/>
      <c r="ABF178" s="541"/>
      <c r="ABG178" s="541"/>
      <c r="ABH178" s="541"/>
      <c r="ABI178" s="541"/>
      <c r="ABJ178" s="541"/>
      <c r="ABK178" s="541"/>
      <c r="ABL178" s="541"/>
      <c r="ABM178" s="541"/>
      <c r="ABN178" s="541"/>
      <c r="ABO178" s="541"/>
      <c r="ABP178" s="541"/>
      <c r="ABQ178" s="541"/>
      <c r="ABR178" s="541"/>
      <c r="ABS178" s="541"/>
      <c r="ABT178" s="541"/>
      <c r="ABU178" s="541"/>
      <c r="ABV178" s="541"/>
      <c r="ABW178" s="541"/>
      <c r="ABX178" s="541"/>
      <c r="ABY178" s="541"/>
      <c r="ABZ178" s="541"/>
      <c r="ACA178" s="541"/>
      <c r="ACB178" s="541"/>
      <c r="ACC178" s="541"/>
      <c r="ACD178" s="541"/>
      <c r="ACE178" s="541"/>
      <c r="ACF178" s="541"/>
      <c r="ACG178" s="541"/>
      <c r="ACH178" s="541"/>
      <c r="ACI178" s="541"/>
      <c r="ACJ178" s="541"/>
      <c r="ACK178" s="541"/>
      <c r="ACL178" s="541"/>
      <c r="ACM178" s="541"/>
      <c r="ACN178" s="541"/>
      <c r="ACO178" s="541"/>
      <c r="ACP178" s="541"/>
      <c r="ACQ178" s="541"/>
      <c r="ACR178" s="541"/>
      <c r="ACS178" s="541"/>
      <c r="ACT178" s="541"/>
      <c r="ACU178" s="541"/>
      <c r="ACV178" s="541"/>
      <c r="ACW178" s="541"/>
      <c r="ACX178" s="541"/>
      <c r="ACY178" s="541"/>
      <c r="ACZ178" s="541"/>
      <c r="ADA178" s="541"/>
      <c r="ADB178" s="541"/>
      <c r="ADC178" s="541"/>
      <c r="ADD178" s="541"/>
      <c r="ADE178" s="541"/>
      <c r="ADF178" s="541"/>
      <c r="ADG178" s="541"/>
      <c r="ADH178" s="541"/>
      <c r="ADI178" s="541"/>
      <c r="ADJ178" s="541"/>
      <c r="ADK178" s="541"/>
      <c r="ADL178" s="541"/>
      <c r="ADM178" s="541"/>
      <c r="ADN178" s="541"/>
      <c r="ADO178" s="541"/>
      <c r="ADP178" s="541"/>
      <c r="ADQ178" s="541"/>
      <c r="ADR178" s="541"/>
      <c r="ADS178" s="541"/>
      <c r="ADT178" s="541"/>
      <c r="ADU178" s="541"/>
      <c r="ADV178" s="541"/>
      <c r="ADW178" s="541"/>
      <c r="ADX178" s="541"/>
      <c r="ADY178" s="541"/>
      <c r="ADZ178" s="541"/>
      <c r="AEA178" s="541"/>
      <c r="AEB178" s="541"/>
      <c r="AEC178" s="541"/>
      <c r="AED178" s="541"/>
      <c r="AEE178" s="541"/>
      <c r="AEF178" s="541"/>
      <c r="AEG178" s="541"/>
      <c r="AEH178" s="541"/>
      <c r="AEI178" s="541"/>
      <c r="AEJ178" s="541"/>
      <c r="AEK178" s="541"/>
      <c r="AEL178" s="541"/>
      <c r="AEM178" s="541"/>
      <c r="AEN178" s="541"/>
      <c r="AEO178" s="541"/>
      <c r="AEP178" s="541"/>
      <c r="AEQ178" s="541"/>
      <c r="AER178" s="541"/>
      <c r="AES178" s="541"/>
      <c r="AET178" s="541"/>
      <c r="AEU178" s="541"/>
      <c r="AEV178" s="541"/>
      <c r="AEW178" s="541"/>
      <c r="AEX178" s="541"/>
      <c r="AEY178" s="541"/>
      <c r="AEZ178" s="541"/>
      <c r="AFA178" s="541"/>
      <c r="AFB178" s="541"/>
      <c r="AFC178" s="541"/>
      <c r="AFD178" s="541"/>
      <c r="AFE178" s="541"/>
      <c r="AFF178" s="541"/>
      <c r="AFG178" s="541"/>
      <c r="AFH178" s="541"/>
      <c r="AFI178" s="541"/>
      <c r="AFJ178" s="541"/>
      <c r="AFK178" s="541"/>
      <c r="AFL178" s="541"/>
      <c r="AFM178" s="541"/>
      <c r="AFN178" s="541"/>
      <c r="AFO178" s="541"/>
      <c r="AFP178" s="541"/>
      <c r="AFQ178" s="541"/>
      <c r="AFR178" s="541"/>
      <c r="AFS178" s="541"/>
      <c r="AFT178" s="541"/>
      <c r="AFU178" s="541"/>
      <c r="AFV178" s="541"/>
      <c r="AFW178" s="541"/>
      <c r="AFX178" s="541"/>
      <c r="AFY178" s="541"/>
      <c r="AFZ178" s="541"/>
      <c r="AGA178" s="541"/>
      <c r="AGB178" s="541"/>
      <c r="AGC178" s="541"/>
      <c r="AGD178" s="541"/>
      <c r="AGE178" s="541"/>
      <c r="AGF178" s="541"/>
      <c r="AGG178" s="541"/>
      <c r="AGH178" s="541"/>
      <c r="AGI178" s="541"/>
      <c r="AGJ178" s="541"/>
      <c r="AGK178" s="541"/>
      <c r="AGL178" s="541"/>
      <c r="AGM178" s="541"/>
      <c r="AGN178" s="541"/>
      <c r="AGO178" s="541"/>
      <c r="AGP178" s="541"/>
      <c r="AGQ178" s="541"/>
      <c r="AGR178" s="541"/>
      <c r="AGS178" s="541"/>
      <c r="AGT178" s="541"/>
      <c r="AGU178" s="541"/>
      <c r="AGV178" s="541"/>
      <c r="AGW178" s="541"/>
      <c r="AGX178" s="541"/>
      <c r="AGY178" s="541"/>
      <c r="AGZ178" s="541"/>
      <c r="AHA178" s="541"/>
      <c r="AHB178" s="541"/>
      <c r="AHC178" s="541"/>
      <c r="AHD178" s="541"/>
      <c r="AHE178" s="541"/>
      <c r="AHF178" s="541"/>
      <c r="AHG178" s="541"/>
      <c r="AHH178" s="541"/>
      <c r="AHI178" s="541"/>
      <c r="AHJ178" s="541"/>
      <c r="AHK178" s="541"/>
      <c r="AHL178" s="541"/>
      <c r="AHM178" s="541"/>
      <c r="AHN178" s="541"/>
      <c r="AHO178" s="541"/>
      <c r="AHP178" s="541"/>
      <c r="AHQ178" s="541"/>
      <c r="AHR178" s="541"/>
      <c r="AHS178" s="541"/>
      <c r="AHT178" s="541"/>
      <c r="AHU178" s="541"/>
      <c r="AHV178" s="541"/>
      <c r="AHW178" s="541"/>
      <c r="AHX178" s="541"/>
      <c r="AHY178" s="541"/>
      <c r="AHZ178" s="541"/>
      <c r="AIA178" s="541"/>
      <c r="AIB178" s="541"/>
      <c r="AIC178" s="541"/>
      <c r="AID178" s="541"/>
      <c r="AIE178" s="541"/>
      <c r="AIF178" s="541"/>
      <c r="AIG178" s="541"/>
      <c r="AIH178" s="541"/>
      <c r="AII178" s="541"/>
      <c r="AIJ178" s="541"/>
      <c r="AIK178" s="541"/>
      <c r="AIL178" s="541"/>
      <c r="AIM178" s="541"/>
      <c r="AIN178" s="541"/>
      <c r="AIO178" s="541"/>
      <c r="AIP178" s="541"/>
      <c r="AIQ178" s="541"/>
      <c r="AIR178" s="541"/>
      <c r="AIS178" s="541"/>
      <c r="AIT178" s="541"/>
      <c r="AIU178" s="541"/>
      <c r="AIV178" s="541"/>
      <c r="AIW178" s="541"/>
      <c r="AIX178" s="541"/>
      <c r="AIY178" s="541"/>
      <c r="AIZ178" s="541"/>
      <c r="AJA178" s="541"/>
      <c r="AJB178" s="541"/>
      <c r="AJC178" s="541"/>
      <c r="AJD178" s="541"/>
      <c r="AJE178" s="541"/>
      <c r="AJF178" s="541"/>
      <c r="AJG178" s="541"/>
      <c r="AJH178" s="541"/>
      <c r="AJI178" s="541"/>
      <c r="AJJ178" s="541"/>
      <c r="AJK178" s="541"/>
      <c r="AJL178" s="541"/>
      <c r="AJM178" s="541"/>
      <c r="AJN178" s="541"/>
      <c r="AJO178" s="541"/>
      <c r="AJP178" s="541"/>
      <c r="AJQ178" s="541"/>
      <c r="AJR178" s="541"/>
      <c r="AJS178" s="541"/>
      <c r="AJT178" s="541"/>
      <c r="AJU178" s="541"/>
      <c r="AJV178" s="541"/>
      <c r="AJW178" s="541"/>
      <c r="AJX178" s="541"/>
      <c r="AJY178" s="541"/>
      <c r="AJZ178" s="541"/>
      <c r="AKA178" s="541"/>
      <c r="AKB178" s="541"/>
      <c r="AKC178" s="541"/>
      <c r="AKD178" s="541"/>
      <c r="AKE178" s="541"/>
      <c r="AKF178" s="541"/>
      <c r="AKG178" s="541"/>
      <c r="AKH178" s="541"/>
      <c r="AKI178" s="541"/>
      <c r="AKJ178" s="541"/>
      <c r="AKK178" s="541"/>
      <c r="AKL178" s="541"/>
      <c r="AKM178" s="541"/>
      <c r="AKN178" s="541"/>
      <c r="AKO178" s="541"/>
      <c r="AKP178" s="541"/>
      <c r="AKQ178" s="541"/>
      <c r="AKR178" s="541"/>
      <c r="AKS178" s="541"/>
      <c r="AKT178" s="541"/>
      <c r="AKU178" s="541"/>
      <c r="AKV178" s="541"/>
      <c r="AKW178" s="541"/>
      <c r="AKX178" s="541"/>
      <c r="AKY178" s="541"/>
      <c r="AKZ178" s="541"/>
      <c r="ALA178" s="541"/>
      <c r="ALB178" s="541"/>
      <c r="ALC178" s="541"/>
      <c r="ALD178" s="541"/>
      <c r="ALE178" s="541"/>
      <c r="ALF178" s="541"/>
      <c r="ALG178" s="541"/>
      <c r="ALH178" s="541"/>
      <c r="ALI178" s="541"/>
      <c r="ALJ178" s="541"/>
      <c r="ALK178" s="541"/>
      <c r="ALL178" s="541"/>
      <c r="ALM178" s="541"/>
      <c r="ALN178" s="541"/>
      <c r="ALO178" s="541"/>
      <c r="ALP178" s="541"/>
      <c r="ALQ178" s="541"/>
      <c r="ALR178" s="541"/>
      <c r="ALS178" s="541"/>
      <c r="ALT178" s="541"/>
      <c r="ALU178" s="541"/>
      <c r="ALV178" s="541"/>
      <c r="ALW178" s="541"/>
      <c r="ALX178" s="541"/>
      <c r="ALY178" s="541"/>
      <c r="ALZ178" s="541"/>
      <c r="AMA178" s="541"/>
      <c r="AMB178" s="541"/>
      <c r="AMC178" s="541"/>
      <c r="AMD178" s="541"/>
      <c r="AME178" s="541"/>
      <c r="AMF178" s="541"/>
      <c r="AMG178" s="541"/>
      <c r="AMH178" s="541"/>
      <c r="AMI178" s="541"/>
      <c r="AMJ178" s="541"/>
      <c r="AMK178" s="541"/>
      <c r="AML178" s="541"/>
      <c r="AMM178" s="541"/>
      <c r="AMN178" s="541"/>
      <c r="AMO178" s="541"/>
      <c r="AMP178" s="541"/>
      <c r="AMQ178" s="541"/>
      <c r="AMR178" s="541"/>
      <c r="AMS178" s="541"/>
      <c r="AMT178" s="541"/>
      <c r="AMU178" s="541"/>
      <c r="AMV178" s="541"/>
      <c r="AMW178" s="541"/>
      <c r="AMX178" s="541"/>
      <c r="AMY178" s="541"/>
      <c r="AMZ178" s="541"/>
      <c r="ANA178" s="541"/>
      <c r="ANB178" s="541"/>
      <c r="ANC178" s="541"/>
      <c r="AND178" s="541"/>
      <c r="ANE178" s="541"/>
      <c r="ANF178" s="541"/>
      <c r="ANG178" s="541"/>
      <c r="ANH178" s="541"/>
      <c r="ANI178" s="541"/>
      <c r="ANJ178" s="541"/>
      <c r="ANK178" s="541"/>
      <c r="ANL178" s="541"/>
      <c r="ANM178" s="541"/>
      <c r="ANN178" s="541"/>
      <c r="ANO178" s="541"/>
      <c r="ANP178" s="541"/>
      <c r="ANQ178" s="541"/>
      <c r="ANR178" s="541"/>
      <c r="ANS178" s="541"/>
      <c r="ANT178" s="541"/>
      <c r="ANU178" s="541"/>
      <c r="ANV178" s="541"/>
      <c r="ANW178" s="541"/>
      <c r="ANX178" s="541"/>
      <c r="ANY178" s="541"/>
      <c r="ANZ178" s="541"/>
      <c r="AOA178" s="541"/>
      <c r="AOB178" s="541"/>
      <c r="AOC178" s="541"/>
      <c r="AOD178" s="541"/>
      <c r="AOE178" s="541"/>
      <c r="AOF178" s="541"/>
      <c r="AOG178" s="541"/>
      <c r="AOH178" s="541"/>
      <c r="AOI178" s="541"/>
      <c r="AOJ178" s="541"/>
      <c r="AOK178" s="541"/>
      <c r="AOL178" s="541"/>
      <c r="AOM178" s="541"/>
      <c r="AON178" s="541"/>
      <c r="AOO178" s="541"/>
      <c r="AOP178" s="541"/>
      <c r="AOQ178" s="541"/>
      <c r="AOR178" s="541"/>
      <c r="AOS178" s="541"/>
      <c r="AOT178" s="541"/>
      <c r="AOU178" s="541"/>
      <c r="AOV178" s="541"/>
      <c r="AOW178" s="541"/>
      <c r="AOX178" s="541"/>
      <c r="AOY178" s="541"/>
      <c r="AOZ178" s="541"/>
      <c r="APA178" s="541"/>
      <c r="APB178" s="541"/>
      <c r="APC178" s="541"/>
      <c r="APD178" s="541"/>
      <c r="APE178" s="541"/>
      <c r="APF178" s="541"/>
      <c r="APG178" s="541"/>
      <c r="APH178" s="541"/>
      <c r="API178" s="541"/>
      <c r="APJ178" s="541"/>
      <c r="APK178" s="541"/>
      <c r="APL178" s="541"/>
      <c r="APM178" s="541"/>
      <c r="APN178" s="541"/>
      <c r="APO178" s="541"/>
      <c r="APP178" s="541"/>
      <c r="APQ178" s="541"/>
      <c r="APR178" s="541"/>
      <c r="APS178" s="541"/>
      <c r="APT178" s="541"/>
      <c r="APU178" s="541"/>
      <c r="APV178" s="541"/>
      <c r="APW178" s="541"/>
      <c r="APX178" s="541"/>
      <c r="APY178" s="541"/>
      <c r="APZ178" s="541"/>
      <c r="AQA178" s="541"/>
      <c r="AQB178" s="541"/>
      <c r="AQC178" s="541"/>
      <c r="AQD178" s="541"/>
      <c r="AQE178" s="541"/>
      <c r="AQF178" s="541"/>
      <c r="AQG178" s="541"/>
      <c r="AQH178" s="541"/>
      <c r="AQI178" s="541"/>
      <c r="AQJ178" s="541"/>
      <c r="AQK178" s="541"/>
      <c r="AQL178" s="541"/>
      <c r="AQM178" s="541"/>
      <c r="AQN178" s="541"/>
      <c r="AQO178" s="541"/>
      <c r="AQP178" s="541"/>
      <c r="AQQ178" s="541"/>
      <c r="AQR178" s="541"/>
      <c r="AQS178" s="541"/>
      <c r="AQT178" s="541"/>
      <c r="AQU178" s="541"/>
      <c r="AQV178" s="541"/>
      <c r="AQW178" s="541"/>
      <c r="AQX178" s="541"/>
      <c r="AQY178" s="541"/>
      <c r="AQZ178" s="541"/>
      <c r="ARA178" s="541"/>
      <c r="ARB178" s="541"/>
      <c r="ARC178" s="541"/>
      <c r="ARD178" s="541"/>
      <c r="ARE178" s="541"/>
      <c r="ARF178" s="541"/>
      <c r="ARG178" s="541"/>
      <c r="ARH178" s="541"/>
      <c r="ARI178" s="541"/>
      <c r="ARJ178" s="541"/>
      <c r="ARK178" s="541"/>
      <c r="ARL178" s="541"/>
      <c r="ARM178" s="541"/>
      <c r="ARN178" s="541"/>
      <c r="ARO178" s="541"/>
      <c r="ARP178" s="541"/>
      <c r="ARQ178" s="541"/>
      <c r="ARR178" s="541"/>
      <c r="ARS178" s="541"/>
      <c r="ART178" s="541"/>
      <c r="ARU178" s="541"/>
    </row>
    <row r="179" spans="1:1165" s="658" customFormat="1" ht="17.25">
      <c r="A179" s="613" t="s">
        <v>151</v>
      </c>
      <c r="B179" s="614" t="s">
        <v>499</v>
      </c>
      <c r="C179" s="702">
        <v>7324642</v>
      </c>
      <c r="D179" s="702">
        <v>104169646</v>
      </c>
      <c r="E179" s="703">
        <v>859688</v>
      </c>
      <c r="F179" s="703">
        <v>25494035</v>
      </c>
      <c r="G179" s="703">
        <v>831929</v>
      </c>
      <c r="H179" s="703">
        <v>28927638</v>
      </c>
      <c r="I179" s="703">
        <v>881154</v>
      </c>
      <c r="J179" s="703">
        <v>36018694</v>
      </c>
      <c r="K179" s="703">
        <v>1052738</v>
      </c>
      <c r="L179" s="703">
        <v>54528779</v>
      </c>
      <c r="M179" s="703">
        <v>1332156</v>
      </c>
      <c r="N179" s="703">
        <v>99538071</v>
      </c>
      <c r="O179" s="703">
        <v>2226409</v>
      </c>
      <c r="P179" s="703">
        <v>229954622</v>
      </c>
      <c r="Q179" s="703">
        <v>2974410</v>
      </c>
      <c r="R179" s="703">
        <v>264200592</v>
      </c>
      <c r="S179" s="703">
        <v>3453947</v>
      </c>
      <c r="T179" s="703">
        <v>325888999</v>
      </c>
      <c r="U179" s="579">
        <v>3653278</v>
      </c>
      <c r="V179" s="579">
        <v>301429132</v>
      </c>
      <c r="W179" s="598">
        <v>3742658</v>
      </c>
      <c r="X179" s="598">
        <v>321733867</v>
      </c>
      <c r="Y179" s="581">
        <v>3698843</v>
      </c>
      <c r="Z179" s="581">
        <v>366425052</v>
      </c>
      <c r="AA179" s="619">
        <v>3738455</v>
      </c>
      <c r="AB179" s="619">
        <v>372203226</v>
      </c>
      <c r="AC179" s="581">
        <v>3776068</v>
      </c>
      <c r="AD179" s="581">
        <v>368955578</v>
      </c>
      <c r="AE179" s="619">
        <v>4210825</v>
      </c>
      <c r="AF179" s="619">
        <v>422956897</v>
      </c>
      <c r="AG179" s="579">
        <v>4915310</v>
      </c>
      <c r="AH179" s="579">
        <v>441964508</v>
      </c>
      <c r="AI179" s="579">
        <v>5827413</v>
      </c>
      <c r="AJ179" s="579">
        <v>421922592</v>
      </c>
      <c r="AK179" s="661">
        <v>6624510</v>
      </c>
      <c r="AL179" s="661">
        <v>494681365</v>
      </c>
      <c r="AM179" s="662">
        <v>7331730</v>
      </c>
      <c r="AN179" s="662">
        <v>571510515.80999994</v>
      </c>
      <c r="AO179" s="579">
        <v>6328179</v>
      </c>
      <c r="AP179" s="579">
        <v>527964048</v>
      </c>
      <c r="AQ179" s="579">
        <v>6600274.6600000001</v>
      </c>
      <c r="AR179" s="579">
        <v>569333370.60000002</v>
      </c>
      <c r="AS179" s="579">
        <v>6929520</v>
      </c>
      <c r="AT179" s="579">
        <v>607642506.55303144</v>
      </c>
      <c r="AU179" s="619">
        <v>7741021</v>
      </c>
      <c r="AV179" s="619">
        <v>646370704.71992362</v>
      </c>
      <c r="AW179" s="598">
        <v>7851893</v>
      </c>
      <c r="AX179" s="598">
        <v>659905719</v>
      </c>
      <c r="AY179" s="598">
        <v>8112617</v>
      </c>
      <c r="AZ179" s="598">
        <v>690454885</v>
      </c>
      <c r="BA179" s="663"/>
      <c r="BB179" s="598"/>
      <c r="BC179" s="664"/>
      <c r="BD179" s="598"/>
      <c r="BE179" s="664"/>
      <c r="BF179" s="598"/>
      <c r="BG179" s="598"/>
      <c r="BH179" s="598"/>
      <c r="BI179" s="664"/>
      <c r="BJ179" s="581">
        <f t="shared" si="25"/>
        <v>111159979.66</v>
      </c>
      <c r="BK179" s="651">
        <f t="shared" si="26"/>
        <v>8928681007.6829567</v>
      </c>
      <c r="BL179" s="541"/>
      <c r="BM179" s="624"/>
      <c r="BN179" s="624"/>
      <c r="BO179" s="541"/>
      <c r="BP179" s="624"/>
      <c r="BQ179" s="541"/>
      <c r="BR179" s="541"/>
      <c r="BS179" s="42"/>
      <c r="BT179" s="541"/>
      <c r="BU179" s="541"/>
      <c r="BV179" s="541"/>
      <c r="BW179" s="541"/>
      <c r="BX179" s="541"/>
      <c r="BY179" s="541"/>
      <c r="BZ179" s="541"/>
      <c r="CA179" s="541"/>
      <c r="CB179" s="541"/>
      <c r="CC179" s="541"/>
      <c r="CD179" s="541"/>
      <c r="CE179" s="541"/>
      <c r="CF179" s="541"/>
      <c r="CG179" s="541"/>
      <c r="CH179" s="541"/>
      <c r="CI179" s="541"/>
      <c r="CJ179" s="541"/>
      <c r="CK179" s="541"/>
      <c r="CL179" s="541"/>
      <c r="CM179" s="541"/>
      <c r="CN179" s="541"/>
      <c r="CO179" s="541"/>
      <c r="CP179" s="541"/>
      <c r="CQ179" s="541"/>
      <c r="CR179" s="541"/>
      <c r="CS179" s="541"/>
      <c r="CT179" s="541"/>
      <c r="CU179" s="541"/>
      <c r="CV179" s="541"/>
      <c r="CW179" s="541"/>
      <c r="CX179" s="541"/>
      <c r="CY179" s="541"/>
      <c r="CZ179" s="541"/>
      <c r="DA179" s="541"/>
      <c r="DB179" s="541"/>
      <c r="DC179" s="541"/>
      <c r="DD179" s="541"/>
      <c r="DE179" s="541"/>
      <c r="DF179" s="541"/>
      <c r="DG179" s="541"/>
      <c r="DH179" s="541"/>
      <c r="DI179" s="541"/>
      <c r="DJ179" s="541"/>
      <c r="DK179" s="541"/>
      <c r="DL179" s="541"/>
      <c r="DM179" s="541"/>
      <c r="DN179" s="541"/>
      <c r="DO179" s="541"/>
      <c r="DP179" s="541"/>
      <c r="DQ179" s="541"/>
      <c r="DR179" s="541"/>
      <c r="DS179" s="541"/>
      <c r="DT179" s="541"/>
      <c r="DU179" s="541"/>
      <c r="DV179" s="541"/>
      <c r="DW179" s="541"/>
      <c r="DX179" s="541"/>
      <c r="DY179" s="541"/>
      <c r="DZ179" s="541"/>
      <c r="EA179" s="541"/>
      <c r="EB179" s="541"/>
      <c r="EC179" s="541"/>
      <c r="ED179" s="541"/>
      <c r="EE179" s="541"/>
      <c r="EF179" s="541"/>
      <c r="EG179" s="541"/>
      <c r="EH179" s="541"/>
      <c r="EI179" s="541"/>
      <c r="EJ179" s="541"/>
      <c r="EK179" s="541"/>
      <c r="EL179" s="541"/>
      <c r="EM179" s="541"/>
      <c r="EN179" s="541"/>
      <c r="EO179" s="541"/>
      <c r="EP179" s="541"/>
      <c r="EQ179" s="541"/>
      <c r="ER179" s="541"/>
      <c r="ES179" s="541"/>
      <c r="ET179" s="541"/>
      <c r="EU179" s="541"/>
      <c r="EV179" s="541"/>
      <c r="EW179" s="541"/>
      <c r="EX179" s="541"/>
      <c r="EY179" s="541"/>
      <c r="EZ179" s="541"/>
      <c r="FA179" s="541"/>
      <c r="FB179" s="541"/>
      <c r="FC179" s="541"/>
      <c r="FD179" s="541"/>
      <c r="FE179" s="541"/>
      <c r="FF179" s="541"/>
      <c r="FG179" s="541"/>
      <c r="FH179" s="541"/>
      <c r="FI179" s="541"/>
      <c r="FJ179" s="541"/>
      <c r="FK179" s="541"/>
      <c r="FL179" s="541"/>
      <c r="FM179" s="541"/>
      <c r="FN179" s="541"/>
      <c r="FO179" s="541"/>
      <c r="FP179" s="541"/>
      <c r="FQ179" s="541"/>
      <c r="FR179" s="541"/>
      <c r="FS179" s="541"/>
      <c r="FT179" s="541"/>
      <c r="FU179" s="541"/>
      <c r="FV179" s="541"/>
      <c r="FW179" s="541"/>
      <c r="FX179" s="541"/>
      <c r="FY179" s="541"/>
      <c r="FZ179" s="541"/>
      <c r="GA179" s="541"/>
      <c r="GB179" s="541"/>
      <c r="GC179" s="541"/>
      <c r="GD179" s="541"/>
      <c r="GE179" s="541"/>
      <c r="GF179" s="541"/>
      <c r="GG179" s="541"/>
      <c r="GH179" s="541"/>
      <c r="GI179" s="541"/>
      <c r="GJ179" s="541"/>
      <c r="GK179" s="541"/>
      <c r="GL179" s="541"/>
      <c r="GM179" s="541"/>
      <c r="GN179" s="541"/>
      <c r="GO179" s="541"/>
      <c r="GP179" s="541"/>
      <c r="GQ179" s="541"/>
      <c r="GR179" s="541"/>
      <c r="GS179" s="541"/>
      <c r="GT179" s="541"/>
      <c r="GU179" s="541"/>
      <c r="GV179" s="541"/>
      <c r="GW179" s="541"/>
      <c r="GX179" s="541"/>
      <c r="GY179" s="541"/>
      <c r="GZ179" s="541"/>
      <c r="HA179" s="541"/>
      <c r="HB179" s="541"/>
      <c r="HC179" s="541"/>
      <c r="HD179" s="541"/>
      <c r="HE179" s="541"/>
      <c r="HF179" s="541"/>
      <c r="HG179" s="541"/>
      <c r="HH179" s="541"/>
      <c r="HI179" s="541"/>
      <c r="HJ179" s="541"/>
      <c r="HK179" s="541"/>
      <c r="HL179" s="541"/>
      <c r="HM179" s="541"/>
      <c r="HN179" s="541"/>
      <c r="HO179" s="541"/>
      <c r="HP179" s="541"/>
      <c r="HQ179" s="541"/>
      <c r="HR179" s="541"/>
      <c r="HS179" s="541"/>
      <c r="HT179" s="541"/>
      <c r="HU179" s="541"/>
      <c r="HV179" s="541"/>
      <c r="HW179" s="541"/>
      <c r="HX179" s="541"/>
      <c r="HY179" s="541"/>
      <c r="HZ179" s="541"/>
      <c r="IA179" s="541"/>
      <c r="IB179" s="541"/>
      <c r="IC179" s="541"/>
      <c r="ID179" s="541"/>
      <c r="IE179" s="541"/>
      <c r="IF179" s="541"/>
      <c r="IG179" s="541"/>
      <c r="IH179" s="541"/>
      <c r="II179" s="541"/>
      <c r="IJ179" s="541"/>
      <c r="IK179" s="541"/>
      <c r="IL179" s="541"/>
      <c r="IM179" s="541"/>
      <c r="IN179" s="541"/>
      <c r="IO179" s="541"/>
      <c r="IP179" s="541"/>
      <c r="IQ179" s="541"/>
      <c r="IR179" s="541"/>
      <c r="IS179" s="541"/>
      <c r="IT179" s="541"/>
      <c r="IU179" s="541"/>
      <c r="IV179" s="541"/>
      <c r="IW179" s="541"/>
      <c r="IX179" s="541"/>
      <c r="IY179" s="541"/>
      <c r="IZ179" s="541"/>
      <c r="JA179" s="541"/>
      <c r="JB179" s="541"/>
      <c r="JC179" s="541"/>
      <c r="JD179" s="541"/>
      <c r="JE179" s="541"/>
      <c r="JF179" s="541"/>
      <c r="JG179" s="541"/>
      <c r="JH179" s="541"/>
      <c r="JI179" s="541"/>
      <c r="JJ179" s="541"/>
      <c r="JK179" s="541"/>
      <c r="JL179" s="541"/>
      <c r="JM179" s="541"/>
      <c r="JN179" s="541"/>
      <c r="JO179" s="541"/>
      <c r="JP179" s="541"/>
      <c r="JQ179" s="541"/>
      <c r="JR179" s="541"/>
      <c r="JS179" s="541"/>
      <c r="JT179" s="541"/>
      <c r="JU179" s="541"/>
      <c r="JV179" s="541"/>
      <c r="JW179" s="541"/>
      <c r="JX179" s="541"/>
      <c r="JY179" s="541"/>
      <c r="JZ179" s="541"/>
      <c r="KA179" s="541"/>
      <c r="KB179" s="541"/>
      <c r="KC179" s="541"/>
      <c r="KD179" s="541"/>
      <c r="KE179" s="541"/>
      <c r="KF179" s="541"/>
      <c r="KG179" s="541"/>
      <c r="KH179" s="541"/>
      <c r="KI179" s="541"/>
      <c r="KJ179" s="541"/>
      <c r="KK179" s="541"/>
      <c r="KL179" s="541"/>
      <c r="KM179" s="541"/>
      <c r="KN179" s="541"/>
      <c r="KO179" s="541"/>
      <c r="KP179" s="541"/>
      <c r="KQ179" s="541"/>
      <c r="KR179" s="541"/>
      <c r="KS179" s="541"/>
      <c r="KT179" s="541"/>
      <c r="KU179" s="541"/>
      <c r="KV179" s="541"/>
      <c r="KW179" s="541"/>
      <c r="KX179" s="541"/>
      <c r="KY179" s="541"/>
      <c r="KZ179" s="541"/>
      <c r="LA179" s="541"/>
      <c r="LB179" s="541"/>
      <c r="LC179" s="541"/>
      <c r="LD179" s="541"/>
      <c r="LE179" s="541"/>
      <c r="LF179" s="541"/>
      <c r="LG179" s="541"/>
      <c r="LH179" s="541"/>
      <c r="LI179" s="541"/>
      <c r="LJ179" s="541"/>
      <c r="LK179" s="541"/>
      <c r="LL179" s="541"/>
      <c r="LM179" s="541"/>
      <c r="LN179" s="541"/>
      <c r="LO179" s="541"/>
      <c r="LP179" s="541"/>
      <c r="LQ179" s="541"/>
      <c r="LR179" s="541"/>
      <c r="LS179" s="541"/>
      <c r="LT179" s="541"/>
      <c r="LU179" s="541"/>
      <c r="LV179" s="541"/>
      <c r="LW179" s="541"/>
      <c r="LX179" s="541"/>
      <c r="LY179" s="541"/>
      <c r="LZ179" s="541"/>
      <c r="MA179" s="541"/>
      <c r="MB179" s="541"/>
      <c r="MC179" s="541"/>
      <c r="MD179" s="541"/>
      <c r="ME179" s="541"/>
      <c r="MF179" s="541"/>
      <c r="MG179" s="541"/>
      <c r="MH179" s="541"/>
      <c r="MI179" s="541"/>
      <c r="MJ179" s="541"/>
      <c r="MK179" s="541"/>
      <c r="ML179" s="541"/>
      <c r="MM179" s="541"/>
      <c r="MN179" s="541"/>
      <c r="MO179" s="541"/>
      <c r="MP179" s="541"/>
      <c r="MQ179" s="541"/>
      <c r="MR179" s="541"/>
      <c r="MS179" s="541"/>
      <c r="MT179" s="541"/>
      <c r="MU179" s="541"/>
      <c r="MV179" s="541"/>
      <c r="MW179" s="541"/>
      <c r="MX179" s="541"/>
      <c r="MY179" s="541"/>
      <c r="MZ179" s="541"/>
      <c r="NA179" s="541"/>
      <c r="NB179" s="541"/>
      <c r="NC179" s="541"/>
      <c r="ND179" s="541"/>
      <c r="NE179" s="541"/>
      <c r="NF179" s="541"/>
      <c r="NG179" s="541"/>
      <c r="NH179" s="541"/>
      <c r="NI179" s="541"/>
      <c r="NJ179" s="541"/>
      <c r="NK179" s="541"/>
      <c r="NL179" s="541"/>
      <c r="NM179" s="541"/>
      <c r="NN179" s="541"/>
      <c r="NO179" s="541"/>
      <c r="NP179" s="541"/>
      <c r="NQ179" s="541"/>
      <c r="NR179" s="541"/>
      <c r="NS179" s="541"/>
      <c r="NT179" s="541"/>
      <c r="NU179" s="541"/>
      <c r="NV179" s="541"/>
      <c r="NW179" s="541"/>
      <c r="NX179" s="541"/>
      <c r="NY179" s="541"/>
      <c r="NZ179" s="541"/>
      <c r="OA179" s="541"/>
      <c r="OB179" s="541"/>
      <c r="OC179" s="541"/>
      <c r="OD179" s="541"/>
      <c r="OE179" s="541"/>
      <c r="OF179" s="541"/>
      <c r="OG179" s="541"/>
      <c r="OH179" s="541"/>
      <c r="OI179" s="541"/>
      <c r="OJ179" s="541"/>
      <c r="OK179" s="541"/>
      <c r="OL179" s="541"/>
      <c r="OM179" s="541"/>
      <c r="ON179" s="541"/>
      <c r="OO179" s="541"/>
      <c r="OP179" s="541"/>
      <c r="OQ179" s="541"/>
      <c r="OR179" s="541"/>
      <c r="OS179" s="541"/>
      <c r="OT179" s="541"/>
      <c r="OU179" s="541"/>
      <c r="OV179" s="541"/>
      <c r="OW179" s="541"/>
      <c r="OX179" s="541"/>
      <c r="OY179" s="541"/>
      <c r="OZ179" s="541"/>
      <c r="PA179" s="541"/>
      <c r="PB179" s="541"/>
      <c r="PC179" s="541"/>
      <c r="PD179" s="541"/>
      <c r="PE179" s="541"/>
      <c r="PF179" s="541"/>
      <c r="PG179" s="541"/>
      <c r="PH179" s="541"/>
      <c r="PI179" s="541"/>
      <c r="PJ179" s="541"/>
      <c r="PK179" s="541"/>
      <c r="PL179" s="541"/>
      <c r="PM179" s="541"/>
      <c r="PN179" s="541"/>
      <c r="PO179" s="541"/>
      <c r="PP179" s="541"/>
      <c r="PQ179" s="541"/>
      <c r="PR179" s="541"/>
      <c r="PS179" s="541"/>
      <c r="PT179" s="541"/>
      <c r="PU179" s="541"/>
      <c r="PV179" s="541"/>
      <c r="PW179" s="541"/>
      <c r="PX179" s="541"/>
      <c r="PY179" s="541"/>
      <c r="PZ179" s="541"/>
      <c r="QA179" s="541"/>
      <c r="QB179" s="541"/>
      <c r="QC179" s="541"/>
      <c r="QD179" s="541"/>
      <c r="QE179" s="541"/>
      <c r="QF179" s="541"/>
      <c r="QG179" s="541"/>
      <c r="QH179" s="541"/>
      <c r="QI179" s="541"/>
      <c r="QJ179" s="541"/>
      <c r="QK179" s="541"/>
      <c r="QL179" s="541"/>
      <c r="QM179" s="541"/>
      <c r="QN179" s="541"/>
      <c r="QO179" s="541"/>
      <c r="QP179" s="541"/>
      <c r="QQ179" s="541"/>
      <c r="QR179" s="541"/>
      <c r="QS179" s="541"/>
      <c r="QT179" s="541"/>
      <c r="QU179" s="541"/>
      <c r="QV179" s="541"/>
      <c r="QW179" s="541"/>
      <c r="QX179" s="541"/>
      <c r="QY179" s="541"/>
      <c r="QZ179" s="541"/>
      <c r="RA179" s="541"/>
      <c r="RB179" s="541"/>
      <c r="RC179" s="541"/>
      <c r="RD179" s="541"/>
      <c r="RE179" s="541"/>
      <c r="RF179" s="541"/>
      <c r="RG179" s="541"/>
      <c r="RH179" s="541"/>
      <c r="RI179" s="541"/>
      <c r="RJ179" s="541"/>
      <c r="RK179" s="541"/>
      <c r="RL179" s="541"/>
      <c r="RM179" s="541"/>
      <c r="RN179" s="541"/>
      <c r="RO179" s="541"/>
      <c r="RP179" s="541"/>
      <c r="RQ179" s="541"/>
      <c r="RR179" s="541"/>
      <c r="RS179" s="541"/>
      <c r="RT179" s="541"/>
      <c r="RU179" s="541"/>
      <c r="RV179" s="541"/>
      <c r="RW179" s="541"/>
      <c r="RX179" s="541"/>
      <c r="RY179" s="541"/>
      <c r="RZ179" s="541"/>
      <c r="SA179" s="541"/>
      <c r="SB179" s="541"/>
      <c r="SC179" s="541"/>
      <c r="SD179" s="541"/>
      <c r="SE179" s="541"/>
      <c r="SF179" s="541"/>
      <c r="SG179" s="541"/>
      <c r="SH179" s="541"/>
      <c r="SI179" s="541"/>
      <c r="SJ179" s="541"/>
      <c r="SK179" s="541"/>
      <c r="SL179" s="541"/>
      <c r="SM179" s="541"/>
      <c r="SN179" s="541"/>
      <c r="SO179" s="541"/>
      <c r="SP179" s="541"/>
      <c r="SQ179" s="541"/>
      <c r="SR179" s="541"/>
      <c r="SS179" s="541"/>
      <c r="ST179" s="541"/>
      <c r="SU179" s="541"/>
      <c r="SV179" s="541"/>
      <c r="SW179" s="541"/>
      <c r="SX179" s="541"/>
      <c r="SY179" s="541"/>
      <c r="SZ179" s="541"/>
      <c r="TA179" s="541"/>
      <c r="TB179" s="541"/>
      <c r="TC179" s="541"/>
      <c r="TD179" s="541"/>
      <c r="TE179" s="541"/>
      <c r="TF179" s="541"/>
      <c r="TG179" s="541"/>
      <c r="TH179" s="541"/>
      <c r="TI179" s="541"/>
      <c r="TJ179" s="541"/>
      <c r="TK179" s="541"/>
      <c r="TL179" s="541"/>
      <c r="TM179" s="541"/>
      <c r="TN179" s="541"/>
      <c r="TO179" s="541"/>
      <c r="TP179" s="541"/>
      <c r="TQ179" s="541"/>
      <c r="TR179" s="541"/>
      <c r="TS179" s="541"/>
      <c r="TT179" s="541"/>
      <c r="TU179" s="541"/>
      <c r="TV179" s="541"/>
      <c r="TW179" s="541"/>
      <c r="TX179" s="541"/>
      <c r="TY179" s="541"/>
      <c r="TZ179" s="541"/>
      <c r="UA179" s="541"/>
      <c r="UB179" s="541"/>
      <c r="UC179" s="541"/>
      <c r="UD179" s="541"/>
      <c r="UE179" s="541"/>
      <c r="UF179" s="541"/>
      <c r="UG179" s="541"/>
      <c r="UH179" s="541"/>
      <c r="UI179" s="541"/>
      <c r="UJ179" s="541"/>
      <c r="UK179" s="541"/>
      <c r="UL179" s="541"/>
      <c r="UM179" s="541"/>
      <c r="UN179" s="541"/>
      <c r="UO179" s="541"/>
      <c r="UP179" s="541"/>
      <c r="UQ179" s="541"/>
      <c r="UR179" s="541"/>
      <c r="US179" s="541"/>
      <c r="UT179" s="541"/>
      <c r="UU179" s="541"/>
      <c r="UV179" s="541"/>
      <c r="UW179" s="541"/>
      <c r="UX179" s="541"/>
      <c r="UY179" s="541"/>
      <c r="UZ179" s="541"/>
      <c r="VA179" s="541"/>
      <c r="VB179" s="541"/>
      <c r="VC179" s="541"/>
      <c r="VD179" s="541"/>
      <c r="VE179" s="541"/>
      <c r="VF179" s="541"/>
      <c r="VG179" s="541"/>
      <c r="VH179" s="541"/>
      <c r="VI179" s="541"/>
      <c r="VJ179" s="541"/>
      <c r="VK179" s="541"/>
      <c r="VL179" s="541"/>
      <c r="VM179" s="541"/>
      <c r="VN179" s="541"/>
      <c r="VO179" s="541"/>
      <c r="VP179" s="541"/>
      <c r="VQ179" s="541"/>
      <c r="VR179" s="541"/>
      <c r="VS179" s="541"/>
      <c r="VT179" s="541"/>
      <c r="VU179" s="541"/>
      <c r="VV179" s="541"/>
      <c r="VW179" s="541"/>
      <c r="VX179" s="541"/>
      <c r="VY179" s="541"/>
      <c r="VZ179" s="541"/>
      <c r="WA179" s="541"/>
      <c r="WB179" s="541"/>
      <c r="WC179" s="541"/>
      <c r="WD179" s="541"/>
      <c r="WE179" s="541"/>
      <c r="WF179" s="541"/>
      <c r="WG179" s="541"/>
      <c r="WH179" s="541"/>
      <c r="WI179" s="541"/>
      <c r="WJ179" s="541"/>
      <c r="WK179" s="541"/>
      <c r="WL179" s="541"/>
      <c r="WM179" s="541"/>
      <c r="WN179" s="541"/>
      <c r="WO179" s="541"/>
      <c r="WP179" s="541"/>
      <c r="WQ179" s="541"/>
      <c r="WR179" s="541"/>
      <c r="WS179" s="541"/>
      <c r="WT179" s="541"/>
      <c r="WU179" s="541"/>
      <c r="WV179" s="541"/>
      <c r="WW179" s="541"/>
      <c r="WX179" s="541"/>
      <c r="WY179" s="541"/>
      <c r="WZ179" s="541"/>
      <c r="XA179" s="541"/>
      <c r="XB179" s="541"/>
      <c r="XC179" s="541"/>
      <c r="XD179" s="541"/>
      <c r="XE179" s="541"/>
      <c r="XF179" s="541"/>
      <c r="XG179" s="541"/>
      <c r="XH179" s="541"/>
      <c r="XI179" s="541"/>
      <c r="XJ179" s="541"/>
      <c r="XK179" s="541"/>
      <c r="XL179" s="541"/>
      <c r="XM179" s="541"/>
      <c r="XN179" s="541"/>
      <c r="XO179" s="541"/>
      <c r="XP179" s="541"/>
      <c r="XQ179" s="541"/>
      <c r="XR179" s="541"/>
      <c r="XS179" s="541"/>
      <c r="XT179" s="541"/>
      <c r="XU179" s="541"/>
      <c r="XV179" s="541"/>
      <c r="XW179" s="541"/>
      <c r="XX179" s="541"/>
      <c r="XY179" s="541"/>
      <c r="XZ179" s="541"/>
      <c r="YA179" s="541"/>
      <c r="YB179" s="541"/>
      <c r="YC179" s="541"/>
      <c r="YD179" s="541"/>
      <c r="YE179" s="541"/>
      <c r="YF179" s="541"/>
      <c r="YG179" s="541"/>
      <c r="YH179" s="541"/>
      <c r="YI179" s="541"/>
      <c r="YJ179" s="541"/>
      <c r="YK179" s="541"/>
      <c r="YL179" s="541"/>
      <c r="YM179" s="541"/>
      <c r="YN179" s="541"/>
      <c r="YO179" s="541"/>
      <c r="YP179" s="541"/>
      <c r="YQ179" s="541"/>
      <c r="YR179" s="541"/>
      <c r="YS179" s="541"/>
      <c r="YT179" s="541"/>
      <c r="YU179" s="541"/>
      <c r="YV179" s="541"/>
      <c r="YW179" s="541"/>
      <c r="YX179" s="541"/>
      <c r="YY179" s="541"/>
      <c r="YZ179" s="541"/>
      <c r="ZA179" s="541"/>
      <c r="ZB179" s="541"/>
      <c r="ZC179" s="541"/>
      <c r="ZD179" s="541"/>
      <c r="ZE179" s="541"/>
      <c r="ZF179" s="541"/>
      <c r="ZG179" s="541"/>
      <c r="ZH179" s="541"/>
      <c r="ZI179" s="541"/>
      <c r="ZJ179" s="541"/>
      <c r="ZK179" s="541"/>
      <c r="ZL179" s="541"/>
      <c r="ZM179" s="541"/>
      <c r="ZN179" s="541"/>
      <c r="ZO179" s="541"/>
      <c r="ZP179" s="541"/>
      <c r="ZQ179" s="541"/>
      <c r="ZR179" s="541"/>
      <c r="ZS179" s="541"/>
      <c r="ZT179" s="541"/>
      <c r="ZU179" s="541"/>
      <c r="ZV179" s="541"/>
      <c r="ZW179" s="541"/>
      <c r="ZX179" s="541"/>
      <c r="ZY179" s="541"/>
      <c r="ZZ179" s="541"/>
      <c r="AAA179" s="541"/>
      <c r="AAB179" s="541"/>
      <c r="AAC179" s="541"/>
      <c r="AAD179" s="541"/>
      <c r="AAE179" s="541"/>
      <c r="AAF179" s="541"/>
      <c r="AAG179" s="541"/>
      <c r="AAH179" s="541"/>
      <c r="AAI179" s="541"/>
      <c r="AAJ179" s="541"/>
      <c r="AAK179" s="541"/>
      <c r="AAL179" s="541"/>
      <c r="AAM179" s="541"/>
      <c r="AAN179" s="541"/>
      <c r="AAO179" s="541"/>
      <c r="AAP179" s="541"/>
      <c r="AAQ179" s="541"/>
      <c r="AAR179" s="541"/>
      <c r="AAS179" s="541"/>
      <c r="AAT179" s="541"/>
      <c r="AAU179" s="541"/>
      <c r="AAV179" s="541"/>
      <c r="AAW179" s="541"/>
      <c r="AAX179" s="541"/>
      <c r="AAY179" s="541"/>
      <c r="AAZ179" s="541"/>
      <c r="ABA179" s="541"/>
      <c r="ABB179" s="541"/>
      <c r="ABC179" s="541"/>
      <c r="ABD179" s="541"/>
      <c r="ABE179" s="541"/>
      <c r="ABF179" s="541"/>
      <c r="ABG179" s="541"/>
      <c r="ABH179" s="541"/>
      <c r="ABI179" s="541"/>
      <c r="ABJ179" s="541"/>
      <c r="ABK179" s="541"/>
      <c r="ABL179" s="541"/>
      <c r="ABM179" s="541"/>
      <c r="ABN179" s="541"/>
      <c r="ABO179" s="541"/>
      <c r="ABP179" s="541"/>
      <c r="ABQ179" s="541"/>
      <c r="ABR179" s="541"/>
      <c r="ABS179" s="541"/>
      <c r="ABT179" s="541"/>
      <c r="ABU179" s="541"/>
      <c r="ABV179" s="541"/>
      <c r="ABW179" s="541"/>
      <c r="ABX179" s="541"/>
      <c r="ABY179" s="541"/>
      <c r="ABZ179" s="541"/>
      <c r="ACA179" s="541"/>
      <c r="ACB179" s="541"/>
      <c r="ACC179" s="541"/>
      <c r="ACD179" s="541"/>
      <c r="ACE179" s="541"/>
      <c r="ACF179" s="541"/>
      <c r="ACG179" s="541"/>
      <c r="ACH179" s="541"/>
      <c r="ACI179" s="541"/>
      <c r="ACJ179" s="541"/>
      <c r="ACK179" s="541"/>
      <c r="ACL179" s="541"/>
      <c r="ACM179" s="541"/>
      <c r="ACN179" s="541"/>
      <c r="ACO179" s="541"/>
      <c r="ACP179" s="541"/>
      <c r="ACQ179" s="541"/>
      <c r="ACR179" s="541"/>
      <c r="ACS179" s="541"/>
      <c r="ACT179" s="541"/>
      <c r="ACU179" s="541"/>
      <c r="ACV179" s="541"/>
      <c r="ACW179" s="541"/>
      <c r="ACX179" s="541"/>
      <c r="ACY179" s="541"/>
      <c r="ACZ179" s="541"/>
      <c r="ADA179" s="541"/>
      <c r="ADB179" s="541"/>
      <c r="ADC179" s="541"/>
      <c r="ADD179" s="541"/>
      <c r="ADE179" s="541"/>
      <c r="ADF179" s="541"/>
      <c r="ADG179" s="541"/>
      <c r="ADH179" s="541"/>
      <c r="ADI179" s="541"/>
      <c r="ADJ179" s="541"/>
      <c r="ADK179" s="541"/>
      <c r="ADL179" s="541"/>
      <c r="ADM179" s="541"/>
      <c r="ADN179" s="541"/>
      <c r="ADO179" s="541"/>
      <c r="ADP179" s="541"/>
      <c r="ADQ179" s="541"/>
      <c r="ADR179" s="541"/>
      <c r="ADS179" s="541"/>
      <c r="ADT179" s="541"/>
      <c r="ADU179" s="541"/>
      <c r="ADV179" s="541"/>
      <c r="ADW179" s="541"/>
      <c r="ADX179" s="541"/>
      <c r="ADY179" s="541"/>
      <c r="ADZ179" s="541"/>
      <c r="AEA179" s="541"/>
      <c r="AEB179" s="541"/>
      <c r="AEC179" s="541"/>
      <c r="AED179" s="541"/>
      <c r="AEE179" s="541"/>
      <c r="AEF179" s="541"/>
      <c r="AEG179" s="541"/>
      <c r="AEH179" s="541"/>
      <c r="AEI179" s="541"/>
      <c r="AEJ179" s="541"/>
      <c r="AEK179" s="541"/>
      <c r="AEL179" s="541"/>
      <c r="AEM179" s="541"/>
      <c r="AEN179" s="541"/>
      <c r="AEO179" s="541"/>
      <c r="AEP179" s="541"/>
      <c r="AEQ179" s="541"/>
      <c r="AER179" s="541"/>
      <c r="AES179" s="541"/>
      <c r="AET179" s="541"/>
      <c r="AEU179" s="541"/>
      <c r="AEV179" s="541"/>
      <c r="AEW179" s="541"/>
      <c r="AEX179" s="541"/>
      <c r="AEY179" s="541"/>
      <c r="AEZ179" s="541"/>
      <c r="AFA179" s="541"/>
      <c r="AFB179" s="541"/>
      <c r="AFC179" s="541"/>
      <c r="AFD179" s="541"/>
      <c r="AFE179" s="541"/>
      <c r="AFF179" s="541"/>
      <c r="AFG179" s="541"/>
      <c r="AFH179" s="541"/>
      <c r="AFI179" s="541"/>
      <c r="AFJ179" s="541"/>
      <c r="AFK179" s="541"/>
      <c r="AFL179" s="541"/>
      <c r="AFM179" s="541"/>
      <c r="AFN179" s="541"/>
      <c r="AFO179" s="541"/>
      <c r="AFP179" s="541"/>
      <c r="AFQ179" s="541"/>
      <c r="AFR179" s="541"/>
      <c r="AFS179" s="541"/>
      <c r="AFT179" s="541"/>
      <c r="AFU179" s="541"/>
      <c r="AFV179" s="541"/>
      <c r="AFW179" s="541"/>
      <c r="AFX179" s="541"/>
      <c r="AFY179" s="541"/>
      <c r="AFZ179" s="541"/>
      <c r="AGA179" s="541"/>
      <c r="AGB179" s="541"/>
      <c r="AGC179" s="541"/>
      <c r="AGD179" s="541"/>
      <c r="AGE179" s="541"/>
      <c r="AGF179" s="541"/>
      <c r="AGG179" s="541"/>
      <c r="AGH179" s="541"/>
      <c r="AGI179" s="541"/>
      <c r="AGJ179" s="541"/>
      <c r="AGK179" s="541"/>
      <c r="AGL179" s="541"/>
      <c r="AGM179" s="541"/>
      <c r="AGN179" s="541"/>
      <c r="AGO179" s="541"/>
      <c r="AGP179" s="541"/>
      <c r="AGQ179" s="541"/>
      <c r="AGR179" s="541"/>
      <c r="AGS179" s="541"/>
      <c r="AGT179" s="541"/>
      <c r="AGU179" s="541"/>
      <c r="AGV179" s="541"/>
      <c r="AGW179" s="541"/>
      <c r="AGX179" s="541"/>
      <c r="AGY179" s="541"/>
      <c r="AGZ179" s="541"/>
      <c r="AHA179" s="541"/>
      <c r="AHB179" s="541"/>
      <c r="AHC179" s="541"/>
      <c r="AHD179" s="541"/>
      <c r="AHE179" s="541"/>
      <c r="AHF179" s="541"/>
      <c r="AHG179" s="541"/>
      <c r="AHH179" s="541"/>
      <c r="AHI179" s="541"/>
      <c r="AHJ179" s="541"/>
      <c r="AHK179" s="541"/>
      <c r="AHL179" s="541"/>
      <c r="AHM179" s="541"/>
      <c r="AHN179" s="541"/>
      <c r="AHO179" s="541"/>
      <c r="AHP179" s="541"/>
      <c r="AHQ179" s="541"/>
      <c r="AHR179" s="541"/>
      <c r="AHS179" s="541"/>
      <c r="AHT179" s="541"/>
      <c r="AHU179" s="541"/>
      <c r="AHV179" s="541"/>
      <c r="AHW179" s="541"/>
      <c r="AHX179" s="541"/>
      <c r="AHY179" s="541"/>
      <c r="AHZ179" s="541"/>
      <c r="AIA179" s="541"/>
      <c r="AIB179" s="541"/>
      <c r="AIC179" s="541"/>
      <c r="AID179" s="541"/>
      <c r="AIE179" s="541"/>
      <c r="AIF179" s="541"/>
      <c r="AIG179" s="541"/>
      <c r="AIH179" s="541"/>
      <c r="AII179" s="541"/>
      <c r="AIJ179" s="541"/>
      <c r="AIK179" s="541"/>
      <c r="AIL179" s="541"/>
      <c r="AIM179" s="541"/>
      <c r="AIN179" s="541"/>
      <c r="AIO179" s="541"/>
      <c r="AIP179" s="541"/>
      <c r="AIQ179" s="541"/>
      <c r="AIR179" s="541"/>
      <c r="AIS179" s="541"/>
      <c r="AIT179" s="541"/>
      <c r="AIU179" s="541"/>
      <c r="AIV179" s="541"/>
      <c r="AIW179" s="541"/>
      <c r="AIX179" s="541"/>
      <c r="AIY179" s="541"/>
      <c r="AIZ179" s="541"/>
      <c r="AJA179" s="541"/>
      <c r="AJB179" s="541"/>
      <c r="AJC179" s="541"/>
      <c r="AJD179" s="541"/>
      <c r="AJE179" s="541"/>
      <c r="AJF179" s="541"/>
      <c r="AJG179" s="541"/>
      <c r="AJH179" s="541"/>
      <c r="AJI179" s="541"/>
      <c r="AJJ179" s="541"/>
      <c r="AJK179" s="541"/>
      <c r="AJL179" s="541"/>
      <c r="AJM179" s="541"/>
      <c r="AJN179" s="541"/>
      <c r="AJO179" s="541"/>
      <c r="AJP179" s="541"/>
      <c r="AJQ179" s="541"/>
      <c r="AJR179" s="541"/>
      <c r="AJS179" s="541"/>
      <c r="AJT179" s="541"/>
      <c r="AJU179" s="541"/>
      <c r="AJV179" s="541"/>
      <c r="AJW179" s="541"/>
      <c r="AJX179" s="541"/>
      <c r="AJY179" s="541"/>
      <c r="AJZ179" s="541"/>
      <c r="AKA179" s="541"/>
      <c r="AKB179" s="541"/>
      <c r="AKC179" s="541"/>
      <c r="AKD179" s="541"/>
      <c r="AKE179" s="541"/>
      <c r="AKF179" s="541"/>
      <c r="AKG179" s="541"/>
      <c r="AKH179" s="541"/>
      <c r="AKI179" s="541"/>
      <c r="AKJ179" s="541"/>
      <c r="AKK179" s="541"/>
      <c r="AKL179" s="541"/>
      <c r="AKM179" s="541"/>
      <c r="AKN179" s="541"/>
      <c r="AKO179" s="541"/>
      <c r="AKP179" s="541"/>
      <c r="AKQ179" s="541"/>
      <c r="AKR179" s="541"/>
      <c r="AKS179" s="541"/>
      <c r="AKT179" s="541"/>
      <c r="AKU179" s="541"/>
      <c r="AKV179" s="541"/>
      <c r="AKW179" s="541"/>
      <c r="AKX179" s="541"/>
      <c r="AKY179" s="541"/>
      <c r="AKZ179" s="541"/>
      <c r="ALA179" s="541"/>
      <c r="ALB179" s="541"/>
      <c r="ALC179" s="541"/>
      <c r="ALD179" s="541"/>
      <c r="ALE179" s="541"/>
      <c r="ALF179" s="541"/>
      <c r="ALG179" s="541"/>
      <c r="ALH179" s="541"/>
      <c r="ALI179" s="541"/>
      <c r="ALJ179" s="541"/>
      <c r="ALK179" s="541"/>
      <c r="ALL179" s="541"/>
      <c r="ALM179" s="541"/>
      <c r="ALN179" s="541"/>
      <c r="ALO179" s="541"/>
      <c r="ALP179" s="541"/>
      <c r="ALQ179" s="541"/>
      <c r="ALR179" s="541"/>
      <c r="ALS179" s="541"/>
      <c r="ALT179" s="541"/>
      <c r="ALU179" s="541"/>
      <c r="ALV179" s="541"/>
      <c r="ALW179" s="541"/>
      <c r="ALX179" s="541"/>
      <c r="ALY179" s="541"/>
      <c r="ALZ179" s="541"/>
      <c r="AMA179" s="541"/>
      <c r="AMB179" s="541"/>
      <c r="AMC179" s="541"/>
      <c r="AMD179" s="541"/>
      <c r="AME179" s="541"/>
      <c r="AMF179" s="541"/>
      <c r="AMG179" s="541"/>
      <c r="AMH179" s="541"/>
      <c r="AMI179" s="541"/>
      <c r="AMJ179" s="541"/>
      <c r="AMK179" s="541"/>
      <c r="AML179" s="541"/>
      <c r="AMM179" s="541"/>
      <c r="AMN179" s="541"/>
      <c r="AMO179" s="541"/>
      <c r="AMP179" s="541"/>
      <c r="AMQ179" s="541"/>
      <c r="AMR179" s="541"/>
      <c r="AMS179" s="541"/>
      <c r="AMT179" s="541"/>
      <c r="AMU179" s="541"/>
      <c r="AMV179" s="541"/>
      <c r="AMW179" s="541"/>
      <c r="AMX179" s="541"/>
      <c r="AMY179" s="541"/>
      <c r="AMZ179" s="541"/>
      <c r="ANA179" s="541"/>
      <c r="ANB179" s="541"/>
      <c r="ANC179" s="541"/>
      <c r="AND179" s="541"/>
      <c r="ANE179" s="541"/>
      <c r="ANF179" s="541"/>
      <c r="ANG179" s="541"/>
      <c r="ANH179" s="541"/>
      <c r="ANI179" s="541"/>
      <c r="ANJ179" s="541"/>
      <c r="ANK179" s="541"/>
      <c r="ANL179" s="541"/>
      <c r="ANM179" s="541"/>
      <c r="ANN179" s="541"/>
      <c r="ANO179" s="541"/>
      <c r="ANP179" s="541"/>
      <c r="ANQ179" s="541"/>
      <c r="ANR179" s="541"/>
      <c r="ANS179" s="541"/>
      <c r="ANT179" s="541"/>
      <c r="ANU179" s="541"/>
      <c r="ANV179" s="541"/>
      <c r="ANW179" s="541"/>
      <c r="ANX179" s="541"/>
      <c r="ANY179" s="541"/>
      <c r="ANZ179" s="541"/>
      <c r="AOA179" s="541"/>
      <c r="AOB179" s="541"/>
      <c r="AOC179" s="541"/>
      <c r="AOD179" s="541"/>
      <c r="AOE179" s="541"/>
      <c r="AOF179" s="541"/>
      <c r="AOG179" s="541"/>
      <c r="AOH179" s="541"/>
      <c r="AOI179" s="541"/>
      <c r="AOJ179" s="541"/>
      <c r="AOK179" s="541"/>
      <c r="AOL179" s="541"/>
      <c r="AOM179" s="541"/>
      <c r="AON179" s="541"/>
      <c r="AOO179" s="541"/>
      <c r="AOP179" s="541"/>
      <c r="AOQ179" s="541"/>
      <c r="AOR179" s="541"/>
      <c r="AOS179" s="541"/>
      <c r="AOT179" s="541"/>
      <c r="AOU179" s="541"/>
      <c r="AOV179" s="541"/>
      <c r="AOW179" s="541"/>
      <c r="AOX179" s="541"/>
      <c r="AOY179" s="541"/>
      <c r="AOZ179" s="541"/>
      <c r="APA179" s="541"/>
      <c r="APB179" s="541"/>
      <c r="APC179" s="541"/>
      <c r="APD179" s="541"/>
      <c r="APE179" s="541"/>
      <c r="APF179" s="541"/>
      <c r="APG179" s="541"/>
      <c r="APH179" s="541"/>
      <c r="API179" s="541"/>
      <c r="APJ179" s="541"/>
      <c r="APK179" s="541"/>
      <c r="APL179" s="541"/>
      <c r="APM179" s="541"/>
      <c r="APN179" s="541"/>
      <c r="APO179" s="541"/>
      <c r="APP179" s="541"/>
      <c r="APQ179" s="541"/>
      <c r="APR179" s="541"/>
      <c r="APS179" s="541"/>
      <c r="APT179" s="541"/>
      <c r="APU179" s="541"/>
      <c r="APV179" s="541"/>
      <c r="APW179" s="541"/>
      <c r="APX179" s="541"/>
      <c r="APY179" s="541"/>
      <c r="APZ179" s="541"/>
      <c r="AQA179" s="541"/>
      <c r="AQB179" s="541"/>
      <c r="AQC179" s="541"/>
      <c r="AQD179" s="541"/>
      <c r="AQE179" s="541"/>
      <c r="AQF179" s="541"/>
      <c r="AQG179" s="541"/>
      <c r="AQH179" s="541"/>
      <c r="AQI179" s="541"/>
      <c r="AQJ179" s="541"/>
      <c r="AQK179" s="541"/>
      <c r="AQL179" s="541"/>
      <c r="AQM179" s="541"/>
      <c r="AQN179" s="541"/>
      <c r="AQO179" s="541"/>
      <c r="AQP179" s="541"/>
      <c r="AQQ179" s="541"/>
      <c r="AQR179" s="541"/>
      <c r="AQS179" s="541"/>
      <c r="AQT179" s="541"/>
      <c r="AQU179" s="541"/>
      <c r="AQV179" s="541"/>
      <c r="AQW179" s="541"/>
      <c r="AQX179" s="541"/>
      <c r="AQY179" s="541"/>
      <c r="AQZ179" s="541"/>
      <c r="ARA179" s="541"/>
      <c r="ARB179" s="541"/>
      <c r="ARC179" s="541"/>
      <c r="ARD179" s="541"/>
      <c r="ARE179" s="541"/>
      <c r="ARF179" s="541"/>
      <c r="ARG179" s="541"/>
      <c r="ARH179" s="541"/>
      <c r="ARI179" s="541"/>
      <c r="ARJ179" s="541"/>
      <c r="ARK179" s="541"/>
      <c r="ARL179" s="541"/>
      <c r="ARM179" s="541"/>
      <c r="ARN179" s="541"/>
      <c r="ARO179" s="541"/>
      <c r="ARP179" s="541"/>
      <c r="ARQ179" s="541"/>
      <c r="ARR179" s="541"/>
      <c r="ARS179" s="541"/>
      <c r="ART179" s="541"/>
      <c r="ARU179" s="541"/>
    </row>
    <row r="180" spans="1:1165" s="658" customFormat="1">
      <c r="A180" s="611" t="s">
        <v>307</v>
      </c>
      <c r="B180" s="603"/>
      <c r="C180" s="687"/>
      <c r="D180" s="598">
        <f>SUM(D174:D179)</f>
        <v>984477793</v>
      </c>
      <c r="E180" s="598"/>
      <c r="F180" s="598">
        <f>SUM(F174:F179)</f>
        <v>294587007</v>
      </c>
      <c r="G180" s="598"/>
      <c r="H180" s="598">
        <f>SUM(H174:H179)</f>
        <v>307896345</v>
      </c>
      <c r="I180" s="598"/>
      <c r="J180" s="598">
        <f>SUM(J174:J179)</f>
        <v>295140230</v>
      </c>
      <c r="K180" s="598"/>
      <c r="L180" s="598">
        <f>SUM(L174:L179)</f>
        <v>355956813</v>
      </c>
      <c r="M180" s="598"/>
      <c r="N180" s="598">
        <f>SUM(N174:N179)</f>
        <v>388732583</v>
      </c>
      <c r="O180" s="598"/>
      <c r="P180" s="598">
        <f>SUM(P174:P179)</f>
        <v>613558009</v>
      </c>
      <c r="Q180" s="598"/>
      <c r="R180" s="598">
        <f>SUM(R174:R179)</f>
        <v>583367686</v>
      </c>
      <c r="S180" s="598"/>
      <c r="T180" s="598">
        <f>SUM(T174:T179)</f>
        <v>776229849</v>
      </c>
      <c r="U180" s="620"/>
      <c r="V180" s="581">
        <f>SUM(V174:V179)</f>
        <v>693793956</v>
      </c>
      <c r="W180" s="579"/>
      <c r="X180" s="598">
        <f>SUM(X174:X179)</f>
        <v>1002167386</v>
      </c>
      <c r="Y180" s="581"/>
      <c r="Z180" s="581">
        <f>SUM(Z174:Z179)</f>
        <v>2231648482</v>
      </c>
      <c r="AA180" s="579"/>
      <c r="AB180" s="619">
        <f>SUM(AB174:AB179)</f>
        <v>2545316976</v>
      </c>
      <c r="AC180" s="581"/>
      <c r="AD180" s="581">
        <f>SUM(AD174:AD179)</f>
        <v>2619494910</v>
      </c>
      <c r="AE180" s="579"/>
      <c r="AF180" s="579">
        <f>SUM(AF174:AF179)</f>
        <v>2490008037</v>
      </c>
      <c r="AG180" s="579"/>
      <c r="AH180" s="579">
        <f>SUM(AH174:AH179)</f>
        <v>3504871693</v>
      </c>
      <c r="AI180" s="579"/>
      <c r="AJ180" s="579">
        <f>SUM(AJ174:AJ179)</f>
        <v>4207617633</v>
      </c>
      <c r="AK180" s="661"/>
      <c r="AL180" s="661">
        <f>SUM(AL174:AL179)</f>
        <v>5090998447</v>
      </c>
      <c r="AM180" s="662"/>
      <c r="AN180" s="662">
        <v>5157093468.5500002</v>
      </c>
      <c r="AO180" s="579"/>
      <c r="AP180" s="579">
        <v>4457200121</v>
      </c>
      <c r="AQ180" s="579"/>
      <c r="AR180" s="579">
        <f>SUM(AR174:AR179)</f>
        <v>5274681225.7800007</v>
      </c>
      <c r="AS180" s="579"/>
      <c r="AT180" s="579">
        <f>SUM(AT174:AT179)</f>
        <v>10422127400.733032</v>
      </c>
      <c r="AU180" s="579"/>
      <c r="AV180" s="619">
        <f>SUM(AV174:AV179)</f>
        <v>10566426558.719923</v>
      </c>
      <c r="AW180" s="598"/>
      <c r="AX180" s="598">
        <v>10419342179</v>
      </c>
      <c r="AY180" s="598"/>
      <c r="AZ180" s="598">
        <f>SUM(AZ174:AZ179)</f>
        <v>9690710317</v>
      </c>
      <c r="BA180" s="666"/>
      <c r="BB180" s="598"/>
      <c r="BC180" s="598"/>
      <c r="BD180" s="598"/>
      <c r="BE180" s="664"/>
      <c r="BF180" s="598"/>
      <c r="BG180" s="598"/>
      <c r="BH180" s="598"/>
      <c r="BI180" s="664"/>
      <c r="BJ180" s="598"/>
      <c r="BK180" s="651">
        <f t="shared" si="26"/>
        <v>84678858098.782959</v>
      </c>
      <c r="BL180" s="541"/>
      <c r="BM180" s="624"/>
      <c r="BN180" s="624"/>
      <c r="BO180" s="541"/>
      <c r="BP180" s="624"/>
      <c r="BQ180" s="541"/>
      <c r="BR180" s="541"/>
      <c r="BS180" s="541"/>
      <c r="BT180" s="541"/>
      <c r="BU180" s="541"/>
      <c r="BV180" s="541"/>
      <c r="BW180" s="541"/>
      <c r="BX180" s="541"/>
      <c r="BY180" s="541"/>
      <c r="BZ180" s="541"/>
      <c r="CA180" s="541"/>
      <c r="CB180" s="541"/>
      <c r="CC180" s="541"/>
      <c r="CD180" s="541"/>
      <c r="CE180" s="541"/>
      <c r="CF180" s="541"/>
      <c r="CG180" s="541"/>
      <c r="CH180" s="541"/>
      <c r="CI180" s="541"/>
      <c r="CJ180" s="541"/>
      <c r="CK180" s="541"/>
      <c r="CL180" s="541"/>
      <c r="CM180" s="541"/>
      <c r="CN180" s="541"/>
      <c r="CO180" s="541"/>
      <c r="CP180" s="541"/>
      <c r="CQ180" s="541"/>
      <c r="CR180" s="541"/>
      <c r="CS180" s="541"/>
      <c r="CT180" s="541"/>
      <c r="CU180" s="541"/>
      <c r="CV180" s="541"/>
      <c r="CW180" s="541"/>
      <c r="CX180" s="541"/>
      <c r="CY180" s="541"/>
      <c r="CZ180" s="541"/>
      <c r="DA180" s="541"/>
      <c r="DB180" s="541"/>
      <c r="DC180" s="541"/>
      <c r="DD180" s="541"/>
      <c r="DE180" s="541"/>
      <c r="DF180" s="541"/>
      <c r="DG180" s="541"/>
      <c r="DH180" s="541"/>
      <c r="DI180" s="541"/>
      <c r="DJ180" s="541"/>
      <c r="DK180" s="541"/>
      <c r="DL180" s="541"/>
      <c r="DM180" s="541"/>
      <c r="DN180" s="541"/>
      <c r="DO180" s="541"/>
      <c r="DP180" s="541"/>
      <c r="DQ180" s="541"/>
      <c r="DR180" s="541"/>
      <c r="DS180" s="541"/>
      <c r="DT180" s="541"/>
      <c r="DU180" s="541"/>
      <c r="DV180" s="541"/>
      <c r="DW180" s="541"/>
      <c r="DX180" s="541"/>
      <c r="DY180" s="541"/>
      <c r="DZ180" s="541"/>
      <c r="EA180" s="541"/>
      <c r="EB180" s="541"/>
      <c r="EC180" s="541"/>
      <c r="ED180" s="541"/>
      <c r="EE180" s="541"/>
      <c r="EF180" s="541"/>
      <c r="EG180" s="541"/>
      <c r="EH180" s="541"/>
      <c r="EI180" s="541"/>
      <c r="EJ180" s="541"/>
      <c r="EK180" s="541"/>
      <c r="EL180" s="541"/>
      <c r="EM180" s="541"/>
      <c r="EN180" s="541"/>
      <c r="EO180" s="541"/>
      <c r="EP180" s="541"/>
      <c r="EQ180" s="541"/>
      <c r="ER180" s="541"/>
      <c r="ES180" s="541"/>
      <c r="ET180" s="541"/>
      <c r="EU180" s="541"/>
      <c r="EV180" s="541"/>
      <c r="EW180" s="541"/>
      <c r="EX180" s="541"/>
      <c r="EY180" s="541"/>
      <c r="EZ180" s="541"/>
      <c r="FA180" s="541"/>
      <c r="FB180" s="541"/>
      <c r="FC180" s="541"/>
      <c r="FD180" s="541"/>
      <c r="FE180" s="541"/>
      <c r="FF180" s="541"/>
      <c r="FG180" s="541"/>
      <c r="FH180" s="541"/>
      <c r="FI180" s="541"/>
      <c r="FJ180" s="541"/>
      <c r="FK180" s="541"/>
      <c r="FL180" s="541"/>
      <c r="FM180" s="541"/>
      <c r="FN180" s="541"/>
      <c r="FO180" s="541"/>
      <c r="FP180" s="541"/>
      <c r="FQ180" s="541"/>
      <c r="FR180" s="541"/>
      <c r="FS180" s="541"/>
      <c r="FT180" s="541"/>
      <c r="FU180" s="541"/>
      <c r="FV180" s="541"/>
      <c r="FW180" s="541"/>
      <c r="FX180" s="541"/>
      <c r="FY180" s="541"/>
      <c r="FZ180" s="541"/>
      <c r="GA180" s="541"/>
      <c r="GB180" s="541"/>
      <c r="GC180" s="541"/>
      <c r="GD180" s="541"/>
      <c r="GE180" s="541"/>
      <c r="GF180" s="541"/>
      <c r="GG180" s="541"/>
      <c r="GH180" s="541"/>
      <c r="GI180" s="541"/>
      <c r="GJ180" s="541"/>
      <c r="GK180" s="541"/>
      <c r="GL180" s="541"/>
      <c r="GM180" s="541"/>
      <c r="GN180" s="541"/>
      <c r="GO180" s="541"/>
      <c r="GP180" s="541"/>
      <c r="GQ180" s="541"/>
      <c r="GR180" s="541"/>
      <c r="GS180" s="541"/>
      <c r="GT180" s="541"/>
      <c r="GU180" s="541"/>
      <c r="GV180" s="541"/>
      <c r="GW180" s="541"/>
      <c r="GX180" s="541"/>
      <c r="GY180" s="541"/>
      <c r="GZ180" s="541"/>
      <c r="HA180" s="541"/>
      <c r="HB180" s="541"/>
      <c r="HC180" s="541"/>
      <c r="HD180" s="541"/>
      <c r="HE180" s="541"/>
      <c r="HF180" s="541"/>
      <c r="HG180" s="541"/>
      <c r="HH180" s="541"/>
      <c r="HI180" s="541"/>
      <c r="HJ180" s="541"/>
      <c r="HK180" s="541"/>
      <c r="HL180" s="541"/>
      <c r="HM180" s="541"/>
      <c r="HN180" s="541"/>
      <c r="HO180" s="541"/>
      <c r="HP180" s="541"/>
      <c r="HQ180" s="541"/>
      <c r="HR180" s="541"/>
      <c r="HS180" s="541"/>
      <c r="HT180" s="541"/>
      <c r="HU180" s="541"/>
      <c r="HV180" s="541"/>
      <c r="HW180" s="541"/>
      <c r="HX180" s="541"/>
      <c r="HY180" s="541"/>
      <c r="HZ180" s="541"/>
      <c r="IA180" s="541"/>
      <c r="IB180" s="541"/>
      <c r="IC180" s="541"/>
      <c r="ID180" s="541"/>
      <c r="IE180" s="541"/>
      <c r="IF180" s="541"/>
      <c r="IG180" s="541"/>
      <c r="IH180" s="541"/>
      <c r="II180" s="541"/>
      <c r="IJ180" s="541"/>
      <c r="IK180" s="541"/>
      <c r="IL180" s="541"/>
      <c r="IM180" s="541"/>
      <c r="IN180" s="541"/>
      <c r="IO180" s="541"/>
      <c r="IP180" s="541"/>
      <c r="IQ180" s="541"/>
      <c r="IR180" s="541"/>
      <c r="IS180" s="541"/>
      <c r="IT180" s="541"/>
      <c r="IU180" s="541"/>
      <c r="IV180" s="541"/>
      <c r="IW180" s="541"/>
      <c r="IX180" s="541"/>
      <c r="IY180" s="541"/>
      <c r="IZ180" s="541"/>
      <c r="JA180" s="541"/>
      <c r="JB180" s="541"/>
      <c r="JC180" s="541"/>
      <c r="JD180" s="541"/>
      <c r="JE180" s="541"/>
      <c r="JF180" s="541"/>
      <c r="JG180" s="541"/>
      <c r="JH180" s="541"/>
      <c r="JI180" s="541"/>
      <c r="JJ180" s="541"/>
      <c r="JK180" s="541"/>
      <c r="JL180" s="541"/>
      <c r="JM180" s="541"/>
      <c r="JN180" s="541"/>
      <c r="JO180" s="541"/>
      <c r="JP180" s="541"/>
      <c r="JQ180" s="541"/>
      <c r="JR180" s="541"/>
      <c r="JS180" s="541"/>
      <c r="JT180" s="541"/>
      <c r="JU180" s="541"/>
      <c r="JV180" s="541"/>
      <c r="JW180" s="541"/>
      <c r="JX180" s="541"/>
      <c r="JY180" s="541"/>
      <c r="JZ180" s="541"/>
      <c r="KA180" s="541"/>
      <c r="KB180" s="541"/>
      <c r="KC180" s="541"/>
      <c r="KD180" s="541"/>
      <c r="KE180" s="541"/>
      <c r="KF180" s="541"/>
      <c r="KG180" s="541"/>
      <c r="KH180" s="541"/>
      <c r="KI180" s="541"/>
      <c r="KJ180" s="541"/>
      <c r="KK180" s="541"/>
      <c r="KL180" s="541"/>
      <c r="KM180" s="541"/>
      <c r="KN180" s="541"/>
      <c r="KO180" s="541"/>
      <c r="KP180" s="541"/>
      <c r="KQ180" s="541"/>
      <c r="KR180" s="541"/>
      <c r="KS180" s="541"/>
      <c r="KT180" s="541"/>
      <c r="KU180" s="541"/>
      <c r="KV180" s="541"/>
      <c r="KW180" s="541"/>
      <c r="KX180" s="541"/>
      <c r="KY180" s="541"/>
      <c r="KZ180" s="541"/>
      <c r="LA180" s="541"/>
      <c r="LB180" s="541"/>
      <c r="LC180" s="541"/>
      <c r="LD180" s="541"/>
      <c r="LE180" s="541"/>
      <c r="LF180" s="541"/>
      <c r="LG180" s="541"/>
      <c r="LH180" s="541"/>
      <c r="LI180" s="541"/>
      <c r="LJ180" s="541"/>
      <c r="LK180" s="541"/>
      <c r="LL180" s="541"/>
      <c r="LM180" s="541"/>
      <c r="LN180" s="541"/>
      <c r="LO180" s="541"/>
      <c r="LP180" s="541"/>
      <c r="LQ180" s="541"/>
      <c r="LR180" s="541"/>
      <c r="LS180" s="541"/>
      <c r="LT180" s="541"/>
      <c r="LU180" s="541"/>
      <c r="LV180" s="541"/>
      <c r="LW180" s="541"/>
      <c r="LX180" s="541"/>
      <c r="LY180" s="541"/>
      <c r="LZ180" s="541"/>
      <c r="MA180" s="541"/>
      <c r="MB180" s="541"/>
      <c r="MC180" s="541"/>
      <c r="MD180" s="541"/>
      <c r="ME180" s="541"/>
      <c r="MF180" s="541"/>
      <c r="MG180" s="541"/>
      <c r="MH180" s="541"/>
      <c r="MI180" s="541"/>
      <c r="MJ180" s="541"/>
      <c r="MK180" s="541"/>
      <c r="ML180" s="541"/>
      <c r="MM180" s="541"/>
      <c r="MN180" s="541"/>
      <c r="MO180" s="541"/>
      <c r="MP180" s="541"/>
      <c r="MQ180" s="541"/>
      <c r="MR180" s="541"/>
      <c r="MS180" s="541"/>
      <c r="MT180" s="541"/>
      <c r="MU180" s="541"/>
      <c r="MV180" s="541"/>
      <c r="MW180" s="541"/>
      <c r="MX180" s="541"/>
      <c r="MY180" s="541"/>
      <c r="MZ180" s="541"/>
      <c r="NA180" s="541"/>
      <c r="NB180" s="541"/>
      <c r="NC180" s="541"/>
      <c r="ND180" s="541"/>
      <c r="NE180" s="541"/>
      <c r="NF180" s="541"/>
      <c r="NG180" s="541"/>
      <c r="NH180" s="541"/>
      <c r="NI180" s="541"/>
      <c r="NJ180" s="541"/>
      <c r="NK180" s="541"/>
      <c r="NL180" s="541"/>
      <c r="NM180" s="541"/>
      <c r="NN180" s="541"/>
      <c r="NO180" s="541"/>
      <c r="NP180" s="541"/>
      <c r="NQ180" s="541"/>
      <c r="NR180" s="541"/>
      <c r="NS180" s="541"/>
      <c r="NT180" s="541"/>
      <c r="NU180" s="541"/>
      <c r="NV180" s="541"/>
      <c r="NW180" s="541"/>
      <c r="NX180" s="541"/>
      <c r="NY180" s="541"/>
      <c r="NZ180" s="541"/>
      <c r="OA180" s="541"/>
      <c r="OB180" s="541"/>
      <c r="OC180" s="541"/>
      <c r="OD180" s="541"/>
      <c r="OE180" s="541"/>
      <c r="OF180" s="541"/>
      <c r="OG180" s="541"/>
      <c r="OH180" s="541"/>
      <c r="OI180" s="541"/>
      <c r="OJ180" s="541"/>
      <c r="OK180" s="541"/>
      <c r="OL180" s="541"/>
      <c r="OM180" s="541"/>
      <c r="ON180" s="541"/>
      <c r="OO180" s="541"/>
      <c r="OP180" s="541"/>
      <c r="OQ180" s="541"/>
      <c r="OR180" s="541"/>
      <c r="OS180" s="541"/>
      <c r="OT180" s="541"/>
      <c r="OU180" s="541"/>
      <c r="OV180" s="541"/>
      <c r="OW180" s="541"/>
      <c r="OX180" s="541"/>
      <c r="OY180" s="541"/>
      <c r="OZ180" s="541"/>
      <c r="PA180" s="541"/>
      <c r="PB180" s="541"/>
      <c r="PC180" s="541"/>
      <c r="PD180" s="541"/>
      <c r="PE180" s="541"/>
      <c r="PF180" s="541"/>
      <c r="PG180" s="541"/>
      <c r="PH180" s="541"/>
      <c r="PI180" s="541"/>
      <c r="PJ180" s="541"/>
      <c r="PK180" s="541"/>
      <c r="PL180" s="541"/>
      <c r="PM180" s="541"/>
      <c r="PN180" s="541"/>
      <c r="PO180" s="541"/>
      <c r="PP180" s="541"/>
      <c r="PQ180" s="541"/>
      <c r="PR180" s="541"/>
      <c r="PS180" s="541"/>
      <c r="PT180" s="541"/>
      <c r="PU180" s="541"/>
      <c r="PV180" s="541"/>
      <c r="PW180" s="541"/>
      <c r="PX180" s="541"/>
      <c r="PY180" s="541"/>
      <c r="PZ180" s="541"/>
      <c r="QA180" s="541"/>
      <c r="QB180" s="541"/>
      <c r="QC180" s="541"/>
      <c r="QD180" s="541"/>
      <c r="QE180" s="541"/>
      <c r="QF180" s="541"/>
      <c r="QG180" s="541"/>
      <c r="QH180" s="541"/>
      <c r="QI180" s="541"/>
      <c r="QJ180" s="541"/>
      <c r="QK180" s="541"/>
      <c r="QL180" s="541"/>
      <c r="QM180" s="541"/>
      <c r="QN180" s="541"/>
      <c r="QO180" s="541"/>
      <c r="QP180" s="541"/>
      <c r="QQ180" s="541"/>
      <c r="QR180" s="541"/>
      <c r="QS180" s="541"/>
      <c r="QT180" s="541"/>
      <c r="QU180" s="541"/>
      <c r="QV180" s="541"/>
      <c r="QW180" s="541"/>
      <c r="QX180" s="541"/>
      <c r="QY180" s="541"/>
      <c r="QZ180" s="541"/>
      <c r="RA180" s="541"/>
      <c r="RB180" s="541"/>
      <c r="RC180" s="541"/>
      <c r="RD180" s="541"/>
      <c r="RE180" s="541"/>
      <c r="RF180" s="541"/>
      <c r="RG180" s="541"/>
      <c r="RH180" s="541"/>
      <c r="RI180" s="541"/>
      <c r="RJ180" s="541"/>
      <c r="RK180" s="541"/>
      <c r="RL180" s="541"/>
      <c r="RM180" s="541"/>
      <c r="RN180" s="541"/>
      <c r="RO180" s="541"/>
      <c r="RP180" s="541"/>
      <c r="RQ180" s="541"/>
      <c r="RR180" s="541"/>
      <c r="RS180" s="541"/>
      <c r="RT180" s="541"/>
      <c r="RU180" s="541"/>
      <c r="RV180" s="541"/>
      <c r="RW180" s="541"/>
      <c r="RX180" s="541"/>
      <c r="RY180" s="541"/>
      <c r="RZ180" s="541"/>
      <c r="SA180" s="541"/>
      <c r="SB180" s="541"/>
      <c r="SC180" s="541"/>
      <c r="SD180" s="541"/>
      <c r="SE180" s="541"/>
      <c r="SF180" s="541"/>
      <c r="SG180" s="541"/>
      <c r="SH180" s="541"/>
      <c r="SI180" s="541"/>
      <c r="SJ180" s="541"/>
      <c r="SK180" s="541"/>
      <c r="SL180" s="541"/>
      <c r="SM180" s="541"/>
      <c r="SN180" s="541"/>
      <c r="SO180" s="541"/>
      <c r="SP180" s="541"/>
      <c r="SQ180" s="541"/>
      <c r="SR180" s="541"/>
      <c r="SS180" s="541"/>
      <c r="ST180" s="541"/>
      <c r="SU180" s="541"/>
      <c r="SV180" s="541"/>
      <c r="SW180" s="541"/>
      <c r="SX180" s="541"/>
      <c r="SY180" s="541"/>
      <c r="SZ180" s="541"/>
      <c r="TA180" s="541"/>
      <c r="TB180" s="541"/>
      <c r="TC180" s="541"/>
      <c r="TD180" s="541"/>
      <c r="TE180" s="541"/>
      <c r="TF180" s="541"/>
      <c r="TG180" s="541"/>
      <c r="TH180" s="541"/>
      <c r="TI180" s="541"/>
      <c r="TJ180" s="541"/>
      <c r="TK180" s="541"/>
      <c r="TL180" s="541"/>
      <c r="TM180" s="541"/>
      <c r="TN180" s="541"/>
      <c r="TO180" s="541"/>
      <c r="TP180" s="541"/>
      <c r="TQ180" s="541"/>
      <c r="TR180" s="541"/>
      <c r="TS180" s="541"/>
      <c r="TT180" s="541"/>
      <c r="TU180" s="541"/>
      <c r="TV180" s="541"/>
      <c r="TW180" s="541"/>
      <c r="TX180" s="541"/>
      <c r="TY180" s="541"/>
      <c r="TZ180" s="541"/>
      <c r="UA180" s="541"/>
      <c r="UB180" s="541"/>
      <c r="UC180" s="541"/>
      <c r="UD180" s="541"/>
      <c r="UE180" s="541"/>
      <c r="UF180" s="541"/>
      <c r="UG180" s="541"/>
      <c r="UH180" s="541"/>
      <c r="UI180" s="541"/>
      <c r="UJ180" s="541"/>
      <c r="UK180" s="541"/>
      <c r="UL180" s="541"/>
      <c r="UM180" s="541"/>
      <c r="UN180" s="541"/>
      <c r="UO180" s="541"/>
      <c r="UP180" s="541"/>
      <c r="UQ180" s="541"/>
      <c r="UR180" s="541"/>
      <c r="US180" s="541"/>
      <c r="UT180" s="541"/>
      <c r="UU180" s="541"/>
      <c r="UV180" s="541"/>
      <c r="UW180" s="541"/>
      <c r="UX180" s="541"/>
      <c r="UY180" s="541"/>
      <c r="UZ180" s="541"/>
      <c r="VA180" s="541"/>
      <c r="VB180" s="541"/>
      <c r="VC180" s="541"/>
      <c r="VD180" s="541"/>
      <c r="VE180" s="541"/>
      <c r="VF180" s="541"/>
      <c r="VG180" s="541"/>
      <c r="VH180" s="541"/>
      <c r="VI180" s="541"/>
      <c r="VJ180" s="541"/>
      <c r="VK180" s="541"/>
      <c r="VL180" s="541"/>
      <c r="VM180" s="541"/>
      <c r="VN180" s="541"/>
      <c r="VO180" s="541"/>
      <c r="VP180" s="541"/>
      <c r="VQ180" s="541"/>
      <c r="VR180" s="541"/>
      <c r="VS180" s="541"/>
      <c r="VT180" s="541"/>
      <c r="VU180" s="541"/>
      <c r="VV180" s="541"/>
      <c r="VW180" s="541"/>
      <c r="VX180" s="541"/>
      <c r="VY180" s="541"/>
      <c r="VZ180" s="541"/>
      <c r="WA180" s="541"/>
      <c r="WB180" s="541"/>
      <c r="WC180" s="541"/>
      <c r="WD180" s="541"/>
      <c r="WE180" s="541"/>
      <c r="WF180" s="541"/>
      <c r="WG180" s="541"/>
      <c r="WH180" s="541"/>
      <c r="WI180" s="541"/>
      <c r="WJ180" s="541"/>
      <c r="WK180" s="541"/>
      <c r="WL180" s="541"/>
      <c r="WM180" s="541"/>
      <c r="WN180" s="541"/>
      <c r="WO180" s="541"/>
      <c r="WP180" s="541"/>
      <c r="WQ180" s="541"/>
      <c r="WR180" s="541"/>
      <c r="WS180" s="541"/>
      <c r="WT180" s="541"/>
      <c r="WU180" s="541"/>
      <c r="WV180" s="541"/>
      <c r="WW180" s="541"/>
      <c r="WX180" s="541"/>
      <c r="WY180" s="541"/>
      <c r="WZ180" s="541"/>
      <c r="XA180" s="541"/>
      <c r="XB180" s="541"/>
      <c r="XC180" s="541"/>
      <c r="XD180" s="541"/>
      <c r="XE180" s="541"/>
      <c r="XF180" s="541"/>
      <c r="XG180" s="541"/>
      <c r="XH180" s="541"/>
      <c r="XI180" s="541"/>
      <c r="XJ180" s="541"/>
      <c r="XK180" s="541"/>
      <c r="XL180" s="541"/>
      <c r="XM180" s="541"/>
      <c r="XN180" s="541"/>
      <c r="XO180" s="541"/>
      <c r="XP180" s="541"/>
      <c r="XQ180" s="541"/>
      <c r="XR180" s="541"/>
      <c r="XS180" s="541"/>
      <c r="XT180" s="541"/>
      <c r="XU180" s="541"/>
      <c r="XV180" s="541"/>
      <c r="XW180" s="541"/>
      <c r="XX180" s="541"/>
      <c r="XY180" s="541"/>
      <c r="XZ180" s="541"/>
      <c r="YA180" s="541"/>
      <c r="YB180" s="541"/>
      <c r="YC180" s="541"/>
      <c r="YD180" s="541"/>
      <c r="YE180" s="541"/>
      <c r="YF180" s="541"/>
      <c r="YG180" s="541"/>
      <c r="YH180" s="541"/>
      <c r="YI180" s="541"/>
      <c r="YJ180" s="541"/>
      <c r="YK180" s="541"/>
      <c r="YL180" s="541"/>
      <c r="YM180" s="541"/>
      <c r="YN180" s="541"/>
      <c r="YO180" s="541"/>
      <c r="YP180" s="541"/>
      <c r="YQ180" s="541"/>
      <c r="YR180" s="541"/>
      <c r="YS180" s="541"/>
      <c r="YT180" s="541"/>
      <c r="YU180" s="541"/>
      <c r="YV180" s="541"/>
      <c r="YW180" s="541"/>
      <c r="YX180" s="541"/>
      <c r="YY180" s="541"/>
      <c r="YZ180" s="541"/>
      <c r="ZA180" s="541"/>
      <c r="ZB180" s="541"/>
      <c r="ZC180" s="541"/>
      <c r="ZD180" s="541"/>
      <c r="ZE180" s="541"/>
      <c r="ZF180" s="541"/>
      <c r="ZG180" s="541"/>
      <c r="ZH180" s="541"/>
      <c r="ZI180" s="541"/>
      <c r="ZJ180" s="541"/>
      <c r="ZK180" s="541"/>
      <c r="ZL180" s="541"/>
      <c r="ZM180" s="541"/>
      <c r="ZN180" s="541"/>
      <c r="ZO180" s="541"/>
      <c r="ZP180" s="541"/>
      <c r="ZQ180" s="541"/>
      <c r="ZR180" s="541"/>
      <c r="ZS180" s="541"/>
      <c r="ZT180" s="541"/>
      <c r="ZU180" s="541"/>
      <c r="ZV180" s="541"/>
      <c r="ZW180" s="541"/>
      <c r="ZX180" s="541"/>
      <c r="ZY180" s="541"/>
      <c r="ZZ180" s="541"/>
      <c r="AAA180" s="541"/>
      <c r="AAB180" s="541"/>
      <c r="AAC180" s="541"/>
      <c r="AAD180" s="541"/>
      <c r="AAE180" s="541"/>
      <c r="AAF180" s="541"/>
      <c r="AAG180" s="541"/>
      <c r="AAH180" s="541"/>
      <c r="AAI180" s="541"/>
      <c r="AAJ180" s="541"/>
      <c r="AAK180" s="541"/>
      <c r="AAL180" s="541"/>
      <c r="AAM180" s="541"/>
      <c r="AAN180" s="541"/>
      <c r="AAO180" s="541"/>
      <c r="AAP180" s="541"/>
      <c r="AAQ180" s="541"/>
      <c r="AAR180" s="541"/>
      <c r="AAS180" s="541"/>
      <c r="AAT180" s="541"/>
      <c r="AAU180" s="541"/>
      <c r="AAV180" s="541"/>
      <c r="AAW180" s="541"/>
      <c r="AAX180" s="541"/>
      <c r="AAY180" s="541"/>
      <c r="AAZ180" s="541"/>
      <c r="ABA180" s="541"/>
      <c r="ABB180" s="541"/>
      <c r="ABC180" s="541"/>
      <c r="ABD180" s="541"/>
      <c r="ABE180" s="541"/>
      <c r="ABF180" s="541"/>
      <c r="ABG180" s="541"/>
      <c r="ABH180" s="541"/>
      <c r="ABI180" s="541"/>
      <c r="ABJ180" s="541"/>
      <c r="ABK180" s="541"/>
      <c r="ABL180" s="541"/>
      <c r="ABM180" s="541"/>
      <c r="ABN180" s="541"/>
      <c r="ABO180" s="541"/>
      <c r="ABP180" s="541"/>
      <c r="ABQ180" s="541"/>
      <c r="ABR180" s="541"/>
      <c r="ABS180" s="541"/>
      <c r="ABT180" s="541"/>
      <c r="ABU180" s="541"/>
      <c r="ABV180" s="541"/>
      <c r="ABW180" s="541"/>
      <c r="ABX180" s="541"/>
      <c r="ABY180" s="541"/>
      <c r="ABZ180" s="541"/>
      <c r="ACA180" s="541"/>
      <c r="ACB180" s="541"/>
      <c r="ACC180" s="541"/>
      <c r="ACD180" s="541"/>
      <c r="ACE180" s="541"/>
      <c r="ACF180" s="541"/>
      <c r="ACG180" s="541"/>
      <c r="ACH180" s="541"/>
      <c r="ACI180" s="541"/>
      <c r="ACJ180" s="541"/>
      <c r="ACK180" s="541"/>
      <c r="ACL180" s="541"/>
      <c r="ACM180" s="541"/>
      <c r="ACN180" s="541"/>
      <c r="ACO180" s="541"/>
      <c r="ACP180" s="541"/>
      <c r="ACQ180" s="541"/>
      <c r="ACR180" s="541"/>
      <c r="ACS180" s="541"/>
      <c r="ACT180" s="541"/>
      <c r="ACU180" s="541"/>
      <c r="ACV180" s="541"/>
      <c r="ACW180" s="541"/>
      <c r="ACX180" s="541"/>
      <c r="ACY180" s="541"/>
      <c r="ACZ180" s="541"/>
      <c r="ADA180" s="541"/>
      <c r="ADB180" s="541"/>
      <c r="ADC180" s="541"/>
      <c r="ADD180" s="541"/>
      <c r="ADE180" s="541"/>
      <c r="ADF180" s="541"/>
      <c r="ADG180" s="541"/>
      <c r="ADH180" s="541"/>
      <c r="ADI180" s="541"/>
      <c r="ADJ180" s="541"/>
      <c r="ADK180" s="541"/>
      <c r="ADL180" s="541"/>
      <c r="ADM180" s="541"/>
      <c r="ADN180" s="541"/>
      <c r="ADO180" s="541"/>
      <c r="ADP180" s="541"/>
      <c r="ADQ180" s="541"/>
      <c r="ADR180" s="541"/>
      <c r="ADS180" s="541"/>
      <c r="ADT180" s="541"/>
      <c r="ADU180" s="541"/>
      <c r="ADV180" s="541"/>
      <c r="ADW180" s="541"/>
      <c r="ADX180" s="541"/>
      <c r="ADY180" s="541"/>
      <c r="ADZ180" s="541"/>
      <c r="AEA180" s="541"/>
      <c r="AEB180" s="541"/>
      <c r="AEC180" s="541"/>
      <c r="AED180" s="541"/>
      <c r="AEE180" s="541"/>
      <c r="AEF180" s="541"/>
      <c r="AEG180" s="541"/>
      <c r="AEH180" s="541"/>
      <c r="AEI180" s="541"/>
      <c r="AEJ180" s="541"/>
      <c r="AEK180" s="541"/>
      <c r="AEL180" s="541"/>
      <c r="AEM180" s="541"/>
      <c r="AEN180" s="541"/>
      <c r="AEO180" s="541"/>
      <c r="AEP180" s="541"/>
      <c r="AEQ180" s="541"/>
      <c r="AER180" s="541"/>
      <c r="AES180" s="541"/>
      <c r="AET180" s="541"/>
      <c r="AEU180" s="541"/>
      <c r="AEV180" s="541"/>
      <c r="AEW180" s="541"/>
      <c r="AEX180" s="541"/>
      <c r="AEY180" s="541"/>
      <c r="AEZ180" s="541"/>
      <c r="AFA180" s="541"/>
      <c r="AFB180" s="541"/>
      <c r="AFC180" s="541"/>
      <c r="AFD180" s="541"/>
      <c r="AFE180" s="541"/>
      <c r="AFF180" s="541"/>
      <c r="AFG180" s="541"/>
      <c r="AFH180" s="541"/>
      <c r="AFI180" s="541"/>
      <c r="AFJ180" s="541"/>
      <c r="AFK180" s="541"/>
      <c r="AFL180" s="541"/>
      <c r="AFM180" s="541"/>
      <c r="AFN180" s="541"/>
      <c r="AFO180" s="541"/>
      <c r="AFP180" s="541"/>
      <c r="AFQ180" s="541"/>
      <c r="AFR180" s="541"/>
      <c r="AFS180" s="541"/>
      <c r="AFT180" s="541"/>
      <c r="AFU180" s="541"/>
      <c r="AFV180" s="541"/>
      <c r="AFW180" s="541"/>
      <c r="AFX180" s="541"/>
      <c r="AFY180" s="541"/>
      <c r="AFZ180" s="541"/>
      <c r="AGA180" s="541"/>
      <c r="AGB180" s="541"/>
      <c r="AGC180" s="541"/>
      <c r="AGD180" s="541"/>
      <c r="AGE180" s="541"/>
      <c r="AGF180" s="541"/>
      <c r="AGG180" s="541"/>
      <c r="AGH180" s="541"/>
      <c r="AGI180" s="541"/>
      <c r="AGJ180" s="541"/>
      <c r="AGK180" s="541"/>
      <c r="AGL180" s="541"/>
      <c r="AGM180" s="541"/>
      <c r="AGN180" s="541"/>
      <c r="AGO180" s="541"/>
      <c r="AGP180" s="541"/>
      <c r="AGQ180" s="541"/>
      <c r="AGR180" s="541"/>
      <c r="AGS180" s="541"/>
      <c r="AGT180" s="541"/>
      <c r="AGU180" s="541"/>
      <c r="AGV180" s="541"/>
      <c r="AGW180" s="541"/>
      <c r="AGX180" s="541"/>
      <c r="AGY180" s="541"/>
      <c r="AGZ180" s="541"/>
      <c r="AHA180" s="541"/>
      <c r="AHB180" s="541"/>
      <c r="AHC180" s="541"/>
      <c r="AHD180" s="541"/>
      <c r="AHE180" s="541"/>
      <c r="AHF180" s="541"/>
      <c r="AHG180" s="541"/>
      <c r="AHH180" s="541"/>
      <c r="AHI180" s="541"/>
      <c r="AHJ180" s="541"/>
      <c r="AHK180" s="541"/>
      <c r="AHL180" s="541"/>
      <c r="AHM180" s="541"/>
      <c r="AHN180" s="541"/>
      <c r="AHO180" s="541"/>
      <c r="AHP180" s="541"/>
      <c r="AHQ180" s="541"/>
      <c r="AHR180" s="541"/>
      <c r="AHS180" s="541"/>
      <c r="AHT180" s="541"/>
      <c r="AHU180" s="541"/>
      <c r="AHV180" s="541"/>
      <c r="AHW180" s="541"/>
      <c r="AHX180" s="541"/>
      <c r="AHY180" s="541"/>
      <c r="AHZ180" s="541"/>
      <c r="AIA180" s="541"/>
      <c r="AIB180" s="541"/>
      <c r="AIC180" s="541"/>
      <c r="AID180" s="541"/>
      <c r="AIE180" s="541"/>
      <c r="AIF180" s="541"/>
      <c r="AIG180" s="541"/>
      <c r="AIH180" s="541"/>
      <c r="AII180" s="541"/>
      <c r="AIJ180" s="541"/>
      <c r="AIK180" s="541"/>
      <c r="AIL180" s="541"/>
      <c r="AIM180" s="541"/>
      <c r="AIN180" s="541"/>
      <c r="AIO180" s="541"/>
      <c r="AIP180" s="541"/>
      <c r="AIQ180" s="541"/>
      <c r="AIR180" s="541"/>
      <c r="AIS180" s="541"/>
      <c r="AIT180" s="541"/>
      <c r="AIU180" s="541"/>
      <c r="AIV180" s="541"/>
      <c r="AIW180" s="541"/>
      <c r="AIX180" s="541"/>
      <c r="AIY180" s="541"/>
      <c r="AIZ180" s="541"/>
      <c r="AJA180" s="541"/>
      <c r="AJB180" s="541"/>
      <c r="AJC180" s="541"/>
      <c r="AJD180" s="541"/>
      <c r="AJE180" s="541"/>
      <c r="AJF180" s="541"/>
      <c r="AJG180" s="541"/>
      <c r="AJH180" s="541"/>
      <c r="AJI180" s="541"/>
      <c r="AJJ180" s="541"/>
      <c r="AJK180" s="541"/>
      <c r="AJL180" s="541"/>
      <c r="AJM180" s="541"/>
      <c r="AJN180" s="541"/>
      <c r="AJO180" s="541"/>
      <c r="AJP180" s="541"/>
      <c r="AJQ180" s="541"/>
      <c r="AJR180" s="541"/>
      <c r="AJS180" s="541"/>
      <c r="AJT180" s="541"/>
      <c r="AJU180" s="541"/>
      <c r="AJV180" s="541"/>
      <c r="AJW180" s="541"/>
      <c r="AJX180" s="541"/>
      <c r="AJY180" s="541"/>
      <c r="AJZ180" s="541"/>
      <c r="AKA180" s="541"/>
      <c r="AKB180" s="541"/>
      <c r="AKC180" s="541"/>
      <c r="AKD180" s="541"/>
      <c r="AKE180" s="541"/>
      <c r="AKF180" s="541"/>
      <c r="AKG180" s="541"/>
      <c r="AKH180" s="541"/>
      <c r="AKI180" s="541"/>
      <c r="AKJ180" s="541"/>
      <c r="AKK180" s="541"/>
      <c r="AKL180" s="541"/>
      <c r="AKM180" s="541"/>
      <c r="AKN180" s="541"/>
      <c r="AKO180" s="541"/>
      <c r="AKP180" s="541"/>
      <c r="AKQ180" s="541"/>
      <c r="AKR180" s="541"/>
      <c r="AKS180" s="541"/>
      <c r="AKT180" s="541"/>
      <c r="AKU180" s="541"/>
      <c r="AKV180" s="541"/>
      <c r="AKW180" s="541"/>
      <c r="AKX180" s="541"/>
      <c r="AKY180" s="541"/>
      <c r="AKZ180" s="541"/>
      <c r="ALA180" s="541"/>
      <c r="ALB180" s="541"/>
      <c r="ALC180" s="541"/>
      <c r="ALD180" s="541"/>
      <c r="ALE180" s="541"/>
      <c r="ALF180" s="541"/>
      <c r="ALG180" s="541"/>
      <c r="ALH180" s="541"/>
      <c r="ALI180" s="541"/>
      <c r="ALJ180" s="541"/>
      <c r="ALK180" s="541"/>
      <c r="ALL180" s="541"/>
      <c r="ALM180" s="541"/>
      <c r="ALN180" s="541"/>
      <c r="ALO180" s="541"/>
      <c r="ALP180" s="541"/>
      <c r="ALQ180" s="541"/>
      <c r="ALR180" s="541"/>
      <c r="ALS180" s="541"/>
      <c r="ALT180" s="541"/>
      <c r="ALU180" s="541"/>
      <c r="ALV180" s="541"/>
      <c r="ALW180" s="541"/>
      <c r="ALX180" s="541"/>
      <c r="ALY180" s="541"/>
      <c r="ALZ180" s="541"/>
      <c r="AMA180" s="541"/>
      <c r="AMB180" s="541"/>
      <c r="AMC180" s="541"/>
      <c r="AMD180" s="541"/>
      <c r="AME180" s="541"/>
      <c r="AMF180" s="541"/>
      <c r="AMG180" s="541"/>
      <c r="AMH180" s="541"/>
      <c r="AMI180" s="541"/>
      <c r="AMJ180" s="541"/>
      <c r="AMK180" s="541"/>
      <c r="AML180" s="541"/>
      <c r="AMM180" s="541"/>
      <c r="AMN180" s="541"/>
      <c r="AMO180" s="541"/>
      <c r="AMP180" s="541"/>
      <c r="AMQ180" s="541"/>
      <c r="AMR180" s="541"/>
      <c r="AMS180" s="541"/>
      <c r="AMT180" s="541"/>
      <c r="AMU180" s="541"/>
      <c r="AMV180" s="541"/>
      <c r="AMW180" s="541"/>
      <c r="AMX180" s="541"/>
      <c r="AMY180" s="541"/>
      <c r="AMZ180" s="541"/>
      <c r="ANA180" s="541"/>
      <c r="ANB180" s="541"/>
      <c r="ANC180" s="541"/>
      <c r="AND180" s="541"/>
      <c r="ANE180" s="541"/>
      <c r="ANF180" s="541"/>
      <c r="ANG180" s="541"/>
      <c r="ANH180" s="541"/>
      <c r="ANI180" s="541"/>
      <c r="ANJ180" s="541"/>
      <c r="ANK180" s="541"/>
      <c r="ANL180" s="541"/>
      <c r="ANM180" s="541"/>
      <c r="ANN180" s="541"/>
      <c r="ANO180" s="541"/>
      <c r="ANP180" s="541"/>
      <c r="ANQ180" s="541"/>
      <c r="ANR180" s="541"/>
      <c r="ANS180" s="541"/>
      <c r="ANT180" s="541"/>
      <c r="ANU180" s="541"/>
      <c r="ANV180" s="541"/>
      <c r="ANW180" s="541"/>
      <c r="ANX180" s="541"/>
      <c r="ANY180" s="541"/>
      <c r="ANZ180" s="541"/>
      <c r="AOA180" s="541"/>
      <c r="AOB180" s="541"/>
      <c r="AOC180" s="541"/>
      <c r="AOD180" s="541"/>
      <c r="AOE180" s="541"/>
      <c r="AOF180" s="541"/>
      <c r="AOG180" s="541"/>
      <c r="AOH180" s="541"/>
      <c r="AOI180" s="541"/>
      <c r="AOJ180" s="541"/>
      <c r="AOK180" s="541"/>
      <c r="AOL180" s="541"/>
      <c r="AOM180" s="541"/>
      <c r="AON180" s="541"/>
      <c r="AOO180" s="541"/>
      <c r="AOP180" s="541"/>
      <c r="AOQ180" s="541"/>
      <c r="AOR180" s="541"/>
      <c r="AOS180" s="541"/>
      <c r="AOT180" s="541"/>
      <c r="AOU180" s="541"/>
      <c r="AOV180" s="541"/>
      <c r="AOW180" s="541"/>
      <c r="AOX180" s="541"/>
      <c r="AOY180" s="541"/>
      <c r="AOZ180" s="541"/>
      <c r="APA180" s="541"/>
      <c r="APB180" s="541"/>
      <c r="APC180" s="541"/>
      <c r="APD180" s="541"/>
      <c r="APE180" s="541"/>
      <c r="APF180" s="541"/>
      <c r="APG180" s="541"/>
      <c r="APH180" s="541"/>
      <c r="API180" s="541"/>
      <c r="APJ180" s="541"/>
      <c r="APK180" s="541"/>
      <c r="APL180" s="541"/>
      <c r="APM180" s="541"/>
      <c r="APN180" s="541"/>
      <c r="APO180" s="541"/>
      <c r="APP180" s="541"/>
      <c r="APQ180" s="541"/>
      <c r="APR180" s="541"/>
      <c r="APS180" s="541"/>
      <c r="APT180" s="541"/>
      <c r="APU180" s="541"/>
      <c r="APV180" s="541"/>
      <c r="APW180" s="541"/>
      <c r="APX180" s="541"/>
      <c r="APY180" s="541"/>
      <c r="APZ180" s="541"/>
      <c r="AQA180" s="541"/>
      <c r="AQB180" s="541"/>
      <c r="AQC180" s="541"/>
      <c r="AQD180" s="541"/>
      <c r="AQE180" s="541"/>
      <c r="AQF180" s="541"/>
      <c r="AQG180" s="541"/>
      <c r="AQH180" s="541"/>
      <c r="AQI180" s="541"/>
      <c r="AQJ180" s="541"/>
      <c r="AQK180" s="541"/>
      <c r="AQL180" s="541"/>
      <c r="AQM180" s="541"/>
      <c r="AQN180" s="541"/>
      <c r="AQO180" s="541"/>
      <c r="AQP180" s="541"/>
      <c r="AQQ180" s="541"/>
      <c r="AQR180" s="541"/>
      <c r="AQS180" s="541"/>
      <c r="AQT180" s="541"/>
      <c r="AQU180" s="541"/>
      <c r="AQV180" s="541"/>
      <c r="AQW180" s="541"/>
      <c r="AQX180" s="541"/>
      <c r="AQY180" s="541"/>
      <c r="AQZ180" s="541"/>
      <c r="ARA180" s="541"/>
      <c r="ARB180" s="541"/>
      <c r="ARC180" s="541"/>
      <c r="ARD180" s="541"/>
      <c r="ARE180" s="541"/>
      <c r="ARF180" s="541"/>
      <c r="ARG180" s="541"/>
      <c r="ARH180" s="541"/>
      <c r="ARI180" s="541"/>
      <c r="ARJ180" s="541"/>
      <c r="ARK180" s="541"/>
      <c r="ARL180" s="541"/>
      <c r="ARM180" s="541"/>
      <c r="ARN180" s="541"/>
      <c r="ARO180" s="541"/>
      <c r="ARP180" s="541"/>
      <c r="ARQ180" s="541"/>
      <c r="ARR180" s="541"/>
      <c r="ARS180" s="541"/>
      <c r="ART180" s="541"/>
      <c r="ARU180" s="541"/>
    </row>
    <row r="181" spans="1:1165">
      <c r="A181" s="596"/>
      <c r="B181" s="430"/>
      <c r="C181" s="684"/>
      <c r="D181" s="608"/>
      <c r="E181" s="608"/>
      <c r="F181" s="608"/>
      <c r="G181" s="608"/>
      <c r="H181" s="608"/>
      <c r="I181" s="608"/>
      <c r="J181" s="608"/>
      <c r="K181" s="608"/>
      <c r="L181" s="608"/>
      <c r="M181" s="608"/>
      <c r="N181" s="608"/>
      <c r="O181" s="608"/>
      <c r="P181" s="608"/>
      <c r="Q181" s="608"/>
      <c r="R181" s="608"/>
      <c r="S181" s="608"/>
      <c r="T181" s="608"/>
      <c r="U181" s="672"/>
      <c r="V181" s="595"/>
      <c r="W181" s="586"/>
      <c r="X181" s="608"/>
      <c r="Y181" s="595"/>
      <c r="Z181" s="595"/>
      <c r="AA181" s="586"/>
      <c r="AB181" s="623"/>
      <c r="AC181" s="595"/>
      <c r="AD181" s="595"/>
      <c r="AE181" s="586"/>
      <c r="AF181" s="586"/>
      <c r="AG181" s="586"/>
      <c r="AH181" s="586"/>
      <c r="AI181" s="586"/>
      <c r="AJ181" s="586"/>
      <c r="AK181" s="673"/>
      <c r="AL181" s="673"/>
      <c r="AM181" s="676"/>
      <c r="AN181" s="676"/>
      <c r="AO181" s="586"/>
      <c r="AP181" s="586"/>
      <c r="AQ181" s="586"/>
      <c r="AR181" s="586"/>
      <c r="AS181" s="586"/>
      <c r="AT181" s="586"/>
      <c r="AU181" s="586"/>
      <c r="AV181" s="623"/>
      <c r="AW181" s="650"/>
      <c r="AX181" s="650"/>
      <c r="AY181" s="648"/>
      <c r="AZ181" s="650"/>
      <c r="BA181" s="686"/>
      <c r="BB181" s="650"/>
      <c r="BC181" s="650"/>
      <c r="BD181" s="650"/>
      <c r="BE181" s="650"/>
      <c r="BF181" s="650"/>
      <c r="BG181" s="650"/>
      <c r="BH181" s="650"/>
      <c r="BI181" s="686"/>
      <c r="BJ181" s="650"/>
      <c r="BK181" s="650"/>
      <c r="BL181" s="541"/>
      <c r="BM181" s="624"/>
      <c r="BO181" s="624"/>
      <c r="BP181" s="624"/>
      <c r="BS181" s="42"/>
      <c r="BT181" s="42"/>
      <c r="BU181" s="42"/>
      <c r="BV181" s="42"/>
      <c r="BW181" s="42"/>
      <c r="BX181" s="42"/>
    </row>
    <row r="182" spans="1:1165">
      <c r="A182" s="591" t="s">
        <v>308</v>
      </c>
      <c r="B182" s="594" t="s">
        <v>110</v>
      </c>
      <c r="C182" s="684">
        <v>12047</v>
      </c>
      <c r="D182" s="608">
        <v>145421</v>
      </c>
      <c r="E182" s="595">
        <v>0</v>
      </c>
      <c r="F182" s="595">
        <v>0</v>
      </c>
      <c r="G182" s="595">
        <v>0</v>
      </c>
      <c r="H182" s="595">
        <v>0</v>
      </c>
      <c r="I182" s="595">
        <v>0</v>
      </c>
      <c r="J182" s="595">
        <v>0</v>
      </c>
      <c r="K182" s="595">
        <v>0</v>
      </c>
      <c r="L182" s="595">
        <v>0</v>
      </c>
      <c r="M182" s="595">
        <v>0</v>
      </c>
      <c r="N182" s="595">
        <v>0</v>
      </c>
      <c r="O182" s="595">
        <v>0</v>
      </c>
      <c r="P182" s="595">
        <v>0</v>
      </c>
      <c r="Q182" s="595">
        <v>0</v>
      </c>
      <c r="R182" s="595">
        <v>0</v>
      </c>
      <c r="S182" s="595">
        <v>0</v>
      </c>
      <c r="T182" s="595">
        <v>0</v>
      </c>
      <c r="U182" s="595">
        <v>0</v>
      </c>
      <c r="V182" s="595">
        <v>0</v>
      </c>
      <c r="W182" s="595">
        <v>0</v>
      </c>
      <c r="X182" s="595">
        <v>0</v>
      </c>
      <c r="Y182" s="595">
        <v>0</v>
      </c>
      <c r="Z182" s="595">
        <v>0</v>
      </c>
      <c r="AA182" s="595">
        <v>0</v>
      </c>
      <c r="AB182" s="595">
        <v>0</v>
      </c>
      <c r="AC182" s="595">
        <v>0</v>
      </c>
      <c r="AD182" s="595">
        <v>0</v>
      </c>
      <c r="AE182" s="595">
        <v>0</v>
      </c>
      <c r="AF182" s="595">
        <v>0</v>
      </c>
      <c r="AG182" s="595">
        <v>0</v>
      </c>
      <c r="AH182" s="595">
        <v>0</v>
      </c>
      <c r="AI182" s="595">
        <v>0</v>
      </c>
      <c r="AJ182" s="595">
        <v>0</v>
      </c>
      <c r="AK182" s="595">
        <v>0</v>
      </c>
      <c r="AL182" s="595">
        <v>0</v>
      </c>
      <c r="AM182" s="595">
        <v>0</v>
      </c>
      <c r="AN182" s="595">
        <v>0</v>
      </c>
      <c r="AO182" s="595">
        <v>0</v>
      </c>
      <c r="AP182" s="595">
        <v>0</v>
      </c>
      <c r="AQ182" s="595">
        <v>0</v>
      </c>
      <c r="AR182" s="595">
        <v>0</v>
      </c>
      <c r="AS182" s="595">
        <v>0</v>
      </c>
      <c r="AT182" s="595">
        <v>0</v>
      </c>
      <c r="AU182" s="595">
        <v>0</v>
      </c>
      <c r="AV182" s="595">
        <v>0</v>
      </c>
      <c r="AW182" s="608">
        <v>0</v>
      </c>
      <c r="AX182" s="608">
        <v>0</v>
      </c>
      <c r="AY182" s="608">
        <v>0</v>
      </c>
      <c r="AZ182" s="608">
        <v>0</v>
      </c>
      <c r="BA182" s="686"/>
      <c r="BB182" s="608"/>
      <c r="BC182" s="608"/>
      <c r="BD182" s="608"/>
      <c r="BE182" s="608"/>
      <c r="BF182" s="608"/>
      <c r="BG182" s="608"/>
      <c r="BH182" s="608"/>
      <c r="BI182" s="686"/>
      <c r="BJ182" s="608">
        <f>C182+G182+I182+K182+M182+O182+Q182+S182+U182+W182+Y182+AA182+AC182+AE182+AG182+AI182+AK182+AM182+AO182+AQ182+AS182+AU182+AW182+AY182+BB182+BF182</f>
        <v>12047</v>
      </c>
      <c r="BK182" s="595">
        <f>D182+H182+J182+L182+N182+P182+R182+T182+V182+X182+Z182+AB182+AD182+AF182+AH182+AJ182+AL182+AN182+AP182+AR182+AT182+AV182+AX182+AZ182+BD182+BH182</f>
        <v>145421</v>
      </c>
      <c r="BL182" s="541"/>
      <c r="BM182" s="624"/>
      <c r="BO182" s="624"/>
      <c r="BP182" s="624"/>
      <c r="BS182" s="42"/>
    </row>
    <row r="183" spans="1:1165">
      <c r="A183" s="705"/>
      <c r="B183" s="594"/>
      <c r="C183" s="670"/>
      <c r="D183" s="670"/>
      <c r="E183" s="595"/>
      <c r="F183" s="595"/>
      <c r="G183" s="595"/>
      <c r="H183" s="595"/>
      <c r="I183" s="595"/>
      <c r="J183" s="595"/>
      <c r="K183" s="595"/>
      <c r="L183" s="595"/>
      <c r="M183" s="595"/>
      <c r="N183" s="595"/>
      <c r="O183" s="595"/>
      <c r="P183" s="595"/>
      <c r="Q183" s="595"/>
      <c r="R183" s="595"/>
      <c r="S183" s="595"/>
      <c r="T183" s="595"/>
      <c r="U183" s="672"/>
      <c r="V183" s="672"/>
      <c r="W183" s="586"/>
      <c r="X183" s="586"/>
      <c r="Y183" s="595"/>
      <c r="Z183" s="595"/>
      <c r="AA183" s="586"/>
      <c r="AB183" s="586"/>
      <c r="AC183" s="595"/>
      <c r="AD183" s="595"/>
      <c r="AE183" s="586"/>
      <c r="AF183" s="586"/>
      <c r="AG183" s="586"/>
      <c r="AH183" s="586"/>
      <c r="AI183" s="586"/>
      <c r="AJ183" s="586"/>
      <c r="AK183" s="586"/>
      <c r="AL183" s="586"/>
      <c r="AM183" s="586"/>
      <c r="AN183" s="586"/>
      <c r="AO183" s="586"/>
      <c r="AP183" s="586"/>
      <c r="AQ183" s="586"/>
      <c r="AR183" s="586"/>
      <c r="AS183" s="586"/>
      <c r="AT183" s="586"/>
      <c r="AU183" s="623"/>
      <c r="AV183" s="623"/>
      <c r="AW183" s="650"/>
      <c r="AX183" s="650"/>
      <c r="AY183" s="648"/>
      <c r="AZ183" s="648"/>
      <c r="BA183" s="686"/>
      <c r="BB183" s="650"/>
      <c r="BC183" s="650"/>
      <c r="BD183" s="650"/>
      <c r="BE183" s="650"/>
      <c r="BF183" s="650"/>
      <c r="BG183" s="650"/>
      <c r="BH183" s="650"/>
      <c r="BI183" s="686"/>
      <c r="BJ183" s="650"/>
      <c r="BK183" s="650"/>
      <c r="BL183" s="541"/>
      <c r="BM183" s="624"/>
      <c r="BO183" s="624"/>
      <c r="BP183" s="624"/>
      <c r="BS183" s="42"/>
    </row>
    <row r="184" spans="1:1165" s="658" customFormat="1">
      <c r="A184" s="577" t="s">
        <v>309</v>
      </c>
      <c r="B184" s="578"/>
      <c r="C184" s="659"/>
      <c r="D184" s="659"/>
      <c r="E184" s="581"/>
      <c r="F184" s="581"/>
      <c r="G184" s="581"/>
      <c r="H184" s="581"/>
      <c r="I184" s="581"/>
      <c r="J184" s="581"/>
      <c r="K184" s="581"/>
      <c r="L184" s="581"/>
      <c r="M184" s="581"/>
      <c r="N184" s="581"/>
      <c r="O184" s="581"/>
      <c r="P184" s="581"/>
      <c r="Q184" s="581"/>
      <c r="R184" s="581"/>
      <c r="S184" s="581"/>
      <c r="T184" s="581"/>
      <c r="U184" s="620"/>
      <c r="V184" s="620"/>
      <c r="W184" s="579"/>
      <c r="X184" s="579"/>
      <c r="Y184" s="581"/>
      <c r="Z184" s="581"/>
      <c r="AA184" s="579"/>
      <c r="AB184" s="579"/>
      <c r="AC184" s="581"/>
      <c r="AD184" s="581"/>
      <c r="AE184" s="579"/>
      <c r="AF184" s="579"/>
      <c r="AG184" s="579"/>
      <c r="AH184" s="579"/>
      <c r="AI184" s="579"/>
      <c r="AJ184" s="579"/>
      <c r="AK184" s="579"/>
      <c r="AL184" s="579"/>
      <c r="AM184" s="579"/>
      <c r="AN184" s="579"/>
      <c r="AO184" s="579"/>
      <c r="AP184" s="579"/>
      <c r="AQ184" s="579"/>
      <c r="AR184" s="579"/>
      <c r="AS184" s="579"/>
      <c r="AT184" s="579"/>
      <c r="AU184" s="619"/>
      <c r="AV184" s="619"/>
      <c r="AW184" s="657"/>
      <c r="AX184" s="657"/>
      <c r="AY184" s="656"/>
      <c r="AZ184" s="656"/>
      <c r="BA184" s="663"/>
      <c r="BB184" s="657"/>
      <c r="BC184" s="657"/>
      <c r="BD184" s="657"/>
      <c r="BE184" s="657"/>
      <c r="BF184" s="657"/>
      <c r="BG184" s="657"/>
      <c r="BH184" s="657"/>
      <c r="BI184" s="663"/>
      <c r="BJ184" s="657"/>
      <c r="BK184" s="657"/>
      <c r="BL184" s="541"/>
      <c r="BM184" s="624"/>
      <c r="BN184" s="624"/>
      <c r="BO184" s="624"/>
      <c r="BP184" s="624"/>
      <c r="BQ184" s="541"/>
      <c r="BR184" s="541"/>
      <c r="BS184" s="42"/>
      <c r="BT184" s="541"/>
      <c r="BU184" s="541"/>
      <c r="BV184" s="541"/>
      <c r="BW184" s="541"/>
      <c r="BX184" s="541"/>
      <c r="BY184" s="541"/>
      <c r="BZ184" s="541"/>
      <c r="CA184" s="541"/>
      <c r="CB184" s="541"/>
      <c r="CC184" s="541"/>
      <c r="CD184" s="541"/>
      <c r="CE184" s="541"/>
      <c r="CF184" s="541"/>
      <c r="CG184" s="541"/>
      <c r="CH184" s="541"/>
      <c r="CI184" s="541"/>
      <c r="CJ184" s="541"/>
      <c r="CK184" s="541"/>
      <c r="CL184" s="541"/>
      <c r="CM184" s="541"/>
      <c r="CN184" s="541"/>
      <c r="CO184" s="541"/>
      <c r="CP184" s="541"/>
      <c r="CQ184" s="541"/>
      <c r="CR184" s="541"/>
      <c r="CS184" s="541"/>
      <c r="CT184" s="541"/>
      <c r="CU184" s="541"/>
      <c r="CV184" s="541"/>
      <c r="CW184" s="541"/>
      <c r="CX184" s="541"/>
      <c r="CY184" s="541"/>
      <c r="CZ184" s="541"/>
      <c r="DA184" s="541"/>
      <c r="DB184" s="541"/>
      <c r="DC184" s="541"/>
      <c r="DD184" s="541"/>
      <c r="DE184" s="541"/>
      <c r="DF184" s="541"/>
      <c r="DG184" s="541"/>
      <c r="DH184" s="541"/>
      <c r="DI184" s="541"/>
      <c r="DJ184" s="541"/>
      <c r="DK184" s="541"/>
      <c r="DL184" s="541"/>
      <c r="DM184" s="541"/>
      <c r="DN184" s="541"/>
      <c r="DO184" s="541"/>
      <c r="DP184" s="541"/>
      <c r="DQ184" s="541"/>
      <c r="DR184" s="541"/>
      <c r="DS184" s="541"/>
      <c r="DT184" s="541"/>
      <c r="DU184" s="541"/>
      <c r="DV184" s="541"/>
      <c r="DW184" s="541"/>
      <c r="DX184" s="541"/>
      <c r="DY184" s="541"/>
      <c r="DZ184" s="541"/>
      <c r="EA184" s="541"/>
      <c r="EB184" s="541"/>
      <c r="EC184" s="541"/>
      <c r="ED184" s="541"/>
      <c r="EE184" s="541"/>
      <c r="EF184" s="541"/>
      <c r="EG184" s="541"/>
      <c r="EH184" s="541"/>
      <c r="EI184" s="541"/>
      <c r="EJ184" s="541"/>
      <c r="EK184" s="541"/>
      <c r="EL184" s="541"/>
      <c r="EM184" s="541"/>
      <c r="EN184" s="541"/>
      <c r="EO184" s="541"/>
      <c r="EP184" s="541"/>
      <c r="EQ184" s="541"/>
      <c r="ER184" s="541"/>
      <c r="ES184" s="541"/>
      <c r="ET184" s="541"/>
      <c r="EU184" s="541"/>
      <c r="EV184" s="541"/>
      <c r="EW184" s="541"/>
      <c r="EX184" s="541"/>
      <c r="EY184" s="541"/>
      <c r="EZ184" s="541"/>
      <c r="FA184" s="541"/>
      <c r="FB184" s="541"/>
      <c r="FC184" s="541"/>
      <c r="FD184" s="541"/>
      <c r="FE184" s="541"/>
      <c r="FF184" s="541"/>
      <c r="FG184" s="541"/>
      <c r="FH184" s="541"/>
      <c r="FI184" s="541"/>
      <c r="FJ184" s="541"/>
      <c r="FK184" s="541"/>
      <c r="FL184" s="541"/>
      <c r="FM184" s="541"/>
      <c r="FN184" s="541"/>
      <c r="FO184" s="541"/>
      <c r="FP184" s="541"/>
      <c r="FQ184" s="541"/>
      <c r="FR184" s="541"/>
      <c r="FS184" s="541"/>
      <c r="FT184" s="541"/>
      <c r="FU184" s="541"/>
      <c r="FV184" s="541"/>
      <c r="FW184" s="541"/>
      <c r="FX184" s="541"/>
      <c r="FY184" s="541"/>
      <c r="FZ184" s="541"/>
      <c r="GA184" s="541"/>
      <c r="GB184" s="541"/>
      <c r="GC184" s="541"/>
      <c r="GD184" s="541"/>
      <c r="GE184" s="541"/>
      <c r="GF184" s="541"/>
      <c r="GG184" s="541"/>
      <c r="GH184" s="541"/>
      <c r="GI184" s="541"/>
      <c r="GJ184" s="541"/>
      <c r="GK184" s="541"/>
      <c r="GL184" s="541"/>
      <c r="GM184" s="541"/>
      <c r="GN184" s="541"/>
      <c r="GO184" s="541"/>
      <c r="GP184" s="541"/>
      <c r="GQ184" s="541"/>
      <c r="GR184" s="541"/>
      <c r="GS184" s="541"/>
      <c r="GT184" s="541"/>
      <c r="GU184" s="541"/>
      <c r="GV184" s="541"/>
      <c r="GW184" s="541"/>
      <c r="GX184" s="541"/>
      <c r="GY184" s="541"/>
      <c r="GZ184" s="541"/>
      <c r="HA184" s="541"/>
      <c r="HB184" s="541"/>
      <c r="HC184" s="541"/>
      <c r="HD184" s="541"/>
      <c r="HE184" s="541"/>
      <c r="HF184" s="541"/>
      <c r="HG184" s="541"/>
      <c r="HH184" s="541"/>
      <c r="HI184" s="541"/>
      <c r="HJ184" s="541"/>
      <c r="HK184" s="541"/>
      <c r="HL184" s="541"/>
      <c r="HM184" s="541"/>
      <c r="HN184" s="541"/>
      <c r="HO184" s="541"/>
      <c r="HP184" s="541"/>
      <c r="HQ184" s="541"/>
      <c r="HR184" s="541"/>
      <c r="HS184" s="541"/>
      <c r="HT184" s="541"/>
      <c r="HU184" s="541"/>
      <c r="HV184" s="541"/>
      <c r="HW184" s="541"/>
      <c r="HX184" s="541"/>
      <c r="HY184" s="541"/>
      <c r="HZ184" s="541"/>
      <c r="IA184" s="541"/>
      <c r="IB184" s="541"/>
      <c r="IC184" s="541"/>
      <c r="ID184" s="541"/>
      <c r="IE184" s="541"/>
      <c r="IF184" s="541"/>
      <c r="IG184" s="541"/>
      <c r="IH184" s="541"/>
      <c r="II184" s="541"/>
      <c r="IJ184" s="541"/>
      <c r="IK184" s="541"/>
      <c r="IL184" s="541"/>
      <c r="IM184" s="541"/>
      <c r="IN184" s="541"/>
      <c r="IO184" s="541"/>
      <c r="IP184" s="541"/>
      <c r="IQ184" s="541"/>
      <c r="IR184" s="541"/>
      <c r="IS184" s="541"/>
      <c r="IT184" s="541"/>
      <c r="IU184" s="541"/>
      <c r="IV184" s="541"/>
      <c r="IW184" s="541"/>
      <c r="IX184" s="541"/>
      <c r="IY184" s="541"/>
      <c r="IZ184" s="541"/>
      <c r="JA184" s="541"/>
      <c r="JB184" s="541"/>
      <c r="JC184" s="541"/>
      <c r="JD184" s="541"/>
      <c r="JE184" s="541"/>
      <c r="JF184" s="541"/>
      <c r="JG184" s="541"/>
      <c r="JH184" s="541"/>
      <c r="JI184" s="541"/>
      <c r="JJ184" s="541"/>
      <c r="JK184" s="541"/>
      <c r="JL184" s="541"/>
      <c r="JM184" s="541"/>
      <c r="JN184" s="541"/>
      <c r="JO184" s="541"/>
      <c r="JP184" s="541"/>
      <c r="JQ184" s="541"/>
      <c r="JR184" s="541"/>
      <c r="JS184" s="541"/>
      <c r="JT184" s="541"/>
      <c r="JU184" s="541"/>
      <c r="JV184" s="541"/>
      <c r="JW184" s="541"/>
      <c r="JX184" s="541"/>
      <c r="JY184" s="541"/>
      <c r="JZ184" s="541"/>
      <c r="KA184" s="541"/>
      <c r="KB184" s="541"/>
      <c r="KC184" s="541"/>
      <c r="KD184" s="541"/>
      <c r="KE184" s="541"/>
      <c r="KF184" s="541"/>
      <c r="KG184" s="541"/>
      <c r="KH184" s="541"/>
      <c r="KI184" s="541"/>
      <c r="KJ184" s="541"/>
      <c r="KK184" s="541"/>
      <c r="KL184" s="541"/>
      <c r="KM184" s="541"/>
      <c r="KN184" s="541"/>
      <c r="KO184" s="541"/>
      <c r="KP184" s="541"/>
      <c r="KQ184" s="541"/>
      <c r="KR184" s="541"/>
      <c r="KS184" s="541"/>
      <c r="KT184" s="541"/>
      <c r="KU184" s="541"/>
      <c r="KV184" s="541"/>
      <c r="KW184" s="541"/>
      <c r="KX184" s="541"/>
      <c r="KY184" s="541"/>
      <c r="KZ184" s="541"/>
      <c r="LA184" s="541"/>
      <c r="LB184" s="541"/>
      <c r="LC184" s="541"/>
      <c r="LD184" s="541"/>
      <c r="LE184" s="541"/>
      <c r="LF184" s="541"/>
      <c r="LG184" s="541"/>
      <c r="LH184" s="541"/>
      <c r="LI184" s="541"/>
      <c r="LJ184" s="541"/>
      <c r="LK184" s="541"/>
      <c r="LL184" s="541"/>
      <c r="LM184" s="541"/>
      <c r="LN184" s="541"/>
      <c r="LO184" s="541"/>
      <c r="LP184" s="541"/>
      <c r="LQ184" s="541"/>
      <c r="LR184" s="541"/>
      <c r="LS184" s="541"/>
      <c r="LT184" s="541"/>
      <c r="LU184" s="541"/>
      <c r="LV184" s="541"/>
      <c r="LW184" s="541"/>
      <c r="LX184" s="541"/>
      <c r="LY184" s="541"/>
      <c r="LZ184" s="541"/>
      <c r="MA184" s="541"/>
      <c r="MB184" s="541"/>
      <c r="MC184" s="541"/>
      <c r="MD184" s="541"/>
      <c r="ME184" s="541"/>
      <c r="MF184" s="541"/>
      <c r="MG184" s="541"/>
      <c r="MH184" s="541"/>
      <c r="MI184" s="541"/>
      <c r="MJ184" s="541"/>
      <c r="MK184" s="541"/>
      <c r="ML184" s="541"/>
      <c r="MM184" s="541"/>
      <c r="MN184" s="541"/>
      <c r="MO184" s="541"/>
      <c r="MP184" s="541"/>
      <c r="MQ184" s="541"/>
      <c r="MR184" s="541"/>
      <c r="MS184" s="541"/>
      <c r="MT184" s="541"/>
      <c r="MU184" s="541"/>
      <c r="MV184" s="541"/>
      <c r="MW184" s="541"/>
      <c r="MX184" s="541"/>
      <c r="MY184" s="541"/>
      <c r="MZ184" s="541"/>
      <c r="NA184" s="541"/>
      <c r="NB184" s="541"/>
      <c r="NC184" s="541"/>
      <c r="ND184" s="541"/>
      <c r="NE184" s="541"/>
      <c r="NF184" s="541"/>
      <c r="NG184" s="541"/>
      <c r="NH184" s="541"/>
      <c r="NI184" s="541"/>
      <c r="NJ184" s="541"/>
      <c r="NK184" s="541"/>
      <c r="NL184" s="541"/>
      <c r="NM184" s="541"/>
      <c r="NN184" s="541"/>
      <c r="NO184" s="541"/>
      <c r="NP184" s="541"/>
      <c r="NQ184" s="541"/>
      <c r="NR184" s="541"/>
      <c r="NS184" s="541"/>
      <c r="NT184" s="541"/>
      <c r="NU184" s="541"/>
      <c r="NV184" s="541"/>
      <c r="NW184" s="541"/>
      <c r="NX184" s="541"/>
      <c r="NY184" s="541"/>
      <c r="NZ184" s="541"/>
      <c r="OA184" s="541"/>
      <c r="OB184" s="541"/>
      <c r="OC184" s="541"/>
      <c r="OD184" s="541"/>
      <c r="OE184" s="541"/>
      <c r="OF184" s="541"/>
      <c r="OG184" s="541"/>
      <c r="OH184" s="541"/>
      <c r="OI184" s="541"/>
      <c r="OJ184" s="541"/>
      <c r="OK184" s="541"/>
      <c r="OL184" s="541"/>
      <c r="OM184" s="541"/>
      <c r="ON184" s="541"/>
      <c r="OO184" s="541"/>
      <c r="OP184" s="541"/>
      <c r="OQ184" s="541"/>
      <c r="OR184" s="541"/>
      <c r="OS184" s="541"/>
      <c r="OT184" s="541"/>
      <c r="OU184" s="541"/>
      <c r="OV184" s="541"/>
      <c r="OW184" s="541"/>
      <c r="OX184" s="541"/>
      <c r="OY184" s="541"/>
      <c r="OZ184" s="541"/>
      <c r="PA184" s="541"/>
      <c r="PB184" s="541"/>
      <c r="PC184" s="541"/>
      <c r="PD184" s="541"/>
      <c r="PE184" s="541"/>
      <c r="PF184" s="541"/>
      <c r="PG184" s="541"/>
      <c r="PH184" s="541"/>
      <c r="PI184" s="541"/>
      <c r="PJ184" s="541"/>
      <c r="PK184" s="541"/>
      <c r="PL184" s="541"/>
      <c r="PM184" s="541"/>
      <c r="PN184" s="541"/>
      <c r="PO184" s="541"/>
      <c r="PP184" s="541"/>
      <c r="PQ184" s="541"/>
      <c r="PR184" s="541"/>
      <c r="PS184" s="541"/>
      <c r="PT184" s="541"/>
      <c r="PU184" s="541"/>
      <c r="PV184" s="541"/>
      <c r="PW184" s="541"/>
      <c r="PX184" s="541"/>
      <c r="PY184" s="541"/>
      <c r="PZ184" s="541"/>
      <c r="QA184" s="541"/>
      <c r="QB184" s="541"/>
      <c r="QC184" s="541"/>
      <c r="QD184" s="541"/>
      <c r="QE184" s="541"/>
      <c r="QF184" s="541"/>
      <c r="QG184" s="541"/>
      <c r="QH184" s="541"/>
      <c r="QI184" s="541"/>
      <c r="QJ184" s="541"/>
      <c r="QK184" s="541"/>
      <c r="QL184" s="541"/>
      <c r="QM184" s="541"/>
      <c r="QN184" s="541"/>
      <c r="QO184" s="541"/>
      <c r="QP184" s="541"/>
      <c r="QQ184" s="541"/>
      <c r="QR184" s="541"/>
      <c r="QS184" s="541"/>
      <c r="QT184" s="541"/>
      <c r="QU184" s="541"/>
      <c r="QV184" s="541"/>
      <c r="QW184" s="541"/>
      <c r="QX184" s="541"/>
      <c r="QY184" s="541"/>
      <c r="QZ184" s="541"/>
      <c r="RA184" s="541"/>
      <c r="RB184" s="541"/>
      <c r="RC184" s="541"/>
      <c r="RD184" s="541"/>
      <c r="RE184" s="541"/>
      <c r="RF184" s="541"/>
      <c r="RG184" s="541"/>
      <c r="RH184" s="541"/>
      <c r="RI184" s="541"/>
      <c r="RJ184" s="541"/>
      <c r="RK184" s="541"/>
      <c r="RL184" s="541"/>
      <c r="RM184" s="541"/>
      <c r="RN184" s="541"/>
      <c r="RO184" s="541"/>
      <c r="RP184" s="541"/>
      <c r="RQ184" s="541"/>
      <c r="RR184" s="541"/>
      <c r="RS184" s="541"/>
      <c r="RT184" s="541"/>
      <c r="RU184" s="541"/>
      <c r="RV184" s="541"/>
      <c r="RW184" s="541"/>
      <c r="RX184" s="541"/>
      <c r="RY184" s="541"/>
      <c r="RZ184" s="541"/>
      <c r="SA184" s="541"/>
      <c r="SB184" s="541"/>
      <c r="SC184" s="541"/>
      <c r="SD184" s="541"/>
      <c r="SE184" s="541"/>
      <c r="SF184" s="541"/>
      <c r="SG184" s="541"/>
      <c r="SH184" s="541"/>
      <c r="SI184" s="541"/>
      <c r="SJ184" s="541"/>
      <c r="SK184" s="541"/>
      <c r="SL184" s="541"/>
      <c r="SM184" s="541"/>
      <c r="SN184" s="541"/>
      <c r="SO184" s="541"/>
      <c r="SP184" s="541"/>
      <c r="SQ184" s="541"/>
      <c r="SR184" s="541"/>
      <c r="SS184" s="541"/>
      <c r="ST184" s="541"/>
      <c r="SU184" s="541"/>
      <c r="SV184" s="541"/>
      <c r="SW184" s="541"/>
      <c r="SX184" s="541"/>
      <c r="SY184" s="541"/>
      <c r="SZ184" s="541"/>
      <c r="TA184" s="541"/>
      <c r="TB184" s="541"/>
      <c r="TC184" s="541"/>
      <c r="TD184" s="541"/>
      <c r="TE184" s="541"/>
      <c r="TF184" s="541"/>
      <c r="TG184" s="541"/>
      <c r="TH184" s="541"/>
      <c r="TI184" s="541"/>
      <c r="TJ184" s="541"/>
      <c r="TK184" s="541"/>
      <c r="TL184" s="541"/>
      <c r="TM184" s="541"/>
      <c r="TN184" s="541"/>
      <c r="TO184" s="541"/>
      <c r="TP184" s="541"/>
      <c r="TQ184" s="541"/>
      <c r="TR184" s="541"/>
      <c r="TS184" s="541"/>
      <c r="TT184" s="541"/>
      <c r="TU184" s="541"/>
      <c r="TV184" s="541"/>
      <c r="TW184" s="541"/>
      <c r="TX184" s="541"/>
      <c r="TY184" s="541"/>
      <c r="TZ184" s="541"/>
      <c r="UA184" s="541"/>
      <c r="UB184" s="541"/>
      <c r="UC184" s="541"/>
      <c r="UD184" s="541"/>
      <c r="UE184" s="541"/>
      <c r="UF184" s="541"/>
      <c r="UG184" s="541"/>
      <c r="UH184" s="541"/>
      <c r="UI184" s="541"/>
      <c r="UJ184" s="541"/>
      <c r="UK184" s="541"/>
      <c r="UL184" s="541"/>
      <c r="UM184" s="541"/>
      <c r="UN184" s="541"/>
      <c r="UO184" s="541"/>
      <c r="UP184" s="541"/>
      <c r="UQ184" s="541"/>
      <c r="UR184" s="541"/>
      <c r="US184" s="541"/>
      <c r="UT184" s="541"/>
      <c r="UU184" s="541"/>
      <c r="UV184" s="541"/>
      <c r="UW184" s="541"/>
      <c r="UX184" s="541"/>
      <c r="UY184" s="541"/>
      <c r="UZ184" s="541"/>
      <c r="VA184" s="541"/>
      <c r="VB184" s="541"/>
      <c r="VC184" s="541"/>
      <c r="VD184" s="541"/>
      <c r="VE184" s="541"/>
      <c r="VF184" s="541"/>
      <c r="VG184" s="541"/>
      <c r="VH184" s="541"/>
      <c r="VI184" s="541"/>
      <c r="VJ184" s="541"/>
      <c r="VK184" s="541"/>
      <c r="VL184" s="541"/>
      <c r="VM184" s="541"/>
      <c r="VN184" s="541"/>
      <c r="VO184" s="541"/>
      <c r="VP184" s="541"/>
      <c r="VQ184" s="541"/>
      <c r="VR184" s="541"/>
      <c r="VS184" s="541"/>
      <c r="VT184" s="541"/>
      <c r="VU184" s="541"/>
      <c r="VV184" s="541"/>
      <c r="VW184" s="541"/>
      <c r="VX184" s="541"/>
      <c r="VY184" s="541"/>
      <c r="VZ184" s="541"/>
      <c r="WA184" s="541"/>
      <c r="WB184" s="541"/>
      <c r="WC184" s="541"/>
      <c r="WD184" s="541"/>
      <c r="WE184" s="541"/>
      <c r="WF184" s="541"/>
      <c r="WG184" s="541"/>
      <c r="WH184" s="541"/>
      <c r="WI184" s="541"/>
      <c r="WJ184" s="541"/>
      <c r="WK184" s="541"/>
      <c r="WL184" s="541"/>
      <c r="WM184" s="541"/>
      <c r="WN184" s="541"/>
      <c r="WO184" s="541"/>
      <c r="WP184" s="541"/>
      <c r="WQ184" s="541"/>
      <c r="WR184" s="541"/>
      <c r="WS184" s="541"/>
      <c r="WT184" s="541"/>
      <c r="WU184" s="541"/>
      <c r="WV184" s="541"/>
      <c r="WW184" s="541"/>
      <c r="WX184" s="541"/>
      <c r="WY184" s="541"/>
      <c r="WZ184" s="541"/>
      <c r="XA184" s="541"/>
      <c r="XB184" s="541"/>
      <c r="XC184" s="541"/>
      <c r="XD184" s="541"/>
      <c r="XE184" s="541"/>
      <c r="XF184" s="541"/>
      <c r="XG184" s="541"/>
      <c r="XH184" s="541"/>
      <c r="XI184" s="541"/>
      <c r="XJ184" s="541"/>
      <c r="XK184" s="541"/>
      <c r="XL184" s="541"/>
      <c r="XM184" s="541"/>
      <c r="XN184" s="541"/>
      <c r="XO184" s="541"/>
      <c r="XP184" s="541"/>
      <c r="XQ184" s="541"/>
      <c r="XR184" s="541"/>
      <c r="XS184" s="541"/>
      <c r="XT184" s="541"/>
      <c r="XU184" s="541"/>
      <c r="XV184" s="541"/>
      <c r="XW184" s="541"/>
      <c r="XX184" s="541"/>
      <c r="XY184" s="541"/>
      <c r="XZ184" s="541"/>
      <c r="YA184" s="541"/>
      <c r="YB184" s="541"/>
      <c r="YC184" s="541"/>
      <c r="YD184" s="541"/>
      <c r="YE184" s="541"/>
      <c r="YF184" s="541"/>
      <c r="YG184" s="541"/>
      <c r="YH184" s="541"/>
      <c r="YI184" s="541"/>
      <c r="YJ184" s="541"/>
      <c r="YK184" s="541"/>
      <c r="YL184" s="541"/>
      <c r="YM184" s="541"/>
      <c r="YN184" s="541"/>
      <c r="YO184" s="541"/>
      <c r="YP184" s="541"/>
      <c r="YQ184" s="541"/>
      <c r="YR184" s="541"/>
      <c r="YS184" s="541"/>
      <c r="YT184" s="541"/>
      <c r="YU184" s="541"/>
      <c r="YV184" s="541"/>
      <c r="YW184" s="541"/>
      <c r="YX184" s="541"/>
      <c r="YY184" s="541"/>
      <c r="YZ184" s="541"/>
      <c r="ZA184" s="541"/>
      <c r="ZB184" s="541"/>
      <c r="ZC184" s="541"/>
      <c r="ZD184" s="541"/>
      <c r="ZE184" s="541"/>
      <c r="ZF184" s="541"/>
      <c r="ZG184" s="541"/>
      <c r="ZH184" s="541"/>
      <c r="ZI184" s="541"/>
      <c r="ZJ184" s="541"/>
      <c r="ZK184" s="541"/>
      <c r="ZL184" s="541"/>
      <c r="ZM184" s="541"/>
      <c r="ZN184" s="541"/>
      <c r="ZO184" s="541"/>
      <c r="ZP184" s="541"/>
      <c r="ZQ184" s="541"/>
      <c r="ZR184" s="541"/>
      <c r="ZS184" s="541"/>
      <c r="ZT184" s="541"/>
      <c r="ZU184" s="541"/>
      <c r="ZV184" s="541"/>
      <c r="ZW184" s="541"/>
      <c r="ZX184" s="541"/>
      <c r="ZY184" s="541"/>
      <c r="ZZ184" s="541"/>
      <c r="AAA184" s="541"/>
      <c r="AAB184" s="541"/>
      <c r="AAC184" s="541"/>
      <c r="AAD184" s="541"/>
      <c r="AAE184" s="541"/>
      <c r="AAF184" s="541"/>
      <c r="AAG184" s="541"/>
      <c r="AAH184" s="541"/>
      <c r="AAI184" s="541"/>
      <c r="AAJ184" s="541"/>
      <c r="AAK184" s="541"/>
      <c r="AAL184" s="541"/>
      <c r="AAM184" s="541"/>
      <c r="AAN184" s="541"/>
      <c r="AAO184" s="541"/>
      <c r="AAP184" s="541"/>
      <c r="AAQ184" s="541"/>
      <c r="AAR184" s="541"/>
      <c r="AAS184" s="541"/>
      <c r="AAT184" s="541"/>
      <c r="AAU184" s="541"/>
      <c r="AAV184" s="541"/>
      <c r="AAW184" s="541"/>
      <c r="AAX184" s="541"/>
      <c r="AAY184" s="541"/>
      <c r="AAZ184" s="541"/>
      <c r="ABA184" s="541"/>
      <c r="ABB184" s="541"/>
      <c r="ABC184" s="541"/>
      <c r="ABD184" s="541"/>
      <c r="ABE184" s="541"/>
      <c r="ABF184" s="541"/>
      <c r="ABG184" s="541"/>
      <c r="ABH184" s="541"/>
      <c r="ABI184" s="541"/>
      <c r="ABJ184" s="541"/>
      <c r="ABK184" s="541"/>
      <c r="ABL184" s="541"/>
      <c r="ABM184" s="541"/>
      <c r="ABN184" s="541"/>
      <c r="ABO184" s="541"/>
      <c r="ABP184" s="541"/>
      <c r="ABQ184" s="541"/>
      <c r="ABR184" s="541"/>
      <c r="ABS184" s="541"/>
      <c r="ABT184" s="541"/>
      <c r="ABU184" s="541"/>
      <c r="ABV184" s="541"/>
      <c r="ABW184" s="541"/>
      <c r="ABX184" s="541"/>
      <c r="ABY184" s="541"/>
      <c r="ABZ184" s="541"/>
      <c r="ACA184" s="541"/>
      <c r="ACB184" s="541"/>
      <c r="ACC184" s="541"/>
      <c r="ACD184" s="541"/>
      <c r="ACE184" s="541"/>
      <c r="ACF184" s="541"/>
      <c r="ACG184" s="541"/>
      <c r="ACH184" s="541"/>
      <c r="ACI184" s="541"/>
      <c r="ACJ184" s="541"/>
      <c r="ACK184" s="541"/>
      <c r="ACL184" s="541"/>
      <c r="ACM184" s="541"/>
      <c r="ACN184" s="541"/>
      <c r="ACO184" s="541"/>
      <c r="ACP184" s="541"/>
      <c r="ACQ184" s="541"/>
      <c r="ACR184" s="541"/>
      <c r="ACS184" s="541"/>
      <c r="ACT184" s="541"/>
      <c r="ACU184" s="541"/>
      <c r="ACV184" s="541"/>
      <c r="ACW184" s="541"/>
      <c r="ACX184" s="541"/>
      <c r="ACY184" s="541"/>
      <c r="ACZ184" s="541"/>
      <c r="ADA184" s="541"/>
      <c r="ADB184" s="541"/>
      <c r="ADC184" s="541"/>
      <c r="ADD184" s="541"/>
      <c r="ADE184" s="541"/>
      <c r="ADF184" s="541"/>
      <c r="ADG184" s="541"/>
      <c r="ADH184" s="541"/>
      <c r="ADI184" s="541"/>
      <c r="ADJ184" s="541"/>
      <c r="ADK184" s="541"/>
      <c r="ADL184" s="541"/>
      <c r="ADM184" s="541"/>
      <c r="ADN184" s="541"/>
      <c r="ADO184" s="541"/>
      <c r="ADP184" s="541"/>
      <c r="ADQ184" s="541"/>
      <c r="ADR184" s="541"/>
      <c r="ADS184" s="541"/>
      <c r="ADT184" s="541"/>
      <c r="ADU184" s="541"/>
      <c r="ADV184" s="541"/>
      <c r="ADW184" s="541"/>
      <c r="ADX184" s="541"/>
      <c r="ADY184" s="541"/>
      <c r="ADZ184" s="541"/>
      <c r="AEA184" s="541"/>
      <c r="AEB184" s="541"/>
      <c r="AEC184" s="541"/>
      <c r="AED184" s="541"/>
      <c r="AEE184" s="541"/>
      <c r="AEF184" s="541"/>
      <c r="AEG184" s="541"/>
      <c r="AEH184" s="541"/>
      <c r="AEI184" s="541"/>
      <c r="AEJ184" s="541"/>
      <c r="AEK184" s="541"/>
      <c r="AEL184" s="541"/>
      <c r="AEM184" s="541"/>
      <c r="AEN184" s="541"/>
      <c r="AEO184" s="541"/>
      <c r="AEP184" s="541"/>
      <c r="AEQ184" s="541"/>
      <c r="AER184" s="541"/>
      <c r="AES184" s="541"/>
      <c r="AET184" s="541"/>
      <c r="AEU184" s="541"/>
      <c r="AEV184" s="541"/>
      <c r="AEW184" s="541"/>
      <c r="AEX184" s="541"/>
      <c r="AEY184" s="541"/>
      <c r="AEZ184" s="541"/>
      <c r="AFA184" s="541"/>
      <c r="AFB184" s="541"/>
      <c r="AFC184" s="541"/>
      <c r="AFD184" s="541"/>
      <c r="AFE184" s="541"/>
      <c r="AFF184" s="541"/>
      <c r="AFG184" s="541"/>
      <c r="AFH184" s="541"/>
      <c r="AFI184" s="541"/>
      <c r="AFJ184" s="541"/>
      <c r="AFK184" s="541"/>
      <c r="AFL184" s="541"/>
      <c r="AFM184" s="541"/>
      <c r="AFN184" s="541"/>
      <c r="AFO184" s="541"/>
      <c r="AFP184" s="541"/>
      <c r="AFQ184" s="541"/>
      <c r="AFR184" s="541"/>
      <c r="AFS184" s="541"/>
      <c r="AFT184" s="541"/>
      <c r="AFU184" s="541"/>
      <c r="AFV184" s="541"/>
      <c r="AFW184" s="541"/>
      <c r="AFX184" s="541"/>
      <c r="AFY184" s="541"/>
      <c r="AFZ184" s="541"/>
      <c r="AGA184" s="541"/>
      <c r="AGB184" s="541"/>
      <c r="AGC184" s="541"/>
      <c r="AGD184" s="541"/>
      <c r="AGE184" s="541"/>
      <c r="AGF184" s="541"/>
      <c r="AGG184" s="541"/>
      <c r="AGH184" s="541"/>
      <c r="AGI184" s="541"/>
      <c r="AGJ184" s="541"/>
      <c r="AGK184" s="541"/>
      <c r="AGL184" s="541"/>
      <c r="AGM184" s="541"/>
      <c r="AGN184" s="541"/>
      <c r="AGO184" s="541"/>
      <c r="AGP184" s="541"/>
      <c r="AGQ184" s="541"/>
      <c r="AGR184" s="541"/>
      <c r="AGS184" s="541"/>
      <c r="AGT184" s="541"/>
      <c r="AGU184" s="541"/>
      <c r="AGV184" s="541"/>
      <c r="AGW184" s="541"/>
      <c r="AGX184" s="541"/>
      <c r="AGY184" s="541"/>
      <c r="AGZ184" s="541"/>
      <c r="AHA184" s="541"/>
      <c r="AHB184" s="541"/>
      <c r="AHC184" s="541"/>
      <c r="AHD184" s="541"/>
      <c r="AHE184" s="541"/>
      <c r="AHF184" s="541"/>
      <c r="AHG184" s="541"/>
      <c r="AHH184" s="541"/>
      <c r="AHI184" s="541"/>
      <c r="AHJ184" s="541"/>
      <c r="AHK184" s="541"/>
      <c r="AHL184" s="541"/>
      <c r="AHM184" s="541"/>
      <c r="AHN184" s="541"/>
      <c r="AHO184" s="541"/>
      <c r="AHP184" s="541"/>
      <c r="AHQ184" s="541"/>
      <c r="AHR184" s="541"/>
      <c r="AHS184" s="541"/>
      <c r="AHT184" s="541"/>
      <c r="AHU184" s="541"/>
      <c r="AHV184" s="541"/>
      <c r="AHW184" s="541"/>
      <c r="AHX184" s="541"/>
      <c r="AHY184" s="541"/>
      <c r="AHZ184" s="541"/>
      <c r="AIA184" s="541"/>
      <c r="AIB184" s="541"/>
      <c r="AIC184" s="541"/>
      <c r="AID184" s="541"/>
      <c r="AIE184" s="541"/>
      <c r="AIF184" s="541"/>
      <c r="AIG184" s="541"/>
      <c r="AIH184" s="541"/>
      <c r="AII184" s="541"/>
      <c r="AIJ184" s="541"/>
      <c r="AIK184" s="541"/>
      <c r="AIL184" s="541"/>
      <c r="AIM184" s="541"/>
      <c r="AIN184" s="541"/>
      <c r="AIO184" s="541"/>
      <c r="AIP184" s="541"/>
      <c r="AIQ184" s="541"/>
      <c r="AIR184" s="541"/>
      <c r="AIS184" s="541"/>
      <c r="AIT184" s="541"/>
      <c r="AIU184" s="541"/>
      <c r="AIV184" s="541"/>
      <c r="AIW184" s="541"/>
      <c r="AIX184" s="541"/>
      <c r="AIY184" s="541"/>
      <c r="AIZ184" s="541"/>
      <c r="AJA184" s="541"/>
      <c r="AJB184" s="541"/>
      <c r="AJC184" s="541"/>
      <c r="AJD184" s="541"/>
      <c r="AJE184" s="541"/>
      <c r="AJF184" s="541"/>
      <c r="AJG184" s="541"/>
      <c r="AJH184" s="541"/>
      <c r="AJI184" s="541"/>
      <c r="AJJ184" s="541"/>
      <c r="AJK184" s="541"/>
      <c r="AJL184" s="541"/>
      <c r="AJM184" s="541"/>
      <c r="AJN184" s="541"/>
      <c r="AJO184" s="541"/>
      <c r="AJP184" s="541"/>
      <c r="AJQ184" s="541"/>
      <c r="AJR184" s="541"/>
      <c r="AJS184" s="541"/>
      <c r="AJT184" s="541"/>
      <c r="AJU184" s="541"/>
      <c r="AJV184" s="541"/>
      <c r="AJW184" s="541"/>
      <c r="AJX184" s="541"/>
      <c r="AJY184" s="541"/>
      <c r="AJZ184" s="541"/>
      <c r="AKA184" s="541"/>
      <c r="AKB184" s="541"/>
      <c r="AKC184" s="541"/>
      <c r="AKD184" s="541"/>
      <c r="AKE184" s="541"/>
      <c r="AKF184" s="541"/>
      <c r="AKG184" s="541"/>
      <c r="AKH184" s="541"/>
      <c r="AKI184" s="541"/>
      <c r="AKJ184" s="541"/>
      <c r="AKK184" s="541"/>
      <c r="AKL184" s="541"/>
      <c r="AKM184" s="541"/>
      <c r="AKN184" s="541"/>
      <c r="AKO184" s="541"/>
      <c r="AKP184" s="541"/>
      <c r="AKQ184" s="541"/>
      <c r="AKR184" s="541"/>
      <c r="AKS184" s="541"/>
      <c r="AKT184" s="541"/>
      <c r="AKU184" s="541"/>
      <c r="AKV184" s="541"/>
      <c r="AKW184" s="541"/>
      <c r="AKX184" s="541"/>
      <c r="AKY184" s="541"/>
      <c r="AKZ184" s="541"/>
      <c r="ALA184" s="541"/>
      <c r="ALB184" s="541"/>
      <c r="ALC184" s="541"/>
      <c r="ALD184" s="541"/>
      <c r="ALE184" s="541"/>
      <c r="ALF184" s="541"/>
      <c r="ALG184" s="541"/>
      <c r="ALH184" s="541"/>
      <c r="ALI184" s="541"/>
      <c r="ALJ184" s="541"/>
      <c r="ALK184" s="541"/>
      <c r="ALL184" s="541"/>
      <c r="ALM184" s="541"/>
      <c r="ALN184" s="541"/>
      <c r="ALO184" s="541"/>
      <c r="ALP184" s="541"/>
      <c r="ALQ184" s="541"/>
      <c r="ALR184" s="541"/>
      <c r="ALS184" s="541"/>
      <c r="ALT184" s="541"/>
      <c r="ALU184" s="541"/>
      <c r="ALV184" s="541"/>
      <c r="ALW184" s="541"/>
      <c r="ALX184" s="541"/>
      <c r="ALY184" s="541"/>
      <c r="ALZ184" s="541"/>
      <c r="AMA184" s="541"/>
      <c r="AMB184" s="541"/>
      <c r="AMC184" s="541"/>
      <c r="AMD184" s="541"/>
      <c r="AME184" s="541"/>
      <c r="AMF184" s="541"/>
      <c r="AMG184" s="541"/>
      <c r="AMH184" s="541"/>
      <c r="AMI184" s="541"/>
      <c r="AMJ184" s="541"/>
      <c r="AMK184" s="541"/>
      <c r="AML184" s="541"/>
      <c r="AMM184" s="541"/>
      <c r="AMN184" s="541"/>
      <c r="AMO184" s="541"/>
      <c r="AMP184" s="541"/>
      <c r="AMQ184" s="541"/>
      <c r="AMR184" s="541"/>
      <c r="AMS184" s="541"/>
      <c r="AMT184" s="541"/>
      <c r="AMU184" s="541"/>
      <c r="AMV184" s="541"/>
      <c r="AMW184" s="541"/>
      <c r="AMX184" s="541"/>
      <c r="AMY184" s="541"/>
      <c r="AMZ184" s="541"/>
      <c r="ANA184" s="541"/>
      <c r="ANB184" s="541"/>
      <c r="ANC184" s="541"/>
      <c r="AND184" s="541"/>
      <c r="ANE184" s="541"/>
      <c r="ANF184" s="541"/>
      <c r="ANG184" s="541"/>
      <c r="ANH184" s="541"/>
      <c r="ANI184" s="541"/>
      <c r="ANJ184" s="541"/>
      <c r="ANK184" s="541"/>
      <c r="ANL184" s="541"/>
      <c r="ANM184" s="541"/>
      <c r="ANN184" s="541"/>
      <c r="ANO184" s="541"/>
      <c r="ANP184" s="541"/>
      <c r="ANQ184" s="541"/>
      <c r="ANR184" s="541"/>
      <c r="ANS184" s="541"/>
      <c r="ANT184" s="541"/>
      <c r="ANU184" s="541"/>
      <c r="ANV184" s="541"/>
      <c r="ANW184" s="541"/>
      <c r="ANX184" s="541"/>
      <c r="ANY184" s="541"/>
      <c r="ANZ184" s="541"/>
      <c r="AOA184" s="541"/>
      <c r="AOB184" s="541"/>
      <c r="AOC184" s="541"/>
      <c r="AOD184" s="541"/>
      <c r="AOE184" s="541"/>
      <c r="AOF184" s="541"/>
      <c r="AOG184" s="541"/>
      <c r="AOH184" s="541"/>
      <c r="AOI184" s="541"/>
      <c r="AOJ184" s="541"/>
      <c r="AOK184" s="541"/>
      <c r="AOL184" s="541"/>
      <c r="AOM184" s="541"/>
      <c r="AON184" s="541"/>
      <c r="AOO184" s="541"/>
      <c r="AOP184" s="541"/>
      <c r="AOQ184" s="541"/>
      <c r="AOR184" s="541"/>
      <c r="AOS184" s="541"/>
      <c r="AOT184" s="541"/>
      <c r="AOU184" s="541"/>
      <c r="AOV184" s="541"/>
      <c r="AOW184" s="541"/>
      <c r="AOX184" s="541"/>
      <c r="AOY184" s="541"/>
      <c r="AOZ184" s="541"/>
      <c r="APA184" s="541"/>
      <c r="APB184" s="541"/>
      <c r="APC184" s="541"/>
      <c r="APD184" s="541"/>
      <c r="APE184" s="541"/>
      <c r="APF184" s="541"/>
      <c r="APG184" s="541"/>
      <c r="APH184" s="541"/>
      <c r="API184" s="541"/>
      <c r="APJ184" s="541"/>
      <c r="APK184" s="541"/>
      <c r="APL184" s="541"/>
      <c r="APM184" s="541"/>
      <c r="APN184" s="541"/>
      <c r="APO184" s="541"/>
      <c r="APP184" s="541"/>
      <c r="APQ184" s="541"/>
      <c r="APR184" s="541"/>
      <c r="APS184" s="541"/>
      <c r="APT184" s="541"/>
      <c r="APU184" s="541"/>
      <c r="APV184" s="541"/>
      <c r="APW184" s="541"/>
      <c r="APX184" s="541"/>
      <c r="APY184" s="541"/>
      <c r="APZ184" s="541"/>
      <c r="AQA184" s="541"/>
      <c r="AQB184" s="541"/>
      <c r="AQC184" s="541"/>
      <c r="AQD184" s="541"/>
      <c r="AQE184" s="541"/>
      <c r="AQF184" s="541"/>
      <c r="AQG184" s="541"/>
      <c r="AQH184" s="541"/>
      <c r="AQI184" s="541"/>
      <c r="AQJ184" s="541"/>
      <c r="AQK184" s="541"/>
      <c r="AQL184" s="541"/>
      <c r="AQM184" s="541"/>
      <c r="AQN184" s="541"/>
      <c r="AQO184" s="541"/>
      <c r="AQP184" s="541"/>
      <c r="AQQ184" s="541"/>
      <c r="AQR184" s="541"/>
      <c r="AQS184" s="541"/>
      <c r="AQT184" s="541"/>
      <c r="AQU184" s="541"/>
      <c r="AQV184" s="541"/>
      <c r="AQW184" s="541"/>
      <c r="AQX184" s="541"/>
      <c r="AQY184" s="541"/>
      <c r="AQZ184" s="541"/>
      <c r="ARA184" s="541"/>
      <c r="ARB184" s="541"/>
      <c r="ARC184" s="541"/>
      <c r="ARD184" s="541"/>
      <c r="ARE184" s="541"/>
      <c r="ARF184" s="541"/>
      <c r="ARG184" s="541"/>
      <c r="ARH184" s="541"/>
      <c r="ARI184" s="541"/>
      <c r="ARJ184" s="541"/>
      <c r="ARK184" s="541"/>
      <c r="ARL184" s="541"/>
      <c r="ARM184" s="541"/>
      <c r="ARN184" s="541"/>
      <c r="ARO184" s="541"/>
      <c r="ARP184" s="541"/>
      <c r="ARQ184" s="541"/>
      <c r="ARR184" s="541"/>
      <c r="ARS184" s="541"/>
      <c r="ART184" s="541"/>
      <c r="ARU184" s="541"/>
    </row>
    <row r="185" spans="1:1165" s="658" customFormat="1">
      <c r="A185" s="613" t="s">
        <v>310</v>
      </c>
      <c r="B185" s="578" t="s">
        <v>110</v>
      </c>
      <c r="C185" s="659">
        <f>13930+455</f>
        <v>14385</v>
      </c>
      <c r="D185" s="659">
        <f>274345+5956</f>
        <v>280301</v>
      </c>
      <c r="E185" s="581">
        <v>53</v>
      </c>
      <c r="F185" s="581">
        <v>897</v>
      </c>
      <c r="G185" s="581">
        <v>839</v>
      </c>
      <c r="H185" s="581">
        <v>14281</v>
      </c>
      <c r="I185" s="581">
        <v>0</v>
      </c>
      <c r="J185" s="581">
        <v>0</v>
      </c>
      <c r="K185" s="581">
        <v>0</v>
      </c>
      <c r="L185" s="581">
        <v>0</v>
      </c>
      <c r="M185" s="581">
        <v>0</v>
      </c>
      <c r="N185" s="581">
        <v>0</v>
      </c>
      <c r="O185" s="581">
        <v>0</v>
      </c>
      <c r="P185" s="581">
        <v>0</v>
      </c>
      <c r="Q185" s="581">
        <v>0</v>
      </c>
      <c r="R185" s="581">
        <v>0</v>
      </c>
      <c r="S185" s="581">
        <v>0</v>
      </c>
      <c r="T185" s="581">
        <v>0</v>
      </c>
      <c r="U185" s="581">
        <v>0</v>
      </c>
      <c r="V185" s="581">
        <v>0</v>
      </c>
      <c r="W185" s="581">
        <v>0</v>
      </c>
      <c r="X185" s="581">
        <v>0</v>
      </c>
      <c r="Y185" s="581">
        <v>0</v>
      </c>
      <c r="Z185" s="581">
        <v>0</v>
      </c>
      <c r="AA185" s="581">
        <v>0</v>
      </c>
      <c r="AB185" s="581">
        <v>0</v>
      </c>
      <c r="AC185" s="581">
        <v>0</v>
      </c>
      <c r="AD185" s="581">
        <v>0</v>
      </c>
      <c r="AE185" s="581">
        <v>0</v>
      </c>
      <c r="AF185" s="581">
        <v>0</v>
      </c>
      <c r="AG185" s="581">
        <v>0</v>
      </c>
      <c r="AH185" s="581">
        <v>0</v>
      </c>
      <c r="AI185" s="581">
        <v>0</v>
      </c>
      <c r="AJ185" s="581">
        <v>0</v>
      </c>
      <c r="AK185" s="581">
        <v>0</v>
      </c>
      <c r="AL185" s="581">
        <v>0</v>
      </c>
      <c r="AM185" s="581">
        <v>0</v>
      </c>
      <c r="AN185" s="581">
        <v>0</v>
      </c>
      <c r="AO185" s="581">
        <v>0</v>
      </c>
      <c r="AP185" s="581">
        <v>0</v>
      </c>
      <c r="AQ185" s="581">
        <v>0</v>
      </c>
      <c r="AR185" s="581">
        <v>0</v>
      </c>
      <c r="AS185" s="581">
        <v>0</v>
      </c>
      <c r="AT185" s="581">
        <v>0</v>
      </c>
      <c r="AU185" s="581">
        <v>0</v>
      </c>
      <c r="AV185" s="581">
        <v>0</v>
      </c>
      <c r="AW185" s="581">
        <v>0</v>
      </c>
      <c r="AX185" s="581">
        <v>0</v>
      </c>
      <c r="AY185" s="581">
        <v>0</v>
      </c>
      <c r="AZ185" s="581">
        <v>0</v>
      </c>
      <c r="BA185" s="620"/>
      <c r="BB185" s="581"/>
      <c r="BC185" s="581"/>
      <c r="BD185" s="581"/>
      <c r="BE185" s="581"/>
      <c r="BF185" s="581"/>
      <c r="BG185" s="581"/>
      <c r="BH185" s="581"/>
      <c r="BI185" s="620"/>
      <c r="BJ185" s="581">
        <f t="shared" ref="BJ185:BJ187" si="27">C185+G185+I185+K185+M185+O185+Q185+S185+U185+W185+Y185+AA185+AC185+AE185+AG185+AI185+AK185+AM185+AO185+AQ185+AS185+AU185+AW185+AY185+BB185+BF185</f>
        <v>15224</v>
      </c>
      <c r="BK185" s="651">
        <f>D185+H185+J185+L185+N185+P185+R185+T185+V185+X185+Z185+AB185+AD185+AF185+AH185+AJ185+AL185+AN185+AP185+AR185+AT185+AV185+AX185+AZ185+BD185+BH185</f>
        <v>294582</v>
      </c>
      <c r="BL185" s="541"/>
      <c r="BM185" s="624"/>
      <c r="BN185" s="624"/>
      <c r="BO185" s="624"/>
      <c r="BP185" s="624"/>
      <c r="BQ185" s="541"/>
      <c r="BR185" s="541"/>
      <c r="BS185" s="42"/>
      <c r="BT185" s="541"/>
      <c r="BU185" s="541"/>
      <c r="BV185" s="541"/>
      <c r="BW185" s="541"/>
      <c r="BX185" s="541"/>
      <c r="BY185" s="541"/>
      <c r="BZ185" s="541"/>
      <c r="CA185" s="541"/>
      <c r="CB185" s="541"/>
      <c r="CC185" s="541"/>
      <c r="CD185" s="541"/>
      <c r="CE185" s="541"/>
      <c r="CF185" s="541"/>
      <c r="CG185" s="541"/>
      <c r="CH185" s="541"/>
      <c r="CI185" s="541"/>
      <c r="CJ185" s="541"/>
      <c r="CK185" s="541"/>
      <c r="CL185" s="541"/>
      <c r="CM185" s="541"/>
      <c r="CN185" s="541"/>
      <c r="CO185" s="541"/>
      <c r="CP185" s="541"/>
      <c r="CQ185" s="541"/>
      <c r="CR185" s="541"/>
      <c r="CS185" s="541"/>
      <c r="CT185" s="541"/>
      <c r="CU185" s="541"/>
      <c r="CV185" s="541"/>
      <c r="CW185" s="541"/>
      <c r="CX185" s="541"/>
      <c r="CY185" s="541"/>
      <c r="CZ185" s="541"/>
      <c r="DA185" s="541"/>
      <c r="DB185" s="541"/>
      <c r="DC185" s="541"/>
      <c r="DD185" s="541"/>
      <c r="DE185" s="541"/>
      <c r="DF185" s="541"/>
      <c r="DG185" s="541"/>
      <c r="DH185" s="541"/>
      <c r="DI185" s="541"/>
      <c r="DJ185" s="541"/>
      <c r="DK185" s="541"/>
      <c r="DL185" s="541"/>
      <c r="DM185" s="541"/>
      <c r="DN185" s="541"/>
      <c r="DO185" s="541"/>
      <c r="DP185" s="541"/>
      <c r="DQ185" s="541"/>
      <c r="DR185" s="541"/>
      <c r="DS185" s="541"/>
      <c r="DT185" s="541"/>
      <c r="DU185" s="541"/>
      <c r="DV185" s="541"/>
      <c r="DW185" s="541"/>
      <c r="DX185" s="541"/>
      <c r="DY185" s="541"/>
      <c r="DZ185" s="541"/>
      <c r="EA185" s="541"/>
      <c r="EB185" s="541"/>
      <c r="EC185" s="541"/>
      <c r="ED185" s="541"/>
      <c r="EE185" s="541"/>
      <c r="EF185" s="541"/>
      <c r="EG185" s="541"/>
      <c r="EH185" s="541"/>
      <c r="EI185" s="541"/>
      <c r="EJ185" s="541"/>
      <c r="EK185" s="541"/>
      <c r="EL185" s="541"/>
      <c r="EM185" s="541"/>
      <c r="EN185" s="541"/>
      <c r="EO185" s="541"/>
      <c r="EP185" s="541"/>
      <c r="EQ185" s="541"/>
      <c r="ER185" s="541"/>
      <c r="ES185" s="541"/>
      <c r="ET185" s="541"/>
      <c r="EU185" s="541"/>
      <c r="EV185" s="541"/>
      <c r="EW185" s="541"/>
      <c r="EX185" s="541"/>
      <c r="EY185" s="541"/>
      <c r="EZ185" s="541"/>
      <c r="FA185" s="541"/>
      <c r="FB185" s="541"/>
      <c r="FC185" s="541"/>
      <c r="FD185" s="541"/>
      <c r="FE185" s="541"/>
      <c r="FF185" s="541"/>
      <c r="FG185" s="541"/>
      <c r="FH185" s="541"/>
      <c r="FI185" s="541"/>
      <c r="FJ185" s="541"/>
      <c r="FK185" s="541"/>
      <c r="FL185" s="541"/>
      <c r="FM185" s="541"/>
      <c r="FN185" s="541"/>
      <c r="FO185" s="541"/>
      <c r="FP185" s="541"/>
      <c r="FQ185" s="541"/>
      <c r="FR185" s="541"/>
      <c r="FS185" s="541"/>
      <c r="FT185" s="541"/>
      <c r="FU185" s="541"/>
      <c r="FV185" s="541"/>
      <c r="FW185" s="541"/>
      <c r="FX185" s="541"/>
      <c r="FY185" s="541"/>
      <c r="FZ185" s="541"/>
      <c r="GA185" s="541"/>
      <c r="GB185" s="541"/>
      <c r="GC185" s="541"/>
      <c r="GD185" s="541"/>
      <c r="GE185" s="541"/>
      <c r="GF185" s="541"/>
      <c r="GG185" s="541"/>
      <c r="GH185" s="541"/>
      <c r="GI185" s="541"/>
      <c r="GJ185" s="541"/>
      <c r="GK185" s="541"/>
      <c r="GL185" s="541"/>
      <c r="GM185" s="541"/>
      <c r="GN185" s="541"/>
      <c r="GO185" s="541"/>
      <c r="GP185" s="541"/>
      <c r="GQ185" s="541"/>
      <c r="GR185" s="541"/>
      <c r="GS185" s="541"/>
      <c r="GT185" s="541"/>
      <c r="GU185" s="541"/>
      <c r="GV185" s="541"/>
      <c r="GW185" s="541"/>
      <c r="GX185" s="541"/>
      <c r="GY185" s="541"/>
      <c r="GZ185" s="541"/>
      <c r="HA185" s="541"/>
      <c r="HB185" s="541"/>
      <c r="HC185" s="541"/>
      <c r="HD185" s="541"/>
      <c r="HE185" s="541"/>
      <c r="HF185" s="541"/>
      <c r="HG185" s="541"/>
      <c r="HH185" s="541"/>
      <c r="HI185" s="541"/>
      <c r="HJ185" s="541"/>
      <c r="HK185" s="541"/>
      <c r="HL185" s="541"/>
      <c r="HM185" s="541"/>
      <c r="HN185" s="541"/>
      <c r="HO185" s="541"/>
      <c r="HP185" s="541"/>
      <c r="HQ185" s="541"/>
      <c r="HR185" s="541"/>
      <c r="HS185" s="541"/>
      <c r="HT185" s="541"/>
      <c r="HU185" s="541"/>
      <c r="HV185" s="541"/>
      <c r="HW185" s="541"/>
      <c r="HX185" s="541"/>
      <c r="HY185" s="541"/>
      <c r="HZ185" s="541"/>
      <c r="IA185" s="541"/>
      <c r="IB185" s="541"/>
      <c r="IC185" s="541"/>
      <c r="ID185" s="541"/>
      <c r="IE185" s="541"/>
      <c r="IF185" s="541"/>
      <c r="IG185" s="541"/>
      <c r="IH185" s="541"/>
      <c r="II185" s="541"/>
      <c r="IJ185" s="541"/>
      <c r="IK185" s="541"/>
      <c r="IL185" s="541"/>
      <c r="IM185" s="541"/>
      <c r="IN185" s="541"/>
      <c r="IO185" s="541"/>
      <c r="IP185" s="541"/>
      <c r="IQ185" s="541"/>
      <c r="IR185" s="541"/>
      <c r="IS185" s="541"/>
      <c r="IT185" s="541"/>
      <c r="IU185" s="541"/>
      <c r="IV185" s="541"/>
      <c r="IW185" s="541"/>
      <c r="IX185" s="541"/>
      <c r="IY185" s="541"/>
      <c r="IZ185" s="541"/>
      <c r="JA185" s="541"/>
      <c r="JB185" s="541"/>
      <c r="JC185" s="541"/>
      <c r="JD185" s="541"/>
      <c r="JE185" s="541"/>
      <c r="JF185" s="541"/>
      <c r="JG185" s="541"/>
      <c r="JH185" s="541"/>
      <c r="JI185" s="541"/>
      <c r="JJ185" s="541"/>
      <c r="JK185" s="541"/>
      <c r="JL185" s="541"/>
      <c r="JM185" s="541"/>
      <c r="JN185" s="541"/>
      <c r="JO185" s="541"/>
      <c r="JP185" s="541"/>
      <c r="JQ185" s="541"/>
      <c r="JR185" s="541"/>
      <c r="JS185" s="541"/>
      <c r="JT185" s="541"/>
      <c r="JU185" s="541"/>
      <c r="JV185" s="541"/>
      <c r="JW185" s="541"/>
      <c r="JX185" s="541"/>
      <c r="JY185" s="541"/>
      <c r="JZ185" s="541"/>
      <c r="KA185" s="541"/>
      <c r="KB185" s="541"/>
      <c r="KC185" s="541"/>
      <c r="KD185" s="541"/>
      <c r="KE185" s="541"/>
      <c r="KF185" s="541"/>
      <c r="KG185" s="541"/>
      <c r="KH185" s="541"/>
      <c r="KI185" s="541"/>
      <c r="KJ185" s="541"/>
      <c r="KK185" s="541"/>
      <c r="KL185" s="541"/>
      <c r="KM185" s="541"/>
      <c r="KN185" s="541"/>
      <c r="KO185" s="541"/>
      <c r="KP185" s="541"/>
      <c r="KQ185" s="541"/>
      <c r="KR185" s="541"/>
      <c r="KS185" s="541"/>
      <c r="KT185" s="541"/>
      <c r="KU185" s="541"/>
      <c r="KV185" s="541"/>
      <c r="KW185" s="541"/>
      <c r="KX185" s="541"/>
      <c r="KY185" s="541"/>
      <c r="KZ185" s="541"/>
      <c r="LA185" s="541"/>
      <c r="LB185" s="541"/>
      <c r="LC185" s="541"/>
      <c r="LD185" s="541"/>
      <c r="LE185" s="541"/>
      <c r="LF185" s="541"/>
      <c r="LG185" s="541"/>
      <c r="LH185" s="541"/>
      <c r="LI185" s="541"/>
      <c r="LJ185" s="541"/>
      <c r="LK185" s="541"/>
      <c r="LL185" s="541"/>
      <c r="LM185" s="541"/>
      <c r="LN185" s="541"/>
      <c r="LO185" s="541"/>
      <c r="LP185" s="541"/>
      <c r="LQ185" s="541"/>
      <c r="LR185" s="541"/>
      <c r="LS185" s="541"/>
      <c r="LT185" s="541"/>
      <c r="LU185" s="541"/>
      <c r="LV185" s="541"/>
      <c r="LW185" s="541"/>
      <c r="LX185" s="541"/>
      <c r="LY185" s="541"/>
      <c r="LZ185" s="541"/>
      <c r="MA185" s="541"/>
      <c r="MB185" s="541"/>
      <c r="MC185" s="541"/>
      <c r="MD185" s="541"/>
      <c r="ME185" s="541"/>
      <c r="MF185" s="541"/>
      <c r="MG185" s="541"/>
      <c r="MH185" s="541"/>
      <c r="MI185" s="541"/>
      <c r="MJ185" s="541"/>
      <c r="MK185" s="541"/>
      <c r="ML185" s="541"/>
      <c r="MM185" s="541"/>
      <c r="MN185" s="541"/>
      <c r="MO185" s="541"/>
      <c r="MP185" s="541"/>
      <c r="MQ185" s="541"/>
      <c r="MR185" s="541"/>
      <c r="MS185" s="541"/>
      <c r="MT185" s="541"/>
      <c r="MU185" s="541"/>
      <c r="MV185" s="541"/>
      <c r="MW185" s="541"/>
      <c r="MX185" s="541"/>
      <c r="MY185" s="541"/>
      <c r="MZ185" s="541"/>
      <c r="NA185" s="541"/>
      <c r="NB185" s="541"/>
      <c r="NC185" s="541"/>
      <c r="ND185" s="541"/>
      <c r="NE185" s="541"/>
      <c r="NF185" s="541"/>
      <c r="NG185" s="541"/>
      <c r="NH185" s="541"/>
      <c r="NI185" s="541"/>
      <c r="NJ185" s="541"/>
      <c r="NK185" s="541"/>
      <c r="NL185" s="541"/>
      <c r="NM185" s="541"/>
      <c r="NN185" s="541"/>
      <c r="NO185" s="541"/>
      <c r="NP185" s="541"/>
      <c r="NQ185" s="541"/>
      <c r="NR185" s="541"/>
      <c r="NS185" s="541"/>
      <c r="NT185" s="541"/>
      <c r="NU185" s="541"/>
      <c r="NV185" s="541"/>
      <c r="NW185" s="541"/>
      <c r="NX185" s="541"/>
      <c r="NY185" s="541"/>
      <c r="NZ185" s="541"/>
      <c r="OA185" s="541"/>
      <c r="OB185" s="541"/>
      <c r="OC185" s="541"/>
      <c r="OD185" s="541"/>
      <c r="OE185" s="541"/>
      <c r="OF185" s="541"/>
      <c r="OG185" s="541"/>
      <c r="OH185" s="541"/>
      <c r="OI185" s="541"/>
      <c r="OJ185" s="541"/>
      <c r="OK185" s="541"/>
      <c r="OL185" s="541"/>
      <c r="OM185" s="541"/>
      <c r="ON185" s="541"/>
      <c r="OO185" s="541"/>
      <c r="OP185" s="541"/>
      <c r="OQ185" s="541"/>
      <c r="OR185" s="541"/>
      <c r="OS185" s="541"/>
      <c r="OT185" s="541"/>
      <c r="OU185" s="541"/>
      <c r="OV185" s="541"/>
      <c r="OW185" s="541"/>
      <c r="OX185" s="541"/>
      <c r="OY185" s="541"/>
      <c r="OZ185" s="541"/>
      <c r="PA185" s="541"/>
      <c r="PB185" s="541"/>
      <c r="PC185" s="541"/>
      <c r="PD185" s="541"/>
      <c r="PE185" s="541"/>
      <c r="PF185" s="541"/>
      <c r="PG185" s="541"/>
      <c r="PH185" s="541"/>
      <c r="PI185" s="541"/>
      <c r="PJ185" s="541"/>
      <c r="PK185" s="541"/>
      <c r="PL185" s="541"/>
      <c r="PM185" s="541"/>
      <c r="PN185" s="541"/>
      <c r="PO185" s="541"/>
      <c r="PP185" s="541"/>
      <c r="PQ185" s="541"/>
      <c r="PR185" s="541"/>
      <c r="PS185" s="541"/>
      <c r="PT185" s="541"/>
      <c r="PU185" s="541"/>
      <c r="PV185" s="541"/>
      <c r="PW185" s="541"/>
      <c r="PX185" s="541"/>
      <c r="PY185" s="541"/>
      <c r="PZ185" s="541"/>
      <c r="QA185" s="541"/>
      <c r="QB185" s="541"/>
      <c r="QC185" s="541"/>
      <c r="QD185" s="541"/>
      <c r="QE185" s="541"/>
      <c r="QF185" s="541"/>
      <c r="QG185" s="541"/>
      <c r="QH185" s="541"/>
      <c r="QI185" s="541"/>
      <c r="QJ185" s="541"/>
      <c r="QK185" s="541"/>
      <c r="QL185" s="541"/>
      <c r="QM185" s="541"/>
      <c r="QN185" s="541"/>
      <c r="QO185" s="541"/>
      <c r="QP185" s="541"/>
      <c r="QQ185" s="541"/>
      <c r="QR185" s="541"/>
      <c r="QS185" s="541"/>
      <c r="QT185" s="541"/>
      <c r="QU185" s="541"/>
      <c r="QV185" s="541"/>
      <c r="QW185" s="541"/>
      <c r="QX185" s="541"/>
      <c r="QY185" s="541"/>
      <c r="QZ185" s="541"/>
      <c r="RA185" s="541"/>
      <c r="RB185" s="541"/>
      <c r="RC185" s="541"/>
      <c r="RD185" s="541"/>
      <c r="RE185" s="541"/>
      <c r="RF185" s="541"/>
      <c r="RG185" s="541"/>
      <c r="RH185" s="541"/>
      <c r="RI185" s="541"/>
      <c r="RJ185" s="541"/>
      <c r="RK185" s="541"/>
      <c r="RL185" s="541"/>
      <c r="RM185" s="541"/>
      <c r="RN185" s="541"/>
      <c r="RO185" s="541"/>
      <c r="RP185" s="541"/>
      <c r="RQ185" s="541"/>
      <c r="RR185" s="541"/>
      <c r="RS185" s="541"/>
      <c r="RT185" s="541"/>
      <c r="RU185" s="541"/>
      <c r="RV185" s="541"/>
      <c r="RW185" s="541"/>
      <c r="RX185" s="541"/>
      <c r="RY185" s="541"/>
      <c r="RZ185" s="541"/>
      <c r="SA185" s="541"/>
      <c r="SB185" s="541"/>
      <c r="SC185" s="541"/>
      <c r="SD185" s="541"/>
      <c r="SE185" s="541"/>
      <c r="SF185" s="541"/>
      <c r="SG185" s="541"/>
      <c r="SH185" s="541"/>
      <c r="SI185" s="541"/>
      <c r="SJ185" s="541"/>
      <c r="SK185" s="541"/>
      <c r="SL185" s="541"/>
      <c r="SM185" s="541"/>
      <c r="SN185" s="541"/>
      <c r="SO185" s="541"/>
      <c r="SP185" s="541"/>
      <c r="SQ185" s="541"/>
      <c r="SR185" s="541"/>
      <c r="SS185" s="541"/>
      <c r="ST185" s="541"/>
      <c r="SU185" s="541"/>
      <c r="SV185" s="541"/>
      <c r="SW185" s="541"/>
      <c r="SX185" s="541"/>
      <c r="SY185" s="541"/>
      <c r="SZ185" s="541"/>
      <c r="TA185" s="541"/>
      <c r="TB185" s="541"/>
      <c r="TC185" s="541"/>
      <c r="TD185" s="541"/>
      <c r="TE185" s="541"/>
      <c r="TF185" s="541"/>
      <c r="TG185" s="541"/>
      <c r="TH185" s="541"/>
      <c r="TI185" s="541"/>
      <c r="TJ185" s="541"/>
      <c r="TK185" s="541"/>
      <c r="TL185" s="541"/>
      <c r="TM185" s="541"/>
      <c r="TN185" s="541"/>
      <c r="TO185" s="541"/>
      <c r="TP185" s="541"/>
      <c r="TQ185" s="541"/>
      <c r="TR185" s="541"/>
      <c r="TS185" s="541"/>
      <c r="TT185" s="541"/>
      <c r="TU185" s="541"/>
      <c r="TV185" s="541"/>
      <c r="TW185" s="541"/>
      <c r="TX185" s="541"/>
      <c r="TY185" s="541"/>
      <c r="TZ185" s="541"/>
      <c r="UA185" s="541"/>
      <c r="UB185" s="541"/>
      <c r="UC185" s="541"/>
      <c r="UD185" s="541"/>
      <c r="UE185" s="541"/>
      <c r="UF185" s="541"/>
      <c r="UG185" s="541"/>
      <c r="UH185" s="541"/>
      <c r="UI185" s="541"/>
      <c r="UJ185" s="541"/>
      <c r="UK185" s="541"/>
      <c r="UL185" s="541"/>
      <c r="UM185" s="541"/>
      <c r="UN185" s="541"/>
      <c r="UO185" s="541"/>
      <c r="UP185" s="541"/>
      <c r="UQ185" s="541"/>
      <c r="UR185" s="541"/>
      <c r="US185" s="541"/>
      <c r="UT185" s="541"/>
      <c r="UU185" s="541"/>
      <c r="UV185" s="541"/>
      <c r="UW185" s="541"/>
      <c r="UX185" s="541"/>
      <c r="UY185" s="541"/>
      <c r="UZ185" s="541"/>
      <c r="VA185" s="541"/>
      <c r="VB185" s="541"/>
      <c r="VC185" s="541"/>
      <c r="VD185" s="541"/>
      <c r="VE185" s="541"/>
      <c r="VF185" s="541"/>
      <c r="VG185" s="541"/>
      <c r="VH185" s="541"/>
      <c r="VI185" s="541"/>
      <c r="VJ185" s="541"/>
      <c r="VK185" s="541"/>
      <c r="VL185" s="541"/>
      <c r="VM185" s="541"/>
      <c r="VN185" s="541"/>
      <c r="VO185" s="541"/>
      <c r="VP185" s="541"/>
      <c r="VQ185" s="541"/>
      <c r="VR185" s="541"/>
      <c r="VS185" s="541"/>
      <c r="VT185" s="541"/>
      <c r="VU185" s="541"/>
      <c r="VV185" s="541"/>
      <c r="VW185" s="541"/>
      <c r="VX185" s="541"/>
      <c r="VY185" s="541"/>
      <c r="VZ185" s="541"/>
      <c r="WA185" s="541"/>
      <c r="WB185" s="541"/>
      <c r="WC185" s="541"/>
      <c r="WD185" s="541"/>
      <c r="WE185" s="541"/>
      <c r="WF185" s="541"/>
      <c r="WG185" s="541"/>
      <c r="WH185" s="541"/>
      <c r="WI185" s="541"/>
      <c r="WJ185" s="541"/>
      <c r="WK185" s="541"/>
      <c r="WL185" s="541"/>
      <c r="WM185" s="541"/>
      <c r="WN185" s="541"/>
      <c r="WO185" s="541"/>
      <c r="WP185" s="541"/>
      <c r="WQ185" s="541"/>
      <c r="WR185" s="541"/>
      <c r="WS185" s="541"/>
      <c r="WT185" s="541"/>
      <c r="WU185" s="541"/>
      <c r="WV185" s="541"/>
      <c r="WW185" s="541"/>
      <c r="WX185" s="541"/>
      <c r="WY185" s="541"/>
      <c r="WZ185" s="541"/>
      <c r="XA185" s="541"/>
      <c r="XB185" s="541"/>
      <c r="XC185" s="541"/>
      <c r="XD185" s="541"/>
      <c r="XE185" s="541"/>
      <c r="XF185" s="541"/>
      <c r="XG185" s="541"/>
      <c r="XH185" s="541"/>
      <c r="XI185" s="541"/>
      <c r="XJ185" s="541"/>
      <c r="XK185" s="541"/>
      <c r="XL185" s="541"/>
      <c r="XM185" s="541"/>
      <c r="XN185" s="541"/>
      <c r="XO185" s="541"/>
      <c r="XP185" s="541"/>
      <c r="XQ185" s="541"/>
      <c r="XR185" s="541"/>
      <c r="XS185" s="541"/>
      <c r="XT185" s="541"/>
      <c r="XU185" s="541"/>
      <c r="XV185" s="541"/>
      <c r="XW185" s="541"/>
      <c r="XX185" s="541"/>
      <c r="XY185" s="541"/>
      <c r="XZ185" s="541"/>
      <c r="YA185" s="541"/>
      <c r="YB185" s="541"/>
      <c r="YC185" s="541"/>
      <c r="YD185" s="541"/>
      <c r="YE185" s="541"/>
      <c r="YF185" s="541"/>
      <c r="YG185" s="541"/>
      <c r="YH185" s="541"/>
      <c r="YI185" s="541"/>
      <c r="YJ185" s="541"/>
      <c r="YK185" s="541"/>
      <c r="YL185" s="541"/>
      <c r="YM185" s="541"/>
      <c r="YN185" s="541"/>
      <c r="YO185" s="541"/>
      <c r="YP185" s="541"/>
      <c r="YQ185" s="541"/>
      <c r="YR185" s="541"/>
      <c r="YS185" s="541"/>
      <c r="YT185" s="541"/>
      <c r="YU185" s="541"/>
      <c r="YV185" s="541"/>
      <c r="YW185" s="541"/>
      <c r="YX185" s="541"/>
      <c r="YY185" s="541"/>
      <c r="YZ185" s="541"/>
      <c r="ZA185" s="541"/>
      <c r="ZB185" s="541"/>
      <c r="ZC185" s="541"/>
      <c r="ZD185" s="541"/>
      <c r="ZE185" s="541"/>
      <c r="ZF185" s="541"/>
      <c r="ZG185" s="541"/>
      <c r="ZH185" s="541"/>
      <c r="ZI185" s="541"/>
      <c r="ZJ185" s="541"/>
      <c r="ZK185" s="541"/>
      <c r="ZL185" s="541"/>
      <c r="ZM185" s="541"/>
      <c r="ZN185" s="541"/>
      <c r="ZO185" s="541"/>
      <c r="ZP185" s="541"/>
      <c r="ZQ185" s="541"/>
      <c r="ZR185" s="541"/>
      <c r="ZS185" s="541"/>
      <c r="ZT185" s="541"/>
      <c r="ZU185" s="541"/>
      <c r="ZV185" s="541"/>
      <c r="ZW185" s="541"/>
      <c r="ZX185" s="541"/>
      <c r="ZY185" s="541"/>
      <c r="ZZ185" s="541"/>
      <c r="AAA185" s="541"/>
      <c r="AAB185" s="541"/>
      <c r="AAC185" s="541"/>
      <c r="AAD185" s="541"/>
      <c r="AAE185" s="541"/>
      <c r="AAF185" s="541"/>
      <c r="AAG185" s="541"/>
      <c r="AAH185" s="541"/>
      <c r="AAI185" s="541"/>
      <c r="AAJ185" s="541"/>
      <c r="AAK185" s="541"/>
      <c r="AAL185" s="541"/>
      <c r="AAM185" s="541"/>
      <c r="AAN185" s="541"/>
      <c r="AAO185" s="541"/>
      <c r="AAP185" s="541"/>
      <c r="AAQ185" s="541"/>
      <c r="AAR185" s="541"/>
      <c r="AAS185" s="541"/>
      <c r="AAT185" s="541"/>
      <c r="AAU185" s="541"/>
      <c r="AAV185" s="541"/>
      <c r="AAW185" s="541"/>
      <c r="AAX185" s="541"/>
      <c r="AAY185" s="541"/>
      <c r="AAZ185" s="541"/>
      <c r="ABA185" s="541"/>
      <c r="ABB185" s="541"/>
      <c r="ABC185" s="541"/>
      <c r="ABD185" s="541"/>
      <c r="ABE185" s="541"/>
      <c r="ABF185" s="541"/>
      <c r="ABG185" s="541"/>
      <c r="ABH185" s="541"/>
      <c r="ABI185" s="541"/>
      <c r="ABJ185" s="541"/>
      <c r="ABK185" s="541"/>
      <c r="ABL185" s="541"/>
      <c r="ABM185" s="541"/>
      <c r="ABN185" s="541"/>
      <c r="ABO185" s="541"/>
      <c r="ABP185" s="541"/>
      <c r="ABQ185" s="541"/>
      <c r="ABR185" s="541"/>
      <c r="ABS185" s="541"/>
      <c r="ABT185" s="541"/>
      <c r="ABU185" s="541"/>
      <c r="ABV185" s="541"/>
      <c r="ABW185" s="541"/>
      <c r="ABX185" s="541"/>
      <c r="ABY185" s="541"/>
      <c r="ABZ185" s="541"/>
      <c r="ACA185" s="541"/>
      <c r="ACB185" s="541"/>
      <c r="ACC185" s="541"/>
      <c r="ACD185" s="541"/>
      <c r="ACE185" s="541"/>
      <c r="ACF185" s="541"/>
      <c r="ACG185" s="541"/>
      <c r="ACH185" s="541"/>
      <c r="ACI185" s="541"/>
      <c r="ACJ185" s="541"/>
      <c r="ACK185" s="541"/>
      <c r="ACL185" s="541"/>
      <c r="ACM185" s="541"/>
      <c r="ACN185" s="541"/>
      <c r="ACO185" s="541"/>
      <c r="ACP185" s="541"/>
      <c r="ACQ185" s="541"/>
      <c r="ACR185" s="541"/>
      <c r="ACS185" s="541"/>
      <c r="ACT185" s="541"/>
      <c r="ACU185" s="541"/>
      <c r="ACV185" s="541"/>
      <c r="ACW185" s="541"/>
      <c r="ACX185" s="541"/>
      <c r="ACY185" s="541"/>
      <c r="ACZ185" s="541"/>
      <c r="ADA185" s="541"/>
      <c r="ADB185" s="541"/>
      <c r="ADC185" s="541"/>
      <c r="ADD185" s="541"/>
      <c r="ADE185" s="541"/>
      <c r="ADF185" s="541"/>
      <c r="ADG185" s="541"/>
      <c r="ADH185" s="541"/>
      <c r="ADI185" s="541"/>
      <c r="ADJ185" s="541"/>
      <c r="ADK185" s="541"/>
      <c r="ADL185" s="541"/>
      <c r="ADM185" s="541"/>
      <c r="ADN185" s="541"/>
      <c r="ADO185" s="541"/>
      <c r="ADP185" s="541"/>
      <c r="ADQ185" s="541"/>
      <c r="ADR185" s="541"/>
      <c r="ADS185" s="541"/>
      <c r="ADT185" s="541"/>
      <c r="ADU185" s="541"/>
      <c r="ADV185" s="541"/>
      <c r="ADW185" s="541"/>
      <c r="ADX185" s="541"/>
      <c r="ADY185" s="541"/>
      <c r="ADZ185" s="541"/>
      <c r="AEA185" s="541"/>
      <c r="AEB185" s="541"/>
      <c r="AEC185" s="541"/>
      <c r="AED185" s="541"/>
      <c r="AEE185" s="541"/>
      <c r="AEF185" s="541"/>
      <c r="AEG185" s="541"/>
      <c r="AEH185" s="541"/>
      <c r="AEI185" s="541"/>
      <c r="AEJ185" s="541"/>
      <c r="AEK185" s="541"/>
      <c r="AEL185" s="541"/>
      <c r="AEM185" s="541"/>
      <c r="AEN185" s="541"/>
      <c r="AEO185" s="541"/>
      <c r="AEP185" s="541"/>
      <c r="AEQ185" s="541"/>
      <c r="AER185" s="541"/>
      <c r="AES185" s="541"/>
      <c r="AET185" s="541"/>
      <c r="AEU185" s="541"/>
      <c r="AEV185" s="541"/>
      <c r="AEW185" s="541"/>
      <c r="AEX185" s="541"/>
      <c r="AEY185" s="541"/>
      <c r="AEZ185" s="541"/>
      <c r="AFA185" s="541"/>
      <c r="AFB185" s="541"/>
      <c r="AFC185" s="541"/>
      <c r="AFD185" s="541"/>
      <c r="AFE185" s="541"/>
      <c r="AFF185" s="541"/>
      <c r="AFG185" s="541"/>
      <c r="AFH185" s="541"/>
      <c r="AFI185" s="541"/>
      <c r="AFJ185" s="541"/>
      <c r="AFK185" s="541"/>
      <c r="AFL185" s="541"/>
      <c r="AFM185" s="541"/>
      <c r="AFN185" s="541"/>
      <c r="AFO185" s="541"/>
      <c r="AFP185" s="541"/>
      <c r="AFQ185" s="541"/>
      <c r="AFR185" s="541"/>
      <c r="AFS185" s="541"/>
      <c r="AFT185" s="541"/>
      <c r="AFU185" s="541"/>
      <c r="AFV185" s="541"/>
      <c r="AFW185" s="541"/>
      <c r="AFX185" s="541"/>
      <c r="AFY185" s="541"/>
      <c r="AFZ185" s="541"/>
      <c r="AGA185" s="541"/>
      <c r="AGB185" s="541"/>
      <c r="AGC185" s="541"/>
      <c r="AGD185" s="541"/>
      <c r="AGE185" s="541"/>
      <c r="AGF185" s="541"/>
      <c r="AGG185" s="541"/>
      <c r="AGH185" s="541"/>
      <c r="AGI185" s="541"/>
      <c r="AGJ185" s="541"/>
      <c r="AGK185" s="541"/>
      <c r="AGL185" s="541"/>
      <c r="AGM185" s="541"/>
      <c r="AGN185" s="541"/>
      <c r="AGO185" s="541"/>
      <c r="AGP185" s="541"/>
      <c r="AGQ185" s="541"/>
      <c r="AGR185" s="541"/>
      <c r="AGS185" s="541"/>
      <c r="AGT185" s="541"/>
      <c r="AGU185" s="541"/>
      <c r="AGV185" s="541"/>
      <c r="AGW185" s="541"/>
      <c r="AGX185" s="541"/>
      <c r="AGY185" s="541"/>
      <c r="AGZ185" s="541"/>
      <c r="AHA185" s="541"/>
      <c r="AHB185" s="541"/>
      <c r="AHC185" s="541"/>
      <c r="AHD185" s="541"/>
      <c r="AHE185" s="541"/>
      <c r="AHF185" s="541"/>
      <c r="AHG185" s="541"/>
      <c r="AHH185" s="541"/>
      <c r="AHI185" s="541"/>
      <c r="AHJ185" s="541"/>
      <c r="AHK185" s="541"/>
      <c r="AHL185" s="541"/>
      <c r="AHM185" s="541"/>
      <c r="AHN185" s="541"/>
      <c r="AHO185" s="541"/>
      <c r="AHP185" s="541"/>
      <c r="AHQ185" s="541"/>
      <c r="AHR185" s="541"/>
      <c r="AHS185" s="541"/>
      <c r="AHT185" s="541"/>
      <c r="AHU185" s="541"/>
      <c r="AHV185" s="541"/>
      <c r="AHW185" s="541"/>
      <c r="AHX185" s="541"/>
      <c r="AHY185" s="541"/>
      <c r="AHZ185" s="541"/>
      <c r="AIA185" s="541"/>
      <c r="AIB185" s="541"/>
      <c r="AIC185" s="541"/>
      <c r="AID185" s="541"/>
      <c r="AIE185" s="541"/>
      <c r="AIF185" s="541"/>
      <c r="AIG185" s="541"/>
      <c r="AIH185" s="541"/>
      <c r="AII185" s="541"/>
      <c r="AIJ185" s="541"/>
      <c r="AIK185" s="541"/>
      <c r="AIL185" s="541"/>
      <c r="AIM185" s="541"/>
      <c r="AIN185" s="541"/>
      <c r="AIO185" s="541"/>
      <c r="AIP185" s="541"/>
      <c r="AIQ185" s="541"/>
      <c r="AIR185" s="541"/>
      <c r="AIS185" s="541"/>
      <c r="AIT185" s="541"/>
      <c r="AIU185" s="541"/>
      <c r="AIV185" s="541"/>
      <c r="AIW185" s="541"/>
      <c r="AIX185" s="541"/>
      <c r="AIY185" s="541"/>
      <c r="AIZ185" s="541"/>
      <c r="AJA185" s="541"/>
      <c r="AJB185" s="541"/>
      <c r="AJC185" s="541"/>
      <c r="AJD185" s="541"/>
      <c r="AJE185" s="541"/>
      <c r="AJF185" s="541"/>
      <c r="AJG185" s="541"/>
      <c r="AJH185" s="541"/>
      <c r="AJI185" s="541"/>
      <c r="AJJ185" s="541"/>
      <c r="AJK185" s="541"/>
      <c r="AJL185" s="541"/>
      <c r="AJM185" s="541"/>
      <c r="AJN185" s="541"/>
      <c r="AJO185" s="541"/>
      <c r="AJP185" s="541"/>
      <c r="AJQ185" s="541"/>
      <c r="AJR185" s="541"/>
      <c r="AJS185" s="541"/>
      <c r="AJT185" s="541"/>
      <c r="AJU185" s="541"/>
      <c r="AJV185" s="541"/>
      <c r="AJW185" s="541"/>
      <c r="AJX185" s="541"/>
      <c r="AJY185" s="541"/>
      <c r="AJZ185" s="541"/>
      <c r="AKA185" s="541"/>
      <c r="AKB185" s="541"/>
      <c r="AKC185" s="541"/>
      <c r="AKD185" s="541"/>
      <c r="AKE185" s="541"/>
      <c r="AKF185" s="541"/>
      <c r="AKG185" s="541"/>
      <c r="AKH185" s="541"/>
      <c r="AKI185" s="541"/>
      <c r="AKJ185" s="541"/>
      <c r="AKK185" s="541"/>
      <c r="AKL185" s="541"/>
      <c r="AKM185" s="541"/>
      <c r="AKN185" s="541"/>
      <c r="AKO185" s="541"/>
      <c r="AKP185" s="541"/>
      <c r="AKQ185" s="541"/>
      <c r="AKR185" s="541"/>
      <c r="AKS185" s="541"/>
      <c r="AKT185" s="541"/>
      <c r="AKU185" s="541"/>
      <c r="AKV185" s="541"/>
      <c r="AKW185" s="541"/>
      <c r="AKX185" s="541"/>
      <c r="AKY185" s="541"/>
      <c r="AKZ185" s="541"/>
      <c r="ALA185" s="541"/>
      <c r="ALB185" s="541"/>
      <c r="ALC185" s="541"/>
      <c r="ALD185" s="541"/>
      <c r="ALE185" s="541"/>
      <c r="ALF185" s="541"/>
      <c r="ALG185" s="541"/>
      <c r="ALH185" s="541"/>
      <c r="ALI185" s="541"/>
      <c r="ALJ185" s="541"/>
      <c r="ALK185" s="541"/>
      <c r="ALL185" s="541"/>
      <c r="ALM185" s="541"/>
      <c r="ALN185" s="541"/>
      <c r="ALO185" s="541"/>
      <c r="ALP185" s="541"/>
      <c r="ALQ185" s="541"/>
      <c r="ALR185" s="541"/>
      <c r="ALS185" s="541"/>
      <c r="ALT185" s="541"/>
      <c r="ALU185" s="541"/>
      <c r="ALV185" s="541"/>
      <c r="ALW185" s="541"/>
      <c r="ALX185" s="541"/>
      <c r="ALY185" s="541"/>
      <c r="ALZ185" s="541"/>
      <c r="AMA185" s="541"/>
      <c r="AMB185" s="541"/>
      <c r="AMC185" s="541"/>
      <c r="AMD185" s="541"/>
      <c r="AME185" s="541"/>
      <c r="AMF185" s="541"/>
      <c r="AMG185" s="541"/>
      <c r="AMH185" s="541"/>
      <c r="AMI185" s="541"/>
      <c r="AMJ185" s="541"/>
      <c r="AMK185" s="541"/>
      <c r="AML185" s="541"/>
      <c r="AMM185" s="541"/>
      <c r="AMN185" s="541"/>
      <c r="AMO185" s="541"/>
      <c r="AMP185" s="541"/>
      <c r="AMQ185" s="541"/>
      <c r="AMR185" s="541"/>
      <c r="AMS185" s="541"/>
      <c r="AMT185" s="541"/>
      <c r="AMU185" s="541"/>
      <c r="AMV185" s="541"/>
      <c r="AMW185" s="541"/>
      <c r="AMX185" s="541"/>
      <c r="AMY185" s="541"/>
      <c r="AMZ185" s="541"/>
      <c r="ANA185" s="541"/>
      <c r="ANB185" s="541"/>
      <c r="ANC185" s="541"/>
      <c r="AND185" s="541"/>
      <c r="ANE185" s="541"/>
      <c r="ANF185" s="541"/>
      <c r="ANG185" s="541"/>
      <c r="ANH185" s="541"/>
      <c r="ANI185" s="541"/>
      <c r="ANJ185" s="541"/>
      <c r="ANK185" s="541"/>
      <c r="ANL185" s="541"/>
      <c r="ANM185" s="541"/>
      <c r="ANN185" s="541"/>
      <c r="ANO185" s="541"/>
      <c r="ANP185" s="541"/>
      <c r="ANQ185" s="541"/>
      <c r="ANR185" s="541"/>
      <c r="ANS185" s="541"/>
      <c r="ANT185" s="541"/>
      <c r="ANU185" s="541"/>
      <c r="ANV185" s="541"/>
      <c r="ANW185" s="541"/>
      <c r="ANX185" s="541"/>
      <c r="ANY185" s="541"/>
      <c r="ANZ185" s="541"/>
      <c r="AOA185" s="541"/>
      <c r="AOB185" s="541"/>
      <c r="AOC185" s="541"/>
      <c r="AOD185" s="541"/>
      <c r="AOE185" s="541"/>
      <c r="AOF185" s="541"/>
      <c r="AOG185" s="541"/>
      <c r="AOH185" s="541"/>
      <c r="AOI185" s="541"/>
      <c r="AOJ185" s="541"/>
      <c r="AOK185" s="541"/>
      <c r="AOL185" s="541"/>
      <c r="AOM185" s="541"/>
      <c r="AON185" s="541"/>
      <c r="AOO185" s="541"/>
      <c r="AOP185" s="541"/>
      <c r="AOQ185" s="541"/>
      <c r="AOR185" s="541"/>
      <c r="AOS185" s="541"/>
      <c r="AOT185" s="541"/>
      <c r="AOU185" s="541"/>
      <c r="AOV185" s="541"/>
      <c r="AOW185" s="541"/>
      <c r="AOX185" s="541"/>
      <c r="AOY185" s="541"/>
      <c r="AOZ185" s="541"/>
      <c r="APA185" s="541"/>
      <c r="APB185" s="541"/>
      <c r="APC185" s="541"/>
      <c r="APD185" s="541"/>
      <c r="APE185" s="541"/>
      <c r="APF185" s="541"/>
      <c r="APG185" s="541"/>
      <c r="APH185" s="541"/>
      <c r="API185" s="541"/>
      <c r="APJ185" s="541"/>
      <c r="APK185" s="541"/>
      <c r="APL185" s="541"/>
      <c r="APM185" s="541"/>
      <c r="APN185" s="541"/>
      <c r="APO185" s="541"/>
      <c r="APP185" s="541"/>
      <c r="APQ185" s="541"/>
      <c r="APR185" s="541"/>
      <c r="APS185" s="541"/>
      <c r="APT185" s="541"/>
      <c r="APU185" s="541"/>
      <c r="APV185" s="541"/>
      <c r="APW185" s="541"/>
      <c r="APX185" s="541"/>
      <c r="APY185" s="541"/>
      <c r="APZ185" s="541"/>
      <c r="AQA185" s="541"/>
      <c r="AQB185" s="541"/>
      <c r="AQC185" s="541"/>
      <c r="AQD185" s="541"/>
      <c r="AQE185" s="541"/>
      <c r="AQF185" s="541"/>
      <c r="AQG185" s="541"/>
      <c r="AQH185" s="541"/>
      <c r="AQI185" s="541"/>
      <c r="AQJ185" s="541"/>
      <c r="AQK185" s="541"/>
      <c r="AQL185" s="541"/>
      <c r="AQM185" s="541"/>
      <c r="AQN185" s="541"/>
      <c r="AQO185" s="541"/>
      <c r="AQP185" s="541"/>
      <c r="AQQ185" s="541"/>
      <c r="AQR185" s="541"/>
      <c r="AQS185" s="541"/>
      <c r="AQT185" s="541"/>
      <c r="AQU185" s="541"/>
      <c r="AQV185" s="541"/>
      <c r="AQW185" s="541"/>
      <c r="AQX185" s="541"/>
      <c r="AQY185" s="541"/>
      <c r="AQZ185" s="541"/>
      <c r="ARA185" s="541"/>
      <c r="ARB185" s="541"/>
      <c r="ARC185" s="541"/>
      <c r="ARD185" s="541"/>
      <c r="ARE185" s="541"/>
      <c r="ARF185" s="541"/>
      <c r="ARG185" s="541"/>
      <c r="ARH185" s="541"/>
      <c r="ARI185" s="541"/>
      <c r="ARJ185" s="541"/>
      <c r="ARK185" s="541"/>
      <c r="ARL185" s="541"/>
      <c r="ARM185" s="541"/>
      <c r="ARN185" s="541"/>
      <c r="ARO185" s="541"/>
      <c r="ARP185" s="541"/>
      <c r="ARQ185" s="541"/>
      <c r="ARR185" s="541"/>
      <c r="ARS185" s="541"/>
      <c r="ART185" s="541"/>
      <c r="ARU185" s="541"/>
    </row>
    <row r="186" spans="1:1165" s="658" customFormat="1">
      <c r="A186" s="613" t="s">
        <v>487</v>
      </c>
      <c r="B186" s="578" t="s">
        <v>110</v>
      </c>
      <c r="C186" s="581">
        <v>0</v>
      </c>
      <c r="D186" s="581">
        <v>0</v>
      </c>
      <c r="E186" s="581">
        <v>0</v>
      </c>
      <c r="F186" s="581">
        <v>0</v>
      </c>
      <c r="G186" s="581">
        <v>0</v>
      </c>
      <c r="H186" s="581">
        <v>0</v>
      </c>
      <c r="I186" s="581">
        <v>0</v>
      </c>
      <c r="J186" s="581">
        <v>0</v>
      </c>
      <c r="K186" s="581">
        <v>0</v>
      </c>
      <c r="L186" s="581">
        <v>0</v>
      </c>
      <c r="M186" s="581">
        <v>0</v>
      </c>
      <c r="N186" s="581">
        <v>0</v>
      </c>
      <c r="O186" s="581">
        <v>0</v>
      </c>
      <c r="P186" s="581">
        <v>0</v>
      </c>
      <c r="Q186" s="581">
        <v>0</v>
      </c>
      <c r="R186" s="581">
        <v>0</v>
      </c>
      <c r="S186" s="581">
        <v>0</v>
      </c>
      <c r="T186" s="581">
        <v>0</v>
      </c>
      <c r="U186" s="581">
        <v>0</v>
      </c>
      <c r="V186" s="581">
        <v>0</v>
      </c>
      <c r="W186" s="581">
        <v>0</v>
      </c>
      <c r="X186" s="581">
        <v>0</v>
      </c>
      <c r="Y186" s="581">
        <v>5757</v>
      </c>
      <c r="Z186" s="581">
        <v>110531</v>
      </c>
      <c r="AA186" s="619">
        <v>0</v>
      </c>
      <c r="AB186" s="619">
        <v>0</v>
      </c>
      <c r="AC186" s="579">
        <v>0</v>
      </c>
      <c r="AD186" s="579">
        <v>0</v>
      </c>
      <c r="AE186" s="579">
        <v>0</v>
      </c>
      <c r="AF186" s="579">
        <v>0</v>
      </c>
      <c r="AG186" s="579">
        <v>0</v>
      </c>
      <c r="AH186" s="579">
        <v>0</v>
      </c>
      <c r="AI186" s="579">
        <v>0</v>
      </c>
      <c r="AJ186" s="579">
        <v>0</v>
      </c>
      <c r="AK186" s="661">
        <v>6000</v>
      </c>
      <c r="AL186" s="661">
        <v>164250</v>
      </c>
      <c r="AM186" s="662">
        <v>5340</v>
      </c>
      <c r="AN186" s="662">
        <v>1014600</v>
      </c>
      <c r="AO186" s="579">
        <v>1570</v>
      </c>
      <c r="AP186" s="579">
        <v>298300</v>
      </c>
      <c r="AQ186" s="579">
        <v>331</v>
      </c>
      <c r="AR186" s="579">
        <v>62890</v>
      </c>
      <c r="AS186" s="579">
        <v>1438</v>
      </c>
      <c r="AT186" s="579">
        <v>685189</v>
      </c>
      <c r="AU186" s="619">
        <v>1939</v>
      </c>
      <c r="AV186" s="619">
        <v>380812</v>
      </c>
      <c r="AW186" s="581">
        <v>2282</v>
      </c>
      <c r="AX186" s="581">
        <v>577289</v>
      </c>
      <c r="AY186" s="581">
        <v>1254</v>
      </c>
      <c r="AZ186" s="581">
        <v>540521</v>
      </c>
      <c r="BA186" s="664"/>
      <c r="BB186" s="581"/>
      <c r="BC186" s="581"/>
      <c r="BD186" s="581"/>
      <c r="BE186" s="581"/>
      <c r="BF186" s="581"/>
      <c r="BG186" s="581"/>
      <c r="BH186" s="581"/>
      <c r="BI186" s="664"/>
      <c r="BJ186" s="581">
        <f t="shared" si="27"/>
        <v>25911</v>
      </c>
      <c r="BK186" s="651">
        <f>D186+H186+J186+L186+N186+P186+R186+T186+V186+X186+Z186+AB186+AD186+AF186+AH186+AJ186+AL186+AN186+AP186+AR186+AT186+AV186+AX186+AZ186+BD186+BH186</f>
        <v>3834382</v>
      </c>
      <c r="BL186" s="541"/>
      <c r="BM186" s="624"/>
      <c r="BN186" s="624"/>
      <c r="BO186" s="624"/>
      <c r="BP186" s="624"/>
      <c r="BQ186" s="541"/>
      <c r="BR186" s="541"/>
      <c r="BS186" s="42"/>
      <c r="BT186" s="541"/>
      <c r="BU186" s="541"/>
      <c r="BV186" s="541"/>
      <c r="BW186" s="541"/>
      <c r="BX186" s="541"/>
      <c r="BY186" s="541"/>
      <c r="BZ186" s="541"/>
      <c r="CA186" s="541"/>
      <c r="CB186" s="541"/>
      <c r="CC186" s="541"/>
      <c r="CD186" s="541"/>
      <c r="CE186" s="541"/>
      <c r="CF186" s="541"/>
      <c r="CG186" s="541"/>
      <c r="CH186" s="541"/>
      <c r="CI186" s="541"/>
      <c r="CJ186" s="541"/>
      <c r="CK186" s="541"/>
      <c r="CL186" s="541"/>
      <c r="CM186" s="541"/>
      <c r="CN186" s="541"/>
      <c r="CO186" s="541"/>
      <c r="CP186" s="541"/>
      <c r="CQ186" s="541"/>
      <c r="CR186" s="541"/>
      <c r="CS186" s="541"/>
      <c r="CT186" s="541"/>
      <c r="CU186" s="541"/>
      <c r="CV186" s="541"/>
      <c r="CW186" s="541"/>
      <c r="CX186" s="541"/>
      <c r="CY186" s="541"/>
      <c r="CZ186" s="541"/>
      <c r="DA186" s="541"/>
      <c r="DB186" s="541"/>
      <c r="DC186" s="541"/>
      <c r="DD186" s="541"/>
      <c r="DE186" s="541"/>
      <c r="DF186" s="541"/>
      <c r="DG186" s="541"/>
      <c r="DH186" s="541"/>
      <c r="DI186" s="541"/>
      <c r="DJ186" s="541"/>
      <c r="DK186" s="541"/>
      <c r="DL186" s="541"/>
      <c r="DM186" s="541"/>
      <c r="DN186" s="541"/>
      <c r="DO186" s="541"/>
      <c r="DP186" s="541"/>
      <c r="DQ186" s="541"/>
      <c r="DR186" s="541"/>
      <c r="DS186" s="541"/>
      <c r="DT186" s="541"/>
      <c r="DU186" s="541"/>
      <c r="DV186" s="541"/>
      <c r="DW186" s="541"/>
      <c r="DX186" s="541"/>
      <c r="DY186" s="541"/>
      <c r="DZ186" s="541"/>
      <c r="EA186" s="541"/>
      <c r="EB186" s="541"/>
      <c r="EC186" s="541"/>
      <c r="ED186" s="541"/>
      <c r="EE186" s="541"/>
      <c r="EF186" s="541"/>
      <c r="EG186" s="541"/>
      <c r="EH186" s="541"/>
      <c r="EI186" s="541"/>
      <c r="EJ186" s="541"/>
      <c r="EK186" s="541"/>
      <c r="EL186" s="541"/>
      <c r="EM186" s="541"/>
      <c r="EN186" s="541"/>
      <c r="EO186" s="541"/>
      <c r="EP186" s="541"/>
      <c r="EQ186" s="541"/>
      <c r="ER186" s="541"/>
      <c r="ES186" s="541"/>
      <c r="ET186" s="541"/>
      <c r="EU186" s="541"/>
      <c r="EV186" s="541"/>
      <c r="EW186" s="541"/>
      <c r="EX186" s="541"/>
      <c r="EY186" s="541"/>
      <c r="EZ186" s="541"/>
      <c r="FA186" s="541"/>
      <c r="FB186" s="541"/>
      <c r="FC186" s="541"/>
      <c r="FD186" s="541"/>
      <c r="FE186" s="541"/>
      <c r="FF186" s="541"/>
      <c r="FG186" s="541"/>
      <c r="FH186" s="541"/>
      <c r="FI186" s="541"/>
      <c r="FJ186" s="541"/>
      <c r="FK186" s="541"/>
      <c r="FL186" s="541"/>
      <c r="FM186" s="541"/>
      <c r="FN186" s="541"/>
      <c r="FO186" s="541"/>
      <c r="FP186" s="541"/>
      <c r="FQ186" s="541"/>
      <c r="FR186" s="541"/>
      <c r="FS186" s="541"/>
      <c r="FT186" s="541"/>
      <c r="FU186" s="541"/>
      <c r="FV186" s="541"/>
      <c r="FW186" s="541"/>
      <c r="FX186" s="541"/>
      <c r="FY186" s="541"/>
      <c r="FZ186" s="541"/>
      <c r="GA186" s="541"/>
      <c r="GB186" s="541"/>
      <c r="GC186" s="541"/>
      <c r="GD186" s="541"/>
      <c r="GE186" s="541"/>
      <c r="GF186" s="541"/>
      <c r="GG186" s="541"/>
      <c r="GH186" s="541"/>
      <c r="GI186" s="541"/>
      <c r="GJ186" s="541"/>
      <c r="GK186" s="541"/>
      <c r="GL186" s="541"/>
      <c r="GM186" s="541"/>
      <c r="GN186" s="541"/>
      <c r="GO186" s="541"/>
      <c r="GP186" s="541"/>
      <c r="GQ186" s="541"/>
      <c r="GR186" s="541"/>
      <c r="GS186" s="541"/>
      <c r="GT186" s="541"/>
      <c r="GU186" s="541"/>
      <c r="GV186" s="541"/>
      <c r="GW186" s="541"/>
      <c r="GX186" s="541"/>
      <c r="GY186" s="541"/>
      <c r="GZ186" s="541"/>
      <c r="HA186" s="541"/>
      <c r="HB186" s="541"/>
      <c r="HC186" s="541"/>
      <c r="HD186" s="541"/>
      <c r="HE186" s="541"/>
      <c r="HF186" s="541"/>
      <c r="HG186" s="541"/>
      <c r="HH186" s="541"/>
      <c r="HI186" s="541"/>
      <c r="HJ186" s="541"/>
      <c r="HK186" s="541"/>
      <c r="HL186" s="541"/>
      <c r="HM186" s="541"/>
      <c r="HN186" s="541"/>
      <c r="HO186" s="541"/>
      <c r="HP186" s="541"/>
      <c r="HQ186" s="541"/>
      <c r="HR186" s="541"/>
      <c r="HS186" s="541"/>
      <c r="HT186" s="541"/>
      <c r="HU186" s="541"/>
      <c r="HV186" s="541"/>
      <c r="HW186" s="541"/>
      <c r="HX186" s="541"/>
      <c r="HY186" s="541"/>
      <c r="HZ186" s="541"/>
      <c r="IA186" s="541"/>
      <c r="IB186" s="541"/>
      <c r="IC186" s="541"/>
      <c r="ID186" s="541"/>
      <c r="IE186" s="541"/>
      <c r="IF186" s="541"/>
      <c r="IG186" s="541"/>
      <c r="IH186" s="541"/>
      <c r="II186" s="541"/>
      <c r="IJ186" s="541"/>
      <c r="IK186" s="541"/>
      <c r="IL186" s="541"/>
      <c r="IM186" s="541"/>
      <c r="IN186" s="541"/>
      <c r="IO186" s="541"/>
      <c r="IP186" s="541"/>
      <c r="IQ186" s="541"/>
      <c r="IR186" s="541"/>
      <c r="IS186" s="541"/>
      <c r="IT186" s="541"/>
      <c r="IU186" s="541"/>
      <c r="IV186" s="541"/>
      <c r="IW186" s="541"/>
      <c r="IX186" s="541"/>
      <c r="IY186" s="541"/>
      <c r="IZ186" s="541"/>
      <c r="JA186" s="541"/>
      <c r="JB186" s="541"/>
      <c r="JC186" s="541"/>
      <c r="JD186" s="541"/>
      <c r="JE186" s="541"/>
      <c r="JF186" s="541"/>
      <c r="JG186" s="541"/>
      <c r="JH186" s="541"/>
      <c r="JI186" s="541"/>
      <c r="JJ186" s="541"/>
      <c r="JK186" s="541"/>
      <c r="JL186" s="541"/>
      <c r="JM186" s="541"/>
      <c r="JN186" s="541"/>
      <c r="JO186" s="541"/>
      <c r="JP186" s="541"/>
      <c r="JQ186" s="541"/>
      <c r="JR186" s="541"/>
      <c r="JS186" s="541"/>
      <c r="JT186" s="541"/>
      <c r="JU186" s="541"/>
      <c r="JV186" s="541"/>
      <c r="JW186" s="541"/>
      <c r="JX186" s="541"/>
      <c r="JY186" s="541"/>
      <c r="JZ186" s="541"/>
      <c r="KA186" s="541"/>
      <c r="KB186" s="541"/>
      <c r="KC186" s="541"/>
      <c r="KD186" s="541"/>
      <c r="KE186" s="541"/>
      <c r="KF186" s="541"/>
      <c r="KG186" s="541"/>
      <c r="KH186" s="541"/>
      <c r="KI186" s="541"/>
      <c r="KJ186" s="541"/>
      <c r="KK186" s="541"/>
      <c r="KL186" s="541"/>
      <c r="KM186" s="541"/>
      <c r="KN186" s="541"/>
      <c r="KO186" s="541"/>
      <c r="KP186" s="541"/>
      <c r="KQ186" s="541"/>
      <c r="KR186" s="541"/>
      <c r="KS186" s="541"/>
      <c r="KT186" s="541"/>
      <c r="KU186" s="541"/>
      <c r="KV186" s="541"/>
      <c r="KW186" s="541"/>
      <c r="KX186" s="541"/>
      <c r="KY186" s="541"/>
      <c r="KZ186" s="541"/>
      <c r="LA186" s="541"/>
      <c r="LB186" s="541"/>
      <c r="LC186" s="541"/>
      <c r="LD186" s="541"/>
      <c r="LE186" s="541"/>
      <c r="LF186" s="541"/>
      <c r="LG186" s="541"/>
      <c r="LH186" s="541"/>
      <c r="LI186" s="541"/>
      <c r="LJ186" s="541"/>
      <c r="LK186" s="541"/>
      <c r="LL186" s="541"/>
      <c r="LM186" s="541"/>
      <c r="LN186" s="541"/>
      <c r="LO186" s="541"/>
      <c r="LP186" s="541"/>
      <c r="LQ186" s="541"/>
      <c r="LR186" s="541"/>
      <c r="LS186" s="541"/>
      <c r="LT186" s="541"/>
      <c r="LU186" s="541"/>
      <c r="LV186" s="541"/>
      <c r="LW186" s="541"/>
      <c r="LX186" s="541"/>
      <c r="LY186" s="541"/>
      <c r="LZ186" s="541"/>
      <c r="MA186" s="541"/>
      <c r="MB186" s="541"/>
      <c r="MC186" s="541"/>
      <c r="MD186" s="541"/>
      <c r="ME186" s="541"/>
      <c r="MF186" s="541"/>
      <c r="MG186" s="541"/>
      <c r="MH186" s="541"/>
      <c r="MI186" s="541"/>
      <c r="MJ186" s="541"/>
      <c r="MK186" s="541"/>
      <c r="ML186" s="541"/>
      <c r="MM186" s="541"/>
      <c r="MN186" s="541"/>
      <c r="MO186" s="541"/>
      <c r="MP186" s="541"/>
      <c r="MQ186" s="541"/>
      <c r="MR186" s="541"/>
      <c r="MS186" s="541"/>
      <c r="MT186" s="541"/>
      <c r="MU186" s="541"/>
      <c r="MV186" s="541"/>
      <c r="MW186" s="541"/>
      <c r="MX186" s="541"/>
      <c r="MY186" s="541"/>
      <c r="MZ186" s="541"/>
      <c r="NA186" s="541"/>
      <c r="NB186" s="541"/>
      <c r="NC186" s="541"/>
      <c r="ND186" s="541"/>
      <c r="NE186" s="541"/>
      <c r="NF186" s="541"/>
      <c r="NG186" s="541"/>
      <c r="NH186" s="541"/>
      <c r="NI186" s="541"/>
      <c r="NJ186" s="541"/>
      <c r="NK186" s="541"/>
      <c r="NL186" s="541"/>
      <c r="NM186" s="541"/>
      <c r="NN186" s="541"/>
      <c r="NO186" s="541"/>
      <c r="NP186" s="541"/>
      <c r="NQ186" s="541"/>
      <c r="NR186" s="541"/>
      <c r="NS186" s="541"/>
      <c r="NT186" s="541"/>
      <c r="NU186" s="541"/>
      <c r="NV186" s="541"/>
      <c r="NW186" s="541"/>
      <c r="NX186" s="541"/>
      <c r="NY186" s="541"/>
      <c r="NZ186" s="541"/>
      <c r="OA186" s="541"/>
      <c r="OB186" s="541"/>
      <c r="OC186" s="541"/>
      <c r="OD186" s="541"/>
      <c r="OE186" s="541"/>
      <c r="OF186" s="541"/>
      <c r="OG186" s="541"/>
      <c r="OH186" s="541"/>
      <c r="OI186" s="541"/>
      <c r="OJ186" s="541"/>
      <c r="OK186" s="541"/>
      <c r="OL186" s="541"/>
      <c r="OM186" s="541"/>
      <c r="ON186" s="541"/>
      <c r="OO186" s="541"/>
      <c r="OP186" s="541"/>
      <c r="OQ186" s="541"/>
      <c r="OR186" s="541"/>
      <c r="OS186" s="541"/>
      <c r="OT186" s="541"/>
      <c r="OU186" s="541"/>
      <c r="OV186" s="541"/>
      <c r="OW186" s="541"/>
      <c r="OX186" s="541"/>
      <c r="OY186" s="541"/>
      <c r="OZ186" s="541"/>
      <c r="PA186" s="541"/>
      <c r="PB186" s="541"/>
      <c r="PC186" s="541"/>
      <c r="PD186" s="541"/>
      <c r="PE186" s="541"/>
      <c r="PF186" s="541"/>
      <c r="PG186" s="541"/>
      <c r="PH186" s="541"/>
      <c r="PI186" s="541"/>
      <c r="PJ186" s="541"/>
      <c r="PK186" s="541"/>
      <c r="PL186" s="541"/>
      <c r="PM186" s="541"/>
      <c r="PN186" s="541"/>
      <c r="PO186" s="541"/>
      <c r="PP186" s="541"/>
      <c r="PQ186" s="541"/>
      <c r="PR186" s="541"/>
      <c r="PS186" s="541"/>
      <c r="PT186" s="541"/>
      <c r="PU186" s="541"/>
      <c r="PV186" s="541"/>
      <c r="PW186" s="541"/>
      <c r="PX186" s="541"/>
      <c r="PY186" s="541"/>
      <c r="PZ186" s="541"/>
      <c r="QA186" s="541"/>
      <c r="QB186" s="541"/>
      <c r="QC186" s="541"/>
      <c r="QD186" s="541"/>
      <c r="QE186" s="541"/>
      <c r="QF186" s="541"/>
      <c r="QG186" s="541"/>
      <c r="QH186" s="541"/>
      <c r="QI186" s="541"/>
      <c r="QJ186" s="541"/>
      <c r="QK186" s="541"/>
      <c r="QL186" s="541"/>
      <c r="QM186" s="541"/>
      <c r="QN186" s="541"/>
      <c r="QO186" s="541"/>
      <c r="QP186" s="541"/>
      <c r="QQ186" s="541"/>
      <c r="QR186" s="541"/>
      <c r="QS186" s="541"/>
      <c r="QT186" s="541"/>
      <c r="QU186" s="541"/>
      <c r="QV186" s="541"/>
      <c r="QW186" s="541"/>
      <c r="QX186" s="541"/>
      <c r="QY186" s="541"/>
      <c r="QZ186" s="541"/>
      <c r="RA186" s="541"/>
      <c r="RB186" s="541"/>
      <c r="RC186" s="541"/>
      <c r="RD186" s="541"/>
      <c r="RE186" s="541"/>
      <c r="RF186" s="541"/>
      <c r="RG186" s="541"/>
      <c r="RH186" s="541"/>
      <c r="RI186" s="541"/>
      <c r="RJ186" s="541"/>
      <c r="RK186" s="541"/>
      <c r="RL186" s="541"/>
      <c r="RM186" s="541"/>
      <c r="RN186" s="541"/>
      <c r="RO186" s="541"/>
      <c r="RP186" s="541"/>
      <c r="RQ186" s="541"/>
      <c r="RR186" s="541"/>
      <c r="RS186" s="541"/>
      <c r="RT186" s="541"/>
      <c r="RU186" s="541"/>
      <c r="RV186" s="541"/>
      <c r="RW186" s="541"/>
      <c r="RX186" s="541"/>
      <c r="RY186" s="541"/>
      <c r="RZ186" s="541"/>
      <c r="SA186" s="541"/>
      <c r="SB186" s="541"/>
      <c r="SC186" s="541"/>
      <c r="SD186" s="541"/>
      <c r="SE186" s="541"/>
      <c r="SF186" s="541"/>
      <c r="SG186" s="541"/>
      <c r="SH186" s="541"/>
      <c r="SI186" s="541"/>
      <c r="SJ186" s="541"/>
      <c r="SK186" s="541"/>
      <c r="SL186" s="541"/>
      <c r="SM186" s="541"/>
      <c r="SN186" s="541"/>
      <c r="SO186" s="541"/>
      <c r="SP186" s="541"/>
      <c r="SQ186" s="541"/>
      <c r="SR186" s="541"/>
      <c r="SS186" s="541"/>
      <c r="ST186" s="541"/>
      <c r="SU186" s="541"/>
      <c r="SV186" s="541"/>
      <c r="SW186" s="541"/>
      <c r="SX186" s="541"/>
      <c r="SY186" s="541"/>
      <c r="SZ186" s="541"/>
      <c r="TA186" s="541"/>
      <c r="TB186" s="541"/>
      <c r="TC186" s="541"/>
      <c r="TD186" s="541"/>
      <c r="TE186" s="541"/>
      <c r="TF186" s="541"/>
      <c r="TG186" s="541"/>
      <c r="TH186" s="541"/>
      <c r="TI186" s="541"/>
      <c r="TJ186" s="541"/>
      <c r="TK186" s="541"/>
      <c r="TL186" s="541"/>
      <c r="TM186" s="541"/>
      <c r="TN186" s="541"/>
      <c r="TO186" s="541"/>
      <c r="TP186" s="541"/>
      <c r="TQ186" s="541"/>
      <c r="TR186" s="541"/>
      <c r="TS186" s="541"/>
      <c r="TT186" s="541"/>
      <c r="TU186" s="541"/>
      <c r="TV186" s="541"/>
      <c r="TW186" s="541"/>
      <c r="TX186" s="541"/>
      <c r="TY186" s="541"/>
      <c r="TZ186" s="541"/>
      <c r="UA186" s="541"/>
      <c r="UB186" s="541"/>
      <c r="UC186" s="541"/>
      <c r="UD186" s="541"/>
      <c r="UE186" s="541"/>
      <c r="UF186" s="541"/>
      <c r="UG186" s="541"/>
      <c r="UH186" s="541"/>
      <c r="UI186" s="541"/>
      <c r="UJ186" s="541"/>
      <c r="UK186" s="541"/>
      <c r="UL186" s="541"/>
      <c r="UM186" s="541"/>
      <c r="UN186" s="541"/>
      <c r="UO186" s="541"/>
      <c r="UP186" s="541"/>
      <c r="UQ186" s="541"/>
      <c r="UR186" s="541"/>
      <c r="US186" s="541"/>
      <c r="UT186" s="541"/>
      <c r="UU186" s="541"/>
      <c r="UV186" s="541"/>
      <c r="UW186" s="541"/>
      <c r="UX186" s="541"/>
      <c r="UY186" s="541"/>
      <c r="UZ186" s="541"/>
      <c r="VA186" s="541"/>
      <c r="VB186" s="541"/>
      <c r="VC186" s="541"/>
      <c r="VD186" s="541"/>
      <c r="VE186" s="541"/>
      <c r="VF186" s="541"/>
      <c r="VG186" s="541"/>
      <c r="VH186" s="541"/>
      <c r="VI186" s="541"/>
      <c r="VJ186" s="541"/>
      <c r="VK186" s="541"/>
      <c r="VL186" s="541"/>
      <c r="VM186" s="541"/>
      <c r="VN186" s="541"/>
      <c r="VO186" s="541"/>
      <c r="VP186" s="541"/>
      <c r="VQ186" s="541"/>
      <c r="VR186" s="541"/>
      <c r="VS186" s="541"/>
      <c r="VT186" s="541"/>
      <c r="VU186" s="541"/>
      <c r="VV186" s="541"/>
      <c r="VW186" s="541"/>
      <c r="VX186" s="541"/>
      <c r="VY186" s="541"/>
      <c r="VZ186" s="541"/>
      <c r="WA186" s="541"/>
      <c r="WB186" s="541"/>
      <c r="WC186" s="541"/>
      <c r="WD186" s="541"/>
      <c r="WE186" s="541"/>
      <c r="WF186" s="541"/>
      <c r="WG186" s="541"/>
      <c r="WH186" s="541"/>
      <c r="WI186" s="541"/>
      <c r="WJ186" s="541"/>
      <c r="WK186" s="541"/>
      <c r="WL186" s="541"/>
      <c r="WM186" s="541"/>
      <c r="WN186" s="541"/>
      <c r="WO186" s="541"/>
      <c r="WP186" s="541"/>
      <c r="WQ186" s="541"/>
      <c r="WR186" s="541"/>
      <c r="WS186" s="541"/>
      <c r="WT186" s="541"/>
      <c r="WU186" s="541"/>
      <c r="WV186" s="541"/>
      <c r="WW186" s="541"/>
      <c r="WX186" s="541"/>
      <c r="WY186" s="541"/>
      <c r="WZ186" s="541"/>
      <c r="XA186" s="541"/>
      <c r="XB186" s="541"/>
      <c r="XC186" s="541"/>
      <c r="XD186" s="541"/>
      <c r="XE186" s="541"/>
      <c r="XF186" s="541"/>
      <c r="XG186" s="541"/>
      <c r="XH186" s="541"/>
      <c r="XI186" s="541"/>
      <c r="XJ186" s="541"/>
      <c r="XK186" s="541"/>
      <c r="XL186" s="541"/>
      <c r="XM186" s="541"/>
      <c r="XN186" s="541"/>
      <c r="XO186" s="541"/>
      <c r="XP186" s="541"/>
      <c r="XQ186" s="541"/>
      <c r="XR186" s="541"/>
      <c r="XS186" s="541"/>
      <c r="XT186" s="541"/>
      <c r="XU186" s="541"/>
      <c r="XV186" s="541"/>
      <c r="XW186" s="541"/>
      <c r="XX186" s="541"/>
      <c r="XY186" s="541"/>
      <c r="XZ186" s="541"/>
      <c r="YA186" s="541"/>
      <c r="YB186" s="541"/>
      <c r="YC186" s="541"/>
      <c r="YD186" s="541"/>
      <c r="YE186" s="541"/>
      <c r="YF186" s="541"/>
      <c r="YG186" s="541"/>
      <c r="YH186" s="541"/>
      <c r="YI186" s="541"/>
      <c r="YJ186" s="541"/>
      <c r="YK186" s="541"/>
      <c r="YL186" s="541"/>
      <c r="YM186" s="541"/>
      <c r="YN186" s="541"/>
      <c r="YO186" s="541"/>
      <c r="YP186" s="541"/>
      <c r="YQ186" s="541"/>
      <c r="YR186" s="541"/>
      <c r="YS186" s="541"/>
      <c r="YT186" s="541"/>
      <c r="YU186" s="541"/>
      <c r="YV186" s="541"/>
      <c r="YW186" s="541"/>
      <c r="YX186" s="541"/>
      <c r="YY186" s="541"/>
      <c r="YZ186" s="541"/>
      <c r="ZA186" s="541"/>
      <c r="ZB186" s="541"/>
      <c r="ZC186" s="541"/>
      <c r="ZD186" s="541"/>
      <c r="ZE186" s="541"/>
      <c r="ZF186" s="541"/>
      <c r="ZG186" s="541"/>
      <c r="ZH186" s="541"/>
      <c r="ZI186" s="541"/>
      <c r="ZJ186" s="541"/>
      <c r="ZK186" s="541"/>
      <c r="ZL186" s="541"/>
      <c r="ZM186" s="541"/>
      <c r="ZN186" s="541"/>
      <c r="ZO186" s="541"/>
      <c r="ZP186" s="541"/>
      <c r="ZQ186" s="541"/>
      <c r="ZR186" s="541"/>
      <c r="ZS186" s="541"/>
      <c r="ZT186" s="541"/>
      <c r="ZU186" s="541"/>
      <c r="ZV186" s="541"/>
      <c r="ZW186" s="541"/>
      <c r="ZX186" s="541"/>
      <c r="ZY186" s="541"/>
      <c r="ZZ186" s="541"/>
      <c r="AAA186" s="541"/>
      <c r="AAB186" s="541"/>
      <c r="AAC186" s="541"/>
      <c r="AAD186" s="541"/>
      <c r="AAE186" s="541"/>
      <c r="AAF186" s="541"/>
      <c r="AAG186" s="541"/>
      <c r="AAH186" s="541"/>
      <c r="AAI186" s="541"/>
      <c r="AAJ186" s="541"/>
      <c r="AAK186" s="541"/>
      <c r="AAL186" s="541"/>
      <c r="AAM186" s="541"/>
      <c r="AAN186" s="541"/>
      <c r="AAO186" s="541"/>
      <c r="AAP186" s="541"/>
      <c r="AAQ186" s="541"/>
      <c r="AAR186" s="541"/>
      <c r="AAS186" s="541"/>
      <c r="AAT186" s="541"/>
      <c r="AAU186" s="541"/>
      <c r="AAV186" s="541"/>
      <c r="AAW186" s="541"/>
      <c r="AAX186" s="541"/>
      <c r="AAY186" s="541"/>
      <c r="AAZ186" s="541"/>
      <c r="ABA186" s="541"/>
      <c r="ABB186" s="541"/>
      <c r="ABC186" s="541"/>
      <c r="ABD186" s="541"/>
      <c r="ABE186" s="541"/>
      <c r="ABF186" s="541"/>
      <c r="ABG186" s="541"/>
      <c r="ABH186" s="541"/>
      <c r="ABI186" s="541"/>
      <c r="ABJ186" s="541"/>
      <c r="ABK186" s="541"/>
      <c r="ABL186" s="541"/>
      <c r="ABM186" s="541"/>
      <c r="ABN186" s="541"/>
      <c r="ABO186" s="541"/>
      <c r="ABP186" s="541"/>
      <c r="ABQ186" s="541"/>
      <c r="ABR186" s="541"/>
      <c r="ABS186" s="541"/>
      <c r="ABT186" s="541"/>
      <c r="ABU186" s="541"/>
      <c r="ABV186" s="541"/>
      <c r="ABW186" s="541"/>
      <c r="ABX186" s="541"/>
      <c r="ABY186" s="541"/>
      <c r="ABZ186" s="541"/>
      <c r="ACA186" s="541"/>
      <c r="ACB186" s="541"/>
      <c r="ACC186" s="541"/>
      <c r="ACD186" s="541"/>
      <c r="ACE186" s="541"/>
      <c r="ACF186" s="541"/>
      <c r="ACG186" s="541"/>
      <c r="ACH186" s="541"/>
      <c r="ACI186" s="541"/>
      <c r="ACJ186" s="541"/>
      <c r="ACK186" s="541"/>
      <c r="ACL186" s="541"/>
      <c r="ACM186" s="541"/>
      <c r="ACN186" s="541"/>
      <c r="ACO186" s="541"/>
      <c r="ACP186" s="541"/>
      <c r="ACQ186" s="541"/>
      <c r="ACR186" s="541"/>
      <c r="ACS186" s="541"/>
      <c r="ACT186" s="541"/>
      <c r="ACU186" s="541"/>
      <c r="ACV186" s="541"/>
      <c r="ACW186" s="541"/>
      <c r="ACX186" s="541"/>
      <c r="ACY186" s="541"/>
      <c r="ACZ186" s="541"/>
      <c r="ADA186" s="541"/>
      <c r="ADB186" s="541"/>
      <c r="ADC186" s="541"/>
      <c r="ADD186" s="541"/>
      <c r="ADE186" s="541"/>
      <c r="ADF186" s="541"/>
      <c r="ADG186" s="541"/>
      <c r="ADH186" s="541"/>
      <c r="ADI186" s="541"/>
      <c r="ADJ186" s="541"/>
      <c r="ADK186" s="541"/>
      <c r="ADL186" s="541"/>
      <c r="ADM186" s="541"/>
      <c r="ADN186" s="541"/>
      <c r="ADO186" s="541"/>
      <c r="ADP186" s="541"/>
      <c r="ADQ186" s="541"/>
      <c r="ADR186" s="541"/>
      <c r="ADS186" s="541"/>
      <c r="ADT186" s="541"/>
      <c r="ADU186" s="541"/>
      <c r="ADV186" s="541"/>
      <c r="ADW186" s="541"/>
      <c r="ADX186" s="541"/>
      <c r="ADY186" s="541"/>
      <c r="ADZ186" s="541"/>
      <c r="AEA186" s="541"/>
      <c r="AEB186" s="541"/>
      <c r="AEC186" s="541"/>
      <c r="AED186" s="541"/>
      <c r="AEE186" s="541"/>
      <c r="AEF186" s="541"/>
      <c r="AEG186" s="541"/>
      <c r="AEH186" s="541"/>
      <c r="AEI186" s="541"/>
      <c r="AEJ186" s="541"/>
      <c r="AEK186" s="541"/>
      <c r="AEL186" s="541"/>
      <c r="AEM186" s="541"/>
      <c r="AEN186" s="541"/>
      <c r="AEO186" s="541"/>
      <c r="AEP186" s="541"/>
      <c r="AEQ186" s="541"/>
      <c r="AER186" s="541"/>
      <c r="AES186" s="541"/>
      <c r="AET186" s="541"/>
      <c r="AEU186" s="541"/>
      <c r="AEV186" s="541"/>
      <c r="AEW186" s="541"/>
      <c r="AEX186" s="541"/>
      <c r="AEY186" s="541"/>
      <c r="AEZ186" s="541"/>
      <c r="AFA186" s="541"/>
      <c r="AFB186" s="541"/>
      <c r="AFC186" s="541"/>
      <c r="AFD186" s="541"/>
      <c r="AFE186" s="541"/>
      <c r="AFF186" s="541"/>
      <c r="AFG186" s="541"/>
      <c r="AFH186" s="541"/>
      <c r="AFI186" s="541"/>
      <c r="AFJ186" s="541"/>
      <c r="AFK186" s="541"/>
      <c r="AFL186" s="541"/>
      <c r="AFM186" s="541"/>
      <c r="AFN186" s="541"/>
      <c r="AFO186" s="541"/>
      <c r="AFP186" s="541"/>
      <c r="AFQ186" s="541"/>
      <c r="AFR186" s="541"/>
      <c r="AFS186" s="541"/>
      <c r="AFT186" s="541"/>
      <c r="AFU186" s="541"/>
      <c r="AFV186" s="541"/>
      <c r="AFW186" s="541"/>
      <c r="AFX186" s="541"/>
      <c r="AFY186" s="541"/>
      <c r="AFZ186" s="541"/>
      <c r="AGA186" s="541"/>
      <c r="AGB186" s="541"/>
      <c r="AGC186" s="541"/>
      <c r="AGD186" s="541"/>
      <c r="AGE186" s="541"/>
      <c r="AGF186" s="541"/>
      <c r="AGG186" s="541"/>
      <c r="AGH186" s="541"/>
      <c r="AGI186" s="541"/>
      <c r="AGJ186" s="541"/>
      <c r="AGK186" s="541"/>
      <c r="AGL186" s="541"/>
      <c r="AGM186" s="541"/>
      <c r="AGN186" s="541"/>
      <c r="AGO186" s="541"/>
      <c r="AGP186" s="541"/>
      <c r="AGQ186" s="541"/>
      <c r="AGR186" s="541"/>
      <c r="AGS186" s="541"/>
      <c r="AGT186" s="541"/>
      <c r="AGU186" s="541"/>
      <c r="AGV186" s="541"/>
      <c r="AGW186" s="541"/>
      <c r="AGX186" s="541"/>
      <c r="AGY186" s="541"/>
      <c r="AGZ186" s="541"/>
      <c r="AHA186" s="541"/>
      <c r="AHB186" s="541"/>
      <c r="AHC186" s="541"/>
      <c r="AHD186" s="541"/>
      <c r="AHE186" s="541"/>
      <c r="AHF186" s="541"/>
      <c r="AHG186" s="541"/>
      <c r="AHH186" s="541"/>
      <c r="AHI186" s="541"/>
      <c r="AHJ186" s="541"/>
      <c r="AHK186" s="541"/>
      <c r="AHL186" s="541"/>
      <c r="AHM186" s="541"/>
      <c r="AHN186" s="541"/>
      <c r="AHO186" s="541"/>
      <c r="AHP186" s="541"/>
      <c r="AHQ186" s="541"/>
      <c r="AHR186" s="541"/>
      <c r="AHS186" s="541"/>
      <c r="AHT186" s="541"/>
      <c r="AHU186" s="541"/>
      <c r="AHV186" s="541"/>
      <c r="AHW186" s="541"/>
      <c r="AHX186" s="541"/>
      <c r="AHY186" s="541"/>
      <c r="AHZ186" s="541"/>
      <c r="AIA186" s="541"/>
      <c r="AIB186" s="541"/>
      <c r="AIC186" s="541"/>
      <c r="AID186" s="541"/>
      <c r="AIE186" s="541"/>
      <c r="AIF186" s="541"/>
      <c r="AIG186" s="541"/>
      <c r="AIH186" s="541"/>
      <c r="AII186" s="541"/>
      <c r="AIJ186" s="541"/>
      <c r="AIK186" s="541"/>
      <c r="AIL186" s="541"/>
      <c r="AIM186" s="541"/>
      <c r="AIN186" s="541"/>
      <c r="AIO186" s="541"/>
      <c r="AIP186" s="541"/>
      <c r="AIQ186" s="541"/>
      <c r="AIR186" s="541"/>
      <c r="AIS186" s="541"/>
      <c r="AIT186" s="541"/>
      <c r="AIU186" s="541"/>
      <c r="AIV186" s="541"/>
      <c r="AIW186" s="541"/>
      <c r="AIX186" s="541"/>
      <c r="AIY186" s="541"/>
      <c r="AIZ186" s="541"/>
      <c r="AJA186" s="541"/>
      <c r="AJB186" s="541"/>
      <c r="AJC186" s="541"/>
      <c r="AJD186" s="541"/>
      <c r="AJE186" s="541"/>
      <c r="AJF186" s="541"/>
      <c r="AJG186" s="541"/>
      <c r="AJH186" s="541"/>
      <c r="AJI186" s="541"/>
      <c r="AJJ186" s="541"/>
      <c r="AJK186" s="541"/>
      <c r="AJL186" s="541"/>
      <c r="AJM186" s="541"/>
      <c r="AJN186" s="541"/>
      <c r="AJO186" s="541"/>
      <c r="AJP186" s="541"/>
      <c r="AJQ186" s="541"/>
      <c r="AJR186" s="541"/>
      <c r="AJS186" s="541"/>
      <c r="AJT186" s="541"/>
      <c r="AJU186" s="541"/>
      <c r="AJV186" s="541"/>
      <c r="AJW186" s="541"/>
      <c r="AJX186" s="541"/>
      <c r="AJY186" s="541"/>
      <c r="AJZ186" s="541"/>
      <c r="AKA186" s="541"/>
      <c r="AKB186" s="541"/>
      <c r="AKC186" s="541"/>
      <c r="AKD186" s="541"/>
      <c r="AKE186" s="541"/>
      <c r="AKF186" s="541"/>
      <c r="AKG186" s="541"/>
      <c r="AKH186" s="541"/>
      <c r="AKI186" s="541"/>
      <c r="AKJ186" s="541"/>
      <c r="AKK186" s="541"/>
      <c r="AKL186" s="541"/>
      <c r="AKM186" s="541"/>
      <c r="AKN186" s="541"/>
      <c r="AKO186" s="541"/>
      <c r="AKP186" s="541"/>
      <c r="AKQ186" s="541"/>
      <c r="AKR186" s="541"/>
      <c r="AKS186" s="541"/>
      <c r="AKT186" s="541"/>
      <c r="AKU186" s="541"/>
      <c r="AKV186" s="541"/>
      <c r="AKW186" s="541"/>
      <c r="AKX186" s="541"/>
      <c r="AKY186" s="541"/>
      <c r="AKZ186" s="541"/>
      <c r="ALA186" s="541"/>
      <c r="ALB186" s="541"/>
      <c r="ALC186" s="541"/>
      <c r="ALD186" s="541"/>
      <c r="ALE186" s="541"/>
      <c r="ALF186" s="541"/>
      <c r="ALG186" s="541"/>
      <c r="ALH186" s="541"/>
      <c r="ALI186" s="541"/>
      <c r="ALJ186" s="541"/>
      <c r="ALK186" s="541"/>
      <c r="ALL186" s="541"/>
      <c r="ALM186" s="541"/>
      <c r="ALN186" s="541"/>
      <c r="ALO186" s="541"/>
      <c r="ALP186" s="541"/>
      <c r="ALQ186" s="541"/>
      <c r="ALR186" s="541"/>
      <c r="ALS186" s="541"/>
      <c r="ALT186" s="541"/>
      <c r="ALU186" s="541"/>
      <c r="ALV186" s="541"/>
      <c r="ALW186" s="541"/>
      <c r="ALX186" s="541"/>
      <c r="ALY186" s="541"/>
      <c r="ALZ186" s="541"/>
      <c r="AMA186" s="541"/>
      <c r="AMB186" s="541"/>
      <c r="AMC186" s="541"/>
      <c r="AMD186" s="541"/>
      <c r="AME186" s="541"/>
      <c r="AMF186" s="541"/>
      <c r="AMG186" s="541"/>
      <c r="AMH186" s="541"/>
      <c r="AMI186" s="541"/>
      <c r="AMJ186" s="541"/>
      <c r="AMK186" s="541"/>
      <c r="AML186" s="541"/>
      <c r="AMM186" s="541"/>
      <c r="AMN186" s="541"/>
      <c r="AMO186" s="541"/>
      <c r="AMP186" s="541"/>
      <c r="AMQ186" s="541"/>
      <c r="AMR186" s="541"/>
      <c r="AMS186" s="541"/>
      <c r="AMT186" s="541"/>
      <c r="AMU186" s="541"/>
      <c r="AMV186" s="541"/>
      <c r="AMW186" s="541"/>
      <c r="AMX186" s="541"/>
      <c r="AMY186" s="541"/>
      <c r="AMZ186" s="541"/>
      <c r="ANA186" s="541"/>
      <c r="ANB186" s="541"/>
      <c r="ANC186" s="541"/>
      <c r="AND186" s="541"/>
      <c r="ANE186" s="541"/>
      <c r="ANF186" s="541"/>
      <c r="ANG186" s="541"/>
      <c r="ANH186" s="541"/>
      <c r="ANI186" s="541"/>
      <c r="ANJ186" s="541"/>
      <c r="ANK186" s="541"/>
      <c r="ANL186" s="541"/>
      <c r="ANM186" s="541"/>
      <c r="ANN186" s="541"/>
      <c r="ANO186" s="541"/>
      <c r="ANP186" s="541"/>
      <c r="ANQ186" s="541"/>
      <c r="ANR186" s="541"/>
      <c r="ANS186" s="541"/>
      <c r="ANT186" s="541"/>
      <c r="ANU186" s="541"/>
      <c r="ANV186" s="541"/>
      <c r="ANW186" s="541"/>
      <c r="ANX186" s="541"/>
      <c r="ANY186" s="541"/>
      <c r="ANZ186" s="541"/>
      <c r="AOA186" s="541"/>
      <c r="AOB186" s="541"/>
      <c r="AOC186" s="541"/>
      <c r="AOD186" s="541"/>
      <c r="AOE186" s="541"/>
      <c r="AOF186" s="541"/>
      <c r="AOG186" s="541"/>
      <c r="AOH186" s="541"/>
      <c r="AOI186" s="541"/>
      <c r="AOJ186" s="541"/>
      <c r="AOK186" s="541"/>
      <c r="AOL186" s="541"/>
      <c r="AOM186" s="541"/>
      <c r="AON186" s="541"/>
      <c r="AOO186" s="541"/>
      <c r="AOP186" s="541"/>
      <c r="AOQ186" s="541"/>
      <c r="AOR186" s="541"/>
      <c r="AOS186" s="541"/>
      <c r="AOT186" s="541"/>
      <c r="AOU186" s="541"/>
      <c r="AOV186" s="541"/>
      <c r="AOW186" s="541"/>
      <c r="AOX186" s="541"/>
      <c r="AOY186" s="541"/>
      <c r="AOZ186" s="541"/>
      <c r="APA186" s="541"/>
      <c r="APB186" s="541"/>
      <c r="APC186" s="541"/>
      <c r="APD186" s="541"/>
      <c r="APE186" s="541"/>
      <c r="APF186" s="541"/>
      <c r="APG186" s="541"/>
      <c r="APH186" s="541"/>
      <c r="API186" s="541"/>
      <c r="APJ186" s="541"/>
      <c r="APK186" s="541"/>
      <c r="APL186" s="541"/>
      <c r="APM186" s="541"/>
      <c r="APN186" s="541"/>
      <c r="APO186" s="541"/>
      <c r="APP186" s="541"/>
      <c r="APQ186" s="541"/>
      <c r="APR186" s="541"/>
      <c r="APS186" s="541"/>
      <c r="APT186" s="541"/>
      <c r="APU186" s="541"/>
      <c r="APV186" s="541"/>
      <c r="APW186" s="541"/>
      <c r="APX186" s="541"/>
      <c r="APY186" s="541"/>
      <c r="APZ186" s="541"/>
      <c r="AQA186" s="541"/>
      <c r="AQB186" s="541"/>
      <c r="AQC186" s="541"/>
      <c r="AQD186" s="541"/>
      <c r="AQE186" s="541"/>
      <c r="AQF186" s="541"/>
      <c r="AQG186" s="541"/>
      <c r="AQH186" s="541"/>
      <c r="AQI186" s="541"/>
      <c r="AQJ186" s="541"/>
      <c r="AQK186" s="541"/>
      <c r="AQL186" s="541"/>
      <c r="AQM186" s="541"/>
      <c r="AQN186" s="541"/>
      <c r="AQO186" s="541"/>
      <c r="AQP186" s="541"/>
      <c r="AQQ186" s="541"/>
      <c r="AQR186" s="541"/>
      <c r="AQS186" s="541"/>
      <c r="AQT186" s="541"/>
      <c r="AQU186" s="541"/>
      <c r="AQV186" s="541"/>
      <c r="AQW186" s="541"/>
      <c r="AQX186" s="541"/>
      <c r="AQY186" s="541"/>
      <c r="AQZ186" s="541"/>
      <c r="ARA186" s="541"/>
      <c r="ARB186" s="541"/>
      <c r="ARC186" s="541"/>
      <c r="ARD186" s="541"/>
      <c r="ARE186" s="541"/>
      <c r="ARF186" s="541"/>
      <c r="ARG186" s="541"/>
      <c r="ARH186" s="541"/>
      <c r="ARI186" s="541"/>
      <c r="ARJ186" s="541"/>
      <c r="ARK186" s="541"/>
      <c r="ARL186" s="541"/>
      <c r="ARM186" s="541"/>
      <c r="ARN186" s="541"/>
      <c r="ARO186" s="541"/>
      <c r="ARP186" s="541"/>
      <c r="ARQ186" s="541"/>
      <c r="ARR186" s="541"/>
      <c r="ARS186" s="541"/>
      <c r="ART186" s="541"/>
      <c r="ARU186" s="541"/>
    </row>
    <row r="187" spans="1:1165" s="658" customFormat="1">
      <c r="A187" s="611" t="s">
        <v>311</v>
      </c>
      <c r="B187" s="578"/>
      <c r="C187" s="659">
        <f t="shared" ref="C187:AV187" si="28">SUM(C185:C186)</f>
        <v>14385</v>
      </c>
      <c r="D187" s="581">
        <f t="shared" si="28"/>
        <v>280301</v>
      </c>
      <c r="E187" s="651">
        <f t="shared" si="28"/>
        <v>53</v>
      </c>
      <c r="F187" s="581">
        <f t="shared" si="28"/>
        <v>897</v>
      </c>
      <c r="G187" s="651">
        <f t="shared" si="28"/>
        <v>839</v>
      </c>
      <c r="H187" s="581">
        <f t="shared" si="28"/>
        <v>14281</v>
      </c>
      <c r="I187" s="581">
        <f t="shared" si="28"/>
        <v>0</v>
      </c>
      <c r="J187" s="581">
        <f t="shared" si="28"/>
        <v>0</v>
      </c>
      <c r="K187" s="581">
        <f t="shared" si="28"/>
        <v>0</v>
      </c>
      <c r="L187" s="581">
        <f t="shared" si="28"/>
        <v>0</v>
      </c>
      <c r="M187" s="581">
        <f t="shared" si="28"/>
        <v>0</v>
      </c>
      <c r="N187" s="581">
        <f t="shared" si="28"/>
        <v>0</v>
      </c>
      <c r="O187" s="581">
        <f t="shared" si="28"/>
        <v>0</v>
      </c>
      <c r="P187" s="581">
        <f t="shared" si="28"/>
        <v>0</v>
      </c>
      <c r="Q187" s="581">
        <f t="shared" si="28"/>
        <v>0</v>
      </c>
      <c r="R187" s="581">
        <f t="shared" si="28"/>
        <v>0</v>
      </c>
      <c r="S187" s="581">
        <f t="shared" si="28"/>
        <v>0</v>
      </c>
      <c r="T187" s="581">
        <f t="shared" si="28"/>
        <v>0</v>
      </c>
      <c r="U187" s="581">
        <f t="shared" si="28"/>
        <v>0</v>
      </c>
      <c r="V187" s="581">
        <f t="shared" si="28"/>
        <v>0</v>
      </c>
      <c r="W187" s="581">
        <f t="shared" si="28"/>
        <v>0</v>
      </c>
      <c r="X187" s="581">
        <f t="shared" si="28"/>
        <v>0</v>
      </c>
      <c r="Y187" s="651">
        <f t="shared" si="28"/>
        <v>5757</v>
      </c>
      <c r="Z187" s="581">
        <f t="shared" si="28"/>
        <v>110531</v>
      </c>
      <c r="AA187" s="581">
        <f t="shared" si="28"/>
        <v>0</v>
      </c>
      <c r="AB187" s="581">
        <f t="shared" si="28"/>
        <v>0</v>
      </c>
      <c r="AC187" s="581">
        <f t="shared" si="28"/>
        <v>0</v>
      </c>
      <c r="AD187" s="581">
        <f t="shared" si="28"/>
        <v>0</v>
      </c>
      <c r="AE187" s="581">
        <f t="shared" si="28"/>
        <v>0</v>
      </c>
      <c r="AF187" s="581">
        <f t="shared" si="28"/>
        <v>0</v>
      </c>
      <c r="AG187" s="581">
        <f t="shared" si="28"/>
        <v>0</v>
      </c>
      <c r="AH187" s="581">
        <f t="shared" si="28"/>
        <v>0</v>
      </c>
      <c r="AI187" s="581">
        <f t="shared" si="28"/>
        <v>0</v>
      </c>
      <c r="AJ187" s="581">
        <f t="shared" si="28"/>
        <v>0</v>
      </c>
      <c r="AK187" s="651">
        <f t="shared" si="28"/>
        <v>6000</v>
      </c>
      <c r="AL187" s="581">
        <f t="shared" si="28"/>
        <v>164250</v>
      </c>
      <c r="AM187" s="651">
        <f t="shared" si="28"/>
        <v>5340</v>
      </c>
      <c r="AN187" s="581">
        <f t="shared" si="28"/>
        <v>1014600</v>
      </c>
      <c r="AO187" s="651">
        <f t="shared" si="28"/>
        <v>1570</v>
      </c>
      <c r="AP187" s="581">
        <f t="shared" si="28"/>
        <v>298300</v>
      </c>
      <c r="AQ187" s="651">
        <f t="shared" si="28"/>
        <v>331</v>
      </c>
      <c r="AR187" s="581">
        <f t="shared" si="28"/>
        <v>62890</v>
      </c>
      <c r="AS187" s="651">
        <f t="shared" si="28"/>
        <v>1438</v>
      </c>
      <c r="AT187" s="581">
        <f t="shared" si="28"/>
        <v>685189</v>
      </c>
      <c r="AU187" s="651">
        <f t="shared" si="28"/>
        <v>1939</v>
      </c>
      <c r="AV187" s="581">
        <f t="shared" si="28"/>
        <v>380812</v>
      </c>
      <c r="AW187" s="581"/>
      <c r="AX187" s="581">
        <f>SUM(AX185:AX186)</f>
        <v>577289</v>
      </c>
      <c r="AY187" s="581"/>
      <c r="AZ187" s="581">
        <f>SUM(AZ185:AZ186)</f>
        <v>540521</v>
      </c>
      <c r="BA187" s="666"/>
      <c r="BB187" s="581"/>
      <c r="BC187" s="581"/>
      <c r="BD187" s="581"/>
      <c r="BE187" s="581"/>
      <c r="BF187" s="581"/>
      <c r="BG187" s="581"/>
      <c r="BH187" s="581"/>
      <c r="BI187" s="664"/>
      <c r="BJ187" s="581">
        <f t="shared" si="27"/>
        <v>37599</v>
      </c>
      <c r="BK187" s="651">
        <f>D187+H187+J187+L187+N187+P187+R187+T187+V187+X187+Z187+AB187+AD187+AF187+AH187+AJ187+AL187+AN187+AP187+AR187+AT187+AV187+AX187+AZ187+BD187+BH187</f>
        <v>4128964</v>
      </c>
      <c r="BL187" s="541"/>
      <c r="BM187" s="624"/>
      <c r="BN187" s="624"/>
      <c r="BO187" s="624"/>
      <c r="BP187" s="624"/>
      <c r="BQ187" s="541"/>
      <c r="BR187" s="541"/>
      <c r="BS187" s="42"/>
      <c r="BT187" s="541"/>
      <c r="BU187" s="541"/>
      <c r="BV187" s="541"/>
      <c r="BW187" s="541"/>
      <c r="BX187" s="541"/>
      <c r="BY187" s="541"/>
      <c r="BZ187" s="541"/>
      <c r="CA187" s="541"/>
      <c r="CB187" s="541"/>
      <c r="CC187" s="541"/>
      <c r="CD187" s="541"/>
      <c r="CE187" s="541"/>
      <c r="CF187" s="541"/>
      <c r="CG187" s="541"/>
      <c r="CH187" s="541"/>
      <c r="CI187" s="541"/>
      <c r="CJ187" s="541"/>
      <c r="CK187" s="541"/>
      <c r="CL187" s="541"/>
      <c r="CM187" s="541"/>
      <c r="CN187" s="541"/>
      <c r="CO187" s="541"/>
      <c r="CP187" s="541"/>
      <c r="CQ187" s="541"/>
      <c r="CR187" s="541"/>
      <c r="CS187" s="541"/>
      <c r="CT187" s="541"/>
      <c r="CU187" s="541"/>
      <c r="CV187" s="541"/>
      <c r="CW187" s="541"/>
      <c r="CX187" s="541"/>
      <c r="CY187" s="541"/>
      <c r="CZ187" s="541"/>
      <c r="DA187" s="541"/>
      <c r="DB187" s="541"/>
      <c r="DC187" s="541"/>
      <c r="DD187" s="541"/>
      <c r="DE187" s="541"/>
      <c r="DF187" s="541"/>
      <c r="DG187" s="541"/>
      <c r="DH187" s="541"/>
      <c r="DI187" s="541"/>
      <c r="DJ187" s="541"/>
      <c r="DK187" s="541"/>
      <c r="DL187" s="541"/>
      <c r="DM187" s="541"/>
      <c r="DN187" s="541"/>
      <c r="DO187" s="541"/>
      <c r="DP187" s="541"/>
      <c r="DQ187" s="541"/>
      <c r="DR187" s="541"/>
      <c r="DS187" s="541"/>
      <c r="DT187" s="541"/>
      <c r="DU187" s="541"/>
      <c r="DV187" s="541"/>
      <c r="DW187" s="541"/>
      <c r="DX187" s="541"/>
      <c r="DY187" s="541"/>
      <c r="DZ187" s="541"/>
      <c r="EA187" s="541"/>
      <c r="EB187" s="541"/>
      <c r="EC187" s="541"/>
      <c r="ED187" s="541"/>
      <c r="EE187" s="541"/>
      <c r="EF187" s="541"/>
      <c r="EG187" s="541"/>
      <c r="EH187" s="541"/>
      <c r="EI187" s="541"/>
      <c r="EJ187" s="541"/>
      <c r="EK187" s="541"/>
      <c r="EL187" s="541"/>
      <c r="EM187" s="541"/>
      <c r="EN187" s="541"/>
      <c r="EO187" s="541"/>
      <c r="EP187" s="541"/>
      <c r="EQ187" s="541"/>
      <c r="ER187" s="541"/>
      <c r="ES187" s="541"/>
      <c r="ET187" s="541"/>
      <c r="EU187" s="541"/>
      <c r="EV187" s="541"/>
      <c r="EW187" s="541"/>
      <c r="EX187" s="541"/>
      <c r="EY187" s="541"/>
      <c r="EZ187" s="541"/>
      <c r="FA187" s="541"/>
      <c r="FB187" s="541"/>
      <c r="FC187" s="541"/>
      <c r="FD187" s="541"/>
      <c r="FE187" s="541"/>
      <c r="FF187" s="541"/>
      <c r="FG187" s="541"/>
      <c r="FH187" s="541"/>
      <c r="FI187" s="541"/>
      <c r="FJ187" s="541"/>
      <c r="FK187" s="541"/>
      <c r="FL187" s="541"/>
      <c r="FM187" s="541"/>
      <c r="FN187" s="541"/>
      <c r="FO187" s="541"/>
      <c r="FP187" s="541"/>
      <c r="FQ187" s="541"/>
      <c r="FR187" s="541"/>
      <c r="FS187" s="541"/>
      <c r="FT187" s="541"/>
      <c r="FU187" s="541"/>
      <c r="FV187" s="541"/>
      <c r="FW187" s="541"/>
      <c r="FX187" s="541"/>
      <c r="FY187" s="541"/>
      <c r="FZ187" s="541"/>
      <c r="GA187" s="541"/>
      <c r="GB187" s="541"/>
      <c r="GC187" s="541"/>
      <c r="GD187" s="541"/>
      <c r="GE187" s="541"/>
      <c r="GF187" s="541"/>
      <c r="GG187" s="541"/>
      <c r="GH187" s="541"/>
      <c r="GI187" s="541"/>
      <c r="GJ187" s="541"/>
      <c r="GK187" s="541"/>
      <c r="GL187" s="541"/>
      <c r="GM187" s="541"/>
      <c r="GN187" s="541"/>
      <c r="GO187" s="541"/>
      <c r="GP187" s="541"/>
      <c r="GQ187" s="541"/>
      <c r="GR187" s="541"/>
      <c r="GS187" s="541"/>
      <c r="GT187" s="541"/>
      <c r="GU187" s="541"/>
      <c r="GV187" s="541"/>
      <c r="GW187" s="541"/>
      <c r="GX187" s="541"/>
      <c r="GY187" s="541"/>
      <c r="GZ187" s="541"/>
      <c r="HA187" s="541"/>
      <c r="HB187" s="541"/>
      <c r="HC187" s="541"/>
      <c r="HD187" s="541"/>
      <c r="HE187" s="541"/>
      <c r="HF187" s="541"/>
      <c r="HG187" s="541"/>
      <c r="HH187" s="541"/>
      <c r="HI187" s="541"/>
      <c r="HJ187" s="541"/>
      <c r="HK187" s="541"/>
      <c r="HL187" s="541"/>
      <c r="HM187" s="541"/>
      <c r="HN187" s="541"/>
      <c r="HO187" s="541"/>
      <c r="HP187" s="541"/>
      <c r="HQ187" s="541"/>
      <c r="HR187" s="541"/>
      <c r="HS187" s="541"/>
      <c r="HT187" s="541"/>
      <c r="HU187" s="541"/>
      <c r="HV187" s="541"/>
      <c r="HW187" s="541"/>
      <c r="HX187" s="541"/>
      <c r="HY187" s="541"/>
      <c r="HZ187" s="541"/>
      <c r="IA187" s="541"/>
      <c r="IB187" s="541"/>
      <c r="IC187" s="541"/>
      <c r="ID187" s="541"/>
      <c r="IE187" s="541"/>
      <c r="IF187" s="541"/>
      <c r="IG187" s="541"/>
      <c r="IH187" s="541"/>
      <c r="II187" s="541"/>
      <c r="IJ187" s="541"/>
      <c r="IK187" s="541"/>
      <c r="IL187" s="541"/>
      <c r="IM187" s="541"/>
      <c r="IN187" s="541"/>
      <c r="IO187" s="541"/>
      <c r="IP187" s="541"/>
      <c r="IQ187" s="541"/>
      <c r="IR187" s="541"/>
      <c r="IS187" s="541"/>
      <c r="IT187" s="541"/>
      <c r="IU187" s="541"/>
      <c r="IV187" s="541"/>
      <c r="IW187" s="541"/>
      <c r="IX187" s="541"/>
      <c r="IY187" s="541"/>
      <c r="IZ187" s="541"/>
      <c r="JA187" s="541"/>
      <c r="JB187" s="541"/>
      <c r="JC187" s="541"/>
      <c r="JD187" s="541"/>
      <c r="JE187" s="541"/>
      <c r="JF187" s="541"/>
      <c r="JG187" s="541"/>
      <c r="JH187" s="541"/>
      <c r="JI187" s="541"/>
      <c r="JJ187" s="541"/>
      <c r="JK187" s="541"/>
      <c r="JL187" s="541"/>
      <c r="JM187" s="541"/>
      <c r="JN187" s="541"/>
      <c r="JO187" s="541"/>
      <c r="JP187" s="541"/>
      <c r="JQ187" s="541"/>
      <c r="JR187" s="541"/>
      <c r="JS187" s="541"/>
      <c r="JT187" s="541"/>
      <c r="JU187" s="541"/>
      <c r="JV187" s="541"/>
      <c r="JW187" s="541"/>
      <c r="JX187" s="541"/>
      <c r="JY187" s="541"/>
      <c r="JZ187" s="541"/>
      <c r="KA187" s="541"/>
      <c r="KB187" s="541"/>
      <c r="KC187" s="541"/>
      <c r="KD187" s="541"/>
      <c r="KE187" s="541"/>
      <c r="KF187" s="541"/>
      <c r="KG187" s="541"/>
      <c r="KH187" s="541"/>
      <c r="KI187" s="541"/>
      <c r="KJ187" s="541"/>
      <c r="KK187" s="541"/>
      <c r="KL187" s="541"/>
      <c r="KM187" s="541"/>
      <c r="KN187" s="541"/>
      <c r="KO187" s="541"/>
      <c r="KP187" s="541"/>
      <c r="KQ187" s="541"/>
      <c r="KR187" s="541"/>
      <c r="KS187" s="541"/>
      <c r="KT187" s="541"/>
      <c r="KU187" s="541"/>
      <c r="KV187" s="541"/>
      <c r="KW187" s="541"/>
      <c r="KX187" s="541"/>
      <c r="KY187" s="541"/>
      <c r="KZ187" s="541"/>
      <c r="LA187" s="541"/>
      <c r="LB187" s="541"/>
      <c r="LC187" s="541"/>
      <c r="LD187" s="541"/>
      <c r="LE187" s="541"/>
      <c r="LF187" s="541"/>
      <c r="LG187" s="541"/>
      <c r="LH187" s="541"/>
      <c r="LI187" s="541"/>
      <c r="LJ187" s="541"/>
      <c r="LK187" s="541"/>
      <c r="LL187" s="541"/>
      <c r="LM187" s="541"/>
      <c r="LN187" s="541"/>
      <c r="LO187" s="541"/>
      <c r="LP187" s="541"/>
      <c r="LQ187" s="541"/>
      <c r="LR187" s="541"/>
      <c r="LS187" s="541"/>
      <c r="LT187" s="541"/>
      <c r="LU187" s="541"/>
      <c r="LV187" s="541"/>
      <c r="LW187" s="541"/>
      <c r="LX187" s="541"/>
      <c r="LY187" s="541"/>
      <c r="LZ187" s="541"/>
      <c r="MA187" s="541"/>
      <c r="MB187" s="541"/>
      <c r="MC187" s="541"/>
      <c r="MD187" s="541"/>
      <c r="ME187" s="541"/>
      <c r="MF187" s="541"/>
      <c r="MG187" s="541"/>
      <c r="MH187" s="541"/>
      <c r="MI187" s="541"/>
      <c r="MJ187" s="541"/>
      <c r="MK187" s="541"/>
      <c r="ML187" s="541"/>
      <c r="MM187" s="541"/>
      <c r="MN187" s="541"/>
      <c r="MO187" s="541"/>
      <c r="MP187" s="541"/>
      <c r="MQ187" s="541"/>
      <c r="MR187" s="541"/>
      <c r="MS187" s="541"/>
      <c r="MT187" s="541"/>
      <c r="MU187" s="541"/>
      <c r="MV187" s="541"/>
      <c r="MW187" s="541"/>
      <c r="MX187" s="541"/>
      <c r="MY187" s="541"/>
      <c r="MZ187" s="541"/>
      <c r="NA187" s="541"/>
      <c r="NB187" s="541"/>
      <c r="NC187" s="541"/>
      <c r="ND187" s="541"/>
      <c r="NE187" s="541"/>
      <c r="NF187" s="541"/>
      <c r="NG187" s="541"/>
      <c r="NH187" s="541"/>
      <c r="NI187" s="541"/>
      <c r="NJ187" s="541"/>
      <c r="NK187" s="541"/>
      <c r="NL187" s="541"/>
      <c r="NM187" s="541"/>
      <c r="NN187" s="541"/>
      <c r="NO187" s="541"/>
      <c r="NP187" s="541"/>
      <c r="NQ187" s="541"/>
      <c r="NR187" s="541"/>
      <c r="NS187" s="541"/>
      <c r="NT187" s="541"/>
      <c r="NU187" s="541"/>
      <c r="NV187" s="541"/>
      <c r="NW187" s="541"/>
      <c r="NX187" s="541"/>
      <c r="NY187" s="541"/>
      <c r="NZ187" s="541"/>
      <c r="OA187" s="541"/>
      <c r="OB187" s="541"/>
      <c r="OC187" s="541"/>
      <c r="OD187" s="541"/>
      <c r="OE187" s="541"/>
      <c r="OF187" s="541"/>
      <c r="OG187" s="541"/>
      <c r="OH187" s="541"/>
      <c r="OI187" s="541"/>
      <c r="OJ187" s="541"/>
      <c r="OK187" s="541"/>
      <c r="OL187" s="541"/>
      <c r="OM187" s="541"/>
      <c r="ON187" s="541"/>
      <c r="OO187" s="541"/>
      <c r="OP187" s="541"/>
      <c r="OQ187" s="541"/>
      <c r="OR187" s="541"/>
      <c r="OS187" s="541"/>
      <c r="OT187" s="541"/>
      <c r="OU187" s="541"/>
      <c r="OV187" s="541"/>
      <c r="OW187" s="541"/>
      <c r="OX187" s="541"/>
      <c r="OY187" s="541"/>
      <c r="OZ187" s="541"/>
      <c r="PA187" s="541"/>
      <c r="PB187" s="541"/>
      <c r="PC187" s="541"/>
      <c r="PD187" s="541"/>
      <c r="PE187" s="541"/>
      <c r="PF187" s="541"/>
      <c r="PG187" s="541"/>
      <c r="PH187" s="541"/>
      <c r="PI187" s="541"/>
      <c r="PJ187" s="541"/>
      <c r="PK187" s="541"/>
      <c r="PL187" s="541"/>
      <c r="PM187" s="541"/>
      <c r="PN187" s="541"/>
      <c r="PO187" s="541"/>
      <c r="PP187" s="541"/>
      <c r="PQ187" s="541"/>
      <c r="PR187" s="541"/>
      <c r="PS187" s="541"/>
      <c r="PT187" s="541"/>
      <c r="PU187" s="541"/>
      <c r="PV187" s="541"/>
      <c r="PW187" s="541"/>
      <c r="PX187" s="541"/>
      <c r="PY187" s="541"/>
      <c r="PZ187" s="541"/>
      <c r="QA187" s="541"/>
      <c r="QB187" s="541"/>
      <c r="QC187" s="541"/>
      <c r="QD187" s="541"/>
      <c r="QE187" s="541"/>
      <c r="QF187" s="541"/>
      <c r="QG187" s="541"/>
      <c r="QH187" s="541"/>
      <c r="QI187" s="541"/>
      <c r="QJ187" s="541"/>
      <c r="QK187" s="541"/>
      <c r="QL187" s="541"/>
      <c r="QM187" s="541"/>
      <c r="QN187" s="541"/>
      <c r="QO187" s="541"/>
      <c r="QP187" s="541"/>
      <c r="QQ187" s="541"/>
      <c r="QR187" s="541"/>
      <c r="QS187" s="541"/>
      <c r="QT187" s="541"/>
      <c r="QU187" s="541"/>
      <c r="QV187" s="541"/>
      <c r="QW187" s="541"/>
      <c r="QX187" s="541"/>
      <c r="QY187" s="541"/>
      <c r="QZ187" s="541"/>
      <c r="RA187" s="541"/>
      <c r="RB187" s="541"/>
      <c r="RC187" s="541"/>
      <c r="RD187" s="541"/>
      <c r="RE187" s="541"/>
      <c r="RF187" s="541"/>
      <c r="RG187" s="541"/>
      <c r="RH187" s="541"/>
      <c r="RI187" s="541"/>
      <c r="RJ187" s="541"/>
      <c r="RK187" s="541"/>
      <c r="RL187" s="541"/>
      <c r="RM187" s="541"/>
      <c r="RN187" s="541"/>
      <c r="RO187" s="541"/>
      <c r="RP187" s="541"/>
      <c r="RQ187" s="541"/>
      <c r="RR187" s="541"/>
      <c r="RS187" s="541"/>
      <c r="RT187" s="541"/>
      <c r="RU187" s="541"/>
      <c r="RV187" s="541"/>
      <c r="RW187" s="541"/>
      <c r="RX187" s="541"/>
      <c r="RY187" s="541"/>
      <c r="RZ187" s="541"/>
      <c r="SA187" s="541"/>
      <c r="SB187" s="541"/>
      <c r="SC187" s="541"/>
      <c r="SD187" s="541"/>
      <c r="SE187" s="541"/>
      <c r="SF187" s="541"/>
      <c r="SG187" s="541"/>
      <c r="SH187" s="541"/>
      <c r="SI187" s="541"/>
      <c r="SJ187" s="541"/>
      <c r="SK187" s="541"/>
      <c r="SL187" s="541"/>
      <c r="SM187" s="541"/>
      <c r="SN187" s="541"/>
      <c r="SO187" s="541"/>
      <c r="SP187" s="541"/>
      <c r="SQ187" s="541"/>
      <c r="SR187" s="541"/>
      <c r="SS187" s="541"/>
      <c r="ST187" s="541"/>
      <c r="SU187" s="541"/>
      <c r="SV187" s="541"/>
      <c r="SW187" s="541"/>
      <c r="SX187" s="541"/>
      <c r="SY187" s="541"/>
      <c r="SZ187" s="541"/>
      <c r="TA187" s="541"/>
      <c r="TB187" s="541"/>
      <c r="TC187" s="541"/>
      <c r="TD187" s="541"/>
      <c r="TE187" s="541"/>
      <c r="TF187" s="541"/>
      <c r="TG187" s="541"/>
      <c r="TH187" s="541"/>
      <c r="TI187" s="541"/>
      <c r="TJ187" s="541"/>
      <c r="TK187" s="541"/>
      <c r="TL187" s="541"/>
      <c r="TM187" s="541"/>
      <c r="TN187" s="541"/>
      <c r="TO187" s="541"/>
      <c r="TP187" s="541"/>
      <c r="TQ187" s="541"/>
      <c r="TR187" s="541"/>
      <c r="TS187" s="541"/>
      <c r="TT187" s="541"/>
      <c r="TU187" s="541"/>
      <c r="TV187" s="541"/>
      <c r="TW187" s="541"/>
      <c r="TX187" s="541"/>
      <c r="TY187" s="541"/>
      <c r="TZ187" s="541"/>
      <c r="UA187" s="541"/>
      <c r="UB187" s="541"/>
      <c r="UC187" s="541"/>
      <c r="UD187" s="541"/>
      <c r="UE187" s="541"/>
      <c r="UF187" s="541"/>
      <c r="UG187" s="541"/>
      <c r="UH187" s="541"/>
      <c r="UI187" s="541"/>
      <c r="UJ187" s="541"/>
      <c r="UK187" s="541"/>
      <c r="UL187" s="541"/>
      <c r="UM187" s="541"/>
      <c r="UN187" s="541"/>
      <c r="UO187" s="541"/>
      <c r="UP187" s="541"/>
      <c r="UQ187" s="541"/>
      <c r="UR187" s="541"/>
      <c r="US187" s="541"/>
      <c r="UT187" s="541"/>
      <c r="UU187" s="541"/>
      <c r="UV187" s="541"/>
      <c r="UW187" s="541"/>
      <c r="UX187" s="541"/>
      <c r="UY187" s="541"/>
      <c r="UZ187" s="541"/>
      <c r="VA187" s="541"/>
      <c r="VB187" s="541"/>
      <c r="VC187" s="541"/>
      <c r="VD187" s="541"/>
      <c r="VE187" s="541"/>
      <c r="VF187" s="541"/>
      <c r="VG187" s="541"/>
      <c r="VH187" s="541"/>
      <c r="VI187" s="541"/>
      <c r="VJ187" s="541"/>
      <c r="VK187" s="541"/>
      <c r="VL187" s="541"/>
      <c r="VM187" s="541"/>
      <c r="VN187" s="541"/>
      <c r="VO187" s="541"/>
      <c r="VP187" s="541"/>
      <c r="VQ187" s="541"/>
      <c r="VR187" s="541"/>
      <c r="VS187" s="541"/>
      <c r="VT187" s="541"/>
      <c r="VU187" s="541"/>
      <c r="VV187" s="541"/>
      <c r="VW187" s="541"/>
      <c r="VX187" s="541"/>
      <c r="VY187" s="541"/>
      <c r="VZ187" s="541"/>
      <c r="WA187" s="541"/>
      <c r="WB187" s="541"/>
      <c r="WC187" s="541"/>
      <c r="WD187" s="541"/>
      <c r="WE187" s="541"/>
      <c r="WF187" s="541"/>
      <c r="WG187" s="541"/>
      <c r="WH187" s="541"/>
      <c r="WI187" s="541"/>
      <c r="WJ187" s="541"/>
      <c r="WK187" s="541"/>
      <c r="WL187" s="541"/>
      <c r="WM187" s="541"/>
      <c r="WN187" s="541"/>
      <c r="WO187" s="541"/>
      <c r="WP187" s="541"/>
      <c r="WQ187" s="541"/>
      <c r="WR187" s="541"/>
      <c r="WS187" s="541"/>
      <c r="WT187" s="541"/>
      <c r="WU187" s="541"/>
      <c r="WV187" s="541"/>
      <c r="WW187" s="541"/>
      <c r="WX187" s="541"/>
      <c r="WY187" s="541"/>
      <c r="WZ187" s="541"/>
      <c r="XA187" s="541"/>
      <c r="XB187" s="541"/>
      <c r="XC187" s="541"/>
      <c r="XD187" s="541"/>
      <c r="XE187" s="541"/>
      <c r="XF187" s="541"/>
      <c r="XG187" s="541"/>
      <c r="XH187" s="541"/>
      <c r="XI187" s="541"/>
      <c r="XJ187" s="541"/>
      <c r="XK187" s="541"/>
      <c r="XL187" s="541"/>
      <c r="XM187" s="541"/>
      <c r="XN187" s="541"/>
      <c r="XO187" s="541"/>
      <c r="XP187" s="541"/>
      <c r="XQ187" s="541"/>
      <c r="XR187" s="541"/>
      <c r="XS187" s="541"/>
      <c r="XT187" s="541"/>
      <c r="XU187" s="541"/>
      <c r="XV187" s="541"/>
      <c r="XW187" s="541"/>
      <c r="XX187" s="541"/>
      <c r="XY187" s="541"/>
      <c r="XZ187" s="541"/>
      <c r="YA187" s="541"/>
      <c r="YB187" s="541"/>
      <c r="YC187" s="541"/>
      <c r="YD187" s="541"/>
      <c r="YE187" s="541"/>
      <c r="YF187" s="541"/>
      <c r="YG187" s="541"/>
      <c r="YH187" s="541"/>
      <c r="YI187" s="541"/>
      <c r="YJ187" s="541"/>
      <c r="YK187" s="541"/>
      <c r="YL187" s="541"/>
      <c r="YM187" s="541"/>
      <c r="YN187" s="541"/>
      <c r="YO187" s="541"/>
      <c r="YP187" s="541"/>
      <c r="YQ187" s="541"/>
      <c r="YR187" s="541"/>
      <c r="YS187" s="541"/>
      <c r="YT187" s="541"/>
      <c r="YU187" s="541"/>
      <c r="YV187" s="541"/>
      <c r="YW187" s="541"/>
      <c r="YX187" s="541"/>
      <c r="YY187" s="541"/>
      <c r="YZ187" s="541"/>
      <c r="ZA187" s="541"/>
      <c r="ZB187" s="541"/>
      <c r="ZC187" s="541"/>
      <c r="ZD187" s="541"/>
      <c r="ZE187" s="541"/>
      <c r="ZF187" s="541"/>
      <c r="ZG187" s="541"/>
      <c r="ZH187" s="541"/>
      <c r="ZI187" s="541"/>
      <c r="ZJ187" s="541"/>
      <c r="ZK187" s="541"/>
      <c r="ZL187" s="541"/>
      <c r="ZM187" s="541"/>
      <c r="ZN187" s="541"/>
      <c r="ZO187" s="541"/>
      <c r="ZP187" s="541"/>
      <c r="ZQ187" s="541"/>
      <c r="ZR187" s="541"/>
      <c r="ZS187" s="541"/>
      <c r="ZT187" s="541"/>
      <c r="ZU187" s="541"/>
      <c r="ZV187" s="541"/>
      <c r="ZW187" s="541"/>
      <c r="ZX187" s="541"/>
      <c r="ZY187" s="541"/>
      <c r="ZZ187" s="541"/>
      <c r="AAA187" s="541"/>
      <c r="AAB187" s="541"/>
      <c r="AAC187" s="541"/>
      <c r="AAD187" s="541"/>
      <c r="AAE187" s="541"/>
      <c r="AAF187" s="541"/>
      <c r="AAG187" s="541"/>
      <c r="AAH187" s="541"/>
      <c r="AAI187" s="541"/>
      <c r="AAJ187" s="541"/>
      <c r="AAK187" s="541"/>
      <c r="AAL187" s="541"/>
      <c r="AAM187" s="541"/>
      <c r="AAN187" s="541"/>
      <c r="AAO187" s="541"/>
      <c r="AAP187" s="541"/>
      <c r="AAQ187" s="541"/>
      <c r="AAR187" s="541"/>
      <c r="AAS187" s="541"/>
      <c r="AAT187" s="541"/>
      <c r="AAU187" s="541"/>
      <c r="AAV187" s="541"/>
      <c r="AAW187" s="541"/>
      <c r="AAX187" s="541"/>
      <c r="AAY187" s="541"/>
      <c r="AAZ187" s="541"/>
      <c r="ABA187" s="541"/>
      <c r="ABB187" s="541"/>
      <c r="ABC187" s="541"/>
      <c r="ABD187" s="541"/>
      <c r="ABE187" s="541"/>
      <c r="ABF187" s="541"/>
      <c r="ABG187" s="541"/>
      <c r="ABH187" s="541"/>
      <c r="ABI187" s="541"/>
      <c r="ABJ187" s="541"/>
      <c r="ABK187" s="541"/>
      <c r="ABL187" s="541"/>
      <c r="ABM187" s="541"/>
      <c r="ABN187" s="541"/>
      <c r="ABO187" s="541"/>
      <c r="ABP187" s="541"/>
      <c r="ABQ187" s="541"/>
      <c r="ABR187" s="541"/>
      <c r="ABS187" s="541"/>
      <c r="ABT187" s="541"/>
      <c r="ABU187" s="541"/>
      <c r="ABV187" s="541"/>
      <c r="ABW187" s="541"/>
      <c r="ABX187" s="541"/>
      <c r="ABY187" s="541"/>
      <c r="ABZ187" s="541"/>
      <c r="ACA187" s="541"/>
      <c r="ACB187" s="541"/>
      <c r="ACC187" s="541"/>
      <c r="ACD187" s="541"/>
      <c r="ACE187" s="541"/>
      <c r="ACF187" s="541"/>
      <c r="ACG187" s="541"/>
      <c r="ACH187" s="541"/>
      <c r="ACI187" s="541"/>
      <c r="ACJ187" s="541"/>
      <c r="ACK187" s="541"/>
      <c r="ACL187" s="541"/>
      <c r="ACM187" s="541"/>
      <c r="ACN187" s="541"/>
      <c r="ACO187" s="541"/>
      <c r="ACP187" s="541"/>
      <c r="ACQ187" s="541"/>
      <c r="ACR187" s="541"/>
      <c r="ACS187" s="541"/>
      <c r="ACT187" s="541"/>
      <c r="ACU187" s="541"/>
      <c r="ACV187" s="541"/>
      <c r="ACW187" s="541"/>
      <c r="ACX187" s="541"/>
      <c r="ACY187" s="541"/>
      <c r="ACZ187" s="541"/>
      <c r="ADA187" s="541"/>
      <c r="ADB187" s="541"/>
      <c r="ADC187" s="541"/>
      <c r="ADD187" s="541"/>
      <c r="ADE187" s="541"/>
      <c r="ADF187" s="541"/>
      <c r="ADG187" s="541"/>
      <c r="ADH187" s="541"/>
      <c r="ADI187" s="541"/>
      <c r="ADJ187" s="541"/>
      <c r="ADK187" s="541"/>
      <c r="ADL187" s="541"/>
      <c r="ADM187" s="541"/>
      <c r="ADN187" s="541"/>
      <c r="ADO187" s="541"/>
      <c r="ADP187" s="541"/>
      <c r="ADQ187" s="541"/>
      <c r="ADR187" s="541"/>
      <c r="ADS187" s="541"/>
      <c r="ADT187" s="541"/>
      <c r="ADU187" s="541"/>
      <c r="ADV187" s="541"/>
      <c r="ADW187" s="541"/>
      <c r="ADX187" s="541"/>
      <c r="ADY187" s="541"/>
      <c r="ADZ187" s="541"/>
      <c r="AEA187" s="541"/>
      <c r="AEB187" s="541"/>
      <c r="AEC187" s="541"/>
      <c r="AED187" s="541"/>
      <c r="AEE187" s="541"/>
      <c r="AEF187" s="541"/>
      <c r="AEG187" s="541"/>
      <c r="AEH187" s="541"/>
      <c r="AEI187" s="541"/>
      <c r="AEJ187" s="541"/>
      <c r="AEK187" s="541"/>
      <c r="AEL187" s="541"/>
      <c r="AEM187" s="541"/>
      <c r="AEN187" s="541"/>
      <c r="AEO187" s="541"/>
      <c r="AEP187" s="541"/>
      <c r="AEQ187" s="541"/>
      <c r="AER187" s="541"/>
      <c r="AES187" s="541"/>
      <c r="AET187" s="541"/>
      <c r="AEU187" s="541"/>
      <c r="AEV187" s="541"/>
      <c r="AEW187" s="541"/>
      <c r="AEX187" s="541"/>
      <c r="AEY187" s="541"/>
      <c r="AEZ187" s="541"/>
      <c r="AFA187" s="541"/>
      <c r="AFB187" s="541"/>
      <c r="AFC187" s="541"/>
      <c r="AFD187" s="541"/>
      <c r="AFE187" s="541"/>
      <c r="AFF187" s="541"/>
      <c r="AFG187" s="541"/>
      <c r="AFH187" s="541"/>
      <c r="AFI187" s="541"/>
      <c r="AFJ187" s="541"/>
      <c r="AFK187" s="541"/>
      <c r="AFL187" s="541"/>
      <c r="AFM187" s="541"/>
      <c r="AFN187" s="541"/>
      <c r="AFO187" s="541"/>
      <c r="AFP187" s="541"/>
      <c r="AFQ187" s="541"/>
      <c r="AFR187" s="541"/>
      <c r="AFS187" s="541"/>
      <c r="AFT187" s="541"/>
      <c r="AFU187" s="541"/>
      <c r="AFV187" s="541"/>
      <c r="AFW187" s="541"/>
      <c r="AFX187" s="541"/>
      <c r="AFY187" s="541"/>
      <c r="AFZ187" s="541"/>
      <c r="AGA187" s="541"/>
      <c r="AGB187" s="541"/>
      <c r="AGC187" s="541"/>
      <c r="AGD187" s="541"/>
      <c r="AGE187" s="541"/>
      <c r="AGF187" s="541"/>
      <c r="AGG187" s="541"/>
      <c r="AGH187" s="541"/>
      <c r="AGI187" s="541"/>
      <c r="AGJ187" s="541"/>
      <c r="AGK187" s="541"/>
      <c r="AGL187" s="541"/>
      <c r="AGM187" s="541"/>
      <c r="AGN187" s="541"/>
      <c r="AGO187" s="541"/>
      <c r="AGP187" s="541"/>
      <c r="AGQ187" s="541"/>
      <c r="AGR187" s="541"/>
      <c r="AGS187" s="541"/>
      <c r="AGT187" s="541"/>
      <c r="AGU187" s="541"/>
      <c r="AGV187" s="541"/>
      <c r="AGW187" s="541"/>
      <c r="AGX187" s="541"/>
      <c r="AGY187" s="541"/>
      <c r="AGZ187" s="541"/>
      <c r="AHA187" s="541"/>
      <c r="AHB187" s="541"/>
      <c r="AHC187" s="541"/>
      <c r="AHD187" s="541"/>
      <c r="AHE187" s="541"/>
      <c r="AHF187" s="541"/>
      <c r="AHG187" s="541"/>
      <c r="AHH187" s="541"/>
      <c r="AHI187" s="541"/>
      <c r="AHJ187" s="541"/>
      <c r="AHK187" s="541"/>
      <c r="AHL187" s="541"/>
      <c r="AHM187" s="541"/>
      <c r="AHN187" s="541"/>
      <c r="AHO187" s="541"/>
      <c r="AHP187" s="541"/>
      <c r="AHQ187" s="541"/>
      <c r="AHR187" s="541"/>
      <c r="AHS187" s="541"/>
      <c r="AHT187" s="541"/>
      <c r="AHU187" s="541"/>
      <c r="AHV187" s="541"/>
      <c r="AHW187" s="541"/>
      <c r="AHX187" s="541"/>
      <c r="AHY187" s="541"/>
      <c r="AHZ187" s="541"/>
      <c r="AIA187" s="541"/>
      <c r="AIB187" s="541"/>
      <c r="AIC187" s="541"/>
      <c r="AID187" s="541"/>
      <c r="AIE187" s="541"/>
      <c r="AIF187" s="541"/>
      <c r="AIG187" s="541"/>
      <c r="AIH187" s="541"/>
      <c r="AII187" s="541"/>
      <c r="AIJ187" s="541"/>
      <c r="AIK187" s="541"/>
      <c r="AIL187" s="541"/>
      <c r="AIM187" s="541"/>
      <c r="AIN187" s="541"/>
      <c r="AIO187" s="541"/>
      <c r="AIP187" s="541"/>
      <c r="AIQ187" s="541"/>
      <c r="AIR187" s="541"/>
      <c r="AIS187" s="541"/>
      <c r="AIT187" s="541"/>
      <c r="AIU187" s="541"/>
      <c r="AIV187" s="541"/>
      <c r="AIW187" s="541"/>
      <c r="AIX187" s="541"/>
      <c r="AIY187" s="541"/>
      <c r="AIZ187" s="541"/>
      <c r="AJA187" s="541"/>
      <c r="AJB187" s="541"/>
      <c r="AJC187" s="541"/>
      <c r="AJD187" s="541"/>
      <c r="AJE187" s="541"/>
      <c r="AJF187" s="541"/>
      <c r="AJG187" s="541"/>
      <c r="AJH187" s="541"/>
      <c r="AJI187" s="541"/>
      <c r="AJJ187" s="541"/>
      <c r="AJK187" s="541"/>
      <c r="AJL187" s="541"/>
      <c r="AJM187" s="541"/>
      <c r="AJN187" s="541"/>
      <c r="AJO187" s="541"/>
      <c r="AJP187" s="541"/>
      <c r="AJQ187" s="541"/>
      <c r="AJR187" s="541"/>
      <c r="AJS187" s="541"/>
      <c r="AJT187" s="541"/>
      <c r="AJU187" s="541"/>
      <c r="AJV187" s="541"/>
      <c r="AJW187" s="541"/>
      <c r="AJX187" s="541"/>
      <c r="AJY187" s="541"/>
      <c r="AJZ187" s="541"/>
      <c r="AKA187" s="541"/>
      <c r="AKB187" s="541"/>
      <c r="AKC187" s="541"/>
      <c r="AKD187" s="541"/>
      <c r="AKE187" s="541"/>
      <c r="AKF187" s="541"/>
      <c r="AKG187" s="541"/>
      <c r="AKH187" s="541"/>
      <c r="AKI187" s="541"/>
      <c r="AKJ187" s="541"/>
      <c r="AKK187" s="541"/>
      <c r="AKL187" s="541"/>
      <c r="AKM187" s="541"/>
      <c r="AKN187" s="541"/>
      <c r="AKO187" s="541"/>
      <c r="AKP187" s="541"/>
      <c r="AKQ187" s="541"/>
      <c r="AKR187" s="541"/>
      <c r="AKS187" s="541"/>
      <c r="AKT187" s="541"/>
      <c r="AKU187" s="541"/>
      <c r="AKV187" s="541"/>
      <c r="AKW187" s="541"/>
      <c r="AKX187" s="541"/>
      <c r="AKY187" s="541"/>
      <c r="AKZ187" s="541"/>
      <c r="ALA187" s="541"/>
      <c r="ALB187" s="541"/>
      <c r="ALC187" s="541"/>
      <c r="ALD187" s="541"/>
      <c r="ALE187" s="541"/>
      <c r="ALF187" s="541"/>
      <c r="ALG187" s="541"/>
      <c r="ALH187" s="541"/>
      <c r="ALI187" s="541"/>
      <c r="ALJ187" s="541"/>
      <c r="ALK187" s="541"/>
      <c r="ALL187" s="541"/>
      <c r="ALM187" s="541"/>
      <c r="ALN187" s="541"/>
      <c r="ALO187" s="541"/>
      <c r="ALP187" s="541"/>
      <c r="ALQ187" s="541"/>
      <c r="ALR187" s="541"/>
      <c r="ALS187" s="541"/>
      <c r="ALT187" s="541"/>
      <c r="ALU187" s="541"/>
      <c r="ALV187" s="541"/>
      <c r="ALW187" s="541"/>
      <c r="ALX187" s="541"/>
      <c r="ALY187" s="541"/>
      <c r="ALZ187" s="541"/>
      <c r="AMA187" s="541"/>
      <c r="AMB187" s="541"/>
      <c r="AMC187" s="541"/>
      <c r="AMD187" s="541"/>
      <c r="AME187" s="541"/>
      <c r="AMF187" s="541"/>
      <c r="AMG187" s="541"/>
      <c r="AMH187" s="541"/>
      <c r="AMI187" s="541"/>
      <c r="AMJ187" s="541"/>
      <c r="AMK187" s="541"/>
      <c r="AML187" s="541"/>
      <c r="AMM187" s="541"/>
      <c r="AMN187" s="541"/>
      <c r="AMO187" s="541"/>
      <c r="AMP187" s="541"/>
      <c r="AMQ187" s="541"/>
      <c r="AMR187" s="541"/>
      <c r="AMS187" s="541"/>
      <c r="AMT187" s="541"/>
      <c r="AMU187" s="541"/>
      <c r="AMV187" s="541"/>
      <c r="AMW187" s="541"/>
      <c r="AMX187" s="541"/>
      <c r="AMY187" s="541"/>
      <c r="AMZ187" s="541"/>
      <c r="ANA187" s="541"/>
      <c r="ANB187" s="541"/>
      <c r="ANC187" s="541"/>
      <c r="AND187" s="541"/>
      <c r="ANE187" s="541"/>
      <c r="ANF187" s="541"/>
      <c r="ANG187" s="541"/>
      <c r="ANH187" s="541"/>
      <c r="ANI187" s="541"/>
      <c r="ANJ187" s="541"/>
      <c r="ANK187" s="541"/>
      <c r="ANL187" s="541"/>
      <c r="ANM187" s="541"/>
      <c r="ANN187" s="541"/>
      <c r="ANO187" s="541"/>
      <c r="ANP187" s="541"/>
      <c r="ANQ187" s="541"/>
      <c r="ANR187" s="541"/>
      <c r="ANS187" s="541"/>
      <c r="ANT187" s="541"/>
      <c r="ANU187" s="541"/>
      <c r="ANV187" s="541"/>
      <c r="ANW187" s="541"/>
      <c r="ANX187" s="541"/>
      <c r="ANY187" s="541"/>
      <c r="ANZ187" s="541"/>
      <c r="AOA187" s="541"/>
      <c r="AOB187" s="541"/>
      <c r="AOC187" s="541"/>
      <c r="AOD187" s="541"/>
      <c r="AOE187" s="541"/>
      <c r="AOF187" s="541"/>
      <c r="AOG187" s="541"/>
      <c r="AOH187" s="541"/>
      <c r="AOI187" s="541"/>
      <c r="AOJ187" s="541"/>
      <c r="AOK187" s="541"/>
      <c r="AOL187" s="541"/>
      <c r="AOM187" s="541"/>
      <c r="AON187" s="541"/>
      <c r="AOO187" s="541"/>
      <c r="AOP187" s="541"/>
      <c r="AOQ187" s="541"/>
      <c r="AOR187" s="541"/>
      <c r="AOS187" s="541"/>
      <c r="AOT187" s="541"/>
      <c r="AOU187" s="541"/>
      <c r="AOV187" s="541"/>
      <c r="AOW187" s="541"/>
      <c r="AOX187" s="541"/>
      <c r="AOY187" s="541"/>
      <c r="AOZ187" s="541"/>
      <c r="APA187" s="541"/>
      <c r="APB187" s="541"/>
      <c r="APC187" s="541"/>
      <c r="APD187" s="541"/>
      <c r="APE187" s="541"/>
      <c r="APF187" s="541"/>
      <c r="APG187" s="541"/>
      <c r="APH187" s="541"/>
      <c r="API187" s="541"/>
      <c r="APJ187" s="541"/>
      <c r="APK187" s="541"/>
      <c r="APL187" s="541"/>
      <c r="APM187" s="541"/>
      <c r="APN187" s="541"/>
      <c r="APO187" s="541"/>
      <c r="APP187" s="541"/>
      <c r="APQ187" s="541"/>
      <c r="APR187" s="541"/>
      <c r="APS187" s="541"/>
      <c r="APT187" s="541"/>
      <c r="APU187" s="541"/>
      <c r="APV187" s="541"/>
      <c r="APW187" s="541"/>
      <c r="APX187" s="541"/>
      <c r="APY187" s="541"/>
      <c r="APZ187" s="541"/>
      <c r="AQA187" s="541"/>
      <c r="AQB187" s="541"/>
      <c r="AQC187" s="541"/>
      <c r="AQD187" s="541"/>
      <c r="AQE187" s="541"/>
      <c r="AQF187" s="541"/>
      <c r="AQG187" s="541"/>
      <c r="AQH187" s="541"/>
      <c r="AQI187" s="541"/>
      <c r="AQJ187" s="541"/>
      <c r="AQK187" s="541"/>
      <c r="AQL187" s="541"/>
      <c r="AQM187" s="541"/>
      <c r="AQN187" s="541"/>
      <c r="AQO187" s="541"/>
      <c r="AQP187" s="541"/>
      <c r="AQQ187" s="541"/>
      <c r="AQR187" s="541"/>
      <c r="AQS187" s="541"/>
      <c r="AQT187" s="541"/>
      <c r="AQU187" s="541"/>
      <c r="AQV187" s="541"/>
      <c r="AQW187" s="541"/>
      <c r="AQX187" s="541"/>
      <c r="AQY187" s="541"/>
      <c r="AQZ187" s="541"/>
      <c r="ARA187" s="541"/>
      <c r="ARB187" s="541"/>
      <c r="ARC187" s="541"/>
      <c r="ARD187" s="541"/>
      <c r="ARE187" s="541"/>
      <c r="ARF187" s="541"/>
      <c r="ARG187" s="541"/>
      <c r="ARH187" s="541"/>
      <c r="ARI187" s="541"/>
      <c r="ARJ187" s="541"/>
      <c r="ARK187" s="541"/>
      <c r="ARL187" s="541"/>
      <c r="ARM187" s="541"/>
      <c r="ARN187" s="541"/>
      <c r="ARO187" s="541"/>
      <c r="ARP187" s="541"/>
      <c r="ARQ187" s="541"/>
      <c r="ARR187" s="541"/>
      <c r="ARS187" s="541"/>
      <c r="ART187" s="541"/>
      <c r="ARU187" s="541"/>
    </row>
    <row r="188" spans="1:1165">
      <c r="A188" s="596"/>
      <c r="B188" s="594"/>
      <c r="C188" s="670"/>
      <c r="D188" s="595"/>
      <c r="E188" s="671"/>
      <c r="F188" s="595"/>
      <c r="G188" s="671"/>
      <c r="H188" s="595"/>
      <c r="I188" s="671"/>
      <c r="J188" s="595"/>
      <c r="K188" s="671"/>
      <c r="L188" s="595"/>
      <c r="M188" s="671"/>
      <c r="N188" s="595"/>
      <c r="O188" s="671"/>
      <c r="P188" s="595"/>
      <c r="Q188" s="671"/>
      <c r="R188" s="595"/>
      <c r="S188" s="671"/>
      <c r="T188" s="595"/>
      <c r="U188" s="671"/>
      <c r="V188" s="595"/>
      <c r="W188" s="671"/>
      <c r="X188" s="595"/>
      <c r="Y188" s="671"/>
      <c r="Z188" s="595"/>
      <c r="AA188" s="671"/>
      <c r="AB188" s="595"/>
      <c r="AC188" s="671"/>
      <c r="AD188" s="595"/>
      <c r="AE188" s="671"/>
      <c r="AF188" s="595"/>
      <c r="AG188" s="671"/>
      <c r="AH188" s="595"/>
      <c r="AI188" s="671"/>
      <c r="AJ188" s="595"/>
      <c r="AK188" s="671"/>
      <c r="AL188" s="595"/>
      <c r="AM188" s="671"/>
      <c r="AN188" s="595"/>
      <c r="AO188" s="671"/>
      <c r="AP188" s="595"/>
      <c r="AQ188" s="671"/>
      <c r="AR188" s="595"/>
      <c r="AS188" s="671"/>
      <c r="AT188" s="595"/>
      <c r="AU188" s="671"/>
      <c r="AV188" s="595"/>
      <c r="AW188" s="670"/>
      <c r="AX188" s="670"/>
      <c r="AY188" s="706"/>
      <c r="AZ188" s="706"/>
      <c r="BA188" s="671"/>
      <c r="BB188" s="671"/>
      <c r="BC188" s="671"/>
      <c r="BD188" s="671"/>
      <c r="BE188" s="671"/>
      <c r="BF188" s="671"/>
      <c r="BG188" s="671"/>
      <c r="BH188" s="671"/>
      <c r="BI188" s="671"/>
      <c r="BJ188" s="671"/>
      <c r="BK188" s="671"/>
      <c r="BL188" s="541"/>
      <c r="BM188" s="624"/>
      <c r="BN188" s="624"/>
      <c r="BO188" s="624"/>
      <c r="BP188" s="624"/>
      <c r="BS188" s="42"/>
    </row>
    <row r="189" spans="1:1165">
      <c r="A189" s="591" t="s">
        <v>312</v>
      </c>
      <c r="B189" s="594" t="s">
        <v>110</v>
      </c>
      <c r="C189" s="670">
        <v>1347984</v>
      </c>
      <c r="D189" s="595">
        <v>16309423</v>
      </c>
      <c r="E189" s="595">
        <v>0</v>
      </c>
      <c r="F189" s="595">
        <v>0</v>
      </c>
      <c r="G189" s="595">
        <v>0</v>
      </c>
      <c r="H189" s="595">
        <v>0</v>
      </c>
      <c r="I189" s="595">
        <v>0</v>
      </c>
      <c r="J189" s="595">
        <v>0</v>
      </c>
      <c r="K189" s="595">
        <v>0</v>
      </c>
      <c r="L189" s="595">
        <v>0</v>
      </c>
      <c r="M189" s="595">
        <v>0</v>
      </c>
      <c r="N189" s="595">
        <v>0</v>
      </c>
      <c r="O189" s="595">
        <v>0</v>
      </c>
      <c r="P189" s="595">
        <v>0</v>
      </c>
      <c r="Q189" s="595">
        <v>0</v>
      </c>
      <c r="R189" s="595">
        <v>0</v>
      </c>
      <c r="S189" s="595">
        <v>0</v>
      </c>
      <c r="T189" s="595">
        <v>0</v>
      </c>
      <c r="U189" s="595">
        <v>0</v>
      </c>
      <c r="V189" s="595">
        <v>0</v>
      </c>
      <c r="W189" s="595">
        <v>0</v>
      </c>
      <c r="X189" s="595">
        <v>0</v>
      </c>
      <c r="Y189" s="595">
        <v>0</v>
      </c>
      <c r="Z189" s="595">
        <v>0</v>
      </c>
      <c r="AA189" s="595">
        <v>0</v>
      </c>
      <c r="AB189" s="595">
        <v>0</v>
      </c>
      <c r="AC189" s="595">
        <v>0</v>
      </c>
      <c r="AD189" s="595">
        <v>0</v>
      </c>
      <c r="AE189" s="595">
        <v>0</v>
      </c>
      <c r="AF189" s="595">
        <v>0</v>
      </c>
      <c r="AG189" s="595">
        <v>0</v>
      </c>
      <c r="AH189" s="595">
        <v>0</v>
      </c>
      <c r="AI189" s="595">
        <v>0</v>
      </c>
      <c r="AJ189" s="595">
        <v>0</v>
      </c>
      <c r="AK189" s="595">
        <v>0</v>
      </c>
      <c r="AL189" s="595">
        <v>0</v>
      </c>
      <c r="AM189" s="595">
        <v>0</v>
      </c>
      <c r="AN189" s="595">
        <v>0</v>
      </c>
      <c r="AO189" s="595">
        <v>0</v>
      </c>
      <c r="AP189" s="595">
        <v>0</v>
      </c>
      <c r="AQ189" s="595">
        <v>0</v>
      </c>
      <c r="AR189" s="595">
        <v>0</v>
      </c>
      <c r="AS189" s="595">
        <v>0</v>
      </c>
      <c r="AT189" s="595">
        <v>0</v>
      </c>
      <c r="AU189" s="595">
        <v>0</v>
      </c>
      <c r="AV189" s="595">
        <v>0</v>
      </c>
      <c r="AW189" s="670">
        <v>0</v>
      </c>
      <c r="AX189" s="670">
        <v>0</v>
      </c>
      <c r="AY189" s="608">
        <v>0</v>
      </c>
      <c r="AZ189" s="608">
        <v>0</v>
      </c>
      <c r="BA189" s="671"/>
      <c r="BB189" s="608"/>
      <c r="BC189" s="608"/>
      <c r="BD189" s="608"/>
      <c r="BE189" s="671"/>
      <c r="BF189" s="608"/>
      <c r="BG189" s="608"/>
      <c r="BH189" s="608"/>
      <c r="BI189" s="671"/>
      <c r="BJ189" s="671">
        <f>C189+G189+I189+K189+M189+O189+Q189+S189+U189+W189+Y189+AA189+AC189+AE189+AG189+AI189+AK189+AM189+AO189+AQ189+AS189+AU189+AW189+AY189+BB189+BF189</f>
        <v>1347984</v>
      </c>
      <c r="BK189" s="595">
        <f>D189+H189+J189+L189+N189+P189+R189+T189+V189+X189+Z189+AB189+AD189+AF189+AH189+AJ189+AL189+AN189+AP189+AR189+AT189+AV189+AX189+AZ189+BD189+BH189</f>
        <v>16309423</v>
      </c>
      <c r="BL189" s="541"/>
      <c r="BM189" s="624"/>
      <c r="BN189" s="624"/>
      <c r="BO189" s="624"/>
      <c r="BP189" s="624"/>
      <c r="BS189" s="42"/>
    </row>
    <row r="190" spans="1:1165">
      <c r="A190" s="593"/>
      <c r="B190" s="594"/>
      <c r="C190" s="670"/>
      <c r="D190" s="670"/>
      <c r="E190" s="595"/>
      <c r="F190" s="595"/>
      <c r="G190" s="595"/>
      <c r="H190" s="595"/>
      <c r="I190" s="595"/>
      <c r="J190" s="595"/>
      <c r="K190" s="595"/>
      <c r="L190" s="595"/>
      <c r="M190" s="595"/>
      <c r="N190" s="595"/>
      <c r="O190" s="595"/>
      <c r="P190" s="595"/>
      <c r="Q190" s="595"/>
      <c r="R190" s="595"/>
      <c r="S190" s="595"/>
      <c r="T190" s="595"/>
      <c r="U190" s="672"/>
      <c r="V190" s="672"/>
      <c r="W190" s="586"/>
      <c r="X190" s="586"/>
      <c r="Y190" s="595"/>
      <c r="Z190" s="595"/>
      <c r="AA190" s="623"/>
      <c r="AB190" s="623"/>
      <c r="AC190" s="595"/>
      <c r="AD190" s="595"/>
      <c r="AE190" s="586"/>
      <c r="AF190" s="586"/>
      <c r="AG190" s="586"/>
      <c r="AH190" s="586"/>
      <c r="AI190" s="586"/>
      <c r="AJ190" s="586"/>
      <c r="AK190" s="586"/>
      <c r="AL190" s="586"/>
      <c r="AM190" s="586"/>
      <c r="AN190" s="586"/>
      <c r="AO190" s="586"/>
      <c r="AP190" s="586"/>
      <c r="AQ190" s="586"/>
      <c r="AR190" s="586"/>
      <c r="AS190" s="586"/>
      <c r="AT190" s="586"/>
      <c r="AU190" s="623"/>
      <c r="AV190" s="623"/>
      <c r="AW190" s="650"/>
      <c r="AX190" s="650"/>
      <c r="AY190" s="650"/>
      <c r="AZ190" s="650"/>
      <c r="BA190" s="650"/>
      <c r="BB190" s="650"/>
      <c r="BC190" s="650"/>
      <c r="BD190" s="650"/>
      <c r="BE190" s="650"/>
      <c r="BF190" s="650"/>
      <c r="BG190" s="650"/>
      <c r="BH190" s="650"/>
      <c r="BI190" s="686"/>
      <c r="BJ190" s="650"/>
      <c r="BK190" s="650"/>
      <c r="BL190" s="541"/>
      <c r="BM190" s="624"/>
      <c r="BN190" s="624"/>
      <c r="BO190" s="624"/>
      <c r="BS190" s="42"/>
    </row>
    <row r="191" spans="1:1165" s="658" customFormat="1">
      <c r="A191" s="577" t="s">
        <v>313</v>
      </c>
      <c r="B191" s="578" t="s">
        <v>110</v>
      </c>
      <c r="C191" s="659">
        <v>36487053</v>
      </c>
      <c r="D191" s="659">
        <v>204916758</v>
      </c>
      <c r="E191" s="581">
        <v>3680844</v>
      </c>
      <c r="F191" s="581">
        <v>37553115</v>
      </c>
      <c r="G191" s="581">
        <v>3624031</v>
      </c>
      <c r="H191" s="581">
        <v>39074797</v>
      </c>
      <c r="I191" s="581">
        <v>3422159</v>
      </c>
      <c r="J191" s="581">
        <v>47673788</v>
      </c>
      <c r="K191" s="581">
        <v>3868254</v>
      </c>
      <c r="L191" s="581">
        <v>59706681</v>
      </c>
      <c r="M191" s="581">
        <v>4674017</v>
      </c>
      <c r="N191" s="581">
        <v>75252113</v>
      </c>
      <c r="O191" s="581">
        <v>4804185</v>
      </c>
      <c r="P191" s="581">
        <v>95918242</v>
      </c>
      <c r="Q191" s="581">
        <v>4947666</v>
      </c>
      <c r="R191" s="581">
        <v>103554621</v>
      </c>
      <c r="S191" s="581">
        <v>5276501</v>
      </c>
      <c r="T191" s="581">
        <v>105717998</v>
      </c>
      <c r="U191" s="598">
        <v>5849966</v>
      </c>
      <c r="V191" s="598">
        <v>98525973</v>
      </c>
      <c r="W191" s="598">
        <v>5904404</v>
      </c>
      <c r="X191" s="598">
        <v>112376112</v>
      </c>
      <c r="Y191" s="581">
        <v>6123511</v>
      </c>
      <c r="Z191" s="581">
        <v>130774588</v>
      </c>
      <c r="AA191" s="619">
        <v>6827230</v>
      </c>
      <c r="AB191" s="619">
        <v>149355769</v>
      </c>
      <c r="AC191" s="581">
        <v>6671678</v>
      </c>
      <c r="AD191" s="581">
        <v>155392954</v>
      </c>
      <c r="AE191" s="579">
        <v>6489360</v>
      </c>
      <c r="AF191" s="579">
        <v>158649336</v>
      </c>
      <c r="AG191" s="579">
        <v>6860725</v>
      </c>
      <c r="AH191" s="579">
        <v>153488853</v>
      </c>
      <c r="AI191" s="579">
        <v>7290514</v>
      </c>
      <c r="AJ191" s="579">
        <v>155813175</v>
      </c>
      <c r="AK191" s="661">
        <v>7214535.6160000004</v>
      </c>
      <c r="AL191" s="661">
        <v>143609587</v>
      </c>
      <c r="AM191" s="662">
        <v>8115941</v>
      </c>
      <c r="AN191" s="662">
        <v>172120951.07875273</v>
      </c>
      <c r="AO191" s="579">
        <v>8477039</v>
      </c>
      <c r="AP191" s="579">
        <v>210174154</v>
      </c>
      <c r="AQ191" s="579">
        <v>9016439.6600000001</v>
      </c>
      <c r="AR191" s="579">
        <v>212742024</v>
      </c>
      <c r="AS191" s="579">
        <v>7705425.3899999997</v>
      </c>
      <c r="AT191" s="579">
        <v>197315760</v>
      </c>
      <c r="AU191" s="619">
        <v>8576415</v>
      </c>
      <c r="AV191" s="619">
        <v>249240285</v>
      </c>
      <c r="AW191" s="581">
        <v>9171463</v>
      </c>
      <c r="AX191" s="581">
        <v>250526627</v>
      </c>
      <c r="AY191" s="581">
        <v>9752885</v>
      </c>
      <c r="AZ191" s="581">
        <v>197008925</v>
      </c>
      <c r="BA191" s="664"/>
      <c r="BB191" s="581"/>
      <c r="BC191" s="664"/>
      <c r="BD191" s="581"/>
      <c r="BE191" s="664"/>
      <c r="BF191" s="581"/>
      <c r="BG191" s="664"/>
      <c r="BH191" s="581"/>
      <c r="BI191" s="664"/>
      <c r="BJ191" s="581">
        <f>C191+G191+I191+K191+M191+O191+Q191+S191+U191+W191+Y191+AA191+AC191+AE191+AG191+AI191+AK191+AM191+AO191+AQ191+AS191+AU191+AW191+AY191+BB191+BF191</f>
        <v>187151397.66599998</v>
      </c>
      <c r="BK191" s="651">
        <f>D191+H191+J191+L191+N191+P191+R191+T191+V191+X191+Z191+AB191+AD191+AF191+AH191+AJ191+AL191+AN191+AP191+AR191+AT191+AV191+AX191+AZ191+BD191+BH191</f>
        <v>3478930071.0787525</v>
      </c>
      <c r="BL191" s="541"/>
      <c r="BM191" s="624"/>
      <c r="BN191" s="624"/>
      <c r="BO191" s="624"/>
      <c r="BP191" s="541"/>
      <c r="BQ191" s="541"/>
      <c r="BR191" s="541"/>
      <c r="BS191" s="42"/>
      <c r="BT191" s="541"/>
      <c r="BU191" s="541"/>
      <c r="BV191" s="541"/>
      <c r="BW191" s="541"/>
      <c r="BX191" s="541"/>
      <c r="BY191" s="541"/>
      <c r="BZ191" s="541"/>
      <c r="CA191" s="541"/>
      <c r="CB191" s="541"/>
      <c r="CC191" s="541"/>
      <c r="CD191" s="541"/>
      <c r="CE191" s="541"/>
      <c r="CF191" s="541"/>
      <c r="CG191" s="541"/>
      <c r="CH191" s="541"/>
      <c r="CI191" s="541"/>
      <c r="CJ191" s="541"/>
      <c r="CK191" s="541"/>
      <c r="CL191" s="541"/>
      <c r="CM191" s="541"/>
      <c r="CN191" s="541"/>
      <c r="CO191" s="541"/>
      <c r="CP191" s="541"/>
      <c r="CQ191" s="541"/>
      <c r="CR191" s="541"/>
      <c r="CS191" s="541"/>
      <c r="CT191" s="541"/>
      <c r="CU191" s="541"/>
      <c r="CV191" s="541"/>
      <c r="CW191" s="541"/>
      <c r="CX191" s="541"/>
      <c r="CY191" s="541"/>
      <c r="CZ191" s="541"/>
      <c r="DA191" s="541"/>
      <c r="DB191" s="541"/>
      <c r="DC191" s="541"/>
      <c r="DD191" s="541"/>
      <c r="DE191" s="541"/>
      <c r="DF191" s="541"/>
      <c r="DG191" s="541"/>
      <c r="DH191" s="541"/>
      <c r="DI191" s="541"/>
      <c r="DJ191" s="541"/>
      <c r="DK191" s="541"/>
      <c r="DL191" s="541"/>
      <c r="DM191" s="541"/>
      <c r="DN191" s="541"/>
      <c r="DO191" s="541"/>
      <c r="DP191" s="541"/>
      <c r="DQ191" s="541"/>
      <c r="DR191" s="541"/>
      <c r="DS191" s="541"/>
      <c r="DT191" s="541"/>
      <c r="DU191" s="541"/>
      <c r="DV191" s="541"/>
      <c r="DW191" s="541"/>
      <c r="DX191" s="541"/>
      <c r="DY191" s="541"/>
      <c r="DZ191" s="541"/>
      <c r="EA191" s="541"/>
      <c r="EB191" s="541"/>
      <c r="EC191" s="541"/>
      <c r="ED191" s="541"/>
      <c r="EE191" s="541"/>
      <c r="EF191" s="541"/>
      <c r="EG191" s="541"/>
      <c r="EH191" s="541"/>
      <c r="EI191" s="541"/>
      <c r="EJ191" s="541"/>
      <c r="EK191" s="541"/>
      <c r="EL191" s="541"/>
      <c r="EM191" s="541"/>
      <c r="EN191" s="541"/>
      <c r="EO191" s="541"/>
      <c r="EP191" s="541"/>
      <c r="EQ191" s="541"/>
      <c r="ER191" s="541"/>
      <c r="ES191" s="541"/>
      <c r="ET191" s="541"/>
      <c r="EU191" s="541"/>
      <c r="EV191" s="541"/>
      <c r="EW191" s="541"/>
      <c r="EX191" s="541"/>
      <c r="EY191" s="541"/>
      <c r="EZ191" s="541"/>
      <c r="FA191" s="541"/>
      <c r="FB191" s="541"/>
      <c r="FC191" s="541"/>
      <c r="FD191" s="541"/>
      <c r="FE191" s="541"/>
      <c r="FF191" s="541"/>
      <c r="FG191" s="541"/>
      <c r="FH191" s="541"/>
      <c r="FI191" s="541"/>
      <c r="FJ191" s="541"/>
      <c r="FK191" s="541"/>
      <c r="FL191" s="541"/>
      <c r="FM191" s="541"/>
      <c r="FN191" s="541"/>
      <c r="FO191" s="541"/>
      <c r="FP191" s="541"/>
      <c r="FQ191" s="541"/>
      <c r="FR191" s="541"/>
      <c r="FS191" s="541"/>
      <c r="FT191" s="541"/>
      <c r="FU191" s="541"/>
      <c r="FV191" s="541"/>
      <c r="FW191" s="541"/>
      <c r="FX191" s="541"/>
      <c r="FY191" s="541"/>
      <c r="FZ191" s="541"/>
      <c r="GA191" s="541"/>
      <c r="GB191" s="541"/>
      <c r="GC191" s="541"/>
      <c r="GD191" s="541"/>
      <c r="GE191" s="541"/>
      <c r="GF191" s="541"/>
      <c r="GG191" s="541"/>
      <c r="GH191" s="541"/>
      <c r="GI191" s="541"/>
      <c r="GJ191" s="541"/>
      <c r="GK191" s="541"/>
      <c r="GL191" s="541"/>
      <c r="GM191" s="541"/>
      <c r="GN191" s="541"/>
      <c r="GO191" s="541"/>
      <c r="GP191" s="541"/>
      <c r="GQ191" s="541"/>
      <c r="GR191" s="541"/>
      <c r="GS191" s="541"/>
      <c r="GT191" s="541"/>
      <c r="GU191" s="541"/>
      <c r="GV191" s="541"/>
      <c r="GW191" s="541"/>
      <c r="GX191" s="541"/>
      <c r="GY191" s="541"/>
      <c r="GZ191" s="541"/>
      <c r="HA191" s="541"/>
      <c r="HB191" s="541"/>
      <c r="HC191" s="541"/>
      <c r="HD191" s="541"/>
      <c r="HE191" s="541"/>
      <c r="HF191" s="541"/>
      <c r="HG191" s="541"/>
      <c r="HH191" s="541"/>
      <c r="HI191" s="541"/>
      <c r="HJ191" s="541"/>
      <c r="HK191" s="541"/>
      <c r="HL191" s="541"/>
      <c r="HM191" s="541"/>
      <c r="HN191" s="541"/>
      <c r="HO191" s="541"/>
      <c r="HP191" s="541"/>
      <c r="HQ191" s="541"/>
      <c r="HR191" s="541"/>
      <c r="HS191" s="541"/>
      <c r="HT191" s="541"/>
      <c r="HU191" s="541"/>
      <c r="HV191" s="541"/>
      <c r="HW191" s="541"/>
      <c r="HX191" s="541"/>
      <c r="HY191" s="541"/>
      <c r="HZ191" s="541"/>
      <c r="IA191" s="541"/>
      <c r="IB191" s="541"/>
      <c r="IC191" s="541"/>
      <c r="ID191" s="541"/>
      <c r="IE191" s="541"/>
      <c r="IF191" s="541"/>
      <c r="IG191" s="541"/>
      <c r="IH191" s="541"/>
      <c r="II191" s="541"/>
      <c r="IJ191" s="541"/>
      <c r="IK191" s="541"/>
      <c r="IL191" s="541"/>
      <c r="IM191" s="541"/>
      <c r="IN191" s="541"/>
      <c r="IO191" s="541"/>
      <c r="IP191" s="541"/>
      <c r="IQ191" s="541"/>
      <c r="IR191" s="541"/>
      <c r="IS191" s="541"/>
      <c r="IT191" s="541"/>
      <c r="IU191" s="541"/>
      <c r="IV191" s="541"/>
      <c r="IW191" s="541"/>
      <c r="IX191" s="541"/>
      <c r="IY191" s="541"/>
      <c r="IZ191" s="541"/>
      <c r="JA191" s="541"/>
      <c r="JB191" s="541"/>
      <c r="JC191" s="541"/>
      <c r="JD191" s="541"/>
      <c r="JE191" s="541"/>
      <c r="JF191" s="541"/>
      <c r="JG191" s="541"/>
      <c r="JH191" s="541"/>
      <c r="JI191" s="541"/>
      <c r="JJ191" s="541"/>
      <c r="JK191" s="541"/>
      <c r="JL191" s="541"/>
      <c r="JM191" s="541"/>
      <c r="JN191" s="541"/>
      <c r="JO191" s="541"/>
      <c r="JP191" s="541"/>
      <c r="JQ191" s="541"/>
      <c r="JR191" s="541"/>
      <c r="JS191" s="541"/>
      <c r="JT191" s="541"/>
      <c r="JU191" s="541"/>
      <c r="JV191" s="541"/>
      <c r="JW191" s="541"/>
      <c r="JX191" s="541"/>
      <c r="JY191" s="541"/>
      <c r="JZ191" s="541"/>
      <c r="KA191" s="541"/>
      <c r="KB191" s="541"/>
      <c r="KC191" s="541"/>
      <c r="KD191" s="541"/>
      <c r="KE191" s="541"/>
      <c r="KF191" s="541"/>
      <c r="KG191" s="541"/>
      <c r="KH191" s="541"/>
      <c r="KI191" s="541"/>
      <c r="KJ191" s="541"/>
      <c r="KK191" s="541"/>
      <c r="KL191" s="541"/>
      <c r="KM191" s="541"/>
      <c r="KN191" s="541"/>
      <c r="KO191" s="541"/>
      <c r="KP191" s="541"/>
      <c r="KQ191" s="541"/>
      <c r="KR191" s="541"/>
      <c r="KS191" s="541"/>
      <c r="KT191" s="541"/>
      <c r="KU191" s="541"/>
      <c r="KV191" s="541"/>
      <c r="KW191" s="541"/>
      <c r="KX191" s="541"/>
      <c r="KY191" s="541"/>
      <c r="KZ191" s="541"/>
      <c r="LA191" s="541"/>
      <c r="LB191" s="541"/>
      <c r="LC191" s="541"/>
      <c r="LD191" s="541"/>
      <c r="LE191" s="541"/>
      <c r="LF191" s="541"/>
      <c r="LG191" s="541"/>
      <c r="LH191" s="541"/>
      <c r="LI191" s="541"/>
      <c r="LJ191" s="541"/>
      <c r="LK191" s="541"/>
      <c r="LL191" s="541"/>
      <c r="LM191" s="541"/>
      <c r="LN191" s="541"/>
      <c r="LO191" s="541"/>
      <c r="LP191" s="541"/>
      <c r="LQ191" s="541"/>
      <c r="LR191" s="541"/>
      <c r="LS191" s="541"/>
      <c r="LT191" s="541"/>
      <c r="LU191" s="541"/>
      <c r="LV191" s="541"/>
      <c r="LW191" s="541"/>
      <c r="LX191" s="541"/>
      <c r="LY191" s="541"/>
      <c r="LZ191" s="541"/>
      <c r="MA191" s="541"/>
      <c r="MB191" s="541"/>
      <c r="MC191" s="541"/>
      <c r="MD191" s="541"/>
      <c r="ME191" s="541"/>
      <c r="MF191" s="541"/>
      <c r="MG191" s="541"/>
      <c r="MH191" s="541"/>
      <c r="MI191" s="541"/>
      <c r="MJ191" s="541"/>
      <c r="MK191" s="541"/>
      <c r="ML191" s="541"/>
      <c r="MM191" s="541"/>
      <c r="MN191" s="541"/>
      <c r="MO191" s="541"/>
      <c r="MP191" s="541"/>
      <c r="MQ191" s="541"/>
      <c r="MR191" s="541"/>
      <c r="MS191" s="541"/>
      <c r="MT191" s="541"/>
      <c r="MU191" s="541"/>
      <c r="MV191" s="541"/>
      <c r="MW191" s="541"/>
      <c r="MX191" s="541"/>
      <c r="MY191" s="541"/>
      <c r="MZ191" s="541"/>
      <c r="NA191" s="541"/>
      <c r="NB191" s="541"/>
      <c r="NC191" s="541"/>
      <c r="ND191" s="541"/>
      <c r="NE191" s="541"/>
      <c r="NF191" s="541"/>
      <c r="NG191" s="541"/>
      <c r="NH191" s="541"/>
      <c r="NI191" s="541"/>
      <c r="NJ191" s="541"/>
      <c r="NK191" s="541"/>
      <c r="NL191" s="541"/>
      <c r="NM191" s="541"/>
      <c r="NN191" s="541"/>
      <c r="NO191" s="541"/>
      <c r="NP191" s="541"/>
      <c r="NQ191" s="541"/>
      <c r="NR191" s="541"/>
      <c r="NS191" s="541"/>
      <c r="NT191" s="541"/>
      <c r="NU191" s="541"/>
      <c r="NV191" s="541"/>
      <c r="NW191" s="541"/>
      <c r="NX191" s="541"/>
      <c r="NY191" s="541"/>
      <c r="NZ191" s="541"/>
      <c r="OA191" s="541"/>
      <c r="OB191" s="541"/>
      <c r="OC191" s="541"/>
      <c r="OD191" s="541"/>
      <c r="OE191" s="541"/>
      <c r="OF191" s="541"/>
      <c r="OG191" s="541"/>
      <c r="OH191" s="541"/>
      <c r="OI191" s="541"/>
      <c r="OJ191" s="541"/>
      <c r="OK191" s="541"/>
      <c r="OL191" s="541"/>
      <c r="OM191" s="541"/>
      <c r="ON191" s="541"/>
      <c r="OO191" s="541"/>
      <c r="OP191" s="541"/>
      <c r="OQ191" s="541"/>
      <c r="OR191" s="541"/>
      <c r="OS191" s="541"/>
      <c r="OT191" s="541"/>
      <c r="OU191" s="541"/>
      <c r="OV191" s="541"/>
      <c r="OW191" s="541"/>
      <c r="OX191" s="541"/>
      <c r="OY191" s="541"/>
      <c r="OZ191" s="541"/>
      <c r="PA191" s="541"/>
      <c r="PB191" s="541"/>
      <c r="PC191" s="541"/>
      <c r="PD191" s="541"/>
      <c r="PE191" s="541"/>
      <c r="PF191" s="541"/>
      <c r="PG191" s="541"/>
      <c r="PH191" s="541"/>
      <c r="PI191" s="541"/>
      <c r="PJ191" s="541"/>
      <c r="PK191" s="541"/>
      <c r="PL191" s="541"/>
      <c r="PM191" s="541"/>
      <c r="PN191" s="541"/>
      <c r="PO191" s="541"/>
      <c r="PP191" s="541"/>
      <c r="PQ191" s="541"/>
      <c r="PR191" s="541"/>
      <c r="PS191" s="541"/>
      <c r="PT191" s="541"/>
      <c r="PU191" s="541"/>
      <c r="PV191" s="541"/>
      <c r="PW191" s="541"/>
      <c r="PX191" s="541"/>
      <c r="PY191" s="541"/>
      <c r="PZ191" s="541"/>
      <c r="QA191" s="541"/>
      <c r="QB191" s="541"/>
      <c r="QC191" s="541"/>
      <c r="QD191" s="541"/>
      <c r="QE191" s="541"/>
      <c r="QF191" s="541"/>
      <c r="QG191" s="541"/>
      <c r="QH191" s="541"/>
      <c r="QI191" s="541"/>
      <c r="QJ191" s="541"/>
      <c r="QK191" s="541"/>
      <c r="QL191" s="541"/>
      <c r="QM191" s="541"/>
      <c r="QN191" s="541"/>
      <c r="QO191" s="541"/>
      <c r="QP191" s="541"/>
      <c r="QQ191" s="541"/>
      <c r="QR191" s="541"/>
      <c r="QS191" s="541"/>
      <c r="QT191" s="541"/>
      <c r="QU191" s="541"/>
      <c r="QV191" s="541"/>
      <c r="QW191" s="541"/>
      <c r="QX191" s="541"/>
      <c r="QY191" s="541"/>
      <c r="QZ191" s="541"/>
      <c r="RA191" s="541"/>
      <c r="RB191" s="541"/>
      <c r="RC191" s="541"/>
      <c r="RD191" s="541"/>
      <c r="RE191" s="541"/>
      <c r="RF191" s="541"/>
      <c r="RG191" s="541"/>
      <c r="RH191" s="541"/>
      <c r="RI191" s="541"/>
      <c r="RJ191" s="541"/>
      <c r="RK191" s="541"/>
      <c r="RL191" s="541"/>
      <c r="RM191" s="541"/>
      <c r="RN191" s="541"/>
      <c r="RO191" s="541"/>
      <c r="RP191" s="541"/>
      <c r="RQ191" s="541"/>
      <c r="RR191" s="541"/>
      <c r="RS191" s="541"/>
      <c r="RT191" s="541"/>
      <c r="RU191" s="541"/>
      <c r="RV191" s="541"/>
      <c r="RW191" s="541"/>
      <c r="RX191" s="541"/>
      <c r="RY191" s="541"/>
      <c r="RZ191" s="541"/>
      <c r="SA191" s="541"/>
      <c r="SB191" s="541"/>
      <c r="SC191" s="541"/>
      <c r="SD191" s="541"/>
      <c r="SE191" s="541"/>
      <c r="SF191" s="541"/>
      <c r="SG191" s="541"/>
      <c r="SH191" s="541"/>
      <c r="SI191" s="541"/>
      <c r="SJ191" s="541"/>
      <c r="SK191" s="541"/>
      <c r="SL191" s="541"/>
      <c r="SM191" s="541"/>
      <c r="SN191" s="541"/>
      <c r="SO191" s="541"/>
      <c r="SP191" s="541"/>
      <c r="SQ191" s="541"/>
      <c r="SR191" s="541"/>
      <c r="SS191" s="541"/>
      <c r="ST191" s="541"/>
      <c r="SU191" s="541"/>
      <c r="SV191" s="541"/>
      <c r="SW191" s="541"/>
      <c r="SX191" s="541"/>
      <c r="SY191" s="541"/>
      <c r="SZ191" s="541"/>
      <c r="TA191" s="541"/>
      <c r="TB191" s="541"/>
      <c r="TC191" s="541"/>
      <c r="TD191" s="541"/>
      <c r="TE191" s="541"/>
      <c r="TF191" s="541"/>
      <c r="TG191" s="541"/>
      <c r="TH191" s="541"/>
      <c r="TI191" s="541"/>
      <c r="TJ191" s="541"/>
      <c r="TK191" s="541"/>
      <c r="TL191" s="541"/>
      <c r="TM191" s="541"/>
      <c r="TN191" s="541"/>
      <c r="TO191" s="541"/>
      <c r="TP191" s="541"/>
      <c r="TQ191" s="541"/>
      <c r="TR191" s="541"/>
      <c r="TS191" s="541"/>
      <c r="TT191" s="541"/>
      <c r="TU191" s="541"/>
      <c r="TV191" s="541"/>
      <c r="TW191" s="541"/>
      <c r="TX191" s="541"/>
      <c r="TY191" s="541"/>
      <c r="TZ191" s="541"/>
      <c r="UA191" s="541"/>
      <c r="UB191" s="541"/>
      <c r="UC191" s="541"/>
      <c r="UD191" s="541"/>
      <c r="UE191" s="541"/>
      <c r="UF191" s="541"/>
      <c r="UG191" s="541"/>
      <c r="UH191" s="541"/>
      <c r="UI191" s="541"/>
      <c r="UJ191" s="541"/>
      <c r="UK191" s="541"/>
      <c r="UL191" s="541"/>
      <c r="UM191" s="541"/>
      <c r="UN191" s="541"/>
      <c r="UO191" s="541"/>
      <c r="UP191" s="541"/>
      <c r="UQ191" s="541"/>
      <c r="UR191" s="541"/>
      <c r="US191" s="541"/>
      <c r="UT191" s="541"/>
      <c r="UU191" s="541"/>
      <c r="UV191" s="541"/>
      <c r="UW191" s="541"/>
      <c r="UX191" s="541"/>
      <c r="UY191" s="541"/>
      <c r="UZ191" s="541"/>
      <c r="VA191" s="541"/>
      <c r="VB191" s="541"/>
      <c r="VC191" s="541"/>
      <c r="VD191" s="541"/>
      <c r="VE191" s="541"/>
      <c r="VF191" s="541"/>
      <c r="VG191" s="541"/>
      <c r="VH191" s="541"/>
      <c r="VI191" s="541"/>
      <c r="VJ191" s="541"/>
      <c r="VK191" s="541"/>
      <c r="VL191" s="541"/>
      <c r="VM191" s="541"/>
      <c r="VN191" s="541"/>
      <c r="VO191" s="541"/>
      <c r="VP191" s="541"/>
      <c r="VQ191" s="541"/>
      <c r="VR191" s="541"/>
      <c r="VS191" s="541"/>
      <c r="VT191" s="541"/>
      <c r="VU191" s="541"/>
      <c r="VV191" s="541"/>
      <c r="VW191" s="541"/>
      <c r="VX191" s="541"/>
      <c r="VY191" s="541"/>
      <c r="VZ191" s="541"/>
      <c r="WA191" s="541"/>
      <c r="WB191" s="541"/>
      <c r="WC191" s="541"/>
      <c r="WD191" s="541"/>
      <c r="WE191" s="541"/>
      <c r="WF191" s="541"/>
      <c r="WG191" s="541"/>
      <c r="WH191" s="541"/>
      <c r="WI191" s="541"/>
      <c r="WJ191" s="541"/>
      <c r="WK191" s="541"/>
      <c r="WL191" s="541"/>
      <c r="WM191" s="541"/>
      <c r="WN191" s="541"/>
      <c r="WO191" s="541"/>
      <c r="WP191" s="541"/>
      <c r="WQ191" s="541"/>
      <c r="WR191" s="541"/>
      <c r="WS191" s="541"/>
      <c r="WT191" s="541"/>
      <c r="WU191" s="541"/>
      <c r="WV191" s="541"/>
      <c r="WW191" s="541"/>
      <c r="WX191" s="541"/>
      <c r="WY191" s="541"/>
      <c r="WZ191" s="541"/>
      <c r="XA191" s="541"/>
      <c r="XB191" s="541"/>
      <c r="XC191" s="541"/>
      <c r="XD191" s="541"/>
      <c r="XE191" s="541"/>
      <c r="XF191" s="541"/>
      <c r="XG191" s="541"/>
      <c r="XH191" s="541"/>
      <c r="XI191" s="541"/>
      <c r="XJ191" s="541"/>
      <c r="XK191" s="541"/>
      <c r="XL191" s="541"/>
      <c r="XM191" s="541"/>
      <c r="XN191" s="541"/>
      <c r="XO191" s="541"/>
      <c r="XP191" s="541"/>
      <c r="XQ191" s="541"/>
      <c r="XR191" s="541"/>
      <c r="XS191" s="541"/>
      <c r="XT191" s="541"/>
      <c r="XU191" s="541"/>
      <c r="XV191" s="541"/>
      <c r="XW191" s="541"/>
      <c r="XX191" s="541"/>
      <c r="XY191" s="541"/>
      <c r="XZ191" s="541"/>
      <c r="YA191" s="541"/>
      <c r="YB191" s="541"/>
      <c r="YC191" s="541"/>
      <c r="YD191" s="541"/>
      <c r="YE191" s="541"/>
      <c r="YF191" s="541"/>
      <c r="YG191" s="541"/>
      <c r="YH191" s="541"/>
      <c r="YI191" s="541"/>
      <c r="YJ191" s="541"/>
      <c r="YK191" s="541"/>
      <c r="YL191" s="541"/>
      <c r="YM191" s="541"/>
      <c r="YN191" s="541"/>
      <c r="YO191" s="541"/>
      <c r="YP191" s="541"/>
      <c r="YQ191" s="541"/>
      <c r="YR191" s="541"/>
      <c r="YS191" s="541"/>
      <c r="YT191" s="541"/>
      <c r="YU191" s="541"/>
      <c r="YV191" s="541"/>
      <c r="YW191" s="541"/>
      <c r="YX191" s="541"/>
      <c r="YY191" s="541"/>
      <c r="YZ191" s="541"/>
      <c r="ZA191" s="541"/>
      <c r="ZB191" s="541"/>
      <c r="ZC191" s="541"/>
      <c r="ZD191" s="541"/>
      <c r="ZE191" s="541"/>
      <c r="ZF191" s="541"/>
      <c r="ZG191" s="541"/>
      <c r="ZH191" s="541"/>
      <c r="ZI191" s="541"/>
      <c r="ZJ191" s="541"/>
      <c r="ZK191" s="541"/>
      <c r="ZL191" s="541"/>
      <c r="ZM191" s="541"/>
      <c r="ZN191" s="541"/>
      <c r="ZO191" s="541"/>
      <c r="ZP191" s="541"/>
      <c r="ZQ191" s="541"/>
      <c r="ZR191" s="541"/>
      <c r="ZS191" s="541"/>
      <c r="ZT191" s="541"/>
      <c r="ZU191" s="541"/>
      <c r="ZV191" s="541"/>
      <c r="ZW191" s="541"/>
      <c r="ZX191" s="541"/>
      <c r="ZY191" s="541"/>
      <c r="ZZ191" s="541"/>
      <c r="AAA191" s="541"/>
      <c r="AAB191" s="541"/>
      <c r="AAC191" s="541"/>
      <c r="AAD191" s="541"/>
      <c r="AAE191" s="541"/>
      <c r="AAF191" s="541"/>
      <c r="AAG191" s="541"/>
      <c r="AAH191" s="541"/>
      <c r="AAI191" s="541"/>
      <c r="AAJ191" s="541"/>
      <c r="AAK191" s="541"/>
      <c r="AAL191" s="541"/>
      <c r="AAM191" s="541"/>
      <c r="AAN191" s="541"/>
      <c r="AAO191" s="541"/>
      <c r="AAP191" s="541"/>
      <c r="AAQ191" s="541"/>
      <c r="AAR191" s="541"/>
      <c r="AAS191" s="541"/>
      <c r="AAT191" s="541"/>
      <c r="AAU191" s="541"/>
      <c r="AAV191" s="541"/>
      <c r="AAW191" s="541"/>
      <c r="AAX191" s="541"/>
      <c r="AAY191" s="541"/>
      <c r="AAZ191" s="541"/>
      <c r="ABA191" s="541"/>
      <c r="ABB191" s="541"/>
      <c r="ABC191" s="541"/>
      <c r="ABD191" s="541"/>
      <c r="ABE191" s="541"/>
      <c r="ABF191" s="541"/>
      <c r="ABG191" s="541"/>
      <c r="ABH191" s="541"/>
      <c r="ABI191" s="541"/>
      <c r="ABJ191" s="541"/>
      <c r="ABK191" s="541"/>
      <c r="ABL191" s="541"/>
      <c r="ABM191" s="541"/>
      <c r="ABN191" s="541"/>
      <c r="ABO191" s="541"/>
      <c r="ABP191" s="541"/>
      <c r="ABQ191" s="541"/>
      <c r="ABR191" s="541"/>
      <c r="ABS191" s="541"/>
      <c r="ABT191" s="541"/>
      <c r="ABU191" s="541"/>
      <c r="ABV191" s="541"/>
      <c r="ABW191" s="541"/>
      <c r="ABX191" s="541"/>
      <c r="ABY191" s="541"/>
      <c r="ABZ191" s="541"/>
      <c r="ACA191" s="541"/>
      <c r="ACB191" s="541"/>
      <c r="ACC191" s="541"/>
      <c r="ACD191" s="541"/>
      <c r="ACE191" s="541"/>
      <c r="ACF191" s="541"/>
      <c r="ACG191" s="541"/>
      <c r="ACH191" s="541"/>
      <c r="ACI191" s="541"/>
      <c r="ACJ191" s="541"/>
      <c r="ACK191" s="541"/>
      <c r="ACL191" s="541"/>
      <c r="ACM191" s="541"/>
      <c r="ACN191" s="541"/>
      <c r="ACO191" s="541"/>
      <c r="ACP191" s="541"/>
      <c r="ACQ191" s="541"/>
      <c r="ACR191" s="541"/>
      <c r="ACS191" s="541"/>
      <c r="ACT191" s="541"/>
      <c r="ACU191" s="541"/>
      <c r="ACV191" s="541"/>
      <c r="ACW191" s="541"/>
      <c r="ACX191" s="541"/>
      <c r="ACY191" s="541"/>
      <c r="ACZ191" s="541"/>
      <c r="ADA191" s="541"/>
      <c r="ADB191" s="541"/>
      <c r="ADC191" s="541"/>
      <c r="ADD191" s="541"/>
      <c r="ADE191" s="541"/>
      <c r="ADF191" s="541"/>
      <c r="ADG191" s="541"/>
      <c r="ADH191" s="541"/>
      <c r="ADI191" s="541"/>
      <c r="ADJ191" s="541"/>
      <c r="ADK191" s="541"/>
      <c r="ADL191" s="541"/>
      <c r="ADM191" s="541"/>
      <c r="ADN191" s="541"/>
      <c r="ADO191" s="541"/>
      <c r="ADP191" s="541"/>
      <c r="ADQ191" s="541"/>
      <c r="ADR191" s="541"/>
      <c r="ADS191" s="541"/>
      <c r="ADT191" s="541"/>
      <c r="ADU191" s="541"/>
      <c r="ADV191" s="541"/>
      <c r="ADW191" s="541"/>
      <c r="ADX191" s="541"/>
      <c r="ADY191" s="541"/>
      <c r="ADZ191" s="541"/>
      <c r="AEA191" s="541"/>
      <c r="AEB191" s="541"/>
      <c r="AEC191" s="541"/>
      <c r="AED191" s="541"/>
      <c r="AEE191" s="541"/>
      <c r="AEF191" s="541"/>
      <c r="AEG191" s="541"/>
      <c r="AEH191" s="541"/>
      <c r="AEI191" s="541"/>
      <c r="AEJ191" s="541"/>
      <c r="AEK191" s="541"/>
      <c r="AEL191" s="541"/>
      <c r="AEM191" s="541"/>
      <c r="AEN191" s="541"/>
      <c r="AEO191" s="541"/>
      <c r="AEP191" s="541"/>
      <c r="AEQ191" s="541"/>
      <c r="AER191" s="541"/>
      <c r="AES191" s="541"/>
      <c r="AET191" s="541"/>
      <c r="AEU191" s="541"/>
      <c r="AEV191" s="541"/>
      <c r="AEW191" s="541"/>
      <c r="AEX191" s="541"/>
      <c r="AEY191" s="541"/>
      <c r="AEZ191" s="541"/>
      <c r="AFA191" s="541"/>
      <c r="AFB191" s="541"/>
      <c r="AFC191" s="541"/>
      <c r="AFD191" s="541"/>
      <c r="AFE191" s="541"/>
      <c r="AFF191" s="541"/>
      <c r="AFG191" s="541"/>
      <c r="AFH191" s="541"/>
      <c r="AFI191" s="541"/>
      <c r="AFJ191" s="541"/>
      <c r="AFK191" s="541"/>
      <c r="AFL191" s="541"/>
      <c r="AFM191" s="541"/>
      <c r="AFN191" s="541"/>
      <c r="AFO191" s="541"/>
      <c r="AFP191" s="541"/>
      <c r="AFQ191" s="541"/>
      <c r="AFR191" s="541"/>
      <c r="AFS191" s="541"/>
      <c r="AFT191" s="541"/>
      <c r="AFU191" s="541"/>
      <c r="AFV191" s="541"/>
      <c r="AFW191" s="541"/>
      <c r="AFX191" s="541"/>
      <c r="AFY191" s="541"/>
      <c r="AFZ191" s="541"/>
      <c r="AGA191" s="541"/>
      <c r="AGB191" s="541"/>
      <c r="AGC191" s="541"/>
      <c r="AGD191" s="541"/>
      <c r="AGE191" s="541"/>
      <c r="AGF191" s="541"/>
      <c r="AGG191" s="541"/>
      <c r="AGH191" s="541"/>
      <c r="AGI191" s="541"/>
      <c r="AGJ191" s="541"/>
      <c r="AGK191" s="541"/>
      <c r="AGL191" s="541"/>
      <c r="AGM191" s="541"/>
      <c r="AGN191" s="541"/>
      <c r="AGO191" s="541"/>
      <c r="AGP191" s="541"/>
      <c r="AGQ191" s="541"/>
      <c r="AGR191" s="541"/>
      <c r="AGS191" s="541"/>
      <c r="AGT191" s="541"/>
      <c r="AGU191" s="541"/>
      <c r="AGV191" s="541"/>
      <c r="AGW191" s="541"/>
      <c r="AGX191" s="541"/>
      <c r="AGY191" s="541"/>
      <c r="AGZ191" s="541"/>
      <c r="AHA191" s="541"/>
      <c r="AHB191" s="541"/>
      <c r="AHC191" s="541"/>
      <c r="AHD191" s="541"/>
      <c r="AHE191" s="541"/>
      <c r="AHF191" s="541"/>
      <c r="AHG191" s="541"/>
      <c r="AHH191" s="541"/>
      <c r="AHI191" s="541"/>
      <c r="AHJ191" s="541"/>
      <c r="AHK191" s="541"/>
      <c r="AHL191" s="541"/>
      <c r="AHM191" s="541"/>
      <c r="AHN191" s="541"/>
      <c r="AHO191" s="541"/>
      <c r="AHP191" s="541"/>
      <c r="AHQ191" s="541"/>
      <c r="AHR191" s="541"/>
      <c r="AHS191" s="541"/>
      <c r="AHT191" s="541"/>
      <c r="AHU191" s="541"/>
      <c r="AHV191" s="541"/>
      <c r="AHW191" s="541"/>
      <c r="AHX191" s="541"/>
      <c r="AHY191" s="541"/>
      <c r="AHZ191" s="541"/>
      <c r="AIA191" s="541"/>
      <c r="AIB191" s="541"/>
      <c r="AIC191" s="541"/>
      <c r="AID191" s="541"/>
      <c r="AIE191" s="541"/>
      <c r="AIF191" s="541"/>
      <c r="AIG191" s="541"/>
      <c r="AIH191" s="541"/>
      <c r="AII191" s="541"/>
      <c r="AIJ191" s="541"/>
      <c r="AIK191" s="541"/>
      <c r="AIL191" s="541"/>
      <c r="AIM191" s="541"/>
      <c r="AIN191" s="541"/>
      <c r="AIO191" s="541"/>
      <c r="AIP191" s="541"/>
      <c r="AIQ191" s="541"/>
      <c r="AIR191" s="541"/>
      <c r="AIS191" s="541"/>
      <c r="AIT191" s="541"/>
      <c r="AIU191" s="541"/>
      <c r="AIV191" s="541"/>
      <c r="AIW191" s="541"/>
      <c r="AIX191" s="541"/>
      <c r="AIY191" s="541"/>
      <c r="AIZ191" s="541"/>
      <c r="AJA191" s="541"/>
      <c r="AJB191" s="541"/>
      <c r="AJC191" s="541"/>
      <c r="AJD191" s="541"/>
      <c r="AJE191" s="541"/>
      <c r="AJF191" s="541"/>
      <c r="AJG191" s="541"/>
      <c r="AJH191" s="541"/>
      <c r="AJI191" s="541"/>
      <c r="AJJ191" s="541"/>
      <c r="AJK191" s="541"/>
      <c r="AJL191" s="541"/>
      <c r="AJM191" s="541"/>
      <c r="AJN191" s="541"/>
      <c r="AJO191" s="541"/>
      <c r="AJP191" s="541"/>
      <c r="AJQ191" s="541"/>
      <c r="AJR191" s="541"/>
      <c r="AJS191" s="541"/>
      <c r="AJT191" s="541"/>
      <c r="AJU191" s="541"/>
      <c r="AJV191" s="541"/>
      <c r="AJW191" s="541"/>
      <c r="AJX191" s="541"/>
      <c r="AJY191" s="541"/>
      <c r="AJZ191" s="541"/>
      <c r="AKA191" s="541"/>
      <c r="AKB191" s="541"/>
      <c r="AKC191" s="541"/>
      <c r="AKD191" s="541"/>
      <c r="AKE191" s="541"/>
      <c r="AKF191" s="541"/>
      <c r="AKG191" s="541"/>
      <c r="AKH191" s="541"/>
      <c r="AKI191" s="541"/>
      <c r="AKJ191" s="541"/>
      <c r="AKK191" s="541"/>
      <c r="AKL191" s="541"/>
      <c r="AKM191" s="541"/>
      <c r="AKN191" s="541"/>
      <c r="AKO191" s="541"/>
      <c r="AKP191" s="541"/>
      <c r="AKQ191" s="541"/>
      <c r="AKR191" s="541"/>
      <c r="AKS191" s="541"/>
      <c r="AKT191" s="541"/>
      <c r="AKU191" s="541"/>
      <c r="AKV191" s="541"/>
      <c r="AKW191" s="541"/>
      <c r="AKX191" s="541"/>
      <c r="AKY191" s="541"/>
      <c r="AKZ191" s="541"/>
      <c r="ALA191" s="541"/>
      <c r="ALB191" s="541"/>
      <c r="ALC191" s="541"/>
      <c r="ALD191" s="541"/>
      <c r="ALE191" s="541"/>
      <c r="ALF191" s="541"/>
      <c r="ALG191" s="541"/>
      <c r="ALH191" s="541"/>
      <c r="ALI191" s="541"/>
      <c r="ALJ191" s="541"/>
      <c r="ALK191" s="541"/>
      <c r="ALL191" s="541"/>
      <c r="ALM191" s="541"/>
      <c r="ALN191" s="541"/>
      <c r="ALO191" s="541"/>
      <c r="ALP191" s="541"/>
      <c r="ALQ191" s="541"/>
      <c r="ALR191" s="541"/>
      <c r="ALS191" s="541"/>
      <c r="ALT191" s="541"/>
      <c r="ALU191" s="541"/>
      <c r="ALV191" s="541"/>
      <c r="ALW191" s="541"/>
      <c r="ALX191" s="541"/>
      <c r="ALY191" s="541"/>
      <c r="ALZ191" s="541"/>
      <c r="AMA191" s="541"/>
      <c r="AMB191" s="541"/>
      <c r="AMC191" s="541"/>
      <c r="AMD191" s="541"/>
      <c r="AME191" s="541"/>
      <c r="AMF191" s="541"/>
      <c r="AMG191" s="541"/>
      <c r="AMH191" s="541"/>
      <c r="AMI191" s="541"/>
      <c r="AMJ191" s="541"/>
      <c r="AMK191" s="541"/>
      <c r="AML191" s="541"/>
      <c r="AMM191" s="541"/>
      <c r="AMN191" s="541"/>
      <c r="AMO191" s="541"/>
      <c r="AMP191" s="541"/>
      <c r="AMQ191" s="541"/>
      <c r="AMR191" s="541"/>
      <c r="AMS191" s="541"/>
      <c r="AMT191" s="541"/>
      <c r="AMU191" s="541"/>
      <c r="AMV191" s="541"/>
      <c r="AMW191" s="541"/>
      <c r="AMX191" s="541"/>
      <c r="AMY191" s="541"/>
      <c r="AMZ191" s="541"/>
      <c r="ANA191" s="541"/>
      <c r="ANB191" s="541"/>
      <c r="ANC191" s="541"/>
      <c r="AND191" s="541"/>
      <c r="ANE191" s="541"/>
      <c r="ANF191" s="541"/>
      <c r="ANG191" s="541"/>
      <c r="ANH191" s="541"/>
      <c r="ANI191" s="541"/>
      <c r="ANJ191" s="541"/>
      <c r="ANK191" s="541"/>
      <c r="ANL191" s="541"/>
      <c r="ANM191" s="541"/>
      <c r="ANN191" s="541"/>
      <c r="ANO191" s="541"/>
      <c r="ANP191" s="541"/>
      <c r="ANQ191" s="541"/>
      <c r="ANR191" s="541"/>
      <c r="ANS191" s="541"/>
      <c r="ANT191" s="541"/>
      <c r="ANU191" s="541"/>
      <c r="ANV191" s="541"/>
      <c r="ANW191" s="541"/>
      <c r="ANX191" s="541"/>
      <c r="ANY191" s="541"/>
      <c r="ANZ191" s="541"/>
      <c r="AOA191" s="541"/>
      <c r="AOB191" s="541"/>
      <c r="AOC191" s="541"/>
      <c r="AOD191" s="541"/>
      <c r="AOE191" s="541"/>
      <c r="AOF191" s="541"/>
      <c r="AOG191" s="541"/>
      <c r="AOH191" s="541"/>
      <c r="AOI191" s="541"/>
      <c r="AOJ191" s="541"/>
      <c r="AOK191" s="541"/>
      <c r="AOL191" s="541"/>
      <c r="AOM191" s="541"/>
      <c r="AON191" s="541"/>
      <c r="AOO191" s="541"/>
      <c r="AOP191" s="541"/>
      <c r="AOQ191" s="541"/>
      <c r="AOR191" s="541"/>
      <c r="AOS191" s="541"/>
      <c r="AOT191" s="541"/>
      <c r="AOU191" s="541"/>
      <c r="AOV191" s="541"/>
      <c r="AOW191" s="541"/>
      <c r="AOX191" s="541"/>
      <c r="AOY191" s="541"/>
      <c r="AOZ191" s="541"/>
      <c r="APA191" s="541"/>
      <c r="APB191" s="541"/>
      <c r="APC191" s="541"/>
      <c r="APD191" s="541"/>
      <c r="APE191" s="541"/>
      <c r="APF191" s="541"/>
      <c r="APG191" s="541"/>
      <c r="APH191" s="541"/>
      <c r="API191" s="541"/>
      <c r="APJ191" s="541"/>
      <c r="APK191" s="541"/>
      <c r="APL191" s="541"/>
      <c r="APM191" s="541"/>
      <c r="APN191" s="541"/>
      <c r="APO191" s="541"/>
      <c r="APP191" s="541"/>
      <c r="APQ191" s="541"/>
      <c r="APR191" s="541"/>
      <c r="APS191" s="541"/>
      <c r="APT191" s="541"/>
      <c r="APU191" s="541"/>
      <c r="APV191" s="541"/>
      <c r="APW191" s="541"/>
      <c r="APX191" s="541"/>
      <c r="APY191" s="541"/>
      <c r="APZ191" s="541"/>
      <c r="AQA191" s="541"/>
      <c r="AQB191" s="541"/>
      <c r="AQC191" s="541"/>
      <c r="AQD191" s="541"/>
      <c r="AQE191" s="541"/>
      <c r="AQF191" s="541"/>
      <c r="AQG191" s="541"/>
      <c r="AQH191" s="541"/>
      <c r="AQI191" s="541"/>
      <c r="AQJ191" s="541"/>
      <c r="AQK191" s="541"/>
      <c r="AQL191" s="541"/>
      <c r="AQM191" s="541"/>
      <c r="AQN191" s="541"/>
      <c r="AQO191" s="541"/>
      <c r="AQP191" s="541"/>
      <c r="AQQ191" s="541"/>
      <c r="AQR191" s="541"/>
      <c r="AQS191" s="541"/>
      <c r="AQT191" s="541"/>
      <c r="AQU191" s="541"/>
      <c r="AQV191" s="541"/>
      <c r="AQW191" s="541"/>
      <c r="AQX191" s="541"/>
      <c r="AQY191" s="541"/>
      <c r="AQZ191" s="541"/>
      <c r="ARA191" s="541"/>
      <c r="ARB191" s="541"/>
      <c r="ARC191" s="541"/>
      <c r="ARD191" s="541"/>
      <c r="ARE191" s="541"/>
      <c r="ARF191" s="541"/>
      <c r="ARG191" s="541"/>
      <c r="ARH191" s="541"/>
      <c r="ARI191" s="541"/>
      <c r="ARJ191" s="541"/>
      <c r="ARK191" s="541"/>
      <c r="ARL191" s="541"/>
      <c r="ARM191" s="541"/>
      <c r="ARN191" s="541"/>
      <c r="ARO191" s="541"/>
      <c r="ARP191" s="541"/>
      <c r="ARQ191" s="541"/>
      <c r="ARR191" s="541"/>
      <c r="ARS191" s="541"/>
      <c r="ART191" s="541"/>
      <c r="ARU191" s="541"/>
    </row>
    <row r="192" spans="1:1165">
      <c r="A192" s="591"/>
      <c r="B192" s="594"/>
      <c r="C192" s="670"/>
      <c r="D192" s="670"/>
      <c r="E192" s="595"/>
      <c r="F192" s="595"/>
      <c r="G192" s="595"/>
      <c r="H192" s="595"/>
      <c r="I192" s="595"/>
      <c r="J192" s="595"/>
      <c r="K192" s="595"/>
      <c r="L192" s="595"/>
      <c r="M192" s="595"/>
      <c r="N192" s="595"/>
      <c r="O192" s="595"/>
      <c r="P192" s="595"/>
      <c r="Q192" s="595"/>
      <c r="R192" s="595"/>
      <c r="S192" s="595"/>
      <c r="T192" s="595"/>
      <c r="U192" s="586"/>
      <c r="V192" s="586"/>
      <c r="W192" s="586"/>
      <c r="X192" s="586"/>
      <c r="Y192" s="595"/>
      <c r="Z192" s="595"/>
      <c r="AA192" s="586"/>
      <c r="AB192" s="586"/>
      <c r="AC192" s="595"/>
      <c r="AD192" s="595"/>
      <c r="AE192" s="586"/>
      <c r="AF192" s="586"/>
      <c r="AG192" s="586"/>
      <c r="AH192" s="586"/>
      <c r="AI192" s="586"/>
      <c r="AJ192" s="586"/>
      <c r="AK192" s="586"/>
      <c r="AL192" s="586"/>
      <c r="AM192" s="586"/>
      <c r="AN192" s="586"/>
      <c r="AO192" s="586"/>
      <c r="AP192" s="586"/>
      <c r="AQ192" s="586"/>
      <c r="AR192" s="586"/>
      <c r="AS192" s="586"/>
      <c r="AT192" s="586"/>
      <c r="AU192" s="623"/>
      <c r="AV192" s="623"/>
      <c r="AW192" s="650"/>
      <c r="AX192" s="650"/>
      <c r="AY192" s="648"/>
      <c r="AZ192" s="648"/>
      <c r="BA192" s="686"/>
      <c r="BB192" s="650"/>
      <c r="BC192" s="650"/>
      <c r="BD192" s="650"/>
      <c r="BE192" s="650"/>
      <c r="BF192" s="650"/>
      <c r="BG192" s="650"/>
      <c r="BH192" s="650"/>
      <c r="BI192" s="686"/>
      <c r="BJ192" s="650"/>
      <c r="BK192" s="650"/>
      <c r="BL192" s="541"/>
      <c r="BM192" s="624"/>
      <c r="BN192" s="624"/>
      <c r="BO192" s="624"/>
      <c r="BS192" s="42"/>
    </row>
    <row r="193" spans="1:1165">
      <c r="A193" s="591" t="s">
        <v>314</v>
      </c>
      <c r="B193" s="430"/>
      <c r="C193" s="684"/>
      <c r="D193" s="684"/>
      <c r="E193" s="608"/>
      <c r="F193" s="608"/>
      <c r="G193" s="608"/>
      <c r="H193" s="608"/>
      <c r="I193" s="608"/>
      <c r="J193" s="608"/>
      <c r="K193" s="608"/>
      <c r="L193" s="608"/>
      <c r="M193" s="608"/>
      <c r="N193" s="608"/>
      <c r="O193" s="608"/>
      <c r="P193" s="608"/>
      <c r="Q193" s="608"/>
      <c r="R193" s="608"/>
      <c r="S193" s="608"/>
      <c r="T193" s="608"/>
      <c r="U193" s="672"/>
      <c r="V193" s="672"/>
      <c r="W193" s="586"/>
      <c r="X193" s="586"/>
      <c r="Y193" s="595"/>
      <c r="Z193" s="595"/>
      <c r="AA193" s="586"/>
      <c r="AB193" s="586"/>
      <c r="AC193" s="595"/>
      <c r="AD193" s="595"/>
      <c r="AE193" s="586"/>
      <c r="AF193" s="586"/>
      <c r="AG193" s="586"/>
      <c r="AH193" s="586"/>
      <c r="AI193" s="586"/>
      <c r="AJ193" s="586"/>
      <c r="AK193" s="586"/>
      <c r="AL193" s="586"/>
      <c r="AM193" s="586"/>
      <c r="AN193" s="586"/>
      <c r="AO193" s="586"/>
      <c r="AP193" s="586"/>
      <c r="AQ193" s="586"/>
      <c r="AR193" s="586"/>
      <c r="AS193" s="586"/>
      <c r="AT193" s="586"/>
      <c r="AU193" s="586"/>
      <c r="AV193" s="586"/>
      <c r="AW193" s="650"/>
      <c r="AX193" s="650"/>
      <c r="AY193" s="648"/>
      <c r="AZ193" s="648"/>
      <c r="BA193" s="686"/>
      <c r="BB193" s="650"/>
      <c r="BC193" s="650"/>
      <c r="BD193" s="650"/>
      <c r="BE193" s="650"/>
      <c r="BF193" s="650"/>
      <c r="BG193" s="650"/>
      <c r="BH193" s="650"/>
      <c r="BI193" s="686"/>
      <c r="BJ193" s="650"/>
      <c r="BK193" s="650"/>
      <c r="BL193" s="541"/>
      <c r="BM193" s="624"/>
      <c r="BN193" s="624"/>
      <c r="BO193" s="624"/>
    </row>
    <row r="194" spans="1:1165">
      <c r="A194" s="593" t="s">
        <v>315</v>
      </c>
      <c r="B194" s="594" t="s">
        <v>110</v>
      </c>
      <c r="C194" s="670">
        <v>2077498</v>
      </c>
      <c r="D194" s="670">
        <v>1708076</v>
      </c>
      <c r="E194" s="595">
        <v>129367</v>
      </c>
      <c r="F194" s="595">
        <v>39283</v>
      </c>
      <c r="G194" s="595">
        <v>113239</v>
      </c>
      <c r="H194" s="595">
        <v>56343</v>
      </c>
      <c r="I194" s="608">
        <v>122905</v>
      </c>
      <c r="J194" s="608">
        <v>115768</v>
      </c>
      <c r="K194" s="595">
        <v>0</v>
      </c>
      <c r="L194" s="595">
        <v>0</v>
      </c>
      <c r="M194" s="595">
        <v>0</v>
      </c>
      <c r="N194" s="595">
        <v>0</v>
      </c>
      <c r="O194" s="595">
        <v>0</v>
      </c>
      <c r="P194" s="595">
        <v>0</v>
      </c>
      <c r="Q194" s="595">
        <v>0</v>
      </c>
      <c r="R194" s="595">
        <v>0</v>
      </c>
      <c r="S194" s="595">
        <v>0</v>
      </c>
      <c r="T194" s="595">
        <v>0</v>
      </c>
      <c r="U194" s="595">
        <v>0</v>
      </c>
      <c r="V194" s="595">
        <v>0</v>
      </c>
      <c r="W194" s="595">
        <v>0</v>
      </c>
      <c r="X194" s="595">
        <v>0</v>
      </c>
      <c r="Y194" s="595">
        <v>0</v>
      </c>
      <c r="Z194" s="595">
        <v>0</v>
      </c>
      <c r="AA194" s="595">
        <v>0</v>
      </c>
      <c r="AB194" s="595">
        <v>0</v>
      </c>
      <c r="AC194" s="595">
        <v>0</v>
      </c>
      <c r="AD194" s="595">
        <v>0</v>
      </c>
      <c r="AE194" s="595">
        <v>0</v>
      </c>
      <c r="AF194" s="595">
        <v>0</v>
      </c>
      <c r="AG194" s="595">
        <v>0</v>
      </c>
      <c r="AH194" s="595">
        <v>0</v>
      </c>
      <c r="AI194" s="595">
        <v>0</v>
      </c>
      <c r="AJ194" s="595">
        <v>0</v>
      </c>
      <c r="AK194" s="595">
        <v>0</v>
      </c>
      <c r="AL194" s="595">
        <v>0</v>
      </c>
      <c r="AM194" s="595">
        <v>0</v>
      </c>
      <c r="AN194" s="595">
        <v>0</v>
      </c>
      <c r="AO194" s="595">
        <v>0</v>
      </c>
      <c r="AP194" s="595">
        <v>0</v>
      </c>
      <c r="AQ194" s="595">
        <v>0</v>
      </c>
      <c r="AR194" s="595">
        <v>0</v>
      </c>
      <c r="AS194" s="595">
        <v>0</v>
      </c>
      <c r="AT194" s="595">
        <v>0</v>
      </c>
      <c r="AU194" s="595">
        <v>0</v>
      </c>
      <c r="AV194" s="595">
        <v>0</v>
      </c>
      <c r="AW194" s="608">
        <v>0</v>
      </c>
      <c r="AX194" s="608">
        <v>0</v>
      </c>
      <c r="AY194" s="595">
        <v>0</v>
      </c>
      <c r="AZ194" s="595">
        <v>0</v>
      </c>
      <c r="BA194" s="586"/>
      <c r="BB194" s="595"/>
      <c r="BC194" s="595"/>
      <c r="BD194" s="595"/>
      <c r="BE194" s="595"/>
      <c r="BF194" s="595"/>
      <c r="BG194" s="595"/>
      <c r="BH194" s="595"/>
      <c r="BI194" s="586"/>
      <c r="BJ194" s="595">
        <f t="shared" ref="BJ194:BJ196" si="29">C194+G194+I194+K194+M194+O194+Q194+S194+U194+W194+Y194+AA194+AC194+AE194+AG194+AI194+AK194+AM194+AO194+AQ194+AS194+AU194+AW194+AY194+BB194+BF194</f>
        <v>2313642</v>
      </c>
      <c r="BK194" s="595">
        <f>D194+H194+J194+L194+N194+P194+R194+T194+V194+X194+Z194+AB194+AD194+AF194+AH194+AJ194+AL194+AN194+AP194+AR194+AT194+AV194+AX194+AZ194+BD194+BH194</f>
        <v>1880187</v>
      </c>
      <c r="BL194" s="541"/>
      <c r="BM194" s="624"/>
      <c r="BN194" s="624"/>
      <c r="BO194" s="624"/>
    </row>
    <row r="195" spans="1:1165">
      <c r="A195" s="593" t="s">
        <v>494</v>
      </c>
      <c r="B195" s="594" t="s">
        <v>110</v>
      </c>
      <c r="C195" s="595">
        <v>0</v>
      </c>
      <c r="D195" s="595">
        <v>0</v>
      </c>
      <c r="E195" s="595">
        <v>0</v>
      </c>
      <c r="F195" s="595">
        <v>0</v>
      </c>
      <c r="G195" s="595">
        <v>0</v>
      </c>
      <c r="H195" s="595">
        <v>0</v>
      </c>
      <c r="I195" s="595">
        <v>0</v>
      </c>
      <c r="J195" s="595">
        <v>0</v>
      </c>
      <c r="K195" s="595">
        <v>0</v>
      </c>
      <c r="L195" s="595">
        <v>0</v>
      </c>
      <c r="M195" s="595">
        <v>0</v>
      </c>
      <c r="N195" s="595">
        <v>0</v>
      </c>
      <c r="O195" s="608">
        <v>0</v>
      </c>
      <c r="P195" s="608">
        <v>0</v>
      </c>
      <c r="Q195" s="608">
        <v>0</v>
      </c>
      <c r="R195" s="608">
        <v>0</v>
      </c>
      <c r="S195" s="608">
        <v>0</v>
      </c>
      <c r="T195" s="608">
        <v>0</v>
      </c>
      <c r="U195" s="608">
        <v>0</v>
      </c>
      <c r="V195" s="608">
        <v>0</v>
      </c>
      <c r="W195" s="608">
        <v>6197</v>
      </c>
      <c r="X195" s="608">
        <v>61967</v>
      </c>
      <c r="Y195" s="595">
        <v>69021</v>
      </c>
      <c r="Z195" s="595">
        <v>703953</v>
      </c>
      <c r="AA195" s="623">
        <v>76612</v>
      </c>
      <c r="AB195" s="623">
        <v>782017</v>
      </c>
      <c r="AC195" s="595">
        <v>66253</v>
      </c>
      <c r="AD195" s="595">
        <v>697757</v>
      </c>
      <c r="AE195" s="586">
        <v>67732</v>
      </c>
      <c r="AF195" s="623">
        <v>687362</v>
      </c>
      <c r="AG195" s="586">
        <v>78552</v>
      </c>
      <c r="AH195" s="586">
        <v>785526</v>
      </c>
      <c r="AI195" s="586">
        <v>84696</v>
      </c>
      <c r="AJ195" s="586">
        <v>846971</v>
      </c>
      <c r="AK195" s="673">
        <v>79048</v>
      </c>
      <c r="AL195" s="673">
        <v>790479</v>
      </c>
      <c r="AM195" s="676">
        <v>84582</v>
      </c>
      <c r="AN195" s="676">
        <v>845819</v>
      </c>
      <c r="AO195" s="586">
        <v>91821</v>
      </c>
      <c r="AP195" s="586">
        <v>918215</v>
      </c>
      <c r="AQ195" s="586">
        <v>92739</v>
      </c>
      <c r="AR195" s="586">
        <v>927387</v>
      </c>
      <c r="AS195" s="586">
        <v>92148.99</v>
      </c>
      <c r="AT195" s="586">
        <v>921493</v>
      </c>
      <c r="AU195" s="623">
        <v>98162</v>
      </c>
      <c r="AV195" s="623">
        <v>981620</v>
      </c>
      <c r="AW195" s="623">
        <v>99232</v>
      </c>
      <c r="AX195" s="623">
        <v>992320</v>
      </c>
      <c r="AY195" s="595">
        <v>96431</v>
      </c>
      <c r="AZ195" s="595">
        <v>964298</v>
      </c>
      <c r="BA195" s="686"/>
      <c r="BB195" s="595"/>
      <c r="BC195" s="595"/>
      <c r="BD195" s="595"/>
      <c r="BE195" s="595"/>
      <c r="BF195" s="624"/>
      <c r="BG195" s="624"/>
      <c r="BH195" s="624"/>
      <c r="BI195" s="686"/>
      <c r="BJ195" s="595">
        <f t="shared" si="29"/>
        <v>1183226.99</v>
      </c>
      <c r="BK195" s="595">
        <f>D195+H195+J195+L195+N195+P195+R195+T195+V195+X195+Z195+AB195+AD195+AF195+AH195+AJ195+AL195+AN195+AP195+AR195+AT195+AV195+AX195+AZ195+BD195+BH195</f>
        <v>11907184</v>
      </c>
      <c r="BL195" s="541"/>
      <c r="BM195" s="624"/>
      <c r="BN195" s="624"/>
      <c r="BO195" s="624"/>
    </row>
    <row r="196" spans="1:1165">
      <c r="A196" s="593" t="s">
        <v>495</v>
      </c>
      <c r="B196" s="594" t="s">
        <v>110</v>
      </c>
      <c r="C196" s="595">
        <v>0</v>
      </c>
      <c r="D196" s="595">
        <v>0</v>
      </c>
      <c r="E196" s="595">
        <v>0</v>
      </c>
      <c r="F196" s="595">
        <v>0</v>
      </c>
      <c r="G196" s="595">
        <v>0</v>
      </c>
      <c r="H196" s="595">
        <v>0</v>
      </c>
      <c r="I196" s="595">
        <v>0</v>
      </c>
      <c r="J196" s="595">
        <v>0</v>
      </c>
      <c r="K196" s="595">
        <v>292003</v>
      </c>
      <c r="L196" s="595">
        <v>458499</v>
      </c>
      <c r="M196" s="595">
        <v>352577</v>
      </c>
      <c r="N196" s="595">
        <v>2251827</v>
      </c>
      <c r="O196" s="595">
        <v>373117</v>
      </c>
      <c r="P196" s="595">
        <v>791067</v>
      </c>
      <c r="Q196" s="595">
        <v>390381</v>
      </c>
      <c r="R196" s="595">
        <v>2308525</v>
      </c>
      <c r="S196" s="595">
        <v>386048</v>
      </c>
      <c r="T196" s="595">
        <v>2653305</v>
      </c>
      <c r="U196" s="608">
        <v>348947</v>
      </c>
      <c r="V196" s="608">
        <v>2682888</v>
      </c>
      <c r="W196" s="608">
        <v>433749</v>
      </c>
      <c r="X196" s="608">
        <v>3632098</v>
      </c>
      <c r="Y196" s="595">
        <v>622557</v>
      </c>
      <c r="Z196" s="595">
        <v>4889760</v>
      </c>
      <c r="AA196" s="623">
        <v>669384</v>
      </c>
      <c r="AB196" s="623">
        <v>6390188</v>
      </c>
      <c r="AC196" s="595">
        <v>519642</v>
      </c>
      <c r="AD196" s="595">
        <v>4973830</v>
      </c>
      <c r="AE196" s="586">
        <v>459797</v>
      </c>
      <c r="AF196" s="623">
        <v>4309802</v>
      </c>
      <c r="AG196" s="586">
        <v>558699</v>
      </c>
      <c r="AH196" s="586">
        <v>4979497</v>
      </c>
      <c r="AI196" s="586">
        <v>525935</v>
      </c>
      <c r="AJ196" s="586">
        <v>4761899</v>
      </c>
      <c r="AK196" s="673">
        <v>642064</v>
      </c>
      <c r="AL196" s="673">
        <v>6251040</v>
      </c>
      <c r="AM196" s="676">
        <v>720155</v>
      </c>
      <c r="AN196" s="676">
        <v>7199961</v>
      </c>
      <c r="AO196" s="586">
        <v>654451</v>
      </c>
      <c r="AP196" s="586">
        <v>6262395</v>
      </c>
      <c r="AQ196" s="586">
        <v>475927.52</v>
      </c>
      <c r="AR196" s="586">
        <v>5716921</v>
      </c>
      <c r="AS196" s="586">
        <v>491046.34</v>
      </c>
      <c r="AT196" s="586">
        <v>6156146</v>
      </c>
      <c r="AU196" s="623">
        <v>509761</v>
      </c>
      <c r="AV196" s="623">
        <v>6403228</v>
      </c>
      <c r="AW196" s="623">
        <v>576223</v>
      </c>
      <c r="AX196" s="623">
        <v>5904603</v>
      </c>
      <c r="AY196" s="595">
        <v>617752</v>
      </c>
      <c r="AZ196" s="595">
        <v>6791890</v>
      </c>
      <c r="BA196" s="595"/>
      <c r="BB196" s="595"/>
      <c r="BC196" s="595"/>
      <c r="BD196" s="595"/>
      <c r="BE196" s="595"/>
      <c r="BF196" s="624"/>
      <c r="BG196" s="622"/>
      <c r="BH196" s="624"/>
      <c r="BI196" s="622"/>
      <c r="BJ196" s="595">
        <f t="shared" si="29"/>
        <v>10620215.859999999</v>
      </c>
      <c r="BK196" s="595">
        <f>D196+H196+J196+L196+N196+P196+R196+T196+V196+X196+Z196+AB196+AD196+AF196+AH196+AJ196+AL196+AN196+AP196+AR196+AT196+AV196+AX196+AZ196+BD196+BH196</f>
        <v>95769369</v>
      </c>
      <c r="BL196" s="541"/>
      <c r="BM196" s="624"/>
      <c r="BN196" s="624"/>
      <c r="BO196" s="624"/>
    </row>
    <row r="197" spans="1:1165">
      <c r="A197" s="596" t="s">
        <v>316</v>
      </c>
      <c r="B197" s="430"/>
      <c r="C197" s="608"/>
      <c r="D197" s="608">
        <f>SUM(D194:D196)</f>
        <v>1708076</v>
      </c>
      <c r="E197" s="608"/>
      <c r="F197" s="608">
        <f>SUM(F194:F196)</f>
        <v>39283</v>
      </c>
      <c r="G197" s="608"/>
      <c r="H197" s="608">
        <f>SUM(H194:H196)</f>
        <v>56343</v>
      </c>
      <c r="I197" s="608"/>
      <c r="J197" s="608">
        <f>SUM(J194:J196)</f>
        <v>115768</v>
      </c>
      <c r="K197" s="608"/>
      <c r="L197" s="608">
        <f>SUM(L195:L196)</f>
        <v>458499</v>
      </c>
      <c r="M197" s="608"/>
      <c r="N197" s="608">
        <f>SUM(N195:N196)</f>
        <v>2251827</v>
      </c>
      <c r="O197" s="608"/>
      <c r="P197" s="608">
        <f>SUM(P195:P196)</f>
        <v>791067</v>
      </c>
      <c r="Q197" s="608"/>
      <c r="R197" s="608">
        <f>SUM(R195:R196)</f>
        <v>2308525</v>
      </c>
      <c r="S197" s="608"/>
      <c r="T197" s="586">
        <f>SUM(T195:T196)</f>
        <v>2653305</v>
      </c>
      <c r="U197" s="586"/>
      <c r="V197" s="586">
        <f>SUM(V195:V196)</f>
        <v>2682888</v>
      </c>
      <c r="W197" s="586"/>
      <c r="X197" s="608">
        <f>SUM(X194:X196)</f>
        <v>3694065</v>
      </c>
      <c r="Y197" s="595"/>
      <c r="Z197" s="595">
        <f>SUM(Z194:Z196)</f>
        <v>5593713</v>
      </c>
      <c r="AA197" s="586"/>
      <c r="AB197" s="623">
        <f>SUM(AB195:AB196)</f>
        <v>7172205</v>
      </c>
      <c r="AC197" s="608"/>
      <c r="AD197" s="608">
        <f>SUM(AD194:AD196)</f>
        <v>5671587</v>
      </c>
      <c r="AE197" s="623"/>
      <c r="AF197" s="623">
        <f>SUM(AF194:AF196)</f>
        <v>4997164</v>
      </c>
      <c r="AG197" s="586"/>
      <c r="AH197" s="586">
        <f>SUM(AH194:AH196)</f>
        <v>5765023</v>
      </c>
      <c r="AI197" s="586"/>
      <c r="AJ197" s="586">
        <f>SUM(AJ194:AJ196)</f>
        <v>5608870</v>
      </c>
      <c r="AK197" s="673"/>
      <c r="AL197" s="673">
        <v>7041519</v>
      </c>
      <c r="AM197" s="676"/>
      <c r="AN197" s="676">
        <v>8045780</v>
      </c>
      <c r="AO197" s="586"/>
      <c r="AP197" s="586">
        <v>7180610</v>
      </c>
      <c r="AQ197" s="586"/>
      <c r="AR197" s="586">
        <v>6644308</v>
      </c>
      <c r="AS197" s="586"/>
      <c r="AT197" s="586">
        <f>SUM(AT194:AT196)</f>
        <v>7077639</v>
      </c>
      <c r="AU197" s="586"/>
      <c r="AV197" s="623">
        <f>SUM(AV194:AV196)</f>
        <v>7384848</v>
      </c>
      <c r="AW197" s="623"/>
      <c r="AX197" s="623">
        <f>SUM(AX194:AX196)</f>
        <v>6896923</v>
      </c>
      <c r="AY197" s="595"/>
      <c r="AZ197" s="595">
        <f>SUM(AZ194:AZ196)</f>
        <v>7756188</v>
      </c>
      <c r="BA197" s="677"/>
      <c r="BB197" s="595"/>
      <c r="BC197" s="595"/>
      <c r="BD197" s="595"/>
      <c r="BE197" s="595"/>
      <c r="BF197" s="624"/>
      <c r="BG197" s="624"/>
      <c r="BH197" s="624"/>
      <c r="BI197" s="622"/>
      <c r="BJ197" s="595"/>
      <c r="BK197" s="595">
        <f>D197+H197+J197+L197+N197+P197+R197+T197+V197+X197+Z197+AB197+AD197+AF197+AH197+AJ197+AL197+AN197+AP197+AR197+AT197+AV197+AX197+AZ197+BD197+BH197</f>
        <v>109556740</v>
      </c>
      <c r="BL197" s="541"/>
      <c r="BN197" s="624"/>
    </row>
    <row r="198" spans="1:1165">
      <c r="A198" s="599"/>
      <c r="B198" s="430"/>
      <c r="C198" s="684"/>
      <c r="D198" s="684"/>
      <c r="E198" s="608"/>
      <c r="F198" s="608"/>
      <c r="G198" s="608"/>
      <c r="H198" s="608"/>
      <c r="I198" s="608"/>
      <c r="J198" s="608"/>
      <c r="K198" s="608"/>
      <c r="L198" s="608"/>
      <c r="M198" s="608"/>
      <c r="N198" s="608"/>
      <c r="O198" s="608"/>
      <c r="P198" s="608"/>
      <c r="Q198" s="608"/>
      <c r="R198" s="608"/>
      <c r="S198" s="608"/>
      <c r="T198" s="608"/>
      <c r="U198" s="672"/>
      <c r="V198" s="672"/>
      <c r="W198" s="586"/>
      <c r="X198" s="608"/>
      <c r="Y198" s="608"/>
      <c r="Z198" s="608"/>
      <c r="AA198" s="586"/>
      <c r="AB198" s="623"/>
      <c r="AC198" s="608"/>
      <c r="AD198" s="608"/>
      <c r="AE198" s="623"/>
      <c r="AF198" s="623"/>
      <c r="AG198" s="586"/>
      <c r="AH198" s="586"/>
      <c r="AI198" s="586"/>
      <c r="AJ198" s="586"/>
      <c r="AK198" s="586"/>
      <c r="AL198" s="586"/>
      <c r="AM198" s="586"/>
      <c r="AN198" s="586"/>
      <c r="AO198" s="586"/>
      <c r="AP198" s="586"/>
      <c r="AQ198" s="586"/>
      <c r="AR198" s="586"/>
      <c r="AS198" s="586"/>
      <c r="AT198" s="586"/>
      <c r="AU198" s="586"/>
      <c r="AV198" s="623"/>
      <c r="AW198" s="650"/>
      <c r="AX198" s="650"/>
      <c r="AY198" s="648"/>
      <c r="AZ198" s="648"/>
      <c r="BA198" s="686"/>
      <c r="BB198" s="595"/>
      <c r="BC198" s="595"/>
      <c r="BD198" s="595"/>
      <c r="BE198" s="595"/>
      <c r="BF198" s="595"/>
      <c r="BG198" s="595"/>
      <c r="BH198" s="595"/>
      <c r="BI198" s="686"/>
      <c r="BJ198" s="595"/>
      <c r="BK198" s="595"/>
      <c r="BL198" s="541"/>
      <c r="BN198" s="624"/>
      <c r="BO198" s="624"/>
    </row>
    <row r="199" spans="1:1165" s="658" customFormat="1">
      <c r="A199" s="577" t="s">
        <v>317</v>
      </c>
      <c r="B199" s="578" t="s">
        <v>196</v>
      </c>
      <c r="C199" s="659">
        <v>433365</v>
      </c>
      <c r="D199" s="659">
        <v>10842404</v>
      </c>
      <c r="E199" s="581">
        <v>2050</v>
      </c>
      <c r="F199" s="581">
        <v>895251</v>
      </c>
      <c r="G199" s="581">
        <v>10627</v>
      </c>
      <c r="H199" s="581">
        <v>3082411</v>
      </c>
      <c r="I199" s="581">
        <v>50307</v>
      </c>
      <c r="J199" s="581">
        <v>10832182</v>
      </c>
      <c r="K199" s="581">
        <v>25596</v>
      </c>
      <c r="L199" s="581">
        <f>9719086+1229362+128779</f>
        <v>11077227</v>
      </c>
      <c r="M199" s="581">
        <v>38433</v>
      </c>
      <c r="N199" s="581">
        <v>11505377</v>
      </c>
      <c r="O199" s="581">
        <v>33610</v>
      </c>
      <c r="P199" s="581">
        <v>8781651</v>
      </c>
      <c r="Q199" s="581">
        <v>24883</v>
      </c>
      <c r="R199" s="581">
        <v>5863597</v>
      </c>
      <c r="S199" s="581">
        <v>11353</v>
      </c>
      <c r="T199" s="581">
        <v>2282605</v>
      </c>
      <c r="U199" s="598">
        <v>20562</v>
      </c>
      <c r="V199" s="598">
        <v>3395589</v>
      </c>
      <c r="W199" s="598">
        <v>41377</v>
      </c>
      <c r="X199" s="598">
        <v>6058576</v>
      </c>
      <c r="Y199" s="598">
        <v>34216</v>
      </c>
      <c r="Z199" s="598">
        <v>5621348</v>
      </c>
      <c r="AA199" s="619">
        <v>39306</v>
      </c>
      <c r="AB199" s="619">
        <v>5956148</v>
      </c>
      <c r="AC199" s="598">
        <v>65929</v>
      </c>
      <c r="AD199" s="598">
        <v>10224887</v>
      </c>
      <c r="AE199" s="579">
        <v>78384</v>
      </c>
      <c r="AF199" s="579">
        <v>14966683</v>
      </c>
      <c r="AG199" s="579">
        <v>58799</v>
      </c>
      <c r="AH199" s="579">
        <v>12447668</v>
      </c>
      <c r="AI199" s="579">
        <v>53430</v>
      </c>
      <c r="AJ199" s="579">
        <v>11710132</v>
      </c>
      <c r="AK199" s="661">
        <v>47816.605000000003</v>
      </c>
      <c r="AL199" s="661">
        <v>8892075.1063857302</v>
      </c>
      <c r="AM199" s="662">
        <v>51252.346264852677</v>
      </c>
      <c r="AN199" s="662">
        <v>9546961.7937958632</v>
      </c>
      <c r="AO199" s="579">
        <v>52858</v>
      </c>
      <c r="AP199" s="579">
        <v>12932735</v>
      </c>
      <c r="AQ199" s="579">
        <v>81852.687015316362</v>
      </c>
      <c r="AR199" s="579">
        <v>18771360.203317329</v>
      </c>
      <c r="AS199" s="579">
        <v>157638.61775363513</v>
      </c>
      <c r="AT199" s="579">
        <v>37362914.579999998</v>
      </c>
      <c r="AU199" s="619">
        <v>122780</v>
      </c>
      <c r="AV199" s="619">
        <v>30716237</v>
      </c>
      <c r="AW199" s="581">
        <v>98895.679884684447</v>
      </c>
      <c r="AX199" s="581">
        <v>24917841</v>
      </c>
      <c r="AY199" s="581">
        <v>68576</v>
      </c>
      <c r="AZ199" s="581">
        <v>16320099</v>
      </c>
      <c r="BA199" s="664"/>
      <c r="BB199" s="581"/>
      <c r="BC199" s="664"/>
      <c r="BD199" s="581"/>
      <c r="BE199" s="664"/>
      <c r="BF199" s="581"/>
      <c r="BG199" s="664"/>
      <c r="BH199" s="581"/>
      <c r="BI199" s="664"/>
      <c r="BJ199" s="667">
        <f>C199+G199+I199+K199+M199+O199+Q199+S199+U199+W199+Y199+AA199+AC199+AE199+AG199+AI199+AK199+AM199+AO199+AQ199+AS199+AU199+AW199+AY199+BB199+BF199</f>
        <v>1701846.9359184888</v>
      </c>
      <c r="BK199" s="651">
        <f>D199+H199+J199+L199+N199+P199+R199+T199+V199+X199+Z199+AB199+AD199+AF199+AH199+AJ199+AL199+AN199+AP199+AR199+AT199+AV199+AX199+AZ199+BD199+BH199</f>
        <v>294108708.68349892</v>
      </c>
      <c r="BL199" s="541"/>
      <c r="BM199" s="541"/>
      <c r="BN199" s="624"/>
      <c r="BO199" s="541"/>
      <c r="BP199" s="541"/>
      <c r="BQ199" s="541"/>
      <c r="BR199" s="541"/>
      <c r="BS199" s="541"/>
      <c r="BT199" s="541"/>
      <c r="BU199" s="541"/>
      <c r="BV199" s="541"/>
      <c r="BW199" s="541"/>
      <c r="BX199" s="541"/>
      <c r="BY199" s="541"/>
      <c r="BZ199" s="541"/>
      <c r="CA199" s="541"/>
      <c r="CB199" s="541"/>
      <c r="CC199" s="541"/>
      <c r="CD199" s="541"/>
      <c r="CE199" s="541"/>
      <c r="CF199" s="541"/>
      <c r="CG199" s="541"/>
      <c r="CH199" s="541"/>
      <c r="CI199" s="541"/>
      <c r="CJ199" s="541"/>
      <c r="CK199" s="541"/>
      <c r="CL199" s="541"/>
      <c r="CM199" s="541"/>
      <c r="CN199" s="541"/>
      <c r="CO199" s="541"/>
      <c r="CP199" s="541"/>
      <c r="CQ199" s="541"/>
      <c r="CR199" s="541"/>
      <c r="CS199" s="541"/>
      <c r="CT199" s="541"/>
      <c r="CU199" s="541"/>
      <c r="CV199" s="541"/>
      <c r="CW199" s="541"/>
      <c r="CX199" s="541"/>
      <c r="CY199" s="541"/>
      <c r="CZ199" s="541"/>
      <c r="DA199" s="541"/>
      <c r="DB199" s="541"/>
      <c r="DC199" s="541"/>
      <c r="DD199" s="541"/>
      <c r="DE199" s="541"/>
      <c r="DF199" s="541"/>
      <c r="DG199" s="541"/>
      <c r="DH199" s="541"/>
      <c r="DI199" s="541"/>
      <c r="DJ199" s="541"/>
      <c r="DK199" s="541"/>
      <c r="DL199" s="541"/>
      <c r="DM199" s="541"/>
      <c r="DN199" s="541"/>
      <c r="DO199" s="541"/>
      <c r="DP199" s="541"/>
      <c r="DQ199" s="541"/>
      <c r="DR199" s="541"/>
      <c r="DS199" s="541"/>
      <c r="DT199" s="541"/>
      <c r="DU199" s="541"/>
      <c r="DV199" s="541"/>
      <c r="DW199" s="541"/>
      <c r="DX199" s="541"/>
      <c r="DY199" s="541"/>
      <c r="DZ199" s="541"/>
      <c r="EA199" s="541"/>
      <c r="EB199" s="541"/>
      <c r="EC199" s="541"/>
      <c r="ED199" s="541"/>
      <c r="EE199" s="541"/>
      <c r="EF199" s="541"/>
      <c r="EG199" s="541"/>
      <c r="EH199" s="541"/>
      <c r="EI199" s="541"/>
      <c r="EJ199" s="541"/>
      <c r="EK199" s="541"/>
      <c r="EL199" s="541"/>
      <c r="EM199" s="541"/>
      <c r="EN199" s="541"/>
      <c r="EO199" s="541"/>
      <c r="EP199" s="541"/>
      <c r="EQ199" s="541"/>
      <c r="ER199" s="541"/>
      <c r="ES199" s="541"/>
      <c r="ET199" s="541"/>
      <c r="EU199" s="541"/>
      <c r="EV199" s="541"/>
      <c r="EW199" s="541"/>
      <c r="EX199" s="541"/>
      <c r="EY199" s="541"/>
      <c r="EZ199" s="541"/>
      <c r="FA199" s="541"/>
      <c r="FB199" s="541"/>
      <c r="FC199" s="541"/>
      <c r="FD199" s="541"/>
      <c r="FE199" s="541"/>
      <c r="FF199" s="541"/>
      <c r="FG199" s="541"/>
      <c r="FH199" s="541"/>
      <c r="FI199" s="541"/>
      <c r="FJ199" s="541"/>
      <c r="FK199" s="541"/>
      <c r="FL199" s="541"/>
      <c r="FM199" s="541"/>
      <c r="FN199" s="541"/>
      <c r="FO199" s="541"/>
      <c r="FP199" s="541"/>
      <c r="FQ199" s="541"/>
      <c r="FR199" s="541"/>
      <c r="FS199" s="541"/>
      <c r="FT199" s="541"/>
      <c r="FU199" s="541"/>
      <c r="FV199" s="541"/>
      <c r="FW199" s="541"/>
      <c r="FX199" s="541"/>
      <c r="FY199" s="541"/>
      <c r="FZ199" s="541"/>
      <c r="GA199" s="541"/>
      <c r="GB199" s="541"/>
      <c r="GC199" s="541"/>
      <c r="GD199" s="541"/>
      <c r="GE199" s="541"/>
      <c r="GF199" s="541"/>
      <c r="GG199" s="541"/>
      <c r="GH199" s="541"/>
      <c r="GI199" s="541"/>
      <c r="GJ199" s="541"/>
      <c r="GK199" s="541"/>
      <c r="GL199" s="541"/>
      <c r="GM199" s="541"/>
      <c r="GN199" s="541"/>
      <c r="GO199" s="541"/>
      <c r="GP199" s="541"/>
      <c r="GQ199" s="541"/>
      <c r="GR199" s="541"/>
      <c r="GS199" s="541"/>
      <c r="GT199" s="541"/>
      <c r="GU199" s="541"/>
      <c r="GV199" s="541"/>
      <c r="GW199" s="541"/>
      <c r="GX199" s="541"/>
      <c r="GY199" s="541"/>
      <c r="GZ199" s="541"/>
      <c r="HA199" s="541"/>
      <c r="HB199" s="541"/>
      <c r="HC199" s="541"/>
      <c r="HD199" s="541"/>
      <c r="HE199" s="541"/>
      <c r="HF199" s="541"/>
      <c r="HG199" s="541"/>
      <c r="HH199" s="541"/>
      <c r="HI199" s="541"/>
      <c r="HJ199" s="541"/>
      <c r="HK199" s="541"/>
      <c r="HL199" s="541"/>
      <c r="HM199" s="541"/>
      <c r="HN199" s="541"/>
      <c r="HO199" s="541"/>
      <c r="HP199" s="541"/>
      <c r="HQ199" s="541"/>
      <c r="HR199" s="541"/>
      <c r="HS199" s="541"/>
      <c r="HT199" s="541"/>
      <c r="HU199" s="541"/>
      <c r="HV199" s="541"/>
      <c r="HW199" s="541"/>
      <c r="HX199" s="541"/>
      <c r="HY199" s="541"/>
      <c r="HZ199" s="541"/>
      <c r="IA199" s="541"/>
      <c r="IB199" s="541"/>
      <c r="IC199" s="541"/>
      <c r="ID199" s="541"/>
      <c r="IE199" s="541"/>
      <c r="IF199" s="541"/>
      <c r="IG199" s="541"/>
      <c r="IH199" s="541"/>
      <c r="II199" s="541"/>
      <c r="IJ199" s="541"/>
      <c r="IK199" s="541"/>
      <c r="IL199" s="541"/>
      <c r="IM199" s="541"/>
      <c r="IN199" s="541"/>
      <c r="IO199" s="541"/>
      <c r="IP199" s="541"/>
      <c r="IQ199" s="541"/>
      <c r="IR199" s="541"/>
      <c r="IS199" s="541"/>
      <c r="IT199" s="541"/>
      <c r="IU199" s="541"/>
      <c r="IV199" s="541"/>
      <c r="IW199" s="541"/>
      <c r="IX199" s="541"/>
      <c r="IY199" s="541"/>
      <c r="IZ199" s="541"/>
      <c r="JA199" s="541"/>
      <c r="JB199" s="541"/>
      <c r="JC199" s="541"/>
      <c r="JD199" s="541"/>
      <c r="JE199" s="541"/>
      <c r="JF199" s="541"/>
      <c r="JG199" s="541"/>
      <c r="JH199" s="541"/>
      <c r="JI199" s="541"/>
      <c r="JJ199" s="541"/>
      <c r="JK199" s="541"/>
      <c r="JL199" s="541"/>
      <c r="JM199" s="541"/>
      <c r="JN199" s="541"/>
      <c r="JO199" s="541"/>
      <c r="JP199" s="541"/>
      <c r="JQ199" s="541"/>
      <c r="JR199" s="541"/>
      <c r="JS199" s="541"/>
      <c r="JT199" s="541"/>
      <c r="JU199" s="541"/>
      <c r="JV199" s="541"/>
      <c r="JW199" s="541"/>
      <c r="JX199" s="541"/>
      <c r="JY199" s="541"/>
      <c r="JZ199" s="541"/>
      <c r="KA199" s="541"/>
      <c r="KB199" s="541"/>
      <c r="KC199" s="541"/>
      <c r="KD199" s="541"/>
      <c r="KE199" s="541"/>
      <c r="KF199" s="541"/>
      <c r="KG199" s="541"/>
      <c r="KH199" s="541"/>
      <c r="KI199" s="541"/>
      <c r="KJ199" s="541"/>
      <c r="KK199" s="541"/>
      <c r="KL199" s="541"/>
      <c r="KM199" s="541"/>
      <c r="KN199" s="541"/>
      <c r="KO199" s="541"/>
      <c r="KP199" s="541"/>
      <c r="KQ199" s="541"/>
      <c r="KR199" s="541"/>
      <c r="KS199" s="541"/>
      <c r="KT199" s="541"/>
      <c r="KU199" s="541"/>
      <c r="KV199" s="541"/>
      <c r="KW199" s="541"/>
      <c r="KX199" s="541"/>
      <c r="KY199" s="541"/>
      <c r="KZ199" s="541"/>
      <c r="LA199" s="541"/>
      <c r="LB199" s="541"/>
      <c r="LC199" s="541"/>
      <c r="LD199" s="541"/>
      <c r="LE199" s="541"/>
      <c r="LF199" s="541"/>
      <c r="LG199" s="541"/>
      <c r="LH199" s="541"/>
      <c r="LI199" s="541"/>
      <c r="LJ199" s="541"/>
      <c r="LK199" s="541"/>
      <c r="LL199" s="541"/>
      <c r="LM199" s="541"/>
      <c r="LN199" s="541"/>
      <c r="LO199" s="541"/>
      <c r="LP199" s="541"/>
      <c r="LQ199" s="541"/>
      <c r="LR199" s="541"/>
      <c r="LS199" s="541"/>
      <c r="LT199" s="541"/>
      <c r="LU199" s="541"/>
      <c r="LV199" s="541"/>
      <c r="LW199" s="541"/>
      <c r="LX199" s="541"/>
      <c r="LY199" s="541"/>
      <c r="LZ199" s="541"/>
      <c r="MA199" s="541"/>
      <c r="MB199" s="541"/>
      <c r="MC199" s="541"/>
      <c r="MD199" s="541"/>
      <c r="ME199" s="541"/>
      <c r="MF199" s="541"/>
      <c r="MG199" s="541"/>
      <c r="MH199" s="541"/>
      <c r="MI199" s="541"/>
      <c r="MJ199" s="541"/>
      <c r="MK199" s="541"/>
      <c r="ML199" s="541"/>
      <c r="MM199" s="541"/>
      <c r="MN199" s="541"/>
      <c r="MO199" s="541"/>
      <c r="MP199" s="541"/>
      <c r="MQ199" s="541"/>
      <c r="MR199" s="541"/>
      <c r="MS199" s="541"/>
      <c r="MT199" s="541"/>
      <c r="MU199" s="541"/>
      <c r="MV199" s="541"/>
      <c r="MW199" s="541"/>
      <c r="MX199" s="541"/>
      <c r="MY199" s="541"/>
      <c r="MZ199" s="541"/>
      <c r="NA199" s="541"/>
      <c r="NB199" s="541"/>
      <c r="NC199" s="541"/>
      <c r="ND199" s="541"/>
      <c r="NE199" s="541"/>
      <c r="NF199" s="541"/>
      <c r="NG199" s="541"/>
      <c r="NH199" s="541"/>
      <c r="NI199" s="541"/>
      <c r="NJ199" s="541"/>
      <c r="NK199" s="541"/>
      <c r="NL199" s="541"/>
      <c r="NM199" s="541"/>
      <c r="NN199" s="541"/>
      <c r="NO199" s="541"/>
      <c r="NP199" s="541"/>
      <c r="NQ199" s="541"/>
      <c r="NR199" s="541"/>
      <c r="NS199" s="541"/>
      <c r="NT199" s="541"/>
      <c r="NU199" s="541"/>
      <c r="NV199" s="541"/>
      <c r="NW199" s="541"/>
      <c r="NX199" s="541"/>
      <c r="NY199" s="541"/>
      <c r="NZ199" s="541"/>
      <c r="OA199" s="541"/>
      <c r="OB199" s="541"/>
      <c r="OC199" s="541"/>
      <c r="OD199" s="541"/>
      <c r="OE199" s="541"/>
      <c r="OF199" s="541"/>
      <c r="OG199" s="541"/>
      <c r="OH199" s="541"/>
      <c r="OI199" s="541"/>
      <c r="OJ199" s="541"/>
      <c r="OK199" s="541"/>
      <c r="OL199" s="541"/>
      <c r="OM199" s="541"/>
      <c r="ON199" s="541"/>
      <c r="OO199" s="541"/>
      <c r="OP199" s="541"/>
      <c r="OQ199" s="541"/>
      <c r="OR199" s="541"/>
      <c r="OS199" s="541"/>
      <c r="OT199" s="541"/>
      <c r="OU199" s="541"/>
      <c r="OV199" s="541"/>
      <c r="OW199" s="541"/>
      <c r="OX199" s="541"/>
      <c r="OY199" s="541"/>
      <c r="OZ199" s="541"/>
      <c r="PA199" s="541"/>
      <c r="PB199" s="541"/>
      <c r="PC199" s="541"/>
      <c r="PD199" s="541"/>
      <c r="PE199" s="541"/>
      <c r="PF199" s="541"/>
      <c r="PG199" s="541"/>
      <c r="PH199" s="541"/>
      <c r="PI199" s="541"/>
      <c r="PJ199" s="541"/>
      <c r="PK199" s="541"/>
      <c r="PL199" s="541"/>
      <c r="PM199" s="541"/>
      <c r="PN199" s="541"/>
      <c r="PO199" s="541"/>
      <c r="PP199" s="541"/>
      <c r="PQ199" s="541"/>
      <c r="PR199" s="541"/>
      <c r="PS199" s="541"/>
      <c r="PT199" s="541"/>
      <c r="PU199" s="541"/>
      <c r="PV199" s="541"/>
      <c r="PW199" s="541"/>
      <c r="PX199" s="541"/>
      <c r="PY199" s="541"/>
      <c r="PZ199" s="541"/>
      <c r="QA199" s="541"/>
      <c r="QB199" s="541"/>
      <c r="QC199" s="541"/>
      <c r="QD199" s="541"/>
      <c r="QE199" s="541"/>
      <c r="QF199" s="541"/>
      <c r="QG199" s="541"/>
      <c r="QH199" s="541"/>
      <c r="QI199" s="541"/>
      <c r="QJ199" s="541"/>
      <c r="QK199" s="541"/>
      <c r="QL199" s="541"/>
      <c r="QM199" s="541"/>
      <c r="QN199" s="541"/>
      <c r="QO199" s="541"/>
      <c r="QP199" s="541"/>
      <c r="QQ199" s="541"/>
      <c r="QR199" s="541"/>
      <c r="QS199" s="541"/>
      <c r="QT199" s="541"/>
      <c r="QU199" s="541"/>
      <c r="QV199" s="541"/>
      <c r="QW199" s="541"/>
      <c r="QX199" s="541"/>
      <c r="QY199" s="541"/>
      <c r="QZ199" s="541"/>
      <c r="RA199" s="541"/>
      <c r="RB199" s="541"/>
      <c r="RC199" s="541"/>
      <c r="RD199" s="541"/>
      <c r="RE199" s="541"/>
      <c r="RF199" s="541"/>
      <c r="RG199" s="541"/>
      <c r="RH199" s="541"/>
      <c r="RI199" s="541"/>
      <c r="RJ199" s="541"/>
      <c r="RK199" s="541"/>
      <c r="RL199" s="541"/>
      <c r="RM199" s="541"/>
      <c r="RN199" s="541"/>
      <c r="RO199" s="541"/>
      <c r="RP199" s="541"/>
      <c r="RQ199" s="541"/>
      <c r="RR199" s="541"/>
      <c r="RS199" s="541"/>
      <c r="RT199" s="541"/>
      <c r="RU199" s="541"/>
      <c r="RV199" s="541"/>
      <c r="RW199" s="541"/>
      <c r="RX199" s="541"/>
      <c r="RY199" s="541"/>
      <c r="RZ199" s="541"/>
      <c r="SA199" s="541"/>
      <c r="SB199" s="541"/>
      <c r="SC199" s="541"/>
      <c r="SD199" s="541"/>
      <c r="SE199" s="541"/>
      <c r="SF199" s="541"/>
      <c r="SG199" s="541"/>
      <c r="SH199" s="541"/>
      <c r="SI199" s="541"/>
      <c r="SJ199" s="541"/>
      <c r="SK199" s="541"/>
      <c r="SL199" s="541"/>
      <c r="SM199" s="541"/>
      <c r="SN199" s="541"/>
      <c r="SO199" s="541"/>
      <c r="SP199" s="541"/>
      <c r="SQ199" s="541"/>
      <c r="SR199" s="541"/>
      <c r="SS199" s="541"/>
      <c r="ST199" s="541"/>
      <c r="SU199" s="541"/>
      <c r="SV199" s="541"/>
      <c r="SW199" s="541"/>
      <c r="SX199" s="541"/>
      <c r="SY199" s="541"/>
      <c r="SZ199" s="541"/>
      <c r="TA199" s="541"/>
      <c r="TB199" s="541"/>
      <c r="TC199" s="541"/>
      <c r="TD199" s="541"/>
      <c r="TE199" s="541"/>
      <c r="TF199" s="541"/>
      <c r="TG199" s="541"/>
      <c r="TH199" s="541"/>
      <c r="TI199" s="541"/>
      <c r="TJ199" s="541"/>
      <c r="TK199" s="541"/>
      <c r="TL199" s="541"/>
      <c r="TM199" s="541"/>
      <c r="TN199" s="541"/>
      <c r="TO199" s="541"/>
      <c r="TP199" s="541"/>
      <c r="TQ199" s="541"/>
      <c r="TR199" s="541"/>
      <c r="TS199" s="541"/>
      <c r="TT199" s="541"/>
      <c r="TU199" s="541"/>
      <c r="TV199" s="541"/>
      <c r="TW199" s="541"/>
      <c r="TX199" s="541"/>
      <c r="TY199" s="541"/>
      <c r="TZ199" s="541"/>
      <c r="UA199" s="541"/>
      <c r="UB199" s="541"/>
      <c r="UC199" s="541"/>
      <c r="UD199" s="541"/>
      <c r="UE199" s="541"/>
      <c r="UF199" s="541"/>
      <c r="UG199" s="541"/>
      <c r="UH199" s="541"/>
      <c r="UI199" s="541"/>
      <c r="UJ199" s="541"/>
      <c r="UK199" s="541"/>
      <c r="UL199" s="541"/>
      <c r="UM199" s="541"/>
      <c r="UN199" s="541"/>
      <c r="UO199" s="541"/>
      <c r="UP199" s="541"/>
      <c r="UQ199" s="541"/>
      <c r="UR199" s="541"/>
      <c r="US199" s="541"/>
      <c r="UT199" s="541"/>
      <c r="UU199" s="541"/>
      <c r="UV199" s="541"/>
      <c r="UW199" s="541"/>
      <c r="UX199" s="541"/>
      <c r="UY199" s="541"/>
      <c r="UZ199" s="541"/>
      <c r="VA199" s="541"/>
      <c r="VB199" s="541"/>
      <c r="VC199" s="541"/>
      <c r="VD199" s="541"/>
      <c r="VE199" s="541"/>
      <c r="VF199" s="541"/>
      <c r="VG199" s="541"/>
      <c r="VH199" s="541"/>
      <c r="VI199" s="541"/>
      <c r="VJ199" s="541"/>
      <c r="VK199" s="541"/>
      <c r="VL199" s="541"/>
      <c r="VM199" s="541"/>
      <c r="VN199" s="541"/>
      <c r="VO199" s="541"/>
      <c r="VP199" s="541"/>
      <c r="VQ199" s="541"/>
      <c r="VR199" s="541"/>
      <c r="VS199" s="541"/>
      <c r="VT199" s="541"/>
      <c r="VU199" s="541"/>
      <c r="VV199" s="541"/>
      <c r="VW199" s="541"/>
      <c r="VX199" s="541"/>
      <c r="VY199" s="541"/>
      <c r="VZ199" s="541"/>
      <c r="WA199" s="541"/>
      <c r="WB199" s="541"/>
      <c r="WC199" s="541"/>
      <c r="WD199" s="541"/>
      <c r="WE199" s="541"/>
      <c r="WF199" s="541"/>
      <c r="WG199" s="541"/>
      <c r="WH199" s="541"/>
      <c r="WI199" s="541"/>
      <c r="WJ199" s="541"/>
      <c r="WK199" s="541"/>
      <c r="WL199" s="541"/>
      <c r="WM199" s="541"/>
      <c r="WN199" s="541"/>
      <c r="WO199" s="541"/>
      <c r="WP199" s="541"/>
      <c r="WQ199" s="541"/>
      <c r="WR199" s="541"/>
      <c r="WS199" s="541"/>
      <c r="WT199" s="541"/>
      <c r="WU199" s="541"/>
      <c r="WV199" s="541"/>
      <c r="WW199" s="541"/>
      <c r="WX199" s="541"/>
      <c r="WY199" s="541"/>
      <c r="WZ199" s="541"/>
      <c r="XA199" s="541"/>
      <c r="XB199" s="541"/>
      <c r="XC199" s="541"/>
      <c r="XD199" s="541"/>
      <c r="XE199" s="541"/>
      <c r="XF199" s="541"/>
      <c r="XG199" s="541"/>
      <c r="XH199" s="541"/>
      <c r="XI199" s="541"/>
      <c r="XJ199" s="541"/>
      <c r="XK199" s="541"/>
      <c r="XL199" s="541"/>
      <c r="XM199" s="541"/>
      <c r="XN199" s="541"/>
      <c r="XO199" s="541"/>
      <c r="XP199" s="541"/>
      <c r="XQ199" s="541"/>
      <c r="XR199" s="541"/>
      <c r="XS199" s="541"/>
      <c r="XT199" s="541"/>
      <c r="XU199" s="541"/>
      <c r="XV199" s="541"/>
      <c r="XW199" s="541"/>
      <c r="XX199" s="541"/>
      <c r="XY199" s="541"/>
      <c r="XZ199" s="541"/>
      <c r="YA199" s="541"/>
      <c r="YB199" s="541"/>
      <c r="YC199" s="541"/>
      <c r="YD199" s="541"/>
      <c r="YE199" s="541"/>
      <c r="YF199" s="541"/>
      <c r="YG199" s="541"/>
      <c r="YH199" s="541"/>
      <c r="YI199" s="541"/>
      <c r="YJ199" s="541"/>
      <c r="YK199" s="541"/>
      <c r="YL199" s="541"/>
      <c r="YM199" s="541"/>
      <c r="YN199" s="541"/>
      <c r="YO199" s="541"/>
      <c r="YP199" s="541"/>
      <c r="YQ199" s="541"/>
      <c r="YR199" s="541"/>
      <c r="YS199" s="541"/>
      <c r="YT199" s="541"/>
      <c r="YU199" s="541"/>
      <c r="YV199" s="541"/>
      <c r="YW199" s="541"/>
      <c r="YX199" s="541"/>
      <c r="YY199" s="541"/>
      <c r="YZ199" s="541"/>
      <c r="ZA199" s="541"/>
      <c r="ZB199" s="541"/>
      <c r="ZC199" s="541"/>
      <c r="ZD199" s="541"/>
      <c r="ZE199" s="541"/>
      <c r="ZF199" s="541"/>
      <c r="ZG199" s="541"/>
      <c r="ZH199" s="541"/>
      <c r="ZI199" s="541"/>
      <c r="ZJ199" s="541"/>
      <c r="ZK199" s="541"/>
      <c r="ZL199" s="541"/>
      <c r="ZM199" s="541"/>
      <c r="ZN199" s="541"/>
      <c r="ZO199" s="541"/>
      <c r="ZP199" s="541"/>
      <c r="ZQ199" s="541"/>
      <c r="ZR199" s="541"/>
      <c r="ZS199" s="541"/>
      <c r="ZT199" s="541"/>
      <c r="ZU199" s="541"/>
      <c r="ZV199" s="541"/>
      <c r="ZW199" s="541"/>
      <c r="ZX199" s="541"/>
      <c r="ZY199" s="541"/>
      <c r="ZZ199" s="541"/>
      <c r="AAA199" s="541"/>
      <c r="AAB199" s="541"/>
      <c r="AAC199" s="541"/>
      <c r="AAD199" s="541"/>
      <c r="AAE199" s="541"/>
      <c r="AAF199" s="541"/>
      <c r="AAG199" s="541"/>
      <c r="AAH199" s="541"/>
      <c r="AAI199" s="541"/>
      <c r="AAJ199" s="541"/>
      <c r="AAK199" s="541"/>
      <c r="AAL199" s="541"/>
      <c r="AAM199" s="541"/>
      <c r="AAN199" s="541"/>
      <c r="AAO199" s="541"/>
      <c r="AAP199" s="541"/>
      <c r="AAQ199" s="541"/>
      <c r="AAR199" s="541"/>
      <c r="AAS199" s="541"/>
      <c r="AAT199" s="541"/>
      <c r="AAU199" s="541"/>
      <c r="AAV199" s="541"/>
      <c r="AAW199" s="541"/>
      <c r="AAX199" s="541"/>
      <c r="AAY199" s="541"/>
      <c r="AAZ199" s="541"/>
      <c r="ABA199" s="541"/>
      <c r="ABB199" s="541"/>
      <c r="ABC199" s="541"/>
      <c r="ABD199" s="541"/>
      <c r="ABE199" s="541"/>
      <c r="ABF199" s="541"/>
      <c r="ABG199" s="541"/>
      <c r="ABH199" s="541"/>
      <c r="ABI199" s="541"/>
      <c r="ABJ199" s="541"/>
      <c r="ABK199" s="541"/>
      <c r="ABL199" s="541"/>
      <c r="ABM199" s="541"/>
      <c r="ABN199" s="541"/>
      <c r="ABO199" s="541"/>
      <c r="ABP199" s="541"/>
      <c r="ABQ199" s="541"/>
      <c r="ABR199" s="541"/>
      <c r="ABS199" s="541"/>
      <c r="ABT199" s="541"/>
      <c r="ABU199" s="541"/>
      <c r="ABV199" s="541"/>
      <c r="ABW199" s="541"/>
      <c r="ABX199" s="541"/>
      <c r="ABY199" s="541"/>
      <c r="ABZ199" s="541"/>
      <c r="ACA199" s="541"/>
      <c r="ACB199" s="541"/>
      <c r="ACC199" s="541"/>
      <c r="ACD199" s="541"/>
      <c r="ACE199" s="541"/>
      <c r="ACF199" s="541"/>
      <c r="ACG199" s="541"/>
      <c r="ACH199" s="541"/>
      <c r="ACI199" s="541"/>
      <c r="ACJ199" s="541"/>
      <c r="ACK199" s="541"/>
      <c r="ACL199" s="541"/>
      <c r="ACM199" s="541"/>
      <c r="ACN199" s="541"/>
      <c r="ACO199" s="541"/>
      <c r="ACP199" s="541"/>
      <c r="ACQ199" s="541"/>
      <c r="ACR199" s="541"/>
      <c r="ACS199" s="541"/>
      <c r="ACT199" s="541"/>
      <c r="ACU199" s="541"/>
      <c r="ACV199" s="541"/>
      <c r="ACW199" s="541"/>
      <c r="ACX199" s="541"/>
      <c r="ACY199" s="541"/>
      <c r="ACZ199" s="541"/>
      <c r="ADA199" s="541"/>
      <c r="ADB199" s="541"/>
      <c r="ADC199" s="541"/>
      <c r="ADD199" s="541"/>
      <c r="ADE199" s="541"/>
      <c r="ADF199" s="541"/>
      <c r="ADG199" s="541"/>
      <c r="ADH199" s="541"/>
      <c r="ADI199" s="541"/>
      <c r="ADJ199" s="541"/>
      <c r="ADK199" s="541"/>
      <c r="ADL199" s="541"/>
      <c r="ADM199" s="541"/>
      <c r="ADN199" s="541"/>
      <c r="ADO199" s="541"/>
      <c r="ADP199" s="541"/>
      <c r="ADQ199" s="541"/>
      <c r="ADR199" s="541"/>
      <c r="ADS199" s="541"/>
      <c r="ADT199" s="541"/>
      <c r="ADU199" s="541"/>
      <c r="ADV199" s="541"/>
      <c r="ADW199" s="541"/>
      <c r="ADX199" s="541"/>
      <c r="ADY199" s="541"/>
      <c r="ADZ199" s="541"/>
      <c r="AEA199" s="541"/>
      <c r="AEB199" s="541"/>
      <c r="AEC199" s="541"/>
      <c r="AED199" s="541"/>
      <c r="AEE199" s="541"/>
      <c r="AEF199" s="541"/>
      <c r="AEG199" s="541"/>
      <c r="AEH199" s="541"/>
      <c r="AEI199" s="541"/>
      <c r="AEJ199" s="541"/>
      <c r="AEK199" s="541"/>
      <c r="AEL199" s="541"/>
      <c r="AEM199" s="541"/>
      <c r="AEN199" s="541"/>
      <c r="AEO199" s="541"/>
      <c r="AEP199" s="541"/>
      <c r="AEQ199" s="541"/>
      <c r="AER199" s="541"/>
      <c r="AES199" s="541"/>
      <c r="AET199" s="541"/>
      <c r="AEU199" s="541"/>
      <c r="AEV199" s="541"/>
      <c r="AEW199" s="541"/>
      <c r="AEX199" s="541"/>
      <c r="AEY199" s="541"/>
      <c r="AEZ199" s="541"/>
      <c r="AFA199" s="541"/>
      <c r="AFB199" s="541"/>
      <c r="AFC199" s="541"/>
      <c r="AFD199" s="541"/>
      <c r="AFE199" s="541"/>
      <c r="AFF199" s="541"/>
      <c r="AFG199" s="541"/>
      <c r="AFH199" s="541"/>
      <c r="AFI199" s="541"/>
      <c r="AFJ199" s="541"/>
      <c r="AFK199" s="541"/>
      <c r="AFL199" s="541"/>
      <c r="AFM199" s="541"/>
      <c r="AFN199" s="541"/>
      <c r="AFO199" s="541"/>
      <c r="AFP199" s="541"/>
      <c r="AFQ199" s="541"/>
      <c r="AFR199" s="541"/>
      <c r="AFS199" s="541"/>
      <c r="AFT199" s="541"/>
      <c r="AFU199" s="541"/>
      <c r="AFV199" s="541"/>
      <c r="AFW199" s="541"/>
      <c r="AFX199" s="541"/>
      <c r="AFY199" s="541"/>
      <c r="AFZ199" s="541"/>
      <c r="AGA199" s="541"/>
      <c r="AGB199" s="541"/>
      <c r="AGC199" s="541"/>
      <c r="AGD199" s="541"/>
      <c r="AGE199" s="541"/>
      <c r="AGF199" s="541"/>
      <c r="AGG199" s="541"/>
      <c r="AGH199" s="541"/>
      <c r="AGI199" s="541"/>
      <c r="AGJ199" s="541"/>
      <c r="AGK199" s="541"/>
      <c r="AGL199" s="541"/>
      <c r="AGM199" s="541"/>
      <c r="AGN199" s="541"/>
      <c r="AGO199" s="541"/>
      <c r="AGP199" s="541"/>
      <c r="AGQ199" s="541"/>
      <c r="AGR199" s="541"/>
      <c r="AGS199" s="541"/>
      <c r="AGT199" s="541"/>
      <c r="AGU199" s="541"/>
      <c r="AGV199" s="541"/>
      <c r="AGW199" s="541"/>
      <c r="AGX199" s="541"/>
      <c r="AGY199" s="541"/>
      <c r="AGZ199" s="541"/>
      <c r="AHA199" s="541"/>
      <c r="AHB199" s="541"/>
      <c r="AHC199" s="541"/>
      <c r="AHD199" s="541"/>
      <c r="AHE199" s="541"/>
      <c r="AHF199" s="541"/>
      <c r="AHG199" s="541"/>
      <c r="AHH199" s="541"/>
      <c r="AHI199" s="541"/>
      <c r="AHJ199" s="541"/>
      <c r="AHK199" s="541"/>
      <c r="AHL199" s="541"/>
      <c r="AHM199" s="541"/>
      <c r="AHN199" s="541"/>
      <c r="AHO199" s="541"/>
      <c r="AHP199" s="541"/>
      <c r="AHQ199" s="541"/>
      <c r="AHR199" s="541"/>
      <c r="AHS199" s="541"/>
      <c r="AHT199" s="541"/>
      <c r="AHU199" s="541"/>
      <c r="AHV199" s="541"/>
      <c r="AHW199" s="541"/>
      <c r="AHX199" s="541"/>
      <c r="AHY199" s="541"/>
      <c r="AHZ199" s="541"/>
      <c r="AIA199" s="541"/>
      <c r="AIB199" s="541"/>
      <c r="AIC199" s="541"/>
      <c r="AID199" s="541"/>
      <c r="AIE199" s="541"/>
      <c r="AIF199" s="541"/>
      <c r="AIG199" s="541"/>
      <c r="AIH199" s="541"/>
      <c r="AII199" s="541"/>
      <c r="AIJ199" s="541"/>
      <c r="AIK199" s="541"/>
      <c r="AIL199" s="541"/>
      <c r="AIM199" s="541"/>
      <c r="AIN199" s="541"/>
      <c r="AIO199" s="541"/>
      <c r="AIP199" s="541"/>
      <c r="AIQ199" s="541"/>
      <c r="AIR199" s="541"/>
      <c r="AIS199" s="541"/>
      <c r="AIT199" s="541"/>
      <c r="AIU199" s="541"/>
      <c r="AIV199" s="541"/>
      <c r="AIW199" s="541"/>
      <c r="AIX199" s="541"/>
      <c r="AIY199" s="541"/>
      <c r="AIZ199" s="541"/>
      <c r="AJA199" s="541"/>
      <c r="AJB199" s="541"/>
      <c r="AJC199" s="541"/>
      <c r="AJD199" s="541"/>
      <c r="AJE199" s="541"/>
      <c r="AJF199" s="541"/>
      <c r="AJG199" s="541"/>
      <c r="AJH199" s="541"/>
      <c r="AJI199" s="541"/>
      <c r="AJJ199" s="541"/>
      <c r="AJK199" s="541"/>
      <c r="AJL199" s="541"/>
      <c r="AJM199" s="541"/>
      <c r="AJN199" s="541"/>
      <c r="AJO199" s="541"/>
      <c r="AJP199" s="541"/>
      <c r="AJQ199" s="541"/>
      <c r="AJR199" s="541"/>
      <c r="AJS199" s="541"/>
      <c r="AJT199" s="541"/>
      <c r="AJU199" s="541"/>
      <c r="AJV199" s="541"/>
      <c r="AJW199" s="541"/>
      <c r="AJX199" s="541"/>
      <c r="AJY199" s="541"/>
      <c r="AJZ199" s="541"/>
      <c r="AKA199" s="541"/>
      <c r="AKB199" s="541"/>
      <c r="AKC199" s="541"/>
      <c r="AKD199" s="541"/>
      <c r="AKE199" s="541"/>
      <c r="AKF199" s="541"/>
      <c r="AKG199" s="541"/>
      <c r="AKH199" s="541"/>
      <c r="AKI199" s="541"/>
      <c r="AKJ199" s="541"/>
      <c r="AKK199" s="541"/>
      <c r="AKL199" s="541"/>
      <c r="AKM199" s="541"/>
      <c r="AKN199" s="541"/>
      <c r="AKO199" s="541"/>
      <c r="AKP199" s="541"/>
      <c r="AKQ199" s="541"/>
      <c r="AKR199" s="541"/>
      <c r="AKS199" s="541"/>
      <c r="AKT199" s="541"/>
      <c r="AKU199" s="541"/>
      <c r="AKV199" s="541"/>
      <c r="AKW199" s="541"/>
      <c r="AKX199" s="541"/>
      <c r="AKY199" s="541"/>
      <c r="AKZ199" s="541"/>
      <c r="ALA199" s="541"/>
      <c r="ALB199" s="541"/>
      <c r="ALC199" s="541"/>
      <c r="ALD199" s="541"/>
      <c r="ALE199" s="541"/>
      <c r="ALF199" s="541"/>
      <c r="ALG199" s="541"/>
      <c r="ALH199" s="541"/>
      <c r="ALI199" s="541"/>
      <c r="ALJ199" s="541"/>
      <c r="ALK199" s="541"/>
      <c r="ALL199" s="541"/>
      <c r="ALM199" s="541"/>
      <c r="ALN199" s="541"/>
      <c r="ALO199" s="541"/>
      <c r="ALP199" s="541"/>
      <c r="ALQ199" s="541"/>
      <c r="ALR199" s="541"/>
      <c r="ALS199" s="541"/>
      <c r="ALT199" s="541"/>
      <c r="ALU199" s="541"/>
      <c r="ALV199" s="541"/>
      <c r="ALW199" s="541"/>
      <c r="ALX199" s="541"/>
      <c r="ALY199" s="541"/>
      <c r="ALZ199" s="541"/>
      <c r="AMA199" s="541"/>
      <c r="AMB199" s="541"/>
      <c r="AMC199" s="541"/>
      <c r="AMD199" s="541"/>
      <c r="AME199" s="541"/>
      <c r="AMF199" s="541"/>
      <c r="AMG199" s="541"/>
      <c r="AMH199" s="541"/>
      <c r="AMI199" s="541"/>
      <c r="AMJ199" s="541"/>
      <c r="AMK199" s="541"/>
      <c r="AML199" s="541"/>
      <c r="AMM199" s="541"/>
      <c r="AMN199" s="541"/>
      <c r="AMO199" s="541"/>
      <c r="AMP199" s="541"/>
      <c r="AMQ199" s="541"/>
      <c r="AMR199" s="541"/>
      <c r="AMS199" s="541"/>
      <c r="AMT199" s="541"/>
      <c r="AMU199" s="541"/>
      <c r="AMV199" s="541"/>
      <c r="AMW199" s="541"/>
      <c r="AMX199" s="541"/>
      <c r="AMY199" s="541"/>
      <c r="AMZ199" s="541"/>
      <c r="ANA199" s="541"/>
      <c r="ANB199" s="541"/>
      <c r="ANC199" s="541"/>
      <c r="AND199" s="541"/>
      <c r="ANE199" s="541"/>
      <c r="ANF199" s="541"/>
      <c r="ANG199" s="541"/>
      <c r="ANH199" s="541"/>
      <c r="ANI199" s="541"/>
      <c r="ANJ199" s="541"/>
      <c r="ANK199" s="541"/>
      <c r="ANL199" s="541"/>
      <c r="ANM199" s="541"/>
      <c r="ANN199" s="541"/>
      <c r="ANO199" s="541"/>
      <c r="ANP199" s="541"/>
      <c r="ANQ199" s="541"/>
      <c r="ANR199" s="541"/>
      <c r="ANS199" s="541"/>
      <c r="ANT199" s="541"/>
      <c r="ANU199" s="541"/>
      <c r="ANV199" s="541"/>
      <c r="ANW199" s="541"/>
      <c r="ANX199" s="541"/>
      <c r="ANY199" s="541"/>
      <c r="ANZ199" s="541"/>
      <c r="AOA199" s="541"/>
      <c r="AOB199" s="541"/>
      <c r="AOC199" s="541"/>
      <c r="AOD199" s="541"/>
      <c r="AOE199" s="541"/>
      <c r="AOF199" s="541"/>
      <c r="AOG199" s="541"/>
      <c r="AOH199" s="541"/>
      <c r="AOI199" s="541"/>
      <c r="AOJ199" s="541"/>
      <c r="AOK199" s="541"/>
      <c r="AOL199" s="541"/>
      <c r="AOM199" s="541"/>
      <c r="AON199" s="541"/>
      <c r="AOO199" s="541"/>
      <c r="AOP199" s="541"/>
      <c r="AOQ199" s="541"/>
      <c r="AOR199" s="541"/>
      <c r="AOS199" s="541"/>
      <c r="AOT199" s="541"/>
      <c r="AOU199" s="541"/>
      <c r="AOV199" s="541"/>
      <c r="AOW199" s="541"/>
      <c r="AOX199" s="541"/>
      <c r="AOY199" s="541"/>
      <c r="AOZ199" s="541"/>
      <c r="APA199" s="541"/>
      <c r="APB199" s="541"/>
      <c r="APC199" s="541"/>
      <c r="APD199" s="541"/>
      <c r="APE199" s="541"/>
      <c r="APF199" s="541"/>
      <c r="APG199" s="541"/>
      <c r="APH199" s="541"/>
      <c r="API199" s="541"/>
      <c r="APJ199" s="541"/>
      <c r="APK199" s="541"/>
      <c r="APL199" s="541"/>
      <c r="APM199" s="541"/>
      <c r="APN199" s="541"/>
      <c r="APO199" s="541"/>
      <c r="APP199" s="541"/>
      <c r="APQ199" s="541"/>
      <c r="APR199" s="541"/>
      <c r="APS199" s="541"/>
      <c r="APT199" s="541"/>
      <c r="APU199" s="541"/>
      <c r="APV199" s="541"/>
      <c r="APW199" s="541"/>
      <c r="APX199" s="541"/>
      <c r="APY199" s="541"/>
      <c r="APZ199" s="541"/>
      <c r="AQA199" s="541"/>
      <c r="AQB199" s="541"/>
      <c r="AQC199" s="541"/>
      <c r="AQD199" s="541"/>
      <c r="AQE199" s="541"/>
      <c r="AQF199" s="541"/>
      <c r="AQG199" s="541"/>
      <c r="AQH199" s="541"/>
      <c r="AQI199" s="541"/>
      <c r="AQJ199" s="541"/>
      <c r="AQK199" s="541"/>
      <c r="AQL199" s="541"/>
      <c r="AQM199" s="541"/>
      <c r="AQN199" s="541"/>
      <c r="AQO199" s="541"/>
      <c r="AQP199" s="541"/>
      <c r="AQQ199" s="541"/>
      <c r="AQR199" s="541"/>
      <c r="AQS199" s="541"/>
      <c r="AQT199" s="541"/>
      <c r="AQU199" s="541"/>
      <c r="AQV199" s="541"/>
      <c r="AQW199" s="541"/>
      <c r="AQX199" s="541"/>
      <c r="AQY199" s="541"/>
      <c r="AQZ199" s="541"/>
      <c r="ARA199" s="541"/>
      <c r="ARB199" s="541"/>
      <c r="ARC199" s="541"/>
      <c r="ARD199" s="541"/>
      <c r="ARE199" s="541"/>
      <c r="ARF199" s="541"/>
      <c r="ARG199" s="541"/>
      <c r="ARH199" s="541"/>
      <c r="ARI199" s="541"/>
      <c r="ARJ199" s="541"/>
      <c r="ARK199" s="541"/>
      <c r="ARL199" s="541"/>
      <c r="ARM199" s="541"/>
      <c r="ARN199" s="541"/>
      <c r="ARO199" s="541"/>
      <c r="ARP199" s="541"/>
      <c r="ARQ199" s="541"/>
      <c r="ARR199" s="541"/>
      <c r="ARS199" s="541"/>
      <c r="ART199" s="541"/>
      <c r="ARU199" s="541"/>
    </row>
    <row r="200" spans="1:1165">
      <c r="A200" s="591"/>
      <c r="B200" s="594"/>
      <c r="C200" s="670"/>
      <c r="D200" s="670"/>
      <c r="E200" s="595"/>
      <c r="F200" s="595"/>
      <c r="G200" s="595"/>
      <c r="H200" s="595"/>
      <c r="I200" s="595"/>
      <c r="J200" s="595"/>
      <c r="K200" s="595"/>
      <c r="L200" s="595"/>
      <c r="M200" s="595"/>
      <c r="N200" s="595"/>
      <c r="O200" s="595"/>
      <c r="P200" s="595"/>
      <c r="Q200" s="595"/>
      <c r="R200" s="595"/>
      <c r="S200" s="595"/>
      <c r="T200" s="595"/>
      <c r="U200" s="608"/>
      <c r="V200" s="608"/>
      <c r="W200" s="608"/>
      <c r="X200" s="608"/>
      <c r="Y200" s="608"/>
      <c r="Z200" s="608"/>
      <c r="AA200" s="623"/>
      <c r="AB200" s="623"/>
      <c r="AC200" s="608"/>
      <c r="AD200" s="608"/>
      <c r="AE200" s="586"/>
      <c r="AF200" s="586"/>
      <c r="AG200" s="586"/>
      <c r="AH200" s="586"/>
      <c r="AI200" s="586"/>
      <c r="AJ200" s="586"/>
      <c r="AK200" s="673"/>
      <c r="AL200" s="673"/>
      <c r="AM200" s="676"/>
      <c r="AN200" s="676"/>
      <c r="AO200" s="586"/>
      <c r="AP200" s="586"/>
      <c r="AQ200" s="586"/>
      <c r="AR200" s="586"/>
      <c r="AS200" s="586"/>
      <c r="AT200" s="586"/>
      <c r="AU200" s="623"/>
      <c r="AV200" s="623"/>
      <c r="AW200" s="650"/>
      <c r="AX200" s="650"/>
      <c r="AY200" s="648"/>
      <c r="AZ200" s="648"/>
      <c r="BA200" s="686"/>
      <c r="BB200" s="650"/>
      <c r="BC200" s="650"/>
      <c r="BD200" s="650"/>
      <c r="BE200" s="650"/>
      <c r="BF200" s="650"/>
      <c r="BG200" s="650"/>
      <c r="BH200" s="650"/>
      <c r="BI200" s="686"/>
      <c r="BJ200" s="650"/>
      <c r="BK200" s="650"/>
      <c r="BL200" s="541"/>
      <c r="BO200" s="624"/>
    </row>
    <row r="201" spans="1:1165">
      <c r="A201" s="591" t="s">
        <v>318</v>
      </c>
      <c r="B201" s="594" t="s">
        <v>110</v>
      </c>
      <c r="C201" s="670">
        <v>574</v>
      </c>
      <c r="D201" s="670">
        <v>3856</v>
      </c>
      <c r="E201" s="595">
        <v>0</v>
      </c>
      <c r="F201" s="595">
        <v>0</v>
      </c>
      <c r="G201" s="595">
        <v>0</v>
      </c>
      <c r="H201" s="595">
        <v>0</v>
      </c>
      <c r="I201" s="595">
        <v>0</v>
      </c>
      <c r="J201" s="595">
        <v>0</v>
      </c>
      <c r="K201" s="595">
        <v>0</v>
      </c>
      <c r="L201" s="595">
        <v>0</v>
      </c>
      <c r="M201" s="595">
        <v>0</v>
      </c>
      <c r="N201" s="595">
        <v>0</v>
      </c>
      <c r="O201" s="595">
        <v>0</v>
      </c>
      <c r="P201" s="595">
        <v>0</v>
      </c>
      <c r="Q201" s="595">
        <v>0</v>
      </c>
      <c r="R201" s="595">
        <v>0</v>
      </c>
      <c r="S201" s="595">
        <v>0</v>
      </c>
      <c r="T201" s="595">
        <v>0</v>
      </c>
      <c r="U201" s="595">
        <v>0</v>
      </c>
      <c r="V201" s="595">
        <v>0</v>
      </c>
      <c r="W201" s="595">
        <v>0</v>
      </c>
      <c r="X201" s="595">
        <v>0</v>
      </c>
      <c r="Y201" s="595">
        <v>0</v>
      </c>
      <c r="Z201" s="595">
        <v>0</v>
      </c>
      <c r="AA201" s="595">
        <v>0</v>
      </c>
      <c r="AB201" s="595">
        <v>0</v>
      </c>
      <c r="AC201" s="595">
        <v>0</v>
      </c>
      <c r="AD201" s="595">
        <v>0</v>
      </c>
      <c r="AE201" s="595">
        <v>0</v>
      </c>
      <c r="AF201" s="595">
        <v>0</v>
      </c>
      <c r="AG201" s="595">
        <v>0</v>
      </c>
      <c r="AH201" s="595">
        <v>0</v>
      </c>
      <c r="AI201" s="595">
        <v>0</v>
      </c>
      <c r="AJ201" s="595">
        <v>0</v>
      </c>
      <c r="AK201" s="595">
        <v>0</v>
      </c>
      <c r="AL201" s="595">
        <v>0</v>
      </c>
      <c r="AM201" s="595">
        <v>0</v>
      </c>
      <c r="AN201" s="595">
        <v>0</v>
      </c>
      <c r="AO201" s="595">
        <v>0</v>
      </c>
      <c r="AP201" s="595">
        <v>0</v>
      </c>
      <c r="AQ201" s="595">
        <v>0</v>
      </c>
      <c r="AR201" s="595">
        <v>0</v>
      </c>
      <c r="AS201" s="595">
        <v>0</v>
      </c>
      <c r="AT201" s="595">
        <v>0</v>
      </c>
      <c r="AU201" s="595">
        <v>0</v>
      </c>
      <c r="AV201" s="595">
        <v>0</v>
      </c>
      <c r="AW201" s="595">
        <v>0</v>
      </c>
      <c r="AX201" s="595">
        <v>0</v>
      </c>
      <c r="AY201" s="604">
        <v>0</v>
      </c>
      <c r="AZ201" s="604">
        <v>0</v>
      </c>
      <c r="BA201" s="594"/>
      <c r="BB201" s="604"/>
      <c r="BC201" s="604"/>
      <c r="BD201" s="604"/>
      <c r="BE201" s="604"/>
      <c r="BF201" s="604"/>
      <c r="BG201" s="604"/>
      <c r="BH201" s="604"/>
      <c r="BI201" s="594"/>
      <c r="BJ201" s="595">
        <f>C201+G201+I201+K201+M201+O201+Q201+S201+U201+W201+Y201+AA201+AC201+AE201+AG201+AI201+AK201+AM201+AO201+AQ201+AS201+AU201+AW201+AY201+BB201+BF201</f>
        <v>574</v>
      </c>
      <c r="BK201" s="595">
        <f>D201+H201+J201+L201+N201+P201+R201+T201+V201+X201+Z201+AB201+AD201+AF201+AH201+AJ201+AL201+AN201+AP201+AR201+AT201+AV201+AX201+AZ201+BD201+BH201</f>
        <v>3856</v>
      </c>
      <c r="BL201" s="541"/>
      <c r="BN201" s="624"/>
    </row>
    <row r="202" spans="1:1165">
      <c r="A202" s="591"/>
      <c r="B202" s="594"/>
      <c r="C202" s="670"/>
      <c r="D202" s="670"/>
      <c r="E202" s="595"/>
      <c r="F202" s="595"/>
      <c r="G202" s="595"/>
      <c r="H202" s="595"/>
      <c r="I202" s="595"/>
      <c r="J202" s="595"/>
      <c r="K202" s="595"/>
      <c r="L202" s="595"/>
      <c r="M202" s="595"/>
      <c r="N202" s="595"/>
      <c r="O202" s="595"/>
      <c r="P202" s="595"/>
      <c r="Q202" s="595"/>
      <c r="R202" s="595"/>
      <c r="S202" s="595"/>
      <c r="T202" s="595"/>
      <c r="U202" s="672"/>
      <c r="V202" s="672"/>
      <c r="W202" s="608"/>
      <c r="X202" s="608"/>
      <c r="Y202" s="608"/>
      <c r="Z202" s="608"/>
      <c r="AA202" s="623"/>
      <c r="AB202" s="623"/>
      <c r="AC202" s="608"/>
      <c r="AD202" s="608"/>
      <c r="AE202" s="586"/>
      <c r="AF202" s="586"/>
      <c r="AG202" s="586"/>
      <c r="AH202" s="586"/>
      <c r="AI202" s="586"/>
      <c r="AJ202" s="586"/>
      <c r="AK202" s="586"/>
      <c r="AL202" s="586"/>
      <c r="AM202" s="586"/>
      <c r="AN202" s="586"/>
      <c r="AO202" s="586"/>
      <c r="AP202" s="586"/>
      <c r="AQ202" s="586"/>
      <c r="AR202" s="586"/>
      <c r="AS202" s="586"/>
      <c r="AT202" s="586"/>
      <c r="AU202" s="623"/>
      <c r="AV202" s="623"/>
      <c r="AW202" s="650"/>
      <c r="AX202" s="650"/>
      <c r="AY202" s="648"/>
      <c r="AZ202" s="648"/>
      <c r="BA202" s="686"/>
      <c r="BB202" s="650"/>
      <c r="BC202" s="650"/>
      <c r="BD202" s="650"/>
      <c r="BE202" s="650"/>
      <c r="BF202" s="650"/>
      <c r="BG202" s="650"/>
      <c r="BH202" s="650"/>
      <c r="BI202" s="686"/>
      <c r="BJ202" s="650"/>
      <c r="BK202" s="650"/>
      <c r="BL202" s="541"/>
      <c r="BO202" s="624"/>
    </row>
    <row r="203" spans="1:1165" s="658" customFormat="1">
      <c r="A203" s="577" t="s">
        <v>319</v>
      </c>
      <c r="B203" s="578" t="s">
        <v>110</v>
      </c>
      <c r="C203" s="659">
        <v>4605</v>
      </c>
      <c r="D203" s="659">
        <v>53102</v>
      </c>
      <c r="E203" s="581">
        <v>260</v>
      </c>
      <c r="F203" s="581">
        <v>3887</v>
      </c>
      <c r="G203" s="581">
        <v>170</v>
      </c>
      <c r="H203" s="581">
        <v>2463</v>
      </c>
      <c r="I203" s="581">
        <v>0</v>
      </c>
      <c r="J203" s="581">
        <v>0</v>
      </c>
      <c r="K203" s="581">
        <v>0</v>
      </c>
      <c r="L203" s="581">
        <v>0</v>
      </c>
      <c r="M203" s="581">
        <v>0</v>
      </c>
      <c r="N203" s="581">
        <v>0</v>
      </c>
      <c r="O203" s="581">
        <v>0</v>
      </c>
      <c r="P203" s="581">
        <v>0</v>
      </c>
      <c r="Q203" s="598">
        <v>0</v>
      </c>
      <c r="R203" s="598">
        <v>0</v>
      </c>
      <c r="S203" s="598">
        <v>0</v>
      </c>
      <c r="T203" s="598">
        <v>0</v>
      </c>
      <c r="U203" s="598">
        <v>0</v>
      </c>
      <c r="V203" s="598">
        <v>0</v>
      </c>
      <c r="W203" s="598">
        <v>1169</v>
      </c>
      <c r="X203" s="598">
        <v>101365</v>
      </c>
      <c r="Y203" s="598">
        <v>1541</v>
      </c>
      <c r="Z203" s="598">
        <v>119489</v>
      </c>
      <c r="AA203" s="619">
        <v>437</v>
      </c>
      <c r="AB203" s="619">
        <v>35834</v>
      </c>
      <c r="AC203" s="581">
        <v>254</v>
      </c>
      <c r="AD203" s="581">
        <v>16832</v>
      </c>
      <c r="AE203" s="579">
        <v>0</v>
      </c>
      <c r="AF203" s="579">
        <v>0</v>
      </c>
      <c r="AG203" s="579">
        <v>0</v>
      </c>
      <c r="AH203" s="579">
        <v>0</v>
      </c>
      <c r="AI203" s="579">
        <v>0</v>
      </c>
      <c r="AJ203" s="579">
        <v>0</v>
      </c>
      <c r="AK203" s="579">
        <v>0</v>
      </c>
      <c r="AL203" s="579">
        <v>0</v>
      </c>
      <c r="AM203" s="579">
        <v>0</v>
      </c>
      <c r="AN203" s="579">
        <v>0</v>
      </c>
      <c r="AO203" s="579">
        <v>5380</v>
      </c>
      <c r="AP203" s="579">
        <v>430353</v>
      </c>
      <c r="AQ203" s="579">
        <v>9292.0630000000001</v>
      </c>
      <c r="AR203" s="579">
        <v>743044.84</v>
      </c>
      <c r="AS203" s="579">
        <v>11407.14</v>
      </c>
      <c r="AT203" s="579">
        <v>2355238</v>
      </c>
      <c r="AU203" s="619">
        <v>14300</v>
      </c>
      <c r="AV203" s="619">
        <v>1908974</v>
      </c>
      <c r="AW203" s="598">
        <v>12693</v>
      </c>
      <c r="AX203" s="598">
        <v>1817362</v>
      </c>
      <c r="AY203" s="667">
        <v>9919</v>
      </c>
      <c r="AZ203" s="667">
        <v>1258601</v>
      </c>
      <c r="BA203" s="667"/>
      <c r="BB203" s="667"/>
      <c r="BC203" s="664"/>
      <c r="BD203" s="667"/>
      <c r="BE203" s="664"/>
      <c r="BF203" s="667"/>
      <c r="BG203" s="664"/>
      <c r="BH203" s="667"/>
      <c r="BI203" s="664"/>
      <c r="BJ203" s="667">
        <f>C203+G203+I203+K203+M203+O203+Q203+S203+U203+W203+Y203+AA203+AC203+AE203+AG203+AI203+AK203+AM203+AO203+AQ203+AS203+AU203+AW203+AY203+BB203+BF203</f>
        <v>71167.203000000009</v>
      </c>
      <c r="BK203" s="651">
        <f>D203+H203+J203+L203+N203+P203+R203+T203+V203+X203+Z203+AB203+AD203+AF203+AH203+AJ203+AL203+AN203+AP203+AR203+AT203+AV203+AX203+AZ203+BD203+BH203</f>
        <v>8842657.8399999999</v>
      </c>
      <c r="BL203" s="541"/>
      <c r="BM203" s="541"/>
      <c r="BN203" s="624"/>
      <c r="BO203" s="624"/>
      <c r="BP203" s="541"/>
      <c r="BQ203" s="541"/>
      <c r="BR203" s="541"/>
      <c r="BS203" s="541"/>
      <c r="BT203" s="541"/>
      <c r="BU203" s="541"/>
      <c r="BV203" s="541"/>
      <c r="BW203" s="541"/>
      <c r="BX203" s="541"/>
      <c r="BY203" s="541"/>
      <c r="BZ203" s="541"/>
      <c r="CA203" s="541"/>
      <c r="CB203" s="541"/>
      <c r="CC203" s="541"/>
      <c r="CD203" s="541"/>
      <c r="CE203" s="541"/>
      <c r="CF203" s="541"/>
      <c r="CG203" s="541"/>
      <c r="CH203" s="541"/>
      <c r="CI203" s="541"/>
      <c r="CJ203" s="541"/>
      <c r="CK203" s="541"/>
      <c r="CL203" s="541"/>
      <c r="CM203" s="541"/>
      <c r="CN203" s="541"/>
      <c r="CO203" s="541"/>
      <c r="CP203" s="541"/>
      <c r="CQ203" s="541"/>
      <c r="CR203" s="541"/>
      <c r="CS203" s="541"/>
      <c r="CT203" s="541"/>
      <c r="CU203" s="541"/>
      <c r="CV203" s="541"/>
      <c r="CW203" s="541"/>
      <c r="CX203" s="541"/>
      <c r="CY203" s="541"/>
      <c r="CZ203" s="541"/>
      <c r="DA203" s="541"/>
      <c r="DB203" s="541"/>
      <c r="DC203" s="541"/>
      <c r="DD203" s="541"/>
      <c r="DE203" s="541"/>
      <c r="DF203" s="541"/>
      <c r="DG203" s="541"/>
      <c r="DH203" s="541"/>
      <c r="DI203" s="541"/>
      <c r="DJ203" s="541"/>
      <c r="DK203" s="541"/>
      <c r="DL203" s="541"/>
      <c r="DM203" s="541"/>
      <c r="DN203" s="541"/>
      <c r="DO203" s="541"/>
      <c r="DP203" s="541"/>
      <c r="DQ203" s="541"/>
      <c r="DR203" s="541"/>
      <c r="DS203" s="541"/>
      <c r="DT203" s="541"/>
      <c r="DU203" s="541"/>
      <c r="DV203" s="541"/>
      <c r="DW203" s="541"/>
      <c r="DX203" s="541"/>
      <c r="DY203" s="541"/>
      <c r="DZ203" s="541"/>
      <c r="EA203" s="541"/>
      <c r="EB203" s="541"/>
      <c r="EC203" s="541"/>
      <c r="ED203" s="541"/>
      <c r="EE203" s="541"/>
      <c r="EF203" s="541"/>
      <c r="EG203" s="541"/>
      <c r="EH203" s="541"/>
      <c r="EI203" s="541"/>
      <c r="EJ203" s="541"/>
      <c r="EK203" s="541"/>
      <c r="EL203" s="541"/>
      <c r="EM203" s="541"/>
      <c r="EN203" s="541"/>
      <c r="EO203" s="541"/>
      <c r="EP203" s="541"/>
      <c r="EQ203" s="541"/>
      <c r="ER203" s="541"/>
      <c r="ES203" s="541"/>
      <c r="ET203" s="541"/>
      <c r="EU203" s="541"/>
      <c r="EV203" s="541"/>
      <c r="EW203" s="541"/>
      <c r="EX203" s="541"/>
      <c r="EY203" s="541"/>
      <c r="EZ203" s="541"/>
      <c r="FA203" s="541"/>
      <c r="FB203" s="541"/>
      <c r="FC203" s="541"/>
      <c r="FD203" s="541"/>
      <c r="FE203" s="541"/>
      <c r="FF203" s="541"/>
      <c r="FG203" s="541"/>
      <c r="FH203" s="541"/>
      <c r="FI203" s="541"/>
      <c r="FJ203" s="541"/>
      <c r="FK203" s="541"/>
      <c r="FL203" s="541"/>
      <c r="FM203" s="541"/>
      <c r="FN203" s="541"/>
      <c r="FO203" s="541"/>
      <c r="FP203" s="541"/>
      <c r="FQ203" s="541"/>
      <c r="FR203" s="541"/>
      <c r="FS203" s="541"/>
      <c r="FT203" s="541"/>
      <c r="FU203" s="541"/>
      <c r="FV203" s="541"/>
      <c r="FW203" s="541"/>
      <c r="FX203" s="541"/>
      <c r="FY203" s="541"/>
      <c r="FZ203" s="541"/>
      <c r="GA203" s="541"/>
      <c r="GB203" s="541"/>
      <c r="GC203" s="541"/>
      <c r="GD203" s="541"/>
      <c r="GE203" s="541"/>
      <c r="GF203" s="541"/>
      <c r="GG203" s="541"/>
      <c r="GH203" s="541"/>
      <c r="GI203" s="541"/>
      <c r="GJ203" s="541"/>
      <c r="GK203" s="541"/>
      <c r="GL203" s="541"/>
      <c r="GM203" s="541"/>
      <c r="GN203" s="541"/>
      <c r="GO203" s="541"/>
      <c r="GP203" s="541"/>
      <c r="GQ203" s="541"/>
      <c r="GR203" s="541"/>
      <c r="GS203" s="541"/>
      <c r="GT203" s="541"/>
      <c r="GU203" s="541"/>
      <c r="GV203" s="541"/>
      <c r="GW203" s="541"/>
      <c r="GX203" s="541"/>
      <c r="GY203" s="541"/>
      <c r="GZ203" s="541"/>
      <c r="HA203" s="541"/>
      <c r="HB203" s="541"/>
      <c r="HC203" s="541"/>
      <c r="HD203" s="541"/>
      <c r="HE203" s="541"/>
      <c r="HF203" s="541"/>
      <c r="HG203" s="541"/>
      <c r="HH203" s="541"/>
      <c r="HI203" s="541"/>
      <c r="HJ203" s="541"/>
      <c r="HK203" s="541"/>
      <c r="HL203" s="541"/>
      <c r="HM203" s="541"/>
      <c r="HN203" s="541"/>
      <c r="HO203" s="541"/>
      <c r="HP203" s="541"/>
      <c r="HQ203" s="541"/>
      <c r="HR203" s="541"/>
      <c r="HS203" s="541"/>
      <c r="HT203" s="541"/>
      <c r="HU203" s="541"/>
      <c r="HV203" s="541"/>
      <c r="HW203" s="541"/>
      <c r="HX203" s="541"/>
      <c r="HY203" s="541"/>
      <c r="HZ203" s="541"/>
      <c r="IA203" s="541"/>
      <c r="IB203" s="541"/>
      <c r="IC203" s="541"/>
      <c r="ID203" s="541"/>
      <c r="IE203" s="541"/>
      <c r="IF203" s="541"/>
      <c r="IG203" s="541"/>
      <c r="IH203" s="541"/>
      <c r="II203" s="541"/>
      <c r="IJ203" s="541"/>
      <c r="IK203" s="541"/>
      <c r="IL203" s="541"/>
      <c r="IM203" s="541"/>
      <c r="IN203" s="541"/>
      <c r="IO203" s="541"/>
      <c r="IP203" s="541"/>
      <c r="IQ203" s="541"/>
      <c r="IR203" s="541"/>
      <c r="IS203" s="541"/>
      <c r="IT203" s="541"/>
      <c r="IU203" s="541"/>
      <c r="IV203" s="541"/>
      <c r="IW203" s="541"/>
      <c r="IX203" s="541"/>
      <c r="IY203" s="541"/>
      <c r="IZ203" s="541"/>
      <c r="JA203" s="541"/>
      <c r="JB203" s="541"/>
      <c r="JC203" s="541"/>
      <c r="JD203" s="541"/>
      <c r="JE203" s="541"/>
      <c r="JF203" s="541"/>
      <c r="JG203" s="541"/>
      <c r="JH203" s="541"/>
      <c r="JI203" s="541"/>
      <c r="JJ203" s="541"/>
      <c r="JK203" s="541"/>
      <c r="JL203" s="541"/>
      <c r="JM203" s="541"/>
      <c r="JN203" s="541"/>
      <c r="JO203" s="541"/>
      <c r="JP203" s="541"/>
      <c r="JQ203" s="541"/>
      <c r="JR203" s="541"/>
      <c r="JS203" s="541"/>
      <c r="JT203" s="541"/>
      <c r="JU203" s="541"/>
      <c r="JV203" s="541"/>
      <c r="JW203" s="541"/>
      <c r="JX203" s="541"/>
      <c r="JY203" s="541"/>
      <c r="JZ203" s="541"/>
      <c r="KA203" s="541"/>
      <c r="KB203" s="541"/>
      <c r="KC203" s="541"/>
      <c r="KD203" s="541"/>
      <c r="KE203" s="541"/>
      <c r="KF203" s="541"/>
      <c r="KG203" s="541"/>
      <c r="KH203" s="541"/>
      <c r="KI203" s="541"/>
      <c r="KJ203" s="541"/>
      <c r="KK203" s="541"/>
      <c r="KL203" s="541"/>
      <c r="KM203" s="541"/>
      <c r="KN203" s="541"/>
      <c r="KO203" s="541"/>
      <c r="KP203" s="541"/>
      <c r="KQ203" s="541"/>
      <c r="KR203" s="541"/>
      <c r="KS203" s="541"/>
      <c r="KT203" s="541"/>
      <c r="KU203" s="541"/>
      <c r="KV203" s="541"/>
      <c r="KW203" s="541"/>
      <c r="KX203" s="541"/>
      <c r="KY203" s="541"/>
      <c r="KZ203" s="541"/>
      <c r="LA203" s="541"/>
      <c r="LB203" s="541"/>
      <c r="LC203" s="541"/>
      <c r="LD203" s="541"/>
      <c r="LE203" s="541"/>
      <c r="LF203" s="541"/>
      <c r="LG203" s="541"/>
      <c r="LH203" s="541"/>
      <c r="LI203" s="541"/>
      <c r="LJ203" s="541"/>
      <c r="LK203" s="541"/>
      <c r="LL203" s="541"/>
      <c r="LM203" s="541"/>
      <c r="LN203" s="541"/>
      <c r="LO203" s="541"/>
      <c r="LP203" s="541"/>
      <c r="LQ203" s="541"/>
      <c r="LR203" s="541"/>
      <c r="LS203" s="541"/>
      <c r="LT203" s="541"/>
      <c r="LU203" s="541"/>
      <c r="LV203" s="541"/>
      <c r="LW203" s="541"/>
      <c r="LX203" s="541"/>
      <c r="LY203" s="541"/>
      <c r="LZ203" s="541"/>
      <c r="MA203" s="541"/>
      <c r="MB203" s="541"/>
      <c r="MC203" s="541"/>
      <c r="MD203" s="541"/>
      <c r="ME203" s="541"/>
      <c r="MF203" s="541"/>
      <c r="MG203" s="541"/>
      <c r="MH203" s="541"/>
      <c r="MI203" s="541"/>
      <c r="MJ203" s="541"/>
      <c r="MK203" s="541"/>
      <c r="ML203" s="541"/>
      <c r="MM203" s="541"/>
      <c r="MN203" s="541"/>
      <c r="MO203" s="541"/>
      <c r="MP203" s="541"/>
      <c r="MQ203" s="541"/>
      <c r="MR203" s="541"/>
      <c r="MS203" s="541"/>
      <c r="MT203" s="541"/>
      <c r="MU203" s="541"/>
      <c r="MV203" s="541"/>
      <c r="MW203" s="541"/>
      <c r="MX203" s="541"/>
      <c r="MY203" s="541"/>
      <c r="MZ203" s="541"/>
      <c r="NA203" s="541"/>
      <c r="NB203" s="541"/>
      <c r="NC203" s="541"/>
      <c r="ND203" s="541"/>
      <c r="NE203" s="541"/>
      <c r="NF203" s="541"/>
      <c r="NG203" s="541"/>
      <c r="NH203" s="541"/>
      <c r="NI203" s="541"/>
      <c r="NJ203" s="541"/>
      <c r="NK203" s="541"/>
      <c r="NL203" s="541"/>
      <c r="NM203" s="541"/>
      <c r="NN203" s="541"/>
      <c r="NO203" s="541"/>
      <c r="NP203" s="541"/>
      <c r="NQ203" s="541"/>
      <c r="NR203" s="541"/>
      <c r="NS203" s="541"/>
      <c r="NT203" s="541"/>
      <c r="NU203" s="541"/>
      <c r="NV203" s="541"/>
      <c r="NW203" s="541"/>
      <c r="NX203" s="541"/>
      <c r="NY203" s="541"/>
      <c r="NZ203" s="541"/>
      <c r="OA203" s="541"/>
      <c r="OB203" s="541"/>
      <c r="OC203" s="541"/>
      <c r="OD203" s="541"/>
      <c r="OE203" s="541"/>
      <c r="OF203" s="541"/>
      <c r="OG203" s="541"/>
      <c r="OH203" s="541"/>
      <c r="OI203" s="541"/>
      <c r="OJ203" s="541"/>
      <c r="OK203" s="541"/>
      <c r="OL203" s="541"/>
      <c r="OM203" s="541"/>
      <c r="ON203" s="541"/>
      <c r="OO203" s="541"/>
      <c r="OP203" s="541"/>
      <c r="OQ203" s="541"/>
      <c r="OR203" s="541"/>
      <c r="OS203" s="541"/>
      <c r="OT203" s="541"/>
      <c r="OU203" s="541"/>
      <c r="OV203" s="541"/>
      <c r="OW203" s="541"/>
      <c r="OX203" s="541"/>
      <c r="OY203" s="541"/>
      <c r="OZ203" s="541"/>
      <c r="PA203" s="541"/>
      <c r="PB203" s="541"/>
      <c r="PC203" s="541"/>
      <c r="PD203" s="541"/>
      <c r="PE203" s="541"/>
      <c r="PF203" s="541"/>
      <c r="PG203" s="541"/>
      <c r="PH203" s="541"/>
      <c r="PI203" s="541"/>
      <c r="PJ203" s="541"/>
      <c r="PK203" s="541"/>
      <c r="PL203" s="541"/>
      <c r="PM203" s="541"/>
      <c r="PN203" s="541"/>
      <c r="PO203" s="541"/>
      <c r="PP203" s="541"/>
      <c r="PQ203" s="541"/>
      <c r="PR203" s="541"/>
      <c r="PS203" s="541"/>
      <c r="PT203" s="541"/>
      <c r="PU203" s="541"/>
      <c r="PV203" s="541"/>
      <c r="PW203" s="541"/>
      <c r="PX203" s="541"/>
      <c r="PY203" s="541"/>
      <c r="PZ203" s="541"/>
      <c r="QA203" s="541"/>
      <c r="QB203" s="541"/>
      <c r="QC203" s="541"/>
      <c r="QD203" s="541"/>
      <c r="QE203" s="541"/>
      <c r="QF203" s="541"/>
      <c r="QG203" s="541"/>
      <c r="QH203" s="541"/>
      <c r="QI203" s="541"/>
      <c r="QJ203" s="541"/>
      <c r="QK203" s="541"/>
      <c r="QL203" s="541"/>
      <c r="QM203" s="541"/>
      <c r="QN203" s="541"/>
      <c r="QO203" s="541"/>
      <c r="QP203" s="541"/>
      <c r="QQ203" s="541"/>
      <c r="QR203" s="541"/>
      <c r="QS203" s="541"/>
      <c r="QT203" s="541"/>
      <c r="QU203" s="541"/>
      <c r="QV203" s="541"/>
      <c r="QW203" s="541"/>
      <c r="QX203" s="541"/>
      <c r="QY203" s="541"/>
      <c r="QZ203" s="541"/>
      <c r="RA203" s="541"/>
      <c r="RB203" s="541"/>
      <c r="RC203" s="541"/>
      <c r="RD203" s="541"/>
      <c r="RE203" s="541"/>
      <c r="RF203" s="541"/>
      <c r="RG203" s="541"/>
      <c r="RH203" s="541"/>
      <c r="RI203" s="541"/>
      <c r="RJ203" s="541"/>
      <c r="RK203" s="541"/>
      <c r="RL203" s="541"/>
      <c r="RM203" s="541"/>
      <c r="RN203" s="541"/>
      <c r="RO203" s="541"/>
      <c r="RP203" s="541"/>
      <c r="RQ203" s="541"/>
      <c r="RR203" s="541"/>
      <c r="RS203" s="541"/>
      <c r="RT203" s="541"/>
      <c r="RU203" s="541"/>
      <c r="RV203" s="541"/>
      <c r="RW203" s="541"/>
      <c r="RX203" s="541"/>
      <c r="RY203" s="541"/>
      <c r="RZ203" s="541"/>
      <c r="SA203" s="541"/>
      <c r="SB203" s="541"/>
      <c r="SC203" s="541"/>
      <c r="SD203" s="541"/>
      <c r="SE203" s="541"/>
      <c r="SF203" s="541"/>
      <c r="SG203" s="541"/>
      <c r="SH203" s="541"/>
      <c r="SI203" s="541"/>
      <c r="SJ203" s="541"/>
      <c r="SK203" s="541"/>
      <c r="SL203" s="541"/>
      <c r="SM203" s="541"/>
      <c r="SN203" s="541"/>
      <c r="SO203" s="541"/>
      <c r="SP203" s="541"/>
      <c r="SQ203" s="541"/>
      <c r="SR203" s="541"/>
      <c r="SS203" s="541"/>
      <c r="ST203" s="541"/>
      <c r="SU203" s="541"/>
      <c r="SV203" s="541"/>
      <c r="SW203" s="541"/>
      <c r="SX203" s="541"/>
      <c r="SY203" s="541"/>
      <c r="SZ203" s="541"/>
      <c r="TA203" s="541"/>
      <c r="TB203" s="541"/>
      <c r="TC203" s="541"/>
      <c r="TD203" s="541"/>
      <c r="TE203" s="541"/>
      <c r="TF203" s="541"/>
      <c r="TG203" s="541"/>
      <c r="TH203" s="541"/>
      <c r="TI203" s="541"/>
      <c r="TJ203" s="541"/>
      <c r="TK203" s="541"/>
      <c r="TL203" s="541"/>
      <c r="TM203" s="541"/>
      <c r="TN203" s="541"/>
      <c r="TO203" s="541"/>
      <c r="TP203" s="541"/>
      <c r="TQ203" s="541"/>
      <c r="TR203" s="541"/>
      <c r="TS203" s="541"/>
      <c r="TT203" s="541"/>
      <c r="TU203" s="541"/>
      <c r="TV203" s="541"/>
      <c r="TW203" s="541"/>
      <c r="TX203" s="541"/>
      <c r="TY203" s="541"/>
      <c r="TZ203" s="541"/>
      <c r="UA203" s="541"/>
      <c r="UB203" s="541"/>
      <c r="UC203" s="541"/>
      <c r="UD203" s="541"/>
      <c r="UE203" s="541"/>
      <c r="UF203" s="541"/>
      <c r="UG203" s="541"/>
      <c r="UH203" s="541"/>
      <c r="UI203" s="541"/>
      <c r="UJ203" s="541"/>
      <c r="UK203" s="541"/>
      <c r="UL203" s="541"/>
      <c r="UM203" s="541"/>
      <c r="UN203" s="541"/>
      <c r="UO203" s="541"/>
      <c r="UP203" s="541"/>
      <c r="UQ203" s="541"/>
      <c r="UR203" s="541"/>
      <c r="US203" s="541"/>
      <c r="UT203" s="541"/>
      <c r="UU203" s="541"/>
      <c r="UV203" s="541"/>
      <c r="UW203" s="541"/>
      <c r="UX203" s="541"/>
      <c r="UY203" s="541"/>
      <c r="UZ203" s="541"/>
      <c r="VA203" s="541"/>
      <c r="VB203" s="541"/>
      <c r="VC203" s="541"/>
      <c r="VD203" s="541"/>
      <c r="VE203" s="541"/>
      <c r="VF203" s="541"/>
      <c r="VG203" s="541"/>
      <c r="VH203" s="541"/>
      <c r="VI203" s="541"/>
      <c r="VJ203" s="541"/>
      <c r="VK203" s="541"/>
      <c r="VL203" s="541"/>
      <c r="VM203" s="541"/>
      <c r="VN203" s="541"/>
      <c r="VO203" s="541"/>
      <c r="VP203" s="541"/>
      <c r="VQ203" s="541"/>
      <c r="VR203" s="541"/>
      <c r="VS203" s="541"/>
      <c r="VT203" s="541"/>
      <c r="VU203" s="541"/>
      <c r="VV203" s="541"/>
      <c r="VW203" s="541"/>
      <c r="VX203" s="541"/>
      <c r="VY203" s="541"/>
      <c r="VZ203" s="541"/>
      <c r="WA203" s="541"/>
      <c r="WB203" s="541"/>
      <c r="WC203" s="541"/>
      <c r="WD203" s="541"/>
      <c r="WE203" s="541"/>
      <c r="WF203" s="541"/>
      <c r="WG203" s="541"/>
      <c r="WH203" s="541"/>
      <c r="WI203" s="541"/>
      <c r="WJ203" s="541"/>
      <c r="WK203" s="541"/>
      <c r="WL203" s="541"/>
      <c r="WM203" s="541"/>
      <c r="WN203" s="541"/>
      <c r="WO203" s="541"/>
      <c r="WP203" s="541"/>
      <c r="WQ203" s="541"/>
      <c r="WR203" s="541"/>
      <c r="WS203" s="541"/>
      <c r="WT203" s="541"/>
      <c r="WU203" s="541"/>
      <c r="WV203" s="541"/>
      <c r="WW203" s="541"/>
      <c r="WX203" s="541"/>
      <c r="WY203" s="541"/>
      <c r="WZ203" s="541"/>
      <c r="XA203" s="541"/>
      <c r="XB203" s="541"/>
      <c r="XC203" s="541"/>
      <c r="XD203" s="541"/>
      <c r="XE203" s="541"/>
      <c r="XF203" s="541"/>
      <c r="XG203" s="541"/>
      <c r="XH203" s="541"/>
      <c r="XI203" s="541"/>
      <c r="XJ203" s="541"/>
      <c r="XK203" s="541"/>
      <c r="XL203" s="541"/>
      <c r="XM203" s="541"/>
      <c r="XN203" s="541"/>
      <c r="XO203" s="541"/>
      <c r="XP203" s="541"/>
      <c r="XQ203" s="541"/>
      <c r="XR203" s="541"/>
      <c r="XS203" s="541"/>
      <c r="XT203" s="541"/>
      <c r="XU203" s="541"/>
      <c r="XV203" s="541"/>
      <c r="XW203" s="541"/>
      <c r="XX203" s="541"/>
      <c r="XY203" s="541"/>
      <c r="XZ203" s="541"/>
      <c r="YA203" s="541"/>
      <c r="YB203" s="541"/>
      <c r="YC203" s="541"/>
      <c r="YD203" s="541"/>
      <c r="YE203" s="541"/>
      <c r="YF203" s="541"/>
      <c r="YG203" s="541"/>
      <c r="YH203" s="541"/>
      <c r="YI203" s="541"/>
      <c r="YJ203" s="541"/>
      <c r="YK203" s="541"/>
      <c r="YL203" s="541"/>
      <c r="YM203" s="541"/>
      <c r="YN203" s="541"/>
      <c r="YO203" s="541"/>
      <c r="YP203" s="541"/>
      <c r="YQ203" s="541"/>
      <c r="YR203" s="541"/>
      <c r="YS203" s="541"/>
      <c r="YT203" s="541"/>
      <c r="YU203" s="541"/>
      <c r="YV203" s="541"/>
      <c r="YW203" s="541"/>
      <c r="YX203" s="541"/>
      <c r="YY203" s="541"/>
      <c r="YZ203" s="541"/>
      <c r="ZA203" s="541"/>
      <c r="ZB203" s="541"/>
      <c r="ZC203" s="541"/>
      <c r="ZD203" s="541"/>
      <c r="ZE203" s="541"/>
      <c r="ZF203" s="541"/>
      <c r="ZG203" s="541"/>
      <c r="ZH203" s="541"/>
      <c r="ZI203" s="541"/>
      <c r="ZJ203" s="541"/>
      <c r="ZK203" s="541"/>
      <c r="ZL203" s="541"/>
      <c r="ZM203" s="541"/>
      <c r="ZN203" s="541"/>
      <c r="ZO203" s="541"/>
      <c r="ZP203" s="541"/>
      <c r="ZQ203" s="541"/>
      <c r="ZR203" s="541"/>
      <c r="ZS203" s="541"/>
      <c r="ZT203" s="541"/>
      <c r="ZU203" s="541"/>
      <c r="ZV203" s="541"/>
      <c r="ZW203" s="541"/>
      <c r="ZX203" s="541"/>
      <c r="ZY203" s="541"/>
      <c r="ZZ203" s="541"/>
      <c r="AAA203" s="541"/>
      <c r="AAB203" s="541"/>
      <c r="AAC203" s="541"/>
      <c r="AAD203" s="541"/>
      <c r="AAE203" s="541"/>
      <c r="AAF203" s="541"/>
      <c r="AAG203" s="541"/>
      <c r="AAH203" s="541"/>
      <c r="AAI203" s="541"/>
      <c r="AAJ203" s="541"/>
      <c r="AAK203" s="541"/>
      <c r="AAL203" s="541"/>
      <c r="AAM203" s="541"/>
      <c r="AAN203" s="541"/>
      <c r="AAO203" s="541"/>
      <c r="AAP203" s="541"/>
      <c r="AAQ203" s="541"/>
      <c r="AAR203" s="541"/>
      <c r="AAS203" s="541"/>
      <c r="AAT203" s="541"/>
      <c r="AAU203" s="541"/>
      <c r="AAV203" s="541"/>
      <c r="AAW203" s="541"/>
      <c r="AAX203" s="541"/>
      <c r="AAY203" s="541"/>
      <c r="AAZ203" s="541"/>
      <c r="ABA203" s="541"/>
      <c r="ABB203" s="541"/>
      <c r="ABC203" s="541"/>
      <c r="ABD203" s="541"/>
      <c r="ABE203" s="541"/>
      <c r="ABF203" s="541"/>
      <c r="ABG203" s="541"/>
      <c r="ABH203" s="541"/>
      <c r="ABI203" s="541"/>
      <c r="ABJ203" s="541"/>
      <c r="ABK203" s="541"/>
      <c r="ABL203" s="541"/>
      <c r="ABM203" s="541"/>
      <c r="ABN203" s="541"/>
      <c r="ABO203" s="541"/>
      <c r="ABP203" s="541"/>
      <c r="ABQ203" s="541"/>
      <c r="ABR203" s="541"/>
      <c r="ABS203" s="541"/>
      <c r="ABT203" s="541"/>
      <c r="ABU203" s="541"/>
      <c r="ABV203" s="541"/>
      <c r="ABW203" s="541"/>
      <c r="ABX203" s="541"/>
      <c r="ABY203" s="541"/>
      <c r="ABZ203" s="541"/>
      <c r="ACA203" s="541"/>
      <c r="ACB203" s="541"/>
      <c r="ACC203" s="541"/>
      <c r="ACD203" s="541"/>
      <c r="ACE203" s="541"/>
      <c r="ACF203" s="541"/>
      <c r="ACG203" s="541"/>
      <c r="ACH203" s="541"/>
      <c r="ACI203" s="541"/>
      <c r="ACJ203" s="541"/>
      <c r="ACK203" s="541"/>
      <c r="ACL203" s="541"/>
      <c r="ACM203" s="541"/>
      <c r="ACN203" s="541"/>
      <c r="ACO203" s="541"/>
      <c r="ACP203" s="541"/>
      <c r="ACQ203" s="541"/>
      <c r="ACR203" s="541"/>
      <c r="ACS203" s="541"/>
      <c r="ACT203" s="541"/>
      <c r="ACU203" s="541"/>
      <c r="ACV203" s="541"/>
      <c r="ACW203" s="541"/>
      <c r="ACX203" s="541"/>
      <c r="ACY203" s="541"/>
      <c r="ACZ203" s="541"/>
      <c r="ADA203" s="541"/>
      <c r="ADB203" s="541"/>
      <c r="ADC203" s="541"/>
      <c r="ADD203" s="541"/>
      <c r="ADE203" s="541"/>
      <c r="ADF203" s="541"/>
      <c r="ADG203" s="541"/>
      <c r="ADH203" s="541"/>
      <c r="ADI203" s="541"/>
      <c r="ADJ203" s="541"/>
      <c r="ADK203" s="541"/>
      <c r="ADL203" s="541"/>
      <c r="ADM203" s="541"/>
      <c r="ADN203" s="541"/>
      <c r="ADO203" s="541"/>
      <c r="ADP203" s="541"/>
      <c r="ADQ203" s="541"/>
      <c r="ADR203" s="541"/>
      <c r="ADS203" s="541"/>
      <c r="ADT203" s="541"/>
      <c r="ADU203" s="541"/>
      <c r="ADV203" s="541"/>
      <c r="ADW203" s="541"/>
      <c r="ADX203" s="541"/>
      <c r="ADY203" s="541"/>
      <c r="ADZ203" s="541"/>
      <c r="AEA203" s="541"/>
      <c r="AEB203" s="541"/>
      <c r="AEC203" s="541"/>
      <c r="AED203" s="541"/>
      <c r="AEE203" s="541"/>
      <c r="AEF203" s="541"/>
      <c r="AEG203" s="541"/>
      <c r="AEH203" s="541"/>
      <c r="AEI203" s="541"/>
      <c r="AEJ203" s="541"/>
      <c r="AEK203" s="541"/>
      <c r="AEL203" s="541"/>
      <c r="AEM203" s="541"/>
      <c r="AEN203" s="541"/>
      <c r="AEO203" s="541"/>
      <c r="AEP203" s="541"/>
      <c r="AEQ203" s="541"/>
      <c r="AER203" s="541"/>
      <c r="AES203" s="541"/>
      <c r="AET203" s="541"/>
      <c r="AEU203" s="541"/>
      <c r="AEV203" s="541"/>
      <c r="AEW203" s="541"/>
      <c r="AEX203" s="541"/>
      <c r="AEY203" s="541"/>
      <c r="AEZ203" s="541"/>
      <c r="AFA203" s="541"/>
      <c r="AFB203" s="541"/>
      <c r="AFC203" s="541"/>
      <c r="AFD203" s="541"/>
      <c r="AFE203" s="541"/>
      <c r="AFF203" s="541"/>
      <c r="AFG203" s="541"/>
      <c r="AFH203" s="541"/>
      <c r="AFI203" s="541"/>
      <c r="AFJ203" s="541"/>
      <c r="AFK203" s="541"/>
      <c r="AFL203" s="541"/>
      <c r="AFM203" s="541"/>
      <c r="AFN203" s="541"/>
      <c r="AFO203" s="541"/>
      <c r="AFP203" s="541"/>
      <c r="AFQ203" s="541"/>
      <c r="AFR203" s="541"/>
      <c r="AFS203" s="541"/>
      <c r="AFT203" s="541"/>
      <c r="AFU203" s="541"/>
      <c r="AFV203" s="541"/>
      <c r="AFW203" s="541"/>
      <c r="AFX203" s="541"/>
      <c r="AFY203" s="541"/>
      <c r="AFZ203" s="541"/>
      <c r="AGA203" s="541"/>
      <c r="AGB203" s="541"/>
      <c r="AGC203" s="541"/>
      <c r="AGD203" s="541"/>
      <c r="AGE203" s="541"/>
      <c r="AGF203" s="541"/>
      <c r="AGG203" s="541"/>
      <c r="AGH203" s="541"/>
      <c r="AGI203" s="541"/>
      <c r="AGJ203" s="541"/>
      <c r="AGK203" s="541"/>
      <c r="AGL203" s="541"/>
      <c r="AGM203" s="541"/>
      <c r="AGN203" s="541"/>
      <c r="AGO203" s="541"/>
      <c r="AGP203" s="541"/>
      <c r="AGQ203" s="541"/>
      <c r="AGR203" s="541"/>
      <c r="AGS203" s="541"/>
      <c r="AGT203" s="541"/>
      <c r="AGU203" s="541"/>
      <c r="AGV203" s="541"/>
      <c r="AGW203" s="541"/>
      <c r="AGX203" s="541"/>
      <c r="AGY203" s="541"/>
      <c r="AGZ203" s="541"/>
      <c r="AHA203" s="541"/>
      <c r="AHB203" s="541"/>
      <c r="AHC203" s="541"/>
      <c r="AHD203" s="541"/>
      <c r="AHE203" s="541"/>
      <c r="AHF203" s="541"/>
      <c r="AHG203" s="541"/>
      <c r="AHH203" s="541"/>
      <c r="AHI203" s="541"/>
      <c r="AHJ203" s="541"/>
      <c r="AHK203" s="541"/>
      <c r="AHL203" s="541"/>
      <c r="AHM203" s="541"/>
      <c r="AHN203" s="541"/>
      <c r="AHO203" s="541"/>
      <c r="AHP203" s="541"/>
      <c r="AHQ203" s="541"/>
      <c r="AHR203" s="541"/>
      <c r="AHS203" s="541"/>
      <c r="AHT203" s="541"/>
      <c r="AHU203" s="541"/>
      <c r="AHV203" s="541"/>
      <c r="AHW203" s="541"/>
      <c r="AHX203" s="541"/>
      <c r="AHY203" s="541"/>
      <c r="AHZ203" s="541"/>
      <c r="AIA203" s="541"/>
      <c r="AIB203" s="541"/>
      <c r="AIC203" s="541"/>
      <c r="AID203" s="541"/>
      <c r="AIE203" s="541"/>
      <c r="AIF203" s="541"/>
      <c r="AIG203" s="541"/>
      <c r="AIH203" s="541"/>
      <c r="AII203" s="541"/>
      <c r="AIJ203" s="541"/>
      <c r="AIK203" s="541"/>
      <c r="AIL203" s="541"/>
      <c r="AIM203" s="541"/>
      <c r="AIN203" s="541"/>
      <c r="AIO203" s="541"/>
      <c r="AIP203" s="541"/>
      <c r="AIQ203" s="541"/>
      <c r="AIR203" s="541"/>
      <c r="AIS203" s="541"/>
      <c r="AIT203" s="541"/>
      <c r="AIU203" s="541"/>
      <c r="AIV203" s="541"/>
      <c r="AIW203" s="541"/>
      <c r="AIX203" s="541"/>
      <c r="AIY203" s="541"/>
      <c r="AIZ203" s="541"/>
      <c r="AJA203" s="541"/>
      <c r="AJB203" s="541"/>
      <c r="AJC203" s="541"/>
      <c r="AJD203" s="541"/>
      <c r="AJE203" s="541"/>
      <c r="AJF203" s="541"/>
      <c r="AJG203" s="541"/>
      <c r="AJH203" s="541"/>
      <c r="AJI203" s="541"/>
      <c r="AJJ203" s="541"/>
      <c r="AJK203" s="541"/>
      <c r="AJL203" s="541"/>
      <c r="AJM203" s="541"/>
      <c r="AJN203" s="541"/>
      <c r="AJO203" s="541"/>
      <c r="AJP203" s="541"/>
      <c r="AJQ203" s="541"/>
      <c r="AJR203" s="541"/>
      <c r="AJS203" s="541"/>
      <c r="AJT203" s="541"/>
      <c r="AJU203" s="541"/>
      <c r="AJV203" s="541"/>
      <c r="AJW203" s="541"/>
      <c r="AJX203" s="541"/>
      <c r="AJY203" s="541"/>
      <c r="AJZ203" s="541"/>
      <c r="AKA203" s="541"/>
      <c r="AKB203" s="541"/>
      <c r="AKC203" s="541"/>
      <c r="AKD203" s="541"/>
      <c r="AKE203" s="541"/>
      <c r="AKF203" s="541"/>
      <c r="AKG203" s="541"/>
      <c r="AKH203" s="541"/>
      <c r="AKI203" s="541"/>
      <c r="AKJ203" s="541"/>
      <c r="AKK203" s="541"/>
      <c r="AKL203" s="541"/>
      <c r="AKM203" s="541"/>
      <c r="AKN203" s="541"/>
      <c r="AKO203" s="541"/>
      <c r="AKP203" s="541"/>
      <c r="AKQ203" s="541"/>
      <c r="AKR203" s="541"/>
      <c r="AKS203" s="541"/>
      <c r="AKT203" s="541"/>
      <c r="AKU203" s="541"/>
      <c r="AKV203" s="541"/>
      <c r="AKW203" s="541"/>
      <c r="AKX203" s="541"/>
      <c r="AKY203" s="541"/>
      <c r="AKZ203" s="541"/>
      <c r="ALA203" s="541"/>
      <c r="ALB203" s="541"/>
      <c r="ALC203" s="541"/>
      <c r="ALD203" s="541"/>
      <c r="ALE203" s="541"/>
      <c r="ALF203" s="541"/>
      <c r="ALG203" s="541"/>
      <c r="ALH203" s="541"/>
      <c r="ALI203" s="541"/>
      <c r="ALJ203" s="541"/>
      <c r="ALK203" s="541"/>
      <c r="ALL203" s="541"/>
      <c r="ALM203" s="541"/>
      <c r="ALN203" s="541"/>
      <c r="ALO203" s="541"/>
      <c r="ALP203" s="541"/>
      <c r="ALQ203" s="541"/>
      <c r="ALR203" s="541"/>
      <c r="ALS203" s="541"/>
      <c r="ALT203" s="541"/>
      <c r="ALU203" s="541"/>
      <c r="ALV203" s="541"/>
      <c r="ALW203" s="541"/>
      <c r="ALX203" s="541"/>
      <c r="ALY203" s="541"/>
      <c r="ALZ203" s="541"/>
      <c r="AMA203" s="541"/>
      <c r="AMB203" s="541"/>
      <c r="AMC203" s="541"/>
      <c r="AMD203" s="541"/>
      <c r="AME203" s="541"/>
      <c r="AMF203" s="541"/>
      <c r="AMG203" s="541"/>
      <c r="AMH203" s="541"/>
      <c r="AMI203" s="541"/>
      <c r="AMJ203" s="541"/>
      <c r="AMK203" s="541"/>
      <c r="AML203" s="541"/>
      <c r="AMM203" s="541"/>
      <c r="AMN203" s="541"/>
      <c r="AMO203" s="541"/>
      <c r="AMP203" s="541"/>
      <c r="AMQ203" s="541"/>
      <c r="AMR203" s="541"/>
      <c r="AMS203" s="541"/>
      <c r="AMT203" s="541"/>
      <c r="AMU203" s="541"/>
      <c r="AMV203" s="541"/>
      <c r="AMW203" s="541"/>
      <c r="AMX203" s="541"/>
      <c r="AMY203" s="541"/>
      <c r="AMZ203" s="541"/>
      <c r="ANA203" s="541"/>
      <c r="ANB203" s="541"/>
      <c r="ANC203" s="541"/>
      <c r="AND203" s="541"/>
      <c r="ANE203" s="541"/>
      <c r="ANF203" s="541"/>
      <c r="ANG203" s="541"/>
      <c r="ANH203" s="541"/>
      <c r="ANI203" s="541"/>
      <c r="ANJ203" s="541"/>
      <c r="ANK203" s="541"/>
      <c r="ANL203" s="541"/>
      <c r="ANM203" s="541"/>
      <c r="ANN203" s="541"/>
      <c r="ANO203" s="541"/>
      <c r="ANP203" s="541"/>
      <c r="ANQ203" s="541"/>
      <c r="ANR203" s="541"/>
      <c r="ANS203" s="541"/>
      <c r="ANT203" s="541"/>
      <c r="ANU203" s="541"/>
      <c r="ANV203" s="541"/>
      <c r="ANW203" s="541"/>
      <c r="ANX203" s="541"/>
      <c r="ANY203" s="541"/>
      <c r="ANZ203" s="541"/>
      <c r="AOA203" s="541"/>
      <c r="AOB203" s="541"/>
      <c r="AOC203" s="541"/>
      <c r="AOD203" s="541"/>
      <c r="AOE203" s="541"/>
      <c r="AOF203" s="541"/>
      <c r="AOG203" s="541"/>
      <c r="AOH203" s="541"/>
      <c r="AOI203" s="541"/>
      <c r="AOJ203" s="541"/>
      <c r="AOK203" s="541"/>
      <c r="AOL203" s="541"/>
      <c r="AOM203" s="541"/>
      <c r="AON203" s="541"/>
      <c r="AOO203" s="541"/>
      <c r="AOP203" s="541"/>
      <c r="AOQ203" s="541"/>
      <c r="AOR203" s="541"/>
      <c r="AOS203" s="541"/>
      <c r="AOT203" s="541"/>
      <c r="AOU203" s="541"/>
      <c r="AOV203" s="541"/>
      <c r="AOW203" s="541"/>
      <c r="AOX203" s="541"/>
      <c r="AOY203" s="541"/>
      <c r="AOZ203" s="541"/>
      <c r="APA203" s="541"/>
      <c r="APB203" s="541"/>
      <c r="APC203" s="541"/>
      <c r="APD203" s="541"/>
      <c r="APE203" s="541"/>
      <c r="APF203" s="541"/>
      <c r="APG203" s="541"/>
      <c r="APH203" s="541"/>
      <c r="API203" s="541"/>
      <c r="APJ203" s="541"/>
      <c r="APK203" s="541"/>
      <c r="APL203" s="541"/>
      <c r="APM203" s="541"/>
      <c r="APN203" s="541"/>
      <c r="APO203" s="541"/>
      <c r="APP203" s="541"/>
      <c r="APQ203" s="541"/>
      <c r="APR203" s="541"/>
      <c r="APS203" s="541"/>
      <c r="APT203" s="541"/>
      <c r="APU203" s="541"/>
      <c r="APV203" s="541"/>
      <c r="APW203" s="541"/>
      <c r="APX203" s="541"/>
      <c r="APY203" s="541"/>
      <c r="APZ203" s="541"/>
      <c r="AQA203" s="541"/>
      <c r="AQB203" s="541"/>
      <c r="AQC203" s="541"/>
      <c r="AQD203" s="541"/>
      <c r="AQE203" s="541"/>
      <c r="AQF203" s="541"/>
      <c r="AQG203" s="541"/>
      <c r="AQH203" s="541"/>
      <c r="AQI203" s="541"/>
      <c r="AQJ203" s="541"/>
      <c r="AQK203" s="541"/>
      <c r="AQL203" s="541"/>
      <c r="AQM203" s="541"/>
      <c r="AQN203" s="541"/>
      <c r="AQO203" s="541"/>
      <c r="AQP203" s="541"/>
      <c r="AQQ203" s="541"/>
      <c r="AQR203" s="541"/>
      <c r="AQS203" s="541"/>
      <c r="AQT203" s="541"/>
      <c r="AQU203" s="541"/>
      <c r="AQV203" s="541"/>
      <c r="AQW203" s="541"/>
      <c r="AQX203" s="541"/>
      <c r="AQY203" s="541"/>
      <c r="AQZ203" s="541"/>
      <c r="ARA203" s="541"/>
      <c r="ARB203" s="541"/>
      <c r="ARC203" s="541"/>
      <c r="ARD203" s="541"/>
      <c r="ARE203" s="541"/>
      <c r="ARF203" s="541"/>
      <c r="ARG203" s="541"/>
      <c r="ARH203" s="541"/>
      <c r="ARI203" s="541"/>
      <c r="ARJ203" s="541"/>
      <c r="ARK203" s="541"/>
      <c r="ARL203" s="541"/>
      <c r="ARM203" s="541"/>
      <c r="ARN203" s="541"/>
      <c r="ARO203" s="541"/>
      <c r="ARP203" s="541"/>
      <c r="ARQ203" s="541"/>
      <c r="ARR203" s="541"/>
      <c r="ARS203" s="541"/>
      <c r="ART203" s="541"/>
      <c r="ARU203" s="541"/>
    </row>
    <row r="204" spans="1:1165">
      <c r="A204" s="599"/>
      <c r="B204" s="594"/>
      <c r="C204" s="670"/>
      <c r="D204" s="670"/>
      <c r="E204" s="595"/>
      <c r="F204" s="595"/>
      <c r="G204" s="595"/>
      <c r="H204" s="595"/>
      <c r="I204" s="595"/>
      <c r="J204" s="595"/>
      <c r="K204" s="595"/>
      <c r="L204" s="595"/>
      <c r="M204" s="595"/>
      <c r="N204" s="595"/>
      <c r="O204" s="595"/>
      <c r="P204" s="595"/>
      <c r="Q204" s="595"/>
      <c r="R204" s="595"/>
      <c r="S204" s="595"/>
      <c r="T204" s="595"/>
      <c r="U204" s="672"/>
      <c r="V204" s="672"/>
      <c r="W204" s="608"/>
      <c r="X204" s="608"/>
      <c r="Y204" s="608"/>
      <c r="Z204" s="608"/>
      <c r="AA204" s="623"/>
      <c r="AB204" s="623"/>
      <c r="AC204" s="608"/>
      <c r="AD204" s="608"/>
      <c r="AE204" s="586"/>
      <c r="AF204" s="586"/>
      <c r="AG204" s="586"/>
      <c r="AH204" s="586"/>
      <c r="AI204" s="586"/>
      <c r="AJ204" s="586"/>
      <c r="AK204" s="586"/>
      <c r="AL204" s="586"/>
      <c r="AM204" s="586"/>
      <c r="AN204" s="586"/>
      <c r="AO204" s="586"/>
      <c r="AP204" s="586"/>
      <c r="AQ204" s="586"/>
      <c r="AR204" s="586"/>
      <c r="AS204" s="586"/>
      <c r="AT204" s="586"/>
      <c r="AU204" s="623"/>
      <c r="AV204" s="623"/>
      <c r="AW204" s="650"/>
      <c r="AX204" s="650"/>
      <c r="AY204" s="648"/>
      <c r="AZ204" s="648"/>
      <c r="BA204" s="686"/>
      <c r="BB204" s="650"/>
      <c r="BC204" s="650"/>
      <c r="BD204" s="650"/>
      <c r="BE204" s="650"/>
      <c r="BF204" s="650"/>
      <c r="BG204" s="650"/>
      <c r="BH204" s="650"/>
      <c r="BI204" s="686"/>
      <c r="BJ204" s="650"/>
      <c r="BK204" s="650"/>
      <c r="BL204" s="541"/>
    </row>
    <row r="205" spans="1:1165">
      <c r="A205" s="591" t="s">
        <v>320</v>
      </c>
      <c r="B205" s="594" t="s">
        <v>110</v>
      </c>
      <c r="C205" s="670">
        <v>869126</v>
      </c>
      <c r="D205" s="670">
        <v>22879806</v>
      </c>
      <c r="E205" s="595">
        <v>113211</v>
      </c>
      <c r="F205" s="595">
        <v>2816049</v>
      </c>
      <c r="G205" s="595">
        <v>133996</v>
      </c>
      <c r="H205" s="595">
        <v>6377048</v>
      </c>
      <c r="I205" s="595">
        <v>92182</v>
      </c>
      <c r="J205" s="595">
        <v>5385147</v>
      </c>
      <c r="K205" s="595">
        <v>164859</v>
      </c>
      <c r="L205" s="595">
        <v>9170379</v>
      </c>
      <c r="M205" s="595">
        <v>160976</v>
      </c>
      <c r="N205" s="595">
        <v>1746069</v>
      </c>
      <c r="O205" s="595">
        <v>115031</v>
      </c>
      <c r="P205" s="595">
        <v>1069424</v>
      </c>
      <c r="Q205" s="595">
        <v>161368</v>
      </c>
      <c r="R205" s="595">
        <v>1928741</v>
      </c>
      <c r="S205" s="595">
        <v>189274</v>
      </c>
      <c r="T205" s="595">
        <v>13936216</v>
      </c>
      <c r="U205" s="608">
        <v>182774</v>
      </c>
      <c r="V205" s="608">
        <v>13261526</v>
      </c>
      <c r="W205" s="608">
        <v>196100</v>
      </c>
      <c r="X205" s="608">
        <v>13658214</v>
      </c>
      <c r="Y205" s="595">
        <v>189086</v>
      </c>
      <c r="Z205" s="595">
        <v>14480263</v>
      </c>
      <c r="AA205" s="623">
        <v>165263</v>
      </c>
      <c r="AB205" s="623">
        <v>11568410</v>
      </c>
      <c r="AC205" s="608">
        <v>166574</v>
      </c>
      <c r="AD205" s="608">
        <v>11712450</v>
      </c>
      <c r="AE205" s="586">
        <v>165310</v>
      </c>
      <c r="AF205" s="586">
        <v>12054570</v>
      </c>
      <c r="AG205" s="586">
        <v>107339</v>
      </c>
      <c r="AH205" s="586">
        <v>7846700</v>
      </c>
      <c r="AI205" s="586">
        <v>122989</v>
      </c>
      <c r="AJ205" s="586">
        <v>9643014</v>
      </c>
      <c r="AK205" s="673">
        <v>189507</v>
      </c>
      <c r="AL205" s="673">
        <v>15155833</v>
      </c>
      <c r="AM205" s="676">
        <v>188835</v>
      </c>
      <c r="AN205" s="676">
        <v>14971392</v>
      </c>
      <c r="AO205" s="586">
        <v>176144</v>
      </c>
      <c r="AP205" s="586">
        <v>13984701</v>
      </c>
      <c r="AQ205" s="586">
        <v>174307.6</v>
      </c>
      <c r="AR205" s="586">
        <v>14049274</v>
      </c>
      <c r="AS205" s="586">
        <v>179380.6</v>
      </c>
      <c r="AT205" s="586">
        <v>14467388</v>
      </c>
      <c r="AU205" s="623">
        <v>160867</v>
      </c>
      <c r="AV205" s="623">
        <v>14201162</v>
      </c>
      <c r="AW205" s="623">
        <v>132211</v>
      </c>
      <c r="AX205" s="623">
        <v>11775309</v>
      </c>
      <c r="AY205" s="595">
        <v>142736</v>
      </c>
      <c r="AZ205" s="595">
        <v>13291592</v>
      </c>
      <c r="BA205" s="686"/>
      <c r="BB205" s="595"/>
      <c r="BC205" s="595"/>
      <c r="BD205" s="595"/>
      <c r="BE205" s="595"/>
      <c r="BF205" s="624"/>
      <c r="BG205" s="624"/>
      <c r="BH205" s="624"/>
      <c r="BI205" s="686"/>
      <c r="BJ205" s="595">
        <f>C205+G205+I205+K205+M205+O205+Q205+S205+U205+W205+Y205+AA205+AC205+AE205+AG205+AI205+AK205+AM205+AO205+AQ205+AS205+AU205+AW205+AY205+BB205+BF205</f>
        <v>4526235.2</v>
      </c>
      <c r="BK205" s="595">
        <f>D205+H205+J205+L205+N205+P205+R205+T205+V205+X205+Z205+AB205+AD205+AF205+AH205+AJ205+AL205+AN205+AP205+AR205+AT205+AV205+AX205+AZ205+BD205+BH205</f>
        <v>268614628</v>
      </c>
      <c r="BL205" s="541"/>
      <c r="BN205" s="624"/>
    </row>
    <row r="206" spans="1:1165">
      <c r="A206" s="591"/>
      <c r="B206" s="594"/>
      <c r="C206" s="670"/>
      <c r="D206" s="670"/>
      <c r="E206" s="595"/>
      <c r="F206" s="595"/>
      <c r="G206" s="595"/>
      <c r="H206" s="595"/>
      <c r="I206" s="595"/>
      <c r="J206" s="595"/>
      <c r="K206" s="595"/>
      <c r="L206" s="595"/>
      <c r="M206" s="595"/>
      <c r="N206" s="595"/>
      <c r="O206" s="595"/>
      <c r="P206" s="595"/>
      <c r="Q206" s="595"/>
      <c r="R206" s="595"/>
      <c r="S206" s="595"/>
      <c r="T206" s="595"/>
      <c r="U206" s="586"/>
      <c r="V206" s="586"/>
      <c r="W206" s="586"/>
      <c r="X206" s="586"/>
      <c r="Y206" s="595"/>
      <c r="Z206" s="595"/>
      <c r="AA206" s="586"/>
      <c r="AB206" s="586"/>
      <c r="AC206" s="595"/>
      <c r="AD206" s="595"/>
      <c r="AE206" s="586"/>
      <c r="AF206" s="586"/>
      <c r="AG206" s="586"/>
      <c r="AH206" s="586"/>
      <c r="AI206" s="586"/>
      <c r="AJ206" s="586"/>
      <c r="AK206" s="586"/>
      <c r="AL206" s="586"/>
      <c r="AM206" s="586"/>
      <c r="AN206" s="586"/>
      <c r="AO206" s="586"/>
      <c r="AP206" s="586"/>
      <c r="AQ206" s="586"/>
      <c r="AR206" s="586"/>
      <c r="AS206" s="586"/>
      <c r="AT206" s="586"/>
      <c r="AU206" s="623"/>
      <c r="AV206" s="623"/>
      <c r="AW206" s="650"/>
      <c r="AX206" s="650"/>
      <c r="AY206" s="648"/>
      <c r="AZ206" s="648"/>
      <c r="BA206" s="686"/>
      <c r="BB206" s="650"/>
      <c r="BC206" s="650"/>
      <c r="BD206" s="650"/>
      <c r="BE206" s="650"/>
      <c r="BF206" s="650"/>
      <c r="BG206" s="650"/>
      <c r="BH206" s="650"/>
      <c r="BI206" s="686"/>
      <c r="BJ206" s="650"/>
      <c r="BK206" s="650"/>
      <c r="BL206" s="541"/>
      <c r="BN206" s="624"/>
    </row>
    <row r="207" spans="1:1165" s="658" customFormat="1">
      <c r="A207" s="577" t="s">
        <v>321</v>
      </c>
      <c r="B207" s="603"/>
      <c r="C207" s="687"/>
      <c r="D207" s="687"/>
      <c r="E207" s="598"/>
      <c r="F207" s="598"/>
      <c r="G207" s="598"/>
      <c r="H207" s="598"/>
      <c r="I207" s="598"/>
      <c r="J207" s="598"/>
      <c r="K207" s="598"/>
      <c r="L207" s="598"/>
      <c r="M207" s="598"/>
      <c r="N207" s="598"/>
      <c r="O207" s="598"/>
      <c r="P207" s="598"/>
      <c r="Q207" s="598"/>
      <c r="R207" s="598"/>
      <c r="S207" s="598"/>
      <c r="T207" s="598"/>
      <c r="U207" s="620"/>
      <c r="V207" s="620"/>
      <c r="W207" s="579"/>
      <c r="X207" s="579"/>
      <c r="Y207" s="581"/>
      <c r="Z207" s="581"/>
      <c r="AA207" s="579"/>
      <c r="AB207" s="579"/>
      <c r="AC207" s="581"/>
      <c r="AD207" s="581"/>
      <c r="AE207" s="579"/>
      <c r="AF207" s="579"/>
      <c r="AG207" s="579"/>
      <c r="AH207" s="579"/>
      <c r="AI207" s="579"/>
      <c r="AJ207" s="579"/>
      <c r="AK207" s="579"/>
      <c r="AL207" s="579"/>
      <c r="AM207" s="579"/>
      <c r="AN207" s="579"/>
      <c r="AO207" s="579"/>
      <c r="AP207" s="579"/>
      <c r="AQ207" s="579"/>
      <c r="AR207" s="579"/>
      <c r="AS207" s="579"/>
      <c r="AT207" s="579"/>
      <c r="AU207" s="579"/>
      <c r="AV207" s="579"/>
      <c r="AW207" s="657"/>
      <c r="AX207" s="657"/>
      <c r="AY207" s="581"/>
      <c r="AZ207" s="581"/>
      <c r="BA207" s="663"/>
      <c r="BB207" s="581"/>
      <c r="BC207" s="581"/>
      <c r="BD207" s="581"/>
      <c r="BE207" s="581"/>
      <c r="BF207" s="581"/>
      <c r="BG207" s="581"/>
      <c r="BH207" s="581"/>
      <c r="BI207" s="663"/>
      <c r="BJ207" s="581"/>
      <c r="BK207" s="581"/>
      <c r="BL207" s="541"/>
      <c r="BM207" s="541"/>
      <c r="BN207" s="541"/>
      <c r="BO207" s="541"/>
      <c r="BP207" s="541"/>
      <c r="BQ207" s="541"/>
      <c r="BR207" s="541"/>
      <c r="BS207" s="541"/>
      <c r="BT207" s="541"/>
      <c r="BU207" s="541"/>
      <c r="BV207" s="541"/>
      <c r="BW207" s="541"/>
      <c r="BX207" s="541"/>
      <c r="BY207" s="541"/>
      <c r="BZ207" s="541"/>
      <c r="CA207" s="541"/>
      <c r="CB207" s="541"/>
      <c r="CC207" s="541"/>
      <c r="CD207" s="541"/>
      <c r="CE207" s="541"/>
      <c r="CF207" s="541"/>
      <c r="CG207" s="541"/>
      <c r="CH207" s="541"/>
      <c r="CI207" s="541"/>
      <c r="CJ207" s="541"/>
      <c r="CK207" s="541"/>
      <c r="CL207" s="541"/>
      <c r="CM207" s="541"/>
      <c r="CN207" s="541"/>
      <c r="CO207" s="541"/>
      <c r="CP207" s="541"/>
      <c r="CQ207" s="541"/>
      <c r="CR207" s="541"/>
      <c r="CS207" s="541"/>
      <c r="CT207" s="541"/>
      <c r="CU207" s="541"/>
      <c r="CV207" s="541"/>
      <c r="CW207" s="541"/>
      <c r="CX207" s="541"/>
      <c r="CY207" s="541"/>
      <c r="CZ207" s="541"/>
      <c r="DA207" s="541"/>
      <c r="DB207" s="541"/>
      <c r="DC207" s="541"/>
      <c r="DD207" s="541"/>
      <c r="DE207" s="541"/>
      <c r="DF207" s="541"/>
      <c r="DG207" s="541"/>
      <c r="DH207" s="541"/>
      <c r="DI207" s="541"/>
      <c r="DJ207" s="541"/>
      <c r="DK207" s="541"/>
      <c r="DL207" s="541"/>
      <c r="DM207" s="541"/>
      <c r="DN207" s="541"/>
      <c r="DO207" s="541"/>
      <c r="DP207" s="541"/>
      <c r="DQ207" s="541"/>
      <c r="DR207" s="541"/>
      <c r="DS207" s="541"/>
      <c r="DT207" s="541"/>
      <c r="DU207" s="541"/>
      <c r="DV207" s="541"/>
      <c r="DW207" s="541"/>
      <c r="DX207" s="541"/>
      <c r="DY207" s="541"/>
      <c r="DZ207" s="541"/>
      <c r="EA207" s="541"/>
      <c r="EB207" s="541"/>
      <c r="EC207" s="541"/>
      <c r="ED207" s="541"/>
      <c r="EE207" s="541"/>
      <c r="EF207" s="541"/>
      <c r="EG207" s="541"/>
      <c r="EH207" s="541"/>
      <c r="EI207" s="541"/>
      <c r="EJ207" s="541"/>
      <c r="EK207" s="541"/>
      <c r="EL207" s="541"/>
      <c r="EM207" s="541"/>
      <c r="EN207" s="541"/>
      <c r="EO207" s="541"/>
      <c r="EP207" s="541"/>
      <c r="EQ207" s="541"/>
      <c r="ER207" s="541"/>
      <c r="ES207" s="541"/>
      <c r="ET207" s="541"/>
      <c r="EU207" s="541"/>
      <c r="EV207" s="541"/>
      <c r="EW207" s="541"/>
      <c r="EX207" s="541"/>
      <c r="EY207" s="541"/>
      <c r="EZ207" s="541"/>
      <c r="FA207" s="541"/>
      <c r="FB207" s="541"/>
      <c r="FC207" s="541"/>
      <c r="FD207" s="541"/>
      <c r="FE207" s="541"/>
      <c r="FF207" s="541"/>
      <c r="FG207" s="541"/>
      <c r="FH207" s="541"/>
      <c r="FI207" s="541"/>
      <c r="FJ207" s="541"/>
      <c r="FK207" s="541"/>
      <c r="FL207" s="541"/>
      <c r="FM207" s="541"/>
      <c r="FN207" s="541"/>
      <c r="FO207" s="541"/>
      <c r="FP207" s="541"/>
      <c r="FQ207" s="541"/>
      <c r="FR207" s="541"/>
      <c r="FS207" s="541"/>
      <c r="FT207" s="541"/>
      <c r="FU207" s="541"/>
      <c r="FV207" s="541"/>
      <c r="FW207" s="541"/>
      <c r="FX207" s="541"/>
      <c r="FY207" s="541"/>
      <c r="FZ207" s="541"/>
      <c r="GA207" s="541"/>
      <c r="GB207" s="541"/>
      <c r="GC207" s="541"/>
      <c r="GD207" s="541"/>
      <c r="GE207" s="541"/>
      <c r="GF207" s="541"/>
      <c r="GG207" s="541"/>
      <c r="GH207" s="541"/>
      <c r="GI207" s="541"/>
      <c r="GJ207" s="541"/>
      <c r="GK207" s="541"/>
      <c r="GL207" s="541"/>
      <c r="GM207" s="541"/>
      <c r="GN207" s="541"/>
      <c r="GO207" s="541"/>
      <c r="GP207" s="541"/>
      <c r="GQ207" s="541"/>
      <c r="GR207" s="541"/>
      <c r="GS207" s="541"/>
      <c r="GT207" s="541"/>
      <c r="GU207" s="541"/>
      <c r="GV207" s="541"/>
      <c r="GW207" s="541"/>
      <c r="GX207" s="541"/>
      <c r="GY207" s="541"/>
      <c r="GZ207" s="541"/>
      <c r="HA207" s="541"/>
      <c r="HB207" s="541"/>
      <c r="HC207" s="541"/>
      <c r="HD207" s="541"/>
      <c r="HE207" s="541"/>
      <c r="HF207" s="541"/>
      <c r="HG207" s="541"/>
      <c r="HH207" s="541"/>
      <c r="HI207" s="541"/>
      <c r="HJ207" s="541"/>
      <c r="HK207" s="541"/>
      <c r="HL207" s="541"/>
      <c r="HM207" s="541"/>
      <c r="HN207" s="541"/>
      <c r="HO207" s="541"/>
      <c r="HP207" s="541"/>
      <c r="HQ207" s="541"/>
      <c r="HR207" s="541"/>
      <c r="HS207" s="541"/>
      <c r="HT207" s="541"/>
      <c r="HU207" s="541"/>
      <c r="HV207" s="541"/>
      <c r="HW207" s="541"/>
      <c r="HX207" s="541"/>
      <c r="HY207" s="541"/>
      <c r="HZ207" s="541"/>
      <c r="IA207" s="541"/>
      <c r="IB207" s="541"/>
      <c r="IC207" s="541"/>
      <c r="ID207" s="541"/>
      <c r="IE207" s="541"/>
      <c r="IF207" s="541"/>
      <c r="IG207" s="541"/>
      <c r="IH207" s="541"/>
      <c r="II207" s="541"/>
      <c r="IJ207" s="541"/>
      <c r="IK207" s="541"/>
      <c r="IL207" s="541"/>
      <c r="IM207" s="541"/>
      <c r="IN207" s="541"/>
      <c r="IO207" s="541"/>
      <c r="IP207" s="541"/>
      <c r="IQ207" s="541"/>
      <c r="IR207" s="541"/>
      <c r="IS207" s="541"/>
      <c r="IT207" s="541"/>
      <c r="IU207" s="541"/>
      <c r="IV207" s="541"/>
      <c r="IW207" s="541"/>
      <c r="IX207" s="541"/>
      <c r="IY207" s="541"/>
      <c r="IZ207" s="541"/>
      <c r="JA207" s="541"/>
      <c r="JB207" s="541"/>
      <c r="JC207" s="541"/>
      <c r="JD207" s="541"/>
      <c r="JE207" s="541"/>
      <c r="JF207" s="541"/>
      <c r="JG207" s="541"/>
      <c r="JH207" s="541"/>
      <c r="JI207" s="541"/>
      <c r="JJ207" s="541"/>
      <c r="JK207" s="541"/>
      <c r="JL207" s="541"/>
      <c r="JM207" s="541"/>
      <c r="JN207" s="541"/>
      <c r="JO207" s="541"/>
      <c r="JP207" s="541"/>
      <c r="JQ207" s="541"/>
      <c r="JR207" s="541"/>
      <c r="JS207" s="541"/>
      <c r="JT207" s="541"/>
      <c r="JU207" s="541"/>
      <c r="JV207" s="541"/>
      <c r="JW207" s="541"/>
      <c r="JX207" s="541"/>
      <c r="JY207" s="541"/>
      <c r="JZ207" s="541"/>
      <c r="KA207" s="541"/>
      <c r="KB207" s="541"/>
      <c r="KC207" s="541"/>
      <c r="KD207" s="541"/>
      <c r="KE207" s="541"/>
      <c r="KF207" s="541"/>
      <c r="KG207" s="541"/>
      <c r="KH207" s="541"/>
      <c r="KI207" s="541"/>
      <c r="KJ207" s="541"/>
      <c r="KK207" s="541"/>
      <c r="KL207" s="541"/>
      <c r="KM207" s="541"/>
      <c r="KN207" s="541"/>
      <c r="KO207" s="541"/>
      <c r="KP207" s="541"/>
      <c r="KQ207" s="541"/>
      <c r="KR207" s="541"/>
      <c r="KS207" s="541"/>
      <c r="KT207" s="541"/>
      <c r="KU207" s="541"/>
      <c r="KV207" s="541"/>
      <c r="KW207" s="541"/>
      <c r="KX207" s="541"/>
      <c r="KY207" s="541"/>
      <c r="KZ207" s="541"/>
      <c r="LA207" s="541"/>
      <c r="LB207" s="541"/>
      <c r="LC207" s="541"/>
      <c r="LD207" s="541"/>
      <c r="LE207" s="541"/>
      <c r="LF207" s="541"/>
      <c r="LG207" s="541"/>
      <c r="LH207" s="541"/>
      <c r="LI207" s="541"/>
      <c r="LJ207" s="541"/>
      <c r="LK207" s="541"/>
      <c r="LL207" s="541"/>
      <c r="LM207" s="541"/>
      <c r="LN207" s="541"/>
      <c r="LO207" s="541"/>
      <c r="LP207" s="541"/>
      <c r="LQ207" s="541"/>
      <c r="LR207" s="541"/>
      <c r="LS207" s="541"/>
      <c r="LT207" s="541"/>
      <c r="LU207" s="541"/>
      <c r="LV207" s="541"/>
      <c r="LW207" s="541"/>
      <c r="LX207" s="541"/>
      <c r="LY207" s="541"/>
      <c r="LZ207" s="541"/>
      <c r="MA207" s="541"/>
      <c r="MB207" s="541"/>
      <c r="MC207" s="541"/>
      <c r="MD207" s="541"/>
      <c r="ME207" s="541"/>
      <c r="MF207" s="541"/>
      <c r="MG207" s="541"/>
      <c r="MH207" s="541"/>
      <c r="MI207" s="541"/>
      <c r="MJ207" s="541"/>
      <c r="MK207" s="541"/>
      <c r="ML207" s="541"/>
      <c r="MM207" s="541"/>
      <c r="MN207" s="541"/>
      <c r="MO207" s="541"/>
      <c r="MP207" s="541"/>
      <c r="MQ207" s="541"/>
      <c r="MR207" s="541"/>
      <c r="MS207" s="541"/>
      <c r="MT207" s="541"/>
      <c r="MU207" s="541"/>
      <c r="MV207" s="541"/>
      <c r="MW207" s="541"/>
      <c r="MX207" s="541"/>
      <c r="MY207" s="541"/>
      <c r="MZ207" s="541"/>
      <c r="NA207" s="541"/>
      <c r="NB207" s="541"/>
      <c r="NC207" s="541"/>
      <c r="ND207" s="541"/>
      <c r="NE207" s="541"/>
      <c r="NF207" s="541"/>
      <c r="NG207" s="541"/>
      <c r="NH207" s="541"/>
      <c r="NI207" s="541"/>
      <c r="NJ207" s="541"/>
      <c r="NK207" s="541"/>
      <c r="NL207" s="541"/>
      <c r="NM207" s="541"/>
      <c r="NN207" s="541"/>
      <c r="NO207" s="541"/>
      <c r="NP207" s="541"/>
      <c r="NQ207" s="541"/>
      <c r="NR207" s="541"/>
      <c r="NS207" s="541"/>
      <c r="NT207" s="541"/>
      <c r="NU207" s="541"/>
      <c r="NV207" s="541"/>
      <c r="NW207" s="541"/>
      <c r="NX207" s="541"/>
      <c r="NY207" s="541"/>
      <c r="NZ207" s="541"/>
      <c r="OA207" s="541"/>
      <c r="OB207" s="541"/>
      <c r="OC207" s="541"/>
      <c r="OD207" s="541"/>
      <c r="OE207" s="541"/>
      <c r="OF207" s="541"/>
      <c r="OG207" s="541"/>
      <c r="OH207" s="541"/>
      <c r="OI207" s="541"/>
      <c r="OJ207" s="541"/>
      <c r="OK207" s="541"/>
      <c r="OL207" s="541"/>
      <c r="OM207" s="541"/>
      <c r="ON207" s="541"/>
      <c r="OO207" s="541"/>
      <c r="OP207" s="541"/>
      <c r="OQ207" s="541"/>
      <c r="OR207" s="541"/>
      <c r="OS207" s="541"/>
      <c r="OT207" s="541"/>
      <c r="OU207" s="541"/>
      <c r="OV207" s="541"/>
      <c r="OW207" s="541"/>
      <c r="OX207" s="541"/>
      <c r="OY207" s="541"/>
      <c r="OZ207" s="541"/>
      <c r="PA207" s="541"/>
      <c r="PB207" s="541"/>
      <c r="PC207" s="541"/>
      <c r="PD207" s="541"/>
      <c r="PE207" s="541"/>
      <c r="PF207" s="541"/>
      <c r="PG207" s="541"/>
      <c r="PH207" s="541"/>
      <c r="PI207" s="541"/>
      <c r="PJ207" s="541"/>
      <c r="PK207" s="541"/>
      <c r="PL207" s="541"/>
      <c r="PM207" s="541"/>
      <c r="PN207" s="541"/>
      <c r="PO207" s="541"/>
      <c r="PP207" s="541"/>
      <c r="PQ207" s="541"/>
      <c r="PR207" s="541"/>
      <c r="PS207" s="541"/>
      <c r="PT207" s="541"/>
      <c r="PU207" s="541"/>
      <c r="PV207" s="541"/>
      <c r="PW207" s="541"/>
      <c r="PX207" s="541"/>
      <c r="PY207" s="541"/>
      <c r="PZ207" s="541"/>
      <c r="QA207" s="541"/>
      <c r="QB207" s="541"/>
      <c r="QC207" s="541"/>
      <c r="QD207" s="541"/>
      <c r="QE207" s="541"/>
      <c r="QF207" s="541"/>
      <c r="QG207" s="541"/>
      <c r="QH207" s="541"/>
      <c r="QI207" s="541"/>
      <c r="QJ207" s="541"/>
      <c r="QK207" s="541"/>
      <c r="QL207" s="541"/>
      <c r="QM207" s="541"/>
      <c r="QN207" s="541"/>
      <c r="QO207" s="541"/>
      <c r="QP207" s="541"/>
      <c r="QQ207" s="541"/>
      <c r="QR207" s="541"/>
      <c r="QS207" s="541"/>
      <c r="QT207" s="541"/>
      <c r="QU207" s="541"/>
      <c r="QV207" s="541"/>
      <c r="QW207" s="541"/>
      <c r="QX207" s="541"/>
      <c r="QY207" s="541"/>
      <c r="QZ207" s="541"/>
      <c r="RA207" s="541"/>
      <c r="RB207" s="541"/>
      <c r="RC207" s="541"/>
      <c r="RD207" s="541"/>
      <c r="RE207" s="541"/>
      <c r="RF207" s="541"/>
      <c r="RG207" s="541"/>
      <c r="RH207" s="541"/>
      <c r="RI207" s="541"/>
      <c r="RJ207" s="541"/>
      <c r="RK207" s="541"/>
      <c r="RL207" s="541"/>
      <c r="RM207" s="541"/>
      <c r="RN207" s="541"/>
      <c r="RO207" s="541"/>
      <c r="RP207" s="541"/>
      <c r="RQ207" s="541"/>
      <c r="RR207" s="541"/>
      <c r="RS207" s="541"/>
      <c r="RT207" s="541"/>
      <c r="RU207" s="541"/>
      <c r="RV207" s="541"/>
      <c r="RW207" s="541"/>
      <c r="RX207" s="541"/>
      <c r="RY207" s="541"/>
      <c r="RZ207" s="541"/>
      <c r="SA207" s="541"/>
      <c r="SB207" s="541"/>
      <c r="SC207" s="541"/>
      <c r="SD207" s="541"/>
      <c r="SE207" s="541"/>
      <c r="SF207" s="541"/>
      <c r="SG207" s="541"/>
      <c r="SH207" s="541"/>
      <c r="SI207" s="541"/>
      <c r="SJ207" s="541"/>
      <c r="SK207" s="541"/>
      <c r="SL207" s="541"/>
      <c r="SM207" s="541"/>
      <c r="SN207" s="541"/>
      <c r="SO207" s="541"/>
      <c r="SP207" s="541"/>
      <c r="SQ207" s="541"/>
      <c r="SR207" s="541"/>
      <c r="SS207" s="541"/>
      <c r="ST207" s="541"/>
      <c r="SU207" s="541"/>
      <c r="SV207" s="541"/>
      <c r="SW207" s="541"/>
      <c r="SX207" s="541"/>
      <c r="SY207" s="541"/>
      <c r="SZ207" s="541"/>
      <c r="TA207" s="541"/>
      <c r="TB207" s="541"/>
      <c r="TC207" s="541"/>
      <c r="TD207" s="541"/>
      <c r="TE207" s="541"/>
      <c r="TF207" s="541"/>
      <c r="TG207" s="541"/>
      <c r="TH207" s="541"/>
      <c r="TI207" s="541"/>
      <c r="TJ207" s="541"/>
      <c r="TK207" s="541"/>
      <c r="TL207" s="541"/>
      <c r="TM207" s="541"/>
      <c r="TN207" s="541"/>
      <c r="TO207" s="541"/>
      <c r="TP207" s="541"/>
      <c r="TQ207" s="541"/>
      <c r="TR207" s="541"/>
      <c r="TS207" s="541"/>
      <c r="TT207" s="541"/>
      <c r="TU207" s="541"/>
      <c r="TV207" s="541"/>
      <c r="TW207" s="541"/>
      <c r="TX207" s="541"/>
      <c r="TY207" s="541"/>
      <c r="TZ207" s="541"/>
      <c r="UA207" s="541"/>
      <c r="UB207" s="541"/>
      <c r="UC207" s="541"/>
      <c r="UD207" s="541"/>
      <c r="UE207" s="541"/>
      <c r="UF207" s="541"/>
      <c r="UG207" s="541"/>
      <c r="UH207" s="541"/>
      <c r="UI207" s="541"/>
      <c r="UJ207" s="541"/>
      <c r="UK207" s="541"/>
      <c r="UL207" s="541"/>
      <c r="UM207" s="541"/>
      <c r="UN207" s="541"/>
      <c r="UO207" s="541"/>
      <c r="UP207" s="541"/>
      <c r="UQ207" s="541"/>
      <c r="UR207" s="541"/>
      <c r="US207" s="541"/>
      <c r="UT207" s="541"/>
      <c r="UU207" s="541"/>
      <c r="UV207" s="541"/>
      <c r="UW207" s="541"/>
      <c r="UX207" s="541"/>
      <c r="UY207" s="541"/>
      <c r="UZ207" s="541"/>
      <c r="VA207" s="541"/>
      <c r="VB207" s="541"/>
      <c r="VC207" s="541"/>
      <c r="VD207" s="541"/>
      <c r="VE207" s="541"/>
      <c r="VF207" s="541"/>
      <c r="VG207" s="541"/>
      <c r="VH207" s="541"/>
      <c r="VI207" s="541"/>
      <c r="VJ207" s="541"/>
      <c r="VK207" s="541"/>
      <c r="VL207" s="541"/>
      <c r="VM207" s="541"/>
      <c r="VN207" s="541"/>
      <c r="VO207" s="541"/>
      <c r="VP207" s="541"/>
      <c r="VQ207" s="541"/>
      <c r="VR207" s="541"/>
      <c r="VS207" s="541"/>
      <c r="VT207" s="541"/>
      <c r="VU207" s="541"/>
      <c r="VV207" s="541"/>
      <c r="VW207" s="541"/>
      <c r="VX207" s="541"/>
      <c r="VY207" s="541"/>
      <c r="VZ207" s="541"/>
      <c r="WA207" s="541"/>
      <c r="WB207" s="541"/>
      <c r="WC207" s="541"/>
      <c r="WD207" s="541"/>
      <c r="WE207" s="541"/>
      <c r="WF207" s="541"/>
      <c r="WG207" s="541"/>
      <c r="WH207" s="541"/>
      <c r="WI207" s="541"/>
      <c r="WJ207" s="541"/>
      <c r="WK207" s="541"/>
      <c r="WL207" s="541"/>
      <c r="WM207" s="541"/>
      <c r="WN207" s="541"/>
      <c r="WO207" s="541"/>
      <c r="WP207" s="541"/>
      <c r="WQ207" s="541"/>
      <c r="WR207" s="541"/>
      <c r="WS207" s="541"/>
      <c r="WT207" s="541"/>
      <c r="WU207" s="541"/>
      <c r="WV207" s="541"/>
      <c r="WW207" s="541"/>
      <c r="WX207" s="541"/>
      <c r="WY207" s="541"/>
      <c r="WZ207" s="541"/>
      <c r="XA207" s="541"/>
      <c r="XB207" s="541"/>
      <c r="XC207" s="541"/>
      <c r="XD207" s="541"/>
      <c r="XE207" s="541"/>
      <c r="XF207" s="541"/>
      <c r="XG207" s="541"/>
      <c r="XH207" s="541"/>
      <c r="XI207" s="541"/>
      <c r="XJ207" s="541"/>
      <c r="XK207" s="541"/>
      <c r="XL207" s="541"/>
      <c r="XM207" s="541"/>
      <c r="XN207" s="541"/>
      <c r="XO207" s="541"/>
      <c r="XP207" s="541"/>
      <c r="XQ207" s="541"/>
      <c r="XR207" s="541"/>
      <c r="XS207" s="541"/>
      <c r="XT207" s="541"/>
      <c r="XU207" s="541"/>
      <c r="XV207" s="541"/>
      <c r="XW207" s="541"/>
      <c r="XX207" s="541"/>
      <c r="XY207" s="541"/>
      <c r="XZ207" s="541"/>
      <c r="YA207" s="541"/>
      <c r="YB207" s="541"/>
      <c r="YC207" s="541"/>
      <c r="YD207" s="541"/>
      <c r="YE207" s="541"/>
      <c r="YF207" s="541"/>
      <c r="YG207" s="541"/>
      <c r="YH207" s="541"/>
      <c r="YI207" s="541"/>
      <c r="YJ207" s="541"/>
      <c r="YK207" s="541"/>
      <c r="YL207" s="541"/>
      <c r="YM207" s="541"/>
      <c r="YN207" s="541"/>
      <c r="YO207" s="541"/>
      <c r="YP207" s="541"/>
      <c r="YQ207" s="541"/>
      <c r="YR207" s="541"/>
      <c r="YS207" s="541"/>
      <c r="YT207" s="541"/>
      <c r="YU207" s="541"/>
      <c r="YV207" s="541"/>
      <c r="YW207" s="541"/>
      <c r="YX207" s="541"/>
      <c r="YY207" s="541"/>
      <c r="YZ207" s="541"/>
      <c r="ZA207" s="541"/>
      <c r="ZB207" s="541"/>
      <c r="ZC207" s="541"/>
      <c r="ZD207" s="541"/>
      <c r="ZE207" s="541"/>
      <c r="ZF207" s="541"/>
      <c r="ZG207" s="541"/>
      <c r="ZH207" s="541"/>
      <c r="ZI207" s="541"/>
      <c r="ZJ207" s="541"/>
      <c r="ZK207" s="541"/>
      <c r="ZL207" s="541"/>
      <c r="ZM207" s="541"/>
      <c r="ZN207" s="541"/>
      <c r="ZO207" s="541"/>
      <c r="ZP207" s="541"/>
      <c r="ZQ207" s="541"/>
      <c r="ZR207" s="541"/>
      <c r="ZS207" s="541"/>
      <c r="ZT207" s="541"/>
      <c r="ZU207" s="541"/>
      <c r="ZV207" s="541"/>
      <c r="ZW207" s="541"/>
      <c r="ZX207" s="541"/>
      <c r="ZY207" s="541"/>
      <c r="ZZ207" s="541"/>
      <c r="AAA207" s="541"/>
      <c r="AAB207" s="541"/>
      <c r="AAC207" s="541"/>
      <c r="AAD207" s="541"/>
      <c r="AAE207" s="541"/>
      <c r="AAF207" s="541"/>
      <c r="AAG207" s="541"/>
      <c r="AAH207" s="541"/>
      <c r="AAI207" s="541"/>
      <c r="AAJ207" s="541"/>
      <c r="AAK207" s="541"/>
      <c r="AAL207" s="541"/>
      <c r="AAM207" s="541"/>
      <c r="AAN207" s="541"/>
      <c r="AAO207" s="541"/>
      <c r="AAP207" s="541"/>
      <c r="AAQ207" s="541"/>
      <c r="AAR207" s="541"/>
      <c r="AAS207" s="541"/>
      <c r="AAT207" s="541"/>
      <c r="AAU207" s="541"/>
      <c r="AAV207" s="541"/>
      <c r="AAW207" s="541"/>
      <c r="AAX207" s="541"/>
      <c r="AAY207" s="541"/>
      <c r="AAZ207" s="541"/>
      <c r="ABA207" s="541"/>
      <c r="ABB207" s="541"/>
      <c r="ABC207" s="541"/>
      <c r="ABD207" s="541"/>
      <c r="ABE207" s="541"/>
      <c r="ABF207" s="541"/>
      <c r="ABG207" s="541"/>
      <c r="ABH207" s="541"/>
      <c r="ABI207" s="541"/>
      <c r="ABJ207" s="541"/>
      <c r="ABK207" s="541"/>
      <c r="ABL207" s="541"/>
      <c r="ABM207" s="541"/>
      <c r="ABN207" s="541"/>
      <c r="ABO207" s="541"/>
      <c r="ABP207" s="541"/>
      <c r="ABQ207" s="541"/>
      <c r="ABR207" s="541"/>
      <c r="ABS207" s="541"/>
      <c r="ABT207" s="541"/>
      <c r="ABU207" s="541"/>
      <c r="ABV207" s="541"/>
      <c r="ABW207" s="541"/>
      <c r="ABX207" s="541"/>
      <c r="ABY207" s="541"/>
      <c r="ABZ207" s="541"/>
      <c r="ACA207" s="541"/>
      <c r="ACB207" s="541"/>
      <c r="ACC207" s="541"/>
      <c r="ACD207" s="541"/>
      <c r="ACE207" s="541"/>
      <c r="ACF207" s="541"/>
      <c r="ACG207" s="541"/>
      <c r="ACH207" s="541"/>
      <c r="ACI207" s="541"/>
      <c r="ACJ207" s="541"/>
      <c r="ACK207" s="541"/>
      <c r="ACL207" s="541"/>
      <c r="ACM207" s="541"/>
      <c r="ACN207" s="541"/>
      <c r="ACO207" s="541"/>
      <c r="ACP207" s="541"/>
      <c r="ACQ207" s="541"/>
      <c r="ACR207" s="541"/>
      <c r="ACS207" s="541"/>
      <c r="ACT207" s="541"/>
      <c r="ACU207" s="541"/>
      <c r="ACV207" s="541"/>
      <c r="ACW207" s="541"/>
      <c r="ACX207" s="541"/>
      <c r="ACY207" s="541"/>
      <c r="ACZ207" s="541"/>
      <c r="ADA207" s="541"/>
      <c r="ADB207" s="541"/>
      <c r="ADC207" s="541"/>
      <c r="ADD207" s="541"/>
      <c r="ADE207" s="541"/>
      <c r="ADF207" s="541"/>
      <c r="ADG207" s="541"/>
      <c r="ADH207" s="541"/>
      <c r="ADI207" s="541"/>
      <c r="ADJ207" s="541"/>
      <c r="ADK207" s="541"/>
      <c r="ADL207" s="541"/>
      <c r="ADM207" s="541"/>
      <c r="ADN207" s="541"/>
      <c r="ADO207" s="541"/>
      <c r="ADP207" s="541"/>
      <c r="ADQ207" s="541"/>
      <c r="ADR207" s="541"/>
      <c r="ADS207" s="541"/>
      <c r="ADT207" s="541"/>
      <c r="ADU207" s="541"/>
      <c r="ADV207" s="541"/>
      <c r="ADW207" s="541"/>
      <c r="ADX207" s="541"/>
      <c r="ADY207" s="541"/>
      <c r="ADZ207" s="541"/>
      <c r="AEA207" s="541"/>
      <c r="AEB207" s="541"/>
      <c r="AEC207" s="541"/>
      <c r="AED207" s="541"/>
      <c r="AEE207" s="541"/>
      <c r="AEF207" s="541"/>
      <c r="AEG207" s="541"/>
      <c r="AEH207" s="541"/>
      <c r="AEI207" s="541"/>
      <c r="AEJ207" s="541"/>
      <c r="AEK207" s="541"/>
      <c r="AEL207" s="541"/>
      <c r="AEM207" s="541"/>
      <c r="AEN207" s="541"/>
      <c r="AEO207" s="541"/>
      <c r="AEP207" s="541"/>
      <c r="AEQ207" s="541"/>
      <c r="AER207" s="541"/>
      <c r="AES207" s="541"/>
      <c r="AET207" s="541"/>
      <c r="AEU207" s="541"/>
      <c r="AEV207" s="541"/>
      <c r="AEW207" s="541"/>
      <c r="AEX207" s="541"/>
      <c r="AEY207" s="541"/>
      <c r="AEZ207" s="541"/>
      <c r="AFA207" s="541"/>
      <c r="AFB207" s="541"/>
      <c r="AFC207" s="541"/>
      <c r="AFD207" s="541"/>
      <c r="AFE207" s="541"/>
      <c r="AFF207" s="541"/>
      <c r="AFG207" s="541"/>
      <c r="AFH207" s="541"/>
      <c r="AFI207" s="541"/>
      <c r="AFJ207" s="541"/>
      <c r="AFK207" s="541"/>
      <c r="AFL207" s="541"/>
      <c r="AFM207" s="541"/>
      <c r="AFN207" s="541"/>
      <c r="AFO207" s="541"/>
      <c r="AFP207" s="541"/>
      <c r="AFQ207" s="541"/>
      <c r="AFR207" s="541"/>
      <c r="AFS207" s="541"/>
      <c r="AFT207" s="541"/>
      <c r="AFU207" s="541"/>
      <c r="AFV207" s="541"/>
      <c r="AFW207" s="541"/>
      <c r="AFX207" s="541"/>
      <c r="AFY207" s="541"/>
      <c r="AFZ207" s="541"/>
      <c r="AGA207" s="541"/>
      <c r="AGB207" s="541"/>
      <c r="AGC207" s="541"/>
      <c r="AGD207" s="541"/>
      <c r="AGE207" s="541"/>
      <c r="AGF207" s="541"/>
      <c r="AGG207" s="541"/>
      <c r="AGH207" s="541"/>
      <c r="AGI207" s="541"/>
      <c r="AGJ207" s="541"/>
      <c r="AGK207" s="541"/>
      <c r="AGL207" s="541"/>
      <c r="AGM207" s="541"/>
      <c r="AGN207" s="541"/>
      <c r="AGO207" s="541"/>
      <c r="AGP207" s="541"/>
      <c r="AGQ207" s="541"/>
      <c r="AGR207" s="541"/>
      <c r="AGS207" s="541"/>
      <c r="AGT207" s="541"/>
      <c r="AGU207" s="541"/>
      <c r="AGV207" s="541"/>
      <c r="AGW207" s="541"/>
      <c r="AGX207" s="541"/>
      <c r="AGY207" s="541"/>
      <c r="AGZ207" s="541"/>
      <c r="AHA207" s="541"/>
      <c r="AHB207" s="541"/>
      <c r="AHC207" s="541"/>
      <c r="AHD207" s="541"/>
      <c r="AHE207" s="541"/>
      <c r="AHF207" s="541"/>
      <c r="AHG207" s="541"/>
      <c r="AHH207" s="541"/>
      <c r="AHI207" s="541"/>
      <c r="AHJ207" s="541"/>
      <c r="AHK207" s="541"/>
      <c r="AHL207" s="541"/>
      <c r="AHM207" s="541"/>
      <c r="AHN207" s="541"/>
      <c r="AHO207" s="541"/>
      <c r="AHP207" s="541"/>
      <c r="AHQ207" s="541"/>
      <c r="AHR207" s="541"/>
      <c r="AHS207" s="541"/>
      <c r="AHT207" s="541"/>
      <c r="AHU207" s="541"/>
      <c r="AHV207" s="541"/>
      <c r="AHW207" s="541"/>
      <c r="AHX207" s="541"/>
      <c r="AHY207" s="541"/>
      <c r="AHZ207" s="541"/>
      <c r="AIA207" s="541"/>
      <c r="AIB207" s="541"/>
      <c r="AIC207" s="541"/>
      <c r="AID207" s="541"/>
      <c r="AIE207" s="541"/>
      <c r="AIF207" s="541"/>
      <c r="AIG207" s="541"/>
      <c r="AIH207" s="541"/>
      <c r="AII207" s="541"/>
      <c r="AIJ207" s="541"/>
      <c r="AIK207" s="541"/>
      <c r="AIL207" s="541"/>
      <c r="AIM207" s="541"/>
      <c r="AIN207" s="541"/>
      <c r="AIO207" s="541"/>
      <c r="AIP207" s="541"/>
      <c r="AIQ207" s="541"/>
      <c r="AIR207" s="541"/>
      <c r="AIS207" s="541"/>
      <c r="AIT207" s="541"/>
      <c r="AIU207" s="541"/>
      <c r="AIV207" s="541"/>
      <c r="AIW207" s="541"/>
      <c r="AIX207" s="541"/>
      <c r="AIY207" s="541"/>
      <c r="AIZ207" s="541"/>
      <c r="AJA207" s="541"/>
      <c r="AJB207" s="541"/>
      <c r="AJC207" s="541"/>
      <c r="AJD207" s="541"/>
      <c r="AJE207" s="541"/>
      <c r="AJF207" s="541"/>
      <c r="AJG207" s="541"/>
      <c r="AJH207" s="541"/>
      <c r="AJI207" s="541"/>
      <c r="AJJ207" s="541"/>
      <c r="AJK207" s="541"/>
      <c r="AJL207" s="541"/>
      <c r="AJM207" s="541"/>
      <c r="AJN207" s="541"/>
      <c r="AJO207" s="541"/>
      <c r="AJP207" s="541"/>
      <c r="AJQ207" s="541"/>
      <c r="AJR207" s="541"/>
      <c r="AJS207" s="541"/>
      <c r="AJT207" s="541"/>
      <c r="AJU207" s="541"/>
      <c r="AJV207" s="541"/>
      <c r="AJW207" s="541"/>
      <c r="AJX207" s="541"/>
      <c r="AJY207" s="541"/>
      <c r="AJZ207" s="541"/>
      <c r="AKA207" s="541"/>
      <c r="AKB207" s="541"/>
      <c r="AKC207" s="541"/>
      <c r="AKD207" s="541"/>
      <c r="AKE207" s="541"/>
      <c r="AKF207" s="541"/>
      <c r="AKG207" s="541"/>
      <c r="AKH207" s="541"/>
      <c r="AKI207" s="541"/>
      <c r="AKJ207" s="541"/>
      <c r="AKK207" s="541"/>
      <c r="AKL207" s="541"/>
      <c r="AKM207" s="541"/>
      <c r="AKN207" s="541"/>
      <c r="AKO207" s="541"/>
      <c r="AKP207" s="541"/>
      <c r="AKQ207" s="541"/>
      <c r="AKR207" s="541"/>
      <c r="AKS207" s="541"/>
      <c r="AKT207" s="541"/>
      <c r="AKU207" s="541"/>
      <c r="AKV207" s="541"/>
      <c r="AKW207" s="541"/>
      <c r="AKX207" s="541"/>
      <c r="AKY207" s="541"/>
      <c r="AKZ207" s="541"/>
      <c r="ALA207" s="541"/>
      <c r="ALB207" s="541"/>
      <c r="ALC207" s="541"/>
      <c r="ALD207" s="541"/>
      <c r="ALE207" s="541"/>
      <c r="ALF207" s="541"/>
      <c r="ALG207" s="541"/>
      <c r="ALH207" s="541"/>
      <c r="ALI207" s="541"/>
      <c r="ALJ207" s="541"/>
      <c r="ALK207" s="541"/>
      <c r="ALL207" s="541"/>
      <c r="ALM207" s="541"/>
      <c r="ALN207" s="541"/>
      <c r="ALO207" s="541"/>
      <c r="ALP207" s="541"/>
      <c r="ALQ207" s="541"/>
      <c r="ALR207" s="541"/>
      <c r="ALS207" s="541"/>
      <c r="ALT207" s="541"/>
      <c r="ALU207" s="541"/>
      <c r="ALV207" s="541"/>
      <c r="ALW207" s="541"/>
      <c r="ALX207" s="541"/>
      <c r="ALY207" s="541"/>
      <c r="ALZ207" s="541"/>
      <c r="AMA207" s="541"/>
      <c r="AMB207" s="541"/>
      <c r="AMC207" s="541"/>
      <c r="AMD207" s="541"/>
      <c r="AME207" s="541"/>
      <c r="AMF207" s="541"/>
      <c r="AMG207" s="541"/>
      <c r="AMH207" s="541"/>
      <c r="AMI207" s="541"/>
      <c r="AMJ207" s="541"/>
      <c r="AMK207" s="541"/>
      <c r="AML207" s="541"/>
      <c r="AMM207" s="541"/>
      <c r="AMN207" s="541"/>
      <c r="AMO207" s="541"/>
      <c r="AMP207" s="541"/>
      <c r="AMQ207" s="541"/>
      <c r="AMR207" s="541"/>
      <c r="AMS207" s="541"/>
      <c r="AMT207" s="541"/>
      <c r="AMU207" s="541"/>
      <c r="AMV207" s="541"/>
      <c r="AMW207" s="541"/>
      <c r="AMX207" s="541"/>
      <c r="AMY207" s="541"/>
      <c r="AMZ207" s="541"/>
      <c r="ANA207" s="541"/>
      <c r="ANB207" s="541"/>
      <c r="ANC207" s="541"/>
      <c r="AND207" s="541"/>
      <c r="ANE207" s="541"/>
      <c r="ANF207" s="541"/>
      <c r="ANG207" s="541"/>
      <c r="ANH207" s="541"/>
      <c r="ANI207" s="541"/>
      <c r="ANJ207" s="541"/>
      <c r="ANK207" s="541"/>
      <c r="ANL207" s="541"/>
      <c r="ANM207" s="541"/>
      <c r="ANN207" s="541"/>
      <c r="ANO207" s="541"/>
      <c r="ANP207" s="541"/>
      <c r="ANQ207" s="541"/>
      <c r="ANR207" s="541"/>
      <c r="ANS207" s="541"/>
      <c r="ANT207" s="541"/>
      <c r="ANU207" s="541"/>
      <c r="ANV207" s="541"/>
      <c r="ANW207" s="541"/>
      <c r="ANX207" s="541"/>
      <c r="ANY207" s="541"/>
      <c r="ANZ207" s="541"/>
      <c r="AOA207" s="541"/>
      <c r="AOB207" s="541"/>
      <c r="AOC207" s="541"/>
      <c r="AOD207" s="541"/>
      <c r="AOE207" s="541"/>
      <c r="AOF207" s="541"/>
      <c r="AOG207" s="541"/>
      <c r="AOH207" s="541"/>
      <c r="AOI207" s="541"/>
      <c r="AOJ207" s="541"/>
      <c r="AOK207" s="541"/>
      <c r="AOL207" s="541"/>
      <c r="AOM207" s="541"/>
      <c r="AON207" s="541"/>
      <c r="AOO207" s="541"/>
      <c r="AOP207" s="541"/>
      <c r="AOQ207" s="541"/>
      <c r="AOR207" s="541"/>
      <c r="AOS207" s="541"/>
      <c r="AOT207" s="541"/>
      <c r="AOU207" s="541"/>
      <c r="AOV207" s="541"/>
      <c r="AOW207" s="541"/>
      <c r="AOX207" s="541"/>
      <c r="AOY207" s="541"/>
      <c r="AOZ207" s="541"/>
      <c r="APA207" s="541"/>
      <c r="APB207" s="541"/>
      <c r="APC207" s="541"/>
      <c r="APD207" s="541"/>
      <c r="APE207" s="541"/>
      <c r="APF207" s="541"/>
      <c r="APG207" s="541"/>
      <c r="APH207" s="541"/>
      <c r="API207" s="541"/>
      <c r="APJ207" s="541"/>
      <c r="APK207" s="541"/>
      <c r="APL207" s="541"/>
      <c r="APM207" s="541"/>
      <c r="APN207" s="541"/>
      <c r="APO207" s="541"/>
      <c r="APP207" s="541"/>
      <c r="APQ207" s="541"/>
      <c r="APR207" s="541"/>
      <c r="APS207" s="541"/>
      <c r="APT207" s="541"/>
      <c r="APU207" s="541"/>
      <c r="APV207" s="541"/>
      <c r="APW207" s="541"/>
      <c r="APX207" s="541"/>
      <c r="APY207" s="541"/>
      <c r="APZ207" s="541"/>
      <c r="AQA207" s="541"/>
      <c r="AQB207" s="541"/>
      <c r="AQC207" s="541"/>
      <c r="AQD207" s="541"/>
      <c r="AQE207" s="541"/>
      <c r="AQF207" s="541"/>
      <c r="AQG207" s="541"/>
      <c r="AQH207" s="541"/>
      <c r="AQI207" s="541"/>
      <c r="AQJ207" s="541"/>
      <c r="AQK207" s="541"/>
      <c r="AQL207" s="541"/>
      <c r="AQM207" s="541"/>
      <c r="AQN207" s="541"/>
      <c r="AQO207" s="541"/>
      <c r="AQP207" s="541"/>
      <c r="AQQ207" s="541"/>
      <c r="AQR207" s="541"/>
      <c r="AQS207" s="541"/>
      <c r="AQT207" s="541"/>
      <c r="AQU207" s="541"/>
      <c r="AQV207" s="541"/>
      <c r="AQW207" s="541"/>
      <c r="AQX207" s="541"/>
      <c r="AQY207" s="541"/>
      <c r="AQZ207" s="541"/>
      <c r="ARA207" s="541"/>
      <c r="ARB207" s="541"/>
      <c r="ARC207" s="541"/>
      <c r="ARD207" s="541"/>
      <c r="ARE207" s="541"/>
      <c r="ARF207" s="541"/>
      <c r="ARG207" s="541"/>
      <c r="ARH207" s="541"/>
      <c r="ARI207" s="541"/>
      <c r="ARJ207" s="541"/>
      <c r="ARK207" s="541"/>
      <c r="ARL207" s="541"/>
      <c r="ARM207" s="541"/>
      <c r="ARN207" s="541"/>
      <c r="ARO207" s="541"/>
      <c r="ARP207" s="541"/>
      <c r="ARQ207" s="541"/>
      <c r="ARR207" s="541"/>
      <c r="ARS207" s="541"/>
      <c r="ART207" s="541"/>
      <c r="ARU207" s="541"/>
    </row>
    <row r="208" spans="1:1165" s="658" customFormat="1">
      <c r="A208" s="613" t="s">
        <v>322</v>
      </c>
      <c r="B208" s="578" t="s">
        <v>110</v>
      </c>
      <c r="C208" s="659">
        <v>8042</v>
      </c>
      <c r="D208" s="659">
        <v>124123</v>
      </c>
      <c r="E208" s="581">
        <v>0</v>
      </c>
      <c r="F208" s="581">
        <v>0</v>
      </c>
      <c r="G208" s="581">
        <v>0</v>
      </c>
      <c r="H208" s="581">
        <v>0</v>
      </c>
      <c r="I208" s="581">
        <v>0</v>
      </c>
      <c r="J208" s="581">
        <v>0</v>
      </c>
      <c r="K208" s="581">
        <v>0</v>
      </c>
      <c r="L208" s="581">
        <v>0</v>
      </c>
      <c r="M208" s="581">
        <v>0</v>
      </c>
      <c r="N208" s="581">
        <v>0</v>
      </c>
      <c r="O208" s="581">
        <v>0</v>
      </c>
      <c r="P208" s="581">
        <v>0</v>
      </c>
      <c r="Q208" s="581">
        <v>0</v>
      </c>
      <c r="R208" s="581">
        <v>0</v>
      </c>
      <c r="S208" s="581">
        <v>0</v>
      </c>
      <c r="T208" s="581">
        <v>0</v>
      </c>
      <c r="U208" s="581">
        <v>0</v>
      </c>
      <c r="V208" s="581">
        <v>0</v>
      </c>
      <c r="W208" s="581">
        <v>0</v>
      </c>
      <c r="X208" s="581">
        <v>0</v>
      </c>
      <c r="Y208" s="581">
        <v>0</v>
      </c>
      <c r="Z208" s="581">
        <v>0</v>
      </c>
      <c r="AA208" s="581">
        <v>0</v>
      </c>
      <c r="AB208" s="581">
        <v>0</v>
      </c>
      <c r="AC208" s="581">
        <v>0</v>
      </c>
      <c r="AD208" s="581">
        <v>0</v>
      </c>
      <c r="AE208" s="581">
        <v>0</v>
      </c>
      <c r="AF208" s="581">
        <v>0</v>
      </c>
      <c r="AG208" s="581">
        <v>0</v>
      </c>
      <c r="AH208" s="581">
        <v>0</v>
      </c>
      <c r="AI208" s="581">
        <v>0</v>
      </c>
      <c r="AJ208" s="581">
        <v>0</v>
      </c>
      <c r="AK208" s="581">
        <v>0</v>
      </c>
      <c r="AL208" s="581">
        <v>0</v>
      </c>
      <c r="AM208" s="581">
        <v>0</v>
      </c>
      <c r="AN208" s="581">
        <v>0</v>
      </c>
      <c r="AO208" s="581">
        <v>0</v>
      </c>
      <c r="AP208" s="581">
        <v>0</v>
      </c>
      <c r="AQ208" s="581">
        <v>0</v>
      </c>
      <c r="AR208" s="581">
        <v>0</v>
      </c>
      <c r="AS208" s="581">
        <v>0</v>
      </c>
      <c r="AT208" s="581">
        <v>0</v>
      </c>
      <c r="AU208" s="581">
        <v>0</v>
      </c>
      <c r="AV208" s="581">
        <v>0</v>
      </c>
      <c r="AW208" s="581">
        <v>0</v>
      </c>
      <c r="AX208" s="581">
        <v>0</v>
      </c>
      <c r="AY208" s="581">
        <v>0</v>
      </c>
      <c r="AZ208" s="581">
        <v>0</v>
      </c>
      <c r="BA208" s="578"/>
      <c r="BB208" s="581"/>
      <c r="BC208" s="581"/>
      <c r="BD208" s="581"/>
      <c r="BE208" s="581"/>
      <c r="BF208" s="581"/>
      <c r="BG208" s="581"/>
      <c r="BH208" s="581"/>
      <c r="BI208" s="578"/>
      <c r="BJ208" s="581">
        <f t="shared" ref="BJ208:BJ211" si="30">C208+G208+I208+K208+M208+O208+Q208+S208+U208+W208+Y208+AA208+AC208+AE208+AG208+AI208+AK208+AM208+AO208+AQ208+AS208+AU208+AW208+AY208+BB208+BF208</f>
        <v>8042</v>
      </c>
      <c r="BK208" s="581">
        <f>D208+H208+J208+L208+N208+P208+R208+T208+V208+X208+Z208+AB208+AD208+AF208+AH208+AJ208+AL208+AN208+AP208+AR208+AT208+AV208+AX208+AZ208+BD208+BH208</f>
        <v>124123</v>
      </c>
      <c r="BL208" s="541"/>
      <c r="BM208" s="541"/>
      <c r="BN208" s="541"/>
      <c r="BO208" s="624"/>
      <c r="BP208" s="541"/>
      <c r="BQ208" s="541"/>
      <c r="BR208" s="541"/>
      <c r="BS208" s="541"/>
      <c r="BT208" s="541"/>
      <c r="BU208" s="541"/>
      <c r="BV208" s="541"/>
      <c r="BW208" s="541"/>
      <c r="BX208" s="541"/>
      <c r="BY208" s="541"/>
      <c r="BZ208" s="541"/>
      <c r="CA208" s="541"/>
      <c r="CB208" s="541"/>
      <c r="CC208" s="541"/>
      <c r="CD208" s="541"/>
      <c r="CE208" s="541"/>
      <c r="CF208" s="541"/>
      <c r="CG208" s="541"/>
      <c r="CH208" s="541"/>
      <c r="CI208" s="541"/>
      <c r="CJ208" s="541"/>
      <c r="CK208" s="541"/>
      <c r="CL208" s="541"/>
      <c r="CM208" s="541"/>
      <c r="CN208" s="541"/>
      <c r="CO208" s="541"/>
      <c r="CP208" s="541"/>
      <c r="CQ208" s="541"/>
      <c r="CR208" s="541"/>
      <c r="CS208" s="541"/>
      <c r="CT208" s="541"/>
      <c r="CU208" s="541"/>
      <c r="CV208" s="541"/>
      <c r="CW208" s="541"/>
      <c r="CX208" s="541"/>
      <c r="CY208" s="541"/>
      <c r="CZ208" s="541"/>
      <c r="DA208" s="541"/>
      <c r="DB208" s="541"/>
      <c r="DC208" s="541"/>
      <c r="DD208" s="541"/>
      <c r="DE208" s="541"/>
      <c r="DF208" s="541"/>
      <c r="DG208" s="541"/>
      <c r="DH208" s="541"/>
      <c r="DI208" s="541"/>
      <c r="DJ208" s="541"/>
      <c r="DK208" s="541"/>
      <c r="DL208" s="541"/>
      <c r="DM208" s="541"/>
      <c r="DN208" s="541"/>
      <c r="DO208" s="541"/>
      <c r="DP208" s="541"/>
      <c r="DQ208" s="541"/>
      <c r="DR208" s="541"/>
      <c r="DS208" s="541"/>
      <c r="DT208" s="541"/>
      <c r="DU208" s="541"/>
      <c r="DV208" s="541"/>
      <c r="DW208" s="541"/>
      <c r="DX208" s="541"/>
      <c r="DY208" s="541"/>
      <c r="DZ208" s="541"/>
      <c r="EA208" s="541"/>
      <c r="EB208" s="541"/>
      <c r="EC208" s="541"/>
      <c r="ED208" s="541"/>
      <c r="EE208" s="541"/>
      <c r="EF208" s="541"/>
      <c r="EG208" s="541"/>
      <c r="EH208" s="541"/>
      <c r="EI208" s="541"/>
      <c r="EJ208" s="541"/>
      <c r="EK208" s="541"/>
      <c r="EL208" s="541"/>
      <c r="EM208" s="541"/>
      <c r="EN208" s="541"/>
      <c r="EO208" s="541"/>
      <c r="EP208" s="541"/>
      <c r="EQ208" s="541"/>
      <c r="ER208" s="541"/>
      <c r="ES208" s="541"/>
      <c r="ET208" s="541"/>
      <c r="EU208" s="541"/>
      <c r="EV208" s="541"/>
      <c r="EW208" s="541"/>
      <c r="EX208" s="541"/>
      <c r="EY208" s="541"/>
      <c r="EZ208" s="541"/>
      <c r="FA208" s="541"/>
      <c r="FB208" s="541"/>
      <c r="FC208" s="541"/>
      <c r="FD208" s="541"/>
      <c r="FE208" s="541"/>
      <c r="FF208" s="541"/>
      <c r="FG208" s="541"/>
      <c r="FH208" s="541"/>
      <c r="FI208" s="541"/>
      <c r="FJ208" s="541"/>
      <c r="FK208" s="541"/>
      <c r="FL208" s="541"/>
      <c r="FM208" s="541"/>
      <c r="FN208" s="541"/>
      <c r="FO208" s="541"/>
      <c r="FP208" s="541"/>
      <c r="FQ208" s="541"/>
      <c r="FR208" s="541"/>
      <c r="FS208" s="541"/>
      <c r="FT208" s="541"/>
      <c r="FU208" s="541"/>
      <c r="FV208" s="541"/>
      <c r="FW208" s="541"/>
      <c r="FX208" s="541"/>
      <c r="FY208" s="541"/>
      <c r="FZ208" s="541"/>
      <c r="GA208" s="541"/>
      <c r="GB208" s="541"/>
      <c r="GC208" s="541"/>
      <c r="GD208" s="541"/>
      <c r="GE208" s="541"/>
      <c r="GF208" s="541"/>
      <c r="GG208" s="541"/>
      <c r="GH208" s="541"/>
      <c r="GI208" s="541"/>
      <c r="GJ208" s="541"/>
      <c r="GK208" s="541"/>
      <c r="GL208" s="541"/>
      <c r="GM208" s="541"/>
      <c r="GN208" s="541"/>
      <c r="GO208" s="541"/>
      <c r="GP208" s="541"/>
      <c r="GQ208" s="541"/>
      <c r="GR208" s="541"/>
      <c r="GS208" s="541"/>
      <c r="GT208" s="541"/>
      <c r="GU208" s="541"/>
      <c r="GV208" s="541"/>
      <c r="GW208" s="541"/>
      <c r="GX208" s="541"/>
      <c r="GY208" s="541"/>
      <c r="GZ208" s="541"/>
      <c r="HA208" s="541"/>
      <c r="HB208" s="541"/>
      <c r="HC208" s="541"/>
      <c r="HD208" s="541"/>
      <c r="HE208" s="541"/>
      <c r="HF208" s="541"/>
      <c r="HG208" s="541"/>
      <c r="HH208" s="541"/>
      <c r="HI208" s="541"/>
      <c r="HJ208" s="541"/>
      <c r="HK208" s="541"/>
      <c r="HL208" s="541"/>
      <c r="HM208" s="541"/>
      <c r="HN208" s="541"/>
      <c r="HO208" s="541"/>
      <c r="HP208" s="541"/>
      <c r="HQ208" s="541"/>
      <c r="HR208" s="541"/>
      <c r="HS208" s="541"/>
      <c r="HT208" s="541"/>
      <c r="HU208" s="541"/>
      <c r="HV208" s="541"/>
      <c r="HW208" s="541"/>
      <c r="HX208" s="541"/>
      <c r="HY208" s="541"/>
      <c r="HZ208" s="541"/>
      <c r="IA208" s="541"/>
      <c r="IB208" s="541"/>
      <c r="IC208" s="541"/>
      <c r="ID208" s="541"/>
      <c r="IE208" s="541"/>
      <c r="IF208" s="541"/>
      <c r="IG208" s="541"/>
      <c r="IH208" s="541"/>
      <c r="II208" s="541"/>
      <c r="IJ208" s="541"/>
      <c r="IK208" s="541"/>
      <c r="IL208" s="541"/>
      <c r="IM208" s="541"/>
      <c r="IN208" s="541"/>
      <c r="IO208" s="541"/>
      <c r="IP208" s="541"/>
      <c r="IQ208" s="541"/>
      <c r="IR208" s="541"/>
      <c r="IS208" s="541"/>
      <c r="IT208" s="541"/>
      <c r="IU208" s="541"/>
      <c r="IV208" s="541"/>
      <c r="IW208" s="541"/>
      <c r="IX208" s="541"/>
      <c r="IY208" s="541"/>
      <c r="IZ208" s="541"/>
      <c r="JA208" s="541"/>
      <c r="JB208" s="541"/>
      <c r="JC208" s="541"/>
      <c r="JD208" s="541"/>
      <c r="JE208" s="541"/>
      <c r="JF208" s="541"/>
      <c r="JG208" s="541"/>
      <c r="JH208" s="541"/>
      <c r="JI208" s="541"/>
      <c r="JJ208" s="541"/>
      <c r="JK208" s="541"/>
      <c r="JL208" s="541"/>
      <c r="JM208" s="541"/>
      <c r="JN208" s="541"/>
      <c r="JO208" s="541"/>
      <c r="JP208" s="541"/>
      <c r="JQ208" s="541"/>
      <c r="JR208" s="541"/>
      <c r="JS208" s="541"/>
      <c r="JT208" s="541"/>
      <c r="JU208" s="541"/>
      <c r="JV208" s="541"/>
      <c r="JW208" s="541"/>
      <c r="JX208" s="541"/>
      <c r="JY208" s="541"/>
      <c r="JZ208" s="541"/>
      <c r="KA208" s="541"/>
      <c r="KB208" s="541"/>
      <c r="KC208" s="541"/>
      <c r="KD208" s="541"/>
      <c r="KE208" s="541"/>
      <c r="KF208" s="541"/>
      <c r="KG208" s="541"/>
      <c r="KH208" s="541"/>
      <c r="KI208" s="541"/>
      <c r="KJ208" s="541"/>
      <c r="KK208" s="541"/>
      <c r="KL208" s="541"/>
      <c r="KM208" s="541"/>
      <c r="KN208" s="541"/>
      <c r="KO208" s="541"/>
      <c r="KP208" s="541"/>
      <c r="KQ208" s="541"/>
      <c r="KR208" s="541"/>
      <c r="KS208" s="541"/>
      <c r="KT208" s="541"/>
      <c r="KU208" s="541"/>
      <c r="KV208" s="541"/>
      <c r="KW208" s="541"/>
      <c r="KX208" s="541"/>
      <c r="KY208" s="541"/>
      <c r="KZ208" s="541"/>
      <c r="LA208" s="541"/>
      <c r="LB208" s="541"/>
      <c r="LC208" s="541"/>
      <c r="LD208" s="541"/>
      <c r="LE208" s="541"/>
      <c r="LF208" s="541"/>
      <c r="LG208" s="541"/>
      <c r="LH208" s="541"/>
      <c r="LI208" s="541"/>
      <c r="LJ208" s="541"/>
      <c r="LK208" s="541"/>
      <c r="LL208" s="541"/>
      <c r="LM208" s="541"/>
      <c r="LN208" s="541"/>
      <c r="LO208" s="541"/>
      <c r="LP208" s="541"/>
      <c r="LQ208" s="541"/>
      <c r="LR208" s="541"/>
      <c r="LS208" s="541"/>
      <c r="LT208" s="541"/>
      <c r="LU208" s="541"/>
      <c r="LV208" s="541"/>
      <c r="LW208" s="541"/>
      <c r="LX208" s="541"/>
      <c r="LY208" s="541"/>
      <c r="LZ208" s="541"/>
      <c r="MA208" s="541"/>
      <c r="MB208" s="541"/>
      <c r="MC208" s="541"/>
      <c r="MD208" s="541"/>
      <c r="ME208" s="541"/>
      <c r="MF208" s="541"/>
      <c r="MG208" s="541"/>
      <c r="MH208" s="541"/>
      <c r="MI208" s="541"/>
      <c r="MJ208" s="541"/>
      <c r="MK208" s="541"/>
      <c r="ML208" s="541"/>
      <c r="MM208" s="541"/>
      <c r="MN208" s="541"/>
      <c r="MO208" s="541"/>
      <c r="MP208" s="541"/>
      <c r="MQ208" s="541"/>
      <c r="MR208" s="541"/>
      <c r="MS208" s="541"/>
      <c r="MT208" s="541"/>
      <c r="MU208" s="541"/>
      <c r="MV208" s="541"/>
      <c r="MW208" s="541"/>
      <c r="MX208" s="541"/>
      <c r="MY208" s="541"/>
      <c r="MZ208" s="541"/>
      <c r="NA208" s="541"/>
      <c r="NB208" s="541"/>
      <c r="NC208" s="541"/>
      <c r="ND208" s="541"/>
      <c r="NE208" s="541"/>
      <c r="NF208" s="541"/>
      <c r="NG208" s="541"/>
      <c r="NH208" s="541"/>
      <c r="NI208" s="541"/>
      <c r="NJ208" s="541"/>
      <c r="NK208" s="541"/>
      <c r="NL208" s="541"/>
      <c r="NM208" s="541"/>
      <c r="NN208" s="541"/>
      <c r="NO208" s="541"/>
      <c r="NP208" s="541"/>
      <c r="NQ208" s="541"/>
      <c r="NR208" s="541"/>
      <c r="NS208" s="541"/>
      <c r="NT208" s="541"/>
      <c r="NU208" s="541"/>
      <c r="NV208" s="541"/>
      <c r="NW208" s="541"/>
      <c r="NX208" s="541"/>
      <c r="NY208" s="541"/>
      <c r="NZ208" s="541"/>
      <c r="OA208" s="541"/>
      <c r="OB208" s="541"/>
      <c r="OC208" s="541"/>
      <c r="OD208" s="541"/>
      <c r="OE208" s="541"/>
      <c r="OF208" s="541"/>
      <c r="OG208" s="541"/>
      <c r="OH208" s="541"/>
      <c r="OI208" s="541"/>
      <c r="OJ208" s="541"/>
      <c r="OK208" s="541"/>
      <c r="OL208" s="541"/>
      <c r="OM208" s="541"/>
      <c r="ON208" s="541"/>
      <c r="OO208" s="541"/>
      <c r="OP208" s="541"/>
      <c r="OQ208" s="541"/>
      <c r="OR208" s="541"/>
      <c r="OS208" s="541"/>
      <c r="OT208" s="541"/>
      <c r="OU208" s="541"/>
      <c r="OV208" s="541"/>
      <c r="OW208" s="541"/>
      <c r="OX208" s="541"/>
      <c r="OY208" s="541"/>
      <c r="OZ208" s="541"/>
      <c r="PA208" s="541"/>
      <c r="PB208" s="541"/>
      <c r="PC208" s="541"/>
      <c r="PD208" s="541"/>
      <c r="PE208" s="541"/>
      <c r="PF208" s="541"/>
      <c r="PG208" s="541"/>
      <c r="PH208" s="541"/>
      <c r="PI208" s="541"/>
      <c r="PJ208" s="541"/>
      <c r="PK208" s="541"/>
      <c r="PL208" s="541"/>
      <c r="PM208" s="541"/>
      <c r="PN208" s="541"/>
      <c r="PO208" s="541"/>
      <c r="PP208" s="541"/>
      <c r="PQ208" s="541"/>
      <c r="PR208" s="541"/>
      <c r="PS208" s="541"/>
      <c r="PT208" s="541"/>
      <c r="PU208" s="541"/>
      <c r="PV208" s="541"/>
      <c r="PW208" s="541"/>
      <c r="PX208" s="541"/>
      <c r="PY208" s="541"/>
      <c r="PZ208" s="541"/>
      <c r="QA208" s="541"/>
      <c r="QB208" s="541"/>
      <c r="QC208" s="541"/>
      <c r="QD208" s="541"/>
      <c r="QE208" s="541"/>
      <c r="QF208" s="541"/>
      <c r="QG208" s="541"/>
      <c r="QH208" s="541"/>
      <c r="QI208" s="541"/>
      <c r="QJ208" s="541"/>
      <c r="QK208" s="541"/>
      <c r="QL208" s="541"/>
      <c r="QM208" s="541"/>
      <c r="QN208" s="541"/>
      <c r="QO208" s="541"/>
      <c r="QP208" s="541"/>
      <c r="QQ208" s="541"/>
      <c r="QR208" s="541"/>
      <c r="QS208" s="541"/>
      <c r="QT208" s="541"/>
      <c r="QU208" s="541"/>
      <c r="QV208" s="541"/>
      <c r="QW208" s="541"/>
      <c r="QX208" s="541"/>
      <c r="QY208" s="541"/>
      <c r="QZ208" s="541"/>
      <c r="RA208" s="541"/>
      <c r="RB208" s="541"/>
      <c r="RC208" s="541"/>
      <c r="RD208" s="541"/>
      <c r="RE208" s="541"/>
      <c r="RF208" s="541"/>
      <c r="RG208" s="541"/>
      <c r="RH208" s="541"/>
      <c r="RI208" s="541"/>
      <c r="RJ208" s="541"/>
      <c r="RK208" s="541"/>
      <c r="RL208" s="541"/>
      <c r="RM208" s="541"/>
      <c r="RN208" s="541"/>
      <c r="RO208" s="541"/>
      <c r="RP208" s="541"/>
      <c r="RQ208" s="541"/>
      <c r="RR208" s="541"/>
      <c r="RS208" s="541"/>
      <c r="RT208" s="541"/>
      <c r="RU208" s="541"/>
      <c r="RV208" s="541"/>
      <c r="RW208" s="541"/>
      <c r="RX208" s="541"/>
      <c r="RY208" s="541"/>
      <c r="RZ208" s="541"/>
      <c r="SA208" s="541"/>
      <c r="SB208" s="541"/>
      <c r="SC208" s="541"/>
      <c r="SD208" s="541"/>
      <c r="SE208" s="541"/>
      <c r="SF208" s="541"/>
      <c r="SG208" s="541"/>
      <c r="SH208" s="541"/>
      <c r="SI208" s="541"/>
      <c r="SJ208" s="541"/>
      <c r="SK208" s="541"/>
      <c r="SL208" s="541"/>
      <c r="SM208" s="541"/>
      <c r="SN208" s="541"/>
      <c r="SO208" s="541"/>
      <c r="SP208" s="541"/>
      <c r="SQ208" s="541"/>
      <c r="SR208" s="541"/>
      <c r="SS208" s="541"/>
      <c r="ST208" s="541"/>
      <c r="SU208" s="541"/>
      <c r="SV208" s="541"/>
      <c r="SW208" s="541"/>
      <c r="SX208" s="541"/>
      <c r="SY208" s="541"/>
      <c r="SZ208" s="541"/>
      <c r="TA208" s="541"/>
      <c r="TB208" s="541"/>
      <c r="TC208" s="541"/>
      <c r="TD208" s="541"/>
      <c r="TE208" s="541"/>
      <c r="TF208" s="541"/>
      <c r="TG208" s="541"/>
      <c r="TH208" s="541"/>
      <c r="TI208" s="541"/>
      <c r="TJ208" s="541"/>
      <c r="TK208" s="541"/>
      <c r="TL208" s="541"/>
      <c r="TM208" s="541"/>
      <c r="TN208" s="541"/>
      <c r="TO208" s="541"/>
      <c r="TP208" s="541"/>
      <c r="TQ208" s="541"/>
      <c r="TR208" s="541"/>
      <c r="TS208" s="541"/>
      <c r="TT208" s="541"/>
      <c r="TU208" s="541"/>
      <c r="TV208" s="541"/>
      <c r="TW208" s="541"/>
      <c r="TX208" s="541"/>
      <c r="TY208" s="541"/>
      <c r="TZ208" s="541"/>
      <c r="UA208" s="541"/>
      <c r="UB208" s="541"/>
      <c r="UC208" s="541"/>
      <c r="UD208" s="541"/>
      <c r="UE208" s="541"/>
      <c r="UF208" s="541"/>
      <c r="UG208" s="541"/>
      <c r="UH208" s="541"/>
      <c r="UI208" s="541"/>
      <c r="UJ208" s="541"/>
      <c r="UK208" s="541"/>
      <c r="UL208" s="541"/>
      <c r="UM208" s="541"/>
      <c r="UN208" s="541"/>
      <c r="UO208" s="541"/>
      <c r="UP208" s="541"/>
      <c r="UQ208" s="541"/>
      <c r="UR208" s="541"/>
      <c r="US208" s="541"/>
      <c r="UT208" s="541"/>
      <c r="UU208" s="541"/>
      <c r="UV208" s="541"/>
      <c r="UW208" s="541"/>
      <c r="UX208" s="541"/>
      <c r="UY208" s="541"/>
      <c r="UZ208" s="541"/>
      <c r="VA208" s="541"/>
      <c r="VB208" s="541"/>
      <c r="VC208" s="541"/>
      <c r="VD208" s="541"/>
      <c r="VE208" s="541"/>
      <c r="VF208" s="541"/>
      <c r="VG208" s="541"/>
      <c r="VH208" s="541"/>
      <c r="VI208" s="541"/>
      <c r="VJ208" s="541"/>
      <c r="VK208" s="541"/>
      <c r="VL208" s="541"/>
      <c r="VM208" s="541"/>
      <c r="VN208" s="541"/>
      <c r="VO208" s="541"/>
      <c r="VP208" s="541"/>
      <c r="VQ208" s="541"/>
      <c r="VR208" s="541"/>
      <c r="VS208" s="541"/>
      <c r="VT208" s="541"/>
      <c r="VU208" s="541"/>
      <c r="VV208" s="541"/>
      <c r="VW208" s="541"/>
      <c r="VX208" s="541"/>
      <c r="VY208" s="541"/>
      <c r="VZ208" s="541"/>
      <c r="WA208" s="541"/>
      <c r="WB208" s="541"/>
      <c r="WC208" s="541"/>
      <c r="WD208" s="541"/>
      <c r="WE208" s="541"/>
      <c r="WF208" s="541"/>
      <c r="WG208" s="541"/>
      <c r="WH208" s="541"/>
      <c r="WI208" s="541"/>
      <c r="WJ208" s="541"/>
      <c r="WK208" s="541"/>
      <c r="WL208" s="541"/>
      <c r="WM208" s="541"/>
      <c r="WN208" s="541"/>
      <c r="WO208" s="541"/>
      <c r="WP208" s="541"/>
      <c r="WQ208" s="541"/>
      <c r="WR208" s="541"/>
      <c r="WS208" s="541"/>
      <c r="WT208" s="541"/>
      <c r="WU208" s="541"/>
      <c r="WV208" s="541"/>
      <c r="WW208" s="541"/>
      <c r="WX208" s="541"/>
      <c r="WY208" s="541"/>
      <c r="WZ208" s="541"/>
      <c r="XA208" s="541"/>
      <c r="XB208" s="541"/>
      <c r="XC208" s="541"/>
      <c r="XD208" s="541"/>
      <c r="XE208" s="541"/>
      <c r="XF208" s="541"/>
      <c r="XG208" s="541"/>
      <c r="XH208" s="541"/>
      <c r="XI208" s="541"/>
      <c r="XJ208" s="541"/>
      <c r="XK208" s="541"/>
      <c r="XL208" s="541"/>
      <c r="XM208" s="541"/>
      <c r="XN208" s="541"/>
      <c r="XO208" s="541"/>
      <c r="XP208" s="541"/>
      <c r="XQ208" s="541"/>
      <c r="XR208" s="541"/>
      <c r="XS208" s="541"/>
      <c r="XT208" s="541"/>
      <c r="XU208" s="541"/>
      <c r="XV208" s="541"/>
      <c r="XW208" s="541"/>
      <c r="XX208" s="541"/>
      <c r="XY208" s="541"/>
      <c r="XZ208" s="541"/>
      <c r="YA208" s="541"/>
      <c r="YB208" s="541"/>
      <c r="YC208" s="541"/>
      <c r="YD208" s="541"/>
      <c r="YE208" s="541"/>
      <c r="YF208" s="541"/>
      <c r="YG208" s="541"/>
      <c r="YH208" s="541"/>
      <c r="YI208" s="541"/>
      <c r="YJ208" s="541"/>
      <c r="YK208" s="541"/>
      <c r="YL208" s="541"/>
      <c r="YM208" s="541"/>
      <c r="YN208" s="541"/>
      <c r="YO208" s="541"/>
      <c r="YP208" s="541"/>
      <c r="YQ208" s="541"/>
      <c r="YR208" s="541"/>
      <c r="YS208" s="541"/>
      <c r="YT208" s="541"/>
      <c r="YU208" s="541"/>
      <c r="YV208" s="541"/>
      <c r="YW208" s="541"/>
      <c r="YX208" s="541"/>
      <c r="YY208" s="541"/>
      <c r="YZ208" s="541"/>
      <c r="ZA208" s="541"/>
      <c r="ZB208" s="541"/>
      <c r="ZC208" s="541"/>
      <c r="ZD208" s="541"/>
      <c r="ZE208" s="541"/>
      <c r="ZF208" s="541"/>
      <c r="ZG208" s="541"/>
      <c r="ZH208" s="541"/>
      <c r="ZI208" s="541"/>
      <c r="ZJ208" s="541"/>
      <c r="ZK208" s="541"/>
      <c r="ZL208" s="541"/>
      <c r="ZM208" s="541"/>
      <c r="ZN208" s="541"/>
      <c r="ZO208" s="541"/>
      <c r="ZP208" s="541"/>
      <c r="ZQ208" s="541"/>
      <c r="ZR208" s="541"/>
      <c r="ZS208" s="541"/>
      <c r="ZT208" s="541"/>
      <c r="ZU208" s="541"/>
      <c r="ZV208" s="541"/>
      <c r="ZW208" s="541"/>
      <c r="ZX208" s="541"/>
      <c r="ZY208" s="541"/>
      <c r="ZZ208" s="541"/>
      <c r="AAA208" s="541"/>
      <c r="AAB208" s="541"/>
      <c r="AAC208" s="541"/>
      <c r="AAD208" s="541"/>
      <c r="AAE208" s="541"/>
      <c r="AAF208" s="541"/>
      <c r="AAG208" s="541"/>
      <c r="AAH208" s="541"/>
      <c r="AAI208" s="541"/>
      <c r="AAJ208" s="541"/>
      <c r="AAK208" s="541"/>
      <c r="AAL208" s="541"/>
      <c r="AAM208" s="541"/>
      <c r="AAN208" s="541"/>
      <c r="AAO208" s="541"/>
      <c r="AAP208" s="541"/>
      <c r="AAQ208" s="541"/>
      <c r="AAR208" s="541"/>
      <c r="AAS208" s="541"/>
      <c r="AAT208" s="541"/>
      <c r="AAU208" s="541"/>
      <c r="AAV208" s="541"/>
      <c r="AAW208" s="541"/>
      <c r="AAX208" s="541"/>
      <c r="AAY208" s="541"/>
      <c r="AAZ208" s="541"/>
      <c r="ABA208" s="541"/>
      <c r="ABB208" s="541"/>
      <c r="ABC208" s="541"/>
      <c r="ABD208" s="541"/>
      <c r="ABE208" s="541"/>
      <c r="ABF208" s="541"/>
      <c r="ABG208" s="541"/>
      <c r="ABH208" s="541"/>
      <c r="ABI208" s="541"/>
      <c r="ABJ208" s="541"/>
      <c r="ABK208" s="541"/>
      <c r="ABL208" s="541"/>
      <c r="ABM208" s="541"/>
      <c r="ABN208" s="541"/>
      <c r="ABO208" s="541"/>
      <c r="ABP208" s="541"/>
      <c r="ABQ208" s="541"/>
      <c r="ABR208" s="541"/>
      <c r="ABS208" s="541"/>
      <c r="ABT208" s="541"/>
      <c r="ABU208" s="541"/>
      <c r="ABV208" s="541"/>
      <c r="ABW208" s="541"/>
      <c r="ABX208" s="541"/>
      <c r="ABY208" s="541"/>
      <c r="ABZ208" s="541"/>
      <c r="ACA208" s="541"/>
      <c r="ACB208" s="541"/>
      <c r="ACC208" s="541"/>
      <c r="ACD208" s="541"/>
      <c r="ACE208" s="541"/>
      <c r="ACF208" s="541"/>
      <c r="ACG208" s="541"/>
      <c r="ACH208" s="541"/>
      <c r="ACI208" s="541"/>
      <c r="ACJ208" s="541"/>
      <c r="ACK208" s="541"/>
      <c r="ACL208" s="541"/>
      <c r="ACM208" s="541"/>
      <c r="ACN208" s="541"/>
      <c r="ACO208" s="541"/>
      <c r="ACP208" s="541"/>
      <c r="ACQ208" s="541"/>
      <c r="ACR208" s="541"/>
      <c r="ACS208" s="541"/>
      <c r="ACT208" s="541"/>
      <c r="ACU208" s="541"/>
      <c r="ACV208" s="541"/>
      <c r="ACW208" s="541"/>
      <c r="ACX208" s="541"/>
      <c r="ACY208" s="541"/>
      <c r="ACZ208" s="541"/>
      <c r="ADA208" s="541"/>
      <c r="ADB208" s="541"/>
      <c r="ADC208" s="541"/>
      <c r="ADD208" s="541"/>
      <c r="ADE208" s="541"/>
      <c r="ADF208" s="541"/>
      <c r="ADG208" s="541"/>
      <c r="ADH208" s="541"/>
      <c r="ADI208" s="541"/>
      <c r="ADJ208" s="541"/>
      <c r="ADK208" s="541"/>
      <c r="ADL208" s="541"/>
      <c r="ADM208" s="541"/>
      <c r="ADN208" s="541"/>
      <c r="ADO208" s="541"/>
      <c r="ADP208" s="541"/>
      <c r="ADQ208" s="541"/>
      <c r="ADR208" s="541"/>
      <c r="ADS208" s="541"/>
      <c r="ADT208" s="541"/>
      <c r="ADU208" s="541"/>
      <c r="ADV208" s="541"/>
      <c r="ADW208" s="541"/>
      <c r="ADX208" s="541"/>
      <c r="ADY208" s="541"/>
      <c r="ADZ208" s="541"/>
      <c r="AEA208" s="541"/>
      <c r="AEB208" s="541"/>
      <c r="AEC208" s="541"/>
      <c r="AED208" s="541"/>
      <c r="AEE208" s="541"/>
      <c r="AEF208" s="541"/>
      <c r="AEG208" s="541"/>
      <c r="AEH208" s="541"/>
      <c r="AEI208" s="541"/>
      <c r="AEJ208" s="541"/>
      <c r="AEK208" s="541"/>
      <c r="AEL208" s="541"/>
      <c r="AEM208" s="541"/>
      <c r="AEN208" s="541"/>
      <c r="AEO208" s="541"/>
      <c r="AEP208" s="541"/>
      <c r="AEQ208" s="541"/>
      <c r="AER208" s="541"/>
      <c r="AES208" s="541"/>
      <c r="AET208" s="541"/>
      <c r="AEU208" s="541"/>
      <c r="AEV208" s="541"/>
      <c r="AEW208" s="541"/>
      <c r="AEX208" s="541"/>
      <c r="AEY208" s="541"/>
      <c r="AEZ208" s="541"/>
      <c r="AFA208" s="541"/>
      <c r="AFB208" s="541"/>
      <c r="AFC208" s="541"/>
      <c r="AFD208" s="541"/>
      <c r="AFE208" s="541"/>
      <c r="AFF208" s="541"/>
      <c r="AFG208" s="541"/>
      <c r="AFH208" s="541"/>
      <c r="AFI208" s="541"/>
      <c r="AFJ208" s="541"/>
      <c r="AFK208" s="541"/>
      <c r="AFL208" s="541"/>
      <c r="AFM208" s="541"/>
      <c r="AFN208" s="541"/>
      <c r="AFO208" s="541"/>
      <c r="AFP208" s="541"/>
      <c r="AFQ208" s="541"/>
      <c r="AFR208" s="541"/>
      <c r="AFS208" s="541"/>
      <c r="AFT208" s="541"/>
      <c r="AFU208" s="541"/>
      <c r="AFV208" s="541"/>
      <c r="AFW208" s="541"/>
      <c r="AFX208" s="541"/>
      <c r="AFY208" s="541"/>
      <c r="AFZ208" s="541"/>
      <c r="AGA208" s="541"/>
      <c r="AGB208" s="541"/>
      <c r="AGC208" s="541"/>
      <c r="AGD208" s="541"/>
      <c r="AGE208" s="541"/>
      <c r="AGF208" s="541"/>
      <c r="AGG208" s="541"/>
      <c r="AGH208" s="541"/>
      <c r="AGI208" s="541"/>
      <c r="AGJ208" s="541"/>
      <c r="AGK208" s="541"/>
      <c r="AGL208" s="541"/>
      <c r="AGM208" s="541"/>
      <c r="AGN208" s="541"/>
      <c r="AGO208" s="541"/>
      <c r="AGP208" s="541"/>
      <c r="AGQ208" s="541"/>
      <c r="AGR208" s="541"/>
      <c r="AGS208" s="541"/>
      <c r="AGT208" s="541"/>
      <c r="AGU208" s="541"/>
      <c r="AGV208" s="541"/>
      <c r="AGW208" s="541"/>
      <c r="AGX208" s="541"/>
      <c r="AGY208" s="541"/>
      <c r="AGZ208" s="541"/>
      <c r="AHA208" s="541"/>
      <c r="AHB208" s="541"/>
      <c r="AHC208" s="541"/>
      <c r="AHD208" s="541"/>
      <c r="AHE208" s="541"/>
      <c r="AHF208" s="541"/>
      <c r="AHG208" s="541"/>
      <c r="AHH208" s="541"/>
      <c r="AHI208" s="541"/>
      <c r="AHJ208" s="541"/>
      <c r="AHK208" s="541"/>
      <c r="AHL208" s="541"/>
      <c r="AHM208" s="541"/>
      <c r="AHN208" s="541"/>
      <c r="AHO208" s="541"/>
      <c r="AHP208" s="541"/>
      <c r="AHQ208" s="541"/>
      <c r="AHR208" s="541"/>
      <c r="AHS208" s="541"/>
      <c r="AHT208" s="541"/>
      <c r="AHU208" s="541"/>
      <c r="AHV208" s="541"/>
      <c r="AHW208" s="541"/>
      <c r="AHX208" s="541"/>
      <c r="AHY208" s="541"/>
      <c r="AHZ208" s="541"/>
      <c r="AIA208" s="541"/>
      <c r="AIB208" s="541"/>
      <c r="AIC208" s="541"/>
      <c r="AID208" s="541"/>
      <c r="AIE208" s="541"/>
      <c r="AIF208" s="541"/>
      <c r="AIG208" s="541"/>
      <c r="AIH208" s="541"/>
      <c r="AII208" s="541"/>
      <c r="AIJ208" s="541"/>
      <c r="AIK208" s="541"/>
      <c r="AIL208" s="541"/>
      <c r="AIM208" s="541"/>
      <c r="AIN208" s="541"/>
      <c r="AIO208" s="541"/>
      <c r="AIP208" s="541"/>
      <c r="AIQ208" s="541"/>
      <c r="AIR208" s="541"/>
      <c r="AIS208" s="541"/>
      <c r="AIT208" s="541"/>
      <c r="AIU208" s="541"/>
      <c r="AIV208" s="541"/>
      <c r="AIW208" s="541"/>
      <c r="AIX208" s="541"/>
      <c r="AIY208" s="541"/>
      <c r="AIZ208" s="541"/>
      <c r="AJA208" s="541"/>
      <c r="AJB208" s="541"/>
      <c r="AJC208" s="541"/>
      <c r="AJD208" s="541"/>
      <c r="AJE208" s="541"/>
      <c r="AJF208" s="541"/>
      <c r="AJG208" s="541"/>
      <c r="AJH208" s="541"/>
      <c r="AJI208" s="541"/>
      <c r="AJJ208" s="541"/>
      <c r="AJK208" s="541"/>
      <c r="AJL208" s="541"/>
      <c r="AJM208" s="541"/>
      <c r="AJN208" s="541"/>
      <c r="AJO208" s="541"/>
      <c r="AJP208" s="541"/>
      <c r="AJQ208" s="541"/>
      <c r="AJR208" s="541"/>
      <c r="AJS208" s="541"/>
      <c r="AJT208" s="541"/>
      <c r="AJU208" s="541"/>
      <c r="AJV208" s="541"/>
      <c r="AJW208" s="541"/>
      <c r="AJX208" s="541"/>
      <c r="AJY208" s="541"/>
      <c r="AJZ208" s="541"/>
      <c r="AKA208" s="541"/>
      <c r="AKB208" s="541"/>
      <c r="AKC208" s="541"/>
      <c r="AKD208" s="541"/>
      <c r="AKE208" s="541"/>
      <c r="AKF208" s="541"/>
      <c r="AKG208" s="541"/>
      <c r="AKH208" s="541"/>
      <c r="AKI208" s="541"/>
      <c r="AKJ208" s="541"/>
      <c r="AKK208" s="541"/>
      <c r="AKL208" s="541"/>
      <c r="AKM208" s="541"/>
      <c r="AKN208" s="541"/>
      <c r="AKO208" s="541"/>
      <c r="AKP208" s="541"/>
      <c r="AKQ208" s="541"/>
      <c r="AKR208" s="541"/>
      <c r="AKS208" s="541"/>
      <c r="AKT208" s="541"/>
      <c r="AKU208" s="541"/>
      <c r="AKV208" s="541"/>
      <c r="AKW208" s="541"/>
      <c r="AKX208" s="541"/>
      <c r="AKY208" s="541"/>
      <c r="AKZ208" s="541"/>
      <c r="ALA208" s="541"/>
      <c r="ALB208" s="541"/>
      <c r="ALC208" s="541"/>
      <c r="ALD208" s="541"/>
      <c r="ALE208" s="541"/>
      <c r="ALF208" s="541"/>
      <c r="ALG208" s="541"/>
      <c r="ALH208" s="541"/>
      <c r="ALI208" s="541"/>
      <c r="ALJ208" s="541"/>
      <c r="ALK208" s="541"/>
      <c r="ALL208" s="541"/>
      <c r="ALM208" s="541"/>
      <c r="ALN208" s="541"/>
      <c r="ALO208" s="541"/>
      <c r="ALP208" s="541"/>
      <c r="ALQ208" s="541"/>
      <c r="ALR208" s="541"/>
      <c r="ALS208" s="541"/>
      <c r="ALT208" s="541"/>
      <c r="ALU208" s="541"/>
      <c r="ALV208" s="541"/>
      <c r="ALW208" s="541"/>
      <c r="ALX208" s="541"/>
      <c r="ALY208" s="541"/>
      <c r="ALZ208" s="541"/>
      <c r="AMA208" s="541"/>
      <c r="AMB208" s="541"/>
      <c r="AMC208" s="541"/>
      <c r="AMD208" s="541"/>
      <c r="AME208" s="541"/>
      <c r="AMF208" s="541"/>
      <c r="AMG208" s="541"/>
      <c r="AMH208" s="541"/>
      <c r="AMI208" s="541"/>
      <c r="AMJ208" s="541"/>
      <c r="AMK208" s="541"/>
      <c r="AML208" s="541"/>
      <c r="AMM208" s="541"/>
      <c r="AMN208" s="541"/>
      <c r="AMO208" s="541"/>
      <c r="AMP208" s="541"/>
      <c r="AMQ208" s="541"/>
      <c r="AMR208" s="541"/>
      <c r="AMS208" s="541"/>
      <c r="AMT208" s="541"/>
      <c r="AMU208" s="541"/>
      <c r="AMV208" s="541"/>
      <c r="AMW208" s="541"/>
      <c r="AMX208" s="541"/>
      <c r="AMY208" s="541"/>
      <c r="AMZ208" s="541"/>
      <c r="ANA208" s="541"/>
      <c r="ANB208" s="541"/>
      <c r="ANC208" s="541"/>
      <c r="AND208" s="541"/>
      <c r="ANE208" s="541"/>
      <c r="ANF208" s="541"/>
      <c r="ANG208" s="541"/>
      <c r="ANH208" s="541"/>
      <c r="ANI208" s="541"/>
      <c r="ANJ208" s="541"/>
      <c r="ANK208" s="541"/>
      <c r="ANL208" s="541"/>
      <c r="ANM208" s="541"/>
      <c r="ANN208" s="541"/>
      <c r="ANO208" s="541"/>
      <c r="ANP208" s="541"/>
      <c r="ANQ208" s="541"/>
      <c r="ANR208" s="541"/>
      <c r="ANS208" s="541"/>
      <c r="ANT208" s="541"/>
      <c r="ANU208" s="541"/>
      <c r="ANV208" s="541"/>
      <c r="ANW208" s="541"/>
      <c r="ANX208" s="541"/>
      <c r="ANY208" s="541"/>
      <c r="ANZ208" s="541"/>
      <c r="AOA208" s="541"/>
      <c r="AOB208" s="541"/>
      <c r="AOC208" s="541"/>
      <c r="AOD208" s="541"/>
      <c r="AOE208" s="541"/>
      <c r="AOF208" s="541"/>
      <c r="AOG208" s="541"/>
      <c r="AOH208" s="541"/>
      <c r="AOI208" s="541"/>
      <c r="AOJ208" s="541"/>
      <c r="AOK208" s="541"/>
      <c r="AOL208" s="541"/>
      <c r="AOM208" s="541"/>
      <c r="AON208" s="541"/>
      <c r="AOO208" s="541"/>
      <c r="AOP208" s="541"/>
      <c r="AOQ208" s="541"/>
      <c r="AOR208" s="541"/>
      <c r="AOS208" s="541"/>
      <c r="AOT208" s="541"/>
      <c r="AOU208" s="541"/>
      <c r="AOV208" s="541"/>
      <c r="AOW208" s="541"/>
      <c r="AOX208" s="541"/>
      <c r="AOY208" s="541"/>
      <c r="AOZ208" s="541"/>
      <c r="APA208" s="541"/>
      <c r="APB208" s="541"/>
      <c r="APC208" s="541"/>
      <c r="APD208" s="541"/>
      <c r="APE208" s="541"/>
      <c r="APF208" s="541"/>
      <c r="APG208" s="541"/>
      <c r="APH208" s="541"/>
      <c r="API208" s="541"/>
      <c r="APJ208" s="541"/>
      <c r="APK208" s="541"/>
      <c r="APL208" s="541"/>
      <c r="APM208" s="541"/>
      <c r="APN208" s="541"/>
      <c r="APO208" s="541"/>
      <c r="APP208" s="541"/>
      <c r="APQ208" s="541"/>
      <c r="APR208" s="541"/>
      <c r="APS208" s="541"/>
      <c r="APT208" s="541"/>
      <c r="APU208" s="541"/>
      <c r="APV208" s="541"/>
      <c r="APW208" s="541"/>
      <c r="APX208" s="541"/>
      <c r="APY208" s="541"/>
      <c r="APZ208" s="541"/>
      <c r="AQA208" s="541"/>
      <c r="AQB208" s="541"/>
      <c r="AQC208" s="541"/>
      <c r="AQD208" s="541"/>
      <c r="AQE208" s="541"/>
      <c r="AQF208" s="541"/>
      <c r="AQG208" s="541"/>
      <c r="AQH208" s="541"/>
      <c r="AQI208" s="541"/>
      <c r="AQJ208" s="541"/>
      <c r="AQK208" s="541"/>
      <c r="AQL208" s="541"/>
      <c r="AQM208" s="541"/>
      <c r="AQN208" s="541"/>
      <c r="AQO208" s="541"/>
      <c r="AQP208" s="541"/>
      <c r="AQQ208" s="541"/>
      <c r="AQR208" s="541"/>
      <c r="AQS208" s="541"/>
      <c r="AQT208" s="541"/>
      <c r="AQU208" s="541"/>
      <c r="AQV208" s="541"/>
      <c r="AQW208" s="541"/>
      <c r="AQX208" s="541"/>
      <c r="AQY208" s="541"/>
      <c r="AQZ208" s="541"/>
      <c r="ARA208" s="541"/>
      <c r="ARB208" s="541"/>
      <c r="ARC208" s="541"/>
      <c r="ARD208" s="541"/>
      <c r="ARE208" s="541"/>
      <c r="ARF208" s="541"/>
      <c r="ARG208" s="541"/>
      <c r="ARH208" s="541"/>
      <c r="ARI208" s="541"/>
      <c r="ARJ208" s="541"/>
      <c r="ARK208" s="541"/>
      <c r="ARL208" s="541"/>
      <c r="ARM208" s="541"/>
      <c r="ARN208" s="541"/>
      <c r="ARO208" s="541"/>
      <c r="ARP208" s="541"/>
      <c r="ARQ208" s="541"/>
      <c r="ARR208" s="541"/>
      <c r="ARS208" s="541"/>
      <c r="ART208" s="541"/>
      <c r="ARU208" s="541"/>
    </row>
    <row r="209" spans="1:1165" s="658" customFormat="1">
      <c r="A209" s="613" t="s">
        <v>354</v>
      </c>
      <c r="B209" s="578" t="s">
        <v>110</v>
      </c>
      <c r="C209" s="659">
        <v>108</v>
      </c>
      <c r="D209" s="659">
        <v>3627</v>
      </c>
      <c r="E209" s="581">
        <v>0</v>
      </c>
      <c r="F209" s="581">
        <v>0</v>
      </c>
      <c r="G209" s="581">
        <v>0</v>
      </c>
      <c r="H209" s="581">
        <v>0</v>
      </c>
      <c r="I209" s="581">
        <v>0</v>
      </c>
      <c r="J209" s="581">
        <v>0</v>
      </c>
      <c r="K209" s="581">
        <v>2492</v>
      </c>
      <c r="L209" s="581">
        <v>464041</v>
      </c>
      <c r="M209" s="581">
        <v>6668</v>
      </c>
      <c r="N209" s="581">
        <v>1380851</v>
      </c>
      <c r="O209" s="581">
        <v>12009</v>
      </c>
      <c r="P209" s="581">
        <v>1428714</v>
      </c>
      <c r="Q209" s="581">
        <v>8530</v>
      </c>
      <c r="R209" s="581">
        <v>2682232</v>
      </c>
      <c r="S209" s="581">
        <v>16621</v>
      </c>
      <c r="T209" s="581">
        <v>3320514</v>
      </c>
      <c r="U209" s="598">
        <v>27396</v>
      </c>
      <c r="V209" s="598">
        <v>4772858</v>
      </c>
      <c r="W209" s="598">
        <v>39105</v>
      </c>
      <c r="X209" s="598">
        <v>7118550</v>
      </c>
      <c r="Y209" s="581">
        <v>50576</v>
      </c>
      <c r="Z209" s="581">
        <v>7525463</v>
      </c>
      <c r="AA209" s="619">
        <v>43281</v>
      </c>
      <c r="AB209" s="619">
        <v>7619341</v>
      </c>
      <c r="AC209" s="581">
        <v>39980</v>
      </c>
      <c r="AD209" s="581">
        <v>8095473</v>
      </c>
      <c r="AE209" s="579">
        <v>33353</v>
      </c>
      <c r="AF209" s="579">
        <v>8358894</v>
      </c>
      <c r="AG209" s="579">
        <v>61708</v>
      </c>
      <c r="AH209" s="579">
        <v>11246613</v>
      </c>
      <c r="AI209" s="579">
        <v>80135</v>
      </c>
      <c r="AJ209" s="579">
        <v>12019364</v>
      </c>
      <c r="AK209" s="661">
        <v>139287</v>
      </c>
      <c r="AL209" s="661">
        <v>18289945</v>
      </c>
      <c r="AM209" s="662">
        <v>56567</v>
      </c>
      <c r="AN209" s="662">
        <v>10701568</v>
      </c>
      <c r="AO209" s="579">
        <v>42337</v>
      </c>
      <c r="AP209" s="579">
        <v>10243876</v>
      </c>
      <c r="AQ209" s="579">
        <v>54023</v>
      </c>
      <c r="AR209" s="579">
        <v>11453258</v>
      </c>
      <c r="AS209" s="579">
        <v>65504</v>
      </c>
      <c r="AT209" s="579">
        <v>16458150</v>
      </c>
      <c r="AU209" s="619">
        <v>79859</v>
      </c>
      <c r="AV209" s="581" t="s">
        <v>273</v>
      </c>
      <c r="AW209" s="581">
        <v>79085</v>
      </c>
      <c r="AX209" s="581" t="s">
        <v>273</v>
      </c>
      <c r="AY209" s="581">
        <v>124410</v>
      </c>
      <c r="AZ209" s="581" t="s">
        <v>273</v>
      </c>
      <c r="BA209" s="663"/>
      <c r="BB209" s="581"/>
      <c r="BC209" s="581"/>
      <c r="BD209" s="581"/>
      <c r="BE209" s="581"/>
      <c r="BF209" s="581"/>
      <c r="BG209" s="581"/>
      <c r="BH209" s="581"/>
      <c r="BI209" s="663"/>
      <c r="BJ209" s="581">
        <f t="shared" si="30"/>
        <v>1063034</v>
      </c>
      <c r="BK209" s="581">
        <f>D209+H209+J209+L209+N209+P209+R209+T209+V209+X209+Z209+AB209+AD209+AF209+AH209+AJ209+AL209+AN209+AP209+AR209+AT209</f>
        <v>143183332</v>
      </c>
      <c r="BL209" s="541"/>
      <c r="BM209" s="541"/>
      <c r="BN209" s="541"/>
      <c r="BO209" s="624"/>
      <c r="BP209" s="541"/>
      <c r="BQ209" s="541"/>
      <c r="BR209" s="541"/>
      <c r="BS209" s="541"/>
      <c r="BT209" s="541"/>
      <c r="BU209" s="541"/>
      <c r="BV209" s="541"/>
      <c r="BW209" s="541"/>
      <c r="BX209" s="541"/>
      <c r="BY209" s="541"/>
      <c r="BZ209" s="541"/>
      <c r="CA209" s="541"/>
      <c r="CB209" s="541"/>
      <c r="CC209" s="541"/>
      <c r="CD209" s="541"/>
      <c r="CE209" s="541"/>
      <c r="CF209" s="541"/>
      <c r="CG209" s="541"/>
      <c r="CH209" s="541"/>
      <c r="CI209" s="541"/>
      <c r="CJ209" s="541"/>
      <c r="CK209" s="541"/>
      <c r="CL209" s="541"/>
      <c r="CM209" s="541"/>
      <c r="CN209" s="541"/>
      <c r="CO209" s="541"/>
      <c r="CP209" s="541"/>
      <c r="CQ209" s="541"/>
      <c r="CR209" s="541"/>
      <c r="CS209" s="541"/>
      <c r="CT209" s="541"/>
      <c r="CU209" s="541"/>
      <c r="CV209" s="541"/>
      <c r="CW209" s="541"/>
      <c r="CX209" s="541"/>
      <c r="CY209" s="541"/>
      <c r="CZ209" s="541"/>
      <c r="DA209" s="541"/>
      <c r="DB209" s="541"/>
      <c r="DC209" s="541"/>
      <c r="DD209" s="541"/>
      <c r="DE209" s="541"/>
      <c r="DF209" s="541"/>
      <c r="DG209" s="541"/>
      <c r="DH209" s="541"/>
      <c r="DI209" s="541"/>
      <c r="DJ209" s="541"/>
      <c r="DK209" s="541"/>
      <c r="DL209" s="541"/>
      <c r="DM209" s="541"/>
      <c r="DN209" s="541"/>
      <c r="DO209" s="541"/>
      <c r="DP209" s="541"/>
      <c r="DQ209" s="541"/>
      <c r="DR209" s="541"/>
      <c r="DS209" s="541"/>
      <c r="DT209" s="541"/>
      <c r="DU209" s="541"/>
      <c r="DV209" s="541"/>
      <c r="DW209" s="541"/>
      <c r="DX209" s="541"/>
      <c r="DY209" s="541"/>
      <c r="DZ209" s="541"/>
      <c r="EA209" s="541"/>
      <c r="EB209" s="541"/>
      <c r="EC209" s="541"/>
      <c r="ED209" s="541"/>
      <c r="EE209" s="541"/>
      <c r="EF209" s="541"/>
      <c r="EG209" s="541"/>
      <c r="EH209" s="541"/>
      <c r="EI209" s="541"/>
      <c r="EJ209" s="541"/>
      <c r="EK209" s="541"/>
      <c r="EL209" s="541"/>
      <c r="EM209" s="541"/>
      <c r="EN209" s="541"/>
      <c r="EO209" s="541"/>
      <c r="EP209" s="541"/>
      <c r="EQ209" s="541"/>
      <c r="ER209" s="541"/>
      <c r="ES209" s="541"/>
      <c r="ET209" s="541"/>
      <c r="EU209" s="541"/>
      <c r="EV209" s="541"/>
      <c r="EW209" s="541"/>
      <c r="EX209" s="541"/>
      <c r="EY209" s="541"/>
      <c r="EZ209" s="541"/>
      <c r="FA209" s="541"/>
      <c r="FB209" s="541"/>
      <c r="FC209" s="541"/>
      <c r="FD209" s="541"/>
      <c r="FE209" s="541"/>
      <c r="FF209" s="541"/>
      <c r="FG209" s="541"/>
      <c r="FH209" s="541"/>
      <c r="FI209" s="541"/>
      <c r="FJ209" s="541"/>
      <c r="FK209" s="541"/>
      <c r="FL209" s="541"/>
      <c r="FM209" s="541"/>
      <c r="FN209" s="541"/>
      <c r="FO209" s="541"/>
      <c r="FP209" s="541"/>
      <c r="FQ209" s="541"/>
      <c r="FR209" s="541"/>
      <c r="FS209" s="541"/>
      <c r="FT209" s="541"/>
      <c r="FU209" s="541"/>
      <c r="FV209" s="541"/>
      <c r="FW209" s="541"/>
      <c r="FX209" s="541"/>
      <c r="FY209" s="541"/>
      <c r="FZ209" s="541"/>
      <c r="GA209" s="541"/>
      <c r="GB209" s="541"/>
      <c r="GC209" s="541"/>
      <c r="GD209" s="541"/>
      <c r="GE209" s="541"/>
      <c r="GF209" s="541"/>
      <c r="GG209" s="541"/>
      <c r="GH209" s="541"/>
      <c r="GI209" s="541"/>
      <c r="GJ209" s="541"/>
      <c r="GK209" s="541"/>
      <c r="GL209" s="541"/>
      <c r="GM209" s="541"/>
      <c r="GN209" s="541"/>
      <c r="GO209" s="541"/>
      <c r="GP209" s="541"/>
      <c r="GQ209" s="541"/>
      <c r="GR209" s="541"/>
      <c r="GS209" s="541"/>
      <c r="GT209" s="541"/>
      <c r="GU209" s="541"/>
      <c r="GV209" s="541"/>
      <c r="GW209" s="541"/>
      <c r="GX209" s="541"/>
      <c r="GY209" s="541"/>
      <c r="GZ209" s="541"/>
      <c r="HA209" s="541"/>
      <c r="HB209" s="541"/>
      <c r="HC209" s="541"/>
      <c r="HD209" s="541"/>
      <c r="HE209" s="541"/>
      <c r="HF209" s="541"/>
      <c r="HG209" s="541"/>
      <c r="HH209" s="541"/>
      <c r="HI209" s="541"/>
      <c r="HJ209" s="541"/>
      <c r="HK209" s="541"/>
      <c r="HL209" s="541"/>
      <c r="HM209" s="541"/>
      <c r="HN209" s="541"/>
      <c r="HO209" s="541"/>
      <c r="HP209" s="541"/>
      <c r="HQ209" s="541"/>
      <c r="HR209" s="541"/>
      <c r="HS209" s="541"/>
      <c r="HT209" s="541"/>
      <c r="HU209" s="541"/>
      <c r="HV209" s="541"/>
      <c r="HW209" s="541"/>
      <c r="HX209" s="541"/>
      <c r="HY209" s="541"/>
      <c r="HZ209" s="541"/>
      <c r="IA209" s="541"/>
      <c r="IB209" s="541"/>
      <c r="IC209" s="541"/>
      <c r="ID209" s="541"/>
      <c r="IE209" s="541"/>
      <c r="IF209" s="541"/>
      <c r="IG209" s="541"/>
      <c r="IH209" s="541"/>
      <c r="II209" s="541"/>
      <c r="IJ209" s="541"/>
      <c r="IK209" s="541"/>
      <c r="IL209" s="541"/>
      <c r="IM209" s="541"/>
      <c r="IN209" s="541"/>
      <c r="IO209" s="541"/>
      <c r="IP209" s="541"/>
      <c r="IQ209" s="541"/>
      <c r="IR209" s="541"/>
      <c r="IS209" s="541"/>
      <c r="IT209" s="541"/>
      <c r="IU209" s="541"/>
      <c r="IV209" s="541"/>
      <c r="IW209" s="541"/>
      <c r="IX209" s="541"/>
      <c r="IY209" s="541"/>
      <c r="IZ209" s="541"/>
      <c r="JA209" s="541"/>
      <c r="JB209" s="541"/>
      <c r="JC209" s="541"/>
      <c r="JD209" s="541"/>
      <c r="JE209" s="541"/>
      <c r="JF209" s="541"/>
      <c r="JG209" s="541"/>
      <c r="JH209" s="541"/>
      <c r="JI209" s="541"/>
      <c r="JJ209" s="541"/>
      <c r="JK209" s="541"/>
      <c r="JL209" s="541"/>
      <c r="JM209" s="541"/>
      <c r="JN209" s="541"/>
      <c r="JO209" s="541"/>
      <c r="JP209" s="541"/>
      <c r="JQ209" s="541"/>
      <c r="JR209" s="541"/>
      <c r="JS209" s="541"/>
      <c r="JT209" s="541"/>
      <c r="JU209" s="541"/>
      <c r="JV209" s="541"/>
      <c r="JW209" s="541"/>
      <c r="JX209" s="541"/>
      <c r="JY209" s="541"/>
      <c r="JZ209" s="541"/>
      <c r="KA209" s="541"/>
      <c r="KB209" s="541"/>
      <c r="KC209" s="541"/>
      <c r="KD209" s="541"/>
      <c r="KE209" s="541"/>
      <c r="KF209" s="541"/>
      <c r="KG209" s="541"/>
      <c r="KH209" s="541"/>
      <c r="KI209" s="541"/>
      <c r="KJ209" s="541"/>
      <c r="KK209" s="541"/>
      <c r="KL209" s="541"/>
      <c r="KM209" s="541"/>
      <c r="KN209" s="541"/>
      <c r="KO209" s="541"/>
      <c r="KP209" s="541"/>
      <c r="KQ209" s="541"/>
      <c r="KR209" s="541"/>
      <c r="KS209" s="541"/>
      <c r="KT209" s="541"/>
      <c r="KU209" s="541"/>
      <c r="KV209" s="541"/>
      <c r="KW209" s="541"/>
      <c r="KX209" s="541"/>
      <c r="KY209" s="541"/>
      <c r="KZ209" s="541"/>
      <c r="LA209" s="541"/>
      <c r="LB209" s="541"/>
      <c r="LC209" s="541"/>
      <c r="LD209" s="541"/>
      <c r="LE209" s="541"/>
      <c r="LF209" s="541"/>
      <c r="LG209" s="541"/>
      <c r="LH209" s="541"/>
      <c r="LI209" s="541"/>
      <c r="LJ209" s="541"/>
      <c r="LK209" s="541"/>
      <c r="LL209" s="541"/>
      <c r="LM209" s="541"/>
      <c r="LN209" s="541"/>
      <c r="LO209" s="541"/>
      <c r="LP209" s="541"/>
      <c r="LQ209" s="541"/>
      <c r="LR209" s="541"/>
      <c r="LS209" s="541"/>
      <c r="LT209" s="541"/>
      <c r="LU209" s="541"/>
      <c r="LV209" s="541"/>
      <c r="LW209" s="541"/>
      <c r="LX209" s="541"/>
      <c r="LY209" s="541"/>
      <c r="LZ209" s="541"/>
      <c r="MA209" s="541"/>
      <c r="MB209" s="541"/>
      <c r="MC209" s="541"/>
      <c r="MD209" s="541"/>
      <c r="ME209" s="541"/>
      <c r="MF209" s="541"/>
      <c r="MG209" s="541"/>
      <c r="MH209" s="541"/>
      <c r="MI209" s="541"/>
      <c r="MJ209" s="541"/>
      <c r="MK209" s="541"/>
      <c r="ML209" s="541"/>
      <c r="MM209" s="541"/>
      <c r="MN209" s="541"/>
      <c r="MO209" s="541"/>
      <c r="MP209" s="541"/>
      <c r="MQ209" s="541"/>
      <c r="MR209" s="541"/>
      <c r="MS209" s="541"/>
      <c r="MT209" s="541"/>
      <c r="MU209" s="541"/>
      <c r="MV209" s="541"/>
      <c r="MW209" s="541"/>
      <c r="MX209" s="541"/>
      <c r="MY209" s="541"/>
      <c r="MZ209" s="541"/>
      <c r="NA209" s="541"/>
      <c r="NB209" s="541"/>
      <c r="NC209" s="541"/>
      <c r="ND209" s="541"/>
      <c r="NE209" s="541"/>
      <c r="NF209" s="541"/>
      <c r="NG209" s="541"/>
      <c r="NH209" s="541"/>
      <c r="NI209" s="541"/>
      <c r="NJ209" s="541"/>
      <c r="NK209" s="541"/>
      <c r="NL209" s="541"/>
      <c r="NM209" s="541"/>
      <c r="NN209" s="541"/>
      <c r="NO209" s="541"/>
      <c r="NP209" s="541"/>
      <c r="NQ209" s="541"/>
      <c r="NR209" s="541"/>
      <c r="NS209" s="541"/>
      <c r="NT209" s="541"/>
      <c r="NU209" s="541"/>
      <c r="NV209" s="541"/>
      <c r="NW209" s="541"/>
      <c r="NX209" s="541"/>
      <c r="NY209" s="541"/>
      <c r="NZ209" s="541"/>
      <c r="OA209" s="541"/>
      <c r="OB209" s="541"/>
      <c r="OC209" s="541"/>
      <c r="OD209" s="541"/>
      <c r="OE209" s="541"/>
      <c r="OF209" s="541"/>
      <c r="OG209" s="541"/>
      <c r="OH209" s="541"/>
      <c r="OI209" s="541"/>
      <c r="OJ209" s="541"/>
      <c r="OK209" s="541"/>
      <c r="OL209" s="541"/>
      <c r="OM209" s="541"/>
      <c r="ON209" s="541"/>
      <c r="OO209" s="541"/>
      <c r="OP209" s="541"/>
      <c r="OQ209" s="541"/>
      <c r="OR209" s="541"/>
      <c r="OS209" s="541"/>
      <c r="OT209" s="541"/>
      <c r="OU209" s="541"/>
      <c r="OV209" s="541"/>
      <c r="OW209" s="541"/>
      <c r="OX209" s="541"/>
      <c r="OY209" s="541"/>
      <c r="OZ209" s="541"/>
      <c r="PA209" s="541"/>
      <c r="PB209" s="541"/>
      <c r="PC209" s="541"/>
      <c r="PD209" s="541"/>
      <c r="PE209" s="541"/>
      <c r="PF209" s="541"/>
      <c r="PG209" s="541"/>
      <c r="PH209" s="541"/>
      <c r="PI209" s="541"/>
      <c r="PJ209" s="541"/>
      <c r="PK209" s="541"/>
      <c r="PL209" s="541"/>
      <c r="PM209" s="541"/>
      <c r="PN209" s="541"/>
      <c r="PO209" s="541"/>
      <c r="PP209" s="541"/>
      <c r="PQ209" s="541"/>
      <c r="PR209" s="541"/>
      <c r="PS209" s="541"/>
      <c r="PT209" s="541"/>
      <c r="PU209" s="541"/>
      <c r="PV209" s="541"/>
      <c r="PW209" s="541"/>
      <c r="PX209" s="541"/>
      <c r="PY209" s="541"/>
      <c r="PZ209" s="541"/>
      <c r="QA209" s="541"/>
      <c r="QB209" s="541"/>
      <c r="QC209" s="541"/>
      <c r="QD209" s="541"/>
      <c r="QE209" s="541"/>
      <c r="QF209" s="541"/>
      <c r="QG209" s="541"/>
      <c r="QH209" s="541"/>
      <c r="QI209" s="541"/>
      <c r="QJ209" s="541"/>
      <c r="QK209" s="541"/>
      <c r="QL209" s="541"/>
      <c r="QM209" s="541"/>
      <c r="QN209" s="541"/>
      <c r="QO209" s="541"/>
      <c r="QP209" s="541"/>
      <c r="QQ209" s="541"/>
      <c r="QR209" s="541"/>
      <c r="QS209" s="541"/>
      <c r="QT209" s="541"/>
      <c r="QU209" s="541"/>
      <c r="QV209" s="541"/>
      <c r="QW209" s="541"/>
      <c r="QX209" s="541"/>
      <c r="QY209" s="541"/>
      <c r="QZ209" s="541"/>
      <c r="RA209" s="541"/>
      <c r="RB209" s="541"/>
      <c r="RC209" s="541"/>
      <c r="RD209" s="541"/>
      <c r="RE209" s="541"/>
      <c r="RF209" s="541"/>
      <c r="RG209" s="541"/>
      <c r="RH209" s="541"/>
      <c r="RI209" s="541"/>
      <c r="RJ209" s="541"/>
      <c r="RK209" s="541"/>
      <c r="RL209" s="541"/>
      <c r="RM209" s="541"/>
      <c r="RN209" s="541"/>
      <c r="RO209" s="541"/>
      <c r="RP209" s="541"/>
      <c r="RQ209" s="541"/>
      <c r="RR209" s="541"/>
      <c r="RS209" s="541"/>
      <c r="RT209" s="541"/>
      <c r="RU209" s="541"/>
      <c r="RV209" s="541"/>
      <c r="RW209" s="541"/>
      <c r="RX209" s="541"/>
      <c r="RY209" s="541"/>
      <c r="RZ209" s="541"/>
      <c r="SA209" s="541"/>
      <c r="SB209" s="541"/>
      <c r="SC209" s="541"/>
      <c r="SD209" s="541"/>
      <c r="SE209" s="541"/>
      <c r="SF209" s="541"/>
      <c r="SG209" s="541"/>
      <c r="SH209" s="541"/>
      <c r="SI209" s="541"/>
      <c r="SJ209" s="541"/>
      <c r="SK209" s="541"/>
      <c r="SL209" s="541"/>
      <c r="SM209" s="541"/>
      <c r="SN209" s="541"/>
      <c r="SO209" s="541"/>
      <c r="SP209" s="541"/>
      <c r="SQ209" s="541"/>
      <c r="SR209" s="541"/>
      <c r="SS209" s="541"/>
      <c r="ST209" s="541"/>
      <c r="SU209" s="541"/>
      <c r="SV209" s="541"/>
      <c r="SW209" s="541"/>
      <c r="SX209" s="541"/>
      <c r="SY209" s="541"/>
      <c r="SZ209" s="541"/>
      <c r="TA209" s="541"/>
      <c r="TB209" s="541"/>
      <c r="TC209" s="541"/>
      <c r="TD209" s="541"/>
      <c r="TE209" s="541"/>
      <c r="TF209" s="541"/>
      <c r="TG209" s="541"/>
      <c r="TH209" s="541"/>
      <c r="TI209" s="541"/>
      <c r="TJ209" s="541"/>
      <c r="TK209" s="541"/>
      <c r="TL209" s="541"/>
      <c r="TM209" s="541"/>
      <c r="TN209" s="541"/>
      <c r="TO209" s="541"/>
      <c r="TP209" s="541"/>
      <c r="TQ209" s="541"/>
      <c r="TR209" s="541"/>
      <c r="TS209" s="541"/>
      <c r="TT209" s="541"/>
      <c r="TU209" s="541"/>
      <c r="TV209" s="541"/>
      <c r="TW209" s="541"/>
      <c r="TX209" s="541"/>
      <c r="TY209" s="541"/>
      <c r="TZ209" s="541"/>
      <c r="UA209" s="541"/>
      <c r="UB209" s="541"/>
      <c r="UC209" s="541"/>
      <c r="UD209" s="541"/>
      <c r="UE209" s="541"/>
      <c r="UF209" s="541"/>
      <c r="UG209" s="541"/>
      <c r="UH209" s="541"/>
      <c r="UI209" s="541"/>
      <c r="UJ209" s="541"/>
      <c r="UK209" s="541"/>
      <c r="UL209" s="541"/>
      <c r="UM209" s="541"/>
      <c r="UN209" s="541"/>
      <c r="UO209" s="541"/>
      <c r="UP209" s="541"/>
      <c r="UQ209" s="541"/>
      <c r="UR209" s="541"/>
      <c r="US209" s="541"/>
      <c r="UT209" s="541"/>
      <c r="UU209" s="541"/>
      <c r="UV209" s="541"/>
      <c r="UW209" s="541"/>
      <c r="UX209" s="541"/>
      <c r="UY209" s="541"/>
      <c r="UZ209" s="541"/>
      <c r="VA209" s="541"/>
      <c r="VB209" s="541"/>
      <c r="VC209" s="541"/>
      <c r="VD209" s="541"/>
      <c r="VE209" s="541"/>
      <c r="VF209" s="541"/>
      <c r="VG209" s="541"/>
      <c r="VH209" s="541"/>
      <c r="VI209" s="541"/>
      <c r="VJ209" s="541"/>
      <c r="VK209" s="541"/>
      <c r="VL209" s="541"/>
      <c r="VM209" s="541"/>
      <c r="VN209" s="541"/>
      <c r="VO209" s="541"/>
      <c r="VP209" s="541"/>
      <c r="VQ209" s="541"/>
      <c r="VR209" s="541"/>
      <c r="VS209" s="541"/>
      <c r="VT209" s="541"/>
      <c r="VU209" s="541"/>
      <c r="VV209" s="541"/>
      <c r="VW209" s="541"/>
      <c r="VX209" s="541"/>
      <c r="VY209" s="541"/>
      <c r="VZ209" s="541"/>
      <c r="WA209" s="541"/>
      <c r="WB209" s="541"/>
      <c r="WC209" s="541"/>
      <c r="WD209" s="541"/>
      <c r="WE209" s="541"/>
      <c r="WF209" s="541"/>
      <c r="WG209" s="541"/>
      <c r="WH209" s="541"/>
      <c r="WI209" s="541"/>
      <c r="WJ209" s="541"/>
      <c r="WK209" s="541"/>
      <c r="WL209" s="541"/>
      <c r="WM209" s="541"/>
      <c r="WN209" s="541"/>
      <c r="WO209" s="541"/>
      <c r="WP209" s="541"/>
      <c r="WQ209" s="541"/>
      <c r="WR209" s="541"/>
      <c r="WS209" s="541"/>
      <c r="WT209" s="541"/>
      <c r="WU209" s="541"/>
      <c r="WV209" s="541"/>
      <c r="WW209" s="541"/>
      <c r="WX209" s="541"/>
      <c r="WY209" s="541"/>
      <c r="WZ209" s="541"/>
      <c r="XA209" s="541"/>
      <c r="XB209" s="541"/>
      <c r="XC209" s="541"/>
      <c r="XD209" s="541"/>
      <c r="XE209" s="541"/>
      <c r="XF209" s="541"/>
      <c r="XG209" s="541"/>
      <c r="XH209" s="541"/>
      <c r="XI209" s="541"/>
      <c r="XJ209" s="541"/>
      <c r="XK209" s="541"/>
      <c r="XL209" s="541"/>
      <c r="XM209" s="541"/>
      <c r="XN209" s="541"/>
      <c r="XO209" s="541"/>
      <c r="XP209" s="541"/>
      <c r="XQ209" s="541"/>
      <c r="XR209" s="541"/>
      <c r="XS209" s="541"/>
      <c r="XT209" s="541"/>
      <c r="XU209" s="541"/>
      <c r="XV209" s="541"/>
      <c r="XW209" s="541"/>
      <c r="XX209" s="541"/>
      <c r="XY209" s="541"/>
      <c r="XZ209" s="541"/>
      <c r="YA209" s="541"/>
      <c r="YB209" s="541"/>
      <c r="YC209" s="541"/>
      <c r="YD209" s="541"/>
      <c r="YE209" s="541"/>
      <c r="YF209" s="541"/>
      <c r="YG209" s="541"/>
      <c r="YH209" s="541"/>
      <c r="YI209" s="541"/>
      <c r="YJ209" s="541"/>
      <c r="YK209" s="541"/>
      <c r="YL209" s="541"/>
      <c r="YM209" s="541"/>
      <c r="YN209" s="541"/>
      <c r="YO209" s="541"/>
      <c r="YP209" s="541"/>
      <c r="YQ209" s="541"/>
      <c r="YR209" s="541"/>
      <c r="YS209" s="541"/>
      <c r="YT209" s="541"/>
      <c r="YU209" s="541"/>
      <c r="YV209" s="541"/>
      <c r="YW209" s="541"/>
      <c r="YX209" s="541"/>
      <c r="YY209" s="541"/>
      <c r="YZ209" s="541"/>
      <c r="ZA209" s="541"/>
      <c r="ZB209" s="541"/>
      <c r="ZC209" s="541"/>
      <c r="ZD209" s="541"/>
      <c r="ZE209" s="541"/>
      <c r="ZF209" s="541"/>
      <c r="ZG209" s="541"/>
      <c r="ZH209" s="541"/>
      <c r="ZI209" s="541"/>
      <c r="ZJ209" s="541"/>
      <c r="ZK209" s="541"/>
      <c r="ZL209" s="541"/>
      <c r="ZM209" s="541"/>
      <c r="ZN209" s="541"/>
      <c r="ZO209" s="541"/>
      <c r="ZP209" s="541"/>
      <c r="ZQ209" s="541"/>
      <c r="ZR209" s="541"/>
      <c r="ZS209" s="541"/>
      <c r="ZT209" s="541"/>
      <c r="ZU209" s="541"/>
      <c r="ZV209" s="541"/>
      <c r="ZW209" s="541"/>
      <c r="ZX209" s="541"/>
      <c r="ZY209" s="541"/>
      <c r="ZZ209" s="541"/>
      <c r="AAA209" s="541"/>
      <c r="AAB209" s="541"/>
      <c r="AAC209" s="541"/>
      <c r="AAD209" s="541"/>
      <c r="AAE209" s="541"/>
      <c r="AAF209" s="541"/>
      <c r="AAG209" s="541"/>
      <c r="AAH209" s="541"/>
      <c r="AAI209" s="541"/>
      <c r="AAJ209" s="541"/>
      <c r="AAK209" s="541"/>
      <c r="AAL209" s="541"/>
      <c r="AAM209" s="541"/>
      <c r="AAN209" s="541"/>
      <c r="AAO209" s="541"/>
      <c r="AAP209" s="541"/>
      <c r="AAQ209" s="541"/>
      <c r="AAR209" s="541"/>
      <c r="AAS209" s="541"/>
      <c r="AAT209" s="541"/>
      <c r="AAU209" s="541"/>
      <c r="AAV209" s="541"/>
      <c r="AAW209" s="541"/>
      <c r="AAX209" s="541"/>
      <c r="AAY209" s="541"/>
      <c r="AAZ209" s="541"/>
      <c r="ABA209" s="541"/>
      <c r="ABB209" s="541"/>
      <c r="ABC209" s="541"/>
      <c r="ABD209" s="541"/>
      <c r="ABE209" s="541"/>
      <c r="ABF209" s="541"/>
      <c r="ABG209" s="541"/>
      <c r="ABH209" s="541"/>
      <c r="ABI209" s="541"/>
      <c r="ABJ209" s="541"/>
      <c r="ABK209" s="541"/>
      <c r="ABL209" s="541"/>
      <c r="ABM209" s="541"/>
      <c r="ABN209" s="541"/>
      <c r="ABO209" s="541"/>
      <c r="ABP209" s="541"/>
      <c r="ABQ209" s="541"/>
      <c r="ABR209" s="541"/>
      <c r="ABS209" s="541"/>
      <c r="ABT209" s="541"/>
      <c r="ABU209" s="541"/>
      <c r="ABV209" s="541"/>
      <c r="ABW209" s="541"/>
      <c r="ABX209" s="541"/>
      <c r="ABY209" s="541"/>
      <c r="ABZ209" s="541"/>
      <c r="ACA209" s="541"/>
      <c r="ACB209" s="541"/>
      <c r="ACC209" s="541"/>
      <c r="ACD209" s="541"/>
      <c r="ACE209" s="541"/>
      <c r="ACF209" s="541"/>
      <c r="ACG209" s="541"/>
      <c r="ACH209" s="541"/>
      <c r="ACI209" s="541"/>
      <c r="ACJ209" s="541"/>
      <c r="ACK209" s="541"/>
      <c r="ACL209" s="541"/>
      <c r="ACM209" s="541"/>
      <c r="ACN209" s="541"/>
      <c r="ACO209" s="541"/>
      <c r="ACP209" s="541"/>
      <c r="ACQ209" s="541"/>
      <c r="ACR209" s="541"/>
      <c r="ACS209" s="541"/>
      <c r="ACT209" s="541"/>
      <c r="ACU209" s="541"/>
      <c r="ACV209" s="541"/>
      <c r="ACW209" s="541"/>
      <c r="ACX209" s="541"/>
      <c r="ACY209" s="541"/>
      <c r="ACZ209" s="541"/>
      <c r="ADA209" s="541"/>
      <c r="ADB209" s="541"/>
      <c r="ADC209" s="541"/>
      <c r="ADD209" s="541"/>
      <c r="ADE209" s="541"/>
      <c r="ADF209" s="541"/>
      <c r="ADG209" s="541"/>
      <c r="ADH209" s="541"/>
      <c r="ADI209" s="541"/>
      <c r="ADJ209" s="541"/>
      <c r="ADK209" s="541"/>
      <c r="ADL209" s="541"/>
      <c r="ADM209" s="541"/>
      <c r="ADN209" s="541"/>
      <c r="ADO209" s="541"/>
      <c r="ADP209" s="541"/>
      <c r="ADQ209" s="541"/>
      <c r="ADR209" s="541"/>
      <c r="ADS209" s="541"/>
      <c r="ADT209" s="541"/>
      <c r="ADU209" s="541"/>
      <c r="ADV209" s="541"/>
      <c r="ADW209" s="541"/>
      <c r="ADX209" s="541"/>
      <c r="ADY209" s="541"/>
      <c r="ADZ209" s="541"/>
      <c r="AEA209" s="541"/>
      <c r="AEB209" s="541"/>
      <c r="AEC209" s="541"/>
      <c r="AED209" s="541"/>
      <c r="AEE209" s="541"/>
      <c r="AEF209" s="541"/>
      <c r="AEG209" s="541"/>
      <c r="AEH209" s="541"/>
      <c r="AEI209" s="541"/>
      <c r="AEJ209" s="541"/>
      <c r="AEK209" s="541"/>
      <c r="AEL209" s="541"/>
      <c r="AEM209" s="541"/>
      <c r="AEN209" s="541"/>
      <c r="AEO209" s="541"/>
      <c r="AEP209" s="541"/>
      <c r="AEQ209" s="541"/>
      <c r="AER209" s="541"/>
      <c r="AES209" s="541"/>
      <c r="AET209" s="541"/>
      <c r="AEU209" s="541"/>
      <c r="AEV209" s="541"/>
      <c r="AEW209" s="541"/>
      <c r="AEX209" s="541"/>
      <c r="AEY209" s="541"/>
      <c r="AEZ209" s="541"/>
      <c r="AFA209" s="541"/>
      <c r="AFB209" s="541"/>
      <c r="AFC209" s="541"/>
      <c r="AFD209" s="541"/>
      <c r="AFE209" s="541"/>
      <c r="AFF209" s="541"/>
      <c r="AFG209" s="541"/>
      <c r="AFH209" s="541"/>
      <c r="AFI209" s="541"/>
      <c r="AFJ209" s="541"/>
      <c r="AFK209" s="541"/>
      <c r="AFL209" s="541"/>
      <c r="AFM209" s="541"/>
      <c r="AFN209" s="541"/>
      <c r="AFO209" s="541"/>
      <c r="AFP209" s="541"/>
      <c r="AFQ209" s="541"/>
      <c r="AFR209" s="541"/>
      <c r="AFS209" s="541"/>
      <c r="AFT209" s="541"/>
      <c r="AFU209" s="541"/>
      <c r="AFV209" s="541"/>
      <c r="AFW209" s="541"/>
      <c r="AFX209" s="541"/>
      <c r="AFY209" s="541"/>
      <c r="AFZ209" s="541"/>
      <c r="AGA209" s="541"/>
      <c r="AGB209" s="541"/>
      <c r="AGC209" s="541"/>
      <c r="AGD209" s="541"/>
      <c r="AGE209" s="541"/>
      <c r="AGF209" s="541"/>
      <c r="AGG209" s="541"/>
      <c r="AGH209" s="541"/>
      <c r="AGI209" s="541"/>
      <c r="AGJ209" s="541"/>
      <c r="AGK209" s="541"/>
      <c r="AGL209" s="541"/>
      <c r="AGM209" s="541"/>
      <c r="AGN209" s="541"/>
      <c r="AGO209" s="541"/>
      <c r="AGP209" s="541"/>
      <c r="AGQ209" s="541"/>
      <c r="AGR209" s="541"/>
      <c r="AGS209" s="541"/>
      <c r="AGT209" s="541"/>
      <c r="AGU209" s="541"/>
      <c r="AGV209" s="541"/>
      <c r="AGW209" s="541"/>
      <c r="AGX209" s="541"/>
      <c r="AGY209" s="541"/>
      <c r="AGZ209" s="541"/>
      <c r="AHA209" s="541"/>
      <c r="AHB209" s="541"/>
      <c r="AHC209" s="541"/>
      <c r="AHD209" s="541"/>
      <c r="AHE209" s="541"/>
      <c r="AHF209" s="541"/>
      <c r="AHG209" s="541"/>
      <c r="AHH209" s="541"/>
      <c r="AHI209" s="541"/>
      <c r="AHJ209" s="541"/>
      <c r="AHK209" s="541"/>
      <c r="AHL209" s="541"/>
      <c r="AHM209" s="541"/>
      <c r="AHN209" s="541"/>
      <c r="AHO209" s="541"/>
      <c r="AHP209" s="541"/>
      <c r="AHQ209" s="541"/>
      <c r="AHR209" s="541"/>
      <c r="AHS209" s="541"/>
      <c r="AHT209" s="541"/>
      <c r="AHU209" s="541"/>
      <c r="AHV209" s="541"/>
      <c r="AHW209" s="541"/>
      <c r="AHX209" s="541"/>
      <c r="AHY209" s="541"/>
      <c r="AHZ209" s="541"/>
      <c r="AIA209" s="541"/>
      <c r="AIB209" s="541"/>
      <c r="AIC209" s="541"/>
      <c r="AID209" s="541"/>
      <c r="AIE209" s="541"/>
      <c r="AIF209" s="541"/>
      <c r="AIG209" s="541"/>
      <c r="AIH209" s="541"/>
      <c r="AII209" s="541"/>
      <c r="AIJ209" s="541"/>
      <c r="AIK209" s="541"/>
      <c r="AIL209" s="541"/>
      <c r="AIM209" s="541"/>
      <c r="AIN209" s="541"/>
      <c r="AIO209" s="541"/>
      <c r="AIP209" s="541"/>
      <c r="AIQ209" s="541"/>
      <c r="AIR209" s="541"/>
      <c r="AIS209" s="541"/>
      <c r="AIT209" s="541"/>
      <c r="AIU209" s="541"/>
      <c r="AIV209" s="541"/>
      <c r="AIW209" s="541"/>
      <c r="AIX209" s="541"/>
      <c r="AIY209" s="541"/>
      <c r="AIZ209" s="541"/>
      <c r="AJA209" s="541"/>
      <c r="AJB209" s="541"/>
      <c r="AJC209" s="541"/>
      <c r="AJD209" s="541"/>
      <c r="AJE209" s="541"/>
      <c r="AJF209" s="541"/>
      <c r="AJG209" s="541"/>
      <c r="AJH209" s="541"/>
      <c r="AJI209" s="541"/>
      <c r="AJJ209" s="541"/>
      <c r="AJK209" s="541"/>
      <c r="AJL209" s="541"/>
      <c r="AJM209" s="541"/>
      <c r="AJN209" s="541"/>
      <c r="AJO209" s="541"/>
      <c r="AJP209" s="541"/>
      <c r="AJQ209" s="541"/>
      <c r="AJR209" s="541"/>
      <c r="AJS209" s="541"/>
      <c r="AJT209" s="541"/>
      <c r="AJU209" s="541"/>
      <c r="AJV209" s="541"/>
      <c r="AJW209" s="541"/>
      <c r="AJX209" s="541"/>
      <c r="AJY209" s="541"/>
      <c r="AJZ209" s="541"/>
      <c r="AKA209" s="541"/>
      <c r="AKB209" s="541"/>
      <c r="AKC209" s="541"/>
      <c r="AKD209" s="541"/>
      <c r="AKE209" s="541"/>
      <c r="AKF209" s="541"/>
      <c r="AKG209" s="541"/>
      <c r="AKH209" s="541"/>
      <c r="AKI209" s="541"/>
      <c r="AKJ209" s="541"/>
      <c r="AKK209" s="541"/>
      <c r="AKL209" s="541"/>
      <c r="AKM209" s="541"/>
      <c r="AKN209" s="541"/>
      <c r="AKO209" s="541"/>
      <c r="AKP209" s="541"/>
      <c r="AKQ209" s="541"/>
      <c r="AKR209" s="541"/>
      <c r="AKS209" s="541"/>
      <c r="AKT209" s="541"/>
      <c r="AKU209" s="541"/>
      <c r="AKV209" s="541"/>
      <c r="AKW209" s="541"/>
      <c r="AKX209" s="541"/>
      <c r="AKY209" s="541"/>
      <c r="AKZ209" s="541"/>
      <c r="ALA209" s="541"/>
      <c r="ALB209" s="541"/>
      <c r="ALC209" s="541"/>
      <c r="ALD209" s="541"/>
      <c r="ALE209" s="541"/>
      <c r="ALF209" s="541"/>
      <c r="ALG209" s="541"/>
      <c r="ALH209" s="541"/>
      <c r="ALI209" s="541"/>
      <c r="ALJ209" s="541"/>
      <c r="ALK209" s="541"/>
      <c r="ALL209" s="541"/>
      <c r="ALM209" s="541"/>
      <c r="ALN209" s="541"/>
      <c r="ALO209" s="541"/>
      <c r="ALP209" s="541"/>
      <c r="ALQ209" s="541"/>
      <c r="ALR209" s="541"/>
      <c r="ALS209" s="541"/>
      <c r="ALT209" s="541"/>
      <c r="ALU209" s="541"/>
      <c r="ALV209" s="541"/>
      <c r="ALW209" s="541"/>
      <c r="ALX209" s="541"/>
      <c r="ALY209" s="541"/>
      <c r="ALZ209" s="541"/>
      <c r="AMA209" s="541"/>
      <c r="AMB209" s="541"/>
      <c r="AMC209" s="541"/>
      <c r="AMD209" s="541"/>
      <c r="AME209" s="541"/>
      <c r="AMF209" s="541"/>
      <c r="AMG209" s="541"/>
      <c r="AMH209" s="541"/>
      <c r="AMI209" s="541"/>
      <c r="AMJ209" s="541"/>
      <c r="AMK209" s="541"/>
      <c r="AML209" s="541"/>
      <c r="AMM209" s="541"/>
      <c r="AMN209" s="541"/>
      <c r="AMO209" s="541"/>
      <c r="AMP209" s="541"/>
      <c r="AMQ209" s="541"/>
      <c r="AMR209" s="541"/>
      <c r="AMS209" s="541"/>
      <c r="AMT209" s="541"/>
      <c r="AMU209" s="541"/>
      <c r="AMV209" s="541"/>
      <c r="AMW209" s="541"/>
      <c r="AMX209" s="541"/>
      <c r="AMY209" s="541"/>
      <c r="AMZ209" s="541"/>
      <c r="ANA209" s="541"/>
      <c r="ANB209" s="541"/>
      <c r="ANC209" s="541"/>
      <c r="AND209" s="541"/>
      <c r="ANE209" s="541"/>
      <c r="ANF209" s="541"/>
      <c r="ANG209" s="541"/>
      <c r="ANH209" s="541"/>
      <c r="ANI209" s="541"/>
      <c r="ANJ209" s="541"/>
      <c r="ANK209" s="541"/>
      <c r="ANL209" s="541"/>
      <c r="ANM209" s="541"/>
      <c r="ANN209" s="541"/>
      <c r="ANO209" s="541"/>
      <c r="ANP209" s="541"/>
      <c r="ANQ209" s="541"/>
      <c r="ANR209" s="541"/>
      <c r="ANS209" s="541"/>
      <c r="ANT209" s="541"/>
      <c r="ANU209" s="541"/>
      <c r="ANV209" s="541"/>
      <c r="ANW209" s="541"/>
      <c r="ANX209" s="541"/>
      <c r="ANY209" s="541"/>
      <c r="ANZ209" s="541"/>
      <c r="AOA209" s="541"/>
      <c r="AOB209" s="541"/>
      <c r="AOC209" s="541"/>
      <c r="AOD209" s="541"/>
      <c r="AOE209" s="541"/>
      <c r="AOF209" s="541"/>
      <c r="AOG209" s="541"/>
      <c r="AOH209" s="541"/>
      <c r="AOI209" s="541"/>
      <c r="AOJ209" s="541"/>
      <c r="AOK209" s="541"/>
      <c r="AOL209" s="541"/>
      <c r="AOM209" s="541"/>
      <c r="AON209" s="541"/>
      <c r="AOO209" s="541"/>
      <c r="AOP209" s="541"/>
      <c r="AOQ209" s="541"/>
      <c r="AOR209" s="541"/>
      <c r="AOS209" s="541"/>
      <c r="AOT209" s="541"/>
      <c r="AOU209" s="541"/>
      <c r="AOV209" s="541"/>
      <c r="AOW209" s="541"/>
      <c r="AOX209" s="541"/>
      <c r="AOY209" s="541"/>
      <c r="AOZ209" s="541"/>
      <c r="APA209" s="541"/>
      <c r="APB209" s="541"/>
      <c r="APC209" s="541"/>
      <c r="APD209" s="541"/>
      <c r="APE209" s="541"/>
      <c r="APF209" s="541"/>
      <c r="APG209" s="541"/>
      <c r="APH209" s="541"/>
      <c r="API209" s="541"/>
      <c r="APJ209" s="541"/>
      <c r="APK209" s="541"/>
      <c r="APL209" s="541"/>
      <c r="APM209" s="541"/>
      <c r="APN209" s="541"/>
      <c r="APO209" s="541"/>
      <c r="APP209" s="541"/>
      <c r="APQ209" s="541"/>
      <c r="APR209" s="541"/>
      <c r="APS209" s="541"/>
      <c r="APT209" s="541"/>
      <c r="APU209" s="541"/>
      <c r="APV209" s="541"/>
      <c r="APW209" s="541"/>
      <c r="APX209" s="541"/>
      <c r="APY209" s="541"/>
      <c r="APZ209" s="541"/>
      <c r="AQA209" s="541"/>
      <c r="AQB209" s="541"/>
      <c r="AQC209" s="541"/>
      <c r="AQD209" s="541"/>
      <c r="AQE209" s="541"/>
      <c r="AQF209" s="541"/>
      <c r="AQG209" s="541"/>
      <c r="AQH209" s="541"/>
      <c r="AQI209" s="541"/>
      <c r="AQJ209" s="541"/>
      <c r="AQK209" s="541"/>
      <c r="AQL209" s="541"/>
      <c r="AQM209" s="541"/>
      <c r="AQN209" s="541"/>
      <c r="AQO209" s="541"/>
      <c r="AQP209" s="541"/>
      <c r="AQQ209" s="541"/>
      <c r="AQR209" s="541"/>
      <c r="AQS209" s="541"/>
      <c r="AQT209" s="541"/>
      <c r="AQU209" s="541"/>
      <c r="AQV209" s="541"/>
      <c r="AQW209" s="541"/>
      <c r="AQX209" s="541"/>
      <c r="AQY209" s="541"/>
      <c r="AQZ209" s="541"/>
      <c r="ARA209" s="541"/>
      <c r="ARB209" s="541"/>
      <c r="ARC209" s="541"/>
      <c r="ARD209" s="541"/>
      <c r="ARE209" s="541"/>
      <c r="ARF209" s="541"/>
      <c r="ARG209" s="541"/>
      <c r="ARH209" s="541"/>
      <c r="ARI209" s="541"/>
      <c r="ARJ209" s="541"/>
      <c r="ARK209" s="541"/>
      <c r="ARL209" s="541"/>
      <c r="ARM209" s="541"/>
      <c r="ARN209" s="541"/>
      <c r="ARO209" s="541"/>
      <c r="ARP209" s="541"/>
      <c r="ARQ209" s="541"/>
      <c r="ARR209" s="541"/>
      <c r="ARS209" s="541"/>
      <c r="ART209" s="541"/>
      <c r="ARU209" s="541"/>
    </row>
    <row r="210" spans="1:1165" s="658" customFormat="1">
      <c r="A210" s="613" t="s">
        <v>355</v>
      </c>
      <c r="B210" s="578" t="s">
        <v>110</v>
      </c>
      <c r="C210" s="659">
        <v>3007</v>
      </c>
      <c r="D210" s="659">
        <v>31954756</v>
      </c>
      <c r="E210" s="581">
        <v>159</v>
      </c>
      <c r="F210" s="581">
        <v>12233115</v>
      </c>
      <c r="G210" s="581">
        <v>298</v>
      </c>
      <c r="H210" s="581">
        <v>13179471</v>
      </c>
      <c r="I210" s="581">
        <v>20</v>
      </c>
      <c r="J210" s="581">
        <v>464754</v>
      </c>
      <c r="K210" s="581">
        <v>272</v>
      </c>
      <c r="L210" s="581">
        <v>6753268</v>
      </c>
      <c r="M210" s="581">
        <v>145</v>
      </c>
      <c r="N210" s="581">
        <v>5224379</v>
      </c>
      <c r="O210" s="581">
        <v>108</v>
      </c>
      <c r="P210" s="581">
        <v>4475112</v>
      </c>
      <c r="Q210" s="581">
        <v>126</v>
      </c>
      <c r="R210" s="581">
        <v>4398606</v>
      </c>
      <c r="S210" s="581">
        <v>111</v>
      </c>
      <c r="T210" s="581">
        <v>4204828</v>
      </c>
      <c r="U210" s="598">
        <v>76</v>
      </c>
      <c r="V210" s="598">
        <v>8069190</v>
      </c>
      <c r="W210" s="598">
        <v>550</v>
      </c>
      <c r="X210" s="598">
        <v>17931656</v>
      </c>
      <c r="Y210" s="581">
        <v>573</v>
      </c>
      <c r="Z210" s="581">
        <v>19216316</v>
      </c>
      <c r="AA210" s="619">
        <v>668</v>
      </c>
      <c r="AB210" s="619">
        <v>18726310</v>
      </c>
      <c r="AC210" s="581">
        <v>925</v>
      </c>
      <c r="AD210" s="581">
        <v>29733847</v>
      </c>
      <c r="AE210" s="579">
        <v>337</v>
      </c>
      <c r="AF210" s="619">
        <v>14616947</v>
      </c>
      <c r="AG210" s="579">
        <v>262</v>
      </c>
      <c r="AH210" s="579">
        <v>22116946</v>
      </c>
      <c r="AI210" s="579">
        <v>365</v>
      </c>
      <c r="AJ210" s="579">
        <v>33617052</v>
      </c>
      <c r="AK210" s="661">
        <v>557</v>
      </c>
      <c r="AL210" s="661">
        <v>35638738</v>
      </c>
      <c r="AM210" s="662">
        <v>299</v>
      </c>
      <c r="AN210" s="662">
        <v>30550308</v>
      </c>
      <c r="AO210" s="579">
        <v>400</v>
      </c>
      <c r="AP210" s="579">
        <v>58503807</v>
      </c>
      <c r="AQ210" s="579">
        <v>405</v>
      </c>
      <c r="AR210" s="579">
        <v>63843890</v>
      </c>
      <c r="AS210" s="579">
        <v>611.28</v>
      </c>
      <c r="AT210" s="579">
        <v>96845674</v>
      </c>
      <c r="AU210" s="619">
        <v>806.22</v>
      </c>
      <c r="AV210" s="581" t="s">
        <v>273</v>
      </c>
      <c r="AW210" s="581">
        <v>984.68</v>
      </c>
      <c r="AX210" s="581" t="s">
        <v>273</v>
      </c>
      <c r="AY210" s="581">
        <v>973.154</v>
      </c>
      <c r="AZ210" s="581" t="s">
        <v>273</v>
      </c>
      <c r="BA210" s="663"/>
      <c r="BB210" s="581"/>
      <c r="BC210" s="664"/>
      <c r="BD210" s="581"/>
      <c r="BE210" s="581"/>
      <c r="BF210" s="581"/>
      <c r="BG210" s="664"/>
      <c r="BH210" s="581"/>
      <c r="BI210" s="663"/>
      <c r="BJ210" s="581">
        <f t="shared" si="30"/>
        <v>12879.334000000001</v>
      </c>
      <c r="BK210" s="581">
        <f>D210+H210+J210+L210+N210+P210+R210+T210+V210+X210+Z210+AB210+AD210+AF210+AH210+AJ210+AL210+AN210+AP210+AR210+AT210</f>
        <v>520065855</v>
      </c>
      <c r="BL210" s="541"/>
      <c r="BM210" s="541"/>
      <c r="BN210" s="541"/>
      <c r="BO210" s="624"/>
      <c r="BP210" s="541"/>
      <c r="BQ210" s="541"/>
      <c r="BR210" s="541"/>
      <c r="BS210" s="541"/>
      <c r="BT210" s="541"/>
      <c r="BU210" s="541"/>
      <c r="BV210" s="541"/>
      <c r="BW210" s="541"/>
      <c r="BX210" s="541"/>
      <c r="BY210" s="541"/>
      <c r="BZ210" s="541"/>
      <c r="CA210" s="541"/>
      <c r="CB210" s="541"/>
      <c r="CC210" s="541"/>
      <c r="CD210" s="541"/>
      <c r="CE210" s="541"/>
      <c r="CF210" s="541"/>
      <c r="CG210" s="541"/>
      <c r="CH210" s="541"/>
      <c r="CI210" s="541"/>
      <c r="CJ210" s="541"/>
      <c r="CK210" s="541"/>
      <c r="CL210" s="541"/>
      <c r="CM210" s="541"/>
      <c r="CN210" s="541"/>
      <c r="CO210" s="541"/>
      <c r="CP210" s="541"/>
      <c r="CQ210" s="541"/>
      <c r="CR210" s="541"/>
      <c r="CS210" s="541"/>
      <c r="CT210" s="541"/>
      <c r="CU210" s="541"/>
      <c r="CV210" s="541"/>
      <c r="CW210" s="541"/>
      <c r="CX210" s="541"/>
      <c r="CY210" s="541"/>
      <c r="CZ210" s="541"/>
      <c r="DA210" s="541"/>
      <c r="DB210" s="541"/>
      <c r="DC210" s="541"/>
      <c r="DD210" s="541"/>
      <c r="DE210" s="541"/>
      <c r="DF210" s="541"/>
      <c r="DG210" s="541"/>
      <c r="DH210" s="541"/>
      <c r="DI210" s="541"/>
      <c r="DJ210" s="541"/>
      <c r="DK210" s="541"/>
      <c r="DL210" s="541"/>
      <c r="DM210" s="541"/>
      <c r="DN210" s="541"/>
      <c r="DO210" s="541"/>
      <c r="DP210" s="541"/>
      <c r="DQ210" s="541"/>
      <c r="DR210" s="541"/>
      <c r="DS210" s="541"/>
      <c r="DT210" s="541"/>
      <c r="DU210" s="541"/>
      <c r="DV210" s="541"/>
      <c r="DW210" s="541"/>
      <c r="DX210" s="541"/>
      <c r="DY210" s="541"/>
      <c r="DZ210" s="541"/>
      <c r="EA210" s="541"/>
      <c r="EB210" s="541"/>
      <c r="EC210" s="541"/>
      <c r="ED210" s="541"/>
      <c r="EE210" s="541"/>
      <c r="EF210" s="541"/>
      <c r="EG210" s="541"/>
      <c r="EH210" s="541"/>
      <c r="EI210" s="541"/>
      <c r="EJ210" s="541"/>
      <c r="EK210" s="541"/>
      <c r="EL210" s="541"/>
      <c r="EM210" s="541"/>
      <c r="EN210" s="541"/>
      <c r="EO210" s="541"/>
      <c r="EP210" s="541"/>
      <c r="EQ210" s="541"/>
      <c r="ER210" s="541"/>
      <c r="ES210" s="541"/>
      <c r="ET210" s="541"/>
      <c r="EU210" s="541"/>
      <c r="EV210" s="541"/>
      <c r="EW210" s="541"/>
      <c r="EX210" s="541"/>
      <c r="EY210" s="541"/>
      <c r="EZ210" s="541"/>
      <c r="FA210" s="541"/>
      <c r="FB210" s="541"/>
      <c r="FC210" s="541"/>
      <c r="FD210" s="541"/>
      <c r="FE210" s="541"/>
      <c r="FF210" s="541"/>
      <c r="FG210" s="541"/>
      <c r="FH210" s="541"/>
      <c r="FI210" s="541"/>
      <c r="FJ210" s="541"/>
      <c r="FK210" s="541"/>
      <c r="FL210" s="541"/>
      <c r="FM210" s="541"/>
      <c r="FN210" s="541"/>
      <c r="FO210" s="541"/>
      <c r="FP210" s="541"/>
      <c r="FQ210" s="541"/>
      <c r="FR210" s="541"/>
      <c r="FS210" s="541"/>
      <c r="FT210" s="541"/>
      <c r="FU210" s="541"/>
      <c r="FV210" s="541"/>
      <c r="FW210" s="541"/>
      <c r="FX210" s="541"/>
      <c r="FY210" s="541"/>
      <c r="FZ210" s="541"/>
      <c r="GA210" s="541"/>
      <c r="GB210" s="541"/>
      <c r="GC210" s="541"/>
      <c r="GD210" s="541"/>
      <c r="GE210" s="541"/>
      <c r="GF210" s="541"/>
      <c r="GG210" s="541"/>
      <c r="GH210" s="541"/>
      <c r="GI210" s="541"/>
      <c r="GJ210" s="541"/>
      <c r="GK210" s="541"/>
      <c r="GL210" s="541"/>
      <c r="GM210" s="541"/>
      <c r="GN210" s="541"/>
      <c r="GO210" s="541"/>
      <c r="GP210" s="541"/>
      <c r="GQ210" s="541"/>
      <c r="GR210" s="541"/>
      <c r="GS210" s="541"/>
      <c r="GT210" s="541"/>
      <c r="GU210" s="541"/>
      <c r="GV210" s="541"/>
      <c r="GW210" s="541"/>
      <c r="GX210" s="541"/>
      <c r="GY210" s="541"/>
      <c r="GZ210" s="541"/>
      <c r="HA210" s="541"/>
      <c r="HB210" s="541"/>
      <c r="HC210" s="541"/>
      <c r="HD210" s="541"/>
      <c r="HE210" s="541"/>
      <c r="HF210" s="541"/>
      <c r="HG210" s="541"/>
      <c r="HH210" s="541"/>
      <c r="HI210" s="541"/>
      <c r="HJ210" s="541"/>
      <c r="HK210" s="541"/>
      <c r="HL210" s="541"/>
      <c r="HM210" s="541"/>
      <c r="HN210" s="541"/>
      <c r="HO210" s="541"/>
      <c r="HP210" s="541"/>
      <c r="HQ210" s="541"/>
      <c r="HR210" s="541"/>
      <c r="HS210" s="541"/>
      <c r="HT210" s="541"/>
      <c r="HU210" s="541"/>
      <c r="HV210" s="541"/>
      <c r="HW210" s="541"/>
      <c r="HX210" s="541"/>
      <c r="HY210" s="541"/>
      <c r="HZ210" s="541"/>
      <c r="IA210" s="541"/>
      <c r="IB210" s="541"/>
      <c r="IC210" s="541"/>
      <c r="ID210" s="541"/>
      <c r="IE210" s="541"/>
      <c r="IF210" s="541"/>
      <c r="IG210" s="541"/>
      <c r="IH210" s="541"/>
      <c r="II210" s="541"/>
      <c r="IJ210" s="541"/>
      <c r="IK210" s="541"/>
      <c r="IL210" s="541"/>
      <c r="IM210" s="541"/>
      <c r="IN210" s="541"/>
      <c r="IO210" s="541"/>
      <c r="IP210" s="541"/>
      <c r="IQ210" s="541"/>
      <c r="IR210" s="541"/>
      <c r="IS210" s="541"/>
      <c r="IT210" s="541"/>
      <c r="IU210" s="541"/>
      <c r="IV210" s="541"/>
      <c r="IW210" s="541"/>
      <c r="IX210" s="541"/>
      <c r="IY210" s="541"/>
      <c r="IZ210" s="541"/>
      <c r="JA210" s="541"/>
      <c r="JB210" s="541"/>
      <c r="JC210" s="541"/>
      <c r="JD210" s="541"/>
      <c r="JE210" s="541"/>
      <c r="JF210" s="541"/>
      <c r="JG210" s="541"/>
      <c r="JH210" s="541"/>
      <c r="JI210" s="541"/>
      <c r="JJ210" s="541"/>
      <c r="JK210" s="541"/>
      <c r="JL210" s="541"/>
      <c r="JM210" s="541"/>
      <c r="JN210" s="541"/>
      <c r="JO210" s="541"/>
      <c r="JP210" s="541"/>
      <c r="JQ210" s="541"/>
      <c r="JR210" s="541"/>
      <c r="JS210" s="541"/>
      <c r="JT210" s="541"/>
      <c r="JU210" s="541"/>
      <c r="JV210" s="541"/>
      <c r="JW210" s="541"/>
      <c r="JX210" s="541"/>
      <c r="JY210" s="541"/>
      <c r="JZ210" s="541"/>
      <c r="KA210" s="541"/>
      <c r="KB210" s="541"/>
      <c r="KC210" s="541"/>
      <c r="KD210" s="541"/>
      <c r="KE210" s="541"/>
      <c r="KF210" s="541"/>
      <c r="KG210" s="541"/>
      <c r="KH210" s="541"/>
      <c r="KI210" s="541"/>
      <c r="KJ210" s="541"/>
      <c r="KK210" s="541"/>
      <c r="KL210" s="541"/>
      <c r="KM210" s="541"/>
      <c r="KN210" s="541"/>
      <c r="KO210" s="541"/>
      <c r="KP210" s="541"/>
      <c r="KQ210" s="541"/>
      <c r="KR210" s="541"/>
      <c r="KS210" s="541"/>
      <c r="KT210" s="541"/>
      <c r="KU210" s="541"/>
      <c r="KV210" s="541"/>
      <c r="KW210" s="541"/>
      <c r="KX210" s="541"/>
      <c r="KY210" s="541"/>
      <c r="KZ210" s="541"/>
      <c r="LA210" s="541"/>
      <c r="LB210" s="541"/>
      <c r="LC210" s="541"/>
      <c r="LD210" s="541"/>
      <c r="LE210" s="541"/>
      <c r="LF210" s="541"/>
      <c r="LG210" s="541"/>
      <c r="LH210" s="541"/>
      <c r="LI210" s="541"/>
      <c r="LJ210" s="541"/>
      <c r="LK210" s="541"/>
      <c r="LL210" s="541"/>
      <c r="LM210" s="541"/>
      <c r="LN210" s="541"/>
      <c r="LO210" s="541"/>
      <c r="LP210" s="541"/>
      <c r="LQ210" s="541"/>
      <c r="LR210" s="541"/>
      <c r="LS210" s="541"/>
      <c r="LT210" s="541"/>
      <c r="LU210" s="541"/>
      <c r="LV210" s="541"/>
      <c r="LW210" s="541"/>
      <c r="LX210" s="541"/>
      <c r="LY210" s="541"/>
      <c r="LZ210" s="541"/>
      <c r="MA210" s="541"/>
      <c r="MB210" s="541"/>
      <c r="MC210" s="541"/>
      <c r="MD210" s="541"/>
      <c r="ME210" s="541"/>
      <c r="MF210" s="541"/>
      <c r="MG210" s="541"/>
      <c r="MH210" s="541"/>
      <c r="MI210" s="541"/>
      <c r="MJ210" s="541"/>
      <c r="MK210" s="541"/>
      <c r="ML210" s="541"/>
      <c r="MM210" s="541"/>
      <c r="MN210" s="541"/>
      <c r="MO210" s="541"/>
      <c r="MP210" s="541"/>
      <c r="MQ210" s="541"/>
      <c r="MR210" s="541"/>
      <c r="MS210" s="541"/>
      <c r="MT210" s="541"/>
      <c r="MU210" s="541"/>
      <c r="MV210" s="541"/>
      <c r="MW210" s="541"/>
      <c r="MX210" s="541"/>
      <c r="MY210" s="541"/>
      <c r="MZ210" s="541"/>
      <c r="NA210" s="541"/>
      <c r="NB210" s="541"/>
      <c r="NC210" s="541"/>
      <c r="ND210" s="541"/>
      <c r="NE210" s="541"/>
      <c r="NF210" s="541"/>
      <c r="NG210" s="541"/>
      <c r="NH210" s="541"/>
      <c r="NI210" s="541"/>
      <c r="NJ210" s="541"/>
      <c r="NK210" s="541"/>
      <c r="NL210" s="541"/>
      <c r="NM210" s="541"/>
      <c r="NN210" s="541"/>
      <c r="NO210" s="541"/>
      <c r="NP210" s="541"/>
      <c r="NQ210" s="541"/>
      <c r="NR210" s="541"/>
      <c r="NS210" s="541"/>
      <c r="NT210" s="541"/>
      <c r="NU210" s="541"/>
      <c r="NV210" s="541"/>
      <c r="NW210" s="541"/>
      <c r="NX210" s="541"/>
      <c r="NY210" s="541"/>
      <c r="NZ210" s="541"/>
      <c r="OA210" s="541"/>
      <c r="OB210" s="541"/>
      <c r="OC210" s="541"/>
      <c r="OD210" s="541"/>
      <c r="OE210" s="541"/>
      <c r="OF210" s="541"/>
      <c r="OG210" s="541"/>
      <c r="OH210" s="541"/>
      <c r="OI210" s="541"/>
      <c r="OJ210" s="541"/>
      <c r="OK210" s="541"/>
      <c r="OL210" s="541"/>
      <c r="OM210" s="541"/>
      <c r="ON210" s="541"/>
      <c r="OO210" s="541"/>
      <c r="OP210" s="541"/>
      <c r="OQ210" s="541"/>
      <c r="OR210" s="541"/>
      <c r="OS210" s="541"/>
      <c r="OT210" s="541"/>
      <c r="OU210" s="541"/>
      <c r="OV210" s="541"/>
      <c r="OW210" s="541"/>
      <c r="OX210" s="541"/>
      <c r="OY210" s="541"/>
      <c r="OZ210" s="541"/>
      <c r="PA210" s="541"/>
      <c r="PB210" s="541"/>
      <c r="PC210" s="541"/>
      <c r="PD210" s="541"/>
      <c r="PE210" s="541"/>
      <c r="PF210" s="541"/>
      <c r="PG210" s="541"/>
      <c r="PH210" s="541"/>
      <c r="PI210" s="541"/>
      <c r="PJ210" s="541"/>
      <c r="PK210" s="541"/>
      <c r="PL210" s="541"/>
      <c r="PM210" s="541"/>
      <c r="PN210" s="541"/>
      <c r="PO210" s="541"/>
      <c r="PP210" s="541"/>
      <c r="PQ210" s="541"/>
      <c r="PR210" s="541"/>
      <c r="PS210" s="541"/>
      <c r="PT210" s="541"/>
      <c r="PU210" s="541"/>
      <c r="PV210" s="541"/>
      <c r="PW210" s="541"/>
      <c r="PX210" s="541"/>
      <c r="PY210" s="541"/>
      <c r="PZ210" s="541"/>
      <c r="QA210" s="541"/>
      <c r="QB210" s="541"/>
      <c r="QC210" s="541"/>
      <c r="QD210" s="541"/>
      <c r="QE210" s="541"/>
      <c r="QF210" s="541"/>
      <c r="QG210" s="541"/>
      <c r="QH210" s="541"/>
      <c r="QI210" s="541"/>
      <c r="QJ210" s="541"/>
      <c r="QK210" s="541"/>
      <c r="QL210" s="541"/>
      <c r="QM210" s="541"/>
      <c r="QN210" s="541"/>
      <c r="QO210" s="541"/>
      <c r="QP210" s="541"/>
      <c r="QQ210" s="541"/>
      <c r="QR210" s="541"/>
      <c r="QS210" s="541"/>
      <c r="QT210" s="541"/>
      <c r="QU210" s="541"/>
      <c r="QV210" s="541"/>
      <c r="QW210" s="541"/>
      <c r="QX210" s="541"/>
      <c r="QY210" s="541"/>
      <c r="QZ210" s="541"/>
      <c r="RA210" s="541"/>
      <c r="RB210" s="541"/>
      <c r="RC210" s="541"/>
      <c r="RD210" s="541"/>
      <c r="RE210" s="541"/>
      <c r="RF210" s="541"/>
      <c r="RG210" s="541"/>
      <c r="RH210" s="541"/>
      <c r="RI210" s="541"/>
      <c r="RJ210" s="541"/>
      <c r="RK210" s="541"/>
      <c r="RL210" s="541"/>
      <c r="RM210" s="541"/>
      <c r="RN210" s="541"/>
      <c r="RO210" s="541"/>
      <c r="RP210" s="541"/>
      <c r="RQ210" s="541"/>
      <c r="RR210" s="541"/>
      <c r="RS210" s="541"/>
      <c r="RT210" s="541"/>
      <c r="RU210" s="541"/>
      <c r="RV210" s="541"/>
      <c r="RW210" s="541"/>
      <c r="RX210" s="541"/>
      <c r="RY210" s="541"/>
      <c r="RZ210" s="541"/>
      <c r="SA210" s="541"/>
      <c r="SB210" s="541"/>
      <c r="SC210" s="541"/>
      <c r="SD210" s="541"/>
      <c r="SE210" s="541"/>
      <c r="SF210" s="541"/>
      <c r="SG210" s="541"/>
      <c r="SH210" s="541"/>
      <c r="SI210" s="541"/>
      <c r="SJ210" s="541"/>
      <c r="SK210" s="541"/>
      <c r="SL210" s="541"/>
      <c r="SM210" s="541"/>
      <c r="SN210" s="541"/>
      <c r="SO210" s="541"/>
      <c r="SP210" s="541"/>
      <c r="SQ210" s="541"/>
      <c r="SR210" s="541"/>
      <c r="SS210" s="541"/>
      <c r="ST210" s="541"/>
      <c r="SU210" s="541"/>
      <c r="SV210" s="541"/>
      <c r="SW210" s="541"/>
      <c r="SX210" s="541"/>
      <c r="SY210" s="541"/>
      <c r="SZ210" s="541"/>
      <c r="TA210" s="541"/>
      <c r="TB210" s="541"/>
      <c r="TC210" s="541"/>
      <c r="TD210" s="541"/>
      <c r="TE210" s="541"/>
      <c r="TF210" s="541"/>
      <c r="TG210" s="541"/>
      <c r="TH210" s="541"/>
      <c r="TI210" s="541"/>
      <c r="TJ210" s="541"/>
      <c r="TK210" s="541"/>
      <c r="TL210" s="541"/>
      <c r="TM210" s="541"/>
      <c r="TN210" s="541"/>
      <c r="TO210" s="541"/>
      <c r="TP210" s="541"/>
      <c r="TQ210" s="541"/>
      <c r="TR210" s="541"/>
      <c r="TS210" s="541"/>
      <c r="TT210" s="541"/>
      <c r="TU210" s="541"/>
      <c r="TV210" s="541"/>
      <c r="TW210" s="541"/>
      <c r="TX210" s="541"/>
      <c r="TY210" s="541"/>
      <c r="TZ210" s="541"/>
      <c r="UA210" s="541"/>
      <c r="UB210" s="541"/>
      <c r="UC210" s="541"/>
      <c r="UD210" s="541"/>
      <c r="UE210" s="541"/>
      <c r="UF210" s="541"/>
      <c r="UG210" s="541"/>
      <c r="UH210" s="541"/>
      <c r="UI210" s="541"/>
      <c r="UJ210" s="541"/>
      <c r="UK210" s="541"/>
      <c r="UL210" s="541"/>
      <c r="UM210" s="541"/>
      <c r="UN210" s="541"/>
      <c r="UO210" s="541"/>
      <c r="UP210" s="541"/>
      <c r="UQ210" s="541"/>
      <c r="UR210" s="541"/>
      <c r="US210" s="541"/>
      <c r="UT210" s="541"/>
      <c r="UU210" s="541"/>
      <c r="UV210" s="541"/>
      <c r="UW210" s="541"/>
      <c r="UX210" s="541"/>
      <c r="UY210" s="541"/>
      <c r="UZ210" s="541"/>
      <c r="VA210" s="541"/>
      <c r="VB210" s="541"/>
      <c r="VC210" s="541"/>
      <c r="VD210" s="541"/>
      <c r="VE210" s="541"/>
      <c r="VF210" s="541"/>
      <c r="VG210" s="541"/>
      <c r="VH210" s="541"/>
      <c r="VI210" s="541"/>
      <c r="VJ210" s="541"/>
      <c r="VK210" s="541"/>
      <c r="VL210" s="541"/>
      <c r="VM210" s="541"/>
      <c r="VN210" s="541"/>
      <c r="VO210" s="541"/>
      <c r="VP210" s="541"/>
      <c r="VQ210" s="541"/>
      <c r="VR210" s="541"/>
      <c r="VS210" s="541"/>
      <c r="VT210" s="541"/>
      <c r="VU210" s="541"/>
      <c r="VV210" s="541"/>
      <c r="VW210" s="541"/>
      <c r="VX210" s="541"/>
      <c r="VY210" s="541"/>
      <c r="VZ210" s="541"/>
      <c r="WA210" s="541"/>
      <c r="WB210" s="541"/>
      <c r="WC210" s="541"/>
      <c r="WD210" s="541"/>
      <c r="WE210" s="541"/>
      <c r="WF210" s="541"/>
      <c r="WG210" s="541"/>
      <c r="WH210" s="541"/>
      <c r="WI210" s="541"/>
      <c r="WJ210" s="541"/>
      <c r="WK210" s="541"/>
      <c r="WL210" s="541"/>
      <c r="WM210" s="541"/>
      <c r="WN210" s="541"/>
      <c r="WO210" s="541"/>
      <c r="WP210" s="541"/>
      <c r="WQ210" s="541"/>
      <c r="WR210" s="541"/>
      <c r="WS210" s="541"/>
      <c r="WT210" s="541"/>
      <c r="WU210" s="541"/>
      <c r="WV210" s="541"/>
      <c r="WW210" s="541"/>
      <c r="WX210" s="541"/>
      <c r="WY210" s="541"/>
      <c r="WZ210" s="541"/>
      <c r="XA210" s="541"/>
      <c r="XB210" s="541"/>
      <c r="XC210" s="541"/>
      <c r="XD210" s="541"/>
      <c r="XE210" s="541"/>
      <c r="XF210" s="541"/>
      <c r="XG210" s="541"/>
      <c r="XH210" s="541"/>
      <c r="XI210" s="541"/>
      <c r="XJ210" s="541"/>
      <c r="XK210" s="541"/>
      <c r="XL210" s="541"/>
      <c r="XM210" s="541"/>
      <c r="XN210" s="541"/>
      <c r="XO210" s="541"/>
      <c r="XP210" s="541"/>
      <c r="XQ210" s="541"/>
      <c r="XR210" s="541"/>
      <c r="XS210" s="541"/>
      <c r="XT210" s="541"/>
      <c r="XU210" s="541"/>
      <c r="XV210" s="541"/>
      <c r="XW210" s="541"/>
      <c r="XX210" s="541"/>
      <c r="XY210" s="541"/>
      <c r="XZ210" s="541"/>
      <c r="YA210" s="541"/>
      <c r="YB210" s="541"/>
      <c r="YC210" s="541"/>
      <c r="YD210" s="541"/>
      <c r="YE210" s="541"/>
      <c r="YF210" s="541"/>
      <c r="YG210" s="541"/>
      <c r="YH210" s="541"/>
      <c r="YI210" s="541"/>
      <c r="YJ210" s="541"/>
      <c r="YK210" s="541"/>
      <c r="YL210" s="541"/>
      <c r="YM210" s="541"/>
      <c r="YN210" s="541"/>
      <c r="YO210" s="541"/>
      <c r="YP210" s="541"/>
      <c r="YQ210" s="541"/>
      <c r="YR210" s="541"/>
      <c r="YS210" s="541"/>
      <c r="YT210" s="541"/>
      <c r="YU210" s="541"/>
      <c r="YV210" s="541"/>
      <c r="YW210" s="541"/>
      <c r="YX210" s="541"/>
      <c r="YY210" s="541"/>
      <c r="YZ210" s="541"/>
      <c r="ZA210" s="541"/>
      <c r="ZB210" s="541"/>
      <c r="ZC210" s="541"/>
      <c r="ZD210" s="541"/>
      <c r="ZE210" s="541"/>
      <c r="ZF210" s="541"/>
      <c r="ZG210" s="541"/>
      <c r="ZH210" s="541"/>
      <c r="ZI210" s="541"/>
      <c r="ZJ210" s="541"/>
      <c r="ZK210" s="541"/>
      <c r="ZL210" s="541"/>
      <c r="ZM210" s="541"/>
      <c r="ZN210" s="541"/>
      <c r="ZO210" s="541"/>
      <c r="ZP210" s="541"/>
      <c r="ZQ210" s="541"/>
      <c r="ZR210" s="541"/>
      <c r="ZS210" s="541"/>
      <c r="ZT210" s="541"/>
      <c r="ZU210" s="541"/>
      <c r="ZV210" s="541"/>
      <c r="ZW210" s="541"/>
      <c r="ZX210" s="541"/>
      <c r="ZY210" s="541"/>
      <c r="ZZ210" s="541"/>
      <c r="AAA210" s="541"/>
      <c r="AAB210" s="541"/>
      <c r="AAC210" s="541"/>
      <c r="AAD210" s="541"/>
      <c r="AAE210" s="541"/>
      <c r="AAF210" s="541"/>
      <c r="AAG210" s="541"/>
      <c r="AAH210" s="541"/>
      <c r="AAI210" s="541"/>
      <c r="AAJ210" s="541"/>
      <c r="AAK210" s="541"/>
      <c r="AAL210" s="541"/>
      <c r="AAM210" s="541"/>
      <c r="AAN210" s="541"/>
      <c r="AAO210" s="541"/>
      <c r="AAP210" s="541"/>
      <c r="AAQ210" s="541"/>
      <c r="AAR210" s="541"/>
      <c r="AAS210" s="541"/>
      <c r="AAT210" s="541"/>
      <c r="AAU210" s="541"/>
      <c r="AAV210" s="541"/>
      <c r="AAW210" s="541"/>
      <c r="AAX210" s="541"/>
      <c r="AAY210" s="541"/>
      <c r="AAZ210" s="541"/>
      <c r="ABA210" s="541"/>
      <c r="ABB210" s="541"/>
      <c r="ABC210" s="541"/>
      <c r="ABD210" s="541"/>
      <c r="ABE210" s="541"/>
      <c r="ABF210" s="541"/>
      <c r="ABG210" s="541"/>
      <c r="ABH210" s="541"/>
      <c r="ABI210" s="541"/>
      <c r="ABJ210" s="541"/>
      <c r="ABK210" s="541"/>
      <c r="ABL210" s="541"/>
      <c r="ABM210" s="541"/>
      <c r="ABN210" s="541"/>
      <c r="ABO210" s="541"/>
      <c r="ABP210" s="541"/>
      <c r="ABQ210" s="541"/>
      <c r="ABR210" s="541"/>
      <c r="ABS210" s="541"/>
      <c r="ABT210" s="541"/>
      <c r="ABU210" s="541"/>
      <c r="ABV210" s="541"/>
      <c r="ABW210" s="541"/>
      <c r="ABX210" s="541"/>
      <c r="ABY210" s="541"/>
      <c r="ABZ210" s="541"/>
      <c r="ACA210" s="541"/>
      <c r="ACB210" s="541"/>
      <c r="ACC210" s="541"/>
      <c r="ACD210" s="541"/>
      <c r="ACE210" s="541"/>
      <c r="ACF210" s="541"/>
      <c r="ACG210" s="541"/>
      <c r="ACH210" s="541"/>
      <c r="ACI210" s="541"/>
      <c r="ACJ210" s="541"/>
      <c r="ACK210" s="541"/>
      <c r="ACL210" s="541"/>
      <c r="ACM210" s="541"/>
      <c r="ACN210" s="541"/>
      <c r="ACO210" s="541"/>
      <c r="ACP210" s="541"/>
      <c r="ACQ210" s="541"/>
      <c r="ACR210" s="541"/>
      <c r="ACS210" s="541"/>
      <c r="ACT210" s="541"/>
      <c r="ACU210" s="541"/>
      <c r="ACV210" s="541"/>
      <c r="ACW210" s="541"/>
      <c r="ACX210" s="541"/>
      <c r="ACY210" s="541"/>
      <c r="ACZ210" s="541"/>
      <c r="ADA210" s="541"/>
      <c r="ADB210" s="541"/>
      <c r="ADC210" s="541"/>
      <c r="ADD210" s="541"/>
      <c r="ADE210" s="541"/>
      <c r="ADF210" s="541"/>
      <c r="ADG210" s="541"/>
      <c r="ADH210" s="541"/>
      <c r="ADI210" s="541"/>
      <c r="ADJ210" s="541"/>
      <c r="ADK210" s="541"/>
      <c r="ADL210" s="541"/>
      <c r="ADM210" s="541"/>
      <c r="ADN210" s="541"/>
      <c r="ADO210" s="541"/>
      <c r="ADP210" s="541"/>
      <c r="ADQ210" s="541"/>
      <c r="ADR210" s="541"/>
      <c r="ADS210" s="541"/>
      <c r="ADT210" s="541"/>
      <c r="ADU210" s="541"/>
      <c r="ADV210" s="541"/>
      <c r="ADW210" s="541"/>
      <c r="ADX210" s="541"/>
      <c r="ADY210" s="541"/>
      <c r="ADZ210" s="541"/>
      <c r="AEA210" s="541"/>
      <c r="AEB210" s="541"/>
      <c r="AEC210" s="541"/>
      <c r="AED210" s="541"/>
      <c r="AEE210" s="541"/>
      <c r="AEF210" s="541"/>
      <c r="AEG210" s="541"/>
      <c r="AEH210" s="541"/>
      <c r="AEI210" s="541"/>
      <c r="AEJ210" s="541"/>
      <c r="AEK210" s="541"/>
      <c r="AEL210" s="541"/>
      <c r="AEM210" s="541"/>
      <c r="AEN210" s="541"/>
      <c r="AEO210" s="541"/>
      <c r="AEP210" s="541"/>
      <c r="AEQ210" s="541"/>
      <c r="AER210" s="541"/>
      <c r="AES210" s="541"/>
      <c r="AET210" s="541"/>
      <c r="AEU210" s="541"/>
      <c r="AEV210" s="541"/>
      <c r="AEW210" s="541"/>
      <c r="AEX210" s="541"/>
      <c r="AEY210" s="541"/>
      <c r="AEZ210" s="541"/>
      <c r="AFA210" s="541"/>
      <c r="AFB210" s="541"/>
      <c r="AFC210" s="541"/>
      <c r="AFD210" s="541"/>
      <c r="AFE210" s="541"/>
      <c r="AFF210" s="541"/>
      <c r="AFG210" s="541"/>
      <c r="AFH210" s="541"/>
      <c r="AFI210" s="541"/>
      <c r="AFJ210" s="541"/>
      <c r="AFK210" s="541"/>
      <c r="AFL210" s="541"/>
      <c r="AFM210" s="541"/>
      <c r="AFN210" s="541"/>
      <c r="AFO210" s="541"/>
      <c r="AFP210" s="541"/>
      <c r="AFQ210" s="541"/>
      <c r="AFR210" s="541"/>
      <c r="AFS210" s="541"/>
      <c r="AFT210" s="541"/>
      <c r="AFU210" s="541"/>
      <c r="AFV210" s="541"/>
      <c r="AFW210" s="541"/>
      <c r="AFX210" s="541"/>
      <c r="AFY210" s="541"/>
      <c r="AFZ210" s="541"/>
      <c r="AGA210" s="541"/>
      <c r="AGB210" s="541"/>
      <c r="AGC210" s="541"/>
      <c r="AGD210" s="541"/>
      <c r="AGE210" s="541"/>
      <c r="AGF210" s="541"/>
      <c r="AGG210" s="541"/>
      <c r="AGH210" s="541"/>
      <c r="AGI210" s="541"/>
      <c r="AGJ210" s="541"/>
      <c r="AGK210" s="541"/>
      <c r="AGL210" s="541"/>
      <c r="AGM210" s="541"/>
      <c r="AGN210" s="541"/>
      <c r="AGO210" s="541"/>
      <c r="AGP210" s="541"/>
      <c r="AGQ210" s="541"/>
      <c r="AGR210" s="541"/>
      <c r="AGS210" s="541"/>
      <c r="AGT210" s="541"/>
      <c r="AGU210" s="541"/>
      <c r="AGV210" s="541"/>
      <c r="AGW210" s="541"/>
      <c r="AGX210" s="541"/>
      <c r="AGY210" s="541"/>
      <c r="AGZ210" s="541"/>
      <c r="AHA210" s="541"/>
      <c r="AHB210" s="541"/>
      <c r="AHC210" s="541"/>
      <c r="AHD210" s="541"/>
      <c r="AHE210" s="541"/>
      <c r="AHF210" s="541"/>
      <c r="AHG210" s="541"/>
      <c r="AHH210" s="541"/>
      <c r="AHI210" s="541"/>
      <c r="AHJ210" s="541"/>
      <c r="AHK210" s="541"/>
      <c r="AHL210" s="541"/>
      <c r="AHM210" s="541"/>
      <c r="AHN210" s="541"/>
      <c r="AHO210" s="541"/>
      <c r="AHP210" s="541"/>
      <c r="AHQ210" s="541"/>
      <c r="AHR210" s="541"/>
      <c r="AHS210" s="541"/>
      <c r="AHT210" s="541"/>
      <c r="AHU210" s="541"/>
      <c r="AHV210" s="541"/>
      <c r="AHW210" s="541"/>
      <c r="AHX210" s="541"/>
      <c r="AHY210" s="541"/>
      <c r="AHZ210" s="541"/>
      <c r="AIA210" s="541"/>
      <c r="AIB210" s="541"/>
      <c r="AIC210" s="541"/>
      <c r="AID210" s="541"/>
      <c r="AIE210" s="541"/>
      <c r="AIF210" s="541"/>
      <c r="AIG210" s="541"/>
      <c r="AIH210" s="541"/>
      <c r="AII210" s="541"/>
      <c r="AIJ210" s="541"/>
      <c r="AIK210" s="541"/>
      <c r="AIL210" s="541"/>
      <c r="AIM210" s="541"/>
      <c r="AIN210" s="541"/>
      <c r="AIO210" s="541"/>
      <c r="AIP210" s="541"/>
      <c r="AIQ210" s="541"/>
      <c r="AIR210" s="541"/>
      <c r="AIS210" s="541"/>
      <c r="AIT210" s="541"/>
      <c r="AIU210" s="541"/>
      <c r="AIV210" s="541"/>
      <c r="AIW210" s="541"/>
      <c r="AIX210" s="541"/>
      <c r="AIY210" s="541"/>
      <c r="AIZ210" s="541"/>
      <c r="AJA210" s="541"/>
      <c r="AJB210" s="541"/>
      <c r="AJC210" s="541"/>
      <c r="AJD210" s="541"/>
      <c r="AJE210" s="541"/>
      <c r="AJF210" s="541"/>
      <c r="AJG210" s="541"/>
      <c r="AJH210" s="541"/>
      <c r="AJI210" s="541"/>
      <c r="AJJ210" s="541"/>
      <c r="AJK210" s="541"/>
      <c r="AJL210" s="541"/>
      <c r="AJM210" s="541"/>
      <c r="AJN210" s="541"/>
      <c r="AJO210" s="541"/>
      <c r="AJP210" s="541"/>
      <c r="AJQ210" s="541"/>
      <c r="AJR210" s="541"/>
      <c r="AJS210" s="541"/>
      <c r="AJT210" s="541"/>
      <c r="AJU210" s="541"/>
      <c r="AJV210" s="541"/>
      <c r="AJW210" s="541"/>
      <c r="AJX210" s="541"/>
      <c r="AJY210" s="541"/>
      <c r="AJZ210" s="541"/>
      <c r="AKA210" s="541"/>
      <c r="AKB210" s="541"/>
      <c r="AKC210" s="541"/>
      <c r="AKD210" s="541"/>
      <c r="AKE210" s="541"/>
      <c r="AKF210" s="541"/>
      <c r="AKG210" s="541"/>
      <c r="AKH210" s="541"/>
      <c r="AKI210" s="541"/>
      <c r="AKJ210" s="541"/>
      <c r="AKK210" s="541"/>
      <c r="AKL210" s="541"/>
      <c r="AKM210" s="541"/>
      <c r="AKN210" s="541"/>
      <c r="AKO210" s="541"/>
      <c r="AKP210" s="541"/>
      <c r="AKQ210" s="541"/>
      <c r="AKR210" s="541"/>
      <c r="AKS210" s="541"/>
      <c r="AKT210" s="541"/>
      <c r="AKU210" s="541"/>
      <c r="AKV210" s="541"/>
      <c r="AKW210" s="541"/>
      <c r="AKX210" s="541"/>
      <c r="AKY210" s="541"/>
      <c r="AKZ210" s="541"/>
      <c r="ALA210" s="541"/>
      <c r="ALB210" s="541"/>
      <c r="ALC210" s="541"/>
      <c r="ALD210" s="541"/>
      <c r="ALE210" s="541"/>
      <c r="ALF210" s="541"/>
      <c r="ALG210" s="541"/>
      <c r="ALH210" s="541"/>
      <c r="ALI210" s="541"/>
      <c r="ALJ210" s="541"/>
      <c r="ALK210" s="541"/>
      <c r="ALL210" s="541"/>
      <c r="ALM210" s="541"/>
      <c r="ALN210" s="541"/>
      <c r="ALO210" s="541"/>
      <c r="ALP210" s="541"/>
      <c r="ALQ210" s="541"/>
      <c r="ALR210" s="541"/>
      <c r="ALS210" s="541"/>
      <c r="ALT210" s="541"/>
      <c r="ALU210" s="541"/>
      <c r="ALV210" s="541"/>
      <c r="ALW210" s="541"/>
      <c r="ALX210" s="541"/>
      <c r="ALY210" s="541"/>
      <c r="ALZ210" s="541"/>
      <c r="AMA210" s="541"/>
      <c r="AMB210" s="541"/>
      <c r="AMC210" s="541"/>
      <c r="AMD210" s="541"/>
      <c r="AME210" s="541"/>
      <c r="AMF210" s="541"/>
      <c r="AMG210" s="541"/>
      <c r="AMH210" s="541"/>
      <c r="AMI210" s="541"/>
      <c r="AMJ210" s="541"/>
      <c r="AMK210" s="541"/>
      <c r="AML210" s="541"/>
      <c r="AMM210" s="541"/>
      <c r="AMN210" s="541"/>
      <c r="AMO210" s="541"/>
      <c r="AMP210" s="541"/>
      <c r="AMQ210" s="541"/>
      <c r="AMR210" s="541"/>
      <c r="AMS210" s="541"/>
      <c r="AMT210" s="541"/>
      <c r="AMU210" s="541"/>
      <c r="AMV210" s="541"/>
      <c r="AMW210" s="541"/>
      <c r="AMX210" s="541"/>
      <c r="AMY210" s="541"/>
      <c r="AMZ210" s="541"/>
      <c r="ANA210" s="541"/>
      <c r="ANB210" s="541"/>
      <c r="ANC210" s="541"/>
      <c r="AND210" s="541"/>
      <c r="ANE210" s="541"/>
      <c r="ANF210" s="541"/>
      <c r="ANG210" s="541"/>
      <c r="ANH210" s="541"/>
      <c r="ANI210" s="541"/>
      <c r="ANJ210" s="541"/>
      <c r="ANK210" s="541"/>
      <c r="ANL210" s="541"/>
      <c r="ANM210" s="541"/>
      <c r="ANN210" s="541"/>
      <c r="ANO210" s="541"/>
      <c r="ANP210" s="541"/>
      <c r="ANQ210" s="541"/>
      <c r="ANR210" s="541"/>
      <c r="ANS210" s="541"/>
      <c r="ANT210" s="541"/>
      <c r="ANU210" s="541"/>
      <c r="ANV210" s="541"/>
      <c r="ANW210" s="541"/>
      <c r="ANX210" s="541"/>
      <c r="ANY210" s="541"/>
      <c r="ANZ210" s="541"/>
      <c r="AOA210" s="541"/>
      <c r="AOB210" s="541"/>
      <c r="AOC210" s="541"/>
      <c r="AOD210" s="541"/>
      <c r="AOE210" s="541"/>
      <c r="AOF210" s="541"/>
      <c r="AOG210" s="541"/>
      <c r="AOH210" s="541"/>
      <c r="AOI210" s="541"/>
      <c r="AOJ210" s="541"/>
      <c r="AOK210" s="541"/>
      <c r="AOL210" s="541"/>
      <c r="AOM210" s="541"/>
      <c r="AON210" s="541"/>
      <c r="AOO210" s="541"/>
      <c r="AOP210" s="541"/>
      <c r="AOQ210" s="541"/>
      <c r="AOR210" s="541"/>
      <c r="AOS210" s="541"/>
      <c r="AOT210" s="541"/>
      <c r="AOU210" s="541"/>
      <c r="AOV210" s="541"/>
      <c r="AOW210" s="541"/>
      <c r="AOX210" s="541"/>
      <c r="AOY210" s="541"/>
      <c r="AOZ210" s="541"/>
      <c r="APA210" s="541"/>
      <c r="APB210" s="541"/>
      <c r="APC210" s="541"/>
      <c r="APD210" s="541"/>
      <c r="APE210" s="541"/>
      <c r="APF210" s="541"/>
      <c r="APG210" s="541"/>
      <c r="APH210" s="541"/>
      <c r="API210" s="541"/>
      <c r="APJ210" s="541"/>
      <c r="APK210" s="541"/>
      <c r="APL210" s="541"/>
      <c r="APM210" s="541"/>
      <c r="APN210" s="541"/>
      <c r="APO210" s="541"/>
      <c r="APP210" s="541"/>
      <c r="APQ210" s="541"/>
      <c r="APR210" s="541"/>
      <c r="APS210" s="541"/>
      <c r="APT210" s="541"/>
      <c r="APU210" s="541"/>
      <c r="APV210" s="541"/>
      <c r="APW210" s="541"/>
      <c r="APX210" s="541"/>
      <c r="APY210" s="541"/>
      <c r="APZ210" s="541"/>
      <c r="AQA210" s="541"/>
      <c r="AQB210" s="541"/>
      <c r="AQC210" s="541"/>
      <c r="AQD210" s="541"/>
      <c r="AQE210" s="541"/>
      <c r="AQF210" s="541"/>
      <c r="AQG210" s="541"/>
      <c r="AQH210" s="541"/>
      <c r="AQI210" s="541"/>
      <c r="AQJ210" s="541"/>
      <c r="AQK210" s="541"/>
      <c r="AQL210" s="541"/>
      <c r="AQM210" s="541"/>
      <c r="AQN210" s="541"/>
      <c r="AQO210" s="541"/>
      <c r="AQP210" s="541"/>
      <c r="AQQ210" s="541"/>
      <c r="AQR210" s="541"/>
      <c r="AQS210" s="541"/>
      <c r="AQT210" s="541"/>
      <c r="AQU210" s="541"/>
      <c r="AQV210" s="541"/>
      <c r="AQW210" s="541"/>
      <c r="AQX210" s="541"/>
      <c r="AQY210" s="541"/>
      <c r="AQZ210" s="541"/>
      <c r="ARA210" s="541"/>
      <c r="ARB210" s="541"/>
      <c r="ARC210" s="541"/>
      <c r="ARD210" s="541"/>
      <c r="ARE210" s="541"/>
      <c r="ARF210" s="541"/>
      <c r="ARG210" s="541"/>
      <c r="ARH210" s="541"/>
      <c r="ARI210" s="541"/>
      <c r="ARJ210" s="541"/>
      <c r="ARK210" s="541"/>
      <c r="ARL210" s="541"/>
      <c r="ARM210" s="541"/>
      <c r="ARN210" s="541"/>
      <c r="ARO210" s="541"/>
      <c r="ARP210" s="541"/>
      <c r="ARQ210" s="541"/>
      <c r="ARR210" s="541"/>
      <c r="ARS210" s="541"/>
      <c r="ART210" s="541"/>
      <c r="ARU210" s="541"/>
    </row>
    <row r="211" spans="1:1165" s="658" customFormat="1">
      <c r="A211" s="707" t="s">
        <v>496</v>
      </c>
      <c r="B211" s="578" t="s">
        <v>110</v>
      </c>
      <c r="C211" s="659">
        <v>36564</v>
      </c>
      <c r="D211" s="659">
        <v>60618898</v>
      </c>
      <c r="E211" s="581">
        <v>558</v>
      </c>
      <c r="F211" s="581">
        <v>6721875</v>
      </c>
      <c r="G211" s="581">
        <v>638</v>
      </c>
      <c r="H211" s="581">
        <v>10260637</v>
      </c>
      <c r="I211" s="581">
        <v>720</v>
      </c>
      <c r="J211" s="581">
        <v>6275268</v>
      </c>
      <c r="K211" s="581">
        <v>775</v>
      </c>
      <c r="L211" s="581">
        <v>7621570</v>
      </c>
      <c r="M211" s="581">
        <v>720</v>
      </c>
      <c r="N211" s="581">
        <v>6988222</v>
      </c>
      <c r="O211" s="581">
        <v>458</v>
      </c>
      <c r="P211" s="581">
        <v>5486809</v>
      </c>
      <c r="Q211" s="581">
        <v>742</v>
      </c>
      <c r="R211" s="581">
        <v>4989398</v>
      </c>
      <c r="S211" s="581">
        <v>648</v>
      </c>
      <c r="T211" s="581">
        <v>4485426</v>
      </c>
      <c r="U211" s="598">
        <v>375</v>
      </c>
      <c r="V211" s="598">
        <v>2317099</v>
      </c>
      <c r="W211" s="598">
        <v>351</v>
      </c>
      <c r="X211" s="598">
        <v>2122155</v>
      </c>
      <c r="Y211" s="703">
        <v>212</v>
      </c>
      <c r="Z211" s="703">
        <v>1085179</v>
      </c>
      <c r="AA211" s="619">
        <v>275</v>
      </c>
      <c r="AB211" s="619">
        <v>1268035</v>
      </c>
      <c r="AC211" s="581">
        <v>284</v>
      </c>
      <c r="AD211" s="581">
        <v>1472341</v>
      </c>
      <c r="AE211" s="579">
        <v>73</v>
      </c>
      <c r="AF211" s="619">
        <v>848271</v>
      </c>
      <c r="AG211" s="579">
        <v>209</v>
      </c>
      <c r="AH211" s="579">
        <v>1408719</v>
      </c>
      <c r="AI211" s="579">
        <v>586</v>
      </c>
      <c r="AJ211" s="579">
        <v>4156739</v>
      </c>
      <c r="AK211" s="661">
        <v>400.8</v>
      </c>
      <c r="AL211" s="661">
        <v>2783005</v>
      </c>
      <c r="AM211" s="662">
        <v>523</v>
      </c>
      <c r="AN211" s="662">
        <v>3637931</v>
      </c>
      <c r="AO211" s="579">
        <v>588</v>
      </c>
      <c r="AP211" s="579">
        <v>4894812</v>
      </c>
      <c r="AQ211" s="579">
        <v>465.58</v>
      </c>
      <c r="AR211" s="579">
        <v>3768893</v>
      </c>
      <c r="AS211" s="579">
        <v>712.5</v>
      </c>
      <c r="AT211" s="579">
        <v>6248086</v>
      </c>
      <c r="AU211" s="619">
        <v>976</v>
      </c>
      <c r="AV211" s="619">
        <v>7787068</v>
      </c>
      <c r="AW211" s="581">
        <v>762.7</v>
      </c>
      <c r="AX211" s="581">
        <v>4967874</v>
      </c>
      <c r="AY211" s="581">
        <v>652.99</v>
      </c>
      <c r="AZ211" s="581">
        <v>4184604</v>
      </c>
      <c r="BA211" s="663"/>
      <c r="BB211" s="581"/>
      <c r="BC211" s="664"/>
      <c r="BD211" s="581"/>
      <c r="BE211" s="664"/>
      <c r="BF211" s="581"/>
      <c r="BG211" s="664"/>
      <c r="BH211" s="581"/>
      <c r="BI211" s="663"/>
      <c r="BJ211" s="581">
        <f t="shared" si="30"/>
        <v>48711.57</v>
      </c>
      <c r="BK211" s="581">
        <f>D211+H211+J211+L211+N211+P211+R211+T211+V211+X211+Z211+AB211+AD211+AF211+AH211+AJ211+AL211+AN211+AP211+AR211+AT211+AV211+AX211+AZ211+BD211+BH211</f>
        <v>159677039</v>
      </c>
      <c r="BL211" s="541"/>
      <c r="BM211" s="541"/>
      <c r="BN211" s="624"/>
      <c r="BO211" s="541"/>
      <c r="BP211" s="541"/>
      <c r="BQ211" s="541"/>
      <c r="BR211" s="541"/>
      <c r="BS211" s="541"/>
      <c r="BT211" s="541"/>
      <c r="BU211" s="541"/>
      <c r="BV211" s="541"/>
      <c r="BW211" s="541"/>
      <c r="BX211" s="541"/>
      <c r="BY211" s="541"/>
      <c r="BZ211" s="541"/>
      <c r="CA211" s="541"/>
      <c r="CB211" s="541"/>
      <c r="CC211" s="541"/>
      <c r="CD211" s="541"/>
      <c r="CE211" s="541"/>
      <c r="CF211" s="541"/>
      <c r="CG211" s="541"/>
      <c r="CH211" s="541"/>
      <c r="CI211" s="541"/>
      <c r="CJ211" s="541"/>
      <c r="CK211" s="541"/>
      <c r="CL211" s="541"/>
      <c r="CM211" s="541"/>
      <c r="CN211" s="541"/>
      <c r="CO211" s="541"/>
      <c r="CP211" s="541"/>
      <c r="CQ211" s="541"/>
      <c r="CR211" s="541"/>
      <c r="CS211" s="541"/>
      <c r="CT211" s="541"/>
      <c r="CU211" s="541"/>
      <c r="CV211" s="541"/>
      <c r="CW211" s="541"/>
      <c r="CX211" s="541"/>
      <c r="CY211" s="541"/>
      <c r="CZ211" s="541"/>
      <c r="DA211" s="541"/>
      <c r="DB211" s="541"/>
      <c r="DC211" s="541"/>
      <c r="DD211" s="541"/>
      <c r="DE211" s="541"/>
      <c r="DF211" s="541"/>
      <c r="DG211" s="541"/>
      <c r="DH211" s="541"/>
      <c r="DI211" s="541"/>
      <c r="DJ211" s="541"/>
      <c r="DK211" s="541"/>
      <c r="DL211" s="541"/>
      <c r="DM211" s="541"/>
      <c r="DN211" s="541"/>
      <c r="DO211" s="541"/>
      <c r="DP211" s="541"/>
      <c r="DQ211" s="541"/>
      <c r="DR211" s="541"/>
      <c r="DS211" s="541"/>
      <c r="DT211" s="541"/>
      <c r="DU211" s="541"/>
      <c r="DV211" s="541"/>
      <c r="DW211" s="541"/>
      <c r="DX211" s="541"/>
      <c r="DY211" s="541"/>
      <c r="DZ211" s="541"/>
      <c r="EA211" s="541"/>
      <c r="EB211" s="541"/>
      <c r="EC211" s="541"/>
      <c r="ED211" s="541"/>
      <c r="EE211" s="541"/>
      <c r="EF211" s="541"/>
      <c r="EG211" s="541"/>
      <c r="EH211" s="541"/>
      <c r="EI211" s="541"/>
      <c r="EJ211" s="541"/>
      <c r="EK211" s="541"/>
      <c r="EL211" s="541"/>
      <c r="EM211" s="541"/>
      <c r="EN211" s="541"/>
      <c r="EO211" s="541"/>
      <c r="EP211" s="541"/>
      <c r="EQ211" s="541"/>
      <c r="ER211" s="541"/>
      <c r="ES211" s="541"/>
      <c r="ET211" s="541"/>
      <c r="EU211" s="541"/>
      <c r="EV211" s="541"/>
      <c r="EW211" s="541"/>
      <c r="EX211" s="541"/>
      <c r="EY211" s="541"/>
      <c r="EZ211" s="541"/>
      <c r="FA211" s="541"/>
      <c r="FB211" s="541"/>
      <c r="FC211" s="541"/>
      <c r="FD211" s="541"/>
      <c r="FE211" s="541"/>
      <c r="FF211" s="541"/>
      <c r="FG211" s="541"/>
      <c r="FH211" s="541"/>
      <c r="FI211" s="541"/>
      <c r="FJ211" s="541"/>
      <c r="FK211" s="541"/>
      <c r="FL211" s="541"/>
      <c r="FM211" s="541"/>
      <c r="FN211" s="541"/>
      <c r="FO211" s="541"/>
      <c r="FP211" s="541"/>
      <c r="FQ211" s="541"/>
      <c r="FR211" s="541"/>
      <c r="FS211" s="541"/>
      <c r="FT211" s="541"/>
      <c r="FU211" s="541"/>
      <c r="FV211" s="541"/>
      <c r="FW211" s="541"/>
      <c r="FX211" s="541"/>
      <c r="FY211" s="541"/>
      <c r="FZ211" s="541"/>
      <c r="GA211" s="541"/>
      <c r="GB211" s="541"/>
      <c r="GC211" s="541"/>
      <c r="GD211" s="541"/>
      <c r="GE211" s="541"/>
      <c r="GF211" s="541"/>
      <c r="GG211" s="541"/>
      <c r="GH211" s="541"/>
      <c r="GI211" s="541"/>
      <c r="GJ211" s="541"/>
      <c r="GK211" s="541"/>
      <c r="GL211" s="541"/>
      <c r="GM211" s="541"/>
      <c r="GN211" s="541"/>
      <c r="GO211" s="541"/>
      <c r="GP211" s="541"/>
      <c r="GQ211" s="541"/>
      <c r="GR211" s="541"/>
      <c r="GS211" s="541"/>
      <c r="GT211" s="541"/>
      <c r="GU211" s="541"/>
      <c r="GV211" s="541"/>
      <c r="GW211" s="541"/>
      <c r="GX211" s="541"/>
      <c r="GY211" s="541"/>
      <c r="GZ211" s="541"/>
      <c r="HA211" s="541"/>
      <c r="HB211" s="541"/>
      <c r="HC211" s="541"/>
      <c r="HD211" s="541"/>
      <c r="HE211" s="541"/>
      <c r="HF211" s="541"/>
      <c r="HG211" s="541"/>
      <c r="HH211" s="541"/>
      <c r="HI211" s="541"/>
      <c r="HJ211" s="541"/>
      <c r="HK211" s="541"/>
      <c r="HL211" s="541"/>
      <c r="HM211" s="541"/>
      <c r="HN211" s="541"/>
      <c r="HO211" s="541"/>
      <c r="HP211" s="541"/>
      <c r="HQ211" s="541"/>
      <c r="HR211" s="541"/>
      <c r="HS211" s="541"/>
      <c r="HT211" s="541"/>
      <c r="HU211" s="541"/>
      <c r="HV211" s="541"/>
      <c r="HW211" s="541"/>
      <c r="HX211" s="541"/>
      <c r="HY211" s="541"/>
      <c r="HZ211" s="541"/>
      <c r="IA211" s="541"/>
      <c r="IB211" s="541"/>
      <c r="IC211" s="541"/>
      <c r="ID211" s="541"/>
      <c r="IE211" s="541"/>
      <c r="IF211" s="541"/>
      <c r="IG211" s="541"/>
      <c r="IH211" s="541"/>
      <c r="II211" s="541"/>
      <c r="IJ211" s="541"/>
      <c r="IK211" s="541"/>
      <c r="IL211" s="541"/>
      <c r="IM211" s="541"/>
      <c r="IN211" s="541"/>
      <c r="IO211" s="541"/>
      <c r="IP211" s="541"/>
      <c r="IQ211" s="541"/>
      <c r="IR211" s="541"/>
      <c r="IS211" s="541"/>
      <c r="IT211" s="541"/>
      <c r="IU211" s="541"/>
      <c r="IV211" s="541"/>
      <c r="IW211" s="541"/>
      <c r="IX211" s="541"/>
      <c r="IY211" s="541"/>
      <c r="IZ211" s="541"/>
      <c r="JA211" s="541"/>
      <c r="JB211" s="541"/>
      <c r="JC211" s="541"/>
      <c r="JD211" s="541"/>
      <c r="JE211" s="541"/>
      <c r="JF211" s="541"/>
      <c r="JG211" s="541"/>
      <c r="JH211" s="541"/>
      <c r="JI211" s="541"/>
      <c r="JJ211" s="541"/>
      <c r="JK211" s="541"/>
      <c r="JL211" s="541"/>
      <c r="JM211" s="541"/>
      <c r="JN211" s="541"/>
      <c r="JO211" s="541"/>
      <c r="JP211" s="541"/>
      <c r="JQ211" s="541"/>
      <c r="JR211" s="541"/>
      <c r="JS211" s="541"/>
      <c r="JT211" s="541"/>
      <c r="JU211" s="541"/>
      <c r="JV211" s="541"/>
      <c r="JW211" s="541"/>
      <c r="JX211" s="541"/>
      <c r="JY211" s="541"/>
      <c r="JZ211" s="541"/>
      <c r="KA211" s="541"/>
      <c r="KB211" s="541"/>
      <c r="KC211" s="541"/>
      <c r="KD211" s="541"/>
      <c r="KE211" s="541"/>
      <c r="KF211" s="541"/>
      <c r="KG211" s="541"/>
      <c r="KH211" s="541"/>
      <c r="KI211" s="541"/>
      <c r="KJ211" s="541"/>
      <c r="KK211" s="541"/>
      <c r="KL211" s="541"/>
      <c r="KM211" s="541"/>
      <c r="KN211" s="541"/>
      <c r="KO211" s="541"/>
      <c r="KP211" s="541"/>
      <c r="KQ211" s="541"/>
      <c r="KR211" s="541"/>
      <c r="KS211" s="541"/>
      <c r="KT211" s="541"/>
      <c r="KU211" s="541"/>
      <c r="KV211" s="541"/>
      <c r="KW211" s="541"/>
      <c r="KX211" s="541"/>
      <c r="KY211" s="541"/>
      <c r="KZ211" s="541"/>
      <c r="LA211" s="541"/>
      <c r="LB211" s="541"/>
      <c r="LC211" s="541"/>
      <c r="LD211" s="541"/>
      <c r="LE211" s="541"/>
      <c r="LF211" s="541"/>
      <c r="LG211" s="541"/>
      <c r="LH211" s="541"/>
      <c r="LI211" s="541"/>
      <c r="LJ211" s="541"/>
      <c r="LK211" s="541"/>
      <c r="LL211" s="541"/>
      <c r="LM211" s="541"/>
      <c r="LN211" s="541"/>
      <c r="LO211" s="541"/>
      <c r="LP211" s="541"/>
      <c r="LQ211" s="541"/>
      <c r="LR211" s="541"/>
      <c r="LS211" s="541"/>
      <c r="LT211" s="541"/>
      <c r="LU211" s="541"/>
      <c r="LV211" s="541"/>
      <c r="LW211" s="541"/>
      <c r="LX211" s="541"/>
      <c r="LY211" s="541"/>
      <c r="LZ211" s="541"/>
      <c r="MA211" s="541"/>
      <c r="MB211" s="541"/>
      <c r="MC211" s="541"/>
      <c r="MD211" s="541"/>
      <c r="ME211" s="541"/>
      <c r="MF211" s="541"/>
      <c r="MG211" s="541"/>
      <c r="MH211" s="541"/>
      <c r="MI211" s="541"/>
      <c r="MJ211" s="541"/>
      <c r="MK211" s="541"/>
      <c r="ML211" s="541"/>
      <c r="MM211" s="541"/>
      <c r="MN211" s="541"/>
      <c r="MO211" s="541"/>
      <c r="MP211" s="541"/>
      <c r="MQ211" s="541"/>
      <c r="MR211" s="541"/>
      <c r="MS211" s="541"/>
      <c r="MT211" s="541"/>
      <c r="MU211" s="541"/>
      <c r="MV211" s="541"/>
      <c r="MW211" s="541"/>
      <c r="MX211" s="541"/>
      <c r="MY211" s="541"/>
      <c r="MZ211" s="541"/>
      <c r="NA211" s="541"/>
      <c r="NB211" s="541"/>
      <c r="NC211" s="541"/>
      <c r="ND211" s="541"/>
      <c r="NE211" s="541"/>
      <c r="NF211" s="541"/>
      <c r="NG211" s="541"/>
      <c r="NH211" s="541"/>
      <c r="NI211" s="541"/>
      <c r="NJ211" s="541"/>
      <c r="NK211" s="541"/>
      <c r="NL211" s="541"/>
      <c r="NM211" s="541"/>
      <c r="NN211" s="541"/>
      <c r="NO211" s="541"/>
      <c r="NP211" s="541"/>
      <c r="NQ211" s="541"/>
      <c r="NR211" s="541"/>
      <c r="NS211" s="541"/>
      <c r="NT211" s="541"/>
      <c r="NU211" s="541"/>
      <c r="NV211" s="541"/>
      <c r="NW211" s="541"/>
      <c r="NX211" s="541"/>
      <c r="NY211" s="541"/>
      <c r="NZ211" s="541"/>
      <c r="OA211" s="541"/>
      <c r="OB211" s="541"/>
      <c r="OC211" s="541"/>
      <c r="OD211" s="541"/>
      <c r="OE211" s="541"/>
      <c r="OF211" s="541"/>
      <c r="OG211" s="541"/>
      <c r="OH211" s="541"/>
      <c r="OI211" s="541"/>
      <c r="OJ211" s="541"/>
      <c r="OK211" s="541"/>
      <c r="OL211" s="541"/>
      <c r="OM211" s="541"/>
      <c r="ON211" s="541"/>
      <c r="OO211" s="541"/>
      <c r="OP211" s="541"/>
      <c r="OQ211" s="541"/>
      <c r="OR211" s="541"/>
      <c r="OS211" s="541"/>
      <c r="OT211" s="541"/>
      <c r="OU211" s="541"/>
      <c r="OV211" s="541"/>
      <c r="OW211" s="541"/>
      <c r="OX211" s="541"/>
      <c r="OY211" s="541"/>
      <c r="OZ211" s="541"/>
      <c r="PA211" s="541"/>
      <c r="PB211" s="541"/>
      <c r="PC211" s="541"/>
      <c r="PD211" s="541"/>
      <c r="PE211" s="541"/>
      <c r="PF211" s="541"/>
      <c r="PG211" s="541"/>
      <c r="PH211" s="541"/>
      <c r="PI211" s="541"/>
      <c r="PJ211" s="541"/>
      <c r="PK211" s="541"/>
      <c r="PL211" s="541"/>
      <c r="PM211" s="541"/>
      <c r="PN211" s="541"/>
      <c r="PO211" s="541"/>
      <c r="PP211" s="541"/>
      <c r="PQ211" s="541"/>
      <c r="PR211" s="541"/>
      <c r="PS211" s="541"/>
      <c r="PT211" s="541"/>
      <c r="PU211" s="541"/>
      <c r="PV211" s="541"/>
      <c r="PW211" s="541"/>
      <c r="PX211" s="541"/>
      <c r="PY211" s="541"/>
      <c r="PZ211" s="541"/>
      <c r="QA211" s="541"/>
      <c r="QB211" s="541"/>
      <c r="QC211" s="541"/>
      <c r="QD211" s="541"/>
      <c r="QE211" s="541"/>
      <c r="QF211" s="541"/>
      <c r="QG211" s="541"/>
      <c r="QH211" s="541"/>
      <c r="QI211" s="541"/>
      <c r="QJ211" s="541"/>
      <c r="QK211" s="541"/>
      <c r="QL211" s="541"/>
      <c r="QM211" s="541"/>
      <c r="QN211" s="541"/>
      <c r="QO211" s="541"/>
      <c r="QP211" s="541"/>
      <c r="QQ211" s="541"/>
      <c r="QR211" s="541"/>
      <c r="QS211" s="541"/>
      <c r="QT211" s="541"/>
      <c r="QU211" s="541"/>
      <c r="QV211" s="541"/>
      <c r="QW211" s="541"/>
      <c r="QX211" s="541"/>
      <c r="QY211" s="541"/>
      <c r="QZ211" s="541"/>
      <c r="RA211" s="541"/>
      <c r="RB211" s="541"/>
      <c r="RC211" s="541"/>
      <c r="RD211" s="541"/>
      <c r="RE211" s="541"/>
      <c r="RF211" s="541"/>
      <c r="RG211" s="541"/>
      <c r="RH211" s="541"/>
      <c r="RI211" s="541"/>
      <c r="RJ211" s="541"/>
      <c r="RK211" s="541"/>
      <c r="RL211" s="541"/>
      <c r="RM211" s="541"/>
      <c r="RN211" s="541"/>
      <c r="RO211" s="541"/>
      <c r="RP211" s="541"/>
      <c r="RQ211" s="541"/>
      <c r="RR211" s="541"/>
      <c r="RS211" s="541"/>
      <c r="RT211" s="541"/>
      <c r="RU211" s="541"/>
      <c r="RV211" s="541"/>
      <c r="RW211" s="541"/>
      <c r="RX211" s="541"/>
      <c r="RY211" s="541"/>
      <c r="RZ211" s="541"/>
      <c r="SA211" s="541"/>
      <c r="SB211" s="541"/>
      <c r="SC211" s="541"/>
      <c r="SD211" s="541"/>
      <c r="SE211" s="541"/>
      <c r="SF211" s="541"/>
      <c r="SG211" s="541"/>
      <c r="SH211" s="541"/>
      <c r="SI211" s="541"/>
      <c r="SJ211" s="541"/>
      <c r="SK211" s="541"/>
      <c r="SL211" s="541"/>
      <c r="SM211" s="541"/>
      <c r="SN211" s="541"/>
      <c r="SO211" s="541"/>
      <c r="SP211" s="541"/>
      <c r="SQ211" s="541"/>
      <c r="SR211" s="541"/>
      <c r="SS211" s="541"/>
      <c r="ST211" s="541"/>
      <c r="SU211" s="541"/>
      <c r="SV211" s="541"/>
      <c r="SW211" s="541"/>
      <c r="SX211" s="541"/>
      <c r="SY211" s="541"/>
      <c r="SZ211" s="541"/>
      <c r="TA211" s="541"/>
      <c r="TB211" s="541"/>
      <c r="TC211" s="541"/>
      <c r="TD211" s="541"/>
      <c r="TE211" s="541"/>
      <c r="TF211" s="541"/>
      <c r="TG211" s="541"/>
      <c r="TH211" s="541"/>
      <c r="TI211" s="541"/>
      <c r="TJ211" s="541"/>
      <c r="TK211" s="541"/>
      <c r="TL211" s="541"/>
      <c r="TM211" s="541"/>
      <c r="TN211" s="541"/>
      <c r="TO211" s="541"/>
      <c r="TP211" s="541"/>
      <c r="TQ211" s="541"/>
      <c r="TR211" s="541"/>
      <c r="TS211" s="541"/>
      <c r="TT211" s="541"/>
      <c r="TU211" s="541"/>
      <c r="TV211" s="541"/>
      <c r="TW211" s="541"/>
      <c r="TX211" s="541"/>
      <c r="TY211" s="541"/>
      <c r="TZ211" s="541"/>
      <c r="UA211" s="541"/>
      <c r="UB211" s="541"/>
      <c r="UC211" s="541"/>
      <c r="UD211" s="541"/>
      <c r="UE211" s="541"/>
      <c r="UF211" s="541"/>
      <c r="UG211" s="541"/>
      <c r="UH211" s="541"/>
      <c r="UI211" s="541"/>
      <c r="UJ211" s="541"/>
      <c r="UK211" s="541"/>
      <c r="UL211" s="541"/>
      <c r="UM211" s="541"/>
      <c r="UN211" s="541"/>
      <c r="UO211" s="541"/>
      <c r="UP211" s="541"/>
      <c r="UQ211" s="541"/>
      <c r="UR211" s="541"/>
      <c r="US211" s="541"/>
      <c r="UT211" s="541"/>
      <c r="UU211" s="541"/>
      <c r="UV211" s="541"/>
      <c r="UW211" s="541"/>
      <c r="UX211" s="541"/>
      <c r="UY211" s="541"/>
      <c r="UZ211" s="541"/>
      <c r="VA211" s="541"/>
      <c r="VB211" s="541"/>
      <c r="VC211" s="541"/>
      <c r="VD211" s="541"/>
      <c r="VE211" s="541"/>
      <c r="VF211" s="541"/>
      <c r="VG211" s="541"/>
      <c r="VH211" s="541"/>
      <c r="VI211" s="541"/>
      <c r="VJ211" s="541"/>
      <c r="VK211" s="541"/>
      <c r="VL211" s="541"/>
      <c r="VM211" s="541"/>
      <c r="VN211" s="541"/>
      <c r="VO211" s="541"/>
      <c r="VP211" s="541"/>
      <c r="VQ211" s="541"/>
      <c r="VR211" s="541"/>
      <c r="VS211" s="541"/>
      <c r="VT211" s="541"/>
      <c r="VU211" s="541"/>
      <c r="VV211" s="541"/>
      <c r="VW211" s="541"/>
      <c r="VX211" s="541"/>
      <c r="VY211" s="541"/>
      <c r="VZ211" s="541"/>
      <c r="WA211" s="541"/>
      <c r="WB211" s="541"/>
      <c r="WC211" s="541"/>
      <c r="WD211" s="541"/>
      <c r="WE211" s="541"/>
      <c r="WF211" s="541"/>
      <c r="WG211" s="541"/>
      <c r="WH211" s="541"/>
      <c r="WI211" s="541"/>
      <c r="WJ211" s="541"/>
      <c r="WK211" s="541"/>
      <c r="WL211" s="541"/>
      <c r="WM211" s="541"/>
      <c r="WN211" s="541"/>
      <c r="WO211" s="541"/>
      <c r="WP211" s="541"/>
      <c r="WQ211" s="541"/>
      <c r="WR211" s="541"/>
      <c r="WS211" s="541"/>
      <c r="WT211" s="541"/>
      <c r="WU211" s="541"/>
      <c r="WV211" s="541"/>
      <c r="WW211" s="541"/>
      <c r="WX211" s="541"/>
      <c r="WY211" s="541"/>
      <c r="WZ211" s="541"/>
      <c r="XA211" s="541"/>
      <c r="XB211" s="541"/>
      <c r="XC211" s="541"/>
      <c r="XD211" s="541"/>
      <c r="XE211" s="541"/>
      <c r="XF211" s="541"/>
      <c r="XG211" s="541"/>
      <c r="XH211" s="541"/>
      <c r="XI211" s="541"/>
      <c r="XJ211" s="541"/>
      <c r="XK211" s="541"/>
      <c r="XL211" s="541"/>
      <c r="XM211" s="541"/>
      <c r="XN211" s="541"/>
      <c r="XO211" s="541"/>
      <c r="XP211" s="541"/>
      <c r="XQ211" s="541"/>
      <c r="XR211" s="541"/>
      <c r="XS211" s="541"/>
      <c r="XT211" s="541"/>
      <c r="XU211" s="541"/>
      <c r="XV211" s="541"/>
      <c r="XW211" s="541"/>
      <c r="XX211" s="541"/>
      <c r="XY211" s="541"/>
      <c r="XZ211" s="541"/>
      <c r="YA211" s="541"/>
      <c r="YB211" s="541"/>
      <c r="YC211" s="541"/>
      <c r="YD211" s="541"/>
      <c r="YE211" s="541"/>
      <c r="YF211" s="541"/>
      <c r="YG211" s="541"/>
      <c r="YH211" s="541"/>
      <c r="YI211" s="541"/>
      <c r="YJ211" s="541"/>
      <c r="YK211" s="541"/>
      <c r="YL211" s="541"/>
      <c r="YM211" s="541"/>
      <c r="YN211" s="541"/>
      <c r="YO211" s="541"/>
      <c r="YP211" s="541"/>
      <c r="YQ211" s="541"/>
      <c r="YR211" s="541"/>
      <c r="YS211" s="541"/>
      <c r="YT211" s="541"/>
      <c r="YU211" s="541"/>
      <c r="YV211" s="541"/>
      <c r="YW211" s="541"/>
      <c r="YX211" s="541"/>
      <c r="YY211" s="541"/>
      <c r="YZ211" s="541"/>
      <c r="ZA211" s="541"/>
      <c r="ZB211" s="541"/>
      <c r="ZC211" s="541"/>
      <c r="ZD211" s="541"/>
      <c r="ZE211" s="541"/>
      <c r="ZF211" s="541"/>
      <c r="ZG211" s="541"/>
      <c r="ZH211" s="541"/>
      <c r="ZI211" s="541"/>
      <c r="ZJ211" s="541"/>
      <c r="ZK211" s="541"/>
      <c r="ZL211" s="541"/>
      <c r="ZM211" s="541"/>
      <c r="ZN211" s="541"/>
      <c r="ZO211" s="541"/>
      <c r="ZP211" s="541"/>
      <c r="ZQ211" s="541"/>
      <c r="ZR211" s="541"/>
      <c r="ZS211" s="541"/>
      <c r="ZT211" s="541"/>
      <c r="ZU211" s="541"/>
      <c r="ZV211" s="541"/>
      <c r="ZW211" s="541"/>
      <c r="ZX211" s="541"/>
      <c r="ZY211" s="541"/>
      <c r="ZZ211" s="541"/>
      <c r="AAA211" s="541"/>
      <c r="AAB211" s="541"/>
      <c r="AAC211" s="541"/>
      <c r="AAD211" s="541"/>
      <c r="AAE211" s="541"/>
      <c r="AAF211" s="541"/>
      <c r="AAG211" s="541"/>
      <c r="AAH211" s="541"/>
      <c r="AAI211" s="541"/>
      <c r="AAJ211" s="541"/>
      <c r="AAK211" s="541"/>
      <c r="AAL211" s="541"/>
      <c r="AAM211" s="541"/>
      <c r="AAN211" s="541"/>
      <c r="AAO211" s="541"/>
      <c r="AAP211" s="541"/>
      <c r="AAQ211" s="541"/>
      <c r="AAR211" s="541"/>
      <c r="AAS211" s="541"/>
      <c r="AAT211" s="541"/>
      <c r="AAU211" s="541"/>
      <c r="AAV211" s="541"/>
      <c r="AAW211" s="541"/>
      <c r="AAX211" s="541"/>
      <c r="AAY211" s="541"/>
      <c r="AAZ211" s="541"/>
      <c r="ABA211" s="541"/>
      <c r="ABB211" s="541"/>
      <c r="ABC211" s="541"/>
      <c r="ABD211" s="541"/>
      <c r="ABE211" s="541"/>
      <c r="ABF211" s="541"/>
      <c r="ABG211" s="541"/>
      <c r="ABH211" s="541"/>
      <c r="ABI211" s="541"/>
      <c r="ABJ211" s="541"/>
      <c r="ABK211" s="541"/>
      <c r="ABL211" s="541"/>
      <c r="ABM211" s="541"/>
      <c r="ABN211" s="541"/>
      <c r="ABO211" s="541"/>
      <c r="ABP211" s="541"/>
      <c r="ABQ211" s="541"/>
      <c r="ABR211" s="541"/>
      <c r="ABS211" s="541"/>
      <c r="ABT211" s="541"/>
      <c r="ABU211" s="541"/>
      <c r="ABV211" s="541"/>
      <c r="ABW211" s="541"/>
      <c r="ABX211" s="541"/>
      <c r="ABY211" s="541"/>
      <c r="ABZ211" s="541"/>
      <c r="ACA211" s="541"/>
      <c r="ACB211" s="541"/>
      <c r="ACC211" s="541"/>
      <c r="ACD211" s="541"/>
      <c r="ACE211" s="541"/>
      <c r="ACF211" s="541"/>
      <c r="ACG211" s="541"/>
      <c r="ACH211" s="541"/>
      <c r="ACI211" s="541"/>
      <c r="ACJ211" s="541"/>
      <c r="ACK211" s="541"/>
      <c r="ACL211" s="541"/>
      <c r="ACM211" s="541"/>
      <c r="ACN211" s="541"/>
      <c r="ACO211" s="541"/>
      <c r="ACP211" s="541"/>
      <c r="ACQ211" s="541"/>
      <c r="ACR211" s="541"/>
      <c r="ACS211" s="541"/>
      <c r="ACT211" s="541"/>
      <c r="ACU211" s="541"/>
      <c r="ACV211" s="541"/>
      <c r="ACW211" s="541"/>
      <c r="ACX211" s="541"/>
      <c r="ACY211" s="541"/>
      <c r="ACZ211" s="541"/>
      <c r="ADA211" s="541"/>
      <c r="ADB211" s="541"/>
      <c r="ADC211" s="541"/>
      <c r="ADD211" s="541"/>
      <c r="ADE211" s="541"/>
      <c r="ADF211" s="541"/>
      <c r="ADG211" s="541"/>
      <c r="ADH211" s="541"/>
      <c r="ADI211" s="541"/>
      <c r="ADJ211" s="541"/>
      <c r="ADK211" s="541"/>
      <c r="ADL211" s="541"/>
      <c r="ADM211" s="541"/>
      <c r="ADN211" s="541"/>
      <c r="ADO211" s="541"/>
      <c r="ADP211" s="541"/>
      <c r="ADQ211" s="541"/>
      <c r="ADR211" s="541"/>
      <c r="ADS211" s="541"/>
      <c r="ADT211" s="541"/>
      <c r="ADU211" s="541"/>
      <c r="ADV211" s="541"/>
      <c r="ADW211" s="541"/>
      <c r="ADX211" s="541"/>
      <c r="ADY211" s="541"/>
      <c r="ADZ211" s="541"/>
      <c r="AEA211" s="541"/>
      <c r="AEB211" s="541"/>
      <c r="AEC211" s="541"/>
      <c r="AED211" s="541"/>
      <c r="AEE211" s="541"/>
      <c r="AEF211" s="541"/>
      <c r="AEG211" s="541"/>
      <c r="AEH211" s="541"/>
      <c r="AEI211" s="541"/>
      <c r="AEJ211" s="541"/>
      <c r="AEK211" s="541"/>
      <c r="AEL211" s="541"/>
      <c r="AEM211" s="541"/>
      <c r="AEN211" s="541"/>
      <c r="AEO211" s="541"/>
      <c r="AEP211" s="541"/>
      <c r="AEQ211" s="541"/>
      <c r="AER211" s="541"/>
      <c r="AES211" s="541"/>
      <c r="AET211" s="541"/>
      <c r="AEU211" s="541"/>
      <c r="AEV211" s="541"/>
      <c r="AEW211" s="541"/>
      <c r="AEX211" s="541"/>
      <c r="AEY211" s="541"/>
      <c r="AEZ211" s="541"/>
      <c r="AFA211" s="541"/>
      <c r="AFB211" s="541"/>
      <c r="AFC211" s="541"/>
      <c r="AFD211" s="541"/>
      <c r="AFE211" s="541"/>
      <c r="AFF211" s="541"/>
      <c r="AFG211" s="541"/>
      <c r="AFH211" s="541"/>
      <c r="AFI211" s="541"/>
      <c r="AFJ211" s="541"/>
      <c r="AFK211" s="541"/>
      <c r="AFL211" s="541"/>
      <c r="AFM211" s="541"/>
      <c r="AFN211" s="541"/>
      <c r="AFO211" s="541"/>
      <c r="AFP211" s="541"/>
      <c r="AFQ211" s="541"/>
      <c r="AFR211" s="541"/>
      <c r="AFS211" s="541"/>
      <c r="AFT211" s="541"/>
      <c r="AFU211" s="541"/>
      <c r="AFV211" s="541"/>
      <c r="AFW211" s="541"/>
      <c r="AFX211" s="541"/>
      <c r="AFY211" s="541"/>
      <c r="AFZ211" s="541"/>
      <c r="AGA211" s="541"/>
      <c r="AGB211" s="541"/>
      <c r="AGC211" s="541"/>
      <c r="AGD211" s="541"/>
      <c r="AGE211" s="541"/>
      <c r="AGF211" s="541"/>
      <c r="AGG211" s="541"/>
      <c r="AGH211" s="541"/>
      <c r="AGI211" s="541"/>
      <c r="AGJ211" s="541"/>
      <c r="AGK211" s="541"/>
      <c r="AGL211" s="541"/>
      <c r="AGM211" s="541"/>
      <c r="AGN211" s="541"/>
      <c r="AGO211" s="541"/>
      <c r="AGP211" s="541"/>
      <c r="AGQ211" s="541"/>
      <c r="AGR211" s="541"/>
      <c r="AGS211" s="541"/>
      <c r="AGT211" s="541"/>
      <c r="AGU211" s="541"/>
      <c r="AGV211" s="541"/>
      <c r="AGW211" s="541"/>
      <c r="AGX211" s="541"/>
      <c r="AGY211" s="541"/>
      <c r="AGZ211" s="541"/>
      <c r="AHA211" s="541"/>
      <c r="AHB211" s="541"/>
      <c r="AHC211" s="541"/>
      <c r="AHD211" s="541"/>
      <c r="AHE211" s="541"/>
      <c r="AHF211" s="541"/>
      <c r="AHG211" s="541"/>
      <c r="AHH211" s="541"/>
      <c r="AHI211" s="541"/>
      <c r="AHJ211" s="541"/>
      <c r="AHK211" s="541"/>
      <c r="AHL211" s="541"/>
      <c r="AHM211" s="541"/>
      <c r="AHN211" s="541"/>
      <c r="AHO211" s="541"/>
      <c r="AHP211" s="541"/>
      <c r="AHQ211" s="541"/>
      <c r="AHR211" s="541"/>
      <c r="AHS211" s="541"/>
      <c r="AHT211" s="541"/>
      <c r="AHU211" s="541"/>
      <c r="AHV211" s="541"/>
      <c r="AHW211" s="541"/>
      <c r="AHX211" s="541"/>
      <c r="AHY211" s="541"/>
      <c r="AHZ211" s="541"/>
      <c r="AIA211" s="541"/>
      <c r="AIB211" s="541"/>
      <c r="AIC211" s="541"/>
      <c r="AID211" s="541"/>
      <c r="AIE211" s="541"/>
      <c r="AIF211" s="541"/>
      <c r="AIG211" s="541"/>
      <c r="AIH211" s="541"/>
      <c r="AII211" s="541"/>
      <c r="AIJ211" s="541"/>
      <c r="AIK211" s="541"/>
      <c r="AIL211" s="541"/>
      <c r="AIM211" s="541"/>
      <c r="AIN211" s="541"/>
      <c r="AIO211" s="541"/>
      <c r="AIP211" s="541"/>
      <c r="AIQ211" s="541"/>
      <c r="AIR211" s="541"/>
      <c r="AIS211" s="541"/>
      <c r="AIT211" s="541"/>
      <c r="AIU211" s="541"/>
      <c r="AIV211" s="541"/>
      <c r="AIW211" s="541"/>
      <c r="AIX211" s="541"/>
      <c r="AIY211" s="541"/>
      <c r="AIZ211" s="541"/>
      <c r="AJA211" s="541"/>
      <c r="AJB211" s="541"/>
      <c r="AJC211" s="541"/>
      <c r="AJD211" s="541"/>
      <c r="AJE211" s="541"/>
      <c r="AJF211" s="541"/>
      <c r="AJG211" s="541"/>
      <c r="AJH211" s="541"/>
      <c r="AJI211" s="541"/>
      <c r="AJJ211" s="541"/>
      <c r="AJK211" s="541"/>
      <c r="AJL211" s="541"/>
      <c r="AJM211" s="541"/>
      <c r="AJN211" s="541"/>
      <c r="AJO211" s="541"/>
      <c r="AJP211" s="541"/>
      <c r="AJQ211" s="541"/>
      <c r="AJR211" s="541"/>
      <c r="AJS211" s="541"/>
      <c r="AJT211" s="541"/>
      <c r="AJU211" s="541"/>
      <c r="AJV211" s="541"/>
      <c r="AJW211" s="541"/>
      <c r="AJX211" s="541"/>
      <c r="AJY211" s="541"/>
      <c r="AJZ211" s="541"/>
      <c r="AKA211" s="541"/>
      <c r="AKB211" s="541"/>
      <c r="AKC211" s="541"/>
      <c r="AKD211" s="541"/>
      <c r="AKE211" s="541"/>
      <c r="AKF211" s="541"/>
      <c r="AKG211" s="541"/>
      <c r="AKH211" s="541"/>
      <c r="AKI211" s="541"/>
      <c r="AKJ211" s="541"/>
      <c r="AKK211" s="541"/>
      <c r="AKL211" s="541"/>
      <c r="AKM211" s="541"/>
      <c r="AKN211" s="541"/>
      <c r="AKO211" s="541"/>
      <c r="AKP211" s="541"/>
      <c r="AKQ211" s="541"/>
      <c r="AKR211" s="541"/>
      <c r="AKS211" s="541"/>
      <c r="AKT211" s="541"/>
      <c r="AKU211" s="541"/>
      <c r="AKV211" s="541"/>
      <c r="AKW211" s="541"/>
      <c r="AKX211" s="541"/>
      <c r="AKY211" s="541"/>
      <c r="AKZ211" s="541"/>
      <c r="ALA211" s="541"/>
      <c r="ALB211" s="541"/>
      <c r="ALC211" s="541"/>
      <c r="ALD211" s="541"/>
      <c r="ALE211" s="541"/>
      <c r="ALF211" s="541"/>
      <c r="ALG211" s="541"/>
      <c r="ALH211" s="541"/>
      <c r="ALI211" s="541"/>
      <c r="ALJ211" s="541"/>
      <c r="ALK211" s="541"/>
      <c r="ALL211" s="541"/>
      <c r="ALM211" s="541"/>
      <c r="ALN211" s="541"/>
      <c r="ALO211" s="541"/>
      <c r="ALP211" s="541"/>
      <c r="ALQ211" s="541"/>
      <c r="ALR211" s="541"/>
      <c r="ALS211" s="541"/>
      <c r="ALT211" s="541"/>
      <c r="ALU211" s="541"/>
      <c r="ALV211" s="541"/>
      <c r="ALW211" s="541"/>
      <c r="ALX211" s="541"/>
      <c r="ALY211" s="541"/>
      <c r="ALZ211" s="541"/>
      <c r="AMA211" s="541"/>
      <c r="AMB211" s="541"/>
      <c r="AMC211" s="541"/>
      <c r="AMD211" s="541"/>
      <c r="AME211" s="541"/>
      <c r="AMF211" s="541"/>
      <c r="AMG211" s="541"/>
      <c r="AMH211" s="541"/>
      <c r="AMI211" s="541"/>
      <c r="AMJ211" s="541"/>
      <c r="AMK211" s="541"/>
      <c r="AML211" s="541"/>
      <c r="AMM211" s="541"/>
      <c r="AMN211" s="541"/>
      <c r="AMO211" s="541"/>
      <c r="AMP211" s="541"/>
      <c r="AMQ211" s="541"/>
      <c r="AMR211" s="541"/>
      <c r="AMS211" s="541"/>
      <c r="AMT211" s="541"/>
      <c r="AMU211" s="541"/>
      <c r="AMV211" s="541"/>
      <c r="AMW211" s="541"/>
      <c r="AMX211" s="541"/>
      <c r="AMY211" s="541"/>
      <c r="AMZ211" s="541"/>
      <c r="ANA211" s="541"/>
      <c r="ANB211" s="541"/>
      <c r="ANC211" s="541"/>
      <c r="AND211" s="541"/>
      <c r="ANE211" s="541"/>
      <c r="ANF211" s="541"/>
      <c r="ANG211" s="541"/>
      <c r="ANH211" s="541"/>
      <c r="ANI211" s="541"/>
      <c r="ANJ211" s="541"/>
      <c r="ANK211" s="541"/>
      <c r="ANL211" s="541"/>
      <c r="ANM211" s="541"/>
      <c r="ANN211" s="541"/>
      <c r="ANO211" s="541"/>
      <c r="ANP211" s="541"/>
      <c r="ANQ211" s="541"/>
      <c r="ANR211" s="541"/>
      <c r="ANS211" s="541"/>
      <c r="ANT211" s="541"/>
      <c r="ANU211" s="541"/>
      <c r="ANV211" s="541"/>
      <c r="ANW211" s="541"/>
      <c r="ANX211" s="541"/>
      <c r="ANY211" s="541"/>
      <c r="ANZ211" s="541"/>
      <c r="AOA211" s="541"/>
      <c r="AOB211" s="541"/>
      <c r="AOC211" s="541"/>
      <c r="AOD211" s="541"/>
      <c r="AOE211" s="541"/>
      <c r="AOF211" s="541"/>
      <c r="AOG211" s="541"/>
      <c r="AOH211" s="541"/>
      <c r="AOI211" s="541"/>
      <c r="AOJ211" s="541"/>
      <c r="AOK211" s="541"/>
      <c r="AOL211" s="541"/>
      <c r="AOM211" s="541"/>
      <c r="AON211" s="541"/>
      <c r="AOO211" s="541"/>
      <c r="AOP211" s="541"/>
      <c r="AOQ211" s="541"/>
      <c r="AOR211" s="541"/>
      <c r="AOS211" s="541"/>
      <c r="AOT211" s="541"/>
      <c r="AOU211" s="541"/>
      <c r="AOV211" s="541"/>
      <c r="AOW211" s="541"/>
      <c r="AOX211" s="541"/>
      <c r="AOY211" s="541"/>
      <c r="AOZ211" s="541"/>
      <c r="APA211" s="541"/>
      <c r="APB211" s="541"/>
      <c r="APC211" s="541"/>
      <c r="APD211" s="541"/>
      <c r="APE211" s="541"/>
      <c r="APF211" s="541"/>
      <c r="APG211" s="541"/>
      <c r="APH211" s="541"/>
      <c r="API211" s="541"/>
      <c r="APJ211" s="541"/>
      <c r="APK211" s="541"/>
      <c r="APL211" s="541"/>
      <c r="APM211" s="541"/>
      <c r="APN211" s="541"/>
      <c r="APO211" s="541"/>
      <c r="APP211" s="541"/>
      <c r="APQ211" s="541"/>
      <c r="APR211" s="541"/>
      <c r="APS211" s="541"/>
      <c r="APT211" s="541"/>
      <c r="APU211" s="541"/>
      <c r="APV211" s="541"/>
      <c r="APW211" s="541"/>
      <c r="APX211" s="541"/>
      <c r="APY211" s="541"/>
      <c r="APZ211" s="541"/>
      <c r="AQA211" s="541"/>
      <c r="AQB211" s="541"/>
      <c r="AQC211" s="541"/>
      <c r="AQD211" s="541"/>
      <c r="AQE211" s="541"/>
      <c r="AQF211" s="541"/>
      <c r="AQG211" s="541"/>
      <c r="AQH211" s="541"/>
      <c r="AQI211" s="541"/>
      <c r="AQJ211" s="541"/>
      <c r="AQK211" s="541"/>
      <c r="AQL211" s="541"/>
      <c r="AQM211" s="541"/>
      <c r="AQN211" s="541"/>
      <c r="AQO211" s="541"/>
      <c r="AQP211" s="541"/>
      <c r="AQQ211" s="541"/>
      <c r="AQR211" s="541"/>
      <c r="AQS211" s="541"/>
      <c r="AQT211" s="541"/>
      <c r="AQU211" s="541"/>
      <c r="AQV211" s="541"/>
      <c r="AQW211" s="541"/>
      <c r="AQX211" s="541"/>
      <c r="AQY211" s="541"/>
      <c r="AQZ211" s="541"/>
      <c r="ARA211" s="541"/>
      <c r="ARB211" s="541"/>
      <c r="ARC211" s="541"/>
      <c r="ARD211" s="541"/>
      <c r="ARE211" s="541"/>
      <c r="ARF211" s="541"/>
      <c r="ARG211" s="541"/>
      <c r="ARH211" s="541"/>
      <c r="ARI211" s="541"/>
      <c r="ARJ211" s="541"/>
      <c r="ARK211" s="541"/>
      <c r="ARL211" s="541"/>
      <c r="ARM211" s="541"/>
      <c r="ARN211" s="541"/>
      <c r="ARO211" s="541"/>
      <c r="ARP211" s="541"/>
      <c r="ARQ211" s="541"/>
      <c r="ARR211" s="541"/>
      <c r="ARS211" s="541"/>
      <c r="ART211" s="541"/>
      <c r="ARU211" s="541"/>
    </row>
    <row r="212" spans="1:1165" s="658" customFormat="1">
      <c r="A212" s="611" t="s">
        <v>323</v>
      </c>
      <c r="B212" s="603"/>
      <c r="C212" s="687"/>
      <c r="D212" s="598">
        <f>SUM(D208:D211)</f>
        <v>92701404</v>
      </c>
      <c r="E212" s="598"/>
      <c r="F212" s="598">
        <f>SUM(F208:F211)</f>
        <v>18954990</v>
      </c>
      <c r="G212" s="598"/>
      <c r="H212" s="598">
        <f>SUM(H208:H211)</f>
        <v>23440108</v>
      </c>
      <c r="I212" s="598"/>
      <c r="J212" s="598">
        <f>SUM(J208:J211)</f>
        <v>6740022</v>
      </c>
      <c r="K212" s="598"/>
      <c r="L212" s="598">
        <f>SUM(L208:L211)</f>
        <v>14838879</v>
      </c>
      <c r="M212" s="598"/>
      <c r="N212" s="598">
        <f>SUM(N208:N211)</f>
        <v>13593452</v>
      </c>
      <c r="O212" s="598"/>
      <c r="P212" s="598">
        <f>SUM(P208:P211)</f>
        <v>11390635</v>
      </c>
      <c r="Q212" s="598"/>
      <c r="R212" s="598">
        <f>SUM(R208:R211)</f>
        <v>12070236</v>
      </c>
      <c r="S212" s="598"/>
      <c r="T212" s="598">
        <f>SUM(T208:T211)</f>
        <v>12010768</v>
      </c>
      <c r="U212" s="579"/>
      <c r="V212" s="579">
        <f>SUM(V208:V211)</f>
        <v>15159147</v>
      </c>
      <c r="W212" s="579"/>
      <c r="X212" s="598">
        <f>SUM(X208:X211)</f>
        <v>27172361</v>
      </c>
      <c r="Y212" s="598"/>
      <c r="Z212" s="598">
        <v>27826958</v>
      </c>
      <c r="AA212" s="579"/>
      <c r="AB212" s="619">
        <f>SUM(AB208:AB211)</f>
        <v>27613686</v>
      </c>
      <c r="AC212" s="581"/>
      <c r="AD212" s="581">
        <f>SUM(AD208:AD211)</f>
        <v>39301661</v>
      </c>
      <c r="AE212" s="579"/>
      <c r="AF212" s="579">
        <f>SUM(AF208:AF211)</f>
        <v>23824112</v>
      </c>
      <c r="AG212" s="579"/>
      <c r="AH212" s="579">
        <f>SUM(AH208:AH211)</f>
        <v>34772278</v>
      </c>
      <c r="AI212" s="579"/>
      <c r="AJ212" s="579">
        <f>SUM(AJ208:AJ211)</f>
        <v>49793155</v>
      </c>
      <c r="AK212" s="661"/>
      <c r="AL212" s="661">
        <v>56711688</v>
      </c>
      <c r="AM212" s="662"/>
      <c r="AN212" s="662">
        <v>44889807</v>
      </c>
      <c r="AO212" s="661"/>
      <c r="AP212" s="579">
        <v>73642495</v>
      </c>
      <c r="AQ212" s="579"/>
      <c r="AR212" s="579">
        <f>SUM(AR208:AR211)</f>
        <v>79066041</v>
      </c>
      <c r="AS212" s="579"/>
      <c r="AT212" s="579">
        <f>SUM(AT208:AT211)</f>
        <v>119551910</v>
      </c>
      <c r="AU212" s="579"/>
      <c r="AV212" s="619">
        <v>205733427</v>
      </c>
      <c r="AW212" s="581"/>
      <c r="AX212" s="581">
        <v>222610433</v>
      </c>
      <c r="AY212" s="581"/>
      <c r="AZ212" s="581">
        <v>202174629</v>
      </c>
      <c r="BA212" s="665"/>
      <c r="BB212" s="581"/>
      <c r="BC212" s="581"/>
      <c r="BD212" s="581"/>
      <c r="BE212" s="664"/>
      <c r="BF212" s="581"/>
      <c r="BG212" s="581"/>
      <c r="BH212" s="581"/>
      <c r="BI212" s="664"/>
      <c r="BJ212" s="581"/>
      <c r="BK212" s="581">
        <f>D212+H212+J212+L212+N212+P212+R212+T212+V212+X212+Z212+AB212+AD212+AF212+AH212+AJ212+AL212+AN212+AP212+AR212+AT212+AV212+AX212+AZ212+BD212+BH212</f>
        <v>1436629292</v>
      </c>
      <c r="BL212" s="541"/>
      <c r="BM212" s="541"/>
      <c r="BN212" s="624"/>
      <c r="BO212" s="624"/>
      <c r="BP212" s="541"/>
      <c r="BQ212" s="541"/>
      <c r="BR212" s="541"/>
      <c r="BS212" s="541"/>
      <c r="BT212" s="541"/>
      <c r="BU212" s="541"/>
      <c r="BV212" s="541"/>
      <c r="BW212" s="541"/>
      <c r="BX212" s="541"/>
      <c r="BY212" s="541"/>
      <c r="BZ212" s="541"/>
      <c r="CA212" s="541"/>
      <c r="CB212" s="541"/>
      <c r="CC212" s="541"/>
      <c r="CD212" s="541"/>
      <c r="CE212" s="541"/>
      <c r="CF212" s="541"/>
      <c r="CG212" s="541"/>
      <c r="CH212" s="541"/>
      <c r="CI212" s="541"/>
      <c r="CJ212" s="541"/>
      <c r="CK212" s="541"/>
      <c r="CL212" s="541"/>
      <c r="CM212" s="541"/>
      <c r="CN212" s="541"/>
      <c r="CO212" s="541"/>
      <c r="CP212" s="541"/>
      <c r="CQ212" s="541"/>
      <c r="CR212" s="541"/>
      <c r="CS212" s="541"/>
      <c r="CT212" s="541"/>
      <c r="CU212" s="541"/>
      <c r="CV212" s="541"/>
      <c r="CW212" s="541"/>
      <c r="CX212" s="541"/>
      <c r="CY212" s="541"/>
      <c r="CZ212" s="541"/>
      <c r="DA212" s="541"/>
      <c r="DB212" s="541"/>
      <c r="DC212" s="541"/>
      <c r="DD212" s="541"/>
      <c r="DE212" s="541"/>
      <c r="DF212" s="541"/>
      <c r="DG212" s="541"/>
      <c r="DH212" s="541"/>
      <c r="DI212" s="541"/>
      <c r="DJ212" s="541"/>
      <c r="DK212" s="541"/>
      <c r="DL212" s="541"/>
      <c r="DM212" s="541"/>
      <c r="DN212" s="541"/>
      <c r="DO212" s="541"/>
      <c r="DP212" s="541"/>
      <c r="DQ212" s="541"/>
      <c r="DR212" s="541"/>
      <c r="DS212" s="541"/>
      <c r="DT212" s="541"/>
      <c r="DU212" s="541"/>
      <c r="DV212" s="541"/>
      <c r="DW212" s="541"/>
      <c r="DX212" s="541"/>
      <c r="DY212" s="541"/>
      <c r="DZ212" s="541"/>
      <c r="EA212" s="541"/>
      <c r="EB212" s="541"/>
      <c r="EC212" s="541"/>
      <c r="ED212" s="541"/>
      <c r="EE212" s="541"/>
      <c r="EF212" s="541"/>
      <c r="EG212" s="541"/>
      <c r="EH212" s="541"/>
      <c r="EI212" s="541"/>
      <c r="EJ212" s="541"/>
      <c r="EK212" s="541"/>
      <c r="EL212" s="541"/>
      <c r="EM212" s="541"/>
      <c r="EN212" s="541"/>
      <c r="EO212" s="541"/>
      <c r="EP212" s="541"/>
      <c r="EQ212" s="541"/>
      <c r="ER212" s="541"/>
      <c r="ES212" s="541"/>
      <c r="ET212" s="541"/>
      <c r="EU212" s="541"/>
      <c r="EV212" s="541"/>
      <c r="EW212" s="541"/>
      <c r="EX212" s="541"/>
      <c r="EY212" s="541"/>
      <c r="EZ212" s="541"/>
      <c r="FA212" s="541"/>
      <c r="FB212" s="541"/>
      <c r="FC212" s="541"/>
      <c r="FD212" s="541"/>
      <c r="FE212" s="541"/>
      <c r="FF212" s="541"/>
      <c r="FG212" s="541"/>
      <c r="FH212" s="541"/>
      <c r="FI212" s="541"/>
      <c r="FJ212" s="541"/>
      <c r="FK212" s="541"/>
      <c r="FL212" s="541"/>
      <c r="FM212" s="541"/>
      <c r="FN212" s="541"/>
      <c r="FO212" s="541"/>
      <c r="FP212" s="541"/>
      <c r="FQ212" s="541"/>
      <c r="FR212" s="541"/>
      <c r="FS212" s="541"/>
      <c r="FT212" s="541"/>
      <c r="FU212" s="541"/>
      <c r="FV212" s="541"/>
      <c r="FW212" s="541"/>
      <c r="FX212" s="541"/>
      <c r="FY212" s="541"/>
      <c r="FZ212" s="541"/>
      <c r="GA212" s="541"/>
      <c r="GB212" s="541"/>
      <c r="GC212" s="541"/>
      <c r="GD212" s="541"/>
      <c r="GE212" s="541"/>
      <c r="GF212" s="541"/>
      <c r="GG212" s="541"/>
      <c r="GH212" s="541"/>
      <c r="GI212" s="541"/>
      <c r="GJ212" s="541"/>
      <c r="GK212" s="541"/>
      <c r="GL212" s="541"/>
      <c r="GM212" s="541"/>
      <c r="GN212" s="541"/>
      <c r="GO212" s="541"/>
      <c r="GP212" s="541"/>
      <c r="GQ212" s="541"/>
      <c r="GR212" s="541"/>
      <c r="GS212" s="541"/>
      <c r="GT212" s="541"/>
      <c r="GU212" s="541"/>
      <c r="GV212" s="541"/>
      <c r="GW212" s="541"/>
      <c r="GX212" s="541"/>
      <c r="GY212" s="541"/>
      <c r="GZ212" s="541"/>
      <c r="HA212" s="541"/>
      <c r="HB212" s="541"/>
      <c r="HC212" s="541"/>
      <c r="HD212" s="541"/>
      <c r="HE212" s="541"/>
      <c r="HF212" s="541"/>
      <c r="HG212" s="541"/>
      <c r="HH212" s="541"/>
      <c r="HI212" s="541"/>
      <c r="HJ212" s="541"/>
      <c r="HK212" s="541"/>
      <c r="HL212" s="541"/>
      <c r="HM212" s="541"/>
      <c r="HN212" s="541"/>
      <c r="HO212" s="541"/>
      <c r="HP212" s="541"/>
      <c r="HQ212" s="541"/>
      <c r="HR212" s="541"/>
      <c r="HS212" s="541"/>
      <c r="HT212" s="541"/>
      <c r="HU212" s="541"/>
      <c r="HV212" s="541"/>
      <c r="HW212" s="541"/>
      <c r="HX212" s="541"/>
      <c r="HY212" s="541"/>
      <c r="HZ212" s="541"/>
      <c r="IA212" s="541"/>
      <c r="IB212" s="541"/>
      <c r="IC212" s="541"/>
      <c r="ID212" s="541"/>
      <c r="IE212" s="541"/>
      <c r="IF212" s="541"/>
      <c r="IG212" s="541"/>
      <c r="IH212" s="541"/>
      <c r="II212" s="541"/>
      <c r="IJ212" s="541"/>
      <c r="IK212" s="541"/>
      <c r="IL212" s="541"/>
      <c r="IM212" s="541"/>
      <c r="IN212" s="541"/>
      <c r="IO212" s="541"/>
      <c r="IP212" s="541"/>
      <c r="IQ212" s="541"/>
      <c r="IR212" s="541"/>
      <c r="IS212" s="541"/>
      <c r="IT212" s="541"/>
      <c r="IU212" s="541"/>
      <c r="IV212" s="541"/>
      <c r="IW212" s="541"/>
      <c r="IX212" s="541"/>
      <c r="IY212" s="541"/>
      <c r="IZ212" s="541"/>
      <c r="JA212" s="541"/>
      <c r="JB212" s="541"/>
      <c r="JC212" s="541"/>
      <c r="JD212" s="541"/>
      <c r="JE212" s="541"/>
      <c r="JF212" s="541"/>
      <c r="JG212" s="541"/>
      <c r="JH212" s="541"/>
      <c r="JI212" s="541"/>
      <c r="JJ212" s="541"/>
      <c r="JK212" s="541"/>
      <c r="JL212" s="541"/>
      <c r="JM212" s="541"/>
      <c r="JN212" s="541"/>
      <c r="JO212" s="541"/>
      <c r="JP212" s="541"/>
      <c r="JQ212" s="541"/>
      <c r="JR212" s="541"/>
      <c r="JS212" s="541"/>
      <c r="JT212" s="541"/>
      <c r="JU212" s="541"/>
      <c r="JV212" s="541"/>
      <c r="JW212" s="541"/>
      <c r="JX212" s="541"/>
      <c r="JY212" s="541"/>
      <c r="JZ212" s="541"/>
      <c r="KA212" s="541"/>
      <c r="KB212" s="541"/>
      <c r="KC212" s="541"/>
      <c r="KD212" s="541"/>
      <c r="KE212" s="541"/>
      <c r="KF212" s="541"/>
      <c r="KG212" s="541"/>
      <c r="KH212" s="541"/>
      <c r="KI212" s="541"/>
      <c r="KJ212" s="541"/>
      <c r="KK212" s="541"/>
      <c r="KL212" s="541"/>
      <c r="KM212" s="541"/>
      <c r="KN212" s="541"/>
      <c r="KO212" s="541"/>
      <c r="KP212" s="541"/>
      <c r="KQ212" s="541"/>
      <c r="KR212" s="541"/>
      <c r="KS212" s="541"/>
      <c r="KT212" s="541"/>
      <c r="KU212" s="541"/>
      <c r="KV212" s="541"/>
      <c r="KW212" s="541"/>
      <c r="KX212" s="541"/>
      <c r="KY212" s="541"/>
      <c r="KZ212" s="541"/>
      <c r="LA212" s="541"/>
      <c r="LB212" s="541"/>
      <c r="LC212" s="541"/>
      <c r="LD212" s="541"/>
      <c r="LE212" s="541"/>
      <c r="LF212" s="541"/>
      <c r="LG212" s="541"/>
      <c r="LH212" s="541"/>
      <c r="LI212" s="541"/>
      <c r="LJ212" s="541"/>
      <c r="LK212" s="541"/>
      <c r="LL212" s="541"/>
      <c r="LM212" s="541"/>
      <c r="LN212" s="541"/>
      <c r="LO212" s="541"/>
      <c r="LP212" s="541"/>
      <c r="LQ212" s="541"/>
      <c r="LR212" s="541"/>
      <c r="LS212" s="541"/>
      <c r="LT212" s="541"/>
      <c r="LU212" s="541"/>
      <c r="LV212" s="541"/>
      <c r="LW212" s="541"/>
      <c r="LX212" s="541"/>
      <c r="LY212" s="541"/>
      <c r="LZ212" s="541"/>
      <c r="MA212" s="541"/>
      <c r="MB212" s="541"/>
      <c r="MC212" s="541"/>
      <c r="MD212" s="541"/>
      <c r="ME212" s="541"/>
      <c r="MF212" s="541"/>
      <c r="MG212" s="541"/>
      <c r="MH212" s="541"/>
      <c r="MI212" s="541"/>
      <c r="MJ212" s="541"/>
      <c r="MK212" s="541"/>
      <c r="ML212" s="541"/>
      <c r="MM212" s="541"/>
      <c r="MN212" s="541"/>
      <c r="MO212" s="541"/>
      <c r="MP212" s="541"/>
      <c r="MQ212" s="541"/>
      <c r="MR212" s="541"/>
      <c r="MS212" s="541"/>
      <c r="MT212" s="541"/>
      <c r="MU212" s="541"/>
      <c r="MV212" s="541"/>
      <c r="MW212" s="541"/>
      <c r="MX212" s="541"/>
      <c r="MY212" s="541"/>
      <c r="MZ212" s="541"/>
      <c r="NA212" s="541"/>
      <c r="NB212" s="541"/>
      <c r="NC212" s="541"/>
      <c r="ND212" s="541"/>
      <c r="NE212" s="541"/>
      <c r="NF212" s="541"/>
      <c r="NG212" s="541"/>
      <c r="NH212" s="541"/>
      <c r="NI212" s="541"/>
      <c r="NJ212" s="541"/>
      <c r="NK212" s="541"/>
      <c r="NL212" s="541"/>
      <c r="NM212" s="541"/>
      <c r="NN212" s="541"/>
      <c r="NO212" s="541"/>
      <c r="NP212" s="541"/>
      <c r="NQ212" s="541"/>
      <c r="NR212" s="541"/>
      <c r="NS212" s="541"/>
      <c r="NT212" s="541"/>
      <c r="NU212" s="541"/>
      <c r="NV212" s="541"/>
      <c r="NW212" s="541"/>
      <c r="NX212" s="541"/>
      <c r="NY212" s="541"/>
      <c r="NZ212" s="541"/>
      <c r="OA212" s="541"/>
      <c r="OB212" s="541"/>
      <c r="OC212" s="541"/>
      <c r="OD212" s="541"/>
      <c r="OE212" s="541"/>
      <c r="OF212" s="541"/>
      <c r="OG212" s="541"/>
      <c r="OH212" s="541"/>
      <c r="OI212" s="541"/>
      <c r="OJ212" s="541"/>
      <c r="OK212" s="541"/>
      <c r="OL212" s="541"/>
      <c r="OM212" s="541"/>
      <c r="ON212" s="541"/>
      <c r="OO212" s="541"/>
      <c r="OP212" s="541"/>
      <c r="OQ212" s="541"/>
      <c r="OR212" s="541"/>
      <c r="OS212" s="541"/>
      <c r="OT212" s="541"/>
      <c r="OU212" s="541"/>
      <c r="OV212" s="541"/>
      <c r="OW212" s="541"/>
      <c r="OX212" s="541"/>
      <c r="OY212" s="541"/>
      <c r="OZ212" s="541"/>
      <c r="PA212" s="541"/>
      <c r="PB212" s="541"/>
      <c r="PC212" s="541"/>
      <c r="PD212" s="541"/>
      <c r="PE212" s="541"/>
      <c r="PF212" s="541"/>
      <c r="PG212" s="541"/>
      <c r="PH212" s="541"/>
      <c r="PI212" s="541"/>
      <c r="PJ212" s="541"/>
      <c r="PK212" s="541"/>
      <c r="PL212" s="541"/>
      <c r="PM212" s="541"/>
      <c r="PN212" s="541"/>
      <c r="PO212" s="541"/>
      <c r="PP212" s="541"/>
      <c r="PQ212" s="541"/>
      <c r="PR212" s="541"/>
      <c r="PS212" s="541"/>
      <c r="PT212" s="541"/>
      <c r="PU212" s="541"/>
      <c r="PV212" s="541"/>
      <c r="PW212" s="541"/>
      <c r="PX212" s="541"/>
      <c r="PY212" s="541"/>
      <c r="PZ212" s="541"/>
      <c r="QA212" s="541"/>
      <c r="QB212" s="541"/>
      <c r="QC212" s="541"/>
      <c r="QD212" s="541"/>
      <c r="QE212" s="541"/>
      <c r="QF212" s="541"/>
      <c r="QG212" s="541"/>
      <c r="QH212" s="541"/>
      <c r="QI212" s="541"/>
      <c r="QJ212" s="541"/>
      <c r="QK212" s="541"/>
      <c r="QL212" s="541"/>
      <c r="QM212" s="541"/>
      <c r="QN212" s="541"/>
      <c r="QO212" s="541"/>
      <c r="QP212" s="541"/>
      <c r="QQ212" s="541"/>
      <c r="QR212" s="541"/>
      <c r="QS212" s="541"/>
      <c r="QT212" s="541"/>
      <c r="QU212" s="541"/>
      <c r="QV212" s="541"/>
      <c r="QW212" s="541"/>
      <c r="QX212" s="541"/>
      <c r="QY212" s="541"/>
      <c r="QZ212" s="541"/>
      <c r="RA212" s="541"/>
      <c r="RB212" s="541"/>
      <c r="RC212" s="541"/>
      <c r="RD212" s="541"/>
      <c r="RE212" s="541"/>
      <c r="RF212" s="541"/>
      <c r="RG212" s="541"/>
      <c r="RH212" s="541"/>
      <c r="RI212" s="541"/>
      <c r="RJ212" s="541"/>
      <c r="RK212" s="541"/>
      <c r="RL212" s="541"/>
      <c r="RM212" s="541"/>
      <c r="RN212" s="541"/>
      <c r="RO212" s="541"/>
      <c r="RP212" s="541"/>
      <c r="RQ212" s="541"/>
      <c r="RR212" s="541"/>
      <c r="RS212" s="541"/>
      <c r="RT212" s="541"/>
      <c r="RU212" s="541"/>
      <c r="RV212" s="541"/>
      <c r="RW212" s="541"/>
      <c r="RX212" s="541"/>
      <c r="RY212" s="541"/>
      <c r="RZ212" s="541"/>
      <c r="SA212" s="541"/>
      <c r="SB212" s="541"/>
      <c r="SC212" s="541"/>
      <c r="SD212" s="541"/>
      <c r="SE212" s="541"/>
      <c r="SF212" s="541"/>
      <c r="SG212" s="541"/>
      <c r="SH212" s="541"/>
      <c r="SI212" s="541"/>
      <c r="SJ212" s="541"/>
      <c r="SK212" s="541"/>
      <c r="SL212" s="541"/>
      <c r="SM212" s="541"/>
      <c r="SN212" s="541"/>
      <c r="SO212" s="541"/>
      <c r="SP212" s="541"/>
      <c r="SQ212" s="541"/>
      <c r="SR212" s="541"/>
      <c r="SS212" s="541"/>
      <c r="ST212" s="541"/>
      <c r="SU212" s="541"/>
      <c r="SV212" s="541"/>
      <c r="SW212" s="541"/>
      <c r="SX212" s="541"/>
      <c r="SY212" s="541"/>
      <c r="SZ212" s="541"/>
      <c r="TA212" s="541"/>
      <c r="TB212" s="541"/>
      <c r="TC212" s="541"/>
      <c r="TD212" s="541"/>
      <c r="TE212" s="541"/>
      <c r="TF212" s="541"/>
      <c r="TG212" s="541"/>
      <c r="TH212" s="541"/>
      <c r="TI212" s="541"/>
      <c r="TJ212" s="541"/>
      <c r="TK212" s="541"/>
      <c r="TL212" s="541"/>
      <c r="TM212" s="541"/>
      <c r="TN212" s="541"/>
      <c r="TO212" s="541"/>
      <c r="TP212" s="541"/>
      <c r="TQ212" s="541"/>
      <c r="TR212" s="541"/>
      <c r="TS212" s="541"/>
      <c r="TT212" s="541"/>
      <c r="TU212" s="541"/>
      <c r="TV212" s="541"/>
      <c r="TW212" s="541"/>
      <c r="TX212" s="541"/>
      <c r="TY212" s="541"/>
      <c r="TZ212" s="541"/>
      <c r="UA212" s="541"/>
      <c r="UB212" s="541"/>
      <c r="UC212" s="541"/>
      <c r="UD212" s="541"/>
      <c r="UE212" s="541"/>
      <c r="UF212" s="541"/>
      <c r="UG212" s="541"/>
      <c r="UH212" s="541"/>
      <c r="UI212" s="541"/>
      <c r="UJ212" s="541"/>
      <c r="UK212" s="541"/>
      <c r="UL212" s="541"/>
      <c r="UM212" s="541"/>
      <c r="UN212" s="541"/>
      <c r="UO212" s="541"/>
      <c r="UP212" s="541"/>
      <c r="UQ212" s="541"/>
      <c r="UR212" s="541"/>
      <c r="US212" s="541"/>
      <c r="UT212" s="541"/>
      <c r="UU212" s="541"/>
      <c r="UV212" s="541"/>
      <c r="UW212" s="541"/>
      <c r="UX212" s="541"/>
      <c r="UY212" s="541"/>
      <c r="UZ212" s="541"/>
      <c r="VA212" s="541"/>
      <c r="VB212" s="541"/>
      <c r="VC212" s="541"/>
      <c r="VD212" s="541"/>
      <c r="VE212" s="541"/>
      <c r="VF212" s="541"/>
      <c r="VG212" s="541"/>
      <c r="VH212" s="541"/>
      <c r="VI212" s="541"/>
      <c r="VJ212" s="541"/>
      <c r="VK212" s="541"/>
      <c r="VL212" s="541"/>
      <c r="VM212" s="541"/>
      <c r="VN212" s="541"/>
      <c r="VO212" s="541"/>
      <c r="VP212" s="541"/>
      <c r="VQ212" s="541"/>
      <c r="VR212" s="541"/>
      <c r="VS212" s="541"/>
      <c r="VT212" s="541"/>
      <c r="VU212" s="541"/>
      <c r="VV212" s="541"/>
      <c r="VW212" s="541"/>
      <c r="VX212" s="541"/>
      <c r="VY212" s="541"/>
      <c r="VZ212" s="541"/>
      <c r="WA212" s="541"/>
      <c r="WB212" s="541"/>
      <c r="WC212" s="541"/>
      <c r="WD212" s="541"/>
      <c r="WE212" s="541"/>
      <c r="WF212" s="541"/>
      <c r="WG212" s="541"/>
      <c r="WH212" s="541"/>
      <c r="WI212" s="541"/>
      <c r="WJ212" s="541"/>
      <c r="WK212" s="541"/>
      <c r="WL212" s="541"/>
      <c r="WM212" s="541"/>
      <c r="WN212" s="541"/>
      <c r="WO212" s="541"/>
      <c r="WP212" s="541"/>
      <c r="WQ212" s="541"/>
      <c r="WR212" s="541"/>
      <c r="WS212" s="541"/>
      <c r="WT212" s="541"/>
      <c r="WU212" s="541"/>
      <c r="WV212" s="541"/>
      <c r="WW212" s="541"/>
      <c r="WX212" s="541"/>
      <c r="WY212" s="541"/>
      <c r="WZ212" s="541"/>
      <c r="XA212" s="541"/>
      <c r="XB212" s="541"/>
      <c r="XC212" s="541"/>
      <c r="XD212" s="541"/>
      <c r="XE212" s="541"/>
      <c r="XF212" s="541"/>
      <c r="XG212" s="541"/>
      <c r="XH212" s="541"/>
      <c r="XI212" s="541"/>
      <c r="XJ212" s="541"/>
      <c r="XK212" s="541"/>
      <c r="XL212" s="541"/>
      <c r="XM212" s="541"/>
      <c r="XN212" s="541"/>
      <c r="XO212" s="541"/>
      <c r="XP212" s="541"/>
      <c r="XQ212" s="541"/>
      <c r="XR212" s="541"/>
      <c r="XS212" s="541"/>
      <c r="XT212" s="541"/>
      <c r="XU212" s="541"/>
      <c r="XV212" s="541"/>
      <c r="XW212" s="541"/>
      <c r="XX212" s="541"/>
      <c r="XY212" s="541"/>
      <c r="XZ212" s="541"/>
      <c r="YA212" s="541"/>
      <c r="YB212" s="541"/>
      <c r="YC212" s="541"/>
      <c r="YD212" s="541"/>
      <c r="YE212" s="541"/>
      <c r="YF212" s="541"/>
      <c r="YG212" s="541"/>
      <c r="YH212" s="541"/>
      <c r="YI212" s="541"/>
      <c r="YJ212" s="541"/>
      <c r="YK212" s="541"/>
      <c r="YL212" s="541"/>
      <c r="YM212" s="541"/>
      <c r="YN212" s="541"/>
      <c r="YO212" s="541"/>
      <c r="YP212" s="541"/>
      <c r="YQ212" s="541"/>
      <c r="YR212" s="541"/>
      <c r="YS212" s="541"/>
      <c r="YT212" s="541"/>
      <c r="YU212" s="541"/>
      <c r="YV212" s="541"/>
      <c r="YW212" s="541"/>
      <c r="YX212" s="541"/>
      <c r="YY212" s="541"/>
      <c r="YZ212" s="541"/>
      <c r="ZA212" s="541"/>
      <c r="ZB212" s="541"/>
      <c r="ZC212" s="541"/>
      <c r="ZD212" s="541"/>
      <c r="ZE212" s="541"/>
      <c r="ZF212" s="541"/>
      <c r="ZG212" s="541"/>
      <c r="ZH212" s="541"/>
      <c r="ZI212" s="541"/>
      <c r="ZJ212" s="541"/>
      <c r="ZK212" s="541"/>
      <c r="ZL212" s="541"/>
      <c r="ZM212" s="541"/>
      <c r="ZN212" s="541"/>
      <c r="ZO212" s="541"/>
      <c r="ZP212" s="541"/>
      <c r="ZQ212" s="541"/>
      <c r="ZR212" s="541"/>
      <c r="ZS212" s="541"/>
      <c r="ZT212" s="541"/>
      <c r="ZU212" s="541"/>
      <c r="ZV212" s="541"/>
      <c r="ZW212" s="541"/>
      <c r="ZX212" s="541"/>
      <c r="ZY212" s="541"/>
      <c r="ZZ212" s="541"/>
      <c r="AAA212" s="541"/>
      <c r="AAB212" s="541"/>
      <c r="AAC212" s="541"/>
      <c r="AAD212" s="541"/>
      <c r="AAE212" s="541"/>
      <c r="AAF212" s="541"/>
      <c r="AAG212" s="541"/>
      <c r="AAH212" s="541"/>
      <c r="AAI212" s="541"/>
      <c r="AAJ212" s="541"/>
      <c r="AAK212" s="541"/>
      <c r="AAL212" s="541"/>
      <c r="AAM212" s="541"/>
      <c r="AAN212" s="541"/>
      <c r="AAO212" s="541"/>
      <c r="AAP212" s="541"/>
      <c r="AAQ212" s="541"/>
      <c r="AAR212" s="541"/>
      <c r="AAS212" s="541"/>
      <c r="AAT212" s="541"/>
      <c r="AAU212" s="541"/>
      <c r="AAV212" s="541"/>
      <c r="AAW212" s="541"/>
      <c r="AAX212" s="541"/>
      <c r="AAY212" s="541"/>
      <c r="AAZ212" s="541"/>
      <c r="ABA212" s="541"/>
      <c r="ABB212" s="541"/>
      <c r="ABC212" s="541"/>
      <c r="ABD212" s="541"/>
      <c r="ABE212" s="541"/>
      <c r="ABF212" s="541"/>
      <c r="ABG212" s="541"/>
      <c r="ABH212" s="541"/>
      <c r="ABI212" s="541"/>
      <c r="ABJ212" s="541"/>
      <c r="ABK212" s="541"/>
      <c r="ABL212" s="541"/>
      <c r="ABM212" s="541"/>
      <c r="ABN212" s="541"/>
      <c r="ABO212" s="541"/>
      <c r="ABP212" s="541"/>
      <c r="ABQ212" s="541"/>
      <c r="ABR212" s="541"/>
      <c r="ABS212" s="541"/>
      <c r="ABT212" s="541"/>
      <c r="ABU212" s="541"/>
      <c r="ABV212" s="541"/>
      <c r="ABW212" s="541"/>
      <c r="ABX212" s="541"/>
      <c r="ABY212" s="541"/>
      <c r="ABZ212" s="541"/>
      <c r="ACA212" s="541"/>
      <c r="ACB212" s="541"/>
      <c r="ACC212" s="541"/>
      <c r="ACD212" s="541"/>
      <c r="ACE212" s="541"/>
      <c r="ACF212" s="541"/>
      <c r="ACG212" s="541"/>
      <c r="ACH212" s="541"/>
      <c r="ACI212" s="541"/>
      <c r="ACJ212" s="541"/>
      <c r="ACK212" s="541"/>
      <c r="ACL212" s="541"/>
      <c r="ACM212" s="541"/>
      <c r="ACN212" s="541"/>
      <c r="ACO212" s="541"/>
      <c r="ACP212" s="541"/>
      <c r="ACQ212" s="541"/>
      <c r="ACR212" s="541"/>
      <c r="ACS212" s="541"/>
      <c r="ACT212" s="541"/>
      <c r="ACU212" s="541"/>
      <c r="ACV212" s="541"/>
      <c r="ACW212" s="541"/>
      <c r="ACX212" s="541"/>
      <c r="ACY212" s="541"/>
      <c r="ACZ212" s="541"/>
      <c r="ADA212" s="541"/>
      <c r="ADB212" s="541"/>
      <c r="ADC212" s="541"/>
      <c r="ADD212" s="541"/>
      <c r="ADE212" s="541"/>
      <c r="ADF212" s="541"/>
      <c r="ADG212" s="541"/>
      <c r="ADH212" s="541"/>
      <c r="ADI212" s="541"/>
      <c r="ADJ212" s="541"/>
      <c r="ADK212" s="541"/>
      <c r="ADL212" s="541"/>
      <c r="ADM212" s="541"/>
      <c r="ADN212" s="541"/>
      <c r="ADO212" s="541"/>
      <c r="ADP212" s="541"/>
      <c r="ADQ212" s="541"/>
      <c r="ADR212" s="541"/>
      <c r="ADS212" s="541"/>
      <c r="ADT212" s="541"/>
      <c r="ADU212" s="541"/>
      <c r="ADV212" s="541"/>
      <c r="ADW212" s="541"/>
      <c r="ADX212" s="541"/>
      <c r="ADY212" s="541"/>
      <c r="ADZ212" s="541"/>
      <c r="AEA212" s="541"/>
      <c r="AEB212" s="541"/>
      <c r="AEC212" s="541"/>
      <c r="AED212" s="541"/>
      <c r="AEE212" s="541"/>
      <c r="AEF212" s="541"/>
      <c r="AEG212" s="541"/>
      <c r="AEH212" s="541"/>
      <c r="AEI212" s="541"/>
      <c r="AEJ212" s="541"/>
      <c r="AEK212" s="541"/>
      <c r="AEL212" s="541"/>
      <c r="AEM212" s="541"/>
      <c r="AEN212" s="541"/>
      <c r="AEO212" s="541"/>
      <c r="AEP212" s="541"/>
      <c r="AEQ212" s="541"/>
      <c r="AER212" s="541"/>
      <c r="AES212" s="541"/>
      <c r="AET212" s="541"/>
      <c r="AEU212" s="541"/>
      <c r="AEV212" s="541"/>
      <c r="AEW212" s="541"/>
      <c r="AEX212" s="541"/>
      <c r="AEY212" s="541"/>
      <c r="AEZ212" s="541"/>
      <c r="AFA212" s="541"/>
      <c r="AFB212" s="541"/>
      <c r="AFC212" s="541"/>
      <c r="AFD212" s="541"/>
      <c r="AFE212" s="541"/>
      <c r="AFF212" s="541"/>
      <c r="AFG212" s="541"/>
      <c r="AFH212" s="541"/>
      <c r="AFI212" s="541"/>
      <c r="AFJ212" s="541"/>
      <c r="AFK212" s="541"/>
      <c r="AFL212" s="541"/>
      <c r="AFM212" s="541"/>
      <c r="AFN212" s="541"/>
      <c r="AFO212" s="541"/>
      <c r="AFP212" s="541"/>
      <c r="AFQ212" s="541"/>
      <c r="AFR212" s="541"/>
      <c r="AFS212" s="541"/>
      <c r="AFT212" s="541"/>
      <c r="AFU212" s="541"/>
      <c r="AFV212" s="541"/>
      <c r="AFW212" s="541"/>
      <c r="AFX212" s="541"/>
      <c r="AFY212" s="541"/>
      <c r="AFZ212" s="541"/>
      <c r="AGA212" s="541"/>
      <c r="AGB212" s="541"/>
      <c r="AGC212" s="541"/>
      <c r="AGD212" s="541"/>
      <c r="AGE212" s="541"/>
      <c r="AGF212" s="541"/>
      <c r="AGG212" s="541"/>
      <c r="AGH212" s="541"/>
      <c r="AGI212" s="541"/>
      <c r="AGJ212" s="541"/>
      <c r="AGK212" s="541"/>
      <c r="AGL212" s="541"/>
      <c r="AGM212" s="541"/>
      <c r="AGN212" s="541"/>
      <c r="AGO212" s="541"/>
      <c r="AGP212" s="541"/>
      <c r="AGQ212" s="541"/>
      <c r="AGR212" s="541"/>
      <c r="AGS212" s="541"/>
      <c r="AGT212" s="541"/>
      <c r="AGU212" s="541"/>
      <c r="AGV212" s="541"/>
      <c r="AGW212" s="541"/>
      <c r="AGX212" s="541"/>
      <c r="AGY212" s="541"/>
      <c r="AGZ212" s="541"/>
      <c r="AHA212" s="541"/>
      <c r="AHB212" s="541"/>
      <c r="AHC212" s="541"/>
      <c r="AHD212" s="541"/>
      <c r="AHE212" s="541"/>
      <c r="AHF212" s="541"/>
      <c r="AHG212" s="541"/>
      <c r="AHH212" s="541"/>
      <c r="AHI212" s="541"/>
      <c r="AHJ212" s="541"/>
      <c r="AHK212" s="541"/>
      <c r="AHL212" s="541"/>
      <c r="AHM212" s="541"/>
      <c r="AHN212" s="541"/>
      <c r="AHO212" s="541"/>
      <c r="AHP212" s="541"/>
      <c r="AHQ212" s="541"/>
      <c r="AHR212" s="541"/>
      <c r="AHS212" s="541"/>
      <c r="AHT212" s="541"/>
      <c r="AHU212" s="541"/>
      <c r="AHV212" s="541"/>
      <c r="AHW212" s="541"/>
      <c r="AHX212" s="541"/>
      <c r="AHY212" s="541"/>
      <c r="AHZ212" s="541"/>
      <c r="AIA212" s="541"/>
      <c r="AIB212" s="541"/>
      <c r="AIC212" s="541"/>
      <c r="AID212" s="541"/>
      <c r="AIE212" s="541"/>
      <c r="AIF212" s="541"/>
      <c r="AIG212" s="541"/>
      <c r="AIH212" s="541"/>
      <c r="AII212" s="541"/>
      <c r="AIJ212" s="541"/>
      <c r="AIK212" s="541"/>
      <c r="AIL212" s="541"/>
      <c r="AIM212" s="541"/>
      <c r="AIN212" s="541"/>
      <c r="AIO212" s="541"/>
      <c r="AIP212" s="541"/>
      <c r="AIQ212" s="541"/>
      <c r="AIR212" s="541"/>
      <c r="AIS212" s="541"/>
      <c r="AIT212" s="541"/>
      <c r="AIU212" s="541"/>
      <c r="AIV212" s="541"/>
      <c r="AIW212" s="541"/>
      <c r="AIX212" s="541"/>
      <c r="AIY212" s="541"/>
      <c r="AIZ212" s="541"/>
      <c r="AJA212" s="541"/>
      <c r="AJB212" s="541"/>
      <c r="AJC212" s="541"/>
      <c r="AJD212" s="541"/>
      <c r="AJE212" s="541"/>
      <c r="AJF212" s="541"/>
      <c r="AJG212" s="541"/>
      <c r="AJH212" s="541"/>
      <c r="AJI212" s="541"/>
      <c r="AJJ212" s="541"/>
      <c r="AJK212" s="541"/>
      <c r="AJL212" s="541"/>
      <c r="AJM212" s="541"/>
      <c r="AJN212" s="541"/>
      <c r="AJO212" s="541"/>
      <c r="AJP212" s="541"/>
      <c r="AJQ212" s="541"/>
      <c r="AJR212" s="541"/>
      <c r="AJS212" s="541"/>
      <c r="AJT212" s="541"/>
      <c r="AJU212" s="541"/>
      <c r="AJV212" s="541"/>
      <c r="AJW212" s="541"/>
      <c r="AJX212" s="541"/>
      <c r="AJY212" s="541"/>
      <c r="AJZ212" s="541"/>
      <c r="AKA212" s="541"/>
      <c r="AKB212" s="541"/>
      <c r="AKC212" s="541"/>
      <c r="AKD212" s="541"/>
      <c r="AKE212" s="541"/>
      <c r="AKF212" s="541"/>
      <c r="AKG212" s="541"/>
      <c r="AKH212" s="541"/>
      <c r="AKI212" s="541"/>
      <c r="AKJ212" s="541"/>
      <c r="AKK212" s="541"/>
      <c r="AKL212" s="541"/>
      <c r="AKM212" s="541"/>
      <c r="AKN212" s="541"/>
      <c r="AKO212" s="541"/>
      <c r="AKP212" s="541"/>
      <c r="AKQ212" s="541"/>
      <c r="AKR212" s="541"/>
      <c r="AKS212" s="541"/>
      <c r="AKT212" s="541"/>
      <c r="AKU212" s="541"/>
      <c r="AKV212" s="541"/>
      <c r="AKW212" s="541"/>
      <c r="AKX212" s="541"/>
      <c r="AKY212" s="541"/>
      <c r="AKZ212" s="541"/>
      <c r="ALA212" s="541"/>
      <c r="ALB212" s="541"/>
      <c r="ALC212" s="541"/>
      <c r="ALD212" s="541"/>
      <c r="ALE212" s="541"/>
      <c r="ALF212" s="541"/>
      <c r="ALG212" s="541"/>
      <c r="ALH212" s="541"/>
      <c r="ALI212" s="541"/>
      <c r="ALJ212" s="541"/>
      <c r="ALK212" s="541"/>
      <c r="ALL212" s="541"/>
      <c r="ALM212" s="541"/>
      <c r="ALN212" s="541"/>
      <c r="ALO212" s="541"/>
      <c r="ALP212" s="541"/>
      <c r="ALQ212" s="541"/>
      <c r="ALR212" s="541"/>
      <c r="ALS212" s="541"/>
      <c r="ALT212" s="541"/>
      <c r="ALU212" s="541"/>
      <c r="ALV212" s="541"/>
      <c r="ALW212" s="541"/>
      <c r="ALX212" s="541"/>
      <c r="ALY212" s="541"/>
      <c r="ALZ212" s="541"/>
      <c r="AMA212" s="541"/>
      <c r="AMB212" s="541"/>
      <c r="AMC212" s="541"/>
      <c r="AMD212" s="541"/>
      <c r="AME212" s="541"/>
      <c r="AMF212" s="541"/>
      <c r="AMG212" s="541"/>
      <c r="AMH212" s="541"/>
      <c r="AMI212" s="541"/>
      <c r="AMJ212" s="541"/>
      <c r="AMK212" s="541"/>
      <c r="AML212" s="541"/>
      <c r="AMM212" s="541"/>
      <c r="AMN212" s="541"/>
      <c r="AMO212" s="541"/>
      <c r="AMP212" s="541"/>
      <c r="AMQ212" s="541"/>
      <c r="AMR212" s="541"/>
      <c r="AMS212" s="541"/>
      <c r="AMT212" s="541"/>
      <c r="AMU212" s="541"/>
      <c r="AMV212" s="541"/>
      <c r="AMW212" s="541"/>
      <c r="AMX212" s="541"/>
      <c r="AMY212" s="541"/>
      <c r="AMZ212" s="541"/>
      <c r="ANA212" s="541"/>
      <c r="ANB212" s="541"/>
      <c r="ANC212" s="541"/>
      <c r="AND212" s="541"/>
      <c r="ANE212" s="541"/>
      <c r="ANF212" s="541"/>
      <c r="ANG212" s="541"/>
      <c r="ANH212" s="541"/>
      <c r="ANI212" s="541"/>
      <c r="ANJ212" s="541"/>
      <c r="ANK212" s="541"/>
      <c r="ANL212" s="541"/>
      <c r="ANM212" s="541"/>
      <c r="ANN212" s="541"/>
      <c r="ANO212" s="541"/>
      <c r="ANP212" s="541"/>
      <c r="ANQ212" s="541"/>
      <c r="ANR212" s="541"/>
      <c r="ANS212" s="541"/>
      <c r="ANT212" s="541"/>
      <c r="ANU212" s="541"/>
      <c r="ANV212" s="541"/>
      <c r="ANW212" s="541"/>
      <c r="ANX212" s="541"/>
      <c r="ANY212" s="541"/>
      <c r="ANZ212" s="541"/>
      <c r="AOA212" s="541"/>
      <c r="AOB212" s="541"/>
      <c r="AOC212" s="541"/>
      <c r="AOD212" s="541"/>
      <c r="AOE212" s="541"/>
      <c r="AOF212" s="541"/>
      <c r="AOG212" s="541"/>
      <c r="AOH212" s="541"/>
      <c r="AOI212" s="541"/>
      <c r="AOJ212" s="541"/>
      <c r="AOK212" s="541"/>
      <c r="AOL212" s="541"/>
      <c r="AOM212" s="541"/>
      <c r="AON212" s="541"/>
      <c r="AOO212" s="541"/>
      <c r="AOP212" s="541"/>
      <c r="AOQ212" s="541"/>
      <c r="AOR212" s="541"/>
      <c r="AOS212" s="541"/>
      <c r="AOT212" s="541"/>
      <c r="AOU212" s="541"/>
      <c r="AOV212" s="541"/>
      <c r="AOW212" s="541"/>
      <c r="AOX212" s="541"/>
      <c r="AOY212" s="541"/>
      <c r="AOZ212" s="541"/>
      <c r="APA212" s="541"/>
      <c r="APB212" s="541"/>
      <c r="APC212" s="541"/>
      <c r="APD212" s="541"/>
      <c r="APE212" s="541"/>
      <c r="APF212" s="541"/>
      <c r="APG212" s="541"/>
      <c r="APH212" s="541"/>
      <c r="API212" s="541"/>
      <c r="APJ212" s="541"/>
      <c r="APK212" s="541"/>
      <c r="APL212" s="541"/>
      <c r="APM212" s="541"/>
      <c r="APN212" s="541"/>
      <c r="APO212" s="541"/>
      <c r="APP212" s="541"/>
      <c r="APQ212" s="541"/>
      <c r="APR212" s="541"/>
      <c r="APS212" s="541"/>
      <c r="APT212" s="541"/>
      <c r="APU212" s="541"/>
      <c r="APV212" s="541"/>
      <c r="APW212" s="541"/>
      <c r="APX212" s="541"/>
      <c r="APY212" s="541"/>
      <c r="APZ212" s="541"/>
      <c r="AQA212" s="541"/>
      <c r="AQB212" s="541"/>
      <c r="AQC212" s="541"/>
      <c r="AQD212" s="541"/>
      <c r="AQE212" s="541"/>
      <c r="AQF212" s="541"/>
      <c r="AQG212" s="541"/>
      <c r="AQH212" s="541"/>
      <c r="AQI212" s="541"/>
      <c r="AQJ212" s="541"/>
      <c r="AQK212" s="541"/>
      <c r="AQL212" s="541"/>
      <c r="AQM212" s="541"/>
      <c r="AQN212" s="541"/>
      <c r="AQO212" s="541"/>
      <c r="AQP212" s="541"/>
      <c r="AQQ212" s="541"/>
      <c r="AQR212" s="541"/>
      <c r="AQS212" s="541"/>
      <c r="AQT212" s="541"/>
      <c r="AQU212" s="541"/>
      <c r="AQV212" s="541"/>
      <c r="AQW212" s="541"/>
      <c r="AQX212" s="541"/>
      <c r="AQY212" s="541"/>
      <c r="AQZ212" s="541"/>
      <c r="ARA212" s="541"/>
      <c r="ARB212" s="541"/>
      <c r="ARC212" s="541"/>
      <c r="ARD212" s="541"/>
      <c r="ARE212" s="541"/>
      <c r="ARF212" s="541"/>
      <c r="ARG212" s="541"/>
      <c r="ARH212" s="541"/>
      <c r="ARI212" s="541"/>
      <c r="ARJ212" s="541"/>
      <c r="ARK212" s="541"/>
      <c r="ARL212" s="541"/>
      <c r="ARM212" s="541"/>
      <c r="ARN212" s="541"/>
      <c r="ARO212" s="541"/>
      <c r="ARP212" s="541"/>
      <c r="ARQ212" s="541"/>
      <c r="ARR212" s="541"/>
      <c r="ARS212" s="541"/>
      <c r="ART212" s="541"/>
      <c r="ARU212" s="541"/>
    </row>
    <row r="213" spans="1:1165">
      <c r="A213" s="596"/>
      <c r="B213" s="430"/>
      <c r="C213" s="684"/>
      <c r="D213" s="608"/>
      <c r="E213" s="608"/>
      <c r="F213" s="608"/>
      <c r="G213" s="608"/>
      <c r="H213" s="608"/>
      <c r="I213" s="608"/>
      <c r="J213" s="608"/>
      <c r="K213" s="608"/>
      <c r="L213" s="608"/>
      <c r="M213" s="608"/>
      <c r="N213" s="608"/>
      <c r="O213" s="608"/>
      <c r="P213" s="608"/>
      <c r="Q213" s="608"/>
      <c r="R213" s="608"/>
      <c r="S213" s="608"/>
      <c r="T213" s="608"/>
      <c r="U213" s="586"/>
      <c r="V213" s="586"/>
      <c r="W213" s="586"/>
      <c r="X213" s="608"/>
      <c r="Y213" s="608"/>
      <c r="Z213" s="608"/>
      <c r="AA213" s="586"/>
      <c r="AB213" s="623"/>
      <c r="AC213" s="595"/>
      <c r="AD213" s="595"/>
      <c r="AE213" s="586"/>
      <c r="AF213" s="586"/>
      <c r="AG213" s="586"/>
      <c r="AH213" s="586"/>
      <c r="AI213" s="586"/>
      <c r="AJ213" s="586"/>
      <c r="AK213" s="673"/>
      <c r="AL213" s="673"/>
      <c r="AM213" s="676"/>
      <c r="AN213" s="676"/>
      <c r="AO213" s="673"/>
      <c r="AP213" s="586"/>
      <c r="AQ213" s="586"/>
      <c r="AR213" s="586"/>
      <c r="AS213" s="586"/>
      <c r="AT213" s="586"/>
      <c r="AU213" s="586"/>
      <c r="AV213" s="623"/>
      <c r="AW213" s="650"/>
      <c r="AX213" s="623"/>
      <c r="AY213" s="648"/>
      <c r="AZ213" s="623"/>
      <c r="BA213" s="686"/>
      <c r="BB213" s="592"/>
      <c r="BC213" s="592"/>
      <c r="BD213" s="623"/>
      <c r="BE213" s="592"/>
      <c r="BF213" s="592"/>
      <c r="BG213" s="592"/>
      <c r="BH213" s="623"/>
      <c r="BI213" s="686"/>
      <c r="BJ213" s="592"/>
      <c r="BK213" s="608"/>
      <c r="BL213" s="541"/>
      <c r="BN213" s="624"/>
      <c r="BO213" s="624"/>
    </row>
    <row r="214" spans="1:1165">
      <c r="A214" s="591" t="s">
        <v>324</v>
      </c>
      <c r="B214" s="430"/>
      <c r="C214" s="684"/>
      <c r="D214" s="608"/>
      <c r="E214" s="608"/>
      <c r="F214" s="608"/>
      <c r="G214" s="608"/>
      <c r="H214" s="608"/>
      <c r="I214" s="608"/>
      <c r="J214" s="608"/>
      <c r="K214" s="608"/>
      <c r="L214" s="608"/>
      <c r="M214" s="608"/>
      <c r="N214" s="608"/>
      <c r="O214" s="608"/>
      <c r="P214" s="608"/>
      <c r="Q214" s="608"/>
      <c r="R214" s="608"/>
      <c r="S214" s="608"/>
      <c r="T214" s="608"/>
      <c r="U214" s="586"/>
      <c r="V214" s="586"/>
      <c r="W214" s="586"/>
      <c r="X214" s="608"/>
      <c r="Y214" s="608"/>
      <c r="Z214" s="608"/>
      <c r="AA214" s="586"/>
      <c r="AB214" s="623"/>
      <c r="AC214" s="595"/>
      <c r="AD214" s="595"/>
      <c r="AE214" s="586"/>
      <c r="AF214" s="586"/>
      <c r="AG214" s="586"/>
      <c r="AH214" s="586"/>
      <c r="AI214" s="586"/>
      <c r="AJ214" s="586"/>
      <c r="AK214" s="673"/>
      <c r="AL214" s="673"/>
      <c r="AM214" s="676"/>
      <c r="AN214" s="676"/>
      <c r="AO214" s="673"/>
      <c r="AP214" s="586"/>
      <c r="AQ214" s="586"/>
      <c r="AR214" s="586"/>
      <c r="AS214" s="586"/>
      <c r="AT214" s="586"/>
      <c r="AU214" s="586"/>
      <c r="AV214" s="623"/>
      <c r="AW214" s="650"/>
      <c r="AX214" s="650"/>
      <c r="AY214" s="648"/>
      <c r="AZ214" s="648"/>
      <c r="BA214" s="686"/>
      <c r="BB214" s="650"/>
      <c r="BC214" s="650"/>
      <c r="BD214" s="650"/>
      <c r="BE214" s="650"/>
      <c r="BF214" s="650"/>
      <c r="BG214" s="650"/>
      <c r="BH214" s="650"/>
      <c r="BI214" s="686"/>
      <c r="BJ214" s="650"/>
      <c r="BK214" s="650"/>
      <c r="BL214" s="541"/>
      <c r="BN214" s="624"/>
      <c r="BO214" s="624"/>
    </row>
    <row r="215" spans="1:1165">
      <c r="A215" s="593" t="s">
        <v>325</v>
      </c>
      <c r="B215" s="594" t="s">
        <v>110</v>
      </c>
      <c r="C215" s="684">
        <v>172</v>
      </c>
      <c r="D215" s="608">
        <v>144532</v>
      </c>
      <c r="E215" s="595">
        <v>0</v>
      </c>
      <c r="F215" s="595">
        <v>0</v>
      </c>
      <c r="G215" s="595">
        <v>0</v>
      </c>
      <c r="H215" s="595">
        <v>0</v>
      </c>
      <c r="I215" s="595">
        <v>0</v>
      </c>
      <c r="J215" s="595">
        <v>0</v>
      </c>
      <c r="K215" s="595">
        <v>0</v>
      </c>
      <c r="L215" s="595">
        <v>0</v>
      </c>
      <c r="M215" s="595">
        <v>0</v>
      </c>
      <c r="N215" s="595">
        <v>0</v>
      </c>
      <c r="O215" s="595">
        <v>0</v>
      </c>
      <c r="P215" s="595">
        <v>0</v>
      </c>
      <c r="Q215" s="595">
        <v>0</v>
      </c>
      <c r="R215" s="595">
        <v>0</v>
      </c>
      <c r="S215" s="595">
        <v>0</v>
      </c>
      <c r="T215" s="595">
        <v>0</v>
      </c>
      <c r="U215" s="595">
        <v>0</v>
      </c>
      <c r="V215" s="595">
        <v>0</v>
      </c>
      <c r="W215" s="595">
        <v>0</v>
      </c>
      <c r="X215" s="595">
        <v>0</v>
      </c>
      <c r="Y215" s="595">
        <v>0</v>
      </c>
      <c r="Z215" s="595">
        <v>0</v>
      </c>
      <c r="AA215" s="595">
        <v>0</v>
      </c>
      <c r="AB215" s="595">
        <v>0</v>
      </c>
      <c r="AC215" s="595">
        <v>0</v>
      </c>
      <c r="AD215" s="595">
        <v>0</v>
      </c>
      <c r="AE215" s="595">
        <v>0</v>
      </c>
      <c r="AF215" s="595">
        <v>0</v>
      </c>
      <c r="AG215" s="595">
        <v>0</v>
      </c>
      <c r="AH215" s="595">
        <v>0</v>
      </c>
      <c r="AI215" s="595">
        <v>0</v>
      </c>
      <c r="AJ215" s="595">
        <v>0</v>
      </c>
      <c r="AK215" s="595">
        <v>0</v>
      </c>
      <c r="AL215" s="595">
        <v>0</v>
      </c>
      <c r="AM215" s="595">
        <v>0</v>
      </c>
      <c r="AN215" s="595">
        <v>0</v>
      </c>
      <c r="AO215" s="595">
        <v>0</v>
      </c>
      <c r="AP215" s="595">
        <v>0</v>
      </c>
      <c r="AQ215" s="595">
        <v>0</v>
      </c>
      <c r="AR215" s="595">
        <v>0</v>
      </c>
      <c r="AS215" s="595">
        <v>0</v>
      </c>
      <c r="AT215" s="595">
        <v>0</v>
      </c>
      <c r="AU215" s="595">
        <v>0</v>
      </c>
      <c r="AV215" s="595">
        <v>0</v>
      </c>
      <c r="AW215" s="608">
        <v>0</v>
      </c>
      <c r="AX215" s="608">
        <v>0</v>
      </c>
      <c r="AY215" s="604">
        <v>0</v>
      </c>
      <c r="AZ215" s="604">
        <v>0</v>
      </c>
      <c r="BA215" s="604"/>
      <c r="BB215" s="604"/>
      <c r="BC215" s="604"/>
      <c r="BD215" s="604"/>
      <c r="BE215" s="604"/>
      <c r="BF215" s="604"/>
      <c r="BG215" s="604"/>
      <c r="BH215" s="604"/>
      <c r="BI215" s="430"/>
      <c r="BJ215" s="604">
        <f t="shared" ref="BJ215:BJ217" si="31">C215+G215+I215+K215+M215+O215+Q215+S215+U215+W215+Y215+AA215+AC215+AE215+AG215+AI215+AK215+AM215+AO215+AQ215+AS215+AU215+AW215+AY215+BB215+BF215</f>
        <v>172</v>
      </c>
      <c r="BK215" s="595">
        <f>D215+H215+J215+L215+N215+P215+R215+T215+V215+X215+Z215+AB215+AD215+AF215+AH215+AJ215+AL215+AN215+AP215+AR215+AT215+AV215+AX215+AZ215+BD215+BH215</f>
        <v>144532</v>
      </c>
      <c r="BL215" s="541"/>
      <c r="BN215" s="624"/>
      <c r="BO215" s="624"/>
    </row>
    <row r="216" spans="1:1165">
      <c r="A216" s="593" t="s">
        <v>326</v>
      </c>
      <c r="B216" s="594" t="s">
        <v>110</v>
      </c>
      <c r="C216" s="684">
        <v>310</v>
      </c>
      <c r="D216" s="608">
        <v>125810</v>
      </c>
      <c r="E216" s="595">
        <v>0</v>
      </c>
      <c r="F216" s="595">
        <v>0</v>
      </c>
      <c r="G216" s="595">
        <v>0</v>
      </c>
      <c r="H216" s="595">
        <v>0</v>
      </c>
      <c r="I216" s="595">
        <v>0</v>
      </c>
      <c r="J216" s="595">
        <v>0</v>
      </c>
      <c r="K216" s="595">
        <v>0</v>
      </c>
      <c r="L216" s="595">
        <v>0</v>
      </c>
      <c r="M216" s="595">
        <v>0</v>
      </c>
      <c r="N216" s="595">
        <v>0</v>
      </c>
      <c r="O216" s="595">
        <v>0</v>
      </c>
      <c r="P216" s="595">
        <v>0</v>
      </c>
      <c r="Q216" s="595">
        <v>0</v>
      </c>
      <c r="R216" s="595">
        <v>0</v>
      </c>
      <c r="S216" s="595">
        <v>0</v>
      </c>
      <c r="T216" s="595">
        <v>0</v>
      </c>
      <c r="U216" s="595">
        <v>0</v>
      </c>
      <c r="V216" s="595">
        <v>0</v>
      </c>
      <c r="W216" s="595">
        <v>0</v>
      </c>
      <c r="X216" s="595">
        <v>0</v>
      </c>
      <c r="Y216" s="595">
        <v>0</v>
      </c>
      <c r="Z216" s="595">
        <v>0</v>
      </c>
      <c r="AA216" s="595">
        <v>0</v>
      </c>
      <c r="AB216" s="595">
        <v>0</v>
      </c>
      <c r="AC216" s="595">
        <v>0</v>
      </c>
      <c r="AD216" s="595">
        <v>0</v>
      </c>
      <c r="AE216" s="595">
        <v>0</v>
      </c>
      <c r="AF216" s="595">
        <v>0</v>
      </c>
      <c r="AG216" s="595">
        <v>0</v>
      </c>
      <c r="AH216" s="595">
        <v>0</v>
      </c>
      <c r="AI216" s="595">
        <v>0</v>
      </c>
      <c r="AJ216" s="595">
        <v>0</v>
      </c>
      <c r="AK216" s="595">
        <v>0</v>
      </c>
      <c r="AL216" s="595">
        <v>0</v>
      </c>
      <c r="AM216" s="595">
        <v>0</v>
      </c>
      <c r="AN216" s="595">
        <v>0</v>
      </c>
      <c r="AO216" s="595">
        <v>0</v>
      </c>
      <c r="AP216" s="595">
        <v>0</v>
      </c>
      <c r="AQ216" s="595">
        <v>0</v>
      </c>
      <c r="AR216" s="595">
        <v>0</v>
      </c>
      <c r="AS216" s="595">
        <v>0</v>
      </c>
      <c r="AT216" s="595">
        <v>0</v>
      </c>
      <c r="AU216" s="595">
        <v>0</v>
      </c>
      <c r="AV216" s="595">
        <v>0</v>
      </c>
      <c r="AW216" s="608">
        <v>0</v>
      </c>
      <c r="AX216" s="608">
        <v>0</v>
      </c>
      <c r="AY216" s="604">
        <v>0</v>
      </c>
      <c r="AZ216" s="604">
        <v>0</v>
      </c>
      <c r="BA216" s="604"/>
      <c r="BB216" s="604"/>
      <c r="BC216" s="604"/>
      <c r="BD216" s="604"/>
      <c r="BE216" s="604"/>
      <c r="BF216" s="604"/>
      <c r="BG216" s="604"/>
      <c r="BH216" s="604"/>
      <c r="BI216" s="430"/>
      <c r="BJ216" s="604">
        <f t="shared" si="31"/>
        <v>310</v>
      </c>
      <c r="BK216" s="595">
        <f>D216+H216+J216+L216+N216+P216+R216+T216+V216+X216+Z216+AB216+AD216+AF216+AH216+AJ216+AL216+AN216+AP216+AR216+AT216+AV216+AX216+AZ216+BD216+BH216</f>
        <v>125810</v>
      </c>
      <c r="BL216" s="541"/>
      <c r="BN216" s="624"/>
      <c r="BO216" s="624"/>
    </row>
    <row r="217" spans="1:1165">
      <c r="A217" s="596" t="s">
        <v>327</v>
      </c>
      <c r="B217" s="430"/>
      <c r="C217" s="684">
        <f t="shared" ref="C217:AV217" si="32">SUM(C215:C216)</f>
        <v>482</v>
      </c>
      <c r="D217" s="608">
        <f t="shared" si="32"/>
        <v>270342</v>
      </c>
      <c r="E217" s="608">
        <f t="shared" si="32"/>
        <v>0</v>
      </c>
      <c r="F217" s="608">
        <f t="shared" si="32"/>
        <v>0</v>
      </c>
      <c r="G217" s="608">
        <f t="shared" si="32"/>
        <v>0</v>
      </c>
      <c r="H217" s="608">
        <f t="shared" si="32"/>
        <v>0</v>
      </c>
      <c r="I217" s="608">
        <f t="shared" si="32"/>
        <v>0</v>
      </c>
      <c r="J217" s="608">
        <f t="shared" si="32"/>
        <v>0</v>
      </c>
      <c r="K217" s="608">
        <f t="shared" si="32"/>
        <v>0</v>
      </c>
      <c r="L217" s="608">
        <f t="shared" si="32"/>
        <v>0</v>
      </c>
      <c r="M217" s="608">
        <f t="shared" si="32"/>
        <v>0</v>
      </c>
      <c r="N217" s="608">
        <f t="shared" si="32"/>
        <v>0</v>
      </c>
      <c r="O217" s="608">
        <f t="shared" si="32"/>
        <v>0</v>
      </c>
      <c r="P217" s="608">
        <f t="shared" si="32"/>
        <v>0</v>
      </c>
      <c r="Q217" s="608">
        <f t="shared" si="32"/>
        <v>0</v>
      </c>
      <c r="R217" s="608">
        <f t="shared" si="32"/>
        <v>0</v>
      </c>
      <c r="S217" s="608">
        <f t="shared" si="32"/>
        <v>0</v>
      </c>
      <c r="T217" s="608">
        <f t="shared" si="32"/>
        <v>0</v>
      </c>
      <c r="U217" s="608">
        <f t="shared" si="32"/>
        <v>0</v>
      </c>
      <c r="V217" s="608">
        <f t="shared" si="32"/>
        <v>0</v>
      </c>
      <c r="W217" s="608">
        <f t="shared" si="32"/>
        <v>0</v>
      </c>
      <c r="X217" s="608">
        <f t="shared" si="32"/>
        <v>0</v>
      </c>
      <c r="Y217" s="608">
        <f t="shared" si="32"/>
        <v>0</v>
      </c>
      <c r="Z217" s="608">
        <f t="shared" si="32"/>
        <v>0</v>
      </c>
      <c r="AA217" s="608">
        <f t="shared" si="32"/>
        <v>0</v>
      </c>
      <c r="AB217" s="608">
        <f t="shared" si="32"/>
        <v>0</v>
      </c>
      <c r="AC217" s="608">
        <f t="shared" si="32"/>
        <v>0</v>
      </c>
      <c r="AD217" s="608">
        <f t="shared" si="32"/>
        <v>0</v>
      </c>
      <c r="AE217" s="608">
        <f t="shared" si="32"/>
        <v>0</v>
      </c>
      <c r="AF217" s="608">
        <f t="shared" si="32"/>
        <v>0</v>
      </c>
      <c r="AG217" s="608">
        <f t="shared" si="32"/>
        <v>0</v>
      </c>
      <c r="AH217" s="608">
        <f t="shared" si="32"/>
        <v>0</v>
      </c>
      <c r="AI217" s="608">
        <f t="shared" si="32"/>
        <v>0</v>
      </c>
      <c r="AJ217" s="608">
        <f t="shared" si="32"/>
        <v>0</v>
      </c>
      <c r="AK217" s="608">
        <f t="shared" si="32"/>
        <v>0</v>
      </c>
      <c r="AL217" s="608">
        <f t="shared" si="32"/>
        <v>0</v>
      </c>
      <c r="AM217" s="608">
        <f t="shared" si="32"/>
        <v>0</v>
      </c>
      <c r="AN217" s="608">
        <f t="shared" si="32"/>
        <v>0</v>
      </c>
      <c r="AO217" s="608">
        <f t="shared" si="32"/>
        <v>0</v>
      </c>
      <c r="AP217" s="608">
        <f t="shared" si="32"/>
        <v>0</v>
      </c>
      <c r="AQ217" s="608">
        <f t="shared" si="32"/>
        <v>0</v>
      </c>
      <c r="AR217" s="608">
        <f t="shared" si="32"/>
        <v>0</v>
      </c>
      <c r="AS217" s="608">
        <f t="shared" si="32"/>
        <v>0</v>
      </c>
      <c r="AT217" s="608">
        <f t="shared" si="32"/>
        <v>0</v>
      </c>
      <c r="AU217" s="608">
        <f t="shared" si="32"/>
        <v>0</v>
      </c>
      <c r="AV217" s="608">
        <f t="shared" si="32"/>
        <v>0</v>
      </c>
      <c r="AW217" s="684"/>
      <c r="AX217" s="684">
        <v>0</v>
      </c>
      <c r="AY217" s="604"/>
      <c r="AZ217" s="604">
        <v>0</v>
      </c>
      <c r="BA217" s="604"/>
      <c r="BB217" s="604"/>
      <c r="BC217" s="604"/>
      <c r="BD217" s="604"/>
      <c r="BE217" s="604"/>
      <c r="BF217" s="604"/>
      <c r="BG217" s="604"/>
      <c r="BH217" s="604"/>
      <c r="BI217" s="643"/>
      <c r="BJ217" s="604">
        <f t="shared" si="31"/>
        <v>482</v>
      </c>
      <c r="BK217" s="595">
        <f>D217+H217+J217+L217+N217+P217+R217+T217+V217+X217+Z217+AB217+AD217+AF217+AH217+AJ217+AL217+AN217+AP217+AR217+AT217+AV217+AX217+AZ217+BD217+BH217</f>
        <v>270342</v>
      </c>
      <c r="BL217" s="541"/>
      <c r="BN217" s="624"/>
      <c r="BO217" s="624"/>
    </row>
    <row r="218" spans="1:1165">
      <c r="A218" s="596"/>
      <c r="B218" s="430"/>
      <c r="C218" s="684"/>
      <c r="D218" s="684"/>
      <c r="E218" s="608"/>
      <c r="F218" s="608"/>
      <c r="G218" s="608"/>
      <c r="H218" s="608"/>
      <c r="I218" s="608"/>
      <c r="J218" s="608"/>
      <c r="K218" s="608"/>
      <c r="L218" s="608"/>
      <c r="M218" s="608"/>
      <c r="N218" s="608"/>
      <c r="O218" s="608"/>
      <c r="P218" s="608"/>
      <c r="Q218" s="608"/>
      <c r="R218" s="608"/>
      <c r="S218" s="608"/>
      <c r="T218" s="608"/>
      <c r="U218" s="587"/>
      <c r="V218" s="587"/>
      <c r="W218" s="586"/>
      <c r="X218" s="608"/>
      <c r="Y218" s="595"/>
      <c r="Z218" s="595"/>
      <c r="AA218" s="586"/>
      <c r="AB218" s="623"/>
      <c r="AC218" s="595"/>
      <c r="AD218" s="595"/>
      <c r="AE218" s="586"/>
      <c r="AF218" s="586"/>
      <c r="AG218" s="586"/>
      <c r="AH218" s="586"/>
      <c r="AI218" s="586"/>
      <c r="AJ218" s="586"/>
      <c r="AK218" s="708"/>
      <c r="AL218" s="710"/>
      <c r="AM218" s="586"/>
      <c r="AN218" s="586"/>
      <c r="AO218" s="586"/>
      <c r="AP218" s="586"/>
      <c r="AQ218" s="686"/>
      <c r="AR218" s="686"/>
      <c r="AS218" s="586"/>
      <c r="AT218" s="586"/>
      <c r="AU218" s="586"/>
      <c r="AV218" s="623"/>
      <c r="AW218" s="650"/>
      <c r="AX218" s="650"/>
      <c r="AY218" s="604"/>
      <c r="AZ218" s="604"/>
      <c r="BA218" s="604"/>
      <c r="BB218" s="650"/>
      <c r="BC218" s="650"/>
      <c r="BD218" s="650"/>
      <c r="BE218" s="650"/>
      <c r="BF218" s="650"/>
      <c r="BG218" s="650"/>
      <c r="BH218" s="650"/>
      <c r="BI218" s="686"/>
      <c r="BJ218" s="650"/>
      <c r="BK218" s="650"/>
      <c r="BL218" s="541"/>
      <c r="BN218" s="624"/>
      <c r="BO218" s="624"/>
    </row>
    <row r="219" spans="1:1165" s="658" customFormat="1">
      <c r="A219" s="577" t="s">
        <v>328</v>
      </c>
      <c r="B219" s="601" t="s">
        <v>110</v>
      </c>
      <c r="C219" s="598">
        <v>0</v>
      </c>
      <c r="D219" s="598">
        <v>0</v>
      </c>
      <c r="E219" s="598">
        <v>0</v>
      </c>
      <c r="F219" s="598">
        <v>0</v>
      </c>
      <c r="G219" s="598">
        <v>0</v>
      </c>
      <c r="H219" s="598">
        <v>0</v>
      </c>
      <c r="I219" s="598">
        <v>167</v>
      </c>
      <c r="J219" s="598">
        <v>971300</v>
      </c>
      <c r="K219" s="598">
        <v>0</v>
      </c>
      <c r="L219" s="598">
        <v>0</v>
      </c>
      <c r="M219" s="598">
        <v>0</v>
      </c>
      <c r="N219" s="598">
        <v>0</v>
      </c>
      <c r="O219" s="579">
        <v>0</v>
      </c>
      <c r="P219" s="579">
        <v>0</v>
      </c>
      <c r="Q219" s="579">
        <v>0</v>
      </c>
      <c r="R219" s="579">
        <v>0</v>
      </c>
      <c r="S219" s="579">
        <v>0</v>
      </c>
      <c r="T219" s="579">
        <v>0</v>
      </c>
      <c r="U219" s="579">
        <v>0</v>
      </c>
      <c r="V219" s="579">
        <v>0</v>
      </c>
      <c r="W219" s="579">
        <v>0</v>
      </c>
      <c r="X219" s="579">
        <v>0</v>
      </c>
      <c r="Y219" s="579">
        <v>0</v>
      </c>
      <c r="Z219" s="579">
        <v>0</v>
      </c>
      <c r="AA219" s="579">
        <v>0</v>
      </c>
      <c r="AB219" s="579">
        <v>0</v>
      </c>
      <c r="AC219" s="579">
        <v>0</v>
      </c>
      <c r="AD219" s="579">
        <v>0</v>
      </c>
      <c r="AE219" s="579">
        <v>0</v>
      </c>
      <c r="AF219" s="579">
        <v>0</v>
      </c>
      <c r="AG219" s="579">
        <v>0</v>
      </c>
      <c r="AH219" s="579">
        <v>0</v>
      </c>
      <c r="AI219" s="579">
        <v>0</v>
      </c>
      <c r="AJ219" s="579">
        <v>0</v>
      </c>
      <c r="AK219" s="579">
        <v>0</v>
      </c>
      <c r="AL219" s="579">
        <v>0</v>
      </c>
      <c r="AM219" s="579">
        <v>0</v>
      </c>
      <c r="AN219" s="579">
        <v>0</v>
      </c>
      <c r="AO219" s="579">
        <v>0</v>
      </c>
      <c r="AP219" s="579">
        <v>0</v>
      </c>
      <c r="AQ219" s="579">
        <v>0</v>
      </c>
      <c r="AR219" s="579">
        <v>0</v>
      </c>
      <c r="AS219" s="579">
        <v>2695</v>
      </c>
      <c r="AT219" s="579">
        <v>17493593</v>
      </c>
      <c r="AU219" s="579">
        <v>4450.3985303456411</v>
      </c>
      <c r="AV219" s="619">
        <v>25297369</v>
      </c>
      <c r="AW219" s="695">
        <v>5613.6061761770843</v>
      </c>
      <c r="AX219" s="695">
        <v>30929289</v>
      </c>
      <c r="AY219" s="667">
        <v>693.51170000000002</v>
      </c>
      <c r="AZ219" s="667">
        <v>4665521</v>
      </c>
      <c r="BA219" s="618"/>
      <c r="BB219" s="667"/>
      <c r="BC219" s="667"/>
      <c r="BD219" s="667"/>
      <c r="BE219" s="664"/>
      <c r="BF219" s="667"/>
      <c r="BG219" s="667"/>
      <c r="BH219" s="667"/>
      <c r="BI219" s="618"/>
      <c r="BJ219" s="667">
        <f>C219+G219+I219+K219+M219+O219+Q219+S219+U219+W219+Y219+AA219+AC219+AE219+AG219+AI219+AK219+AM219+AO219+AQ219+AS219+AU219+AW219+AY219+BB219+BF219</f>
        <v>13619.516406522725</v>
      </c>
      <c r="BK219" s="667">
        <f>D219+H219+J219+L219+N219+P219+R219+T219+V219+X219+Z219+AB219+AD219+AF219+AH219+AJ219+AL219+AN219+AP219+AR219+AT219+AV219+AX219+AZ219+BD219+BH219</f>
        <v>79357072</v>
      </c>
      <c r="BL219" s="541"/>
      <c r="BM219" s="541"/>
      <c r="BN219" s="624"/>
      <c r="BO219" s="624"/>
      <c r="BP219" s="541"/>
      <c r="BQ219" s="541"/>
      <c r="BR219" s="541"/>
      <c r="BS219" s="541"/>
      <c r="BT219" s="541"/>
      <c r="BU219" s="541"/>
      <c r="BV219" s="541"/>
      <c r="BW219" s="541"/>
      <c r="BX219" s="541"/>
      <c r="BY219" s="541"/>
      <c r="BZ219" s="541"/>
      <c r="CA219" s="541"/>
      <c r="CB219" s="541"/>
      <c r="CC219" s="541"/>
      <c r="CD219" s="541"/>
      <c r="CE219" s="541"/>
      <c r="CF219" s="541"/>
      <c r="CG219" s="541"/>
      <c r="CH219" s="541"/>
      <c r="CI219" s="541"/>
      <c r="CJ219" s="541"/>
      <c r="CK219" s="541"/>
      <c r="CL219" s="541"/>
      <c r="CM219" s="541"/>
      <c r="CN219" s="541"/>
      <c r="CO219" s="541"/>
      <c r="CP219" s="541"/>
      <c r="CQ219" s="541"/>
      <c r="CR219" s="541"/>
      <c r="CS219" s="541"/>
      <c r="CT219" s="541"/>
      <c r="CU219" s="541"/>
      <c r="CV219" s="541"/>
      <c r="CW219" s="541"/>
      <c r="CX219" s="541"/>
      <c r="CY219" s="541"/>
      <c r="CZ219" s="541"/>
      <c r="DA219" s="541"/>
      <c r="DB219" s="541"/>
      <c r="DC219" s="541"/>
      <c r="DD219" s="541"/>
      <c r="DE219" s="541"/>
      <c r="DF219" s="541"/>
      <c r="DG219" s="541"/>
      <c r="DH219" s="541"/>
      <c r="DI219" s="541"/>
      <c r="DJ219" s="541"/>
      <c r="DK219" s="541"/>
      <c r="DL219" s="541"/>
      <c r="DM219" s="541"/>
      <c r="DN219" s="541"/>
      <c r="DO219" s="541"/>
      <c r="DP219" s="541"/>
      <c r="DQ219" s="541"/>
      <c r="DR219" s="541"/>
      <c r="DS219" s="541"/>
      <c r="DT219" s="541"/>
      <c r="DU219" s="541"/>
      <c r="DV219" s="541"/>
      <c r="DW219" s="541"/>
      <c r="DX219" s="541"/>
      <c r="DY219" s="541"/>
      <c r="DZ219" s="541"/>
      <c r="EA219" s="541"/>
      <c r="EB219" s="541"/>
      <c r="EC219" s="541"/>
      <c r="ED219" s="541"/>
      <c r="EE219" s="541"/>
      <c r="EF219" s="541"/>
      <c r="EG219" s="541"/>
      <c r="EH219" s="541"/>
      <c r="EI219" s="541"/>
      <c r="EJ219" s="541"/>
      <c r="EK219" s="541"/>
      <c r="EL219" s="541"/>
      <c r="EM219" s="541"/>
      <c r="EN219" s="541"/>
      <c r="EO219" s="541"/>
      <c r="EP219" s="541"/>
      <c r="EQ219" s="541"/>
      <c r="ER219" s="541"/>
      <c r="ES219" s="541"/>
      <c r="ET219" s="541"/>
      <c r="EU219" s="541"/>
      <c r="EV219" s="541"/>
      <c r="EW219" s="541"/>
      <c r="EX219" s="541"/>
      <c r="EY219" s="541"/>
      <c r="EZ219" s="541"/>
      <c r="FA219" s="541"/>
      <c r="FB219" s="541"/>
      <c r="FC219" s="541"/>
      <c r="FD219" s="541"/>
      <c r="FE219" s="541"/>
      <c r="FF219" s="541"/>
      <c r="FG219" s="541"/>
      <c r="FH219" s="541"/>
      <c r="FI219" s="541"/>
      <c r="FJ219" s="541"/>
      <c r="FK219" s="541"/>
      <c r="FL219" s="541"/>
      <c r="FM219" s="541"/>
      <c r="FN219" s="541"/>
      <c r="FO219" s="541"/>
      <c r="FP219" s="541"/>
      <c r="FQ219" s="541"/>
      <c r="FR219" s="541"/>
      <c r="FS219" s="541"/>
      <c r="FT219" s="541"/>
      <c r="FU219" s="541"/>
      <c r="FV219" s="541"/>
      <c r="FW219" s="541"/>
      <c r="FX219" s="541"/>
      <c r="FY219" s="541"/>
      <c r="FZ219" s="541"/>
      <c r="GA219" s="541"/>
      <c r="GB219" s="541"/>
      <c r="GC219" s="541"/>
      <c r="GD219" s="541"/>
      <c r="GE219" s="541"/>
      <c r="GF219" s="541"/>
      <c r="GG219" s="541"/>
      <c r="GH219" s="541"/>
      <c r="GI219" s="541"/>
      <c r="GJ219" s="541"/>
      <c r="GK219" s="541"/>
      <c r="GL219" s="541"/>
      <c r="GM219" s="541"/>
      <c r="GN219" s="541"/>
      <c r="GO219" s="541"/>
      <c r="GP219" s="541"/>
      <c r="GQ219" s="541"/>
      <c r="GR219" s="541"/>
      <c r="GS219" s="541"/>
      <c r="GT219" s="541"/>
      <c r="GU219" s="541"/>
      <c r="GV219" s="541"/>
      <c r="GW219" s="541"/>
      <c r="GX219" s="541"/>
      <c r="GY219" s="541"/>
      <c r="GZ219" s="541"/>
      <c r="HA219" s="541"/>
      <c r="HB219" s="541"/>
      <c r="HC219" s="541"/>
      <c r="HD219" s="541"/>
      <c r="HE219" s="541"/>
      <c r="HF219" s="541"/>
      <c r="HG219" s="541"/>
      <c r="HH219" s="541"/>
      <c r="HI219" s="541"/>
      <c r="HJ219" s="541"/>
      <c r="HK219" s="541"/>
      <c r="HL219" s="541"/>
      <c r="HM219" s="541"/>
      <c r="HN219" s="541"/>
      <c r="HO219" s="541"/>
      <c r="HP219" s="541"/>
      <c r="HQ219" s="541"/>
      <c r="HR219" s="541"/>
      <c r="HS219" s="541"/>
      <c r="HT219" s="541"/>
      <c r="HU219" s="541"/>
      <c r="HV219" s="541"/>
      <c r="HW219" s="541"/>
      <c r="HX219" s="541"/>
      <c r="HY219" s="541"/>
      <c r="HZ219" s="541"/>
      <c r="IA219" s="541"/>
      <c r="IB219" s="541"/>
      <c r="IC219" s="541"/>
      <c r="ID219" s="541"/>
      <c r="IE219" s="541"/>
      <c r="IF219" s="541"/>
      <c r="IG219" s="541"/>
      <c r="IH219" s="541"/>
      <c r="II219" s="541"/>
      <c r="IJ219" s="541"/>
      <c r="IK219" s="541"/>
      <c r="IL219" s="541"/>
      <c r="IM219" s="541"/>
      <c r="IN219" s="541"/>
      <c r="IO219" s="541"/>
      <c r="IP219" s="541"/>
      <c r="IQ219" s="541"/>
      <c r="IR219" s="541"/>
      <c r="IS219" s="541"/>
      <c r="IT219" s="541"/>
      <c r="IU219" s="541"/>
      <c r="IV219" s="541"/>
      <c r="IW219" s="541"/>
      <c r="IX219" s="541"/>
      <c r="IY219" s="541"/>
      <c r="IZ219" s="541"/>
      <c r="JA219" s="541"/>
      <c r="JB219" s="541"/>
      <c r="JC219" s="541"/>
      <c r="JD219" s="541"/>
      <c r="JE219" s="541"/>
      <c r="JF219" s="541"/>
      <c r="JG219" s="541"/>
      <c r="JH219" s="541"/>
      <c r="JI219" s="541"/>
      <c r="JJ219" s="541"/>
      <c r="JK219" s="541"/>
      <c r="JL219" s="541"/>
      <c r="JM219" s="541"/>
      <c r="JN219" s="541"/>
      <c r="JO219" s="541"/>
      <c r="JP219" s="541"/>
      <c r="JQ219" s="541"/>
      <c r="JR219" s="541"/>
      <c r="JS219" s="541"/>
      <c r="JT219" s="541"/>
      <c r="JU219" s="541"/>
      <c r="JV219" s="541"/>
      <c r="JW219" s="541"/>
      <c r="JX219" s="541"/>
      <c r="JY219" s="541"/>
      <c r="JZ219" s="541"/>
      <c r="KA219" s="541"/>
      <c r="KB219" s="541"/>
      <c r="KC219" s="541"/>
      <c r="KD219" s="541"/>
      <c r="KE219" s="541"/>
      <c r="KF219" s="541"/>
      <c r="KG219" s="541"/>
      <c r="KH219" s="541"/>
      <c r="KI219" s="541"/>
      <c r="KJ219" s="541"/>
      <c r="KK219" s="541"/>
      <c r="KL219" s="541"/>
      <c r="KM219" s="541"/>
      <c r="KN219" s="541"/>
      <c r="KO219" s="541"/>
      <c r="KP219" s="541"/>
      <c r="KQ219" s="541"/>
      <c r="KR219" s="541"/>
      <c r="KS219" s="541"/>
      <c r="KT219" s="541"/>
      <c r="KU219" s="541"/>
      <c r="KV219" s="541"/>
      <c r="KW219" s="541"/>
      <c r="KX219" s="541"/>
      <c r="KY219" s="541"/>
      <c r="KZ219" s="541"/>
      <c r="LA219" s="541"/>
      <c r="LB219" s="541"/>
      <c r="LC219" s="541"/>
      <c r="LD219" s="541"/>
      <c r="LE219" s="541"/>
      <c r="LF219" s="541"/>
      <c r="LG219" s="541"/>
      <c r="LH219" s="541"/>
      <c r="LI219" s="541"/>
      <c r="LJ219" s="541"/>
      <c r="LK219" s="541"/>
      <c r="LL219" s="541"/>
      <c r="LM219" s="541"/>
      <c r="LN219" s="541"/>
      <c r="LO219" s="541"/>
      <c r="LP219" s="541"/>
      <c r="LQ219" s="541"/>
      <c r="LR219" s="541"/>
      <c r="LS219" s="541"/>
      <c r="LT219" s="541"/>
      <c r="LU219" s="541"/>
      <c r="LV219" s="541"/>
      <c r="LW219" s="541"/>
      <c r="LX219" s="541"/>
      <c r="LY219" s="541"/>
      <c r="LZ219" s="541"/>
      <c r="MA219" s="541"/>
      <c r="MB219" s="541"/>
      <c r="MC219" s="541"/>
      <c r="MD219" s="541"/>
      <c r="ME219" s="541"/>
      <c r="MF219" s="541"/>
      <c r="MG219" s="541"/>
      <c r="MH219" s="541"/>
      <c r="MI219" s="541"/>
      <c r="MJ219" s="541"/>
      <c r="MK219" s="541"/>
      <c r="ML219" s="541"/>
      <c r="MM219" s="541"/>
      <c r="MN219" s="541"/>
      <c r="MO219" s="541"/>
      <c r="MP219" s="541"/>
      <c r="MQ219" s="541"/>
      <c r="MR219" s="541"/>
      <c r="MS219" s="541"/>
      <c r="MT219" s="541"/>
      <c r="MU219" s="541"/>
      <c r="MV219" s="541"/>
      <c r="MW219" s="541"/>
      <c r="MX219" s="541"/>
      <c r="MY219" s="541"/>
      <c r="MZ219" s="541"/>
      <c r="NA219" s="541"/>
      <c r="NB219" s="541"/>
      <c r="NC219" s="541"/>
      <c r="ND219" s="541"/>
      <c r="NE219" s="541"/>
      <c r="NF219" s="541"/>
      <c r="NG219" s="541"/>
      <c r="NH219" s="541"/>
      <c r="NI219" s="541"/>
      <c r="NJ219" s="541"/>
      <c r="NK219" s="541"/>
      <c r="NL219" s="541"/>
      <c r="NM219" s="541"/>
      <c r="NN219" s="541"/>
      <c r="NO219" s="541"/>
      <c r="NP219" s="541"/>
      <c r="NQ219" s="541"/>
      <c r="NR219" s="541"/>
      <c r="NS219" s="541"/>
      <c r="NT219" s="541"/>
      <c r="NU219" s="541"/>
      <c r="NV219" s="541"/>
      <c r="NW219" s="541"/>
      <c r="NX219" s="541"/>
      <c r="NY219" s="541"/>
      <c r="NZ219" s="541"/>
      <c r="OA219" s="541"/>
      <c r="OB219" s="541"/>
      <c r="OC219" s="541"/>
      <c r="OD219" s="541"/>
      <c r="OE219" s="541"/>
      <c r="OF219" s="541"/>
      <c r="OG219" s="541"/>
      <c r="OH219" s="541"/>
      <c r="OI219" s="541"/>
      <c r="OJ219" s="541"/>
      <c r="OK219" s="541"/>
      <c r="OL219" s="541"/>
      <c r="OM219" s="541"/>
      <c r="ON219" s="541"/>
      <c r="OO219" s="541"/>
      <c r="OP219" s="541"/>
      <c r="OQ219" s="541"/>
      <c r="OR219" s="541"/>
      <c r="OS219" s="541"/>
      <c r="OT219" s="541"/>
      <c r="OU219" s="541"/>
      <c r="OV219" s="541"/>
      <c r="OW219" s="541"/>
      <c r="OX219" s="541"/>
      <c r="OY219" s="541"/>
      <c r="OZ219" s="541"/>
      <c r="PA219" s="541"/>
      <c r="PB219" s="541"/>
      <c r="PC219" s="541"/>
      <c r="PD219" s="541"/>
      <c r="PE219" s="541"/>
      <c r="PF219" s="541"/>
      <c r="PG219" s="541"/>
      <c r="PH219" s="541"/>
      <c r="PI219" s="541"/>
      <c r="PJ219" s="541"/>
      <c r="PK219" s="541"/>
      <c r="PL219" s="541"/>
      <c r="PM219" s="541"/>
      <c r="PN219" s="541"/>
      <c r="PO219" s="541"/>
      <c r="PP219" s="541"/>
      <c r="PQ219" s="541"/>
      <c r="PR219" s="541"/>
      <c r="PS219" s="541"/>
      <c r="PT219" s="541"/>
      <c r="PU219" s="541"/>
      <c r="PV219" s="541"/>
      <c r="PW219" s="541"/>
      <c r="PX219" s="541"/>
      <c r="PY219" s="541"/>
      <c r="PZ219" s="541"/>
      <c r="QA219" s="541"/>
      <c r="QB219" s="541"/>
      <c r="QC219" s="541"/>
      <c r="QD219" s="541"/>
      <c r="QE219" s="541"/>
      <c r="QF219" s="541"/>
      <c r="QG219" s="541"/>
      <c r="QH219" s="541"/>
      <c r="QI219" s="541"/>
      <c r="QJ219" s="541"/>
      <c r="QK219" s="541"/>
      <c r="QL219" s="541"/>
      <c r="QM219" s="541"/>
      <c r="QN219" s="541"/>
      <c r="QO219" s="541"/>
      <c r="QP219" s="541"/>
      <c r="QQ219" s="541"/>
      <c r="QR219" s="541"/>
      <c r="QS219" s="541"/>
      <c r="QT219" s="541"/>
      <c r="QU219" s="541"/>
      <c r="QV219" s="541"/>
      <c r="QW219" s="541"/>
      <c r="QX219" s="541"/>
      <c r="QY219" s="541"/>
      <c r="QZ219" s="541"/>
      <c r="RA219" s="541"/>
      <c r="RB219" s="541"/>
      <c r="RC219" s="541"/>
      <c r="RD219" s="541"/>
      <c r="RE219" s="541"/>
      <c r="RF219" s="541"/>
      <c r="RG219" s="541"/>
      <c r="RH219" s="541"/>
      <c r="RI219" s="541"/>
      <c r="RJ219" s="541"/>
      <c r="RK219" s="541"/>
      <c r="RL219" s="541"/>
      <c r="RM219" s="541"/>
      <c r="RN219" s="541"/>
      <c r="RO219" s="541"/>
      <c r="RP219" s="541"/>
      <c r="RQ219" s="541"/>
      <c r="RR219" s="541"/>
      <c r="RS219" s="541"/>
      <c r="RT219" s="541"/>
      <c r="RU219" s="541"/>
      <c r="RV219" s="541"/>
      <c r="RW219" s="541"/>
      <c r="RX219" s="541"/>
      <c r="RY219" s="541"/>
      <c r="RZ219" s="541"/>
      <c r="SA219" s="541"/>
      <c r="SB219" s="541"/>
      <c r="SC219" s="541"/>
      <c r="SD219" s="541"/>
      <c r="SE219" s="541"/>
      <c r="SF219" s="541"/>
      <c r="SG219" s="541"/>
      <c r="SH219" s="541"/>
      <c r="SI219" s="541"/>
      <c r="SJ219" s="541"/>
      <c r="SK219" s="541"/>
      <c r="SL219" s="541"/>
      <c r="SM219" s="541"/>
      <c r="SN219" s="541"/>
      <c r="SO219" s="541"/>
      <c r="SP219" s="541"/>
      <c r="SQ219" s="541"/>
      <c r="SR219" s="541"/>
      <c r="SS219" s="541"/>
      <c r="ST219" s="541"/>
      <c r="SU219" s="541"/>
      <c r="SV219" s="541"/>
      <c r="SW219" s="541"/>
      <c r="SX219" s="541"/>
      <c r="SY219" s="541"/>
      <c r="SZ219" s="541"/>
      <c r="TA219" s="541"/>
      <c r="TB219" s="541"/>
      <c r="TC219" s="541"/>
      <c r="TD219" s="541"/>
      <c r="TE219" s="541"/>
      <c r="TF219" s="541"/>
      <c r="TG219" s="541"/>
      <c r="TH219" s="541"/>
      <c r="TI219" s="541"/>
      <c r="TJ219" s="541"/>
      <c r="TK219" s="541"/>
      <c r="TL219" s="541"/>
      <c r="TM219" s="541"/>
      <c r="TN219" s="541"/>
      <c r="TO219" s="541"/>
      <c r="TP219" s="541"/>
      <c r="TQ219" s="541"/>
      <c r="TR219" s="541"/>
      <c r="TS219" s="541"/>
      <c r="TT219" s="541"/>
      <c r="TU219" s="541"/>
      <c r="TV219" s="541"/>
      <c r="TW219" s="541"/>
      <c r="TX219" s="541"/>
      <c r="TY219" s="541"/>
      <c r="TZ219" s="541"/>
      <c r="UA219" s="541"/>
      <c r="UB219" s="541"/>
      <c r="UC219" s="541"/>
      <c r="UD219" s="541"/>
      <c r="UE219" s="541"/>
      <c r="UF219" s="541"/>
      <c r="UG219" s="541"/>
      <c r="UH219" s="541"/>
      <c r="UI219" s="541"/>
      <c r="UJ219" s="541"/>
      <c r="UK219" s="541"/>
      <c r="UL219" s="541"/>
      <c r="UM219" s="541"/>
      <c r="UN219" s="541"/>
      <c r="UO219" s="541"/>
      <c r="UP219" s="541"/>
      <c r="UQ219" s="541"/>
      <c r="UR219" s="541"/>
      <c r="US219" s="541"/>
      <c r="UT219" s="541"/>
      <c r="UU219" s="541"/>
      <c r="UV219" s="541"/>
      <c r="UW219" s="541"/>
      <c r="UX219" s="541"/>
      <c r="UY219" s="541"/>
      <c r="UZ219" s="541"/>
      <c r="VA219" s="541"/>
      <c r="VB219" s="541"/>
      <c r="VC219" s="541"/>
      <c r="VD219" s="541"/>
      <c r="VE219" s="541"/>
      <c r="VF219" s="541"/>
      <c r="VG219" s="541"/>
      <c r="VH219" s="541"/>
      <c r="VI219" s="541"/>
      <c r="VJ219" s="541"/>
      <c r="VK219" s="541"/>
      <c r="VL219" s="541"/>
      <c r="VM219" s="541"/>
      <c r="VN219" s="541"/>
      <c r="VO219" s="541"/>
      <c r="VP219" s="541"/>
      <c r="VQ219" s="541"/>
      <c r="VR219" s="541"/>
      <c r="VS219" s="541"/>
      <c r="VT219" s="541"/>
      <c r="VU219" s="541"/>
      <c r="VV219" s="541"/>
      <c r="VW219" s="541"/>
      <c r="VX219" s="541"/>
      <c r="VY219" s="541"/>
      <c r="VZ219" s="541"/>
      <c r="WA219" s="541"/>
      <c r="WB219" s="541"/>
      <c r="WC219" s="541"/>
      <c r="WD219" s="541"/>
      <c r="WE219" s="541"/>
      <c r="WF219" s="541"/>
      <c r="WG219" s="541"/>
      <c r="WH219" s="541"/>
      <c r="WI219" s="541"/>
      <c r="WJ219" s="541"/>
      <c r="WK219" s="541"/>
      <c r="WL219" s="541"/>
      <c r="WM219" s="541"/>
      <c r="WN219" s="541"/>
      <c r="WO219" s="541"/>
      <c r="WP219" s="541"/>
      <c r="WQ219" s="541"/>
      <c r="WR219" s="541"/>
      <c r="WS219" s="541"/>
      <c r="WT219" s="541"/>
      <c r="WU219" s="541"/>
      <c r="WV219" s="541"/>
      <c r="WW219" s="541"/>
      <c r="WX219" s="541"/>
      <c r="WY219" s="541"/>
      <c r="WZ219" s="541"/>
      <c r="XA219" s="541"/>
      <c r="XB219" s="541"/>
      <c r="XC219" s="541"/>
      <c r="XD219" s="541"/>
      <c r="XE219" s="541"/>
      <c r="XF219" s="541"/>
      <c r="XG219" s="541"/>
      <c r="XH219" s="541"/>
      <c r="XI219" s="541"/>
      <c r="XJ219" s="541"/>
      <c r="XK219" s="541"/>
      <c r="XL219" s="541"/>
      <c r="XM219" s="541"/>
      <c r="XN219" s="541"/>
      <c r="XO219" s="541"/>
      <c r="XP219" s="541"/>
      <c r="XQ219" s="541"/>
      <c r="XR219" s="541"/>
      <c r="XS219" s="541"/>
      <c r="XT219" s="541"/>
      <c r="XU219" s="541"/>
      <c r="XV219" s="541"/>
      <c r="XW219" s="541"/>
      <c r="XX219" s="541"/>
      <c r="XY219" s="541"/>
      <c r="XZ219" s="541"/>
      <c r="YA219" s="541"/>
      <c r="YB219" s="541"/>
      <c r="YC219" s="541"/>
      <c r="YD219" s="541"/>
      <c r="YE219" s="541"/>
      <c r="YF219" s="541"/>
      <c r="YG219" s="541"/>
      <c r="YH219" s="541"/>
      <c r="YI219" s="541"/>
      <c r="YJ219" s="541"/>
      <c r="YK219" s="541"/>
      <c r="YL219" s="541"/>
      <c r="YM219" s="541"/>
      <c r="YN219" s="541"/>
      <c r="YO219" s="541"/>
      <c r="YP219" s="541"/>
      <c r="YQ219" s="541"/>
      <c r="YR219" s="541"/>
      <c r="YS219" s="541"/>
      <c r="YT219" s="541"/>
      <c r="YU219" s="541"/>
      <c r="YV219" s="541"/>
      <c r="YW219" s="541"/>
      <c r="YX219" s="541"/>
      <c r="YY219" s="541"/>
      <c r="YZ219" s="541"/>
      <c r="ZA219" s="541"/>
      <c r="ZB219" s="541"/>
      <c r="ZC219" s="541"/>
      <c r="ZD219" s="541"/>
      <c r="ZE219" s="541"/>
      <c r="ZF219" s="541"/>
      <c r="ZG219" s="541"/>
      <c r="ZH219" s="541"/>
      <c r="ZI219" s="541"/>
      <c r="ZJ219" s="541"/>
      <c r="ZK219" s="541"/>
      <c r="ZL219" s="541"/>
      <c r="ZM219" s="541"/>
      <c r="ZN219" s="541"/>
      <c r="ZO219" s="541"/>
      <c r="ZP219" s="541"/>
      <c r="ZQ219" s="541"/>
      <c r="ZR219" s="541"/>
      <c r="ZS219" s="541"/>
      <c r="ZT219" s="541"/>
      <c r="ZU219" s="541"/>
      <c r="ZV219" s="541"/>
      <c r="ZW219" s="541"/>
      <c r="ZX219" s="541"/>
      <c r="ZY219" s="541"/>
      <c r="ZZ219" s="541"/>
      <c r="AAA219" s="541"/>
      <c r="AAB219" s="541"/>
      <c r="AAC219" s="541"/>
      <c r="AAD219" s="541"/>
      <c r="AAE219" s="541"/>
      <c r="AAF219" s="541"/>
      <c r="AAG219" s="541"/>
      <c r="AAH219" s="541"/>
      <c r="AAI219" s="541"/>
      <c r="AAJ219" s="541"/>
      <c r="AAK219" s="541"/>
      <c r="AAL219" s="541"/>
      <c r="AAM219" s="541"/>
      <c r="AAN219" s="541"/>
      <c r="AAO219" s="541"/>
      <c r="AAP219" s="541"/>
      <c r="AAQ219" s="541"/>
      <c r="AAR219" s="541"/>
      <c r="AAS219" s="541"/>
      <c r="AAT219" s="541"/>
      <c r="AAU219" s="541"/>
      <c r="AAV219" s="541"/>
      <c r="AAW219" s="541"/>
      <c r="AAX219" s="541"/>
      <c r="AAY219" s="541"/>
      <c r="AAZ219" s="541"/>
      <c r="ABA219" s="541"/>
      <c r="ABB219" s="541"/>
      <c r="ABC219" s="541"/>
      <c r="ABD219" s="541"/>
      <c r="ABE219" s="541"/>
      <c r="ABF219" s="541"/>
      <c r="ABG219" s="541"/>
      <c r="ABH219" s="541"/>
      <c r="ABI219" s="541"/>
      <c r="ABJ219" s="541"/>
      <c r="ABK219" s="541"/>
      <c r="ABL219" s="541"/>
      <c r="ABM219" s="541"/>
      <c r="ABN219" s="541"/>
      <c r="ABO219" s="541"/>
      <c r="ABP219" s="541"/>
      <c r="ABQ219" s="541"/>
      <c r="ABR219" s="541"/>
      <c r="ABS219" s="541"/>
      <c r="ABT219" s="541"/>
      <c r="ABU219" s="541"/>
      <c r="ABV219" s="541"/>
      <c r="ABW219" s="541"/>
      <c r="ABX219" s="541"/>
      <c r="ABY219" s="541"/>
      <c r="ABZ219" s="541"/>
      <c r="ACA219" s="541"/>
      <c r="ACB219" s="541"/>
      <c r="ACC219" s="541"/>
      <c r="ACD219" s="541"/>
      <c r="ACE219" s="541"/>
      <c r="ACF219" s="541"/>
      <c r="ACG219" s="541"/>
      <c r="ACH219" s="541"/>
      <c r="ACI219" s="541"/>
      <c r="ACJ219" s="541"/>
      <c r="ACK219" s="541"/>
      <c r="ACL219" s="541"/>
      <c r="ACM219" s="541"/>
      <c r="ACN219" s="541"/>
      <c r="ACO219" s="541"/>
      <c r="ACP219" s="541"/>
      <c r="ACQ219" s="541"/>
      <c r="ACR219" s="541"/>
      <c r="ACS219" s="541"/>
      <c r="ACT219" s="541"/>
      <c r="ACU219" s="541"/>
      <c r="ACV219" s="541"/>
      <c r="ACW219" s="541"/>
      <c r="ACX219" s="541"/>
      <c r="ACY219" s="541"/>
      <c r="ACZ219" s="541"/>
      <c r="ADA219" s="541"/>
      <c r="ADB219" s="541"/>
      <c r="ADC219" s="541"/>
      <c r="ADD219" s="541"/>
      <c r="ADE219" s="541"/>
      <c r="ADF219" s="541"/>
      <c r="ADG219" s="541"/>
      <c r="ADH219" s="541"/>
      <c r="ADI219" s="541"/>
      <c r="ADJ219" s="541"/>
      <c r="ADK219" s="541"/>
      <c r="ADL219" s="541"/>
      <c r="ADM219" s="541"/>
      <c r="ADN219" s="541"/>
      <c r="ADO219" s="541"/>
      <c r="ADP219" s="541"/>
      <c r="ADQ219" s="541"/>
      <c r="ADR219" s="541"/>
      <c r="ADS219" s="541"/>
      <c r="ADT219" s="541"/>
      <c r="ADU219" s="541"/>
      <c r="ADV219" s="541"/>
      <c r="ADW219" s="541"/>
      <c r="ADX219" s="541"/>
      <c r="ADY219" s="541"/>
      <c r="ADZ219" s="541"/>
      <c r="AEA219" s="541"/>
      <c r="AEB219" s="541"/>
      <c r="AEC219" s="541"/>
      <c r="AED219" s="541"/>
      <c r="AEE219" s="541"/>
      <c r="AEF219" s="541"/>
      <c r="AEG219" s="541"/>
      <c r="AEH219" s="541"/>
      <c r="AEI219" s="541"/>
      <c r="AEJ219" s="541"/>
      <c r="AEK219" s="541"/>
      <c r="AEL219" s="541"/>
      <c r="AEM219" s="541"/>
      <c r="AEN219" s="541"/>
      <c r="AEO219" s="541"/>
      <c r="AEP219" s="541"/>
      <c r="AEQ219" s="541"/>
      <c r="AER219" s="541"/>
      <c r="AES219" s="541"/>
      <c r="AET219" s="541"/>
      <c r="AEU219" s="541"/>
      <c r="AEV219" s="541"/>
      <c r="AEW219" s="541"/>
      <c r="AEX219" s="541"/>
      <c r="AEY219" s="541"/>
      <c r="AEZ219" s="541"/>
      <c r="AFA219" s="541"/>
      <c r="AFB219" s="541"/>
      <c r="AFC219" s="541"/>
      <c r="AFD219" s="541"/>
      <c r="AFE219" s="541"/>
      <c r="AFF219" s="541"/>
      <c r="AFG219" s="541"/>
      <c r="AFH219" s="541"/>
      <c r="AFI219" s="541"/>
      <c r="AFJ219" s="541"/>
      <c r="AFK219" s="541"/>
      <c r="AFL219" s="541"/>
      <c r="AFM219" s="541"/>
      <c r="AFN219" s="541"/>
      <c r="AFO219" s="541"/>
      <c r="AFP219" s="541"/>
      <c r="AFQ219" s="541"/>
      <c r="AFR219" s="541"/>
      <c r="AFS219" s="541"/>
      <c r="AFT219" s="541"/>
      <c r="AFU219" s="541"/>
      <c r="AFV219" s="541"/>
      <c r="AFW219" s="541"/>
      <c r="AFX219" s="541"/>
      <c r="AFY219" s="541"/>
      <c r="AFZ219" s="541"/>
      <c r="AGA219" s="541"/>
      <c r="AGB219" s="541"/>
      <c r="AGC219" s="541"/>
      <c r="AGD219" s="541"/>
      <c r="AGE219" s="541"/>
      <c r="AGF219" s="541"/>
      <c r="AGG219" s="541"/>
      <c r="AGH219" s="541"/>
      <c r="AGI219" s="541"/>
      <c r="AGJ219" s="541"/>
      <c r="AGK219" s="541"/>
      <c r="AGL219" s="541"/>
      <c r="AGM219" s="541"/>
      <c r="AGN219" s="541"/>
      <c r="AGO219" s="541"/>
      <c r="AGP219" s="541"/>
      <c r="AGQ219" s="541"/>
      <c r="AGR219" s="541"/>
      <c r="AGS219" s="541"/>
      <c r="AGT219" s="541"/>
      <c r="AGU219" s="541"/>
      <c r="AGV219" s="541"/>
      <c r="AGW219" s="541"/>
      <c r="AGX219" s="541"/>
      <c r="AGY219" s="541"/>
      <c r="AGZ219" s="541"/>
      <c r="AHA219" s="541"/>
      <c r="AHB219" s="541"/>
      <c r="AHC219" s="541"/>
      <c r="AHD219" s="541"/>
      <c r="AHE219" s="541"/>
      <c r="AHF219" s="541"/>
      <c r="AHG219" s="541"/>
      <c r="AHH219" s="541"/>
      <c r="AHI219" s="541"/>
      <c r="AHJ219" s="541"/>
      <c r="AHK219" s="541"/>
      <c r="AHL219" s="541"/>
      <c r="AHM219" s="541"/>
      <c r="AHN219" s="541"/>
      <c r="AHO219" s="541"/>
      <c r="AHP219" s="541"/>
      <c r="AHQ219" s="541"/>
      <c r="AHR219" s="541"/>
      <c r="AHS219" s="541"/>
      <c r="AHT219" s="541"/>
      <c r="AHU219" s="541"/>
      <c r="AHV219" s="541"/>
      <c r="AHW219" s="541"/>
      <c r="AHX219" s="541"/>
      <c r="AHY219" s="541"/>
      <c r="AHZ219" s="541"/>
      <c r="AIA219" s="541"/>
      <c r="AIB219" s="541"/>
      <c r="AIC219" s="541"/>
      <c r="AID219" s="541"/>
      <c r="AIE219" s="541"/>
      <c r="AIF219" s="541"/>
      <c r="AIG219" s="541"/>
      <c r="AIH219" s="541"/>
      <c r="AII219" s="541"/>
      <c r="AIJ219" s="541"/>
      <c r="AIK219" s="541"/>
      <c r="AIL219" s="541"/>
      <c r="AIM219" s="541"/>
      <c r="AIN219" s="541"/>
      <c r="AIO219" s="541"/>
      <c r="AIP219" s="541"/>
      <c r="AIQ219" s="541"/>
      <c r="AIR219" s="541"/>
      <c r="AIS219" s="541"/>
      <c r="AIT219" s="541"/>
      <c r="AIU219" s="541"/>
      <c r="AIV219" s="541"/>
      <c r="AIW219" s="541"/>
      <c r="AIX219" s="541"/>
      <c r="AIY219" s="541"/>
      <c r="AIZ219" s="541"/>
      <c r="AJA219" s="541"/>
      <c r="AJB219" s="541"/>
      <c r="AJC219" s="541"/>
      <c r="AJD219" s="541"/>
      <c r="AJE219" s="541"/>
      <c r="AJF219" s="541"/>
      <c r="AJG219" s="541"/>
      <c r="AJH219" s="541"/>
      <c r="AJI219" s="541"/>
      <c r="AJJ219" s="541"/>
      <c r="AJK219" s="541"/>
      <c r="AJL219" s="541"/>
      <c r="AJM219" s="541"/>
      <c r="AJN219" s="541"/>
      <c r="AJO219" s="541"/>
      <c r="AJP219" s="541"/>
      <c r="AJQ219" s="541"/>
      <c r="AJR219" s="541"/>
      <c r="AJS219" s="541"/>
      <c r="AJT219" s="541"/>
      <c r="AJU219" s="541"/>
      <c r="AJV219" s="541"/>
      <c r="AJW219" s="541"/>
      <c r="AJX219" s="541"/>
      <c r="AJY219" s="541"/>
      <c r="AJZ219" s="541"/>
      <c r="AKA219" s="541"/>
      <c r="AKB219" s="541"/>
      <c r="AKC219" s="541"/>
      <c r="AKD219" s="541"/>
      <c r="AKE219" s="541"/>
      <c r="AKF219" s="541"/>
      <c r="AKG219" s="541"/>
      <c r="AKH219" s="541"/>
      <c r="AKI219" s="541"/>
      <c r="AKJ219" s="541"/>
      <c r="AKK219" s="541"/>
      <c r="AKL219" s="541"/>
      <c r="AKM219" s="541"/>
      <c r="AKN219" s="541"/>
      <c r="AKO219" s="541"/>
      <c r="AKP219" s="541"/>
      <c r="AKQ219" s="541"/>
      <c r="AKR219" s="541"/>
      <c r="AKS219" s="541"/>
      <c r="AKT219" s="541"/>
      <c r="AKU219" s="541"/>
      <c r="AKV219" s="541"/>
      <c r="AKW219" s="541"/>
      <c r="AKX219" s="541"/>
      <c r="AKY219" s="541"/>
      <c r="AKZ219" s="541"/>
      <c r="ALA219" s="541"/>
      <c r="ALB219" s="541"/>
      <c r="ALC219" s="541"/>
      <c r="ALD219" s="541"/>
      <c r="ALE219" s="541"/>
      <c r="ALF219" s="541"/>
      <c r="ALG219" s="541"/>
      <c r="ALH219" s="541"/>
      <c r="ALI219" s="541"/>
      <c r="ALJ219" s="541"/>
      <c r="ALK219" s="541"/>
      <c r="ALL219" s="541"/>
      <c r="ALM219" s="541"/>
      <c r="ALN219" s="541"/>
      <c r="ALO219" s="541"/>
      <c r="ALP219" s="541"/>
      <c r="ALQ219" s="541"/>
      <c r="ALR219" s="541"/>
      <c r="ALS219" s="541"/>
      <c r="ALT219" s="541"/>
      <c r="ALU219" s="541"/>
      <c r="ALV219" s="541"/>
      <c r="ALW219" s="541"/>
      <c r="ALX219" s="541"/>
      <c r="ALY219" s="541"/>
      <c r="ALZ219" s="541"/>
      <c r="AMA219" s="541"/>
      <c r="AMB219" s="541"/>
      <c r="AMC219" s="541"/>
      <c r="AMD219" s="541"/>
      <c r="AME219" s="541"/>
      <c r="AMF219" s="541"/>
      <c r="AMG219" s="541"/>
      <c r="AMH219" s="541"/>
      <c r="AMI219" s="541"/>
      <c r="AMJ219" s="541"/>
      <c r="AMK219" s="541"/>
      <c r="AML219" s="541"/>
      <c r="AMM219" s="541"/>
      <c r="AMN219" s="541"/>
      <c r="AMO219" s="541"/>
      <c r="AMP219" s="541"/>
      <c r="AMQ219" s="541"/>
      <c r="AMR219" s="541"/>
      <c r="AMS219" s="541"/>
      <c r="AMT219" s="541"/>
      <c r="AMU219" s="541"/>
      <c r="AMV219" s="541"/>
      <c r="AMW219" s="541"/>
      <c r="AMX219" s="541"/>
      <c r="AMY219" s="541"/>
      <c r="AMZ219" s="541"/>
      <c r="ANA219" s="541"/>
      <c r="ANB219" s="541"/>
      <c r="ANC219" s="541"/>
      <c r="AND219" s="541"/>
      <c r="ANE219" s="541"/>
      <c r="ANF219" s="541"/>
      <c r="ANG219" s="541"/>
      <c r="ANH219" s="541"/>
      <c r="ANI219" s="541"/>
      <c r="ANJ219" s="541"/>
      <c r="ANK219" s="541"/>
      <c r="ANL219" s="541"/>
      <c r="ANM219" s="541"/>
      <c r="ANN219" s="541"/>
      <c r="ANO219" s="541"/>
      <c r="ANP219" s="541"/>
      <c r="ANQ219" s="541"/>
      <c r="ANR219" s="541"/>
      <c r="ANS219" s="541"/>
      <c r="ANT219" s="541"/>
      <c r="ANU219" s="541"/>
      <c r="ANV219" s="541"/>
      <c r="ANW219" s="541"/>
      <c r="ANX219" s="541"/>
      <c r="ANY219" s="541"/>
      <c r="ANZ219" s="541"/>
      <c r="AOA219" s="541"/>
      <c r="AOB219" s="541"/>
      <c r="AOC219" s="541"/>
      <c r="AOD219" s="541"/>
      <c r="AOE219" s="541"/>
      <c r="AOF219" s="541"/>
      <c r="AOG219" s="541"/>
      <c r="AOH219" s="541"/>
      <c r="AOI219" s="541"/>
      <c r="AOJ219" s="541"/>
      <c r="AOK219" s="541"/>
      <c r="AOL219" s="541"/>
      <c r="AOM219" s="541"/>
      <c r="AON219" s="541"/>
      <c r="AOO219" s="541"/>
      <c r="AOP219" s="541"/>
      <c r="AOQ219" s="541"/>
      <c r="AOR219" s="541"/>
      <c r="AOS219" s="541"/>
      <c r="AOT219" s="541"/>
      <c r="AOU219" s="541"/>
      <c r="AOV219" s="541"/>
      <c r="AOW219" s="541"/>
      <c r="AOX219" s="541"/>
      <c r="AOY219" s="541"/>
      <c r="AOZ219" s="541"/>
      <c r="APA219" s="541"/>
      <c r="APB219" s="541"/>
      <c r="APC219" s="541"/>
      <c r="APD219" s="541"/>
      <c r="APE219" s="541"/>
      <c r="APF219" s="541"/>
      <c r="APG219" s="541"/>
      <c r="APH219" s="541"/>
      <c r="API219" s="541"/>
      <c r="APJ219" s="541"/>
      <c r="APK219" s="541"/>
      <c r="APL219" s="541"/>
      <c r="APM219" s="541"/>
      <c r="APN219" s="541"/>
      <c r="APO219" s="541"/>
      <c r="APP219" s="541"/>
      <c r="APQ219" s="541"/>
      <c r="APR219" s="541"/>
      <c r="APS219" s="541"/>
      <c r="APT219" s="541"/>
      <c r="APU219" s="541"/>
      <c r="APV219" s="541"/>
      <c r="APW219" s="541"/>
      <c r="APX219" s="541"/>
      <c r="APY219" s="541"/>
      <c r="APZ219" s="541"/>
      <c r="AQA219" s="541"/>
      <c r="AQB219" s="541"/>
      <c r="AQC219" s="541"/>
      <c r="AQD219" s="541"/>
      <c r="AQE219" s="541"/>
      <c r="AQF219" s="541"/>
      <c r="AQG219" s="541"/>
      <c r="AQH219" s="541"/>
      <c r="AQI219" s="541"/>
      <c r="AQJ219" s="541"/>
      <c r="AQK219" s="541"/>
      <c r="AQL219" s="541"/>
      <c r="AQM219" s="541"/>
      <c r="AQN219" s="541"/>
      <c r="AQO219" s="541"/>
      <c r="AQP219" s="541"/>
      <c r="AQQ219" s="541"/>
      <c r="AQR219" s="541"/>
      <c r="AQS219" s="541"/>
      <c r="AQT219" s="541"/>
      <c r="AQU219" s="541"/>
      <c r="AQV219" s="541"/>
      <c r="AQW219" s="541"/>
      <c r="AQX219" s="541"/>
      <c r="AQY219" s="541"/>
      <c r="AQZ219" s="541"/>
      <c r="ARA219" s="541"/>
      <c r="ARB219" s="541"/>
      <c r="ARC219" s="541"/>
      <c r="ARD219" s="541"/>
      <c r="ARE219" s="541"/>
      <c r="ARF219" s="541"/>
      <c r="ARG219" s="541"/>
      <c r="ARH219" s="541"/>
      <c r="ARI219" s="541"/>
      <c r="ARJ219" s="541"/>
      <c r="ARK219" s="541"/>
      <c r="ARL219" s="541"/>
      <c r="ARM219" s="541"/>
      <c r="ARN219" s="541"/>
      <c r="ARO219" s="541"/>
      <c r="ARP219" s="541"/>
      <c r="ARQ219" s="541"/>
      <c r="ARR219" s="541"/>
      <c r="ARS219" s="541"/>
      <c r="ART219" s="541"/>
      <c r="ARU219" s="541"/>
    </row>
    <row r="220" spans="1:1165">
      <c r="A220" s="591"/>
      <c r="B220" s="638"/>
      <c r="C220" s="684"/>
      <c r="D220" s="684"/>
      <c r="E220" s="608"/>
      <c r="F220" s="608"/>
      <c r="G220" s="608"/>
      <c r="H220" s="608"/>
      <c r="I220" s="608"/>
      <c r="J220" s="608"/>
      <c r="K220" s="608"/>
      <c r="L220" s="608"/>
      <c r="M220" s="608"/>
      <c r="N220" s="608"/>
      <c r="O220" s="608"/>
      <c r="P220" s="608"/>
      <c r="Q220" s="608"/>
      <c r="R220" s="608"/>
      <c r="S220" s="608"/>
      <c r="T220" s="608"/>
      <c r="U220" s="587"/>
      <c r="V220" s="587"/>
      <c r="W220" s="586"/>
      <c r="X220" s="608"/>
      <c r="Y220" s="595"/>
      <c r="Z220" s="595"/>
      <c r="AA220" s="586"/>
      <c r="AB220" s="623"/>
      <c r="AC220" s="595"/>
      <c r="AD220" s="595"/>
      <c r="AE220" s="586"/>
      <c r="AF220" s="586"/>
      <c r="AG220" s="586"/>
      <c r="AH220" s="586"/>
      <c r="AI220" s="586"/>
      <c r="AJ220" s="586"/>
      <c r="AK220" s="586"/>
      <c r="AL220" s="586"/>
      <c r="AM220" s="586"/>
      <c r="AN220" s="586"/>
      <c r="AO220" s="586"/>
      <c r="AP220" s="586"/>
      <c r="AQ220" s="586"/>
      <c r="AR220" s="586"/>
      <c r="AS220" s="586"/>
      <c r="AT220" s="586"/>
      <c r="AU220" s="586"/>
      <c r="AV220" s="623"/>
      <c r="AW220" s="682"/>
      <c r="AX220" s="682"/>
      <c r="AY220" s="696"/>
      <c r="AZ220" s="696"/>
      <c r="BA220" s="625"/>
      <c r="BB220" s="682"/>
      <c r="BC220" s="682"/>
      <c r="BD220" s="682"/>
      <c r="BE220" s="682"/>
      <c r="BF220" s="682"/>
      <c r="BG220" s="682"/>
      <c r="BH220" s="682"/>
      <c r="BI220" s="625"/>
      <c r="BJ220" s="682"/>
      <c r="BK220" s="682"/>
      <c r="BL220" s="541"/>
      <c r="BN220" s="624"/>
      <c r="BO220" s="624"/>
    </row>
    <row r="221" spans="1:1165">
      <c r="A221" s="591" t="s">
        <v>329</v>
      </c>
      <c r="B221" s="638" t="s">
        <v>110</v>
      </c>
      <c r="C221" s="684">
        <v>4640</v>
      </c>
      <c r="D221" s="684">
        <v>48810</v>
      </c>
      <c r="E221" s="608">
        <v>159</v>
      </c>
      <c r="F221" s="608">
        <v>1590</v>
      </c>
      <c r="G221" s="608">
        <v>0</v>
      </c>
      <c r="H221" s="608">
        <v>0</v>
      </c>
      <c r="I221" s="608">
        <v>429</v>
      </c>
      <c r="J221" s="608">
        <v>7040</v>
      </c>
      <c r="K221" s="608">
        <v>56</v>
      </c>
      <c r="L221" s="608">
        <v>840</v>
      </c>
      <c r="M221" s="608">
        <v>423</v>
      </c>
      <c r="N221" s="608">
        <v>7275</v>
      </c>
      <c r="O221" s="608">
        <v>615</v>
      </c>
      <c r="P221" s="608">
        <v>9245</v>
      </c>
      <c r="Q221" s="608">
        <v>657</v>
      </c>
      <c r="R221" s="608">
        <v>13142</v>
      </c>
      <c r="S221" s="608">
        <v>1409</v>
      </c>
      <c r="T221" s="608">
        <v>28226</v>
      </c>
      <c r="U221" s="608">
        <v>1165</v>
      </c>
      <c r="V221" s="608">
        <v>146416</v>
      </c>
      <c r="W221" s="608">
        <v>306</v>
      </c>
      <c r="X221" s="608">
        <v>54268</v>
      </c>
      <c r="Y221" s="608">
        <v>43</v>
      </c>
      <c r="Z221" s="608">
        <v>7691</v>
      </c>
      <c r="AA221" s="623">
        <v>580</v>
      </c>
      <c r="AB221" s="623">
        <v>103018</v>
      </c>
      <c r="AC221" s="608">
        <v>308</v>
      </c>
      <c r="AD221" s="608">
        <v>54754</v>
      </c>
      <c r="AE221" s="623">
        <v>0</v>
      </c>
      <c r="AF221" s="623">
        <v>0</v>
      </c>
      <c r="AG221" s="586">
        <v>0</v>
      </c>
      <c r="AH221" s="586">
        <v>0</v>
      </c>
      <c r="AI221" s="586">
        <v>0</v>
      </c>
      <c r="AJ221" s="586">
        <v>0</v>
      </c>
      <c r="AK221" s="586">
        <v>0</v>
      </c>
      <c r="AL221" s="586">
        <v>0</v>
      </c>
      <c r="AM221" s="586">
        <v>0</v>
      </c>
      <c r="AN221" s="586">
        <v>0</v>
      </c>
      <c r="AO221" s="586">
        <v>0</v>
      </c>
      <c r="AP221" s="586">
        <v>0</v>
      </c>
      <c r="AQ221" s="586">
        <v>0</v>
      </c>
      <c r="AR221" s="586">
        <v>0</v>
      </c>
      <c r="AS221" s="586">
        <v>0</v>
      </c>
      <c r="AT221" s="586">
        <v>0</v>
      </c>
      <c r="AU221" s="586">
        <v>0</v>
      </c>
      <c r="AV221" s="586">
        <v>0</v>
      </c>
      <c r="AW221" s="586">
        <v>0</v>
      </c>
      <c r="AX221" s="586">
        <v>0</v>
      </c>
      <c r="AY221" s="586">
        <v>0</v>
      </c>
      <c r="AZ221" s="586">
        <v>0</v>
      </c>
      <c r="BA221" s="625"/>
      <c r="BB221" s="586"/>
      <c r="BC221" s="685"/>
      <c r="BD221" s="586"/>
      <c r="BE221" s="625"/>
      <c r="BF221" s="586"/>
      <c r="BG221" s="685"/>
      <c r="BH221" s="586"/>
      <c r="BI221" s="625"/>
      <c r="BJ221" s="682">
        <f>C221+G221+I221+K221+M221+O221+Q221+S221+U221+W221+Y221+AA221+AC221+AE221+AG221+AI221+AK221+AM221+AO221+AQ221+AS221+AU221+AW221+AY221+BB221+BF221</f>
        <v>10631</v>
      </c>
      <c r="BK221" s="595">
        <f>D221+H221+J221+L221+N221+P221+R221+T221+V221+X221+Z221+AB221+AD221+AF221+AH221+AJ221+AL221+AN221+AP221+AR221+AT221+AV221+AX221+AZ221+BD221+BH221</f>
        <v>480725</v>
      </c>
      <c r="BL221" s="541"/>
      <c r="BN221" s="624"/>
      <c r="BO221" s="624"/>
    </row>
    <row r="222" spans="1:1165">
      <c r="A222" s="591"/>
      <c r="B222" s="638"/>
      <c r="C222" s="684"/>
      <c r="D222" s="684"/>
      <c r="E222" s="608"/>
      <c r="F222" s="608"/>
      <c r="G222" s="608"/>
      <c r="H222" s="608"/>
      <c r="I222" s="608"/>
      <c r="J222" s="608"/>
      <c r="K222" s="608"/>
      <c r="L222" s="608"/>
      <c r="M222" s="608"/>
      <c r="N222" s="608"/>
      <c r="O222" s="608"/>
      <c r="P222" s="608"/>
      <c r="Q222" s="608"/>
      <c r="R222" s="608"/>
      <c r="S222" s="608"/>
      <c r="T222" s="608"/>
      <c r="U222" s="586"/>
      <c r="V222" s="586"/>
      <c r="W222" s="586"/>
      <c r="X222" s="608"/>
      <c r="Y222" s="608"/>
      <c r="Z222" s="608"/>
      <c r="AA222" s="623"/>
      <c r="AB222" s="623"/>
      <c r="AC222" s="608"/>
      <c r="AD222" s="608"/>
      <c r="AE222" s="623"/>
      <c r="AF222" s="623"/>
      <c r="AG222" s="586"/>
      <c r="AH222" s="586"/>
      <c r="AI222" s="586"/>
      <c r="AJ222" s="586"/>
      <c r="AK222" s="586"/>
      <c r="AL222" s="586"/>
      <c r="AM222" s="586"/>
      <c r="AN222" s="586"/>
      <c r="AO222" s="586"/>
      <c r="AP222" s="586"/>
      <c r="AQ222" s="586"/>
      <c r="AR222" s="586"/>
      <c r="AS222" s="586"/>
      <c r="AT222" s="586"/>
      <c r="AU222" s="586"/>
      <c r="AV222" s="623"/>
      <c r="AW222" s="682"/>
      <c r="AX222" s="682"/>
      <c r="AY222" s="696"/>
      <c r="AZ222" s="696"/>
      <c r="BA222" s="625"/>
      <c r="BB222" s="682"/>
      <c r="BC222" s="682"/>
      <c r="BD222" s="682"/>
      <c r="BE222" s="682"/>
      <c r="BF222" s="682"/>
      <c r="BG222" s="682"/>
      <c r="BH222" s="682"/>
      <c r="BI222" s="625"/>
      <c r="BJ222" s="682"/>
      <c r="BK222" s="682"/>
      <c r="BL222" s="541"/>
      <c r="BN222" s="624"/>
      <c r="BO222" s="624"/>
    </row>
    <row r="223" spans="1:1165" s="658" customFormat="1">
      <c r="A223" s="577" t="s">
        <v>330</v>
      </c>
      <c r="B223" s="603"/>
      <c r="C223" s="687"/>
      <c r="D223" s="687">
        <f>D14+D16+D18+D20+D27+D29+D40+D42+D44+D57+D59+D67+D69+D71+D84+D108+D110+D112+D114+D116+D131+D136+D143+D148+D150+D152+D154+D167+D169+D171+D180+D182+D187+D189+D191+D197+D199+D201+D203+D205+D212+D217+D219+D221</f>
        <v>16619181608</v>
      </c>
      <c r="E223" s="598"/>
      <c r="F223" s="598">
        <v>2708313125</v>
      </c>
      <c r="G223" s="598"/>
      <c r="H223" s="598">
        <v>2699976770</v>
      </c>
      <c r="I223" s="598"/>
      <c r="J223" s="598">
        <v>3341192354</v>
      </c>
      <c r="K223" s="598"/>
      <c r="L223" s="598">
        <v>3677428832</v>
      </c>
      <c r="M223" s="598"/>
      <c r="N223" s="598">
        <v>4177624611</v>
      </c>
      <c r="O223" s="598"/>
      <c r="P223" s="598">
        <v>5233201179</v>
      </c>
      <c r="Q223" s="598"/>
      <c r="R223" s="598">
        <f>R14+R29+R40+R44+R57+R59+R67+R69+R71+R84+R108+R112+R116+R131+R136+R143+R148+R150+R152+R167+R171+R180+R186+R191+R197+R199+R203+R205+R212+R219+R221</f>
        <v>5485424979</v>
      </c>
      <c r="S223" s="598"/>
      <c r="T223" s="598">
        <f>T14+T29+T40+T44+T57+T59+T67+T69+T71+T84+T108+T112+T116+T131+T136+T143+T148+T150+T152+T167+T171+T180+T186+T191+T197+T199+T203+T205+T212+T219+T221</f>
        <v>6335662557.1999998</v>
      </c>
      <c r="U223" s="579"/>
      <c r="V223" s="598">
        <f>V14+V29+V40+V44+V57+V59+V67+V69+V71+V84+V108+V112+V116+V131+V136+V143+V148+V150+V152+V167+V171+V180+V186+V191+V197+V199+V203+V205+V212+V219+V221</f>
        <v>7176228736</v>
      </c>
      <c r="W223" s="704"/>
      <c r="X223" s="598">
        <f>X14+X29+X40+X44+X57+X59+X67+X69+X71+X84+X108+X112+X116+X131+X136+X143+X148+X150+X152+X167+X171+X180+X186+X191+X197+X199+X203+X205+X212+X219+X221</f>
        <v>9590712045.2000008</v>
      </c>
      <c r="Y223" s="581"/>
      <c r="Z223" s="598">
        <f>Z14+Z29+Z40+Z44+Z57+Z59+Z67+Z69+Z71+Z84+Z108+Z112+Z116+Z131+Z136+Z143+Z148+Z150+Z152+Z167+Z171+Z180+Z186+Z191+Z197+Z199+Z203+Z205+Z212+Z219+Z221</f>
        <v>11977641391</v>
      </c>
      <c r="AA223" s="619"/>
      <c r="AB223" s="598">
        <f>AB14+AB29+AB40+AB44+AB57+AB59+AB67+AB69+AB71+AB84+AB108+AB112+AB116+AB131+AB136+AB143+AB148+AB150+AB152+AB167+AB171+AB180+AB186+AB191+AB197+AB199+AB203+AB205+AB212+AB219+AB221</f>
        <v>12157379170.4</v>
      </c>
      <c r="AC223" s="581"/>
      <c r="AD223" s="598">
        <f>AD14+AD29+AD40+AD44+AD57+AD59+AD67+AD69+AD71+AD84+AD108+AD112+AD116+AD131+AD136+AD143+AD148+AD150+AD152+AD167+AD171+AD180+AD186+AD191+AD197+AD199+AD203+AD205+AD212+AD219+AD221</f>
        <v>12137870814</v>
      </c>
      <c r="AE223" s="711"/>
      <c r="AF223" s="598">
        <f>AF14+AF29+AF40+AF44+AF57+AF59+AF67+AF69+AF71+AF84+AF108+AF112+AF116+AF131+AF136+AF143+AF148+AF150+AF152+AF167+AF171+AF180+AF186+AF191+AF197+AF199+AF203+AF205+AF212+AF219+AF221</f>
        <v>12419140609</v>
      </c>
      <c r="AG223" s="711"/>
      <c r="AH223" s="598">
        <f>AH14+AH29+AH40+AH44+AH57+AH59+AH67+AH69+AH71+AH84+AH108+AH112+AH116+AH131+AH136+AH143+AH148+AH150+AH152+AH167+AH171+AH180+AH186+AH191+AH197+AH199+AH203+AH205+AH212+AH219+AH221</f>
        <v>13313867454</v>
      </c>
      <c r="AI223" s="619"/>
      <c r="AJ223" s="598">
        <f>AJ14+AJ29+AJ40+AJ44+AJ57+AJ59+AJ67+AJ69+AJ71+AJ84+AJ108+AJ112+AJ116+AJ131+AJ136+AJ143+AJ148+AJ150+AJ152+AJ167+AJ171+AJ180+AJ186+AJ191+AJ197+AJ199+AJ203+AJ205+AJ212+AJ219+AJ221</f>
        <v>15163367586</v>
      </c>
      <c r="AK223" s="711"/>
      <c r="AL223" s="598">
        <f>AL14+AL29+AL40+AL44+AL57+AL59+AL67+AL69+AL71+AL84+AL108+AL112+AL116+AL131+AL136+AL143+AL148+AL150+AL152+AL167+AL171+AL180+AL186+AL191+AL197+AL199+AL203+AL205+AL212+AL219+AL221</f>
        <v>16479030222.356386</v>
      </c>
      <c r="AM223" s="711"/>
      <c r="AN223" s="598">
        <f>AN14+AN29+AN40+AN44+AN57+AN59+AN67+AN69+AN71+AN84+AN108+AN112+AN116+AN131+AN136+AN143+AN148+AN150+AN152+AN167+AN171+AN180+AN186+AN191+AN197+AN199+AN203+AN205+AN212+AN219+AN221</f>
        <v>17419300728.13364</v>
      </c>
      <c r="AO223" s="712"/>
      <c r="AP223" s="598">
        <f>AP14+AP29+AP40+AP44+AP57+AP59+AP67+AP69+AP71+AP84+AP108+AP112+AP116+AP131+AP136+AP143+AP148+AP150+AP152+AP167+AP171+AP180+AP186+AP191+AP197+AP199+AP203+AP205+AP212+AP219+AP221</f>
        <v>17779448966</v>
      </c>
      <c r="AQ223" s="711"/>
      <c r="AR223" s="598">
        <f>AR14+AR29+AR40+AR44+AR57+AR59+AR67+AR69+AR71+AR84+AR108+AR112+AR116+AR131+AR136+AR143+AR148+AR150+AR152+AR167+AR171+AR180+AR186+AR191+AR197+AR199+AR203+AR205+AR212+AR219+AR221</f>
        <v>17466533637.446514</v>
      </c>
      <c r="AS223" s="711"/>
      <c r="AT223" s="598">
        <f>AT14+AT29+AT40+AT44+AT57+AT59+AT67+AT69+AT71+AT84+AT108+AT112+AT116+AT131+AT136+AT143+AT148+AT150+AT152+AT167+AT171+AT180+AT186+AT191+AT197+AT199+AT203+AT205+AT212+AT219+AT221</f>
        <v>26216137904.155067</v>
      </c>
      <c r="AU223" s="618"/>
      <c r="AV223" s="598">
        <f>AV14+AV29+AV40+AV44+AV57+AV59+AV67+AV69+AV71+AV84+AV108+AV112+AV116+AV131+AV136+AV143+AV148+AV150+AV152+AV167+AV171+AV180+AV186+AV191+AV197+AV199+AV203+AV205+AV212+AV219+AV221</f>
        <v>27893967339.36834</v>
      </c>
      <c r="AW223" s="667"/>
      <c r="AX223" s="667">
        <f>AX14+AX29+AX40+AX44+AX57+AX59+AX67+AX69+AX71+AX84+AX108+AX112+AX116+AX131+AX136+AX143+AX148+AX150+AX152+AX167+AX171+AX180+AX186+AX191+AX197+AX199+AX203+AX205+AX212+AX219+AX221</f>
        <v>27484757977</v>
      </c>
      <c r="AY223" s="713"/>
      <c r="AZ223" s="667">
        <f>AZ14+AZ29+AZ40+AZ44+AZ57+AZ59+AZ67+AZ69+AZ71+AZ84+AZ108+AZ112+AZ116+AZ131+AZ136+AZ143+AZ148+AZ150+AZ152+AZ167+AZ171+AZ180+AZ186+AZ191+AZ197+AZ199+AZ203+AZ205+AZ212+AZ219+AZ221</f>
        <v>26685925730.330002</v>
      </c>
      <c r="BA223" s="618"/>
      <c r="BB223" s="667"/>
      <c r="BC223" s="667"/>
      <c r="BD223" s="667"/>
      <c r="BE223" s="664"/>
      <c r="BF223" s="667"/>
      <c r="BG223" s="667"/>
      <c r="BH223" s="667"/>
      <c r="BI223" s="618"/>
      <c r="BJ223" s="667"/>
      <c r="BK223" s="667">
        <f>D223+H223+J223+L223+N223+P223+R223+T223+V223+X223+Z223+AB223+AD223+AF223+AH223+AJ223+AL223+AN223+AP223+AR223+AT223+AV223+AX223+AZ223+BD223+BH223</f>
        <v>318931003200.5899</v>
      </c>
      <c r="BL223" s="541"/>
      <c r="BM223" s="541"/>
      <c r="BN223" s="624"/>
      <c r="BO223" s="624"/>
      <c r="BP223" s="541"/>
      <c r="BQ223" s="541"/>
      <c r="BR223" s="541"/>
      <c r="BS223" s="541"/>
      <c r="BT223" s="541"/>
      <c r="BU223" s="541"/>
      <c r="BV223" s="541"/>
      <c r="BW223" s="541"/>
      <c r="BX223" s="541"/>
      <c r="BY223" s="541"/>
      <c r="BZ223" s="541"/>
      <c r="CA223" s="541"/>
      <c r="CB223" s="541"/>
      <c r="CC223" s="541"/>
      <c r="CD223" s="541"/>
      <c r="CE223" s="541"/>
      <c r="CF223" s="541"/>
      <c r="CG223" s="541"/>
      <c r="CH223" s="541"/>
      <c r="CI223" s="541"/>
      <c r="CJ223" s="541"/>
      <c r="CK223" s="541"/>
      <c r="CL223" s="541"/>
      <c r="CM223" s="541"/>
      <c r="CN223" s="541"/>
      <c r="CO223" s="541"/>
      <c r="CP223" s="541"/>
      <c r="CQ223" s="541"/>
      <c r="CR223" s="541"/>
      <c r="CS223" s="541"/>
      <c r="CT223" s="541"/>
      <c r="CU223" s="541"/>
      <c r="CV223" s="541"/>
      <c r="CW223" s="541"/>
      <c r="CX223" s="541"/>
      <c r="CY223" s="541"/>
      <c r="CZ223" s="541"/>
      <c r="DA223" s="541"/>
      <c r="DB223" s="541"/>
      <c r="DC223" s="541"/>
      <c r="DD223" s="541"/>
      <c r="DE223" s="541"/>
      <c r="DF223" s="541"/>
      <c r="DG223" s="541"/>
      <c r="DH223" s="541"/>
      <c r="DI223" s="541"/>
      <c r="DJ223" s="541"/>
      <c r="DK223" s="541"/>
      <c r="DL223" s="541"/>
      <c r="DM223" s="541"/>
      <c r="DN223" s="541"/>
      <c r="DO223" s="541"/>
      <c r="DP223" s="541"/>
      <c r="DQ223" s="541"/>
      <c r="DR223" s="541"/>
      <c r="DS223" s="541"/>
      <c r="DT223" s="541"/>
      <c r="DU223" s="541"/>
      <c r="DV223" s="541"/>
      <c r="DW223" s="541"/>
      <c r="DX223" s="541"/>
      <c r="DY223" s="541"/>
      <c r="DZ223" s="541"/>
      <c r="EA223" s="541"/>
      <c r="EB223" s="541"/>
      <c r="EC223" s="541"/>
      <c r="ED223" s="541"/>
      <c r="EE223" s="541"/>
      <c r="EF223" s="541"/>
      <c r="EG223" s="541"/>
      <c r="EH223" s="541"/>
      <c r="EI223" s="541"/>
      <c r="EJ223" s="541"/>
      <c r="EK223" s="541"/>
      <c r="EL223" s="541"/>
      <c r="EM223" s="541"/>
      <c r="EN223" s="541"/>
      <c r="EO223" s="541"/>
      <c r="EP223" s="541"/>
      <c r="EQ223" s="541"/>
      <c r="ER223" s="541"/>
      <c r="ES223" s="541"/>
      <c r="ET223" s="541"/>
      <c r="EU223" s="541"/>
      <c r="EV223" s="541"/>
      <c r="EW223" s="541"/>
      <c r="EX223" s="541"/>
      <c r="EY223" s="541"/>
      <c r="EZ223" s="541"/>
      <c r="FA223" s="541"/>
      <c r="FB223" s="541"/>
      <c r="FC223" s="541"/>
      <c r="FD223" s="541"/>
      <c r="FE223" s="541"/>
      <c r="FF223" s="541"/>
      <c r="FG223" s="541"/>
      <c r="FH223" s="541"/>
      <c r="FI223" s="541"/>
      <c r="FJ223" s="541"/>
      <c r="FK223" s="541"/>
      <c r="FL223" s="541"/>
      <c r="FM223" s="541"/>
      <c r="FN223" s="541"/>
      <c r="FO223" s="541"/>
      <c r="FP223" s="541"/>
      <c r="FQ223" s="541"/>
      <c r="FR223" s="541"/>
      <c r="FS223" s="541"/>
      <c r="FT223" s="541"/>
      <c r="FU223" s="541"/>
      <c r="FV223" s="541"/>
      <c r="FW223" s="541"/>
      <c r="FX223" s="541"/>
      <c r="FY223" s="541"/>
      <c r="FZ223" s="541"/>
      <c r="GA223" s="541"/>
      <c r="GB223" s="541"/>
      <c r="GC223" s="541"/>
      <c r="GD223" s="541"/>
      <c r="GE223" s="541"/>
      <c r="GF223" s="541"/>
      <c r="GG223" s="541"/>
      <c r="GH223" s="541"/>
      <c r="GI223" s="541"/>
      <c r="GJ223" s="541"/>
      <c r="GK223" s="541"/>
      <c r="GL223" s="541"/>
      <c r="GM223" s="541"/>
      <c r="GN223" s="541"/>
      <c r="GO223" s="541"/>
      <c r="GP223" s="541"/>
      <c r="GQ223" s="541"/>
      <c r="GR223" s="541"/>
      <c r="GS223" s="541"/>
      <c r="GT223" s="541"/>
      <c r="GU223" s="541"/>
      <c r="GV223" s="541"/>
      <c r="GW223" s="541"/>
      <c r="GX223" s="541"/>
      <c r="GY223" s="541"/>
      <c r="GZ223" s="541"/>
      <c r="HA223" s="541"/>
      <c r="HB223" s="541"/>
      <c r="HC223" s="541"/>
      <c r="HD223" s="541"/>
      <c r="HE223" s="541"/>
      <c r="HF223" s="541"/>
      <c r="HG223" s="541"/>
      <c r="HH223" s="541"/>
      <c r="HI223" s="541"/>
      <c r="HJ223" s="541"/>
      <c r="HK223" s="541"/>
      <c r="HL223" s="541"/>
      <c r="HM223" s="541"/>
      <c r="HN223" s="541"/>
      <c r="HO223" s="541"/>
      <c r="HP223" s="541"/>
      <c r="HQ223" s="541"/>
      <c r="HR223" s="541"/>
      <c r="HS223" s="541"/>
      <c r="HT223" s="541"/>
      <c r="HU223" s="541"/>
      <c r="HV223" s="541"/>
      <c r="HW223" s="541"/>
      <c r="HX223" s="541"/>
      <c r="HY223" s="541"/>
      <c r="HZ223" s="541"/>
      <c r="IA223" s="541"/>
      <c r="IB223" s="541"/>
      <c r="IC223" s="541"/>
      <c r="ID223" s="541"/>
      <c r="IE223" s="541"/>
      <c r="IF223" s="541"/>
      <c r="IG223" s="541"/>
      <c r="IH223" s="541"/>
      <c r="II223" s="541"/>
      <c r="IJ223" s="541"/>
      <c r="IK223" s="541"/>
      <c r="IL223" s="541"/>
      <c r="IM223" s="541"/>
      <c r="IN223" s="541"/>
      <c r="IO223" s="541"/>
      <c r="IP223" s="541"/>
      <c r="IQ223" s="541"/>
      <c r="IR223" s="541"/>
      <c r="IS223" s="541"/>
      <c r="IT223" s="541"/>
      <c r="IU223" s="541"/>
      <c r="IV223" s="541"/>
      <c r="IW223" s="541"/>
      <c r="IX223" s="541"/>
      <c r="IY223" s="541"/>
      <c r="IZ223" s="541"/>
      <c r="JA223" s="541"/>
      <c r="JB223" s="541"/>
      <c r="JC223" s="541"/>
      <c r="JD223" s="541"/>
      <c r="JE223" s="541"/>
      <c r="JF223" s="541"/>
      <c r="JG223" s="541"/>
      <c r="JH223" s="541"/>
      <c r="JI223" s="541"/>
      <c r="JJ223" s="541"/>
      <c r="JK223" s="541"/>
      <c r="JL223" s="541"/>
      <c r="JM223" s="541"/>
      <c r="JN223" s="541"/>
      <c r="JO223" s="541"/>
      <c r="JP223" s="541"/>
      <c r="JQ223" s="541"/>
      <c r="JR223" s="541"/>
      <c r="JS223" s="541"/>
      <c r="JT223" s="541"/>
      <c r="JU223" s="541"/>
      <c r="JV223" s="541"/>
      <c r="JW223" s="541"/>
      <c r="JX223" s="541"/>
      <c r="JY223" s="541"/>
      <c r="JZ223" s="541"/>
      <c r="KA223" s="541"/>
      <c r="KB223" s="541"/>
      <c r="KC223" s="541"/>
      <c r="KD223" s="541"/>
      <c r="KE223" s="541"/>
      <c r="KF223" s="541"/>
      <c r="KG223" s="541"/>
      <c r="KH223" s="541"/>
      <c r="KI223" s="541"/>
      <c r="KJ223" s="541"/>
      <c r="KK223" s="541"/>
      <c r="KL223" s="541"/>
      <c r="KM223" s="541"/>
      <c r="KN223" s="541"/>
      <c r="KO223" s="541"/>
      <c r="KP223" s="541"/>
      <c r="KQ223" s="541"/>
      <c r="KR223" s="541"/>
      <c r="KS223" s="541"/>
      <c r="KT223" s="541"/>
      <c r="KU223" s="541"/>
      <c r="KV223" s="541"/>
      <c r="KW223" s="541"/>
      <c r="KX223" s="541"/>
      <c r="KY223" s="541"/>
      <c r="KZ223" s="541"/>
      <c r="LA223" s="541"/>
      <c r="LB223" s="541"/>
      <c r="LC223" s="541"/>
      <c r="LD223" s="541"/>
      <c r="LE223" s="541"/>
      <c r="LF223" s="541"/>
      <c r="LG223" s="541"/>
      <c r="LH223" s="541"/>
      <c r="LI223" s="541"/>
      <c r="LJ223" s="541"/>
      <c r="LK223" s="541"/>
      <c r="LL223" s="541"/>
      <c r="LM223" s="541"/>
      <c r="LN223" s="541"/>
      <c r="LO223" s="541"/>
      <c r="LP223" s="541"/>
      <c r="LQ223" s="541"/>
      <c r="LR223" s="541"/>
      <c r="LS223" s="541"/>
      <c r="LT223" s="541"/>
      <c r="LU223" s="541"/>
      <c r="LV223" s="541"/>
      <c r="LW223" s="541"/>
      <c r="LX223" s="541"/>
      <c r="LY223" s="541"/>
      <c r="LZ223" s="541"/>
      <c r="MA223" s="541"/>
      <c r="MB223" s="541"/>
      <c r="MC223" s="541"/>
      <c r="MD223" s="541"/>
      <c r="ME223" s="541"/>
      <c r="MF223" s="541"/>
      <c r="MG223" s="541"/>
      <c r="MH223" s="541"/>
      <c r="MI223" s="541"/>
      <c r="MJ223" s="541"/>
      <c r="MK223" s="541"/>
      <c r="ML223" s="541"/>
      <c r="MM223" s="541"/>
      <c r="MN223" s="541"/>
      <c r="MO223" s="541"/>
      <c r="MP223" s="541"/>
      <c r="MQ223" s="541"/>
      <c r="MR223" s="541"/>
      <c r="MS223" s="541"/>
      <c r="MT223" s="541"/>
      <c r="MU223" s="541"/>
      <c r="MV223" s="541"/>
      <c r="MW223" s="541"/>
      <c r="MX223" s="541"/>
      <c r="MY223" s="541"/>
      <c r="MZ223" s="541"/>
      <c r="NA223" s="541"/>
      <c r="NB223" s="541"/>
      <c r="NC223" s="541"/>
      <c r="ND223" s="541"/>
      <c r="NE223" s="541"/>
      <c r="NF223" s="541"/>
      <c r="NG223" s="541"/>
      <c r="NH223" s="541"/>
      <c r="NI223" s="541"/>
      <c r="NJ223" s="541"/>
      <c r="NK223" s="541"/>
      <c r="NL223" s="541"/>
      <c r="NM223" s="541"/>
      <c r="NN223" s="541"/>
      <c r="NO223" s="541"/>
      <c r="NP223" s="541"/>
      <c r="NQ223" s="541"/>
      <c r="NR223" s="541"/>
      <c r="NS223" s="541"/>
      <c r="NT223" s="541"/>
      <c r="NU223" s="541"/>
      <c r="NV223" s="541"/>
      <c r="NW223" s="541"/>
      <c r="NX223" s="541"/>
      <c r="NY223" s="541"/>
      <c r="NZ223" s="541"/>
      <c r="OA223" s="541"/>
      <c r="OB223" s="541"/>
      <c r="OC223" s="541"/>
      <c r="OD223" s="541"/>
      <c r="OE223" s="541"/>
      <c r="OF223" s="541"/>
      <c r="OG223" s="541"/>
      <c r="OH223" s="541"/>
      <c r="OI223" s="541"/>
      <c r="OJ223" s="541"/>
      <c r="OK223" s="541"/>
      <c r="OL223" s="541"/>
      <c r="OM223" s="541"/>
      <c r="ON223" s="541"/>
      <c r="OO223" s="541"/>
      <c r="OP223" s="541"/>
      <c r="OQ223" s="541"/>
      <c r="OR223" s="541"/>
      <c r="OS223" s="541"/>
      <c r="OT223" s="541"/>
      <c r="OU223" s="541"/>
      <c r="OV223" s="541"/>
      <c r="OW223" s="541"/>
      <c r="OX223" s="541"/>
      <c r="OY223" s="541"/>
      <c r="OZ223" s="541"/>
      <c r="PA223" s="541"/>
      <c r="PB223" s="541"/>
      <c r="PC223" s="541"/>
      <c r="PD223" s="541"/>
      <c r="PE223" s="541"/>
      <c r="PF223" s="541"/>
      <c r="PG223" s="541"/>
      <c r="PH223" s="541"/>
      <c r="PI223" s="541"/>
      <c r="PJ223" s="541"/>
      <c r="PK223" s="541"/>
      <c r="PL223" s="541"/>
      <c r="PM223" s="541"/>
      <c r="PN223" s="541"/>
      <c r="PO223" s="541"/>
      <c r="PP223" s="541"/>
      <c r="PQ223" s="541"/>
      <c r="PR223" s="541"/>
      <c r="PS223" s="541"/>
      <c r="PT223" s="541"/>
      <c r="PU223" s="541"/>
      <c r="PV223" s="541"/>
      <c r="PW223" s="541"/>
      <c r="PX223" s="541"/>
      <c r="PY223" s="541"/>
      <c r="PZ223" s="541"/>
      <c r="QA223" s="541"/>
      <c r="QB223" s="541"/>
      <c r="QC223" s="541"/>
      <c r="QD223" s="541"/>
      <c r="QE223" s="541"/>
      <c r="QF223" s="541"/>
      <c r="QG223" s="541"/>
      <c r="QH223" s="541"/>
      <c r="QI223" s="541"/>
      <c r="QJ223" s="541"/>
      <c r="QK223" s="541"/>
      <c r="QL223" s="541"/>
      <c r="QM223" s="541"/>
      <c r="QN223" s="541"/>
      <c r="QO223" s="541"/>
      <c r="QP223" s="541"/>
      <c r="QQ223" s="541"/>
      <c r="QR223" s="541"/>
      <c r="QS223" s="541"/>
      <c r="QT223" s="541"/>
      <c r="QU223" s="541"/>
      <c r="QV223" s="541"/>
      <c r="QW223" s="541"/>
      <c r="QX223" s="541"/>
      <c r="QY223" s="541"/>
      <c r="QZ223" s="541"/>
      <c r="RA223" s="541"/>
      <c r="RB223" s="541"/>
      <c r="RC223" s="541"/>
      <c r="RD223" s="541"/>
      <c r="RE223" s="541"/>
      <c r="RF223" s="541"/>
      <c r="RG223" s="541"/>
      <c r="RH223" s="541"/>
      <c r="RI223" s="541"/>
      <c r="RJ223" s="541"/>
      <c r="RK223" s="541"/>
      <c r="RL223" s="541"/>
      <c r="RM223" s="541"/>
      <c r="RN223" s="541"/>
      <c r="RO223" s="541"/>
      <c r="RP223" s="541"/>
      <c r="RQ223" s="541"/>
      <c r="RR223" s="541"/>
      <c r="RS223" s="541"/>
      <c r="RT223" s="541"/>
      <c r="RU223" s="541"/>
      <c r="RV223" s="541"/>
      <c r="RW223" s="541"/>
      <c r="RX223" s="541"/>
      <c r="RY223" s="541"/>
      <c r="RZ223" s="541"/>
      <c r="SA223" s="541"/>
      <c r="SB223" s="541"/>
      <c r="SC223" s="541"/>
      <c r="SD223" s="541"/>
      <c r="SE223" s="541"/>
      <c r="SF223" s="541"/>
      <c r="SG223" s="541"/>
      <c r="SH223" s="541"/>
      <c r="SI223" s="541"/>
      <c r="SJ223" s="541"/>
      <c r="SK223" s="541"/>
      <c r="SL223" s="541"/>
      <c r="SM223" s="541"/>
      <c r="SN223" s="541"/>
      <c r="SO223" s="541"/>
      <c r="SP223" s="541"/>
      <c r="SQ223" s="541"/>
      <c r="SR223" s="541"/>
      <c r="SS223" s="541"/>
      <c r="ST223" s="541"/>
      <c r="SU223" s="541"/>
      <c r="SV223" s="541"/>
      <c r="SW223" s="541"/>
      <c r="SX223" s="541"/>
      <c r="SY223" s="541"/>
      <c r="SZ223" s="541"/>
      <c r="TA223" s="541"/>
      <c r="TB223" s="541"/>
      <c r="TC223" s="541"/>
      <c r="TD223" s="541"/>
      <c r="TE223" s="541"/>
      <c r="TF223" s="541"/>
      <c r="TG223" s="541"/>
      <c r="TH223" s="541"/>
      <c r="TI223" s="541"/>
      <c r="TJ223" s="541"/>
      <c r="TK223" s="541"/>
      <c r="TL223" s="541"/>
      <c r="TM223" s="541"/>
      <c r="TN223" s="541"/>
      <c r="TO223" s="541"/>
      <c r="TP223" s="541"/>
      <c r="TQ223" s="541"/>
      <c r="TR223" s="541"/>
      <c r="TS223" s="541"/>
      <c r="TT223" s="541"/>
      <c r="TU223" s="541"/>
      <c r="TV223" s="541"/>
      <c r="TW223" s="541"/>
      <c r="TX223" s="541"/>
      <c r="TY223" s="541"/>
      <c r="TZ223" s="541"/>
      <c r="UA223" s="541"/>
      <c r="UB223" s="541"/>
      <c r="UC223" s="541"/>
      <c r="UD223" s="541"/>
      <c r="UE223" s="541"/>
      <c r="UF223" s="541"/>
      <c r="UG223" s="541"/>
      <c r="UH223" s="541"/>
      <c r="UI223" s="541"/>
      <c r="UJ223" s="541"/>
      <c r="UK223" s="541"/>
      <c r="UL223" s="541"/>
      <c r="UM223" s="541"/>
      <c r="UN223" s="541"/>
      <c r="UO223" s="541"/>
      <c r="UP223" s="541"/>
      <c r="UQ223" s="541"/>
      <c r="UR223" s="541"/>
      <c r="US223" s="541"/>
      <c r="UT223" s="541"/>
      <c r="UU223" s="541"/>
      <c r="UV223" s="541"/>
      <c r="UW223" s="541"/>
      <c r="UX223" s="541"/>
      <c r="UY223" s="541"/>
      <c r="UZ223" s="541"/>
      <c r="VA223" s="541"/>
      <c r="VB223" s="541"/>
      <c r="VC223" s="541"/>
      <c r="VD223" s="541"/>
      <c r="VE223" s="541"/>
      <c r="VF223" s="541"/>
      <c r="VG223" s="541"/>
      <c r="VH223" s="541"/>
      <c r="VI223" s="541"/>
      <c r="VJ223" s="541"/>
      <c r="VK223" s="541"/>
      <c r="VL223" s="541"/>
      <c r="VM223" s="541"/>
      <c r="VN223" s="541"/>
      <c r="VO223" s="541"/>
      <c r="VP223" s="541"/>
      <c r="VQ223" s="541"/>
      <c r="VR223" s="541"/>
      <c r="VS223" s="541"/>
      <c r="VT223" s="541"/>
      <c r="VU223" s="541"/>
      <c r="VV223" s="541"/>
      <c r="VW223" s="541"/>
      <c r="VX223" s="541"/>
      <c r="VY223" s="541"/>
      <c r="VZ223" s="541"/>
      <c r="WA223" s="541"/>
      <c r="WB223" s="541"/>
      <c r="WC223" s="541"/>
      <c r="WD223" s="541"/>
      <c r="WE223" s="541"/>
      <c r="WF223" s="541"/>
      <c r="WG223" s="541"/>
      <c r="WH223" s="541"/>
      <c r="WI223" s="541"/>
      <c r="WJ223" s="541"/>
      <c r="WK223" s="541"/>
      <c r="WL223" s="541"/>
      <c r="WM223" s="541"/>
      <c r="WN223" s="541"/>
      <c r="WO223" s="541"/>
      <c r="WP223" s="541"/>
      <c r="WQ223" s="541"/>
      <c r="WR223" s="541"/>
      <c r="WS223" s="541"/>
      <c r="WT223" s="541"/>
      <c r="WU223" s="541"/>
      <c r="WV223" s="541"/>
      <c r="WW223" s="541"/>
      <c r="WX223" s="541"/>
      <c r="WY223" s="541"/>
      <c r="WZ223" s="541"/>
      <c r="XA223" s="541"/>
      <c r="XB223" s="541"/>
      <c r="XC223" s="541"/>
      <c r="XD223" s="541"/>
      <c r="XE223" s="541"/>
      <c r="XF223" s="541"/>
      <c r="XG223" s="541"/>
      <c r="XH223" s="541"/>
      <c r="XI223" s="541"/>
      <c r="XJ223" s="541"/>
      <c r="XK223" s="541"/>
      <c r="XL223" s="541"/>
      <c r="XM223" s="541"/>
      <c r="XN223" s="541"/>
      <c r="XO223" s="541"/>
      <c r="XP223" s="541"/>
      <c r="XQ223" s="541"/>
      <c r="XR223" s="541"/>
      <c r="XS223" s="541"/>
      <c r="XT223" s="541"/>
      <c r="XU223" s="541"/>
      <c r="XV223" s="541"/>
      <c r="XW223" s="541"/>
      <c r="XX223" s="541"/>
      <c r="XY223" s="541"/>
      <c r="XZ223" s="541"/>
      <c r="YA223" s="541"/>
      <c r="YB223" s="541"/>
      <c r="YC223" s="541"/>
      <c r="YD223" s="541"/>
      <c r="YE223" s="541"/>
      <c r="YF223" s="541"/>
      <c r="YG223" s="541"/>
      <c r="YH223" s="541"/>
      <c r="YI223" s="541"/>
      <c r="YJ223" s="541"/>
      <c r="YK223" s="541"/>
      <c r="YL223" s="541"/>
      <c r="YM223" s="541"/>
      <c r="YN223" s="541"/>
      <c r="YO223" s="541"/>
      <c r="YP223" s="541"/>
      <c r="YQ223" s="541"/>
      <c r="YR223" s="541"/>
      <c r="YS223" s="541"/>
      <c r="YT223" s="541"/>
      <c r="YU223" s="541"/>
      <c r="YV223" s="541"/>
      <c r="YW223" s="541"/>
      <c r="YX223" s="541"/>
      <c r="YY223" s="541"/>
      <c r="YZ223" s="541"/>
      <c r="ZA223" s="541"/>
      <c r="ZB223" s="541"/>
      <c r="ZC223" s="541"/>
      <c r="ZD223" s="541"/>
      <c r="ZE223" s="541"/>
      <c r="ZF223" s="541"/>
      <c r="ZG223" s="541"/>
      <c r="ZH223" s="541"/>
      <c r="ZI223" s="541"/>
      <c r="ZJ223" s="541"/>
      <c r="ZK223" s="541"/>
      <c r="ZL223" s="541"/>
      <c r="ZM223" s="541"/>
      <c r="ZN223" s="541"/>
      <c r="ZO223" s="541"/>
      <c r="ZP223" s="541"/>
      <c r="ZQ223" s="541"/>
      <c r="ZR223" s="541"/>
      <c r="ZS223" s="541"/>
      <c r="ZT223" s="541"/>
      <c r="ZU223" s="541"/>
      <c r="ZV223" s="541"/>
      <c r="ZW223" s="541"/>
      <c r="ZX223" s="541"/>
      <c r="ZY223" s="541"/>
      <c r="ZZ223" s="541"/>
      <c r="AAA223" s="541"/>
      <c r="AAB223" s="541"/>
      <c r="AAC223" s="541"/>
      <c r="AAD223" s="541"/>
      <c r="AAE223" s="541"/>
      <c r="AAF223" s="541"/>
      <c r="AAG223" s="541"/>
      <c r="AAH223" s="541"/>
      <c r="AAI223" s="541"/>
      <c r="AAJ223" s="541"/>
      <c r="AAK223" s="541"/>
      <c r="AAL223" s="541"/>
      <c r="AAM223" s="541"/>
      <c r="AAN223" s="541"/>
      <c r="AAO223" s="541"/>
      <c r="AAP223" s="541"/>
      <c r="AAQ223" s="541"/>
      <c r="AAR223" s="541"/>
      <c r="AAS223" s="541"/>
      <c r="AAT223" s="541"/>
      <c r="AAU223" s="541"/>
      <c r="AAV223" s="541"/>
      <c r="AAW223" s="541"/>
      <c r="AAX223" s="541"/>
      <c r="AAY223" s="541"/>
      <c r="AAZ223" s="541"/>
      <c r="ABA223" s="541"/>
      <c r="ABB223" s="541"/>
      <c r="ABC223" s="541"/>
      <c r="ABD223" s="541"/>
      <c r="ABE223" s="541"/>
      <c r="ABF223" s="541"/>
      <c r="ABG223" s="541"/>
      <c r="ABH223" s="541"/>
      <c r="ABI223" s="541"/>
      <c r="ABJ223" s="541"/>
      <c r="ABK223" s="541"/>
      <c r="ABL223" s="541"/>
      <c r="ABM223" s="541"/>
      <c r="ABN223" s="541"/>
      <c r="ABO223" s="541"/>
      <c r="ABP223" s="541"/>
      <c r="ABQ223" s="541"/>
      <c r="ABR223" s="541"/>
      <c r="ABS223" s="541"/>
      <c r="ABT223" s="541"/>
      <c r="ABU223" s="541"/>
      <c r="ABV223" s="541"/>
      <c r="ABW223" s="541"/>
      <c r="ABX223" s="541"/>
      <c r="ABY223" s="541"/>
      <c r="ABZ223" s="541"/>
      <c r="ACA223" s="541"/>
      <c r="ACB223" s="541"/>
      <c r="ACC223" s="541"/>
      <c r="ACD223" s="541"/>
      <c r="ACE223" s="541"/>
      <c r="ACF223" s="541"/>
      <c r="ACG223" s="541"/>
      <c r="ACH223" s="541"/>
      <c r="ACI223" s="541"/>
      <c r="ACJ223" s="541"/>
      <c r="ACK223" s="541"/>
      <c r="ACL223" s="541"/>
      <c r="ACM223" s="541"/>
      <c r="ACN223" s="541"/>
      <c r="ACO223" s="541"/>
      <c r="ACP223" s="541"/>
      <c r="ACQ223" s="541"/>
      <c r="ACR223" s="541"/>
      <c r="ACS223" s="541"/>
      <c r="ACT223" s="541"/>
      <c r="ACU223" s="541"/>
      <c r="ACV223" s="541"/>
      <c r="ACW223" s="541"/>
      <c r="ACX223" s="541"/>
      <c r="ACY223" s="541"/>
      <c r="ACZ223" s="541"/>
      <c r="ADA223" s="541"/>
      <c r="ADB223" s="541"/>
      <c r="ADC223" s="541"/>
      <c r="ADD223" s="541"/>
      <c r="ADE223" s="541"/>
      <c r="ADF223" s="541"/>
      <c r="ADG223" s="541"/>
      <c r="ADH223" s="541"/>
      <c r="ADI223" s="541"/>
      <c r="ADJ223" s="541"/>
      <c r="ADK223" s="541"/>
      <c r="ADL223" s="541"/>
      <c r="ADM223" s="541"/>
      <c r="ADN223" s="541"/>
      <c r="ADO223" s="541"/>
      <c r="ADP223" s="541"/>
      <c r="ADQ223" s="541"/>
      <c r="ADR223" s="541"/>
      <c r="ADS223" s="541"/>
      <c r="ADT223" s="541"/>
      <c r="ADU223" s="541"/>
      <c r="ADV223" s="541"/>
      <c r="ADW223" s="541"/>
      <c r="ADX223" s="541"/>
      <c r="ADY223" s="541"/>
      <c r="ADZ223" s="541"/>
      <c r="AEA223" s="541"/>
      <c r="AEB223" s="541"/>
      <c r="AEC223" s="541"/>
      <c r="AED223" s="541"/>
      <c r="AEE223" s="541"/>
      <c r="AEF223" s="541"/>
      <c r="AEG223" s="541"/>
      <c r="AEH223" s="541"/>
      <c r="AEI223" s="541"/>
      <c r="AEJ223" s="541"/>
      <c r="AEK223" s="541"/>
      <c r="AEL223" s="541"/>
      <c r="AEM223" s="541"/>
      <c r="AEN223" s="541"/>
      <c r="AEO223" s="541"/>
      <c r="AEP223" s="541"/>
      <c r="AEQ223" s="541"/>
      <c r="AER223" s="541"/>
      <c r="AES223" s="541"/>
      <c r="AET223" s="541"/>
      <c r="AEU223" s="541"/>
      <c r="AEV223" s="541"/>
      <c r="AEW223" s="541"/>
      <c r="AEX223" s="541"/>
      <c r="AEY223" s="541"/>
      <c r="AEZ223" s="541"/>
      <c r="AFA223" s="541"/>
      <c r="AFB223" s="541"/>
      <c r="AFC223" s="541"/>
      <c r="AFD223" s="541"/>
      <c r="AFE223" s="541"/>
      <c r="AFF223" s="541"/>
      <c r="AFG223" s="541"/>
      <c r="AFH223" s="541"/>
      <c r="AFI223" s="541"/>
      <c r="AFJ223" s="541"/>
      <c r="AFK223" s="541"/>
      <c r="AFL223" s="541"/>
      <c r="AFM223" s="541"/>
      <c r="AFN223" s="541"/>
      <c r="AFO223" s="541"/>
      <c r="AFP223" s="541"/>
      <c r="AFQ223" s="541"/>
      <c r="AFR223" s="541"/>
      <c r="AFS223" s="541"/>
      <c r="AFT223" s="541"/>
      <c r="AFU223" s="541"/>
      <c r="AFV223" s="541"/>
      <c r="AFW223" s="541"/>
      <c r="AFX223" s="541"/>
      <c r="AFY223" s="541"/>
      <c r="AFZ223" s="541"/>
      <c r="AGA223" s="541"/>
      <c r="AGB223" s="541"/>
      <c r="AGC223" s="541"/>
      <c r="AGD223" s="541"/>
      <c r="AGE223" s="541"/>
      <c r="AGF223" s="541"/>
      <c r="AGG223" s="541"/>
      <c r="AGH223" s="541"/>
      <c r="AGI223" s="541"/>
      <c r="AGJ223" s="541"/>
      <c r="AGK223" s="541"/>
      <c r="AGL223" s="541"/>
      <c r="AGM223" s="541"/>
      <c r="AGN223" s="541"/>
      <c r="AGO223" s="541"/>
      <c r="AGP223" s="541"/>
      <c r="AGQ223" s="541"/>
      <c r="AGR223" s="541"/>
      <c r="AGS223" s="541"/>
      <c r="AGT223" s="541"/>
      <c r="AGU223" s="541"/>
      <c r="AGV223" s="541"/>
      <c r="AGW223" s="541"/>
      <c r="AGX223" s="541"/>
      <c r="AGY223" s="541"/>
      <c r="AGZ223" s="541"/>
      <c r="AHA223" s="541"/>
      <c r="AHB223" s="541"/>
      <c r="AHC223" s="541"/>
      <c r="AHD223" s="541"/>
      <c r="AHE223" s="541"/>
      <c r="AHF223" s="541"/>
      <c r="AHG223" s="541"/>
      <c r="AHH223" s="541"/>
      <c r="AHI223" s="541"/>
      <c r="AHJ223" s="541"/>
      <c r="AHK223" s="541"/>
      <c r="AHL223" s="541"/>
      <c r="AHM223" s="541"/>
      <c r="AHN223" s="541"/>
      <c r="AHO223" s="541"/>
      <c r="AHP223" s="541"/>
      <c r="AHQ223" s="541"/>
      <c r="AHR223" s="541"/>
      <c r="AHS223" s="541"/>
      <c r="AHT223" s="541"/>
      <c r="AHU223" s="541"/>
      <c r="AHV223" s="541"/>
      <c r="AHW223" s="541"/>
      <c r="AHX223" s="541"/>
      <c r="AHY223" s="541"/>
      <c r="AHZ223" s="541"/>
      <c r="AIA223" s="541"/>
      <c r="AIB223" s="541"/>
      <c r="AIC223" s="541"/>
      <c r="AID223" s="541"/>
      <c r="AIE223" s="541"/>
      <c r="AIF223" s="541"/>
      <c r="AIG223" s="541"/>
      <c r="AIH223" s="541"/>
      <c r="AII223" s="541"/>
      <c r="AIJ223" s="541"/>
      <c r="AIK223" s="541"/>
      <c r="AIL223" s="541"/>
      <c r="AIM223" s="541"/>
      <c r="AIN223" s="541"/>
      <c r="AIO223" s="541"/>
      <c r="AIP223" s="541"/>
      <c r="AIQ223" s="541"/>
      <c r="AIR223" s="541"/>
      <c r="AIS223" s="541"/>
      <c r="AIT223" s="541"/>
      <c r="AIU223" s="541"/>
      <c r="AIV223" s="541"/>
      <c r="AIW223" s="541"/>
      <c r="AIX223" s="541"/>
      <c r="AIY223" s="541"/>
      <c r="AIZ223" s="541"/>
      <c r="AJA223" s="541"/>
      <c r="AJB223" s="541"/>
      <c r="AJC223" s="541"/>
      <c r="AJD223" s="541"/>
      <c r="AJE223" s="541"/>
      <c r="AJF223" s="541"/>
      <c r="AJG223" s="541"/>
      <c r="AJH223" s="541"/>
      <c r="AJI223" s="541"/>
      <c r="AJJ223" s="541"/>
      <c r="AJK223" s="541"/>
      <c r="AJL223" s="541"/>
      <c r="AJM223" s="541"/>
      <c r="AJN223" s="541"/>
      <c r="AJO223" s="541"/>
      <c r="AJP223" s="541"/>
      <c r="AJQ223" s="541"/>
      <c r="AJR223" s="541"/>
      <c r="AJS223" s="541"/>
      <c r="AJT223" s="541"/>
      <c r="AJU223" s="541"/>
      <c r="AJV223" s="541"/>
      <c r="AJW223" s="541"/>
      <c r="AJX223" s="541"/>
      <c r="AJY223" s="541"/>
      <c r="AJZ223" s="541"/>
      <c r="AKA223" s="541"/>
      <c r="AKB223" s="541"/>
      <c r="AKC223" s="541"/>
      <c r="AKD223" s="541"/>
      <c r="AKE223" s="541"/>
      <c r="AKF223" s="541"/>
      <c r="AKG223" s="541"/>
      <c r="AKH223" s="541"/>
      <c r="AKI223" s="541"/>
      <c r="AKJ223" s="541"/>
      <c r="AKK223" s="541"/>
      <c r="AKL223" s="541"/>
      <c r="AKM223" s="541"/>
      <c r="AKN223" s="541"/>
      <c r="AKO223" s="541"/>
      <c r="AKP223" s="541"/>
      <c r="AKQ223" s="541"/>
      <c r="AKR223" s="541"/>
      <c r="AKS223" s="541"/>
      <c r="AKT223" s="541"/>
      <c r="AKU223" s="541"/>
      <c r="AKV223" s="541"/>
      <c r="AKW223" s="541"/>
      <c r="AKX223" s="541"/>
      <c r="AKY223" s="541"/>
      <c r="AKZ223" s="541"/>
      <c r="ALA223" s="541"/>
      <c r="ALB223" s="541"/>
      <c r="ALC223" s="541"/>
      <c r="ALD223" s="541"/>
      <c r="ALE223" s="541"/>
      <c r="ALF223" s="541"/>
      <c r="ALG223" s="541"/>
      <c r="ALH223" s="541"/>
      <c r="ALI223" s="541"/>
      <c r="ALJ223" s="541"/>
      <c r="ALK223" s="541"/>
      <c r="ALL223" s="541"/>
      <c r="ALM223" s="541"/>
      <c r="ALN223" s="541"/>
      <c r="ALO223" s="541"/>
      <c r="ALP223" s="541"/>
      <c r="ALQ223" s="541"/>
      <c r="ALR223" s="541"/>
      <c r="ALS223" s="541"/>
      <c r="ALT223" s="541"/>
      <c r="ALU223" s="541"/>
      <c r="ALV223" s="541"/>
      <c r="ALW223" s="541"/>
      <c r="ALX223" s="541"/>
      <c r="ALY223" s="541"/>
      <c r="ALZ223" s="541"/>
      <c r="AMA223" s="541"/>
      <c r="AMB223" s="541"/>
      <c r="AMC223" s="541"/>
      <c r="AMD223" s="541"/>
      <c r="AME223" s="541"/>
      <c r="AMF223" s="541"/>
      <c r="AMG223" s="541"/>
      <c r="AMH223" s="541"/>
      <c r="AMI223" s="541"/>
      <c r="AMJ223" s="541"/>
      <c r="AMK223" s="541"/>
      <c r="AML223" s="541"/>
      <c r="AMM223" s="541"/>
      <c r="AMN223" s="541"/>
      <c r="AMO223" s="541"/>
      <c r="AMP223" s="541"/>
      <c r="AMQ223" s="541"/>
      <c r="AMR223" s="541"/>
      <c r="AMS223" s="541"/>
      <c r="AMT223" s="541"/>
      <c r="AMU223" s="541"/>
      <c r="AMV223" s="541"/>
      <c r="AMW223" s="541"/>
      <c r="AMX223" s="541"/>
      <c r="AMY223" s="541"/>
      <c r="AMZ223" s="541"/>
      <c r="ANA223" s="541"/>
      <c r="ANB223" s="541"/>
      <c r="ANC223" s="541"/>
      <c r="AND223" s="541"/>
      <c r="ANE223" s="541"/>
      <c r="ANF223" s="541"/>
      <c r="ANG223" s="541"/>
      <c r="ANH223" s="541"/>
      <c r="ANI223" s="541"/>
      <c r="ANJ223" s="541"/>
      <c r="ANK223" s="541"/>
      <c r="ANL223" s="541"/>
      <c r="ANM223" s="541"/>
      <c r="ANN223" s="541"/>
      <c r="ANO223" s="541"/>
      <c r="ANP223" s="541"/>
      <c r="ANQ223" s="541"/>
      <c r="ANR223" s="541"/>
      <c r="ANS223" s="541"/>
      <c r="ANT223" s="541"/>
      <c r="ANU223" s="541"/>
      <c r="ANV223" s="541"/>
      <c r="ANW223" s="541"/>
      <c r="ANX223" s="541"/>
      <c r="ANY223" s="541"/>
      <c r="ANZ223" s="541"/>
      <c r="AOA223" s="541"/>
      <c r="AOB223" s="541"/>
      <c r="AOC223" s="541"/>
      <c r="AOD223" s="541"/>
      <c r="AOE223" s="541"/>
      <c r="AOF223" s="541"/>
      <c r="AOG223" s="541"/>
      <c r="AOH223" s="541"/>
      <c r="AOI223" s="541"/>
      <c r="AOJ223" s="541"/>
      <c r="AOK223" s="541"/>
      <c r="AOL223" s="541"/>
      <c r="AOM223" s="541"/>
      <c r="AON223" s="541"/>
      <c r="AOO223" s="541"/>
      <c r="AOP223" s="541"/>
      <c r="AOQ223" s="541"/>
      <c r="AOR223" s="541"/>
      <c r="AOS223" s="541"/>
      <c r="AOT223" s="541"/>
      <c r="AOU223" s="541"/>
      <c r="AOV223" s="541"/>
      <c r="AOW223" s="541"/>
      <c r="AOX223" s="541"/>
      <c r="AOY223" s="541"/>
      <c r="AOZ223" s="541"/>
      <c r="APA223" s="541"/>
      <c r="APB223" s="541"/>
      <c r="APC223" s="541"/>
      <c r="APD223" s="541"/>
      <c r="APE223" s="541"/>
      <c r="APF223" s="541"/>
      <c r="APG223" s="541"/>
      <c r="APH223" s="541"/>
      <c r="API223" s="541"/>
      <c r="APJ223" s="541"/>
      <c r="APK223" s="541"/>
      <c r="APL223" s="541"/>
      <c r="APM223" s="541"/>
      <c r="APN223" s="541"/>
      <c r="APO223" s="541"/>
      <c r="APP223" s="541"/>
      <c r="APQ223" s="541"/>
      <c r="APR223" s="541"/>
      <c r="APS223" s="541"/>
      <c r="APT223" s="541"/>
      <c r="APU223" s="541"/>
      <c r="APV223" s="541"/>
      <c r="APW223" s="541"/>
      <c r="APX223" s="541"/>
      <c r="APY223" s="541"/>
      <c r="APZ223" s="541"/>
      <c r="AQA223" s="541"/>
      <c r="AQB223" s="541"/>
      <c r="AQC223" s="541"/>
      <c r="AQD223" s="541"/>
      <c r="AQE223" s="541"/>
      <c r="AQF223" s="541"/>
      <c r="AQG223" s="541"/>
      <c r="AQH223" s="541"/>
      <c r="AQI223" s="541"/>
      <c r="AQJ223" s="541"/>
      <c r="AQK223" s="541"/>
      <c r="AQL223" s="541"/>
      <c r="AQM223" s="541"/>
      <c r="AQN223" s="541"/>
      <c r="AQO223" s="541"/>
      <c r="AQP223" s="541"/>
      <c r="AQQ223" s="541"/>
      <c r="AQR223" s="541"/>
      <c r="AQS223" s="541"/>
      <c r="AQT223" s="541"/>
      <c r="AQU223" s="541"/>
      <c r="AQV223" s="541"/>
      <c r="AQW223" s="541"/>
      <c r="AQX223" s="541"/>
      <c r="AQY223" s="541"/>
      <c r="AQZ223" s="541"/>
      <c r="ARA223" s="541"/>
      <c r="ARB223" s="541"/>
      <c r="ARC223" s="541"/>
      <c r="ARD223" s="541"/>
      <c r="ARE223" s="541"/>
      <c r="ARF223" s="541"/>
      <c r="ARG223" s="541"/>
      <c r="ARH223" s="541"/>
      <c r="ARI223" s="541"/>
      <c r="ARJ223" s="541"/>
      <c r="ARK223" s="541"/>
      <c r="ARL223" s="541"/>
      <c r="ARM223" s="541"/>
      <c r="ARN223" s="541"/>
      <c r="ARO223" s="541"/>
      <c r="ARP223" s="541"/>
      <c r="ARQ223" s="541"/>
      <c r="ARR223" s="541"/>
      <c r="ARS223" s="541"/>
      <c r="ART223" s="541"/>
      <c r="ARU223" s="541"/>
    </row>
    <row r="224" spans="1:1165" s="423" customFormat="1">
      <c r="D224" s="622"/>
      <c r="AW224" s="628"/>
      <c r="AX224" s="624"/>
      <c r="AY224" s="629"/>
      <c r="AZ224" s="595"/>
      <c r="BB224" s="427"/>
      <c r="BC224" s="427"/>
      <c r="BD224" s="427"/>
      <c r="BE224" s="427"/>
      <c r="BF224" s="427"/>
      <c r="BG224" s="427"/>
      <c r="BH224" s="427"/>
      <c r="BK224" s="624"/>
      <c r="BL224" s="541"/>
      <c r="BM224" s="541"/>
      <c r="BN224" s="624"/>
      <c r="BO224" s="624"/>
      <c r="BP224" s="541"/>
      <c r="BQ224" s="541"/>
      <c r="BR224" s="541"/>
      <c r="BS224" s="541"/>
      <c r="BT224" s="541"/>
      <c r="BU224" s="541"/>
      <c r="BV224" s="541"/>
      <c r="BW224" s="541"/>
      <c r="BX224" s="541"/>
      <c r="BY224" s="541"/>
      <c r="BZ224" s="541"/>
      <c r="CA224" s="541"/>
      <c r="CB224" s="541"/>
      <c r="CC224" s="541"/>
      <c r="CD224" s="541"/>
      <c r="CE224" s="541"/>
      <c r="CF224" s="541"/>
      <c r="CG224" s="541"/>
      <c r="CH224" s="541"/>
      <c r="CI224" s="541"/>
      <c r="CJ224" s="541"/>
      <c r="CK224" s="541"/>
      <c r="CL224" s="541"/>
      <c r="CM224" s="541"/>
      <c r="CN224" s="541"/>
      <c r="CO224" s="541"/>
      <c r="CP224" s="541"/>
      <c r="CQ224" s="541"/>
      <c r="CR224" s="541"/>
      <c r="CS224" s="541"/>
      <c r="CT224" s="541"/>
      <c r="CU224" s="541"/>
      <c r="CV224" s="541"/>
      <c r="CW224" s="541"/>
      <c r="CX224" s="541"/>
      <c r="CY224" s="541"/>
      <c r="CZ224" s="541"/>
      <c r="DA224" s="541"/>
      <c r="DB224" s="541"/>
      <c r="DC224" s="541"/>
      <c r="DD224" s="541"/>
      <c r="DE224" s="541"/>
      <c r="DF224" s="541"/>
      <c r="DG224" s="541"/>
      <c r="DH224" s="541"/>
      <c r="DI224" s="541"/>
      <c r="DJ224" s="541"/>
      <c r="DK224" s="541"/>
      <c r="DL224" s="541"/>
      <c r="DM224" s="541"/>
      <c r="DN224" s="541"/>
      <c r="DO224" s="541"/>
      <c r="DP224" s="541"/>
      <c r="DQ224" s="541"/>
      <c r="DR224" s="541"/>
      <c r="DS224" s="541"/>
      <c r="DT224" s="541"/>
      <c r="DU224" s="541"/>
      <c r="DV224" s="541"/>
      <c r="DW224" s="541"/>
      <c r="DX224" s="541"/>
      <c r="DY224" s="541"/>
      <c r="DZ224" s="541"/>
      <c r="EA224" s="541"/>
      <c r="EB224" s="541"/>
      <c r="EC224" s="541"/>
      <c r="ED224" s="541"/>
      <c r="EE224" s="541"/>
      <c r="EF224" s="541"/>
      <c r="EG224" s="541"/>
      <c r="EH224" s="541"/>
      <c r="EI224" s="541"/>
      <c r="EJ224" s="541"/>
      <c r="EK224" s="541"/>
      <c r="EL224" s="541"/>
      <c r="EM224" s="541"/>
      <c r="EN224" s="541"/>
      <c r="EO224" s="541"/>
      <c r="EP224" s="541"/>
      <c r="EQ224" s="541"/>
      <c r="ER224" s="541"/>
      <c r="ES224" s="541"/>
      <c r="ET224" s="541"/>
      <c r="EU224" s="541"/>
      <c r="EV224" s="541"/>
      <c r="EW224" s="541"/>
      <c r="EX224" s="541"/>
      <c r="EY224" s="541"/>
      <c r="EZ224" s="541"/>
      <c r="FA224" s="541"/>
      <c r="FB224" s="541"/>
      <c r="FC224" s="541"/>
      <c r="FD224" s="541"/>
      <c r="FE224" s="541"/>
      <c r="FF224" s="541"/>
      <c r="FG224" s="541"/>
      <c r="FH224" s="541"/>
      <c r="FI224" s="541"/>
      <c r="FJ224" s="541"/>
      <c r="FK224" s="541"/>
      <c r="FL224" s="541"/>
      <c r="FM224" s="541"/>
      <c r="FN224" s="541"/>
      <c r="FO224" s="541"/>
      <c r="FP224" s="541"/>
      <c r="FQ224" s="541"/>
      <c r="FR224" s="541"/>
      <c r="FS224" s="541"/>
      <c r="FT224" s="541"/>
      <c r="FU224" s="541"/>
      <c r="FV224" s="541"/>
      <c r="FW224" s="541"/>
      <c r="FX224" s="541"/>
      <c r="FY224" s="541"/>
      <c r="FZ224" s="541"/>
      <c r="GA224" s="541"/>
      <c r="GB224" s="541"/>
      <c r="GC224" s="541"/>
      <c r="GD224" s="541"/>
      <c r="GE224" s="541"/>
      <c r="GF224" s="541"/>
      <c r="GG224" s="541"/>
      <c r="GH224" s="541"/>
      <c r="GI224" s="541"/>
      <c r="GJ224" s="541"/>
      <c r="GK224" s="541"/>
      <c r="GL224" s="541"/>
      <c r="GM224" s="541"/>
      <c r="GN224" s="541"/>
      <c r="GO224" s="541"/>
      <c r="GP224" s="541"/>
      <c r="GQ224" s="541"/>
      <c r="GR224" s="541"/>
      <c r="GS224" s="541"/>
      <c r="GT224" s="541"/>
      <c r="GU224" s="541"/>
      <c r="GV224" s="541"/>
      <c r="GW224" s="541"/>
      <c r="GX224" s="541"/>
      <c r="GY224" s="541"/>
      <c r="GZ224" s="541"/>
      <c r="HA224" s="541"/>
      <c r="HB224" s="541"/>
      <c r="HC224" s="541"/>
      <c r="HD224" s="541"/>
      <c r="HE224" s="541"/>
      <c r="HF224" s="541"/>
      <c r="HG224" s="541"/>
      <c r="HH224" s="541"/>
      <c r="HI224" s="541"/>
      <c r="HJ224" s="541"/>
      <c r="HK224" s="541"/>
      <c r="HL224" s="541"/>
      <c r="HM224" s="541"/>
      <c r="HN224" s="541"/>
      <c r="HO224" s="541"/>
      <c r="HP224" s="541"/>
      <c r="HQ224" s="541"/>
      <c r="HR224" s="541"/>
      <c r="HS224" s="541"/>
      <c r="HT224" s="541"/>
      <c r="HU224" s="541"/>
      <c r="HV224" s="541"/>
      <c r="HW224" s="541"/>
      <c r="HX224" s="541"/>
      <c r="HY224" s="541"/>
      <c r="HZ224" s="541"/>
      <c r="IA224" s="541"/>
      <c r="IB224" s="541"/>
      <c r="IC224" s="541"/>
      <c r="ID224" s="541"/>
      <c r="IE224" s="541"/>
      <c r="IF224" s="541"/>
      <c r="IG224" s="541"/>
      <c r="IH224" s="541"/>
      <c r="II224" s="541"/>
      <c r="IJ224" s="541"/>
      <c r="IK224" s="541"/>
      <c r="IL224" s="541"/>
      <c r="IM224" s="541"/>
      <c r="IN224" s="541"/>
      <c r="IO224" s="541"/>
      <c r="IP224" s="541"/>
      <c r="IQ224" s="541"/>
      <c r="IR224" s="541"/>
      <c r="IS224" s="541"/>
      <c r="IT224" s="541"/>
      <c r="IU224" s="541"/>
      <c r="IV224" s="541"/>
      <c r="IW224" s="541"/>
      <c r="IX224" s="541"/>
      <c r="IY224" s="541"/>
      <c r="IZ224" s="541"/>
      <c r="JA224" s="541"/>
      <c r="JB224" s="541"/>
      <c r="JC224" s="541"/>
      <c r="JD224" s="541"/>
      <c r="JE224" s="541"/>
      <c r="JF224" s="541"/>
      <c r="JG224" s="541"/>
      <c r="JH224" s="541"/>
      <c r="JI224" s="541"/>
      <c r="JJ224" s="541"/>
      <c r="JK224" s="541"/>
      <c r="JL224" s="541"/>
      <c r="JM224" s="541"/>
      <c r="JN224" s="541"/>
      <c r="JO224" s="541"/>
      <c r="JP224" s="541"/>
      <c r="JQ224" s="541"/>
      <c r="JR224" s="541"/>
      <c r="JS224" s="541"/>
      <c r="JT224" s="541"/>
      <c r="JU224" s="541"/>
      <c r="JV224" s="541"/>
      <c r="JW224" s="541"/>
      <c r="JX224" s="541"/>
      <c r="JY224" s="541"/>
      <c r="JZ224" s="541"/>
      <c r="KA224" s="541"/>
      <c r="KB224" s="541"/>
      <c r="KC224" s="541"/>
      <c r="KD224" s="541"/>
      <c r="KE224" s="541"/>
      <c r="KF224" s="541"/>
      <c r="KG224" s="541"/>
      <c r="KH224" s="541"/>
      <c r="KI224" s="541"/>
      <c r="KJ224" s="541"/>
      <c r="KK224" s="541"/>
      <c r="KL224" s="541"/>
      <c r="KM224" s="541"/>
      <c r="KN224" s="541"/>
      <c r="KO224" s="541"/>
      <c r="KP224" s="541"/>
      <c r="KQ224" s="541"/>
      <c r="KR224" s="541"/>
      <c r="KS224" s="541"/>
      <c r="KT224" s="541"/>
      <c r="KU224" s="541"/>
      <c r="KV224" s="541"/>
      <c r="KW224" s="541"/>
      <c r="KX224" s="541"/>
      <c r="KY224" s="541"/>
      <c r="KZ224" s="541"/>
      <c r="LA224" s="541"/>
      <c r="LB224" s="541"/>
      <c r="LC224" s="541"/>
      <c r="LD224" s="541"/>
      <c r="LE224" s="541"/>
      <c r="LF224" s="541"/>
      <c r="LG224" s="541"/>
      <c r="LH224" s="541"/>
      <c r="LI224" s="541"/>
      <c r="LJ224" s="541"/>
      <c r="LK224" s="541"/>
      <c r="LL224" s="541"/>
      <c r="LM224" s="541"/>
      <c r="LN224" s="541"/>
      <c r="LO224" s="541"/>
      <c r="LP224" s="541"/>
      <c r="LQ224" s="541"/>
      <c r="LR224" s="541"/>
      <c r="LS224" s="541"/>
      <c r="LT224" s="541"/>
      <c r="LU224" s="541"/>
      <c r="LV224" s="541"/>
      <c r="LW224" s="541"/>
      <c r="LX224" s="541"/>
      <c r="LY224" s="541"/>
      <c r="LZ224" s="541"/>
      <c r="MA224" s="541"/>
      <c r="MB224" s="541"/>
      <c r="MC224" s="541"/>
      <c r="MD224" s="541"/>
      <c r="ME224" s="541"/>
      <c r="MF224" s="541"/>
      <c r="MG224" s="541"/>
      <c r="MH224" s="541"/>
      <c r="MI224" s="541"/>
      <c r="MJ224" s="541"/>
      <c r="MK224" s="541"/>
      <c r="ML224" s="541"/>
      <c r="MM224" s="541"/>
      <c r="MN224" s="541"/>
      <c r="MO224" s="541"/>
      <c r="MP224" s="541"/>
      <c r="MQ224" s="541"/>
      <c r="MR224" s="541"/>
      <c r="MS224" s="541"/>
      <c r="MT224" s="541"/>
      <c r="MU224" s="541"/>
      <c r="MV224" s="541"/>
      <c r="MW224" s="541"/>
      <c r="MX224" s="541"/>
      <c r="MY224" s="541"/>
      <c r="MZ224" s="541"/>
      <c r="NA224" s="541"/>
      <c r="NB224" s="541"/>
      <c r="NC224" s="541"/>
      <c r="ND224" s="541"/>
      <c r="NE224" s="541"/>
      <c r="NF224" s="541"/>
      <c r="NG224" s="541"/>
      <c r="NH224" s="541"/>
      <c r="NI224" s="541"/>
      <c r="NJ224" s="541"/>
      <c r="NK224" s="541"/>
      <c r="NL224" s="541"/>
      <c r="NM224" s="541"/>
      <c r="NN224" s="541"/>
      <c r="NO224" s="541"/>
      <c r="NP224" s="541"/>
      <c r="NQ224" s="541"/>
      <c r="NR224" s="541"/>
      <c r="NS224" s="541"/>
      <c r="NT224" s="541"/>
      <c r="NU224" s="541"/>
      <c r="NV224" s="541"/>
      <c r="NW224" s="541"/>
      <c r="NX224" s="541"/>
      <c r="NY224" s="541"/>
      <c r="NZ224" s="541"/>
      <c r="OA224" s="541"/>
      <c r="OB224" s="541"/>
      <c r="OC224" s="541"/>
      <c r="OD224" s="541"/>
      <c r="OE224" s="541"/>
      <c r="OF224" s="541"/>
      <c r="OG224" s="541"/>
      <c r="OH224" s="541"/>
      <c r="OI224" s="541"/>
      <c r="OJ224" s="541"/>
      <c r="OK224" s="541"/>
      <c r="OL224" s="541"/>
      <c r="OM224" s="541"/>
      <c r="ON224" s="541"/>
      <c r="OO224" s="541"/>
      <c r="OP224" s="541"/>
      <c r="OQ224" s="541"/>
      <c r="OR224" s="541"/>
      <c r="OS224" s="541"/>
      <c r="OT224" s="541"/>
      <c r="OU224" s="541"/>
      <c r="OV224" s="541"/>
      <c r="OW224" s="541"/>
      <c r="OX224" s="541"/>
      <c r="OY224" s="541"/>
      <c r="OZ224" s="541"/>
      <c r="PA224" s="541"/>
      <c r="PB224" s="541"/>
      <c r="PC224" s="541"/>
      <c r="PD224" s="541"/>
      <c r="PE224" s="541"/>
      <c r="PF224" s="541"/>
      <c r="PG224" s="541"/>
      <c r="PH224" s="541"/>
      <c r="PI224" s="541"/>
      <c r="PJ224" s="541"/>
      <c r="PK224" s="541"/>
      <c r="PL224" s="541"/>
      <c r="PM224" s="541"/>
      <c r="PN224" s="541"/>
      <c r="PO224" s="541"/>
      <c r="PP224" s="541"/>
      <c r="PQ224" s="541"/>
      <c r="PR224" s="541"/>
      <c r="PS224" s="541"/>
      <c r="PT224" s="541"/>
      <c r="PU224" s="541"/>
      <c r="PV224" s="541"/>
      <c r="PW224" s="541"/>
      <c r="PX224" s="541"/>
      <c r="PY224" s="541"/>
      <c r="PZ224" s="541"/>
      <c r="QA224" s="541"/>
      <c r="QB224" s="541"/>
      <c r="QC224" s="541"/>
      <c r="QD224" s="541"/>
      <c r="QE224" s="541"/>
      <c r="QF224" s="541"/>
      <c r="QG224" s="541"/>
      <c r="QH224" s="541"/>
      <c r="QI224" s="541"/>
      <c r="QJ224" s="541"/>
      <c r="QK224" s="541"/>
      <c r="QL224" s="541"/>
      <c r="QM224" s="541"/>
      <c r="QN224" s="541"/>
      <c r="QO224" s="541"/>
      <c r="QP224" s="541"/>
      <c r="QQ224" s="541"/>
      <c r="QR224" s="541"/>
      <c r="QS224" s="541"/>
      <c r="QT224" s="541"/>
      <c r="QU224" s="541"/>
      <c r="QV224" s="541"/>
      <c r="QW224" s="541"/>
      <c r="QX224" s="541"/>
      <c r="QY224" s="541"/>
      <c r="QZ224" s="541"/>
      <c r="RA224" s="541"/>
      <c r="RB224" s="541"/>
      <c r="RC224" s="541"/>
      <c r="RD224" s="541"/>
      <c r="RE224" s="541"/>
      <c r="RF224" s="541"/>
      <c r="RG224" s="541"/>
      <c r="RH224" s="541"/>
      <c r="RI224" s="541"/>
      <c r="RJ224" s="541"/>
      <c r="RK224" s="541"/>
      <c r="RL224" s="541"/>
      <c r="RM224" s="541"/>
      <c r="RN224" s="541"/>
      <c r="RO224" s="541"/>
      <c r="RP224" s="541"/>
      <c r="RQ224" s="541"/>
      <c r="RR224" s="541"/>
      <c r="RS224" s="541"/>
      <c r="RT224" s="541"/>
      <c r="RU224" s="541"/>
      <c r="RV224" s="541"/>
      <c r="RW224" s="541"/>
      <c r="RX224" s="541"/>
      <c r="RY224" s="541"/>
      <c r="RZ224" s="541"/>
      <c r="SA224" s="541"/>
      <c r="SB224" s="541"/>
      <c r="SC224" s="541"/>
      <c r="SD224" s="541"/>
      <c r="SE224" s="541"/>
      <c r="SF224" s="541"/>
      <c r="SG224" s="541"/>
      <c r="SH224" s="541"/>
      <c r="SI224" s="541"/>
      <c r="SJ224" s="541"/>
      <c r="SK224" s="541"/>
      <c r="SL224" s="541"/>
      <c r="SM224" s="541"/>
      <c r="SN224" s="541"/>
      <c r="SO224" s="541"/>
      <c r="SP224" s="541"/>
      <c r="SQ224" s="541"/>
      <c r="SR224" s="541"/>
      <c r="SS224" s="541"/>
      <c r="ST224" s="541"/>
      <c r="SU224" s="541"/>
      <c r="SV224" s="541"/>
      <c r="SW224" s="541"/>
      <c r="SX224" s="541"/>
      <c r="SY224" s="541"/>
      <c r="SZ224" s="541"/>
      <c r="TA224" s="541"/>
      <c r="TB224" s="541"/>
      <c r="TC224" s="541"/>
      <c r="TD224" s="541"/>
      <c r="TE224" s="541"/>
      <c r="TF224" s="541"/>
      <c r="TG224" s="541"/>
      <c r="TH224" s="541"/>
      <c r="TI224" s="541"/>
      <c r="TJ224" s="541"/>
      <c r="TK224" s="541"/>
      <c r="TL224" s="541"/>
      <c r="TM224" s="541"/>
      <c r="TN224" s="541"/>
      <c r="TO224" s="541"/>
      <c r="TP224" s="541"/>
      <c r="TQ224" s="541"/>
      <c r="TR224" s="541"/>
      <c r="TS224" s="541"/>
      <c r="TT224" s="541"/>
      <c r="TU224" s="541"/>
      <c r="TV224" s="541"/>
      <c r="TW224" s="541"/>
      <c r="TX224" s="541"/>
      <c r="TY224" s="541"/>
      <c r="TZ224" s="541"/>
      <c r="UA224" s="541"/>
      <c r="UB224" s="541"/>
      <c r="UC224" s="541"/>
      <c r="UD224" s="541"/>
      <c r="UE224" s="541"/>
      <c r="UF224" s="541"/>
      <c r="UG224" s="541"/>
      <c r="UH224" s="541"/>
      <c r="UI224" s="541"/>
      <c r="UJ224" s="541"/>
      <c r="UK224" s="541"/>
      <c r="UL224" s="541"/>
      <c r="UM224" s="541"/>
      <c r="UN224" s="541"/>
      <c r="UO224" s="541"/>
      <c r="UP224" s="541"/>
      <c r="UQ224" s="541"/>
      <c r="UR224" s="541"/>
      <c r="US224" s="541"/>
      <c r="UT224" s="541"/>
      <c r="UU224" s="541"/>
      <c r="UV224" s="541"/>
      <c r="UW224" s="541"/>
      <c r="UX224" s="541"/>
      <c r="UY224" s="541"/>
      <c r="UZ224" s="541"/>
      <c r="VA224" s="541"/>
      <c r="VB224" s="541"/>
      <c r="VC224" s="541"/>
      <c r="VD224" s="541"/>
      <c r="VE224" s="541"/>
      <c r="VF224" s="541"/>
      <c r="VG224" s="541"/>
      <c r="VH224" s="541"/>
      <c r="VI224" s="541"/>
      <c r="VJ224" s="541"/>
      <c r="VK224" s="541"/>
      <c r="VL224" s="541"/>
      <c r="VM224" s="541"/>
      <c r="VN224" s="541"/>
      <c r="VO224" s="541"/>
      <c r="VP224" s="541"/>
      <c r="VQ224" s="541"/>
      <c r="VR224" s="541"/>
      <c r="VS224" s="541"/>
      <c r="VT224" s="541"/>
      <c r="VU224" s="541"/>
      <c r="VV224" s="541"/>
      <c r="VW224" s="541"/>
      <c r="VX224" s="541"/>
      <c r="VY224" s="541"/>
      <c r="VZ224" s="541"/>
      <c r="WA224" s="541"/>
      <c r="WB224" s="541"/>
      <c r="WC224" s="541"/>
      <c r="WD224" s="541"/>
      <c r="WE224" s="541"/>
      <c r="WF224" s="541"/>
      <c r="WG224" s="541"/>
      <c r="WH224" s="541"/>
      <c r="WI224" s="541"/>
      <c r="WJ224" s="541"/>
      <c r="WK224" s="541"/>
      <c r="WL224" s="541"/>
      <c r="WM224" s="541"/>
      <c r="WN224" s="541"/>
      <c r="WO224" s="541"/>
      <c r="WP224" s="541"/>
      <c r="WQ224" s="541"/>
      <c r="WR224" s="541"/>
      <c r="WS224" s="541"/>
      <c r="WT224" s="541"/>
      <c r="WU224" s="541"/>
      <c r="WV224" s="541"/>
      <c r="WW224" s="541"/>
      <c r="WX224" s="541"/>
      <c r="WY224" s="541"/>
      <c r="WZ224" s="541"/>
      <c r="XA224" s="541"/>
      <c r="XB224" s="541"/>
      <c r="XC224" s="541"/>
      <c r="XD224" s="541"/>
      <c r="XE224" s="541"/>
      <c r="XF224" s="541"/>
      <c r="XG224" s="541"/>
      <c r="XH224" s="541"/>
      <c r="XI224" s="541"/>
      <c r="XJ224" s="541"/>
      <c r="XK224" s="541"/>
      <c r="XL224" s="541"/>
      <c r="XM224" s="541"/>
      <c r="XN224" s="541"/>
      <c r="XO224" s="541"/>
      <c r="XP224" s="541"/>
      <c r="XQ224" s="541"/>
      <c r="XR224" s="541"/>
      <c r="XS224" s="541"/>
      <c r="XT224" s="541"/>
      <c r="XU224" s="541"/>
      <c r="XV224" s="541"/>
      <c r="XW224" s="541"/>
      <c r="XX224" s="541"/>
      <c r="XY224" s="541"/>
      <c r="XZ224" s="541"/>
      <c r="YA224" s="541"/>
      <c r="YB224" s="541"/>
      <c r="YC224" s="541"/>
      <c r="YD224" s="541"/>
      <c r="YE224" s="541"/>
      <c r="YF224" s="541"/>
      <c r="YG224" s="541"/>
      <c r="YH224" s="541"/>
      <c r="YI224" s="541"/>
      <c r="YJ224" s="541"/>
      <c r="YK224" s="541"/>
      <c r="YL224" s="541"/>
      <c r="YM224" s="541"/>
      <c r="YN224" s="541"/>
      <c r="YO224" s="541"/>
      <c r="YP224" s="541"/>
      <c r="YQ224" s="541"/>
      <c r="YR224" s="541"/>
      <c r="YS224" s="541"/>
      <c r="YT224" s="541"/>
      <c r="YU224" s="541"/>
      <c r="YV224" s="541"/>
      <c r="YW224" s="541"/>
      <c r="YX224" s="541"/>
      <c r="YY224" s="541"/>
      <c r="YZ224" s="541"/>
      <c r="ZA224" s="541"/>
      <c r="ZB224" s="541"/>
      <c r="ZC224" s="541"/>
      <c r="ZD224" s="541"/>
      <c r="ZE224" s="541"/>
      <c r="ZF224" s="541"/>
      <c r="ZG224" s="541"/>
      <c r="ZH224" s="541"/>
      <c r="ZI224" s="541"/>
      <c r="ZJ224" s="541"/>
      <c r="ZK224" s="541"/>
      <c r="ZL224" s="541"/>
      <c r="ZM224" s="541"/>
      <c r="ZN224" s="541"/>
      <c r="ZO224" s="541"/>
      <c r="ZP224" s="541"/>
      <c r="ZQ224" s="541"/>
      <c r="ZR224" s="541"/>
      <c r="ZS224" s="541"/>
      <c r="ZT224" s="541"/>
      <c r="ZU224" s="541"/>
      <c r="ZV224" s="541"/>
      <c r="ZW224" s="541"/>
      <c r="ZX224" s="541"/>
      <c r="ZY224" s="541"/>
      <c r="ZZ224" s="541"/>
      <c r="AAA224" s="541"/>
      <c r="AAB224" s="541"/>
      <c r="AAC224" s="541"/>
      <c r="AAD224" s="541"/>
      <c r="AAE224" s="541"/>
      <c r="AAF224" s="541"/>
      <c r="AAG224" s="541"/>
      <c r="AAH224" s="541"/>
      <c r="AAI224" s="541"/>
      <c r="AAJ224" s="541"/>
      <c r="AAK224" s="541"/>
      <c r="AAL224" s="541"/>
      <c r="AAM224" s="541"/>
      <c r="AAN224" s="541"/>
      <c r="AAO224" s="541"/>
      <c r="AAP224" s="541"/>
      <c r="AAQ224" s="541"/>
      <c r="AAR224" s="541"/>
      <c r="AAS224" s="541"/>
      <c r="AAT224" s="541"/>
      <c r="AAU224" s="541"/>
      <c r="AAV224" s="541"/>
      <c r="AAW224" s="541"/>
      <c r="AAX224" s="541"/>
      <c r="AAY224" s="541"/>
      <c r="AAZ224" s="541"/>
      <c r="ABA224" s="541"/>
      <c r="ABB224" s="541"/>
      <c r="ABC224" s="541"/>
      <c r="ABD224" s="541"/>
      <c r="ABE224" s="541"/>
      <c r="ABF224" s="541"/>
      <c r="ABG224" s="541"/>
      <c r="ABH224" s="541"/>
      <c r="ABI224" s="541"/>
      <c r="ABJ224" s="541"/>
      <c r="ABK224" s="541"/>
      <c r="ABL224" s="541"/>
      <c r="ABM224" s="541"/>
      <c r="ABN224" s="541"/>
      <c r="ABO224" s="541"/>
      <c r="ABP224" s="541"/>
      <c r="ABQ224" s="541"/>
      <c r="ABR224" s="541"/>
      <c r="ABS224" s="541"/>
      <c r="ABT224" s="541"/>
      <c r="ABU224" s="541"/>
      <c r="ABV224" s="541"/>
      <c r="ABW224" s="541"/>
      <c r="ABX224" s="541"/>
      <c r="ABY224" s="541"/>
      <c r="ABZ224" s="541"/>
      <c r="ACA224" s="541"/>
      <c r="ACB224" s="541"/>
      <c r="ACC224" s="541"/>
      <c r="ACD224" s="541"/>
      <c r="ACE224" s="541"/>
      <c r="ACF224" s="541"/>
      <c r="ACG224" s="541"/>
      <c r="ACH224" s="541"/>
      <c r="ACI224" s="541"/>
      <c r="ACJ224" s="541"/>
      <c r="ACK224" s="541"/>
      <c r="ACL224" s="541"/>
      <c r="ACM224" s="541"/>
      <c r="ACN224" s="541"/>
      <c r="ACO224" s="541"/>
      <c r="ACP224" s="541"/>
      <c r="ACQ224" s="541"/>
      <c r="ACR224" s="541"/>
      <c r="ACS224" s="541"/>
      <c r="ACT224" s="541"/>
      <c r="ACU224" s="541"/>
      <c r="ACV224" s="541"/>
      <c r="ACW224" s="541"/>
      <c r="ACX224" s="541"/>
      <c r="ACY224" s="541"/>
      <c r="ACZ224" s="541"/>
      <c r="ADA224" s="541"/>
      <c r="ADB224" s="541"/>
      <c r="ADC224" s="541"/>
      <c r="ADD224" s="541"/>
      <c r="ADE224" s="541"/>
      <c r="ADF224" s="541"/>
      <c r="ADG224" s="541"/>
      <c r="ADH224" s="541"/>
      <c r="ADI224" s="541"/>
      <c r="ADJ224" s="541"/>
      <c r="ADK224" s="541"/>
      <c r="ADL224" s="541"/>
      <c r="ADM224" s="541"/>
      <c r="ADN224" s="541"/>
      <c r="ADO224" s="541"/>
      <c r="ADP224" s="541"/>
      <c r="ADQ224" s="541"/>
      <c r="ADR224" s="541"/>
      <c r="ADS224" s="541"/>
      <c r="ADT224" s="541"/>
      <c r="ADU224" s="541"/>
      <c r="ADV224" s="541"/>
      <c r="ADW224" s="541"/>
      <c r="ADX224" s="541"/>
      <c r="ADY224" s="541"/>
      <c r="ADZ224" s="541"/>
      <c r="AEA224" s="541"/>
      <c r="AEB224" s="541"/>
      <c r="AEC224" s="541"/>
      <c r="AED224" s="541"/>
      <c r="AEE224" s="541"/>
      <c r="AEF224" s="541"/>
      <c r="AEG224" s="541"/>
      <c r="AEH224" s="541"/>
      <c r="AEI224" s="541"/>
      <c r="AEJ224" s="541"/>
      <c r="AEK224" s="541"/>
      <c r="AEL224" s="541"/>
      <c r="AEM224" s="541"/>
      <c r="AEN224" s="541"/>
      <c r="AEO224" s="541"/>
      <c r="AEP224" s="541"/>
      <c r="AEQ224" s="541"/>
      <c r="AER224" s="541"/>
      <c r="AES224" s="541"/>
      <c r="AET224" s="541"/>
      <c r="AEU224" s="541"/>
      <c r="AEV224" s="541"/>
      <c r="AEW224" s="541"/>
      <c r="AEX224" s="541"/>
      <c r="AEY224" s="541"/>
      <c r="AEZ224" s="541"/>
      <c r="AFA224" s="541"/>
      <c r="AFB224" s="541"/>
      <c r="AFC224" s="541"/>
      <c r="AFD224" s="541"/>
      <c r="AFE224" s="541"/>
      <c r="AFF224" s="541"/>
      <c r="AFG224" s="541"/>
      <c r="AFH224" s="541"/>
      <c r="AFI224" s="541"/>
      <c r="AFJ224" s="541"/>
      <c r="AFK224" s="541"/>
      <c r="AFL224" s="541"/>
      <c r="AFM224" s="541"/>
      <c r="AFN224" s="541"/>
      <c r="AFO224" s="541"/>
      <c r="AFP224" s="541"/>
      <c r="AFQ224" s="541"/>
      <c r="AFR224" s="541"/>
      <c r="AFS224" s="541"/>
      <c r="AFT224" s="541"/>
      <c r="AFU224" s="541"/>
      <c r="AFV224" s="541"/>
      <c r="AFW224" s="541"/>
      <c r="AFX224" s="541"/>
      <c r="AFY224" s="541"/>
      <c r="AFZ224" s="541"/>
      <c r="AGA224" s="541"/>
      <c r="AGB224" s="541"/>
      <c r="AGC224" s="541"/>
      <c r="AGD224" s="541"/>
      <c r="AGE224" s="541"/>
      <c r="AGF224" s="541"/>
      <c r="AGG224" s="541"/>
      <c r="AGH224" s="541"/>
      <c r="AGI224" s="541"/>
      <c r="AGJ224" s="541"/>
      <c r="AGK224" s="541"/>
      <c r="AGL224" s="541"/>
      <c r="AGM224" s="541"/>
      <c r="AGN224" s="541"/>
      <c r="AGO224" s="541"/>
      <c r="AGP224" s="541"/>
      <c r="AGQ224" s="541"/>
      <c r="AGR224" s="541"/>
      <c r="AGS224" s="541"/>
      <c r="AGT224" s="541"/>
      <c r="AGU224" s="541"/>
      <c r="AGV224" s="541"/>
      <c r="AGW224" s="541"/>
      <c r="AGX224" s="541"/>
      <c r="AGY224" s="541"/>
      <c r="AGZ224" s="541"/>
      <c r="AHA224" s="541"/>
      <c r="AHB224" s="541"/>
      <c r="AHC224" s="541"/>
      <c r="AHD224" s="541"/>
      <c r="AHE224" s="541"/>
      <c r="AHF224" s="541"/>
      <c r="AHG224" s="541"/>
      <c r="AHH224" s="541"/>
      <c r="AHI224" s="541"/>
      <c r="AHJ224" s="541"/>
      <c r="AHK224" s="541"/>
      <c r="AHL224" s="541"/>
      <c r="AHM224" s="541"/>
      <c r="AHN224" s="541"/>
      <c r="AHO224" s="541"/>
      <c r="AHP224" s="541"/>
      <c r="AHQ224" s="541"/>
      <c r="AHR224" s="541"/>
      <c r="AHS224" s="541"/>
      <c r="AHT224" s="541"/>
      <c r="AHU224" s="541"/>
      <c r="AHV224" s="541"/>
      <c r="AHW224" s="541"/>
      <c r="AHX224" s="541"/>
      <c r="AHY224" s="541"/>
      <c r="AHZ224" s="541"/>
      <c r="AIA224" s="541"/>
      <c r="AIB224" s="541"/>
      <c r="AIC224" s="541"/>
      <c r="AID224" s="541"/>
      <c r="AIE224" s="541"/>
      <c r="AIF224" s="541"/>
      <c r="AIG224" s="541"/>
      <c r="AIH224" s="541"/>
      <c r="AII224" s="541"/>
      <c r="AIJ224" s="541"/>
      <c r="AIK224" s="541"/>
      <c r="AIL224" s="541"/>
      <c r="AIM224" s="541"/>
      <c r="AIN224" s="541"/>
      <c r="AIO224" s="541"/>
      <c r="AIP224" s="541"/>
      <c r="AIQ224" s="541"/>
      <c r="AIR224" s="541"/>
      <c r="AIS224" s="541"/>
      <c r="AIT224" s="541"/>
      <c r="AIU224" s="541"/>
      <c r="AIV224" s="541"/>
      <c r="AIW224" s="541"/>
      <c r="AIX224" s="541"/>
      <c r="AIY224" s="541"/>
      <c r="AIZ224" s="541"/>
      <c r="AJA224" s="541"/>
      <c r="AJB224" s="541"/>
      <c r="AJC224" s="541"/>
      <c r="AJD224" s="541"/>
      <c r="AJE224" s="541"/>
      <c r="AJF224" s="541"/>
      <c r="AJG224" s="541"/>
      <c r="AJH224" s="541"/>
      <c r="AJI224" s="541"/>
      <c r="AJJ224" s="541"/>
      <c r="AJK224" s="541"/>
      <c r="AJL224" s="541"/>
      <c r="AJM224" s="541"/>
      <c r="AJN224" s="541"/>
      <c r="AJO224" s="541"/>
      <c r="AJP224" s="541"/>
      <c r="AJQ224" s="541"/>
      <c r="AJR224" s="541"/>
      <c r="AJS224" s="541"/>
      <c r="AJT224" s="541"/>
      <c r="AJU224" s="541"/>
      <c r="AJV224" s="541"/>
      <c r="AJW224" s="541"/>
      <c r="AJX224" s="541"/>
      <c r="AJY224" s="541"/>
      <c r="AJZ224" s="541"/>
      <c r="AKA224" s="541"/>
      <c r="AKB224" s="541"/>
      <c r="AKC224" s="541"/>
      <c r="AKD224" s="541"/>
      <c r="AKE224" s="541"/>
      <c r="AKF224" s="541"/>
      <c r="AKG224" s="541"/>
      <c r="AKH224" s="541"/>
      <c r="AKI224" s="541"/>
      <c r="AKJ224" s="541"/>
      <c r="AKK224" s="541"/>
      <c r="AKL224" s="541"/>
      <c r="AKM224" s="541"/>
      <c r="AKN224" s="541"/>
      <c r="AKO224" s="541"/>
      <c r="AKP224" s="541"/>
      <c r="AKQ224" s="541"/>
      <c r="AKR224" s="541"/>
      <c r="AKS224" s="541"/>
      <c r="AKT224" s="541"/>
      <c r="AKU224" s="541"/>
      <c r="AKV224" s="541"/>
      <c r="AKW224" s="541"/>
      <c r="AKX224" s="541"/>
      <c r="AKY224" s="541"/>
      <c r="AKZ224" s="541"/>
      <c r="ALA224" s="541"/>
      <c r="ALB224" s="541"/>
      <c r="ALC224" s="541"/>
      <c r="ALD224" s="541"/>
      <c r="ALE224" s="541"/>
      <c r="ALF224" s="541"/>
      <c r="ALG224" s="541"/>
      <c r="ALH224" s="541"/>
      <c r="ALI224" s="541"/>
      <c r="ALJ224" s="541"/>
      <c r="ALK224" s="541"/>
      <c r="ALL224" s="541"/>
      <c r="ALM224" s="541"/>
      <c r="ALN224" s="541"/>
      <c r="ALO224" s="541"/>
      <c r="ALP224" s="541"/>
      <c r="ALQ224" s="541"/>
      <c r="ALR224" s="541"/>
      <c r="ALS224" s="541"/>
      <c r="ALT224" s="541"/>
      <c r="ALU224" s="541"/>
      <c r="ALV224" s="541"/>
      <c r="ALW224" s="541"/>
      <c r="ALX224" s="541"/>
      <c r="ALY224" s="541"/>
      <c r="ALZ224" s="541"/>
      <c r="AMA224" s="541"/>
      <c r="AMB224" s="541"/>
      <c r="AMC224" s="541"/>
      <c r="AMD224" s="541"/>
      <c r="AME224" s="541"/>
      <c r="AMF224" s="541"/>
      <c r="AMG224" s="541"/>
      <c r="AMH224" s="541"/>
      <c r="AMI224" s="541"/>
      <c r="AMJ224" s="541"/>
      <c r="AMK224" s="541"/>
      <c r="AML224" s="541"/>
      <c r="AMM224" s="541"/>
      <c r="AMN224" s="541"/>
      <c r="AMO224" s="541"/>
      <c r="AMP224" s="541"/>
      <c r="AMQ224" s="541"/>
      <c r="AMR224" s="541"/>
      <c r="AMS224" s="541"/>
      <c r="AMT224" s="541"/>
      <c r="AMU224" s="541"/>
      <c r="AMV224" s="541"/>
      <c r="AMW224" s="541"/>
      <c r="AMX224" s="541"/>
      <c r="AMY224" s="541"/>
      <c r="AMZ224" s="541"/>
      <c r="ANA224" s="541"/>
      <c r="ANB224" s="541"/>
      <c r="ANC224" s="541"/>
      <c r="AND224" s="541"/>
      <c r="ANE224" s="541"/>
      <c r="ANF224" s="541"/>
      <c r="ANG224" s="541"/>
      <c r="ANH224" s="541"/>
      <c r="ANI224" s="541"/>
      <c r="ANJ224" s="541"/>
      <c r="ANK224" s="541"/>
      <c r="ANL224" s="541"/>
      <c r="ANM224" s="541"/>
      <c r="ANN224" s="541"/>
      <c r="ANO224" s="541"/>
      <c r="ANP224" s="541"/>
      <c r="ANQ224" s="541"/>
      <c r="ANR224" s="541"/>
      <c r="ANS224" s="541"/>
      <c r="ANT224" s="541"/>
      <c r="ANU224" s="541"/>
      <c r="ANV224" s="541"/>
      <c r="ANW224" s="541"/>
      <c r="ANX224" s="541"/>
      <c r="ANY224" s="541"/>
      <c r="ANZ224" s="541"/>
      <c r="AOA224" s="541"/>
      <c r="AOB224" s="541"/>
      <c r="AOC224" s="541"/>
      <c r="AOD224" s="541"/>
      <c r="AOE224" s="541"/>
      <c r="AOF224" s="541"/>
      <c r="AOG224" s="541"/>
      <c r="AOH224" s="541"/>
      <c r="AOI224" s="541"/>
      <c r="AOJ224" s="541"/>
      <c r="AOK224" s="541"/>
      <c r="AOL224" s="541"/>
      <c r="AOM224" s="541"/>
      <c r="AON224" s="541"/>
      <c r="AOO224" s="541"/>
      <c r="AOP224" s="541"/>
      <c r="AOQ224" s="541"/>
      <c r="AOR224" s="541"/>
      <c r="AOS224" s="541"/>
      <c r="AOT224" s="541"/>
      <c r="AOU224" s="541"/>
      <c r="AOV224" s="541"/>
      <c r="AOW224" s="541"/>
      <c r="AOX224" s="541"/>
      <c r="AOY224" s="541"/>
      <c r="AOZ224" s="541"/>
      <c r="APA224" s="541"/>
      <c r="APB224" s="541"/>
      <c r="APC224" s="541"/>
      <c r="APD224" s="541"/>
      <c r="APE224" s="541"/>
      <c r="APF224" s="541"/>
      <c r="APG224" s="541"/>
      <c r="APH224" s="541"/>
      <c r="API224" s="541"/>
      <c r="APJ224" s="541"/>
      <c r="APK224" s="541"/>
      <c r="APL224" s="541"/>
      <c r="APM224" s="541"/>
      <c r="APN224" s="541"/>
      <c r="APO224" s="541"/>
      <c r="APP224" s="541"/>
      <c r="APQ224" s="541"/>
      <c r="APR224" s="541"/>
      <c r="APS224" s="541"/>
      <c r="APT224" s="541"/>
      <c r="APU224" s="541"/>
      <c r="APV224" s="541"/>
      <c r="APW224" s="541"/>
      <c r="APX224" s="541"/>
      <c r="APY224" s="541"/>
      <c r="APZ224" s="541"/>
      <c r="AQA224" s="541"/>
      <c r="AQB224" s="541"/>
      <c r="AQC224" s="541"/>
      <c r="AQD224" s="541"/>
      <c r="AQE224" s="541"/>
      <c r="AQF224" s="541"/>
      <c r="AQG224" s="541"/>
      <c r="AQH224" s="541"/>
      <c r="AQI224" s="541"/>
      <c r="AQJ224" s="541"/>
      <c r="AQK224" s="541"/>
      <c r="AQL224" s="541"/>
      <c r="AQM224" s="541"/>
      <c r="AQN224" s="541"/>
      <c r="AQO224" s="541"/>
      <c r="AQP224" s="541"/>
      <c r="AQQ224" s="541"/>
      <c r="AQR224" s="541"/>
      <c r="AQS224" s="541"/>
      <c r="AQT224" s="541"/>
      <c r="AQU224" s="541"/>
      <c r="AQV224" s="541"/>
      <c r="AQW224" s="541"/>
      <c r="AQX224" s="541"/>
      <c r="AQY224" s="541"/>
      <c r="AQZ224" s="541"/>
      <c r="ARA224" s="541"/>
      <c r="ARB224" s="541"/>
      <c r="ARC224" s="541"/>
      <c r="ARD224" s="541"/>
      <c r="ARE224" s="541"/>
      <c r="ARF224" s="541"/>
      <c r="ARG224" s="541"/>
      <c r="ARH224" s="541"/>
      <c r="ARI224" s="541"/>
      <c r="ARJ224" s="541"/>
      <c r="ARK224" s="541"/>
      <c r="ARL224" s="541"/>
      <c r="ARM224" s="541"/>
      <c r="ARN224" s="541"/>
      <c r="ARO224" s="541"/>
      <c r="ARP224" s="541"/>
      <c r="ARQ224" s="541"/>
      <c r="ARR224" s="541"/>
      <c r="ARS224" s="541"/>
      <c r="ART224" s="541"/>
      <c r="ARU224" s="541"/>
    </row>
    <row r="225" spans="1:1165" s="423" customFormat="1">
      <c r="AW225" s="628"/>
      <c r="AX225" s="628"/>
      <c r="AY225" s="629"/>
      <c r="AZ225" s="714"/>
      <c r="BB225" s="427"/>
      <c r="BC225" s="427"/>
      <c r="BL225" s="541"/>
      <c r="BM225" s="541"/>
      <c r="BN225" s="624"/>
      <c r="BO225" s="624"/>
      <c r="BP225" s="541"/>
      <c r="BQ225" s="541"/>
      <c r="BR225" s="541"/>
      <c r="BS225" s="541"/>
      <c r="BT225" s="541"/>
      <c r="BU225" s="541"/>
      <c r="BV225" s="541"/>
      <c r="BW225" s="541"/>
      <c r="BX225" s="541"/>
      <c r="BY225" s="541"/>
      <c r="BZ225" s="541"/>
      <c r="CA225" s="541"/>
      <c r="CB225" s="541"/>
      <c r="CC225" s="541"/>
      <c r="CD225" s="541"/>
      <c r="CE225" s="541"/>
      <c r="CF225" s="541"/>
      <c r="CG225" s="541"/>
      <c r="CH225" s="541"/>
      <c r="CI225" s="541"/>
      <c r="CJ225" s="541"/>
      <c r="CK225" s="541"/>
      <c r="CL225" s="541"/>
      <c r="CM225" s="541"/>
      <c r="CN225" s="541"/>
      <c r="CO225" s="541"/>
      <c r="CP225" s="541"/>
      <c r="CQ225" s="541"/>
      <c r="CR225" s="541"/>
      <c r="CS225" s="541"/>
      <c r="CT225" s="541"/>
      <c r="CU225" s="541"/>
      <c r="CV225" s="541"/>
      <c r="CW225" s="541"/>
      <c r="CX225" s="541"/>
      <c r="CY225" s="541"/>
      <c r="CZ225" s="541"/>
      <c r="DA225" s="541"/>
      <c r="DB225" s="541"/>
      <c r="DC225" s="541"/>
      <c r="DD225" s="541"/>
      <c r="DE225" s="541"/>
      <c r="DF225" s="541"/>
      <c r="DG225" s="541"/>
      <c r="DH225" s="541"/>
      <c r="DI225" s="541"/>
      <c r="DJ225" s="541"/>
      <c r="DK225" s="541"/>
      <c r="DL225" s="541"/>
      <c r="DM225" s="541"/>
      <c r="DN225" s="541"/>
      <c r="DO225" s="541"/>
      <c r="DP225" s="541"/>
      <c r="DQ225" s="541"/>
      <c r="DR225" s="541"/>
      <c r="DS225" s="541"/>
      <c r="DT225" s="541"/>
      <c r="DU225" s="541"/>
      <c r="DV225" s="541"/>
      <c r="DW225" s="541"/>
      <c r="DX225" s="541"/>
      <c r="DY225" s="541"/>
      <c r="DZ225" s="541"/>
      <c r="EA225" s="541"/>
      <c r="EB225" s="541"/>
      <c r="EC225" s="541"/>
      <c r="ED225" s="541"/>
      <c r="EE225" s="541"/>
      <c r="EF225" s="541"/>
      <c r="EG225" s="541"/>
      <c r="EH225" s="541"/>
      <c r="EI225" s="541"/>
      <c r="EJ225" s="541"/>
      <c r="EK225" s="541"/>
      <c r="EL225" s="541"/>
      <c r="EM225" s="541"/>
      <c r="EN225" s="541"/>
      <c r="EO225" s="541"/>
      <c r="EP225" s="541"/>
      <c r="EQ225" s="541"/>
      <c r="ER225" s="541"/>
      <c r="ES225" s="541"/>
      <c r="ET225" s="541"/>
      <c r="EU225" s="541"/>
      <c r="EV225" s="541"/>
      <c r="EW225" s="541"/>
      <c r="EX225" s="541"/>
      <c r="EY225" s="541"/>
      <c r="EZ225" s="541"/>
      <c r="FA225" s="541"/>
      <c r="FB225" s="541"/>
      <c r="FC225" s="541"/>
      <c r="FD225" s="541"/>
      <c r="FE225" s="541"/>
      <c r="FF225" s="541"/>
      <c r="FG225" s="541"/>
      <c r="FH225" s="541"/>
      <c r="FI225" s="541"/>
      <c r="FJ225" s="541"/>
      <c r="FK225" s="541"/>
      <c r="FL225" s="541"/>
      <c r="FM225" s="541"/>
      <c r="FN225" s="541"/>
      <c r="FO225" s="541"/>
      <c r="FP225" s="541"/>
      <c r="FQ225" s="541"/>
      <c r="FR225" s="541"/>
      <c r="FS225" s="541"/>
      <c r="FT225" s="541"/>
      <c r="FU225" s="541"/>
      <c r="FV225" s="541"/>
      <c r="FW225" s="541"/>
      <c r="FX225" s="541"/>
      <c r="FY225" s="541"/>
      <c r="FZ225" s="541"/>
      <c r="GA225" s="541"/>
      <c r="GB225" s="541"/>
      <c r="GC225" s="541"/>
      <c r="GD225" s="541"/>
      <c r="GE225" s="541"/>
      <c r="GF225" s="541"/>
      <c r="GG225" s="541"/>
      <c r="GH225" s="541"/>
      <c r="GI225" s="541"/>
      <c r="GJ225" s="541"/>
      <c r="GK225" s="541"/>
      <c r="GL225" s="541"/>
      <c r="GM225" s="541"/>
      <c r="GN225" s="541"/>
      <c r="GO225" s="541"/>
      <c r="GP225" s="541"/>
      <c r="GQ225" s="541"/>
      <c r="GR225" s="541"/>
      <c r="GS225" s="541"/>
      <c r="GT225" s="541"/>
      <c r="GU225" s="541"/>
      <c r="GV225" s="541"/>
      <c r="GW225" s="541"/>
      <c r="GX225" s="541"/>
      <c r="GY225" s="541"/>
      <c r="GZ225" s="541"/>
      <c r="HA225" s="541"/>
      <c r="HB225" s="541"/>
      <c r="HC225" s="541"/>
      <c r="HD225" s="541"/>
      <c r="HE225" s="541"/>
      <c r="HF225" s="541"/>
      <c r="HG225" s="541"/>
      <c r="HH225" s="541"/>
      <c r="HI225" s="541"/>
      <c r="HJ225" s="541"/>
      <c r="HK225" s="541"/>
      <c r="HL225" s="541"/>
      <c r="HM225" s="541"/>
      <c r="HN225" s="541"/>
      <c r="HO225" s="541"/>
      <c r="HP225" s="541"/>
      <c r="HQ225" s="541"/>
      <c r="HR225" s="541"/>
      <c r="HS225" s="541"/>
      <c r="HT225" s="541"/>
      <c r="HU225" s="541"/>
      <c r="HV225" s="541"/>
      <c r="HW225" s="541"/>
      <c r="HX225" s="541"/>
      <c r="HY225" s="541"/>
      <c r="HZ225" s="541"/>
      <c r="IA225" s="541"/>
      <c r="IB225" s="541"/>
      <c r="IC225" s="541"/>
      <c r="ID225" s="541"/>
      <c r="IE225" s="541"/>
      <c r="IF225" s="541"/>
      <c r="IG225" s="541"/>
      <c r="IH225" s="541"/>
      <c r="II225" s="541"/>
      <c r="IJ225" s="541"/>
      <c r="IK225" s="541"/>
      <c r="IL225" s="541"/>
      <c r="IM225" s="541"/>
      <c r="IN225" s="541"/>
      <c r="IO225" s="541"/>
      <c r="IP225" s="541"/>
      <c r="IQ225" s="541"/>
      <c r="IR225" s="541"/>
      <c r="IS225" s="541"/>
      <c r="IT225" s="541"/>
      <c r="IU225" s="541"/>
      <c r="IV225" s="541"/>
      <c r="IW225" s="541"/>
      <c r="IX225" s="541"/>
      <c r="IY225" s="541"/>
      <c r="IZ225" s="541"/>
      <c r="JA225" s="541"/>
      <c r="JB225" s="541"/>
      <c r="JC225" s="541"/>
      <c r="JD225" s="541"/>
      <c r="JE225" s="541"/>
      <c r="JF225" s="541"/>
      <c r="JG225" s="541"/>
      <c r="JH225" s="541"/>
      <c r="JI225" s="541"/>
      <c r="JJ225" s="541"/>
      <c r="JK225" s="541"/>
      <c r="JL225" s="541"/>
      <c r="JM225" s="541"/>
      <c r="JN225" s="541"/>
      <c r="JO225" s="541"/>
      <c r="JP225" s="541"/>
      <c r="JQ225" s="541"/>
      <c r="JR225" s="541"/>
      <c r="JS225" s="541"/>
      <c r="JT225" s="541"/>
      <c r="JU225" s="541"/>
      <c r="JV225" s="541"/>
      <c r="JW225" s="541"/>
      <c r="JX225" s="541"/>
      <c r="JY225" s="541"/>
      <c r="JZ225" s="541"/>
      <c r="KA225" s="541"/>
      <c r="KB225" s="541"/>
      <c r="KC225" s="541"/>
      <c r="KD225" s="541"/>
      <c r="KE225" s="541"/>
      <c r="KF225" s="541"/>
      <c r="KG225" s="541"/>
      <c r="KH225" s="541"/>
      <c r="KI225" s="541"/>
      <c r="KJ225" s="541"/>
      <c r="KK225" s="541"/>
      <c r="KL225" s="541"/>
      <c r="KM225" s="541"/>
      <c r="KN225" s="541"/>
      <c r="KO225" s="541"/>
      <c r="KP225" s="541"/>
      <c r="KQ225" s="541"/>
      <c r="KR225" s="541"/>
      <c r="KS225" s="541"/>
      <c r="KT225" s="541"/>
      <c r="KU225" s="541"/>
      <c r="KV225" s="541"/>
      <c r="KW225" s="541"/>
      <c r="KX225" s="541"/>
      <c r="KY225" s="541"/>
      <c r="KZ225" s="541"/>
      <c r="LA225" s="541"/>
      <c r="LB225" s="541"/>
      <c r="LC225" s="541"/>
      <c r="LD225" s="541"/>
      <c r="LE225" s="541"/>
      <c r="LF225" s="541"/>
      <c r="LG225" s="541"/>
      <c r="LH225" s="541"/>
      <c r="LI225" s="541"/>
      <c r="LJ225" s="541"/>
      <c r="LK225" s="541"/>
      <c r="LL225" s="541"/>
      <c r="LM225" s="541"/>
      <c r="LN225" s="541"/>
      <c r="LO225" s="541"/>
      <c r="LP225" s="541"/>
      <c r="LQ225" s="541"/>
      <c r="LR225" s="541"/>
      <c r="LS225" s="541"/>
      <c r="LT225" s="541"/>
      <c r="LU225" s="541"/>
      <c r="LV225" s="541"/>
      <c r="LW225" s="541"/>
      <c r="LX225" s="541"/>
      <c r="LY225" s="541"/>
      <c r="LZ225" s="541"/>
      <c r="MA225" s="541"/>
      <c r="MB225" s="541"/>
      <c r="MC225" s="541"/>
      <c r="MD225" s="541"/>
      <c r="ME225" s="541"/>
      <c r="MF225" s="541"/>
      <c r="MG225" s="541"/>
      <c r="MH225" s="541"/>
      <c r="MI225" s="541"/>
      <c r="MJ225" s="541"/>
      <c r="MK225" s="541"/>
      <c r="ML225" s="541"/>
      <c r="MM225" s="541"/>
      <c r="MN225" s="541"/>
      <c r="MO225" s="541"/>
      <c r="MP225" s="541"/>
      <c r="MQ225" s="541"/>
      <c r="MR225" s="541"/>
      <c r="MS225" s="541"/>
      <c r="MT225" s="541"/>
      <c r="MU225" s="541"/>
      <c r="MV225" s="541"/>
      <c r="MW225" s="541"/>
      <c r="MX225" s="541"/>
      <c r="MY225" s="541"/>
      <c r="MZ225" s="541"/>
      <c r="NA225" s="541"/>
      <c r="NB225" s="541"/>
      <c r="NC225" s="541"/>
      <c r="ND225" s="541"/>
      <c r="NE225" s="541"/>
      <c r="NF225" s="541"/>
      <c r="NG225" s="541"/>
      <c r="NH225" s="541"/>
      <c r="NI225" s="541"/>
      <c r="NJ225" s="541"/>
      <c r="NK225" s="541"/>
      <c r="NL225" s="541"/>
      <c r="NM225" s="541"/>
      <c r="NN225" s="541"/>
      <c r="NO225" s="541"/>
      <c r="NP225" s="541"/>
      <c r="NQ225" s="541"/>
      <c r="NR225" s="541"/>
      <c r="NS225" s="541"/>
      <c r="NT225" s="541"/>
      <c r="NU225" s="541"/>
      <c r="NV225" s="541"/>
      <c r="NW225" s="541"/>
      <c r="NX225" s="541"/>
      <c r="NY225" s="541"/>
      <c r="NZ225" s="541"/>
      <c r="OA225" s="541"/>
      <c r="OB225" s="541"/>
      <c r="OC225" s="541"/>
      <c r="OD225" s="541"/>
      <c r="OE225" s="541"/>
      <c r="OF225" s="541"/>
      <c r="OG225" s="541"/>
      <c r="OH225" s="541"/>
      <c r="OI225" s="541"/>
      <c r="OJ225" s="541"/>
      <c r="OK225" s="541"/>
      <c r="OL225" s="541"/>
      <c r="OM225" s="541"/>
      <c r="ON225" s="541"/>
      <c r="OO225" s="541"/>
      <c r="OP225" s="541"/>
      <c r="OQ225" s="541"/>
      <c r="OR225" s="541"/>
      <c r="OS225" s="541"/>
      <c r="OT225" s="541"/>
      <c r="OU225" s="541"/>
      <c r="OV225" s="541"/>
      <c r="OW225" s="541"/>
      <c r="OX225" s="541"/>
      <c r="OY225" s="541"/>
      <c r="OZ225" s="541"/>
      <c r="PA225" s="541"/>
      <c r="PB225" s="541"/>
      <c r="PC225" s="541"/>
      <c r="PD225" s="541"/>
      <c r="PE225" s="541"/>
      <c r="PF225" s="541"/>
      <c r="PG225" s="541"/>
      <c r="PH225" s="541"/>
      <c r="PI225" s="541"/>
      <c r="PJ225" s="541"/>
      <c r="PK225" s="541"/>
      <c r="PL225" s="541"/>
      <c r="PM225" s="541"/>
      <c r="PN225" s="541"/>
      <c r="PO225" s="541"/>
      <c r="PP225" s="541"/>
      <c r="PQ225" s="541"/>
      <c r="PR225" s="541"/>
      <c r="PS225" s="541"/>
      <c r="PT225" s="541"/>
      <c r="PU225" s="541"/>
      <c r="PV225" s="541"/>
      <c r="PW225" s="541"/>
      <c r="PX225" s="541"/>
      <c r="PY225" s="541"/>
      <c r="PZ225" s="541"/>
      <c r="QA225" s="541"/>
      <c r="QB225" s="541"/>
      <c r="QC225" s="541"/>
      <c r="QD225" s="541"/>
      <c r="QE225" s="541"/>
      <c r="QF225" s="541"/>
      <c r="QG225" s="541"/>
      <c r="QH225" s="541"/>
      <c r="QI225" s="541"/>
      <c r="QJ225" s="541"/>
      <c r="QK225" s="541"/>
      <c r="QL225" s="541"/>
      <c r="QM225" s="541"/>
      <c r="QN225" s="541"/>
      <c r="QO225" s="541"/>
      <c r="QP225" s="541"/>
      <c r="QQ225" s="541"/>
      <c r="QR225" s="541"/>
      <c r="QS225" s="541"/>
      <c r="QT225" s="541"/>
      <c r="QU225" s="541"/>
      <c r="QV225" s="541"/>
      <c r="QW225" s="541"/>
      <c r="QX225" s="541"/>
      <c r="QY225" s="541"/>
      <c r="QZ225" s="541"/>
      <c r="RA225" s="541"/>
      <c r="RB225" s="541"/>
      <c r="RC225" s="541"/>
      <c r="RD225" s="541"/>
      <c r="RE225" s="541"/>
      <c r="RF225" s="541"/>
      <c r="RG225" s="541"/>
      <c r="RH225" s="541"/>
      <c r="RI225" s="541"/>
      <c r="RJ225" s="541"/>
      <c r="RK225" s="541"/>
      <c r="RL225" s="541"/>
      <c r="RM225" s="541"/>
      <c r="RN225" s="541"/>
      <c r="RO225" s="541"/>
      <c r="RP225" s="541"/>
      <c r="RQ225" s="541"/>
      <c r="RR225" s="541"/>
      <c r="RS225" s="541"/>
      <c r="RT225" s="541"/>
      <c r="RU225" s="541"/>
      <c r="RV225" s="541"/>
      <c r="RW225" s="541"/>
      <c r="RX225" s="541"/>
      <c r="RY225" s="541"/>
      <c r="RZ225" s="541"/>
      <c r="SA225" s="541"/>
      <c r="SB225" s="541"/>
      <c r="SC225" s="541"/>
      <c r="SD225" s="541"/>
      <c r="SE225" s="541"/>
      <c r="SF225" s="541"/>
      <c r="SG225" s="541"/>
      <c r="SH225" s="541"/>
      <c r="SI225" s="541"/>
      <c r="SJ225" s="541"/>
      <c r="SK225" s="541"/>
      <c r="SL225" s="541"/>
      <c r="SM225" s="541"/>
      <c r="SN225" s="541"/>
      <c r="SO225" s="541"/>
      <c r="SP225" s="541"/>
      <c r="SQ225" s="541"/>
      <c r="SR225" s="541"/>
      <c r="SS225" s="541"/>
      <c r="ST225" s="541"/>
      <c r="SU225" s="541"/>
      <c r="SV225" s="541"/>
      <c r="SW225" s="541"/>
      <c r="SX225" s="541"/>
      <c r="SY225" s="541"/>
      <c r="SZ225" s="541"/>
      <c r="TA225" s="541"/>
      <c r="TB225" s="541"/>
      <c r="TC225" s="541"/>
      <c r="TD225" s="541"/>
      <c r="TE225" s="541"/>
      <c r="TF225" s="541"/>
      <c r="TG225" s="541"/>
      <c r="TH225" s="541"/>
      <c r="TI225" s="541"/>
      <c r="TJ225" s="541"/>
      <c r="TK225" s="541"/>
      <c r="TL225" s="541"/>
      <c r="TM225" s="541"/>
      <c r="TN225" s="541"/>
      <c r="TO225" s="541"/>
      <c r="TP225" s="541"/>
      <c r="TQ225" s="541"/>
      <c r="TR225" s="541"/>
      <c r="TS225" s="541"/>
      <c r="TT225" s="541"/>
      <c r="TU225" s="541"/>
      <c r="TV225" s="541"/>
      <c r="TW225" s="541"/>
      <c r="TX225" s="541"/>
      <c r="TY225" s="541"/>
      <c r="TZ225" s="541"/>
      <c r="UA225" s="541"/>
      <c r="UB225" s="541"/>
      <c r="UC225" s="541"/>
      <c r="UD225" s="541"/>
      <c r="UE225" s="541"/>
      <c r="UF225" s="541"/>
      <c r="UG225" s="541"/>
      <c r="UH225" s="541"/>
      <c r="UI225" s="541"/>
      <c r="UJ225" s="541"/>
      <c r="UK225" s="541"/>
      <c r="UL225" s="541"/>
      <c r="UM225" s="541"/>
      <c r="UN225" s="541"/>
      <c r="UO225" s="541"/>
      <c r="UP225" s="541"/>
      <c r="UQ225" s="541"/>
      <c r="UR225" s="541"/>
      <c r="US225" s="541"/>
      <c r="UT225" s="541"/>
      <c r="UU225" s="541"/>
      <c r="UV225" s="541"/>
      <c r="UW225" s="541"/>
      <c r="UX225" s="541"/>
      <c r="UY225" s="541"/>
      <c r="UZ225" s="541"/>
      <c r="VA225" s="541"/>
      <c r="VB225" s="541"/>
      <c r="VC225" s="541"/>
      <c r="VD225" s="541"/>
      <c r="VE225" s="541"/>
      <c r="VF225" s="541"/>
      <c r="VG225" s="541"/>
      <c r="VH225" s="541"/>
      <c r="VI225" s="541"/>
      <c r="VJ225" s="541"/>
      <c r="VK225" s="541"/>
      <c r="VL225" s="541"/>
      <c r="VM225" s="541"/>
      <c r="VN225" s="541"/>
      <c r="VO225" s="541"/>
      <c r="VP225" s="541"/>
      <c r="VQ225" s="541"/>
      <c r="VR225" s="541"/>
      <c r="VS225" s="541"/>
      <c r="VT225" s="541"/>
      <c r="VU225" s="541"/>
      <c r="VV225" s="541"/>
      <c r="VW225" s="541"/>
      <c r="VX225" s="541"/>
      <c r="VY225" s="541"/>
      <c r="VZ225" s="541"/>
      <c r="WA225" s="541"/>
      <c r="WB225" s="541"/>
      <c r="WC225" s="541"/>
      <c r="WD225" s="541"/>
      <c r="WE225" s="541"/>
      <c r="WF225" s="541"/>
      <c r="WG225" s="541"/>
      <c r="WH225" s="541"/>
      <c r="WI225" s="541"/>
      <c r="WJ225" s="541"/>
      <c r="WK225" s="541"/>
      <c r="WL225" s="541"/>
      <c r="WM225" s="541"/>
      <c r="WN225" s="541"/>
      <c r="WO225" s="541"/>
      <c r="WP225" s="541"/>
      <c r="WQ225" s="541"/>
      <c r="WR225" s="541"/>
      <c r="WS225" s="541"/>
      <c r="WT225" s="541"/>
      <c r="WU225" s="541"/>
      <c r="WV225" s="541"/>
      <c r="WW225" s="541"/>
      <c r="WX225" s="541"/>
      <c r="WY225" s="541"/>
      <c r="WZ225" s="541"/>
      <c r="XA225" s="541"/>
      <c r="XB225" s="541"/>
      <c r="XC225" s="541"/>
      <c r="XD225" s="541"/>
      <c r="XE225" s="541"/>
      <c r="XF225" s="541"/>
      <c r="XG225" s="541"/>
      <c r="XH225" s="541"/>
      <c r="XI225" s="541"/>
      <c r="XJ225" s="541"/>
      <c r="XK225" s="541"/>
      <c r="XL225" s="541"/>
      <c r="XM225" s="541"/>
      <c r="XN225" s="541"/>
      <c r="XO225" s="541"/>
      <c r="XP225" s="541"/>
      <c r="XQ225" s="541"/>
      <c r="XR225" s="541"/>
      <c r="XS225" s="541"/>
      <c r="XT225" s="541"/>
      <c r="XU225" s="541"/>
      <c r="XV225" s="541"/>
      <c r="XW225" s="541"/>
      <c r="XX225" s="541"/>
      <c r="XY225" s="541"/>
      <c r="XZ225" s="541"/>
      <c r="YA225" s="541"/>
      <c r="YB225" s="541"/>
      <c r="YC225" s="541"/>
      <c r="YD225" s="541"/>
      <c r="YE225" s="541"/>
      <c r="YF225" s="541"/>
      <c r="YG225" s="541"/>
      <c r="YH225" s="541"/>
      <c r="YI225" s="541"/>
      <c r="YJ225" s="541"/>
      <c r="YK225" s="541"/>
      <c r="YL225" s="541"/>
      <c r="YM225" s="541"/>
      <c r="YN225" s="541"/>
      <c r="YO225" s="541"/>
      <c r="YP225" s="541"/>
      <c r="YQ225" s="541"/>
      <c r="YR225" s="541"/>
      <c r="YS225" s="541"/>
      <c r="YT225" s="541"/>
      <c r="YU225" s="541"/>
      <c r="YV225" s="541"/>
      <c r="YW225" s="541"/>
      <c r="YX225" s="541"/>
      <c r="YY225" s="541"/>
      <c r="YZ225" s="541"/>
      <c r="ZA225" s="541"/>
      <c r="ZB225" s="541"/>
      <c r="ZC225" s="541"/>
      <c r="ZD225" s="541"/>
      <c r="ZE225" s="541"/>
      <c r="ZF225" s="541"/>
      <c r="ZG225" s="541"/>
      <c r="ZH225" s="541"/>
      <c r="ZI225" s="541"/>
      <c r="ZJ225" s="541"/>
      <c r="ZK225" s="541"/>
      <c r="ZL225" s="541"/>
      <c r="ZM225" s="541"/>
      <c r="ZN225" s="541"/>
      <c r="ZO225" s="541"/>
      <c r="ZP225" s="541"/>
      <c r="ZQ225" s="541"/>
      <c r="ZR225" s="541"/>
      <c r="ZS225" s="541"/>
      <c r="ZT225" s="541"/>
      <c r="ZU225" s="541"/>
      <c r="ZV225" s="541"/>
      <c r="ZW225" s="541"/>
      <c r="ZX225" s="541"/>
      <c r="ZY225" s="541"/>
      <c r="ZZ225" s="541"/>
      <c r="AAA225" s="541"/>
      <c r="AAB225" s="541"/>
      <c r="AAC225" s="541"/>
      <c r="AAD225" s="541"/>
      <c r="AAE225" s="541"/>
      <c r="AAF225" s="541"/>
      <c r="AAG225" s="541"/>
      <c r="AAH225" s="541"/>
      <c r="AAI225" s="541"/>
      <c r="AAJ225" s="541"/>
      <c r="AAK225" s="541"/>
      <c r="AAL225" s="541"/>
      <c r="AAM225" s="541"/>
      <c r="AAN225" s="541"/>
      <c r="AAO225" s="541"/>
      <c r="AAP225" s="541"/>
      <c r="AAQ225" s="541"/>
      <c r="AAR225" s="541"/>
      <c r="AAS225" s="541"/>
      <c r="AAT225" s="541"/>
      <c r="AAU225" s="541"/>
      <c r="AAV225" s="541"/>
      <c r="AAW225" s="541"/>
      <c r="AAX225" s="541"/>
      <c r="AAY225" s="541"/>
      <c r="AAZ225" s="541"/>
      <c r="ABA225" s="541"/>
      <c r="ABB225" s="541"/>
      <c r="ABC225" s="541"/>
      <c r="ABD225" s="541"/>
      <c r="ABE225" s="541"/>
      <c r="ABF225" s="541"/>
      <c r="ABG225" s="541"/>
      <c r="ABH225" s="541"/>
      <c r="ABI225" s="541"/>
      <c r="ABJ225" s="541"/>
      <c r="ABK225" s="541"/>
      <c r="ABL225" s="541"/>
      <c r="ABM225" s="541"/>
      <c r="ABN225" s="541"/>
      <c r="ABO225" s="541"/>
      <c r="ABP225" s="541"/>
      <c r="ABQ225" s="541"/>
      <c r="ABR225" s="541"/>
      <c r="ABS225" s="541"/>
      <c r="ABT225" s="541"/>
      <c r="ABU225" s="541"/>
      <c r="ABV225" s="541"/>
      <c r="ABW225" s="541"/>
      <c r="ABX225" s="541"/>
      <c r="ABY225" s="541"/>
      <c r="ABZ225" s="541"/>
      <c r="ACA225" s="541"/>
      <c r="ACB225" s="541"/>
      <c r="ACC225" s="541"/>
      <c r="ACD225" s="541"/>
      <c r="ACE225" s="541"/>
      <c r="ACF225" s="541"/>
      <c r="ACG225" s="541"/>
      <c r="ACH225" s="541"/>
      <c r="ACI225" s="541"/>
      <c r="ACJ225" s="541"/>
      <c r="ACK225" s="541"/>
      <c r="ACL225" s="541"/>
      <c r="ACM225" s="541"/>
      <c r="ACN225" s="541"/>
      <c r="ACO225" s="541"/>
      <c r="ACP225" s="541"/>
      <c r="ACQ225" s="541"/>
      <c r="ACR225" s="541"/>
      <c r="ACS225" s="541"/>
      <c r="ACT225" s="541"/>
      <c r="ACU225" s="541"/>
      <c r="ACV225" s="541"/>
      <c r="ACW225" s="541"/>
      <c r="ACX225" s="541"/>
      <c r="ACY225" s="541"/>
      <c r="ACZ225" s="541"/>
      <c r="ADA225" s="541"/>
      <c r="ADB225" s="541"/>
      <c r="ADC225" s="541"/>
      <c r="ADD225" s="541"/>
      <c r="ADE225" s="541"/>
      <c r="ADF225" s="541"/>
      <c r="ADG225" s="541"/>
      <c r="ADH225" s="541"/>
      <c r="ADI225" s="541"/>
      <c r="ADJ225" s="541"/>
      <c r="ADK225" s="541"/>
      <c r="ADL225" s="541"/>
      <c r="ADM225" s="541"/>
      <c r="ADN225" s="541"/>
      <c r="ADO225" s="541"/>
      <c r="ADP225" s="541"/>
      <c r="ADQ225" s="541"/>
      <c r="ADR225" s="541"/>
      <c r="ADS225" s="541"/>
      <c r="ADT225" s="541"/>
      <c r="ADU225" s="541"/>
      <c r="ADV225" s="541"/>
      <c r="ADW225" s="541"/>
      <c r="ADX225" s="541"/>
      <c r="ADY225" s="541"/>
      <c r="ADZ225" s="541"/>
      <c r="AEA225" s="541"/>
      <c r="AEB225" s="541"/>
      <c r="AEC225" s="541"/>
      <c r="AED225" s="541"/>
      <c r="AEE225" s="541"/>
      <c r="AEF225" s="541"/>
      <c r="AEG225" s="541"/>
      <c r="AEH225" s="541"/>
      <c r="AEI225" s="541"/>
      <c r="AEJ225" s="541"/>
      <c r="AEK225" s="541"/>
      <c r="AEL225" s="541"/>
      <c r="AEM225" s="541"/>
      <c r="AEN225" s="541"/>
      <c r="AEO225" s="541"/>
      <c r="AEP225" s="541"/>
      <c r="AEQ225" s="541"/>
      <c r="AER225" s="541"/>
      <c r="AES225" s="541"/>
      <c r="AET225" s="541"/>
      <c r="AEU225" s="541"/>
      <c r="AEV225" s="541"/>
      <c r="AEW225" s="541"/>
      <c r="AEX225" s="541"/>
      <c r="AEY225" s="541"/>
      <c r="AEZ225" s="541"/>
      <c r="AFA225" s="541"/>
      <c r="AFB225" s="541"/>
      <c r="AFC225" s="541"/>
      <c r="AFD225" s="541"/>
      <c r="AFE225" s="541"/>
      <c r="AFF225" s="541"/>
      <c r="AFG225" s="541"/>
      <c r="AFH225" s="541"/>
      <c r="AFI225" s="541"/>
      <c r="AFJ225" s="541"/>
      <c r="AFK225" s="541"/>
      <c r="AFL225" s="541"/>
      <c r="AFM225" s="541"/>
      <c r="AFN225" s="541"/>
      <c r="AFO225" s="541"/>
      <c r="AFP225" s="541"/>
      <c r="AFQ225" s="541"/>
      <c r="AFR225" s="541"/>
      <c r="AFS225" s="541"/>
      <c r="AFT225" s="541"/>
      <c r="AFU225" s="541"/>
      <c r="AFV225" s="541"/>
      <c r="AFW225" s="541"/>
      <c r="AFX225" s="541"/>
      <c r="AFY225" s="541"/>
      <c r="AFZ225" s="541"/>
      <c r="AGA225" s="541"/>
      <c r="AGB225" s="541"/>
      <c r="AGC225" s="541"/>
      <c r="AGD225" s="541"/>
      <c r="AGE225" s="541"/>
      <c r="AGF225" s="541"/>
      <c r="AGG225" s="541"/>
      <c r="AGH225" s="541"/>
      <c r="AGI225" s="541"/>
      <c r="AGJ225" s="541"/>
      <c r="AGK225" s="541"/>
      <c r="AGL225" s="541"/>
      <c r="AGM225" s="541"/>
      <c r="AGN225" s="541"/>
      <c r="AGO225" s="541"/>
      <c r="AGP225" s="541"/>
      <c r="AGQ225" s="541"/>
      <c r="AGR225" s="541"/>
      <c r="AGS225" s="541"/>
      <c r="AGT225" s="541"/>
      <c r="AGU225" s="541"/>
      <c r="AGV225" s="541"/>
      <c r="AGW225" s="541"/>
      <c r="AGX225" s="541"/>
      <c r="AGY225" s="541"/>
      <c r="AGZ225" s="541"/>
      <c r="AHA225" s="541"/>
      <c r="AHB225" s="541"/>
      <c r="AHC225" s="541"/>
      <c r="AHD225" s="541"/>
      <c r="AHE225" s="541"/>
      <c r="AHF225" s="541"/>
      <c r="AHG225" s="541"/>
      <c r="AHH225" s="541"/>
      <c r="AHI225" s="541"/>
      <c r="AHJ225" s="541"/>
      <c r="AHK225" s="541"/>
      <c r="AHL225" s="541"/>
      <c r="AHM225" s="541"/>
      <c r="AHN225" s="541"/>
      <c r="AHO225" s="541"/>
      <c r="AHP225" s="541"/>
      <c r="AHQ225" s="541"/>
      <c r="AHR225" s="541"/>
      <c r="AHS225" s="541"/>
      <c r="AHT225" s="541"/>
      <c r="AHU225" s="541"/>
      <c r="AHV225" s="541"/>
      <c r="AHW225" s="541"/>
      <c r="AHX225" s="541"/>
      <c r="AHY225" s="541"/>
      <c r="AHZ225" s="541"/>
      <c r="AIA225" s="541"/>
      <c r="AIB225" s="541"/>
      <c r="AIC225" s="541"/>
      <c r="AID225" s="541"/>
      <c r="AIE225" s="541"/>
      <c r="AIF225" s="541"/>
      <c r="AIG225" s="541"/>
      <c r="AIH225" s="541"/>
      <c r="AII225" s="541"/>
      <c r="AIJ225" s="541"/>
      <c r="AIK225" s="541"/>
      <c r="AIL225" s="541"/>
      <c r="AIM225" s="541"/>
      <c r="AIN225" s="541"/>
      <c r="AIO225" s="541"/>
      <c r="AIP225" s="541"/>
      <c r="AIQ225" s="541"/>
      <c r="AIR225" s="541"/>
      <c r="AIS225" s="541"/>
      <c r="AIT225" s="541"/>
      <c r="AIU225" s="541"/>
      <c r="AIV225" s="541"/>
      <c r="AIW225" s="541"/>
      <c r="AIX225" s="541"/>
      <c r="AIY225" s="541"/>
      <c r="AIZ225" s="541"/>
      <c r="AJA225" s="541"/>
      <c r="AJB225" s="541"/>
      <c r="AJC225" s="541"/>
      <c r="AJD225" s="541"/>
      <c r="AJE225" s="541"/>
      <c r="AJF225" s="541"/>
      <c r="AJG225" s="541"/>
      <c r="AJH225" s="541"/>
      <c r="AJI225" s="541"/>
      <c r="AJJ225" s="541"/>
      <c r="AJK225" s="541"/>
      <c r="AJL225" s="541"/>
      <c r="AJM225" s="541"/>
      <c r="AJN225" s="541"/>
      <c r="AJO225" s="541"/>
      <c r="AJP225" s="541"/>
      <c r="AJQ225" s="541"/>
      <c r="AJR225" s="541"/>
      <c r="AJS225" s="541"/>
      <c r="AJT225" s="541"/>
      <c r="AJU225" s="541"/>
      <c r="AJV225" s="541"/>
      <c r="AJW225" s="541"/>
      <c r="AJX225" s="541"/>
      <c r="AJY225" s="541"/>
      <c r="AJZ225" s="541"/>
      <c r="AKA225" s="541"/>
      <c r="AKB225" s="541"/>
      <c r="AKC225" s="541"/>
      <c r="AKD225" s="541"/>
      <c r="AKE225" s="541"/>
      <c r="AKF225" s="541"/>
      <c r="AKG225" s="541"/>
      <c r="AKH225" s="541"/>
      <c r="AKI225" s="541"/>
      <c r="AKJ225" s="541"/>
      <c r="AKK225" s="541"/>
      <c r="AKL225" s="541"/>
      <c r="AKM225" s="541"/>
      <c r="AKN225" s="541"/>
      <c r="AKO225" s="541"/>
      <c r="AKP225" s="541"/>
      <c r="AKQ225" s="541"/>
      <c r="AKR225" s="541"/>
      <c r="AKS225" s="541"/>
      <c r="AKT225" s="541"/>
      <c r="AKU225" s="541"/>
      <c r="AKV225" s="541"/>
      <c r="AKW225" s="541"/>
      <c r="AKX225" s="541"/>
      <c r="AKY225" s="541"/>
      <c r="AKZ225" s="541"/>
      <c r="ALA225" s="541"/>
      <c r="ALB225" s="541"/>
      <c r="ALC225" s="541"/>
      <c r="ALD225" s="541"/>
      <c r="ALE225" s="541"/>
      <c r="ALF225" s="541"/>
      <c r="ALG225" s="541"/>
      <c r="ALH225" s="541"/>
      <c r="ALI225" s="541"/>
      <c r="ALJ225" s="541"/>
      <c r="ALK225" s="541"/>
      <c r="ALL225" s="541"/>
      <c r="ALM225" s="541"/>
      <c r="ALN225" s="541"/>
      <c r="ALO225" s="541"/>
      <c r="ALP225" s="541"/>
      <c r="ALQ225" s="541"/>
      <c r="ALR225" s="541"/>
      <c r="ALS225" s="541"/>
      <c r="ALT225" s="541"/>
      <c r="ALU225" s="541"/>
      <c r="ALV225" s="541"/>
      <c r="ALW225" s="541"/>
      <c r="ALX225" s="541"/>
      <c r="ALY225" s="541"/>
      <c r="ALZ225" s="541"/>
      <c r="AMA225" s="541"/>
      <c r="AMB225" s="541"/>
      <c r="AMC225" s="541"/>
      <c r="AMD225" s="541"/>
      <c r="AME225" s="541"/>
      <c r="AMF225" s="541"/>
      <c r="AMG225" s="541"/>
      <c r="AMH225" s="541"/>
      <c r="AMI225" s="541"/>
      <c r="AMJ225" s="541"/>
      <c r="AMK225" s="541"/>
      <c r="AML225" s="541"/>
      <c r="AMM225" s="541"/>
      <c r="AMN225" s="541"/>
      <c r="AMO225" s="541"/>
      <c r="AMP225" s="541"/>
      <c r="AMQ225" s="541"/>
      <c r="AMR225" s="541"/>
      <c r="AMS225" s="541"/>
      <c r="AMT225" s="541"/>
      <c r="AMU225" s="541"/>
      <c r="AMV225" s="541"/>
      <c r="AMW225" s="541"/>
      <c r="AMX225" s="541"/>
      <c r="AMY225" s="541"/>
      <c r="AMZ225" s="541"/>
      <c r="ANA225" s="541"/>
      <c r="ANB225" s="541"/>
      <c r="ANC225" s="541"/>
      <c r="AND225" s="541"/>
      <c r="ANE225" s="541"/>
      <c r="ANF225" s="541"/>
      <c r="ANG225" s="541"/>
      <c r="ANH225" s="541"/>
      <c r="ANI225" s="541"/>
      <c r="ANJ225" s="541"/>
      <c r="ANK225" s="541"/>
      <c r="ANL225" s="541"/>
      <c r="ANM225" s="541"/>
      <c r="ANN225" s="541"/>
      <c r="ANO225" s="541"/>
      <c r="ANP225" s="541"/>
      <c r="ANQ225" s="541"/>
      <c r="ANR225" s="541"/>
      <c r="ANS225" s="541"/>
      <c r="ANT225" s="541"/>
      <c r="ANU225" s="541"/>
      <c r="ANV225" s="541"/>
      <c r="ANW225" s="541"/>
      <c r="ANX225" s="541"/>
      <c r="ANY225" s="541"/>
      <c r="ANZ225" s="541"/>
      <c r="AOA225" s="541"/>
      <c r="AOB225" s="541"/>
      <c r="AOC225" s="541"/>
      <c r="AOD225" s="541"/>
      <c r="AOE225" s="541"/>
      <c r="AOF225" s="541"/>
      <c r="AOG225" s="541"/>
      <c r="AOH225" s="541"/>
      <c r="AOI225" s="541"/>
      <c r="AOJ225" s="541"/>
      <c r="AOK225" s="541"/>
      <c r="AOL225" s="541"/>
      <c r="AOM225" s="541"/>
      <c r="AON225" s="541"/>
      <c r="AOO225" s="541"/>
      <c r="AOP225" s="541"/>
      <c r="AOQ225" s="541"/>
      <c r="AOR225" s="541"/>
      <c r="AOS225" s="541"/>
      <c r="AOT225" s="541"/>
      <c r="AOU225" s="541"/>
      <c r="AOV225" s="541"/>
      <c r="AOW225" s="541"/>
      <c r="AOX225" s="541"/>
      <c r="AOY225" s="541"/>
      <c r="AOZ225" s="541"/>
      <c r="APA225" s="541"/>
      <c r="APB225" s="541"/>
      <c r="APC225" s="541"/>
      <c r="APD225" s="541"/>
      <c r="APE225" s="541"/>
      <c r="APF225" s="541"/>
      <c r="APG225" s="541"/>
      <c r="APH225" s="541"/>
      <c r="API225" s="541"/>
      <c r="APJ225" s="541"/>
      <c r="APK225" s="541"/>
      <c r="APL225" s="541"/>
      <c r="APM225" s="541"/>
      <c r="APN225" s="541"/>
      <c r="APO225" s="541"/>
      <c r="APP225" s="541"/>
      <c r="APQ225" s="541"/>
      <c r="APR225" s="541"/>
      <c r="APS225" s="541"/>
      <c r="APT225" s="541"/>
      <c r="APU225" s="541"/>
      <c r="APV225" s="541"/>
      <c r="APW225" s="541"/>
      <c r="APX225" s="541"/>
      <c r="APY225" s="541"/>
      <c r="APZ225" s="541"/>
      <c r="AQA225" s="541"/>
      <c r="AQB225" s="541"/>
      <c r="AQC225" s="541"/>
      <c r="AQD225" s="541"/>
      <c r="AQE225" s="541"/>
      <c r="AQF225" s="541"/>
      <c r="AQG225" s="541"/>
      <c r="AQH225" s="541"/>
      <c r="AQI225" s="541"/>
      <c r="AQJ225" s="541"/>
      <c r="AQK225" s="541"/>
      <c r="AQL225" s="541"/>
      <c r="AQM225" s="541"/>
      <c r="AQN225" s="541"/>
      <c r="AQO225" s="541"/>
      <c r="AQP225" s="541"/>
      <c r="AQQ225" s="541"/>
      <c r="AQR225" s="541"/>
      <c r="AQS225" s="541"/>
      <c r="AQT225" s="541"/>
      <c r="AQU225" s="541"/>
      <c r="AQV225" s="541"/>
      <c r="AQW225" s="541"/>
      <c r="AQX225" s="541"/>
      <c r="AQY225" s="541"/>
      <c r="AQZ225" s="541"/>
      <c r="ARA225" s="541"/>
      <c r="ARB225" s="541"/>
      <c r="ARC225" s="541"/>
      <c r="ARD225" s="541"/>
      <c r="ARE225" s="541"/>
      <c r="ARF225" s="541"/>
      <c r="ARG225" s="541"/>
      <c r="ARH225" s="541"/>
      <c r="ARI225" s="541"/>
      <c r="ARJ225" s="541"/>
      <c r="ARK225" s="541"/>
      <c r="ARL225" s="541"/>
      <c r="ARM225" s="541"/>
      <c r="ARN225" s="541"/>
      <c r="ARO225" s="541"/>
      <c r="ARP225" s="541"/>
      <c r="ARQ225" s="541"/>
      <c r="ARR225" s="541"/>
      <c r="ARS225" s="541"/>
      <c r="ART225" s="541"/>
      <c r="ARU225" s="541"/>
    </row>
    <row r="226" spans="1:1165">
      <c r="A226" s="541"/>
      <c r="B226" s="541"/>
      <c r="C226" s="633"/>
      <c r="D226" s="633"/>
      <c r="E226" s="541"/>
      <c r="F226" s="541"/>
      <c r="G226" s="541"/>
      <c r="H226" s="541"/>
      <c r="I226" s="541"/>
      <c r="J226" s="541"/>
      <c r="K226" s="541"/>
      <c r="L226" s="541"/>
      <c r="M226" s="635"/>
      <c r="N226" s="635"/>
      <c r="O226" s="541"/>
      <c r="P226" s="541"/>
      <c r="Q226" s="635"/>
      <c r="R226" s="635"/>
      <c r="S226" s="541"/>
      <c r="T226" s="541"/>
      <c r="U226" s="541"/>
      <c r="V226" s="541"/>
      <c r="W226" s="594"/>
      <c r="X226" s="594"/>
      <c r="Y226" s="594"/>
      <c r="Z226" s="594"/>
      <c r="AA226" s="715"/>
      <c r="AB226" s="715"/>
      <c r="AC226" s="594"/>
      <c r="AD226" s="594"/>
      <c r="AE226" s="595"/>
      <c r="AF226" s="595"/>
      <c r="AG226" s="715"/>
      <c r="AH226" s="715"/>
      <c r="AI226" s="594"/>
      <c r="AJ226" s="594"/>
      <c r="AK226" s="594"/>
      <c r="AL226" s="594"/>
      <c r="AM226" s="430"/>
      <c r="AN226" s="430"/>
      <c r="AO226" s="672"/>
      <c r="AP226" s="672"/>
      <c r="AQ226" s="541"/>
      <c r="AR226" s="541"/>
      <c r="AS226" s="541"/>
      <c r="AT226" s="541"/>
      <c r="AU226" s="430"/>
      <c r="AV226" s="430"/>
      <c r="AW226" s="608"/>
      <c r="AX226" s="608"/>
      <c r="AY226" s="716"/>
      <c r="AZ226" s="716"/>
      <c r="BA226" s="430"/>
      <c r="BB226" s="592"/>
      <c r="BC226" s="592"/>
      <c r="BD226" s="592"/>
      <c r="BE226" s="592"/>
      <c r="BF226" s="592"/>
      <c r="BG226" s="592"/>
      <c r="BH226" s="592"/>
      <c r="BI226" s="430"/>
      <c r="BJ226" s="430"/>
      <c r="BK226" s="624"/>
      <c r="BL226" s="541"/>
      <c r="BN226" s="624"/>
      <c r="BO226" s="624"/>
    </row>
    <row r="227" spans="1:1165">
      <c r="D227" s="717"/>
      <c r="F227" s="717"/>
      <c r="G227" s="624"/>
      <c r="H227" s="717"/>
      <c r="I227" s="541"/>
      <c r="J227" s="717"/>
      <c r="K227" s="541"/>
      <c r="L227" s="717"/>
      <c r="M227" s="635"/>
      <c r="N227" s="717"/>
      <c r="P227" s="717"/>
      <c r="R227" s="717"/>
      <c r="T227" s="717"/>
      <c r="V227" s="717"/>
      <c r="W227" s="594"/>
      <c r="X227" s="717"/>
      <c r="Y227" s="594"/>
      <c r="Z227" s="717"/>
      <c r="AA227" s="430"/>
      <c r="AB227" s="717"/>
      <c r="AC227" s="594"/>
      <c r="AD227" s="717"/>
      <c r="AE227" s="608"/>
      <c r="AF227" s="717"/>
      <c r="AG227" s="430"/>
      <c r="AH227" s="717"/>
      <c r="AI227" s="594"/>
      <c r="AJ227" s="717"/>
      <c r="AK227" s="594"/>
      <c r="AL227" s="717"/>
      <c r="AM227" s="430"/>
      <c r="AN227" s="717"/>
      <c r="AO227" s="672"/>
      <c r="AP227" s="717"/>
      <c r="AQ227" s="541"/>
      <c r="AR227" s="717"/>
      <c r="AT227" s="717"/>
      <c r="AU227" s="428"/>
      <c r="AV227" s="717"/>
      <c r="AW227" s="717"/>
      <c r="AX227" s="717"/>
      <c r="AY227" s="718"/>
      <c r="AZ227" s="717"/>
      <c r="BA227" s="428"/>
      <c r="BB227" s="719"/>
      <c r="BC227" s="719"/>
      <c r="BD227" s="717"/>
      <c r="BE227" s="719"/>
      <c r="BF227" s="719"/>
      <c r="BG227" s="719"/>
      <c r="BH227" s="717"/>
      <c r="BI227" s="428"/>
      <c r="BJ227" s="428"/>
      <c r="BK227" s="717"/>
      <c r="BL227" s="541"/>
      <c r="BN227" s="624"/>
      <c r="BO227" s="624"/>
    </row>
    <row r="228" spans="1:1165">
      <c r="G228" s="541"/>
      <c r="H228" s="541"/>
      <c r="I228" s="541"/>
      <c r="J228" s="541"/>
      <c r="K228" s="541"/>
      <c r="L228" s="541"/>
      <c r="M228" s="635"/>
      <c r="N228" s="635"/>
      <c r="O228" s="541"/>
      <c r="P228" s="541"/>
      <c r="Q228" s="541"/>
      <c r="R228" s="541"/>
      <c r="S228" s="541"/>
      <c r="T228" s="541"/>
      <c r="U228" s="541"/>
      <c r="V228" s="541"/>
      <c r="W228" s="594"/>
      <c r="X228" s="594"/>
      <c r="Y228" s="430"/>
      <c r="Z228" s="430"/>
      <c r="AA228" s="594"/>
      <c r="AB228" s="594"/>
      <c r="AC228" s="594"/>
      <c r="AD228" s="594"/>
      <c r="AE228" s="595"/>
      <c r="AF228" s="595"/>
      <c r="AG228" s="594"/>
      <c r="AH228" s="594"/>
      <c r="AI228" s="430"/>
      <c r="AJ228" s="430"/>
      <c r="AK228" s="430"/>
      <c r="AL228" s="430"/>
      <c r="AM228" s="594"/>
      <c r="AN228" s="594"/>
      <c r="AO228" s="672"/>
      <c r="AP228" s="672"/>
      <c r="AU228" s="428"/>
      <c r="AV228" s="428"/>
      <c r="AW228" s="717"/>
      <c r="AX228" s="717"/>
      <c r="AY228" s="718"/>
      <c r="AZ228" s="718"/>
      <c r="BA228" s="428"/>
      <c r="BB228" s="428"/>
      <c r="BC228" s="428"/>
      <c r="BD228" s="428"/>
      <c r="BE228" s="428"/>
      <c r="BF228" s="428"/>
      <c r="BG228" s="428"/>
      <c r="BH228" s="428"/>
      <c r="BI228" s="428"/>
      <c r="BJ228" s="428"/>
      <c r="BK228" s="622"/>
      <c r="BL228" s="541"/>
      <c r="BN228" s="624"/>
      <c r="BO228" s="624"/>
    </row>
    <row r="229" spans="1:1165">
      <c r="D229" s="626"/>
      <c r="F229" s="626"/>
      <c r="G229" s="541"/>
      <c r="H229" s="626"/>
      <c r="I229" s="541"/>
      <c r="J229" s="626"/>
      <c r="K229" s="541"/>
      <c r="L229" s="626"/>
      <c r="M229" s="635"/>
      <c r="N229" s="626"/>
      <c r="O229" s="541"/>
      <c r="P229" s="626"/>
      <c r="Q229" s="541"/>
      <c r="R229" s="626"/>
      <c r="S229" s="541"/>
      <c r="T229" s="626"/>
      <c r="U229" s="541"/>
      <c r="V229" s="626"/>
      <c r="W229" s="594"/>
      <c r="X229" s="626"/>
      <c r="Y229" s="430"/>
      <c r="Z229" s="626"/>
      <c r="AA229" s="594"/>
      <c r="AB229" s="626"/>
      <c r="AC229" s="541"/>
      <c r="AD229" s="626"/>
      <c r="AE229" s="635"/>
      <c r="AF229" s="626"/>
      <c r="AG229" s="594"/>
      <c r="AH229" s="626"/>
      <c r="AI229" s="430"/>
      <c r="AJ229" s="626"/>
      <c r="AK229" s="430"/>
      <c r="AL229" s="626"/>
      <c r="AM229" s="594"/>
      <c r="AN229" s="626"/>
      <c r="AO229" s="720"/>
      <c r="AP229" s="626"/>
      <c r="AR229" s="626"/>
      <c r="AT229" s="626"/>
      <c r="AU229" s="428"/>
      <c r="AV229" s="626"/>
      <c r="AW229" s="717"/>
      <c r="AX229" s="626"/>
      <c r="AY229" s="718"/>
      <c r="AZ229" s="626"/>
      <c r="BA229" s="428"/>
      <c r="BB229" s="428"/>
      <c r="BC229" s="428"/>
      <c r="BD229" s="626"/>
      <c r="BE229" s="428"/>
      <c r="BF229" s="428"/>
      <c r="BG229" s="428"/>
      <c r="BH229" s="626"/>
      <c r="BI229" s="428"/>
      <c r="BJ229" s="428"/>
      <c r="BK229" s="626"/>
      <c r="BL229" s="541"/>
      <c r="BN229" s="624"/>
      <c r="BO229" s="624"/>
    </row>
    <row r="230" spans="1:1165">
      <c r="G230" s="541"/>
      <c r="H230" s="541"/>
      <c r="I230" s="541"/>
      <c r="J230" s="541"/>
      <c r="K230" s="541"/>
      <c r="L230" s="541"/>
      <c r="M230" s="635"/>
      <c r="N230" s="635"/>
      <c r="O230" s="541"/>
      <c r="P230" s="541"/>
      <c r="Q230" s="541"/>
      <c r="R230" s="541"/>
      <c r="S230" s="541"/>
      <c r="T230" s="541"/>
      <c r="U230" s="541"/>
      <c r="V230" s="541"/>
      <c r="W230" s="594"/>
      <c r="X230" s="594"/>
      <c r="Y230" s="594"/>
      <c r="Z230" s="594"/>
      <c r="AA230" s="594"/>
      <c r="AB230" s="594"/>
      <c r="AC230" s="594"/>
      <c r="AD230" s="594"/>
      <c r="AE230" s="608"/>
      <c r="AF230" s="608"/>
      <c r="AG230" s="594"/>
      <c r="AH230" s="594"/>
      <c r="AI230" s="594"/>
      <c r="AJ230" s="594"/>
      <c r="AK230" s="594"/>
      <c r="AL230" s="594"/>
      <c r="AM230" s="594"/>
      <c r="AN230" s="594"/>
      <c r="AO230" s="586"/>
      <c r="AP230" s="586"/>
      <c r="AU230" s="428"/>
      <c r="AV230" s="428"/>
      <c r="AW230" s="717"/>
      <c r="AX230" s="717"/>
      <c r="AY230" s="718"/>
      <c r="AZ230" s="718"/>
      <c r="BA230" s="428"/>
      <c r="BB230" s="428"/>
      <c r="BC230" s="428"/>
      <c r="BD230" s="428"/>
      <c r="BE230" s="428"/>
      <c r="BF230" s="428"/>
      <c r="BG230" s="428"/>
      <c r="BH230" s="428"/>
      <c r="BI230" s="428"/>
      <c r="BJ230" s="428"/>
      <c r="BK230" s="624"/>
      <c r="BL230" s="541"/>
      <c r="BN230" s="624"/>
      <c r="BO230" s="624"/>
    </row>
    <row r="231" spans="1:1165">
      <c r="A231" s="541"/>
      <c r="B231" s="541"/>
      <c r="C231" s="633"/>
      <c r="D231" s="633"/>
      <c r="E231" s="541"/>
      <c r="F231" s="541"/>
      <c r="M231" s="628"/>
      <c r="N231" s="628"/>
      <c r="U231" s="541"/>
      <c r="V231" s="541"/>
      <c r="W231" s="430"/>
      <c r="X231" s="594"/>
      <c r="Y231" s="594"/>
      <c r="Z231" s="594"/>
      <c r="AA231" s="594"/>
      <c r="AB231" s="594"/>
      <c r="AC231" s="594"/>
      <c r="AD231" s="594"/>
      <c r="AE231" s="608"/>
      <c r="AF231" s="608"/>
      <c r="AG231" s="594"/>
      <c r="AH231" s="594"/>
      <c r="AI231" s="594"/>
      <c r="AJ231" s="594"/>
      <c r="AK231" s="594"/>
      <c r="AL231" s="594"/>
      <c r="AM231" s="594"/>
      <c r="AN231" s="594"/>
      <c r="AO231" s="672"/>
      <c r="AP231" s="672"/>
      <c r="AU231" s="428"/>
      <c r="AV231" s="428"/>
      <c r="AW231" s="717"/>
      <c r="AX231" s="717"/>
      <c r="AY231" s="718"/>
      <c r="AZ231" s="718"/>
      <c r="BA231" s="428"/>
      <c r="BB231" s="428"/>
      <c r="BC231" s="428"/>
      <c r="BD231" s="428"/>
      <c r="BE231" s="428"/>
      <c r="BF231" s="428"/>
      <c r="BG231" s="428"/>
      <c r="BH231" s="428"/>
      <c r="BI231" s="428"/>
      <c r="BJ231" s="428"/>
      <c r="BK231" s="624"/>
      <c r="BL231" s="541"/>
      <c r="BN231" s="624"/>
      <c r="BO231" s="624"/>
    </row>
    <row r="232" spans="1:1165">
      <c r="A232" s="1568"/>
      <c r="B232" s="541"/>
      <c r="C232" s="633"/>
      <c r="D232" s="633"/>
      <c r="E232" s="541"/>
      <c r="F232" s="541"/>
      <c r="U232" s="541"/>
      <c r="V232" s="541"/>
      <c r="W232" s="594"/>
      <c r="X232" s="430"/>
      <c r="Y232" s="594"/>
      <c r="Z232" s="594"/>
      <c r="AA232" s="594"/>
      <c r="AB232" s="594"/>
      <c r="AC232" s="430"/>
      <c r="AD232" s="430"/>
      <c r="AE232" s="595"/>
      <c r="AF232" s="595"/>
      <c r="AG232" s="594"/>
      <c r="AH232" s="594"/>
      <c r="AI232" s="594"/>
      <c r="AJ232" s="594"/>
      <c r="AK232" s="594"/>
      <c r="AL232" s="594"/>
      <c r="AM232" s="594"/>
      <c r="AN232" s="594"/>
      <c r="AO232" s="672"/>
      <c r="AP232" s="672"/>
      <c r="AU232" s="428"/>
      <c r="AV232" s="428"/>
      <c r="AW232" s="717"/>
      <c r="AX232" s="717"/>
      <c r="AY232" s="718"/>
      <c r="AZ232" s="718"/>
      <c r="BA232" s="428"/>
      <c r="BB232" s="428"/>
      <c r="BC232" s="428"/>
      <c r="BD232" s="428"/>
      <c r="BE232" s="428"/>
      <c r="BF232" s="428"/>
      <c r="BG232" s="428"/>
      <c r="BH232" s="428"/>
      <c r="BI232" s="428"/>
      <c r="BJ232" s="428"/>
      <c r="BK232" s="624"/>
      <c r="BL232" s="541"/>
      <c r="BN232" s="624"/>
      <c r="BO232" s="624"/>
    </row>
    <row r="233" spans="1:1165">
      <c r="A233" s="541"/>
      <c r="B233" s="541"/>
      <c r="C233" s="633"/>
      <c r="D233" s="633"/>
      <c r="E233" s="541"/>
      <c r="F233" s="541"/>
      <c r="W233" s="594"/>
      <c r="X233" s="594"/>
      <c r="Y233" s="594"/>
      <c r="Z233" s="594"/>
      <c r="AA233" s="541"/>
      <c r="AB233" s="541"/>
      <c r="AC233" s="430"/>
      <c r="AD233" s="430"/>
      <c r="AE233" s="595"/>
      <c r="AF233" s="595"/>
      <c r="AG233" s="594"/>
      <c r="AH233" s="594"/>
      <c r="AI233" s="594"/>
      <c r="AJ233" s="594"/>
      <c r="AK233" s="594"/>
      <c r="AL233" s="594"/>
      <c r="AM233" s="594"/>
      <c r="AN233" s="594"/>
      <c r="AO233" s="672"/>
      <c r="AP233" s="672"/>
      <c r="AW233" s="628"/>
      <c r="AX233" s="628"/>
      <c r="BK233" s="624"/>
      <c r="BL233" s="541"/>
      <c r="BN233" s="624"/>
      <c r="BO233" s="624"/>
    </row>
    <row r="234" spans="1:1165">
      <c r="A234" s="541"/>
      <c r="B234" s="541"/>
      <c r="C234" s="633"/>
      <c r="D234" s="633"/>
      <c r="E234" s="541"/>
      <c r="F234" s="541"/>
      <c r="W234" s="430"/>
      <c r="X234" s="594"/>
      <c r="Y234" s="594"/>
      <c r="Z234" s="594"/>
      <c r="AA234" s="430"/>
      <c r="AB234" s="430"/>
      <c r="AC234" s="594"/>
      <c r="AD234" s="594"/>
      <c r="AE234" s="595"/>
      <c r="AF234" s="595"/>
      <c r="AG234" s="430"/>
      <c r="AH234" s="430"/>
      <c r="AI234" s="594"/>
      <c r="AJ234" s="594"/>
      <c r="AK234" s="594"/>
      <c r="AL234" s="594"/>
      <c r="AM234" s="430"/>
      <c r="AN234" s="430"/>
      <c r="AO234" s="672"/>
      <c r="AP234" s="672"/>
      <c r="AW234" s="628"/>
      <c r="AX234" s="628"/>
      <c r="BK234" s="624"/>
      <c r="BL234" s="541"/>
      <c r="BN234" s="624"/>
      <c r="BO234" s="624"/>
    </row>
    <row r="235" spans="1:1165">
      <c r="A235" s="541"/>
      <c r="W235" s="594"/>
      <c r="X235" s="430"/>
      <c r="Y235" s="430"/>
      <c r="Z235" s="430"/>
      <c r="AA235" s="594"/>
      <c r="AB235" s="594"/>
      <c r="AC235" s="594"/>
      <c r="AD235" s="594"/>
      <c r="AE235" s="595"/>
      <c r="AF235" s="595"/>
      <c r="AG235" s="594"/>
      <c r="AH235" s="594"/>
      <c r="AI235" s="430"/>
      <c r="AJ235" s="430"/>
      <c r="AK235" s="430"/>
      <c r="AL235" s="430"/>
      <c r="AM235" s="594"/>
      <c r="AN235" s="594"/>
      <c r="AO235" s="672"/>
      <c r="AP235" s="672"/>
      <c r="AW235" s="628"/>
      <c r="AX235" s="628"/>
      <c r="BK235" s="624"/>
      <c r="BL235" s="541"/>
      <c r="BN235" s="624"/>
      <c r="BO235" s="624"/>
    </row>
    <row r="236" spans="1:1165">
      <c r="W236" s="594"/>
      <c r="X236" s="594"/>
      <c r="Y236" s="594"/>
      <c r="Z236" s="594"/>
      <c r="AA236" s="430"/>
      <c r="AB236" s="430"/>
      <c r="AC236" s="594"/>
      <c r="AD236" s="594"/>
      <c r="AE236" s="595"/>
      <c r="AF236" s="595"/>
      <c r="AG236" s="430"/>
      <c r="AH236" s="430"/>
      <c r="AI236" s="594"/>
      <c r="AJ236" s="594"/>
      <c r="AK236" s="594"/>
      <c r="AL236" s="594"/>
      <c r="AM236" s="594"/>
      <c r="AN236" s="594"/>
      <c r="AO236" s="586"/>
      <c r="AP236" s="586"/>
      <c r="AW236" s="628"/>
      <c r="AX236" s="628"/>
      <c r="BK236" s="624"/>
      <c r="BL236" s="541"/>
      <c r="BN236" s="624"/>
      <c r="BO236" s="624"/>
    </row>
    <row r="237" spans="1:1165">
      <c r="A237" s="541"/>
      <c r="W237" s="594"/>
      <c r="X237" s="594"/>
      <c r="Y237" s="594"/>
      <c r="Z237" s="594"/>
      <c r="AA237" s="430"/>
      <c r="AB237" s="430"/>
      <c r="AC237" s="594"/>
      <c r="AD237" s="594"/>
      <c r="AE237" s="608"/>
      <c r="AF237" s="608"/>
      <c r="AG237" s="430"/>
      <c r="AH237" s="430"/>
      <c r="AI237" s="594"/>
      <c r="AJ237" s="594"/>
      <c r="AK237" s="594"/>
      <c r="AL237" s="594"/>
      <c r="AM237" s="430"/>
      <c r="AN237" s="430"/>
      <c r="AO237" s="672"/>
      <c r="AP237" s="672"/>
      <c r="BK237" s="624"/>
      <c r="BL237" s="541"/>
      <c r="BN237" s="624"/>
      <c r="BO237" s="624"/>
    </row>
    <row r="238" spans="1:1165">
      <c r="W238" s="594"/>
      <c r="X238" s="594"/>
      <c r="Y238" s="594"/>
      <c r="Z238" s="594"/>
      <c r="AA238" s="594"/>
      <c r="AB238" s="594"/>
      <c r="AC238" s="594"/>
      <c r="AD238" s="594"/>
      <c r="AE238" s="595"/>
      <c r="AF238" s="595"/>
      <c r="AG238" s="594"/>
      <c r="AH238" s="594"/>
      <c r="AI238" s="594"/>
      <c r="AJ238" s="594"/>
      <c r="AK238" s="594"/>
      <c r="AL238" s="594"/>
      <c r="AM238" s="430"/>
      <c r="AN238" s="430"/>
      <c r="AO238" s="624"/>
      <c r="AP238" s="624"/>
      <c r="BK238" s="624"/>
      <c r="BL238" s="541"/>
      <c r="BN238" s="624"/>
      <c r="BO238" s="624"/>
    </row>
    <row r="239" spans="1:1165">
      <c r="W239" s="594"/>
      <c r="X239" s="594"/>
      <c r="Y239" s="430"/>
      <c r="Z239" s="430"/>
      <c r="AA239" s="594"/>
      <c r="AB239" s="594"/>
      <c r="AC239" s="430"/>
      <c r="AD239" s="430"/>
      <c r="AE239" s="595"/>
      <c r="AF239" s="595"/>
      <c r="AG239" s="594"/>
      <c r="AH239" s="594"/>
      <c r="AI239" s="430"/>
      <c r="AJ239" s="430"/>
      <c r="AK239" s="430"/>
      <c r="AL239" s="430"/>
      <c r="AM239" s="638"/>
      <c r="AN239" s="638"/>
      <c r="AO239" s="586"/>
      <c r="AP239" s="586"/>
      <c r="BK239" s="624"/>
      <c r="BL239" s="541"/>
      <c r="BN239" s="624"/>
      <c r="BO239" s="624"/>
    </row>
    <row r="240" spans="1:1165">
      <c r="W240" s="594"/>
      <c r="X240" s="594"/>
      <c r="Y240" s="430"/>
      <c r="Z240" s="430"/>
      <c r="AA240" s="594"/>
      <c r="AB240" s="594"/>
      <c r="AC240" s="594"/>
      <c r="AD240" s="594"/>
      <c r="AE240" s="595"/>
      <c r="AF240" s="595"/>
      <c r="AG240" s="594"/>
      <c r="AH240" s="594"/>
      <c r="AI240" s="430"/>
      <c r="AJ240" s="430"/>
      <c r="AK240" s="430"/>
      <c r="AL240" s="430"/>
      <c r="AM240" s="638"/>
      <c r="AN240" s="638"/>
      <c r="AO240" s="586"/>
      <c r="AP240" s="586"/>
      <c r="BK240" s="624"/>
      <c r="BL240" s="541"/>
      <c r="BN240" s="624"/>
      <c r="BO240" s="624"/>
    </row>
    <row r="241" spans="23:67">
      <c r="W241" s="430"/>
      <c r="X241" s="594"/>
      <c r="Y241" s="638"/>
      <c r="Z241" s="638"/>
      <c r="AA241" s="594"/>
      <c r="AB241" s="594"/>
      <c r="AC241" s="594"/>
      <c r="AD241" s="594"/>
      <c r="AE241" s="608"/>
      <c r="AF241" s="608"/>
      <c r="AG241" s="594"/>
      <c r="AH241" s="594"/>
      <c r="AI241" s="638"/>
      <c r="AJ241" s="638"/>
      <c r="AK241" s="638"/>
      <c r="AL241" s="638"/>
      <c r="AM241" s="430"/>
      <c r="AN241" s="430"/>
      <c r="AO241" s="672"/>
      <c r="AP241" s="672"/>
      <c r="BK241" s="541"/>
      <c r="BL241" s="541"/>
      <c r="BN241" s="624"/>
      <c r="BO241" s="624"/>
    </row>
    <row r="242" spans="23:67">
      <c r="W242" s="594"/>
      <c r="X242" s="430"/>
      <c r="Y242" s="638"/>
      <c r="Z242" s="638"/>
      <c r="AA242" s="594"/>
      <c r="AB242" s="594"/>
      <c r="AC242" s="594"/>
      <c r="AD242" s="594"/>
      <c r="AE242" s="608"/>
      <c r="AF242" s="608"/>
      <c r="AG242" s="594"/>
      <c r="AH242" s="594"/>
      <c r="AI242" s="638"/>
      <c r="AJ242" s="638"/>
      <c r="AK242" s="638"/>
      <c r="AL242" s="638"/>
      <c r="AM242" s="541"/>
      <c r="AN242" s="541"/>
      <c r="AO242" s="672"/>
      <c r="AP242" s="672"/>
      <c r="BK242" s="541"/>
      <c r="BL242" s="541"/>
      <c r="BN242" s="624"/>
      <c r="BO242" s="624"/>
    </row>
    <row r="243" spans="23:67">
      <c r="W243" s="594"/>
      <c r="X243" s="594"/>
      <c r="Y243" s="638"/>
      <c r="Z243" s="638"/>
      <c r="AA243" s="594"/>
      <c r="AB243" s="594"/>
      <c r="AC243" s="430"/>
      <c r="AD243" s="430"/>
      <c r="AE243" s="608"/>
      <c r="AF243" s="608"/>
      <c r="AG243" s="594"/>
      <c r="AH243" s="594"/>
      <c r="AI243" s="430"/>
      <c r="AJ243" s="430"/>
      <c r="AK243" s="430"/>
      <c r="AL243" s="430"/>
      <c r="AM243" s="541"/>
      <c r="AN243" s="541"/>
      <c r="AO243" s="672"/>
      <c r="AP243" s="672"/>
      <c r="BK243" s="541"/>
      <c r="BL243" s="541"/>
      <c r="BN243" s="624"/>
      <c r="BO243" s="624"/>
    </row>
    <row r="244" spans="23:67">
      <c r="W244" s="594"/>
      <c r="X244" s="594"/>
      <c r="Y244" s="638"/>
      <c r="Z244" s="638"/>
      <c r="AA244" s="430"/>
      <c r="AB244" s="430"/>
      <c r="AC244" s="430"/>
      <c r="AD244" s="430"/>
      <c r="AE244" s="608"/>
      <c r="AF244" s="608"/>
      <c r="AG244" s="430"/>
      <c r="AH244" s="430"/>
      <c r="AI244" s="541"/>
      <c r="AJ244" s="541"/>
      <c r="AK244" s="430"/>
      <c r="AL244" s="430"/>
      <c r="AM244" s="541"/>
      <c r="AN244" s="541"/>
      <c r="AO244" s="672"/>
      <c r="AP244" s="672"/>
      <c r="BK244" s="541"/>
      <c r="BL244" s="541"/>
      <c r="BN244" s="624"/>
      <c r="BO244" s="624"/>
    </row>
    <row r="245" spans="23:67">
      <c r="W245" s="430"/>
      <c r="X245" s="594"/>
      <c r="Y245" s="430"/>
      <c r="Z245" s="430"/>
      <c r="AA245" s="594"/>
      <c r="AB245" s="594"/>
      <c r="AC245" s="638"/>
      <c r="AD245" s="638"/>
      <c r="AE245" s="608"/>
      <c r="AF245" s="608"/>
      <c r="AG245" s="594"/>
      <c r="AH245" s="594"/>
      <c r="AI245" s="541"/>
      <c r="AJ245" s="541"/>
      <c r="AK245" s="430"/>
      <c r="AL245" s="430"/>
      <c r="AM245" s="541"/>
      <c r="AN245" s="541"/>
      <c r="AO245" s="672"/>
      <c r="AP245" s="672"/>
      <c r="BK245" s="541"/>
      <c r="BL245" s="541"/>
      <c r="BN245" s="624"/>
      <c r="BO245" s="624"/>
    </row>
    <row r="246" spans="23:67">
      <c r="W246" s="430"/>
      <c r="X246" s="430"/>
      <c r="Y246" s="541"/>
      <c r="Z246" s="541"/>
      <c r="AA246" s="594"/>
      <c r="AB246" s="594"/>
      <c r="AC246" s="638"/>
      <c r="AD246" s="638"/>
      <c r="AE246" s="635"/>
      <c r="AF246" s="635"/>
      <c r="AG246" s="594"/>
      <c r="AH246" s="594"/>
      <c r="AI246" s="541"/>
      <c r="AJ246" s="541"/>
      <c r="AK246" s="430"/>
      <c r="AL246" s="430"/>
      <c r="AM246" s="541"/>
      <c r="AN246" s="541"/>
      <c r="AO246" s="672"/>
      <c r="AP246" s="672"/>
      <c r="BK246" s="541"/>
      <c r="BL246" s="541"/>
      <c r="BN246" s="624"/>
      <c r="BO246" s="624"/>
    </row>
    <row r="247" spans="23:67">
      <c r="W247" s="638"/>
      <c r="X247" s="430"/>
      <c r="Y247" s="541"/>
      <c r="Z247" s="541"/>
      <c r="AA247" s="594"/>
      <c r="AB247" s="594"/>
      <c r="AC247" s="638"/>
      <c r="AD247" s="638"/>
      <c r="AE247" s="635"/>
      <c r="AF247" s="635"/>
      <c r="AG247" s="594"/>
      <c r="AH247" s="594"/>
      <c r="AI247" s="541"/>
      <c r="AJ247" s="541"/>
      <c r="AK247" s="430"/>
      <c r="AL247" s="430"/>
      <c r="AM247" s="541"/>
      <c r="AN247" s="541"/>
      <c r="AO247" s="586"/>
      <c r="AP247" s="586"/>
      <c r="BK247" s="541"/>
      <c r="BL247" s="541"/>
      <c r="BN247" s="624"/>
      <c r="BO247" s="624"/>
    </row>
    <row r="248" spans="23:67">
      <c r="W248" s="638"/>
      <c r="X248" s="638"/>
      <c r="Y248" s="541"/>
      <c r="Z248" s="541"/>
      <c r="AA248" s="430"/>
      <c r="AB248" s="430"/>
      <c r="AC248" s="638"/>
      <c r="AD248" s="638"/>
      <c r="AE248" s="635"/>
      <c r="AF248" s="635"/>
      <c r="AG248" s="430"/>
      <c r="AH248" s="430"/>
      <c r="AI248" s="541"/>
      <c r="AJ248" s="541"/>
      <c r="AK248" s="430"/>
      <c r="AL248" s="430"/>
      <c r="AM248" s="541"/>
      <c r="AN248" s="541"/>
      <c r="AO248" s="672"/>
      <c r="AP248" s="672"/>
      <c r="BK248" s="541"/>
      <c r="BL248" s="541"/>
      <c r="BN248" s="624"/>
      <c r="BO248" s="624"/>
    </row>
    <row r="249" spans="23:67">
      <c r="W249" s="638"/>
      <c r="X249" s="638"/>
      <c r="Y249" s="541"/>
      <c r="Z249" s="541"/>
      <c r="AA249" s="430"/>
      <c r="AB249" s="430"/>
      <c r="AC249" s="430"/>
      <c r="AD249" s="430"/>
      <c r="AE249" s="635"/>
      <c r="AF249" s="635"/>
      <c r="AG249" s="430"/>
      <c r="AH249" s="430"/>
      <c r="AI249" s="541"/>
      <c r="AJ249" s="541"/>
      <c r="AK249" s="430"/>
      <c r="AL249" s="430"/>
      <c r="AM249" s="541"/>
      <c r="AN249" s="541"/>
      <c r="AO249" s="672"/>
      <c r="AP249" s="672"/>
      <c r="BK249" s="541"/>
      <c r="BL249" s="541"/>
      <c r="BN249" s="624"/>
      <c r="BO249" s="624"/>
    </row>
    <row r="250" spans="23:67">
      <c r="W250" s="638"/>
      <c r="X250" s="638"/>
      <c r="Y250" s="541"/>
      <c r="Z250" s="541"/>
      <c r="AA250" s="638"/>
      <c r="AB250" s="638"/>
      <c r="AC250" s="541"/>
      <c r="AD250" s="541"/>
      <c r="AE250" s="635"/>
      <c r="AF250" s="635"/>
      <c r="AG250" s="638"/>
      <c r="AH250" s="638"/>
      <c r="AI250" s="541"/>
      <c r="AJ250" s="541"/>
      <c r="AK250" s="430"/>
      <c r="AL250" s="430"/>
      <c r="AM250" s="541"/>
      <c r="AN250" s="541"/>
      <c r="AO250" s="672"/>
      <c r="AP250" s="672"/>
      <c r="BK250" s="541"/>
      <c r="BL250" s="541"/>
      <c r="BN250" s="624"/>
      <c r="BO250" s="624"/>
    </row>
    <row r="251" spans="23:67">
      <c r="W251" s="430"/>
      <c r="X251" s="638"/>
      <c r="Y251" s="541"/>
      <c r="Z251" s="541"/>
      <c r="AA251" s="638"/>
      <c r="AB251" s="638"/>
      <c r="AC251" s="541"/>
      <c r="AD251" s="541"/>
      <c r="AE251" s="635"/>
      <c r="AF251" s="635"/>
      <c r="AG251" s="638"/>
      <c r="AH251" s="638"/>
      <c r="AI251" s="541"/>
      <c r="AJ251" s="541"/>
      <c r="AK251" s="430"/>
      <c r="AL251" s="430"/>
      <c r="AM251" s="541"/>
      <c r="AN251" s="541"/>
      <c r="AO251" s="586"/>
      <c r="AP251" s="586"/>
      <c r="BK251" s="541"/>
      <c r="BL251" s="541"/>
      <c r="BN251" s="624"/>
      <c r="BO251" s="624"/>
    </row>
    <row r="252" spans="23:67">
      <c r="W252" s="541"/>
      <c r="X252" s="430"/>
      <c r="Y252" s="541"/>
      <c r="Z252" s="541"/>
      <c r="AA252" s="638"/>
      <c r="AB252" s="638"/>
      <c r="AC252" s="541"/>
      <c r="AD252" s="541"/>
      <c r="AE252" s="635"/>
      <c r="AF252" s="635"/>
      <c r="AG252" s="430"/>
      <c r="AH252" s="430"/>
      <c r="AI252" s="541"/>
      <c r="AJ252" s="541"/>
      <c r="AK252" s="430"/>
      <c r="AL252" s="430"/>
      <c r="AM252" s="541"/>
      <c r="AN252" s="541"/>
      <c r="AO252" s="586"/>
      <c r="AP252" s="586"/>
      <c r="BK252" s="541"/>
      <c r="BL252" s="541"/>
      <c r="BN252" s="624"/>
      <c r="BO252" s="624"/>
    </row>
    <row r="253" spans="23:67">
      <c r="W253" s="541"/>
      <c r="X253" s="541"/>
      <c r="Y253" s="541"/>
      <c r="Z253" s="541"/>
      <c r="AA253" s="638"/>
      <c r="AB253" s="638"/>
      <c r="AC253" s="541"/>
      <c r="AD253" s="541"/>
      <c r="AE253" s="635"/>
      <c r="AF253" s="635"/>
      <c r="AG253" s="541"/>
      <c r="AH253" s="541"/>
      <c r="AI253" s="541"/>
      <c r="AJ253" s="541"/>
      <c r="AK253" s="430"/>
      <c r="AL253" s="430"/>
      <c r="AM253" s="541"/>
      <c r="AN253" s="541"/>
      <c r="AO253" s="587"/>
      <c r="AP253" s="587"/>
      <c r="BK253" s="541"/>
      <c r="BL253" s="541"/>
      <c r="BN253" s="624"/>
      <c r="BO253" s="624"/>
    </row>
    <row r="254" spans="23:67">
      <c r="W254" s="541"/>
      <c r="X254" s="541"/>
      <c r="Y254" s="541"/>
      <c r="Z254" s="541"/>
      <c r="AA254" s="430"/>
      <c r="AB254" s="430"/>
      <c r="AC254" s="541"/>
      <c r="AD254" s="541"/>
      <c r="AE254" s="635"/>
      <c r="AF254" s="635"/>
      <c r="AG254" s="541"/>
      <c r="AH254" s="541"/>
      <c r="AI254" s="541"/>
      <c r="AJ254" s="541"/>
      <c r="AK254" s="430"/>
      <c r="AL254" s="430"/>
      <c r="AM254" s="541"/>
      <c r="AN254" s="541"/>
      <c r="AO254" s="587"/>
      <c r="AP254" s="587"/>
      <c r="BK254" s="541"/>
      <c r="BL254" s="541"/>
      <c r="BN254" s="624"/>
      <c r="BO254" s="624"/>
    </row>
    <row r="255" spans="23:67">
      <c r="W255" s="541"/>
      <c r="X255" s="541"/>
      <c r="Y255" s="541"/>
      <c r="Z255" s="541"/>
      <c r="AA255" s="541"/>
      <c r="AB255" s="541"/>
      <c r="AC255" s="541"/>
      <c r="AD255" s="541"/>
      <c r="AE255" s="635"/>
      <c r="AF255" s="635"/>
      <c r="AG255" s="541"/>
      <c r="AH255" s="541"/>
      <c r="AI255" s="541"/>
      <c r="AJ255" s="541"/>
      <c r="AK255" s="430"/>
      <c r="AL255" s="430"/>
      <c r="AM255" s="541"/>
      <c r="AN255" s="541"/>
      <c r="AO255" s="586"/>
      <c r="AP255" s="586"/>
      <c r="BK255" s="541"/>
      <c r="BL255" s="541"/>
      <c r="BN255" s="624"/>
      <c r="BO255" s="624"/>
    </row>
    <row r="256" spans="23:67">
      <c r="W256" s="541"/>
      <c r="X256" s="541"/>
      <c r="Y256" s="541"/>
      <c r="Z256" s="541"/>
      <c r="AA256" s="541"/>
      <c r="AB256" s="541"/>
      <c r="AC256" s="541"/>
      <c r="AD256" s="541"/>
      <c r="AE256" s="635"/>
      <c r="AF256" s="635"/>
      <c r="AG256" s="541"/>
      <c r="AH256" s="541"/>
      <c r="AI256" s="541"/>
      <c r="AJ256" s="541"/>
      <c r="AK256" s="430"/>
      <c r="AL256" s="430"/>
      <c r="AM256" s="541"/>
      <c r="AN256" s="541"/>
      <c r="AO256" s="624"/>
      <c r="AP256" s="624"/>
      <c r="BK256" s="541"/>
      <c r="BL256" s="541"/>
      <c r="BN256" s="624"/>
      <c r="BO256" s="624"/>
    </row>
    <row r="257" spans="23:67">
      <c r="W257" s="541"/>
      <c r="X257" s="541"/>
      <c r="Y257" s="541"/>
      <c r="Z257" s="541"/>
      <c r="AA257" s="541"/>
      <c r="AB257" s="541"/>
      <c r="AC257" s="541"/>
      <c r="AD257" s="541"/>
      <c r="AE257" s="635"/>
      <c r="AF257" s="635"/>
      <c r="AG257" s="541"/>
      <c r="AH257" s="541"/>
      <c r="AI257" s="541"/>
      <c r="AJ257" s="541"/>
      <c r="AK257" s="430"/>
      <c r="AL257" s="430"/>
      <c r="AM257" s="541"/>
      <c r="AN257" s="541"/>
      <c r="AO257" s="624"/>
      <c r="AP257" s="624"/>
      <c r="BK257" s="541"/>
      <c r="BL257" s="541"/>
      <c r="BN257" s="624"/>
      <c r="BO257" s="624"/>
    </row>
    <row r="258" spans="23:67">
      <c r="W258" s="541"/>
      <c r="X258" s="541"/>
      <c r="Y258" s="541"/>
      <c r="Z258" s="541"/>
      <c r="AA258" s="541"/>
      <c r="AB258" s="541"/>
      <c r="AC258" s="541"/>
      <c r="AD258" s="541"/>
      <c r="AE258" s="635"/>
      <c r="AF258" s="635"/>
      <c r="AG258" s="541"/>
      <c r="AH258" s="541"/>
      <c r="AI258" s="541"/>
      <c r="AJ258" s="541"/>
      <c r="AK258" s="430"/>
      <c r="AM258" s="541"/>
      <c r="AN258" s="541"/>
      <c r="AO258" s="624"/>
      <c r="AP258" s="624"/>
      <c r="BK258" s="541"/>
      <c r="BL258" s="541"/>
      <c r="BN258" s="624"/>
      <c r="BO258" s="624"/>
    </row>
    <row r="259" spans="23:67">
      <c r="W259" s="541"/>
      <c r="X259" s="541"/>
      <c r="Y259" s="541"/>
      <c r="Z259" s="541"/>
      <c r="AA259" s="541"/>
      <c r="AB259" s="541"/>
      <c r="AC259" s="541"/>
      <c r="AD259" s="541"/>
      <c r="AE259" s="635"/>
      <c r="AF259" s="635"/>
      <c r="AG259" s="541"/>
      <c r="AH259" s="541"/>
      <c r="AI259" s="541"/>
      <c r="AJ259" s="541"/>
      <c r="AK259" s="430"/>
      <c r="AM259" s="541"/>
      <c r="AN259" s="541"/>
      <c r="AO259" s="624"/>
      <c r="AP259" s="624"/>
      <c r="BK259" s="541"/>
      <c r="BL259" s="541"/>
      <c r="BN259" s="624"/>
      <c r="BO259" s="624"/>
    </row>
    <row r="260" spans="23:67">
      <c r="W260" s="541"/>
      <c r="X260" s="541"/>
      <c r="Y260" s="541"/>
      <c r="Z260" s="541"/>
      <c r="AA260" s="541"/>
      <c r="AB260" s="541"/>
      <c r="AC260" s="541"/>
      <c r="AD260" s="541"/>
      <c r="AE260" s="635"/>
      <c r="AF260" s="635"/>
      <c r="AG260" s="541"/>
      <c r="AH260" s="541"/>
      <c r="AI260" s="541"/>
      <c r="AJ260" s="541"/>
      <c r="AK260" s="430"/>
      <c r="AM260" s="541"/>
      <c r="AN260" s="541"/>
      <c r="AO260" s="624"/>
      <c r="AP260" s="624"/>
      <c r="BK260" s="541"/>
      <c r="BL260" s="541"/>
      <c r="BN260" s="624"/>
    </row>
    <row r="261" spans="23:67">
      <c r="W261" s="541"/>
      <c r="X261" s="541"/>
      <c r="Y261" s="541"/>
      <c r="Z261" s="541"/>
      <c r="AA261" s="541"/>
      <c r="AB261" s="541"/>
      <c r="AC261" s="541"/>
      <c r="AD261" s="541"/>
      <c r="AE261" s="635"/>
      <c r="AF261" s="635"/>
      <c r="AG261" s="541"/>
      <c r="AH261" s="541"/>
      <c r="AI261" s="541"/>
      <c r="AJ261" s="541"/>
      <c r="AK261" s="430"/>
      <c r="AM261" s="541"/>
      <c r="AN261" s="541"/>
      <c r="AO261" s="624"/>
      <c r="AP261" s="624"/>
      <c r="BK261" s="541"/>
      <c r="BL261" s="541"/>
      <c r="BN261" s="624"/>
    </row>
    <row r="262" spans="23:67">
      <c r="W262" s="541"/>
      <c r="X262" s="541"/>
      <c r="Y262" s="541"/>
      <c r="Z262" s="541"/>
      <c r="AA262" s="541"/>
      <c r="AB262" s="541"/>
      <c r="AC262" s="541"/>
      <c r="AD262" s="541"/>
      <c r="AE262" s="635"/>
      <c r="AF262" s="635"/>
      <c r="AG262" s="541"/>
      <c r="AH262" s="541"/>
      <c r="AI262" s="541"/>
      <c r="AJ262" s="541"/>
      <c r="AK262" s="430"/>
      <c r="AM262" s="541"/>
      <c r="AN262" s="541"/>
      <c r="AO262" s="624"/>
      <c r="AP262" s="624"/>
      <c r="BK262" s="541"/>
      <c r="BL262" s="541"/>
      <c r="BN262" s="624"/>
    </row>
    <row r="263" spans="23:67">
      <c r="W263" s="541"/>
      <c r="X263" s="541"/>
      <c r="Y263" s="541"/>
      <c r="Z263" s="541"/>
      <c r="AA263" s="541"/>
      <c r="AB263" s="541"/>
      <c r="AC263" s="541"/>
      <c r="AD263" s="541"/>
      <c r="AE263" s="635"/>
      <c r="AF263" s="635"/>
      <c r="AG263" s="541"/>
      <c r="AH263" s="541"/>
      <c r="AI263" s="541"/>
      <c r="AJ263" s="541"/>
      <c r="AK263" s="430"/>
      <c r="AM263" s="541"/>
      <c r="AN263" s="541"/>
      <c r="AO263" s="624"/>
      <c r="AP263" s="624"/>
      <c r="BK263" s="541"/>
      <c r="BL263" s="541"/>
    </row>
    <row r="264" spans="23:67">
      <c r="W264" s="541"/>
      <c r="X264" s="541"/>
      <c r="Y264" s="541"/>
      <c r="Z264" s="541"/>
      <c r="AA264" s="541"/>
      <c r="AB264" s="541"/>
      <c r="AC264" s="541"/>
      <c r="AD264" s="541"/>
      <c r="AE264" s="635"/>
      <c r="AF264" s="635"/>
      <c r="AG264" s="541"/>
      <c r="AH264" s="541"/>
      <c r="AI264" s="541"/>
      <c r="AJ264" s="541"/>
      <c r="AK264" s="430"/>
      <c r="AM264" s="541"/>
      <c r="AN264" s="541"/>
      <c r="AO264" s="624"/>
      <c r="AP264" s="624"/>
      <c r="BK264" s="541"/>
      <c r="BL264" s="541"/>
    </row>
    <row r="265" spans="23:67">
      <c r="W265" s="541"/>
      <c r="X265" s="541"/>
      <c r="Y265" s="541"/>
      <c r="Z265" s="541"/>
      <c r="AA265" s="541"/>
      <c r="AB265" s="541"/>
      <c r="AC265" s="541"/>
      <c r="AD265" s="541"/>
      <c r="AE265" s="635"/>
      <c r="AF265" s="635"/>
      <c r="AG265" s="541"/>
      <c r="AH265" s="541"/>
      <c r="AI265" s="541"/>
      <c r="AJ265" s="541"/>
      <c r="AK265" s="430"/>
      <c r="AM265" s="541"/>
      <c r="AN265" s="541"/>
      <c r="AO265" s="624"/>
      <c r="AP265" s="624"/>
      <c r="BK265" s="541"/>
      <c r="BL265" s="541"/>
    </row>
    <row r="266" spans="23:67">
      <c r="W266" s="541"/>
      <c r="X266" s="541"/>
      <c r="Y266" s="541"/>
      <c r="Z266" s="541"/>
      <c r="AA266" s="541"/>
      <c r="AB266" s="541"/>
      <c r="AC266" s="541"/>
      <c r="AD266" s="541"/>
      <c r="AE266" s="635"/>
      <c r="AF266" s="635"/>
      <c r="AG266" s="541"/>
      <c r="AH266" s="541"/>
      <c r="AI266" s="541"/>
      <c r="AJ266" s="541"/>
      <c r="AK266" s="430"/>
      <c r="AM266" s="541"/>
      <c r="AN266" s="541"/>
      <c r="AO266" s="624"/>
      <c r="AP266" s="624"/>
      <c r="BK266" s="541"/>
      <c r="BL266" s="541"/>
    </row>
    <row r="267" spans="23:67">
      <c r="W267" s="541"/>
      <c r="X267" s="541"/>
      <c r="Y267" s="541"/>
      <c r="Z267" s="541"/>
      <c r="AA267" s="541"/>
      <c r="AB267" s="541"/>
      <c r="AC267" s="541"/>
      <c r="AD267" s="541"/>
      <c r="AE267" s="635"/>
      <c r="AF267" s="635"/>
      <c r="AG267" s="541"/>
      <c r="AH267" s="541"/>
      <c r="AI267" s="541"/>
      <c r="AJ267" s="541"/>
      <c r="AK267" s="430"/>
      <c r="AM267" s="541"/>
      <c r="AN267" s="541"/>
      <c r="AO267" s="624"/>
      <c r="AP267" s="624"/>
      <c r="BK267" s="541"/>
      <c r="BL267" s="541"/>
    </row>
    <row r="268" spans="23:67">
      <c r="W268" s="541"/>
      <c r="X268" s="541"/>
      <c r="Y268" s="541"/>
      <c r="Z268" s="541"/>
      <c r="AA268" s="541"/>
      <c r="AB268" s="541"/>
      <c r="AC268" s="541"/>
      <c r="AD268" s="541"/>
      <c r="AE268" s="635"/>
      <c r="AF268" s="635"/>
      <c r="AG268" s="541"/>
      <c r="AH268" s="541"/>
      <c r="AI268" s="541"/>
      <c r="AJ268" s="541"/>
      <c r="AK268" s="430"/>
      <c r="AO268" s="624"/>
      <c r="AP268" s="624"/>
      <c r="BK268" s="541"/>
      <c r="BL268" s="541"/>
    </row>
    <row r="269" spans="23:67">
      <c r="W269" s="541"/>
      <c r="X269" s="541"/>
      <c r="Y269" s="541"/>
      <c r="Z269" s="541"/>
      <c r="AA269" s="541"/>
      <c r="AB269" s="541"/>
      <c r="AC269" s="541"/>
      <c r="AD269" s="541"/>
      <c r="AE269" s="635"/>
      <c r="AF269" s="635"/>
      <c r="AG269" s="541"/>
      <c r="AH269" s="541"/>
      <c r="AI269" s="541"/>
      <c r="AJ269" s="541"/>
      <c r="AK269" s="430"/>
      <c r="AO269" s="624"/>
      <c r="AP269" s="624"/>
      <c r="BK269" s="541"/>
      <c r="BL269" s="541"/>
    </row>
    <row r="270" spans="23:67">
      <c r="W270" s="541"/>
      <c r="X270" s="541"/>
      <c r="Y270" s="541"/>
      <c r="Z270" s="541"/>
      <c r="AA270" s="541"/>
      <c r="AB270" s="541"/>
      <c r="AC270" s="541"/>
      <c r="AD270" s="541"/>
      <c r="AE270" s="635"/>
      <c r="AF270" s="635"/>
      <c r="AG270" s="541"/>
      <c r="AH270" s="541"/>
      <c r="AI270" s="541"/>
      <c r="AJ270" s="541"/>
      <c r="AK270" s="430"/>
      <c r="AO270" s="624"/>
      <c r="AP270" s="624"/>
      <c r="BK270" s="541"/>
      <c r="BL270" s="541"/>
    </row>
    <row r="271" spans="23:67">
      <c r="W271" s="541"/>
      <c r="X271" s="541"/>
      <c r="Y271" s="541"/>
      <c r="Z271" s="541"/>
      <c r="AA271" s="541"/>
      <c r="AB271" s="541"/>
      <c r="AC271" s="541"/>
      <c r="AD271" s="541"/>
      <c r="AE271" s="635"/>
      <c r="AF271" s="635"/>
      <c r="AG271" s="541"/>
      <c r="AH271" s="541"/>
      <c r="AI271" s="541"/>
      <c r="AJ271" s="541"/>
      <c r="AK271" s="430"/>
      <c r="AO271" s="624"/>
      <c r="AP271" s="624"/>
      <c r="BK271" s="541"/>
      <c r="BL271" s="541"/>
    </row>
    <row r="272" spans="23:67">
      <c r="W272" s="541"/>
      <c r="X272" s="541"/>
      <c r="Y272" s="541"/>
      <c r="Z272" s="541"/>
      <c r="AA272" s="541"/>
      <c r="AB272" s="541"/>
      <c r="AC272" s="541"/>
      <c r="AD272" s="541"/>
      <c r="AE272" s="635"/>
      <c r="AF272" s="635"/>
      <c r="AG272" s="541"/>
      <c r="AH272" s="541"/>
      <c r="AI272" s="541"/>
      <c r="AJ272" s="541"/>
      <c r="AK272" s="430"/>
      <c r="AO272" s="624"/>
      <c r="AP272" s="624"/>
      <c r="BK272" s="541"/>
      <c r="BL272" s="541"/>
    </row>
    <row r="273" spans="23:64">
      <c r="W273" s="541"/>
      <c r="X273" s="541"/>
      <c r="Y273" s="541"/>
      <c r="Z273" s="541"/>
      <c r="AA273" s="541"/>
      <c r="AB273" s="541"/>
      <c r="AC273" s="541"/>
      <c r="AD273" s="541"/>
      <c r="AE273" s="635"/>
      <c r="AF273" s="635"/>
      <c r="AG273" s="541"/>
      <c r="AH273" s="541"/>
      <c r="AI273" s="541"/>
      <c r="AJ273" s="541"/>
      <c r="AK273" s="430"/>
      <c r="BK273" s="541"/>
      <c r="BL273" s="541"/>
    </row>
    <row r="274" spans="23:64">
      <c r="AI274" s="541"/>
      <c r="AJ274" s="541"/>
      <c r="BK274" s="541"/>
      <c r="BL274" s="541"/>
    </row>
    <row r="275" spans="23:64">
      <c r="AI275" s="541"/>
      <c r="AJ275" s="541"/>
      <c r="BL275" s="541"/>
    </row>
    <row r="276" spans="23:64">
      <c r="AI276" s="541"/>
      <c r="AJ276" s="541"/>
      <c r="BL276" s="541"/>
    </row>
    <row r="277" spans="23:64">
      <c r="AI277" s="541"/>
      <c r="AJ277" s="541"/>
      <c r="BK277" s="541"/>
      <c r="BL277" s="541"/>
    </row>
    <row r="278" spans="23:64">
      <c r="AI278" s="541"/>
      <c r="AJ278" s="541"/>
      <c r="BK278" s="541"/>
      <c r="BL278" s="541"/>
    </row>
    <row r="279" spans="23:64">
      <c r="BK279" s="541"/>
      <c r="BL279" s="541"/>
    </row>
    <row r="280" spans="23:64">
      <c r="BK280" s="541"/>
      <c r="BL280" s="541"/>
    </row>
    <row r="281" spans="23:64">
      <c r="BK281" s="541"/>
      <c r="BL281" s="541"/>
    </row>
    <row r="282" spans="23:64">
      <c r="BK282" s="541"/>
      <c r="BL282" s="541"/>
    </row>
    <row r="283" spans="23:64">
      <c r="BK283" s="541"/>
      <c r="BL283" s="541"/>
    </row>
    <row r="284" spans="23:64">
      <c r="BK284" s="541"/>
      <c r="BL284" s="541"/>
    </row>
    <row r="285" spans="23:64">
      <c r="BK285" s="541"/>
      <c r="BL285" s="541"/>
    </row>
    <row r="286" spans="23:64">
      <c r="BK286" s="541"/>
      <c r="BL286" s="541"/>
    </row>
    <row r="287" spans="23:64">
      <c r="BK287" s="541"/>
      <c r="BL287" s="541"/>
    </row>
    <row r="288" spans="23:64">
      <c r="BK288" s="541"/>
      <c r="BL288" s="541"/>
    </row>
    <row r="289" spans="63:64">
      <c r="BK289" s="541"/>
      <c r="BL289" s="541"/>
    </row>
    <row r="290" spans="63:64">
      <c r="BK290" s="541"/>
      <c r="BL290" s="541"/>
    </row>
    <row r="291" spans="63:64">
      <c r="BK291" s="541"/>
      <c r="BL291" s="541"/>
    </row>
    <row r="292" spans="63:64">
      <c r="BK292" s="541"/>
      <c r="BL292" s="541"/>
    </row>
    <row r="293" spans="63:64">
      <c r="BK293" s="541"/>
      <c r="BL293" s="541"/>
    </row>
    <row r="294" spans="63:64">
      <c r="BK294" s="541"/>
      <c r="BL294" s="541"/>
    </row>
    <row r="295" spans="63:64">
      <c r="BK295" s="541"/>
      <c r="BL295" s="541"/>
    </row>
    <row r="296" spans="63:64">
      <c r="BK296" s="541"/>
      <c r="BL296" s="541"/>
    </row>
    <row r="297" spans="63:64">
      <c r="BK297" s="541"/>
      <c r="BL297" s="541"/>
    </row>
    <row r="298" spans="63:64">
      <c r="BK298" s="541"/>
      <c r="BL298" s="541"/>
    </row>
    <row r="299" spans="63:64">
      <c r="BK299" s="541"/>
      <c r="BL299" s="541"/>
    </row>
    <row r="300" spans="63:64">
      <c r="BK300" s="541"/>
      <c r="BL300" s="541"/>
    </row>
    <row r="301" spans="63:64">
      <c r="BK301" s="541"/>
      <c r="BL301" s="541"/>
    </row>
    <row r="302" spans="63:64">
      <c r="BK302" s="541"/>
      <c r="BL302" s="541"/>
    </row>
    <row r="303" spans="63:64">
      <c r="BK303" s="541"/>
      <c r="BL303" s="541"/>
    </row>
    <row r="304" spans="63:64">
      <c r="BK304" s="541"/>
      <c r="BL304" s="541"/>
    </row>
    <row r="305" spans="63:64">
      <c r="BK305" s="541"/>
      <c r="BL305" s="541"/>
    </row>
    <row r="306" spans="63:64">
      <c r="BK306" s="541"/>
      <c r="BL306" s="541"/>
    </row>
    <row r="307" spans="63:64">
      <c r="BK307" s="541"/>
      <c r="BL307" s="541"/>
    </row>
    <row r="308" spans="63:64">
      <c r="BK308" s="541"/>
      <c r="BL308" s="541"/>
    </row>
    <row r="309" spans="63:64">
      <c r="BK309" s="541"/>
      <c r="BL309" s="541"/>
    </row>
    <row r="310" spans="63:64">
      <c r="BK310" s="541"/>
      <c r="BL310" s="541"/>
    </row>
    <row r="311" spans="63:64">
      <c r="BK311" s="541"/>
      <c r="BL311" s="541"/>
    </row>
    <row r="312" spans="63:64">
      <c r="BK312" s="541"/>
      <c r="BL312" s="541"/>
    </row>
    <row r="313" spans="63:64">
      <c r="BK313" s="541"/>
      <c r="BL313" s="541"/>
    </row>
    <row r="314" spans="63:64">
      <c r="BK314" s="541"/>
      <c r="BL314" s="541"/>
    </row>
    <row r="315" spans="63:64">
      <c r="BK315" s="541"/>
      <c r="BL315" s="541"/>
    </row>
    <row r="316" spans="63:64">
      <c r="BK316" s="541"/>
      <c r="BL316" s="541"/>
    </row>
    <row r="317" spans="63:64">
      <c r="BK317" s="541"/>
      <c r="BL317" s="541"/>
    </row>
    <row r="318" spans="63:64">
      <c r="BK318" s="541"/>
      <c r="BL318" s="541"/>
    </row>
    <row r="319" spans="63:64">
      <c r="BK319" s="541"/>
      <c r="BL319" s="541"/>
    </row>
    <row r="320" spans="63:64">
      <c r="BK320" s="541"/>
      <c r="BL320" s="541"/>
    </row>
    <row r="321" spans="63:64">
      <c r="BK321" s="541"/>
      <c r="BL321" s="541"/>
    </row>
    <row r="322" spans="63:64">
      <c r="BK322" s="541"/>
      <c r="BL322" s="541"/>
    </row>
    <row r="323" spans="63:64">
      <c r="BK323" s="541"/>
      <c r="BL323" s="541"/>
    </row>
    <row r="324" spans="63:64">
      <c r="BK324" s="541"/>
      <c r="BL324" s="541"/>
    </row>
    <row r="325" spans="63:64">
      <c r="BK325" s="541"/>
      <c r="BL325" s="541"/>
    </row>
    <row r="326" spans="63:64">
      <c r="BK326" s="541"/>
      <c r="BL326" s="541"/>
    </row>
    <row r="327" spans="63:64">
      <c r="BK327" s="541"/>
      <c r="BL327" s="541"/>
    </row>
    <row r="328" spans="63:64">
      <c r="BK328" s="541"/>
      <c r="BL328" s="541"/>
    </row>
    <row r="329" spans="63:64">
      <c r="BK329" s="541"/>
      <c r="BL329" s="541"/>
    </row>
    <row r="330" spans="63:64">
      <c r="BK330" s="541"/>
      <c r="BL330" s="541"/>
    </row>
    <row r="331" spans="63:64">
      <c r="BK331" s="541"/>
      <c r="BL331" s="541"/>
    </row>
    <row r="332" spans="63:64">
      <c r="BK332" s="541"/>
      <c r="BL332" s="541"/>
    </row>
    <row r="333" spans="63:64">
      <c r="BK333" s="541"/>
      <c r="BL333" s="541"/>
    </row>
    <row r="334" spans="63:64">
      <c r="BK334" s="541"/>
      <c r="BL334" s="541"/>
    </row>
    <row r="335" spans="63:64">
      <c r="BK335" s="541"/>
      <c r="BL335" s="541"/>
    </row>
    <row r="336" spans="63:64">
      <c r="BK336" s="541"/>
      <c r="BL336" s="541"/>
    </row>
    <row r="337" spans="63:64">
      <c r="BK337" s="541"/>
      <c r="BL337" s="541"/>
    </row>
    <row r="338" spans="63:64">
      <c r="BK338" s="541"/>
      <c r="BL338" s="541"/>
    </row>
    <row r="339" spans="63:64">
      <c r="BK339" s="541"/>
      <c r="BL339" s="541"/>
    </row>
    <row r="340" spans="63:64">
      <c r="BK340" s="541"/>
      <c r="BL340" s="541"/>
    </row>
    <row r="341" spans="63:64">
      <c r="BK341" s="541"/>
      <c r="BL341" s="541"/>
    </row>
    <row r="342" spans="63:64">
      <c r="BK342" s="541"/>
      <c r="BL342" s="541"/>
    </row>
    <row r="343" spans="63:64">
      <c r="BK343" s="541"/>
      <c r="BL343" s="541"/>
    </row>
    <row r="344" spans="63:64">
      <c r="BK344" s="541"/>
      <c r="BL344" s="541"/>
    </row>
    <row r="345" spans="63:64">
      <c r="BK345" s="541"/>
      <c r="BL345" s="541"/>
    </row>
    <row r="346" spans="63:64">
      <c r="BK346" s="541"/>
      <c r="BL346" s="541"/>
    </row>
    <row r="347" spans="63:64">
      <c r="BK347" s="541"/>
      <c r="BL347" s="541"/>
    </row>
    <row r="348" spans="63:64">
      <c r="BK348" s="541"/>
      <c r="BL348" s="541"/>
    </row>
    <row r="349" spans="63:64">
      <c r="BK349" s="541"/>
      <c r="BL349" s="541"/>
    </row>
    <row r="350" spans="63:64">
      <c r="BK350" s="541"/>
      <c r="BL350" s="541"/>
    </row>
    <row r="351" spans="63:64">
      <c r="BK351" s="541"/>
      <c r="BL351" s="541"/>
    </row>
    <row r="352" spans="63:64">
      <c r="BK352" s="541"/>
      <c r="BL352" s="541"/>
    </row>
    <row r="353" spans="63:64">
      <c r="BK353" s="541"/>
      <c r="BL353" s="541"/>
    </row>
    <row r="354" spans="63:64">
      <c r="BK354" s="541"/>
      <c r="BL354" s="541"/>
    </row>
    <row r="355" spans="63:64">
      <c r="BK355" s="541"/>
      <c r="BL355" s="541"/>
    </row>
    <row r="356" spans="63:64">
      <c r="BK356" s="541"/>
      <c r="BL356" s="541"/>
    </row>
    <row r="357" spans="63:64">
      <c r="BK357" s="541"/>
      <c r="BL357" s="541"/>
    </row>
    <row r="358" spans="63:64">
      <c r="BK358" s="541"/>
      <c r="BL358" s="541"/>
    </row>
    <row r="359" spans="63:64">
      <c r="BK359" s="541"/>
      <c r="BL359" s="541"/>
    </row>
    <row r="360" spans="63:64">
      <c r="BK360" s="541"/>
      <c r="BL360" s="541"/>
    </row>
    <row r="361" spans="63:64">
      <c r="BK361" s="541"/>
      <c r="BL361" s="541"/>
    </row>
    <row r="362" spans="63:64">
      <c r="BK362" s="541"/>
      <c r="BL362" s="541"/>
    </row>
    <row r="363" spans="63:64">
      <c r="BK363" s="541"/>
      <c r="BL363" s="541"/>
    </row>
    <row r="364" spans="63:64">
      <c r="BK364" s="541"/>
      <c r="BL364" s="541"/>
    </row>
    <row r="365" spans="63:64">
      <c r="BK365" s="541"/>
      <c r="BL365" s="541"/>
    </row>
    <row r="366" spans="63:64">
      <c r="BK366" s="541"/>
      <c r="BL366" s="541"/>
    </row>
    <row r="367" spans="63:64">
      <c r="BK367" s="541"/>
      <c r="BL367" s="541"/>
    </row>
    <row r="368" spans="63:64">
      <c r="BK368" s="541"/>
      <c r="BL368" s="541"/>
    </row>
    <row r="369" spans="63:64">
      <c r="BK369" s="541"/>
      <c r="BL369" s="541"/>
    </row>
    <row r="370" spans="63:64">
      <c r="BK370" s="541"/>
      <c r="BL370" s="541"/>
    </row>
    <row r="371" spans="63:64">
      <c r="BK371" s="541"/>
      <c r="BL371" s="541"/>
    </row>
    <row r="372" spans="63:64">
      <c r="BK372" s="541"/>
      <c r="BL372" s="541"/>
    </row>
    <row r="373" spans="63:64">
      <c r="BK373" s="541"/>
      <c r="BL373" s="541"/>
    </row>
    <row r="374" spans="63:64">
      <c r="BK374" s="541"/>
      <c r="BL374" s="541"/>
    </row>
    <row r="375" spans="63:64">
      <c r="BK375" s="541"/>
      <c r="BL375" s="541"/>
    </row>
    <row r="376" spans="63:64">
      <c r="BK376" s="541"/>
      <c r="BL376" s="541"/>
    </row>
    <row r="377" spans="63:64">
      <c r="BK377" s="541"/>
      <c r="BL377" s="541"/>
    </row>
    <row r="378" spans="63:64">
      <c r="BK378" s="541"/>
      <c r="BL378" s="541"/>
    </row>
    <row r="379" spans="63:64">
      <c r="BK379" s="541"/>
      <c r="BL379" s="541"/>
    </row>
    <row r="380" spans="63:64">
      <c r="BK380" s="541"/>
      <c r="BL380" s="541"/>
    </row>
    <row r="381" spans="63:64">
      <c r="BK381" s="541"/>
      <c r="BL381" s="541"/>
    </row>
    <row r="382" spans="63:64">
      <c r="BK382" s="541"/>
      <c r="BL382" s="541"/>
    </row>
    <row r="383" spans="63:64">
      <c r="BK383" s="541"/>
      <c r="BL383" s="541"/>
    </row>
    <row r="384" spans="63:64">
      <c r="BK384" s="541"/>
      <c r="BL384" s="541"/>
    </row>
    <row r="385" spans="63:64">
      <c r="BK385" s="541"/>
      <c r="BL385" s="541"/>
    </row>
    <row r="386" spans="63:64">
      <c r="BK386" s="541"/>
      <c r="BL386" s="541"/>
    </row>
    <row r="387" spans="63:64">
      <c r="BK387" s="541"/>
      <c r="BL387" s="541"/>
    </row>
    <row r="388" spans="63:64">
      <c r="BK388" s="541"/>
      <c r="BL388" s="541"/>
    </row>
    <row r="389" spans="63:64">
      <c r="BK389" s="541"/>
      <c r="BL389" s="541"/>
    </row>
    <row r="390" spans="63:64">
      <c r="BK390" s="541"/>
      <c r="BL390" s="541"/>
    </row>
    <row r="391" spans="63:64">
      <c r="BK391" s="541"/>
      <c r="BL391" s="541"/>
    </row>
    <row r="392" spans="63:64">
      <c r="BK392" s="541"/>
      <c r="BL392" s="541"/>
    </row>
    <row r="393" spans="63:64">
      <c r="BK393" s="541"/>
      <c r="BL393" s="541"/>
    </row>
    <row r="394" spans="63:64">
      <c r="BK394" s="541"/>
      <c r="BL394" s="541"/>
    </row>
    <row r="395" spans="63:64">
      <c r="BK395" s="541"/>
      <c r="BL395" s="541"/>
    </row>
    <row r="396" spans="63:64">
      <c r="BK396" s="541"/>
      <c r="BL396" s="541"/>
    </row>
    <row r="397" spans="63:64">
      <c r="BK397" s="541"/>
      <c r="BL397" s="541"/>
    </row>
    <row r="398" spans="63:64">
      <c r="BK398" s="541"/>
      <c r="BL398" s="541"/>
    </row>
    <row r="399" spans="63:64">
      <c r="BK399" s="541"/>
      <c r="BL399" s="541"/>
    </row>
    <row r="400" spans="63:64">
      <c r="BK400" s="541"/>
      <c r="BL400" s="541"/>
    </row>
    <row r="401" spans="63:64">
      <c r="BK401" s="541"/>
      <c r="BL401" s="541"/>
    </row>
    <row r="402" spans="63:64">
      <c r="BK402" s="541"/>
      <c r="BL402" s="541"/>
    </row>
    <row r="403" spans="63:64">
      <c r="BK403" s="541"/>
      <c r="BL403" s="541"/>
    </row>
    <row r="404" spans="63:64">
      <c r="BK404" s="541"/>
      <c r="BL404" s="541"/>
    </row>
    <row r="405" spans="63:64">
      <c r="BK405" s="541"/>
      <c r="BL405" s="541"/>
    </row>
    <row r="406" spans="63:64">
      <c r="BK406" s="541"/>
      <c r="BL406" s="541"/>
    </row>
    <row r="407" spans="63:64">
      <c r="BK407" s="541"/>
      <c r="BL407" s="541"/>
    </row>
    <row r="408" spans="63:64">
      <c r="BK408" s="541"/>
      <c r="BL408" s="541"/>
    </row>
    <row r="409" spans="63:64">
      <c r="BK409" s="541"/>
      <c r="BL409" s="541"/>
    </row>
    <row r="410" spans="63:64">
      <c r="BK410" s="541"/>
      <c r="BL410" s="541"/>
    </row>
    <row r="411" spans="63:64">
      <c r="BK411" s="541"/>
      <c r="BL411" s="541"/>
    </row>
    <row r="412" spans="63:64">
      <c r="BK412" s="541"/>
      <c r="BL412" s="541"/>
    </row>
    <row r="413" spans="63:64">
      <c r="BK413" s="541"/>
      <c r="BL413" s="541"/>
    </row>
    <row r="414" spans="63:64">
      <c r="BK414" s="541"/>
      <c r="BL414" s="541"/>
    </row>
    <row r="415" spans="63:64">
      <c r="BK415" s="541"/>
      <c r="BL415" s="541"/>
    </row>
    <row r="416" spans="63:64">
      <c r="BK416" s="541"/>
      <c r="BL416" s="541"/>
    </row>
    <row r="417" spans="63:64">
      <c r="BK417" s="541"/>
      <c r="BL417" s="541"/>
    </row>
    <row r="418" spans="63:64">
      <c r="BK418" s="541"/>
      <c r="BL418" s="541"/>
    </row>
    <row r="419" spans="63:64">
      <c r="BK419" s="541"/>
      <c r="BL419" s="541"/>
    </row>
    <row r="420" spans="63:64">
      <c r="BK420" s="541"/>
      <c r="BL420" s="541"/>
    </row>
    <row r="421" spans="63:64">
      <c r="BK421" s="541"/>
      <c r="BL421" s="541"/>
    </row>
    <row r="422" spans="63:64">
      <c r="BK422" s="541"/>
      <c r="BL422" s="541"/>
    </row>
    <row r="423" spans="63:64">
      <c r="BK423" s="541"/>
      <c r="BL423" s="541"/>
    </row>
    <row r="424" spans="63:64">
      <c r="BK424" s="541"/>
      <c r="BL424" s="541"/>
    </row>
    <row r="425" spans="63:64">
      <c r="BK425" s="541"/>
      <c r="BL425" s="541"/>
    </row>
    <row r="426" spans="63:64">
      <c r="BK426" s="541"/>
      <c r="BL426" s="541"/>
    </row>
    <row r="427" spans="63:64">
      <c r="BK427" s="541"/>
      <c r="BL427" s="541"/>
    </row>
    <row r="428" spans="63:64">
      <c r="BK428" s="541"/>
      <c r="BL428" s="541"/>
    </row>
    <row r="429" spans="63:64">
      <c r="BK429" s="541"/>
      <c r="BL429" s="541"/>
    </row>
    <row r="430" spans="63:64">
      <c r="BK430" s="541"/>
      <c r="BL430" s="541"/>
    </row>
    <row r="431" spans="63:64">
      <c r="BK431" s="541"/>
      <c r="BL431" s="541"/>
    </row>
    <row r="432" spans="63:64">
      <c r="BK432" s="541"/>
      <c r="BL432" s="541"/>
    </row>
    <row r="433" spans="63:64">
      <c r="BK433" s="541"/>
      <c r="BL433" s="541"/>
    </row>
    <row r="434" spans="63:64">
      <c r="BK434" s="541"/>
      <c r="BL434" s="541"/>
    </row>
    <row r="435" spans="63:64">
      <c r="BK435" s="541"/>
      <c r="BL435" s="541"/>
    </row>
    <row r="436" spans="63:64">
      <c r="BK436" s="541"/>
      <c r="BL436" s="541"/>
    </row>
    <row r="437" spans="63:64">
      <c r="BK437" s="541"/>
      <c r="BL437" s="541"/>
    </row>
    <row r="438" spans="63:64">
      <c r="BK438" s="541"/>
      <c r="BL438" s="541"/>
    </row>
    <row r="439" spans="63:64">
      <c r="BK439" s="541"/>
      <c r="BL439" s="541"/>
    </row>
    <row r="440" spans="63:64">
      <c r="BK440" s="541"/>
      <c r="BL440" s="541"/>
    </row>
    <row r="441" spans="63:64">
      <c r="BK441" s="541"/>
      <c r="BL441" s="541"/>
    </row>
    <row r="442" spans="63:64">
      <c r="BK442" s="541"/>
      <c r="BL442" s="541"/>
    </row>
    <row r="443" spans="63:64">
      <c r="BK443" s="541"/>
      <c r="BL443" s="541"/>
    </row>
    <row r="444" spans="63:64">
      <c r="BK444" s="541"/>
      <c r="BL444" s="541"/>
    </row>
    <row r="445" spans="63:64">
      <c r="BK445" s="541"/>
      <c r="BL445" s="541"/>
    </row>
    <row r="446" spans="63:64">
      <c r="BK446" s="541"/>
      <c r="BL446" s="541"/>
    </row>
    <row r="447" spans="63:64">
      <c r="BK447" s="541"/>
      <c r="BL447" s="541"/>
    </row>
    <row r="448" spans="63:64">
      <c r="BK448" s="541"/>
      <c r="BL448" s="541"/>
    </row>
    <row r="449" spans="63:64">
      <c r="BK449" s="541"/>
      <c r="BL449" s="541"/>
    </row>
    <row r="450" spans="63:64">
      <c r="BK450" s="541"/>
      <c r="BL450" s="541"/>
    </row>
    <row r="451" spans="63:64">
      <c r="BK451" s="541"/>
      <c r="BL451" s="541"/>
    </row>
    <row r="452" spans="63:64">
      <c r="BK452" s="541"/>
      <c r="BL452" s="541"/>
    </row>
    <row r="453" spans="63:64">
      <c r="BK453" s="541"/>
      <c r="BL453" s="541"/>
    </row>
    <row r="454" spans="63:64">
      <c r="BK454" s="541"/>
      <c r="BL454" s="541"/>
    </row>
    <row r="455" spans="63:64">
      <c r="BK455" s="541"/>
      <c r="BL455" s="541"/>
    </row>
    <row r="456" spans="63:64">
      <c r="BK456" s="541"/>
      <c r="BL456" s="541"/>
    </row>
    <row r="457" spans="63:64">
      <c r="BK457" s="541"/>
      <c r="BL457" s="541"/>
    </row>
    <row r="458" spans="63:64">
      <c r="BK458" s="541"/>
      <c r="BL458" s="541"/>
    </row>
    <row r="459" spans="63:64">
      <c r="BK459" s="541"/>
      <c r="BL459" s="541"/>
    </row>
    <row r="460" spans="63:64">
      <c r="BK460" s="541"/>
      <c r="BL460" s="541"/>
    </row>
    <row r="461" spans="63:64">
      <c r="BK461" s="541"/>
      <c r="BL461" s="541"/>
    </row>
    <row r="462" spans="63:64">
      <c r="BK462" s="541"/>
      <c r="BL462" s="541"/>
    </row>
    <row r="463" spans="63:64">
      <c r="BK463" s="541"/>
      <c r="BL463" s="541"/>
    </row>
    <row r="464" spans="63:64">
      <c r="BK464" s="541"/>
      <c r="BL464" s="541"/>
    </row>
    <row r="465" spans="63:64">
      <c r="BK465" s="541"/>
      <c r="BL465" s="541"/>
    </row>
    <row r="466" spans="63:64">
      <c r="BK466" s="541"/>
      <c r="BL466" s="541"/>
    </row>
    <row r="467" spans="63:64">
      <c r="BK467" s="541"/>
      <c r="BL467" s="541"/>
    </row>
    <row r="468" spans="63:64">
      <c r="BK468" s="541"/>
      <c r="BL468" s="541"/>
    </row>
    <row r="469" spans="63:64">
      <c r="BK469" s="541"/>
      <c r="BL469" s="541"/>
    </row>
    <row r="470" spans="63:64">
      <c r="BK470" s="541"/>
      <c r="BL470" s="541"/>
    </row>
    <row r="471" spans="63:64">
      <c r="BK471" s="541"/>
      <c r="BL471" s="541"/>
    </row>
    <row r="472" spans="63:64">
      <c r="BK472" s="541"/>
      <c r="BL472" s="541"/>
    </row>
    <row r="473" spans="63:64">
      <c r="BK473" s="541"/>
      <c r="BL473" s="541"/>
    </row>
    <row r="474" spans="63:64">
      <c r="BK474" s="541"/>
      <c r="BL474" s="541"/>
    </row>
    <row r="475" spans="63:64">
      <c r="BK475" s="541"/>
      <c r="BL475" s="541"/>
    </row>
    <row r="476" spans="63:64">
      <c r="BK476" s="541"/>
      <c r="BL476" s="541"/>
    </row>
    <row r="477" spans="63:64">
      <c r="BK477" s="541"/>
      <c r="BL477" s="541"/>
    </row>
    <row r="478" spans="63:64">
      <c r="BK478" s="541"/>
      <c r="BL478" s="541"/>
    </row>
    <row r="479" spans="63:64">
      <c r="BK479" s="541"/>
      <c r="BL479" s="541"/>
    </row>
    <row r="480" spans="63:64">
      <c r="BK480" s="541"/>
      <c r="BL480" s="541"/>
    </row>
    <row r="481" spans="63:64">
      <c r="BK481" s="541"/>
      <c r="BL481" s="541"/>
    </row>
    <row r="482" spans="63:64">
      <c r="BK482" s="541"/>
      <c r="BL482" s="541"/>
    </row>
    <row r="483" spans="63:64">
      <c r="BK483" s="541"/>
      <c r="BL483" s="541"/>
    </row>
    <row r="484" spans="63:64">
      <c r="BK484" s="541"/>
      <c r="BL484" s="541"/>
    </row>
    <row r="485" spans="63:64">
      <c r="BK485" s="541"/>
      <c r="BL485" s="541"/>
    </row>
    <row r="486" spans="63:64">
      <c r="BK486" s="541"/>
      <c r="BL486" s="541"/>
    </row>
    <row r="487" spans="63:64">
      <c r="BK487" s="541"/>
      <c r="BL487" s="541"/>
    </row>
    <row r="488" spans="63:64">
      <c r="BK488" s="541"/>
      <c r="BL488" s="541"/>
    </row>
    <row r="489" spans="63:64">
      <c r="BK489" s="541"/>
      <c r="BL489" s="541"/>
    </row>
    <row r="490" spans="63:64">
      <c r="BK490" s="541"/>
      <c r="BL490" s="541"/>
    </row>
    <row r="491" spans="63:64">
      <c r="BK491" s="541"/>
      <c r="BL491" s="541"/>
    </row>
    <row r="492" spans="63:64">
      <c r="BK492" s="541"/>
      <c r="BL492" s="541"/>
    </row>
    <row r="493" spans="63:64">
      <c r="BK493" s="541"/>
      <c r="BL493" s="541"/>
    </row>
    <row r="494" spans="63:64">
      <c r="BK494" s="541"/>
      <c r="BL494" s="541"/>
    </row>
    <row r="495" spans="63:64">
      <c r="BK495" s="541"/>
      <c r="BL495" s="541"/>
    </row>
    <row r="496" spans="63:64">
      <c r="BK496" s="541"/>
      <c r="BL496" s="541"/>
    </row>
    <row r="497" spans="63:64">
      <c r="BK497" s="541"/>
      <c r="BL497" s="541"/>
    </row>
    <row r="498" spans="63:64">
      <c r="BK498" s="541"/>
      <c r="BL498" s="541"/>
    </row>
    <row r="499" spans="63:64">
      <c r="BK499" s="541"/>
      <c r="BL499" s="541"/>
    </row>
    <row r="500" spans="63:64">
      <c r="BK500" s="541"/>
      <c r="BL500" s="541"/>
    </row>
    <row r="501" spans="63:64">
      <c r="BK501" s="541"/>
      <c r="BL501" s="541"/>
    </row>
    <row r="502" spans="63:64">
      <c r="BK502" s="541"/>
      <c r="BL502" s="541"/>
    </row>
    <row r="503" spans="63:64">
      <c r="BK503" s="541"/>
      <c r="BL503" s="541"/>
    </row>
    <row r="504" spans="63:64">
      <c r="BK504" s="541"/>
      <c r="BL504" s="541"/>
    </row>
    <row r="505" spans="63:64">
      <c r="BK505" s="541"/>
      <c r="BL505" s="541"/>
    </row>
    <row r="506" spans="63:64">
      <c r="BK506" s="541"/>
      <c r="BL506" s="541"/>
    </row>
    <row r="507" spans="63:64">
      <c r="BK507" s="541"/>
      <c r="BL507" s="541"/>
    </row>
    <row r="508" spans="63:64">
      <c r="BK508" s="541"/>
      <c r="BL508" s="541"/>
    </row>
    <row r="509" spans="63:64">
      <c r="BK509" s="541"/>
      <c r="BL509" s="541"/>
    </row>
    <row r="510" spans="63:64">
      <c r="BK510" s="541"/>
      <c r="BL510" s="541"/>
    </row>
    <row r="511" spans="63:64">
      <c r="BK511" s="541"/>
      <c r="BL511" s="541"/>
    </row>
    <row r="512" spans="63:64">
      <c r="BK512" s="541"/>
      <c r="BL512" s="541"/>
    </row>
    <row r="513" spans="63:64">
      <c r="BK513" s="541"/>
      <c r="BL513" s="541"/>
    </row>
    <row r="514" spans="63:64">
      <c r="BK514" s="541"/>
      <c r="BL514" s="541"/>
    </row>
    <row r="515" spans="63:64">
      <c r="BK515" s="541"/>
      <c r="BL515" s="541"/>
    </row>
    <row r="516" spans="63:64">
      <c r="BK516" s="541"/>
      <c r="BL516" s="541"/>
    </row>
    <row r="517" spans="63:64">
      <c r="BK517" s="541"/>
      <c r="BL517" s="541"/>
    </row>
    <row r="518" spans="63:64">
      <c r="BK518" s="541"/>
      <c r="BL518" s="541"/>
    </row>
    <row r="519" spans="63:64">
      <c r="BK519" s="541"/>
      <c r="BL519" s="541"/>
    </row>
    <row r="520" spans="63:64">
      <c r="BK520" s="541"/>
      <c r="BL520" s="541"/>
    </row>
    <row r="521" spans="63:64">
      <c r="BK521" s="541"/>
      <c r="BL521" s="541"/>
    </row>
    <row r="522" spans="63:64">
      <c r="BK522" s="541"/>
      <c r="BL522" s="541"/>
    </row>
    <row r="523" spans="63:64">
      <c r="BK523" s="541"/>
      <c r="BL523" s="541"/>
    </row>
    <row r="524" spans="63:64">
      <c r="BK524" s="541"/>
      <c r="BL524" s="541"/>
    </row>
    <row r="525" spans="63:64">
      <c r="BK525" s="541"/>
      <c r="BL525" s="541"/>
    </row>
    <row r="526" spans="63:64">
      <c r="BK526" s="541"/>
      <c r="BL526" s="541"/>
    </row>
    <row r="527" spans="63:64">
      <c r="BK527" s="541"/>
      <c r="BL527" s="541"/>
    </row>
    <row r="528" spans="63:64">
      <c r="BK528" s="541"/>
      <c r="BL528" s="541"/>
    </row>
    <row r="529" spans="63:64">
      <c r="BK529" s="541"/>
      <c r="BL529" s="541"/>
    </row>
    <row r="530" spans="63:64">
      <c r="BK530" s="541"/>
      <c r="BL530" s="541"/>
    </row>
    <row r="531" spans="63:64">
      <c r="BK531" s="541"/>
      <c r="BL531" s="541"/>
    </row>
    <row r="532" spans="63:64">
      <c r="BK532" s="541"/>
      <c r="BL532" s="541"/>
    </row>
    <row r="533" spans="63:64">
      <c r="BK533" s="541"/>
      <c r="BL533" s="541"/>
    </row>
    <row r="534" spans="63:64">
      <c r="BK534" s="541"/>
      <c r="BL534" s="541"/>
    </row>
    <row r="535" spans="63:64">
      <c r="BK535" s="541"/>
      <c r="BL535" s="541"/>
    </row>
    <row r="536" spans="63:64">
      <c r="BK536" s="541"/>
      <c r="BL536" s="541"/>
    </row>
    <row r="537" spans="63:64">
      <c r="BK537" s="541"/>
      <c r="BL537" s="541"/>
    </row>
    <row r="538" spans="63:64">
      <c r="BK538" s="541"/>
      <c r="BL538" s="541"/>
    </row>
    <row r="539" spans="63:64">
      <c r="BK539" s="541"/>
      <c r="BL539" s="541"/>
    </row>
    <row r="540" spans="63:64">
      <c r="BK540" s="541"/>
      <c r="BL540" s="541"/>
    </row>
    <row r="541" spans="63:64">
      <c r="BK541" s="541"/>
      <c r="BL541" s="541"/>
    </row>
    <row r="542" spans="63:64">
      <c r="BK542" s="541"/>
      <c r="BL542" s="541"/>
    </row>
    <row r="543" spans="63:64">
      <c r="BK543" s="541"/>
      <c r="BL543" s="541"/>
    </row>
    <row r="544" spans="63:64">
      <c r="BK544" s="541"/>
      <c r="BL544" s="541"/>
    </row>
    <row r="545" spans="63:64">
      <c r="BK545" s="541"/>
      <c r="BL545" s="541"/>
    </row>
    <row r="546" spans="63:64">
      <c r="BK546" s="541"/>
      <c r="BL546" s="541"/>
    </row>
    <row r="547" spans="63:64">
      <c r="BK547" s="541"/>
      <c r="BL547" s="541"/>
    </row>
    <row r="548" spans="63:64">
      <c r="BK548" s="541"/>
      <c r="BL548" s="541"/>
    </row>
    <row r="549" spans="63:64">
      <c r="BK549" s="541"/>
      <c r="BL549" s="541"/>
    </row>
    <row r="550" spans="63:64">
      <c r="BK550" s="541"/>
      <c r="BL550" s="541"/>
    </row>
    <row r="551" spans="63:64">
      <c r="BK551" s="541"/>
      <c r="BL551" s="541"/>
    </row>
    <row r="552" spans="63:64">
      <c r="BK552" s="541"/>
      <c r="BL552" s="541"/>
    </row>
    <row r="553" spans="63:64">
      <c r="BK553" s="541"/>
      <c r="BL553" s="541"/>
    </row>
    <row r="554" spans="63:64">
      <c r="BK554" s="541"/>
      <c r="BL554" s="541"/>
    </row>
    <row r="555" spans="63:64">
      <c r="BK555" s="541"/>
      <c r="BL555" s="541"/>
    </row>
    <row r="556" spans="63:64">
      <c r="BK556" s="541"/>
      <c r="BL556" s="541"/>
    </row>
    <row r="557" spans="63:64">
      <c r="BK557" s="541"/>
      <c r="BL557" s="541"/>
    </row>
    <row r="558" spans="63:64">
      <c r="BK558" s="541"/>
      <c r="BL558" s="541"/>
    </row>
    <row r="559" spans="63:64">
      <c r="BK559" s="541"/>
      <c r="BL559" s="541"/>
    </row>
    <row r="560" spans="63:64">
      <c r="BK560" s="541"/>
      <c r="BL560" s="541"/>
    </row>
    <row r="561" spans="63:64">
      <c r="BK561" s="541"/>
      <c r="BL561" s="541"/>
    </row>
    <row r="562" spans="63:64">
      <c r="BK562" s="541"/>
      <c r="BL562" s="541"/>
    </row>
    <row r="563" spans="63:64">
      <c r="BK563" s="541"/>
      <c r="BL563" s="541"/>
    </row>
    <row r="564" spans="63:64">
      <c r="BK564" s="541"/>
      <c r="BL564" s="541"/>
    </row>
    <row r="565" spans="63:64">
      <c r="BK565" s="541"/>
      <c r="BL565" s="541"/>
    </row>
    <row r="566" spans="63:64">
      <c r="BK566" s="541"/>
      <c r="BL566" s="541"/>
    </row>
    <row r="567" spans="63:64">
      <c r="BK567" s="541"/>
      <c r="BL567" s="541"/>
    </row>
    <row r="568" spans="63:64">
      <c r="BK568" s="541"/>
      <c r="BL568" s="541"/>
    </row>
    <row r="569" spans="63:64">
      <c r="BK569" s="541"/>
      <c r="BL569" s="541"/>
    </row>
    <row r="570" spans="63:64">
      <c r="BK570" s="541"/>
      <c r="BL570" s="541"/>
    </row>
    <row r="571" spans="63:64">
      <c r="BK571" s="541"/>
      <c r="BL571" s="541"/>
    </row>
    <row r="572" spans="63:64">
      <c r="BK572" s="541"/>
      <c r="BL572" s="541"/>
    </row>
    <row r="573" spans="63:64">
      <c r="BK573" s="541"/>
      <c r="BL573" s="541"/>
    </row>
    <row r="574" spans="63:64">
      <c r="BK574" s="541"/>
      <c r="BL574" s="541"/>
    </row>
    <row r="575" spans="63:64">
      <c r="BK575" s="541"/>
      <c r="BL575" s="541"/>
    </row>
    <row r="576" spans="63:64">
      <c r="BK576" s="541"/>
      <c r="BL576" s="541"/>
    </row>
    <row r="577" spans="63:64">
      <c r="BK577" s="541"/>
      <c r="BL577" s="541"/>
    </row>
    <row r="578" spans="63:64">
      <c r="BK578" s="541"/>
      <c r="BL578" s="541"/>
    </row>
    <row r="579" spans="63:64">
      <c r="BK579" s="541"/>
      <c r="BL579" s="541"/>
    </row>
    <row r="580" spans="63:64">
      <c r="BK580" s="541"/>
      <c r="BL580" s="541"/>
    </row>
    <row r="581" spans="63:64">
      <c r="BK581" s="541"/>
      <c r="BL581" s="541"/>
    </row>
    <row r="582" spans="63:64">
      <c r="BK582" s="541"/>
      <c r="BL582" s="541"/>
    </row>
    <row r="583" spans="63:64">
      <c r="BK583" s="541"/>
      <c r="BL583" s="541"/>
    </row>
    <row r="584" spans="63:64">
      <c r="BK584" s="541"/>
      <c r="BL584" s="541"/>
    </row>
    <row r="585" spans="63:64">
      <c r="BK585" s="541"/>
      <c r="BL585" s="541"/>
    </row>
    <row r="586" spans="63:64">
      <c r="BK586" s="541"/>
      <c r="BL586" s="541"/>
    </row>
    <row r="587" spans="63:64">
      <c r="BK587" s="541"/>
      <c r="BL587" s="541"/>
    </row>
    <row r="588" spans="63:64">
      <c r="BK588" s="541"/>
      <c r="BL588" s="541"/>
    </row>
    <row r="589" spans="63:64">
      <c r="BK589" s="541"/>
      <c r="BL589" s="541"/>
    </row>
    <row r="590" spans="63:64">
      <c r="BK590" s="541"/>
      <c r="BL590" s="541"/>
    </row>
    <row r="591" spans="63:64">
      <c r="BK591" s="541"/>
      <c r="BL591" s="541"/>
    </row>
    <row r="592" spans="63:64">
      <c r="BK592" s="541"/>
      <c r="BL592" s="541"/>
    </row>
    <row r="593" spans="63:64">
      <c r="BK593" s="541"/>
      <c r="BL593" s="541"/>
    </row>
    <row r="594" spans="63:64">
      <c r="BK594" s="541"/>
      <c r="BL594" s="541"/>
    </row>
    <row r="595" spans="63:64">
      <c r="BK595" s="541"/>
      <c r="BL595" s="541"/>
    </row>
    <row r="596" spans="63:64">
      <c r="BK596" s="541"/>
      <c r="BL596" s="541"/>
    </row>
    <row r="597" spans="63:64">
      <c r="BK597" s="541"/>
      <c r="BL597" s="541"/>
    </row>
    <row r="598" spans="63:64">
      <c r="BK598" s="541"/>
      <c r="BL598" s="541"/>
    </row>
    <row r="599" spans="63:64">
      <c r="BK599" s="541"/>
      <c r="BL599" s="541"/>
    </row>
    <row r="600" spans="63:64">
      <c r="BK600" s="541"/>
      <c r="BL600" s="541"/>
    </row>
    <row r="601" spans="63:64">
      <c r="BK601" s="541"/>
      <c r="BL601" s="541"/>
    </row>
    <row r="602" spans="63:64">
      <c r="BK602" s="541"/>
      <c r="BL602" s="541"/>
    </row>
    <row r="603" spans="63:64">
      <c r="BK603" s="541"/>
      <c r="BL603" s="541"/>
    </row>
    <row r="604" spans="63:64">
      <c r="BK604" s="541"/>
      <c r="BL604" s="541"/>
    </row>
    <row r="605" spans="63:64">
      <c r="BK605" s="541"/>
      <c r="BL605" s="541"/>
    </row>
    <row r="606" spans="63:64">
      <c r="BK606" s="541"/>
      <c r="BL606" s="541"/>
    </row>
    <row r="607" spans="63:64">
      <c r="BK607" s="541"/>
      <c r="BL607" s="541"/>
    </row>
    <row r="608" spans="63:64">
      <c r="BK608" s="541"/>
      <c r="BL608" s="541"/>
    </row>
    <row r="609" spans="63:64">
      <c r="BK609" s="541"/>
      <c r="BL609" s="541"/>
    </row>
    <row r="610" spans="63:64">
      <c r="BK610" s="541"/>
      <c r="BL610" s="541"/>
    </row>
    <row r="611" spans="63:64">
      <c r="BK611" s="541"/>
      <c r="BL611" s="541"/>
    </row>
    <row r="612" spans="63:64">
      <c r="BK612" s="541"/>
      <c r="BL612" s="541"/>
    </row>
    <row r="613" spans="63:64">
      <c r="BK613" s="541"/>
      <c r="BL613" s="541"/>
    </row>
    <row r="614" spans="63:64">
      <c r="BK614" s="541"/>
      <c r="BL614" s="541"/>
    </row>
    <row r="615" spans="63:64">
      <c r="BK615" s="541"/>
      <c r="BL615" s="541"/>
    </row>
    <row r="616" spans="63:64">
      <c r="BK616" s="541"/>
      <c r="BL616" s="541"/>
    </row>
    <row r="617" spans="63:64">
      <c r="BK617" s="541"/>
      <c r="BL617" s="541"/>
    </row>
    <row r="618" spans="63:64">
      <c r="BK618" s="541"/>
      <c r="BL618" s="541"/>
    </row>
    <row r="619" spans="63:64">
      <c r="BK619" s="541"/>
      <c r="BL619" s="541"/>
    </row>
    <row r="620" spans="63:64">
      <c r="BK620" s="541"/>
      <c r="BL620" s="541"/>
    </row>
    <row r="621" spans="63:64">
      <c r="BK621" s="541"/>
      <c r="BL621" s="541"/>
    </row>
    <row r="622" spans="63:64">
      <c r="BK622" s="541"/>
      <c r="BL622" s="541"/>
    </row>
    <row r="623" spans="63:64">
      <c r="BK623" s="541"/>
      <c r="BL623" s="541"/>
    </row>
    <row r="624" spans="63:64">
      <c r="BK624" s="541"/>
      <c r="BL624" s="541"/>
    </row>
    <row r="625" spans="63:64">
      <c r="BK625" s="541"/>
      <c r="BL625" s="541"/>
    </row>
    <row r="626" spans="63:64">
      <c r="BK626" s="541"/>
      <c r="BL626" s="541"/>
    </row>
    <row r="627" spans="63:64">
      <c r="BK627" s="541"/>
      <c r="BL627" s="541"/>
    </row>
    <row r="628" spans="63:64">
      <c r="BK628" s="541"/>
      <c r="BL628" s="541"/>
    </row>
    <row r="629" spans="63:64">
      <c r="BK629" s="541"/>
      <c r="BL629" s="541"/>
    </row>
    <row r="630" spans="63:64">
      <c r="BK630" s="541"/>
      <c r="BL630" s="541"/>
    </row>
    <row r="631" spans="63:64">
      <c r="BK631" s="541"/>
      <c r="BL631" s="541"/>
    </row>
    <row r="632" spans="63:64">
      <c r="BK632" s="541"/>
      <c r="BL632" s="541"/>
    </row>
    <row r="633" spans="63:64">
      <c r="BK633" s="541"/>
      <c r="BL633" s="541"/>
    </row>
    <row r="634" spans="63:64">
      <c r="BK634" s="541"/>
      <c r="BL634" s="541"/>
    </row>
    <row r="635" spans="63:64">
      <c r="BK635" s="541"/>
      <c r="BL635" s="541"/>
    </row>
    <row r="636" spans="63:64">
      <c r="BK636" s="541"/>
      <c r="BL636" s="541"/>
    </row>
    <row r="637" spans="63:64">
      <c r="BK637" s="541"/>
      <c r="BL637" s="541"/>
    </row>
    <row r="638" spans="63:64">
      <c r="BK638" s="541"/>
      <c r="BL638" s="541"/>
    </row>
    <row r="639" spans="63:64">
      <c r="BK639" s="541"/>
      <c r="BL639" s="541"/>
    </row>
    <row r="640" spans="63:64">
      <c r="BK640" s="541"/>
      <c r="BL640" s="541"/>
    </row>
    <row r="641" spans="63:64">
      <c r="BK641" s="541"/>
      <c r="BL641" s="541"/>
    </row>
    <row r="642" spans="63:64">
      <c r="BK642" s="541"/>
      <c r="BL642" s="541"/>
    </row>
    <row r="643" spans="63:64">
      <c r="BK643" s="541"/>
      <c r="BL643" s="541"/>
    </row>
    <row r="644" spans="63:64">
      <c r="BK644" s="541"/>
      <c r="BL644" s="541"/>
    </row>
    <row r="645" spans="63:64">
      <c r="BK645" s="541"/>
      <c r="BL645" s="541"/>
    </row>
    <row r="646" spans="63:64">
      <c r="BK646" s="541"/>
      <c r="BL646" s="541"/>
    </row>
    <row r="647" spans="63:64">
      <c r="BK647" s="541"/>
      <c r="BL647" s="541"/>
    </row>
    <row r="648" spans="63:64">
      <c r="BK648" s="541"/>
      <c r="BL648" s="541"/>
    </row>
    <row r="649" spans="63:64">
      <c r="BK649" s="541"/>
      <c r="BL649" s="541"/>
    </row>
    <row r="650" spans="63:64">
      <c r="BK650" s="541"/>
      <c r="BL650" s="541"/>
    </row>
    <row r="651" spans="63:64">
      <c r="BK651" s="541"/>
      <c r="BL651" s="541"/>
    </row>
    <row r="652" spans="63:64">
      <c r="BK652" s="541"/>
      <c r="BL652" s="541"/>
    </row>
    <row r="653" spans="63:64">
      <c r="BK653" s="541"/>
      <c r="BL653" s="541"/>
    </row>
    <row r="654" spans="63:64">
      <c r="BK654" s="541"/>
      <c r="BL654" s="541"/>
    </row>
    <row r="655" spans="63:64">
      <c r="BK655" s="541"/>
      <c r="BL655" s="541"/>
    </row>
    <row r="656" spans="63:64">
      <c r="BK656" s="541"/>
      <c r="BL656" s="541"/>
    </row>
    <row r="657" spans="63:64">
      <c r="BK657" s="541"/>
      <c r="BL657" s="541"/>
    </row>
    <row r="658" spans="63:64">
      <c r="BK658" s="541"/>
      <c r="BL658" s="541"/>
    </row>
    <row r="659" spans="63:64">
      <c r="BK659" s="541"/>
      <c r="BL659" s="541"/>
    </row>
    <row r="660" spans="63:64">
      <c r="BK660" s="541"/>
      <c r="BL660" s="541"/>
    </row>
    <row r="661" spans="63:64">
      <c r="BK661" s="541"/>
      <c r="BL661" s="541"/>
    </row>
    <row r="662" spans="63:64">
      <c r="BK662" s="541"/>
      <c r="BL662" s="541"/>
    </row>
    <row r="663" spans="63:64">
      <c r="BK663" s="541"/>
      <c r="BL663" s="541"/>
    </row>
    <row r="664" spans="63:64">
      <c r="BK664" s="541"/>
      <c r="BL664" s="541"/>
    </row>
    <row r="665" spans="63:64">
      <c r="BK665" s="541"/>
      <c r="BL665" s="541"/>
    </row>
    <row r="666" spans="63:64">
      <c r="BK666" s="541"/>
      <c r="BL666" s="541"/>
    </row>
    <row r="667" spans="63:64">
      <c r="BK667" s="541"/>
      <c r="BL667" s="541"/>
    </row>
    <row r="668" spans="63:64">
      <c r="BK668" s="541"/>
      <c r="BL668" s="541"/>
    </row>
    <row r="669" spans="63:64">
      <c r="BK669" s="541"/>
      <c r="BL669" s="541"/>
    </row>
    <row r="670" spans="63:64">
      <c r="BK670" s="541"/>
      <c r="BL670" s="541"/>
    </row>
    <row r="671" spans="63:64">
      <c r="BK671" s="541"/>
      <c r="BL671" s="541"/>
    </row>
    <row r="672" spans="63:64">
      <c r="BK672" s="541"/>
      <c r="BL672" s="541"/>
    </row>
    <row r="673" spans="63:64">
      <c r="BK673" s="541"/>
      <c r="BL673" s="541"/>
    </row>
    <row r="674" spans="63:64">
      <c r="BK674" s="541"/>
      <c r="BL674" s="541"/>
    </row>
    <row r="675" spans="63:64">
      <c r="BK675" s="541"/>
      <c r="BL675" s="541"/>
    </row>
    <row r="676" spans="63:64">
      <c r="BK676" s="541"/>
      <c r="BL676" s="541"/>
    </row>
    <row r="677" spans="63:64">
      <c r="BK677" s="541"/>
      <c r="BL677" s="541"/>
    </row>
    <row r="678" spans="63:64">
      <c r="BK678" s="541"/>
      <c r="BL678" s="541"/>
    </row>
    <row r="679" spans="63:64">
      <c r="BK679" s="541"/>
      <c r="BL679" s="541"/>
    </row>
    <row r="680" spans="63:64">
      <c r="BK680" s="541"/>
      <c r="BL680" s="541"/>
    </row>
    <row r="681" spans="63:64">
      <c r="BK681" s="541"/>
      <c r="BL681" s="541"/>
    </row>
    <row r="682" spans="63:64">
      <c r="BK682" s="541"/>
      <c r="BL682" s="541"/>
    </row>
    <row r="683" spans="63:64">
      <c r="BK683" s="541"/>
      <c r="BL683" s="541"/>
    </row>
    <row r="684" spans="63:64">
      <c r="BK684" s="541"/>
      <c r="BL684" s="541"/>
    </row>
    <row r="685" spans="63:64">
      <c r="BK685" s="541"/>
      <c r="BL685" s="541"/>
    </row>
    <row r="686" spans="63:64">
      <c r="BK686" s="541"/>
      <c r="BL686" s="541"/>
    </row>
    <row r="687" spans="63:64">
      <c r="BK687" s="541"/>
      <c r="BL687" s="541"/>
    </row>
    <row r="688" spans="63:64">
      <c r="BK688" s="541"/>
      <c r="BL688" s="541"/>
    </row>
    <row r="689" spans="63:64">
      <c r="BK689" s="541"/>
      <c r="BL689" s="541"/>
    </row>
    <row r="690" spans="63:64">
      <c r="BK690" s="541"/>
      <c r="BL690" s="541"/>
    </row>
    <row r="691" spans="63:64">
      <c r="BK691" s="541"/>
      <c r="BL691" s="541"/>
    </row>
    <row r="692" spans="63:64">
      <c r="BK692" s="541"/>
      <c r="BL692" s="541"/>
    </row>
    <row r="693" spans="63:64">
      <c r="BK693" s="541"/>
      <c r="BL693" s="541"/>
    </row>
    <row r="694" spans="63:64">
      <c r="BK694" s="541"/>
      <c r="BL694" s="541"/>
    </row>
    <row r="695" spans="63:64">
      <c r="BK695" s="541"/>
      <c r="BL695" s="541"/>
    </row>
    <row r="696" spans="63:64">
      <c r="BK696" s="541"/>
      <c r="BL696" s="541"/>
    </row>
    <row r="697" spans="63:64">
      <c r="BK697" s="541"/>
      <c r="BL697" s="541"/>
    </row>
    <row r="698" spans="63:64">
      <c r="BK698" s="541"/>
      <c r="BL698" s="541"/>
    </row>
    <row r="699" spans="63:64">
      <c r="BK699" s="541"/>
      <c r="BL699" s="541"/>
    </row>
    <row r="700" spans="63:64">
      <c r="BK700" s="541"/>
      <c r="BL700" s="541"/>
    </row>
    <row r="701" spans="63:64">
      <c r="BK701" s="541"/>
      <c r="BL701" s="541"/>
    </row>
    <row r="702" spans="63:64">
      <c r="BK702" s="541"/>
      <c r="BL702" s="541"/>
    </row>
    <row r="703" spans="63:64">
      <c r="BK703" s="541"/>
      <c r="BL703" s="541"/>
    </row>
    <row r="704" spans="63:64">
      <c r="BK704" s="541"/>
      <c r="BL704" s="541"/>
    </row>
    <row r="705" spans="63:64">
      <c r="BK705" s="541"/>
      <c r="BL705" s="541"/>
    </row>
    <row r="706" spans="63:64">
      <c r="BK706" s="541"/>
      <c r="BL706" s="541"/>
    </row>
    <row r="707" spans="63:64">
      <c r="BK707" s="541"/>
      <c r="BL707" s="541"/>
    </row>
    <row r="708" spans="63:64">
      <c r="BK708" s="541"/>
      <c r="BL708" s="541"/>
    </row>
    <row r="709" spans="63:64">
      <c r="BK709" s="541"/>
      <c r="BL709" s="541"/>
    </row>
    <row r="710" spans="63:64">
      <c r="BK710" s="541"/>
      <c r="BL710" s="541"/>
    </row>
    <row r="711" spans="63:64">
      <c r="BK711" s="541"/>
      <c r="BL711" s="541"/>
    </row>
    <row r="712" spans="63:64">
      <c r="BK712" s="541"/>
      <c r="BL712" s="541"/>
    </row>
    <row r="713" spans="63:64">
      <c r="BK713" s="541"/>
      <c r="BL713" s="541"/>
    </row>
    <row r="714" spans="63:64">
      <c r="BK714" s="541"/>
      <c r="BL714" s="541"/>
    </row>
    <row r="715" spans="63:64">
      <c r="BK715" s="541"/>
      <c r="BL715" s="541"/>
    </row>
    <row r="716" spans="63:64">
      <c r="BK716" s="541"/>
      <c r="BL716" s="541"/>
    </row>
    <row r="717" spans="63:64">
      <c r="BK717" s="541"/>
      <c r="BL717" s="541"/>
    </row>
    <row r="718" spans="63:64">
      <c r="BK718" s="541"/>
      <c r="BL718" s="541"/>
    </row>
    <row r="719" spans="63:64">
      <c r="BK719" s="541"/>
      <c r="BL719" s="541"/>
    </row>
    <row r="720" spans="63:64">
      <c r="BK720" s="541"/>
      <c r="BL720" s="541"/>
    </row>
    <row r="721" spans="63:64">
      <c r="BK721" s="541"/>
      <c r="BL721" s="541"/>
    </row>
    <row r="722" spans="63:64">
      <c r="BK722" s="541"/>
      <c r="BL722" s="541"/>
    </row>
    <row r="723" spans="63:64">
      <c r="BK723" s="541"/>
      <c r="BL723" s="541"/>
    </row>
    <row r="724" spans="63:64">
      <c r="BK724" s="541"/>
      <c r="BL724" s="541"/>
    </row>
    <row r="725" spans="63:64">
      <c r="BK725" s="541"/>
      <c r="BL725" s="541"/>
    </row>
    <row r="726" spans="63:64">
      <c r="BK726" s="541"/>
      <c r="BL726" s="541"/>
    </row>
    <row r="727" spans="63:64">
      <c r="BK727" s="541"/>
      <c r="BL727" s="541"/>
    </row>
    <row r="728" spans="63:64">
      <c r="BK728" s="541"/>
      <c r="BL728" s="541"/>
    </row>
    <row r="729" spans="63:64">
      <c r="BK729" s="541"/>
      <c r="BL729" s="541"/>
    </row>
    <row r="730" spans="63:64">
      <c r="BK730" s="541"/>
      <c r="BL730" s="541"/>
    </row>
    <row r="731" spans="63:64">
      <c r="BK731" s="541"/>
      <c r="BL731" s="541"/>
    </row>
    <row r="732" spans="63:64">
      <c r="BK732" s="541"/>
      <c r="BL732" s="541"/>
    </row>
    <row r="733" spans="63:64">
      <c r="BK733" s="541"/>
      <c r="BL733" s="541"/>
    </row>
    <row r="734" spans="63:64">
      <c r="BK734" s="541"/>
      <c r="BL734" s="541"/>
    </row>
    <row r="735" spans="63:64">
      <c r="BK735" s="541"/>
      <c r="BL735" s="541"/>
    </row>
    <row r="736" spans="63:64">
      <c r="BK736" s="541"/>
      <c r="BL736" s="541"/>
    </row>
    <row r="737" spans="63:64">
      <c r="BK737" s="541"/>
      <c r="BL737" s="541"/>
    </row>
    <row r="738" spans="63:64">
      <c r="BK738" s="541"/>
      <c r="BL738" s="541"/>
    </row>
    <row r="739" spans="63:64">
      <c r="BK739" s="541"/>
      <c r="BL739" s="541"/>
    </row>
    <row r="740" spans="63:64">
      <c r="BK740" s="541"/>
      <c r="BL740" s="541"/>
    </row>
    <row r="741" spans="63:64">
      <c r="BK741" s="541"/>
      <c r="BL741" s="541"/>
    </row>
    <row r="742" spans="63:64">
      <c r="BK742" s="541"/>
      <c r="BL742" s="541"/>
    </row>
    <row r="743" spans="63:64">
      <c r="BK743" s="541"/>
      <c r="BL743" s="541"/>
    </row>
    <row r="744" spans="63:64">
      <c r="BK744" s="541"/>
      <c r="BL744" s="541"/>
    </row>
    <row r="745" spans="63:64">
      <c r="BK745" s="541"/>
      <c r="BL745" s="541"/>
    </row>
    <row r="746" spans="63:64">
      <c r="BK746" s="541"/>
      <c r="BL746" s="541"/>
    </row>
    <row r="747" spans="63:64">
      <c r="BK747" s="541"/>
      <c r="BL747" s="541"/>
    </row>
    <row r="748" spans="63:64">
      <c r="BK748" s="541"/>
      <c r="BL748" s="541"/>
    </row>
    <row r="749" spans="63:64">
      <c r="BK749" s="541"/>
      <c r="BL749" s="541"/>
    </row>
    <row r="750" spans="63:64">
      <c r="BK750" s="541"/>
      <c r="BL750" s="541"/>
    </row>
    <row r="751" spans="63:64">
      <c r="BK751" s="541"/>
      <c r="BL751" s="541"/>
    </row>
    <row r="752" spans="63:64">
      <c r="BK752" s="541"/>
      <c r="BL752" s="541"/>
    </row>
    <row r="753" spans="63:64">
      <c r="BK753" s="541"/>
      <c r="BL753" s="541"/>
    </row>
    <row r="754" spans="63:64">
      <c r="BK754" s="541"/>
      <c r="BL754" s="541"/>
    </row>
    <row r="755" spans="63:64">
      <c r="BK755" s="541"/>
      <c r="BL755" s="541"/>
    </row>
    <row r="756" spans="63:64">
      <c r="BK756" s="541"/>
      <c r="BL756" s="541"/>
    </row>
    <row r="757" spans="63:64">
      <c r="BK757" s="541"/>
      <c r="BL757" s="541"/>
    </row>
    <row r="758" spans="63:64">
      <c r="BK758" s="541"/>
      <c r="BL758" s="541"/>
    </row>
    <row r="759" spans="63:64">
      <c r="BK759" s="541"/>
      <c r="BL759" s="541"/>
    </row>
    <row r="760" spans="63:64">
      <c r="BK760" s="541"/>
      <c r="BL760" s="541"/>
    </row>
    <row r="761" spans="63:64">
      <c r="BK761" s="541"/>
      <c r="BL761" s="541"/>
    </row>
    <row r="762" spans="63:64">
      <c r="BK762" s="541"/>
      <c r="BL762" s="541"/>
    </row>
    <row r="763" spans="63:64">
      <c r="BK763" s="541"/>
      <c r="BL763" s="541"/>
    </row>
    <row r="764" spans="63:64">
      <c r="BK764" s="541"/>
      <c r="BL764" s="541"/>
    </row>
    <row r="765" spans="63:64">
      <c r="BK765" s="541"/>
      <c r="BL765" s="541"/>
    </row>
    <row r="766" spans="63:64">
      <c r="BK766" s="541"/>
      <c r="BL766" s="541"/>
    </row>
    <row r="767" spans="63:64">
      <c r="BK767" s="541"/>
      <c r="BL767" s="541"/>
    </row>
    <row r="768" spans="63:64">
      <c r="BK768" s="541"/>
      <c r="BL768" s="541"/>
    </row>
    <row r="769" spans="63:64">
      <c r="BK769" s="541"/>
      <c r="BL769" s="541"/>
    </row>
    <row r="770" spans="63:64">
      <c r="BK770" s="541"/>
      <c r="BL770" s="541"/>
    </row>
    <row r="771" spans="63:64">
      <c r="BK771" s="541"/>
      <c r="BL771" s="541"/>
    </row>
    <row r="772" spans="63:64">
      <c r="BK772" s="541"/>
      <c r="BL772" s="541"/>
    </row>
    <row r="773" spans="63:64">
      <c r="BK773" s="541"/>
      <c r="BL773" s="541"/>
    </row>
    <row r="774" spans="63:64">
      <c r="BK774" s="541"/>
      <c r="BL774" s="541"/>
    </row>
    <row r="775" spans="63:64">
      <c r="BK775" s="541"/>
      <c r="BL775" s="541"/>
    </row>
    <row r="776" spans="63:64">
      <c r="BK776" s="541"/>
      <c r="BL776" s="541"/>
    </row>
    <row r="777" spans="63:64">
      <c r="BK777" s="541"/>
      <c r="BL777" s="541"/>
    </row>
    <row r="778" spans="63:64">
      <c r="BK778" s="541"/>
      <c r="BL778" s="541"/>
    </row>
    <row r="779" spans="63:64">
      <c r="BK779" s="541"/>
      <c r="BL779" s="541"/>
    </row>
    <row r="780" spans="63:64">
      <c r="BK780" s="541"/>
      <c r="BL780" s="541"/>
    </row>
    <row r="781" spans="63:64">
      <c r="BK781" s="541"/>
      <c r="BL781" s="541"/>
    </row>
    <row r="782" spans="63:64">
      <c r="BK782" s="541"/>
      <c r="BL782" s="541"/>
    </row>
    <row r="783" spans="63:64">
      <c r="BK783" s="541"/>
      <c r="BL783" s="541"/>
    </row>
    <row r="784" spans="63:64">
      <c r="BK784" s="541"/>
      <c r="BL784" s="541"/>
    </row>
    <row r="785" spans="63:64">
      <c r="BK785" s="541"/>
      <c r="BL785" s="541"/>
    </row>
    <row r="786" spans="63:64">
      <c r="BK786" s="541"/>
      <c r="BL786" s="541"/>
    </row>
    <row r="787" spans="63:64">
      <c r="BK787" s="541"/>
      <c r="BL787" s="541"/>
    </row>
    <row r="788" spans="63:64">
      <c r="BK788" s="541"/>
      <c r="BL788" s="541"/>
    </row>
    <row r="789" spans="63:64">
      <c r="BK789" s="541"/>
      <c r="BL789" s="541"/>
    </row>
    <row r="790" spans="63:64">
      <c r="BK790" s="541"/>
      <c r="BL790" s="541"/>
    </row>
    <row r="791" spans="63:64">
      <c r="BK791" s="541"/>
      <c r="BL791" s="541"/>
    </row>
    <row r="792" spans="63:64">
      <c r="BK792" s="541"/>
      <c r="BL792" s="541"/>
    </row>
    <row r="793" spans="63:64">
      <c r="BK793" s="541"/>
      <c r="BL793" s="541"/>
    </row>
    <row r="794" spans="63:64">
      <c r="BK794" s="541"/>
      <c r="BL794" s="541"/>
    </row>
    <row r="795" spans="63:64">
      <c r="BK795" s="541"/>
      <c r="BL795" s="541"/>
    </row>
    <row r="796" spans="63:64">
      <c r="BK796" s="541"/>
      <c r="BL796" s="541"/>
    </row>
    <row r="797" spans="63:64">
      <c r="BK797" s="541"/>
      <c r="BL797" s="541"/>
    </row>
    <row r="798" spans="63:64">
      <c r="BK798" s="541"/>
      <c r="BL798" s="541"/>
    </row>
    <row r="799" spans="63:64">
      <c r="BK799" s="541"/>
      <c r="BL799" s="541"/>
    </row>
    <row r="800" spans="63:64">
      <c r="BK800" s="541"/>
      <c r="BL800" s="541"/>
    </row>
    <row r="801" spans="63:64">
      <c r="BK801" s="541"/>
      <c r="BL801" s="541"/>
    </row>
    <row r="802" spans="63:64">
      <c r="BK802" s="541"/>
      <c r="BL802" s="541"/>
    </row>
    <row r="803" spans="63:64">
      <c r="BK803" s="541"/>
      <c r="BL803" s="541"/>
    </row>
    <row r="804" spans="63:64">
      <c r="BK804" s="541"/>
      <c r="BL804" s="541"/>
    </row>
    <row r="805" spans="63:64">
      <c r="BK805" s="541"/>
      <c r="BL805" s="541"/>
    </row>
    <row r="806" spans="63:64">
      <c r="BK806" s="541"/>
      <c r="BL806" s="541"/>
    </row>
    <row r="807" spans="63:64">
      <c r="BK807" s="541"/>
      <c r="BL807" s="541"/>
    </row>
    <row r="808" spans="63:64">
      <c r="BK808" s="541"/>
      <c r="BL808" s="541"/>
    </row>
    <row r="809" spans="63:64">
      <c r="BK809" s="541"/>
      <c r="BL809" s="541"/>
    </row>
    <row r="810" spans="63:64">
      <c r="BK810" s="541"/>
      <c r="BL810" s="541"/>
    </row>
    <row r="811" spans="63:64">
      <c r="BK811" s="541"/>
      <c r="BL811" s="541"/>
    </row>
    <row r="812" spans="63:64">
      <c r="BK812" s="541"/>
      <c r="BL812" s="541"/>
    </row>
    <row r="813" spans="63:64">
      <c r="BK813" s="541"/>
      <c r="BL813" s="541"/>
    </row>
    <row r="814" spans="63:64">
      <c r="BK814" s="541"/>
      <c r="BL814" s="541"/>
    </row>
    <row r="815" spans="63:64">
      <c r="BK815" s="541"/>
      <c r="BL815" s="541"/>
    </row>
    <row r="816" spans="63:64">
      <c r="BK816" s="541"/>
      <c r="BL816" s="541"/>
    </row>
    <row r="817" spans="63:64">
      <c r="BK817" s="541"/>
      <c r="BL817" s="541"/>
    </row>
    <row r="818" spans="63:64">
      <c r="BK818" s="541"/>
      <c r="BL818" s="541"/>
    </row>
    <row r="819" spans="63:64">
      <c r="BK819" s="541"/>
      <c r="BL819" s="541"/>
    </row>
    <row r="820" spans="63:64">
      <c r="BK820" s="541"/>
      <c r="BL820" s="541"/>
    </row>
    <row r="821" spans="63:64">
      <c r="BK821" s="541"/>
      <c r="BL821" s="541"/>
    </row>
    <row r="822" spans="63:64">
      <c r="BK822" s="541"/>
      <c r="BL822" s="541"/>
    </row>
    <row r="823" spans="63:64">
      <c r="BK823" s="541"/>
      <c r="BL823" s="541"/>
    </row>
    <row r="824" spans="63:64">
      <c r="BK824" s="541"/>
      <c r="BL824" s="541"/>
    </row>
    <row r="825" spans="63:64">
      <c r="BK825" s="541"/>
      <c r="BL825" s="541"/>
    </row>
    <row r="826" spans="63:64">
      <c r="BK826" s="541"/>
      <c r="BL826" s="541"/>
    </row>
    <row r="827" spans="63:64">
      <c r="BK827" s="541"/>
      <c r="BL827" s="541"/>
    </row>
    <row r="828" spans="63:64">
      <c r="BK828" s="541"/>
      <c r="BL828" s="541"/>
    </row>
    <row r="829" spans="63:64">
      <c r="BK829" s="541"/>
      <c r="BL829" s="541"/>
    </row>
    <row r="830" spans="63:64">
      <c r="BK830" s="541"/>
      <c r="BL830" s="541"/>
    </row>
    <row r="831" spans="63:64">
      <c r="BK831" s="541"/>
      <c r="BL831" s="541"/>
    </row>
    <row r="832" spans="63:64">
      <c r="BK832" s="541"/>
      <c r="BL832" s="541"/>
    </row>
  </sheetData>
  <mergeCells count="26">
    <mergeCell ref="M7:N7"/>
    <mergeCell ref="C7:D7"/>
    <mergeCell ref="E7:F7"/>
    <mergeCell ref="G7:H7"/>
    <mergeCell ref="I7:J7"/>
    <mergeCell ref="K7:L7"/>
    <mergeCell ref="AK7:AL7"/>
    <mergeCell ref="O7:P7"/>
    <mergeCell ref="Q7:R7"/>
    <mergeCell ref="S7:T7"/>
    <mergeCell ref="U7:V7"/>
    <mergeCell ref="W7:X7"/>
    <mergeCell ref="Y7:Z7"/>
    <mergeCell ref="AA7:AB7"/>
    <mergeCell ref="AC7:AD7"/>
    <mergeCell ref="AE7:AF7"/>
    <mergeCell ref="AG7:AH7"/>
    <mergeCell ref="AI7:AJ7"/>
    <mergeCell ref="BF7:BH7"/>
    <mergeCell ref="BB7:BD7"/>
    <mergeCell ref="AM7:AN7"/>
    <mergeCell ref="AO7:AP7"/>
    <mergeCell ref="AS7:AT7"/>
    <mergeCell ref="AU7:AV7"/>
    <mergeCell ref="AW7:AX7"/>
    <mergeCell ref="AY7:AZ7"/>
  </mergeCells>
  <conditionalFormatting sqref="BN32:FJ32">
    <cfRule type="cellIs" dxfId="7" priority="2" operator="greaterThan">
      <formula>100000</formula>
    </cfRule>
  </conditionalFormatting>
  <pageMargins left="0.75" right="0.75" top="1" bottom="1" header="0.5" footer="0.5"/>
  <pageSetup paperSize="8"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T120"/>
  <sheetViews>
    <sheetView zoomScaleNormal="100" workbookViewId="0">
      <pane xSplit="2" ySplit="8" topLeftCell="AA9" activePane="bottomRight" state="frozen"/>
      <selection activeCell="V13" sqref="V13"/>
      <selection pane="topRight" activeCell="V13" sqref="V13"/>
      <selection pane="bottomLeft" activeCell="V13" sqref="V13"/>
      <selection pane="bottomRight"/>
    </sheetView>
  </sheetViews>
  <sheetFormatPr defaultRowHeight="15"/>
  <cols>
    <col min="1" max="1" width="65.140625" style="423" customWidth="1"/>
    <col min="2" max="2" width="8.42578125" style="570" customWidth="1"/>
    <col min="3" max="3" width="13.28515625" style="730" bestFit="1" customWidth="1"/>
    <col min="4" max="4" width="17.5703125" style="730" bestFit="1" customWidth="1"/>
    <col min="5" max="5" width="13.85546875" style="423" customWidth="1"/>
    <col min="6" max="6" width="14.85546875" style="423" bestFit="1" customWidth="1"/>
    <col min="7" max="7" width="13.85546875" style="423" customWidth="1"/>
    <col min="8" max="8" width="14.85546875" style="423" bestFit="1" customWidth="1"/>
    <col min="9" max="9" width="13.42578125" style="423" bestFit="1" customWidth="1"/>
    <col min="10" max="10" width="16.42578125" style="423" bestFit="1" customWidth="1"/>
    <col min="11" max="11" width="13.42578125" style="423" bestFit="1" customWidth="1"/>
    <col min="12" max="12" width="15.28515625" style="423" bestFit="1" customWidth="1"/>
    <col min="13" max="13" width="13.42578125" style="423" bestFit="1" customWidth="1"/>
    <col min="14" max="14" width="15.28515625" style="423" bestFit="1" customWidth="1"/>
    <col min="15" max="15" width="13.42578125" style="423" bestFit="1" customWidth="1"/>
    <col min="16" max="16" width="15.28515625" style="423" bestFit="1" customWidth="1"/>
    <col min="17" max="17" width="13.42578125" style="423" bestFit="1" customWidth="1"/>
    <col min="18" max="18" width="15.85546875" style="423" bestFit="1" customWidth="1"/>
    <col min="19" max="19" width="13.42578125" style="423" bestFit="1" customWidth="1"/>
    <col min="20" max="20" width="15.28515625" style="423" bestFit="1" customWidth="1"/>
    <col min="21" max="21" width="13.42578125" style="423" bestFit="1" customWidth="1"/>
    <col min="22" max="22" width="17" style="423" bestFit="1" customWidth="1"/>
    <col min="23" max="23" width="13.42578125" style="423" bestFit="1" customWidth="1"/>
    <col min="24" max="24" width="17" style="423" bestFit="1" customWidth="1"/>
    <col min="25" max="25" width="13.28515625" style="423" customWidth="1"/>
    <col min="26" max="26" width="17.5703125" style="423" bestFit="1" customWidth="1"/>
    <col min="27" max="33" width="17.5703125" style="630" customWidth="1"/>
    <col min="34" max="34" width="19.85546875" style="630" bestFit="1" customWidth="1"/>
    <col min="35" max="36" width="21" style="423" customWidth="1"/>
    <col min="37" max="37" width="6.140625" style="423" customWidth="1"/>
    <col min="38" max="38" width="15.28515625" style="423" bestFit="1" customWidth="1"/>
    <col min="39" max="39" width="4.28515625" style="423" customWidth="1"/>
    <col min="40" max="40" width="19.140625" style="423" bestFit="1" customWidth="1"/>
    <col min="41" max="43" width="9.140625" style="423"/>
    <col min="44" max="44" width="12.28515625" style="423" bestFit="1" customWidth="1"/>
    <col min="45" max="46" width="10.85546875" style="423" bestFit="1" customWidth="1"/>
    <col min="47" max="16384" width="9.140625" style="423"/>
  </cols>
  <sheetData>
    <row r="1" spans="1:41" s="541" customFormat="1">
      <c r="A1" s="423"/>
      <c r="B1" s="570"/>
      <c r="C1" s="730"/>
      <c r="D1" s="730"/>
      <c r="E1" s="423"/>
      <c r="F1" s="423"/>
      <c r="G1" s="423"/>
      <c r="H1" s="423"/>
      <c r="I1" s="423"/>
      <c r="J1" s="423"/>
      <c r="K1" s="423"/>
      <c r="L1" s="423"/>
      <c r="M1" s="423"/>
      <c r="N1" s="423"/>
      <c r="O1" s="423"/>
      <c r="P1" s="423"/>
      <c r="Q1" s="423"/>
      <c r="R1" s="423"/>
      <c r="S1" s="423"/>
      <c r="T1" s="423"/>
      <c r="U1" s="423"/>
      <c r="V1" s="423"/>
      <c r="W1" s="423"/>
      <c r="X1" s="423"/>
      <c r="Y1" s="423"/>
      <c r="Z1" s="423"/>
      <c r="AA1" s="630"/>
      <c r="AB1" s="630"/>
      <c r="AC1" s="630"/>
      <c r="AD1" s="630"/>
      <c r="AE1" s="630"/>
      <c r="AF1" s="630"/>
      <c r="AG1" s="630"/>
      <c r="AH1" s="630"/>
      <c r="AI1" s="423"/>
      <c r="AJ1" s="423"/>
    </row>
    <row r="2" spans="1:41" s="541" customFormat="1">
      <c r="A2" s="423"/>
      <c r="B2" s="570"/>
      <c r="C2" s="730"/>
      <c r="D2" s="730"/>
      <c r="E2" s="423"/>
      <c r="F2" s="423"/>
      <c r="G2" s="423"/>
      <c r="H2" s="423"/>
      <c r="I2" s="423"/>
      <c r="J2" s="423"/>
      <c r="K2" s="423"/>
      <c r="L2" s="423"/>
      <c r="M2" s="423"/>
      <c r="N2" s="423"/>
      <c r="O2" s="423"/>
      <c r="P2" s="423"/>
      <c r="Q2" s="423"/>
      <c r="R2" s="423"/>
      <c r="S2" s="423"/>
      <c r="T2" s="423"/>
      <c r="U2" s="423"/>
      <c r="V2" s="423"/>
      <c r="W2" s="423"/>
      <c r="X2" s="423"/>
      <c r="Y2" s="423"/>
      <c r="Z2" s="423"/>
      <c r="AA2" s="630"/>
      <c r="AB2" s="630"/>
      <c r="AC2" s="630"/>
      <c r="AD2" s="630"/>
      <c r="AE2" s="630"/>
      <c r="AF2" s="630"/>
      <c r="AG2" s="630"/>
      <c r="AH2" s="630"/>
      <c r="AI2" s="423"/>
      <c r="AJ2" s="423"/>
    </row>
    <row r="3" spans="1:41" s="541" customFormat="1">
      <c r="A3" s="423"/>
      <c r="B3" s="570"/>
      <c r="C3" s="730"/>
      <c r="D3" s="730"/>
      <c r="E3" s="423"/>
      <c r="F3" s="423"/>
      <c r="G3" s="423"/>
      <c r="H3" s="423"/>
      <c r="I3" s="423"/>
      <c r="J3" s="423"/>
      <c r="K3" s="423"/>
      <c r="L3" s="423"/>
      <c r="M3" s="423"/>
      <c r="N3" s="423"/>
      <c r="O3" s="423"/>
      <c r="P3" s="423"/>
      <c r="Q3" s="423"/>
      <c r="R3" s="423"/>
      <c r="S3" s="423"/>
      <c r="T3" s="423"/>
      <c r="U3" s="423"/>
      <c r="V3" s="423"/>
      <c r="W3" s="423"/>
      <c r="X3" s="423"/>
      <c r="Y3" s="423"/>
      <c r="Z3" s="423"/>
      <c r="AA3" s="630"/>
      <c r="AB3" s="630"/>
      <c r="AC3" s="630"/>
      <c r="AD3" s="630"/>
      <c r="AE3" s="630"/>
      <c r="AF3" s="630"/>
      <c r="AG3" s="630"/>
      <c r="AH3" s="630"/>
      <c r="AI3" s="423"/>
      <c r="AJ3" s="423"/>
    </row>
    <row r="4" spans="1:41" s="541" customFormat="1">
      <c r="A4" s="423"/>
      <c r="B4" s="570"/>
      <c r="C4" s="730"/>
      <c r="D4" s="730"/>
      <c r="E4" s="423"/>
      <c r="F4" s="423"/>
      <c r="G4" s="423"/>
      <c r="H4" s="423"/>
      <c r="I4" s="423"/>
      <c r="J4" s="423"/>
      <c r="K4" s="423"/>
      <c r="L4" s="423"/>
      <c r="M4" s="423"/>
      <c r="N4" s="423"/>
      <c r="O4" s="423"/>
      <c r="P4" s="423"/>
      <c r="Q4" s="423"/>
      <c r="R4" s="423"/>
      <c r="S4" s="423"/>
      <c r="T4" s="423"/>
      <c r="U4" s="630"/>
      <c r="V4" s="423"/>
      <c r="W4" s="423"/>
      <c r="X4" s="423"/>
      <c r="Y4" s="423"/>
      <c r="Z4" s="423"/>
      <c r="AA4" s="630"/>
      <c r="AB4" s="630"/>
      <c r="AC4" s="630"/>
      <c r="AD4" s="630"/>
      <c r="AE4" s="630"/>
      <c r="AF4" s="630"/>
      <c r="AG4" s="630"/>
      <c r="AH4" s="630"/>
      <c r="AI4" s="423"/>
      <c r="AJ4" s="423"/>
    </row>
    <row r="5" spans="1:41" s="541" customFormat="1">
      <c r="A5" s="572" t="s">
        <v>674</v>
      </c>
      <c r="B5" s="573"/>
      <c r="C5" s="573"/>
      <c r="D5" s="573"/>
      <c r="U5" s="630"/>
      <c r="AI5" s="423"/>
      <c r="AJ5" s="423"/>
    </row>
    <row r="6" spans="1:41" s="541" customFormat="1">
      <c r="B6" s="573"/>
      <c r="C6" s="573"/>
      <c r="D6" s="573"/>
      <c r="AI6" s="423"/>
      <c r="AJ6" s="423"/>
    </row>
    <row r="7" spans="1:41" s="541" customFormat="1">
      <c r="A7" s="574"/>
      <c r="B7" s="575"/>
      <c r="C7" s="1951">
        <v>2004</v>
      </c>
      <c r="D7" s="1951"/>
      <c r="E7" s="1951">
        <v>2005</v>
      </c>
      <c r="F7" s="1951"/>
      <c r="G7" s="1951">
        <v>2006</v>
      </c>
      <c r="H7" s="1951"/>
      <c r="I7" s="1951">
        <v>2007</v>
      </c>
      <c r="J7" s="1951"/>
      <c r="K7" s="1951">
        <v>2008</v>
      </c>
      <c r="L7" s="1951"/>
      <c r="M7" s="1951">
        <v>2009</v>
      </c>
      <c r="N7" s="1951"/>
      <c r="O7" s="1951">
        <v>2010</v>
      </c>
      <c r="P7" s="1951"/>
      <c r="Q7" s="1951">
        <v>2011</v>
      </c>
      <c r="R7" s="1951"/>
      <c r="S7" s="1951">
        <v>2012</v>
      </c>
      <c r="T7" s="1951"/>
      <c r="U7" s="1951">
        <v>2013</v>
      </c>
      <c r="V7" s="1951"/>
      <c r="W7" s="1951">
        <v>2014</v>
      </c>
      <c r="X7" s="1951"/>
      <c r="Y7" s="1951">
        <v>2015</v>
      </c>
      <c r="Z7" s="1951"/>
      <c r="AA7" s="1951">
        <v>2016</v>
      </c>
      <c r="AB7" s="1951"/>
      <c r="AC7" s="1951">
        <v>2017</v>
      </c>
      <c r="AD7" s="1951"/>
      <c r="AE7" s="1951">
        <v>2018</v>
      </c>
      <c r="AF7" s="1951"/>
      <c r="AG7" s="1951">
        <v>2019</v>
      </c>
      <c r="AH7" s="1951"/>
      <c r="AI7" s="1951" t="s">
        <v>115</v>
      </c>
      <c r="AJ7" s="1951"/>
    </row>
    <row r="8" spans="1:41" s="541" customFormat="1">
      <c r="A8" s="574" t="s">
        <v>190</v>
      </c>
      <c r="B8" s="575" t="s">
        <v>191</v>
      </c>
      <c r="C8" s="576" t="str">
        <f>CONCATENATE(C7, " Quantity")</f>
        <v>2004 Quantity</v>
      </c>
      <c r="D8" s="576" t="str">
        <f>CONCATENATE(C7, " Value")</f>
        <v>2004 Value</v>
      </c>
      <c r="E8" s="576" t="str">
        <f>CONCATENATE(E7, " Quantity")</f>
        <v>2005 Quantity</v>
      </c>
      <c r="F8" s="576" t="str">
        <f>CONCATENATE(E7, " Value")</f>
        <v>2005 Value</v>
      </c>
      <c r="G8" s="576" t="str">
        <f>CONCATENATE(G7, " Quantity")</f>
        <v>2006 Quantity</v>
      </c>
      <c r="H8" s="576" t="str">
        <f>CONCATENATE(G7, " Value")</f>
        <v>2006 Value</v>
      </c>
      <c r="I8" s="576" t="str">
        <f>CONCATENATE(I7, " Quantity")</f>
        <v>2007 Quantity</v>
      </c>
      <c r="J8" s="576" t="str">
        <f>CONCATENATE(I7, " Value")</f>
        <v>2007 Value</v>
      </c>
      <c r="K8" s="576" t="str">
        <f>CONCATENATE(K7, " Quantity")</f>
        <v>2008 Quantity</v>
      </c>
      <c r="L8" s="576" t="str">
        <f>CONCATENATE(K7, " Value")</f>
        <v>2008 Value</v>
      </c>
      <c r="M8" s="576" t="str">
        <f>CONCATENATE(M7, " Quantity")</f>
        <v>2009 Quantity</v>
      </c>
      <c r="N8" s="576" t="str">
        <f>CONCATENATE(M7, " Value")</f>
        <v>2009 Value</v>
      </c>
      <c r="O8" s="576" t="str">
        <f>CONCATENATE(O7, " Quantity")</f>
        <v>2010 Quantity</v>
      </c>
      <c r="P8" s="576" t="str">
        <f>CONCATENATE(O7, " Value")</f>
        <v>2010 Value</v>
      </c>
      <c r="Q8" s="576" t="str">
        <f>CONCATENATE(Q7, " Quantity")</f>
        <v>2011 Quantity</v>
      </c>
      <c r="R8" s="576" t="str">
        <f>CONCATENATE(Q7, " Value")</f>
        <v>2011 Value</v>
      </c>
      <c r="S8" s="576" t="str">
        <f>CONCATENATE(S7, " Quantity")</f>
        <v>2012 Quantity</v>
      </c>
      <c r="T8" s="576" t="str">
        <f>CONCATENATE(S7, " Value")</f>
        <v>2012 Value</v>
      </c>
      <c r="U8" s="576" t="str">
        <f>CONCATENATE(U7, " Quantity")</f>
        <v>2013 Quantity</v>
      </c>
      <c r="V8" s="576" t="str">
        <f>CONCATENATE(U7, " Value")</f>
        <v>2013 Value</v>
      </c>
      <c r="W8" s="576" t="str">
        <f>CONCATENATE(W7, " Quantity")</f>
        <v>2014 Quantity</v>
      </c>
      <c r="X8" s="576" t="str">
        <f>CONCATENATE(W7, " Value")</f>
        <v>2014 Value</v>
      </c>
      <c r="Y8" s="576" t="str">
        <f>CONCATENATE(Y7, " Quantity")</f>
        <v>2015 Quantity</v>
      </c>
      <c r="Z8" s="576" t="str">
        <f>CONCATENATE(Y7, " Value")</f>
        <v>2015 Value</v>
      </c>
      <c r="AA8" s="576" t="str">
        <f>CONCATENATE(AA7, " Quantity")</f>
        <v>2016 Quantity</v>
      </c>
      <c r="AB8" s="576" t="str">
        <f>CONCATENATE(AA7, " Value")</f>
        <v>2016 Value</v>
      </c>
      <c r="AC8" s="576" t="str">
        <f>CONCATENATE(AC7, " Quantity")</f>
        <v>2017 Quantity</v>
      </c>
      <c r="AD8" s="574" t="str">
        <f>CONCATENATE(AC7, " Value")</f>
        <v>2017 Value</v>
      </c>
      <c r="AE8" s="576" t="str">
        <f>CONCATENATE(AE7, " Quantity")</f>
        <v>2018 Quantity</v>
      </c>
      <c r="AF8" s="574" t="str">
        <f>CONCATENATE(AE7, " Value")</f>
        <v>2018 Value</v>
      </c>
      <c r="AG8" s="574" t="str">
        <f>CONCATENATE(AG7, " Quantity")</f>
        <v>2019 Quantity</v>
      </c>
      <c r="AH8" s="574" t="str">
        <f>CONCATENATE(AG7, " Value")</f>
        <v>2019 Value</v>
      </c>
      <c r="AI8" s="576" t="s">
        <v>500</v>
      </c>
      <c r="AJ8" s="575" t="s">
        <v>803</v>
      </c>
    </row>
    <row r="9" spans="1:41" s="541" customFormat="1">
      <c r="A9" s="574"/>
      <c r="B9" s="575"/>
      <c r="C9" s="1471">
        <f>IF(RIGHT(C8,8)="Quantity",1,0)</f>
        <v>1</v>
      </c>
      <c r="D9" s="1471">
        <f t="shared" ref="D9:AG9" si="0">IF(RIGHT(D8,8)="Quantity",1,0)</f>
        <v>0</v>
      </c>
      <c r="E9" s="1471">
        <f t="shared" si="0"/>
        <v>1</v>
      </c>
      <c r="F9" s="1471">
        <f t="shared" si="0"/>
        <v>0</v>
      </c>
      <c r="G9" s="1471">
        <f t="shared" si="0"/>
        <v>1</v>
      </c>
      <c r="H9" s="1471">
        <f t="shared" si="0"/>
        <v>0</v>
      </c>
      <c r="I9" s="1471">
        <f t="shared" si="0"/>
        <v>1</v>
      </c>
      <c r="J9" s="1471">
        <f t="shared" si="0"/>
        <v>0</v>
      </c>
      <c r="K9" s="1471">
        <f t="shared" si="0"/>
        <v>1</v>
      </c>
      <c r="L9" s="1471">
        <f t="shared" si="0"/>
        <v>0</v>
      </c>
      <c r="M9" s="1471">
        <f t="shared" si="0"/>
        <v>1</v>
      </c>
      <c r="N9" s="1471">
        <f t="shared" si="0"/>
        <v>0</v>
      </c>
      <c r="O9" s="1471">
        <f t="shared" si="0"/>
        <v>1</v>
      </c>
      <c r="P9" s="1471">
        <f t="shared" si="0"/>
        <v>0</v>
      </c>
      <c r="Q9" s="1471">
        <f t="shared" si="0"/>
        <v>1</v>
      </c>
      <c r="R9" s="1471">
        <f t="shared" si="0"/>
        <v>0</v>
      </c>
      <c r="S9" s="1471">
        <f t="shared" si="0"/>
        <v>1</v>
      </c>
      <c r="T9" s="1471">
        <f t="shared" si="0"/>
        <v>0</v>
      </c>
      <c r="U9" s="1471">
        <f t="shared" si="0"/>
        <v>1</v>
      </c>
      <c r="V9" s="1471">
        <f t="shared" si="0"/>
        <v>0</v>
      </c>
      <c r="W9" s="1471">
        <f t="shared" si="0"/>
        <v>1</v>
      </c>
      <c r="X9" s="1471">
        <f t="shared" si="0"/>
        <v>0</v>
      </c>
      <c r="Y9" s="1471">
        <f t="shared" si="0"/>
        <v>1</v>
      </c>
      <c r="Z9" s="1471">
        <f t="shared" si="0"/>
        <v>0</v>
      </c>
      <c r="AA9" s="1471">
        <f t="shared" si="0"/>
        <v>1</v>
      </c>
      <c r="AB9" s="1471">
        <f t="shared" si="0"/>
        <v>0</v>
      </c>
      <c r="AC9" s="1471">
        <f t="shared" si="0"/>
        <v>1</v>
      </c>
      <c r="AD9" s="1471">
        <f>IF(RIGHT(AD8,8)="Quantity",1,0)</f>
        <v>0</v>
      </c>
      <c r="AE9" s="1471">
        <f t="shared" si="0"/>
        <v>1</v>
      </c>
      <c r="AF9" s="1471">
        <f>IF(RIGHT(AF8,8)="Quantity",1,0)</f>
        <v>0</v>
      </c>
      <c r="AG9" s="1471">
        <f t="shared" si="0"/>
        <v>1</v>
      </c>
      <c r="AH9" s="1471">
        <f>IF(RIGHT(AH8,8)="Quantity",1,0)</f>
        <v>0</v>
      </c>
      <c r="AI9" s="576"/>
      <c r="AJ9" s="575"/>
    </row>
    <row r="10" spans="1:41" s="541" customFormat="1">
      <c r="A10" s="574"/>
      <c r="B10" s="574"/>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4"/>
      <c r="AF10" s="574"/>
      <c r="AG10" s="574"/>
      <c r="AH10" s="574"/>
      <c r="AI10" s="574"/>
      <c r="AJ10" s="574"/>
      <c r="AK10" s="624"/>
      <c r="AL10" s="571"/>
      <c r="AM10" s="571"/>
      <c r="AN10" s="571"/>
      <c r="AO10" s="571"/>
    </row>
    <row r="11" spans="1:41" s="541" customFormat="1">
      <c r="A11" s="577" t="s">
        <v>577</v>
      </c>
      <c r="B11" s="580"/>
      <c r="C11" s="658"/>
      <c r="D11" s="658"/>
      <c r="E11" s="658"/>
      <c r="F11" s="658"/>
      <c r="G11" s="658"/>
      <c r="H11" s="658"/>
      <c r="I11" s="658"/>
      <c r="J11" s="658"/>
      <c r="K11" s="658"/>
      <c r="L11" s="658"/>
      <c r="M11" s="658"/>
      <c r="N11" s="658"/>
      <c r="O11" s="658"/>
      <c r="P11" s="658"/>
      <c r="Q11" s="658"/>
      <c r="R11" s="658"/>
      <c r="S11" s="658"/>
      <c r="T11" s="658"/>
      <c r="U11" s="658"/>
      <c r="V11" s="658"/>
      <c r="W11" s="658"/>
      <c r="X11" s="658"/>
      <c r="Y11" s="658"/>
      <c r="Z11" s="658"/>
      <c r="AA11" s="658"/>
      <c r="AB11" s="658"/>
      <c r="AC11" s="658"/>
      <c r="AD11" s="658"/>
      <c r="AE11" s="658"/>
      <c r="AF11" s="658"/>
      <c r="AG11" s="658"/>
      <c r="AH11" s="658"/>
      <c r="AI11" s="658"/>
      <c r="AJ11" s="658"/>
      <c r="AK11" s="624"/>
      <c r="AL11" s="571"/>
      <c r="AM11" s="571"/>
      <c r="AN11" s="571"/>
      <c r="AO11" s="571"/>
    </row>
    <row r="12" spans="1:41" s="541" customFormat="1">
      <c r="A12" s="613" t="s">
        <v>0</v>
      </c>
      <c r="B12" s="580" t="s">
        <v>110</v>
      </c>
      <c r="C12" s="579">
        <f>SUMIF('Alumina - Q&amp;V'!$H8:$H250,'CY Q&amp;V 2004-Now'!C7,'Alumina - Q&amp;V'!$B8:$B250)*1000000</f>
        <v>10988386</v>
      </c>
      <c r="D12" s="921">
        <f>SUMIF('Alumina - Q&amp;V'!$H8:$H250,'CY Q&amp;V 2004-Now'!C7,'Alumina - Q&amp;V'!$C8:$C250)*1000000</f>
        <v>3178952432.7800002</v>
      </c>
      <c r="E12" s="579">
        <f>SUMIF('Alumina - Q&amp;V'!$H8:$H250,'CY Q&amp;V 2004-Now'!E7,'Alumina - Q&amp;V'!$B8:$B250)*1000000</f>
        <v>11352183</v>
      </c>
      <c r="F12" s="579">
        <f>SUMIF('Alumina - Q&amp;V'!$H8:$H250,'CY Q&amp;V 2004-Now'!E7,'Alumina - Q&amp;V'!$C8:$C250)*1000000</f>
        <v>3594857487.9999995</v>
      </c>
      <c r="G12" s="579">
        <f>SUMIF('Alumina - Q&amp;V'!$H8:$H250,'CY Q&amp;V 2004-Now'!G7,'Alumina - Q&amp;V'!$B8:$B250)*1000000</f>
        <v>11821747.75</v>
      </c>
      <c r="H12" s="579">
        <f>SUMIF('Alumina - Q&amp;V'!$H8:$H250,'CY Q&amp;V 2004-Now'!G7,'Alumina - Q&amp;V'!$C8:$C250)*1000000</f>
        <v>4921721511.4200001</v>
      </c>
      <c r="I12" s="579">
        <f>SUMIF('Alumina - Q&amp;V'!$H8:$H250,'CY Q&amp;V 2004-Now'!I7,'Alumina - Q&amp;V'!$B8:$B250)*1000000</f>
        <v>12193625.759000001</v>
      </c>
      <c r="J12" s="579">
        <f>SUMIF('Alumina - Q&amp;V'!$H8:$H250,'CY Q&amp;V 2004-Now'!I7,'Alumina - Q&amp;V'!$C8:$C250)*1000000</f>
        <v>5048349872.8499994</v>
      </c>
      <c r="K12" s="579">
        <f>SUMIF('Alumina - Q&amp;V'!$H8:$H250,'CY Q&amp;V 2004-Now'!K7,'Alumina - Q&amp;V'!$B8:$B250)*1000000</f>
        <v>12245763.095999999</v>
      </c>
      <c r="L12" s="579">
        <f>SUMIF('Alumina - Q&amp;V'!$H8:$H250,'CY Q&amp;V 2004-Now'!K7,'Alumina - Q&amp;V'!$C8:$C250)*1000000</f>
        <v>4759510952.3999996</v>
      </c>
      <c r="M12" s="579">
        <f>SUMIF('Alumina - Q&amp;V'!$H8:$H250,'CY Q&amp;V 2004-Now'!M7,'Alumina - Q&amp;V'!$B8:$B250)*1000000</f>
        <v>12421970</v>
      </c>
      <c r="N12" s="579">
        <f>SUMIF('Alumina - Q&amp;V'!$H8:$H250,'CY Q&amp;V 2004-Now'!M7,'Alumina - Q&amp;V'!$C8:$C250)*1000000</f>
        <v>3800773509.1799998</v>
      </c>
      <c r="O12" s="579">
        <f>SUMIF('Alumina - Q&amp;V'!$H8:$H250,'CY Q&amp;V 2004-Now'!O7,'Alumina - Q&amp;V'!$B8:$B250)*1000000</f>
        <v>12563285</v>
      </c>
      <c r="P12" s="579">
        <f>SUMIF('Alumina - Q&amp;V'!$H8:$H250,'CY Q&amp;V 2004-Now'!O7,'Alumina - Q&amp;V'!$C8:$C250)*1000000</f>
        <v>3959414750.8300004</v>
      </c>
      <c r="Q12" s="579">
        <f>SUMIF('Alumina - Q&amp;V'!$H8:$H250,'CY Q&amp;V 2004-Now'!Q7,'Alumina - Q&amp;V'!$B8:$B250)*1000000</f>
        <v>12291484</v>
      </c>
      <c r="R12" s="579">
        <f>SUMIF('Alumina - Q&amp;V'!$H8:$H250,'CY Q&amp;V 2004-Now'!Q7,'Alumina - Q&amp;V'!$C8:$C250)*1000000</f>
        <v>4189465678.9399996</v>
      </c>
      <c r="S12" s="579">
        <f>SUMIF('Alumina - Q&amp;V'!$H8:$H250,'CY Q&amp;V 2004-Now'!S7,'Alumina - Q&amp;V'!$B8:$B250)*1000000</f>
        <v>12811549.390000001</v>
      </c>
      <c r="T12" s="579">
        <f>SUMIF('Alumina - Q&amp;V'!$H8:$H250,'CY Q&amp;V 2004-Now'!S7,'Alumina - Q&amp;V'!$C8:$C250)*1000000</f>
        <v>3831147472.8899999</v>
      </c>
      <c r="U12" s="579">
        <f>SUMIF('Alumina - Q&amp;V'!$H8:$H250,'CY Q&amp;V 2004-Now'!U7,'Alumina - Q&amp;V'!$B8:$B250)*1000000</f>
        <v>13625703.529999999</v>
      </c>
      <c r="V12" s="579">
        <f>SUMIF('Alumina - Q&amp;V'!$H8:$H250,'CY Q&amp;V 2004-Now'!U7,'Alumina - Q&amp;V'!$C8:$C250)*1000000</f>
        <v>4147050893.5</v>
      </c>
      <c r="W12" s="579">
        <f>SUMIF('Alumina - Q&amp;V'!$H8:$H250,'CY Q&amp;V 2004-Now'!W7,'Alumina - Q&amp;V'!$B8:$B250)*1000000</f>
        <v>13876846.26</v>
      </c>
      <c r="X12" s="579">
        <f>SUMIF('Alumina - Q&amp;V'!$H8:$H250,'CY Q&amp;V 2004-Now'!W7,'Alumina - Q&amp;V'!$C8:$C250)*1000000</f>
        <v>4561739159</v>
      </c>
      <c r="Y12" s="691">
        <v>13778494</v>
      </c>
      <c r="Z12" s="691">
        <v>5290382612</v>
      </c>
      <c r="AA12" s="691">
        <f>SUMIF('Alumina - Q&amp;V'!$H8:$H250,'CY Q&amp;V 2004-Now'!AA7,'Alumina - Q&amp;V'!$B8:$B250)*1000000</f>
        <v>13829773.890000001</v>
      </c>
      <c r="AB12" s="1233">
        <f>SUMIF('Alumina - Q&amp;V'!$H8:$H250,'CY Q&amp;V 2004-Now'!AA7,'Alumina - Q&amp;V'!$C8:$C250)*1000000</f>
        <v>4586657209.999999</v>
      </c>
      <c r="AC12" s="1233">
        <f>SUMIF('Alumina - Q&amp;V'!$H8:$H250,'CY Q&amp;V 2004-Now'!AC7,'Alumina - Q&amp;V'!$B8:$B250)*1000000</f>
        <v>13847004.060000001</v>
      </c>
      <c r="AD12" s="1233">
        <f>SUMIF('Alumina - Q&amp;V'!$H8:$H250,'CY Q&amp;V 2004-Now'!AC7,'Alumina - Q&amp;V'!$C8:$C250)*1000000</f>
        <v>5839897235</v>
      </c>
      <c r="AE12" s="1233">
        <f>SUMIF('Alumina - Q&amp;V'!$H8:$H250,'CY Q&amp;V 2004-Now'!AE7,'Alumina - Q&amp;V'!$B8:$B250)*1000000</f>
        <v>13498431.120000001</v>
      </c>
      <c r="AF12" s="1233">
        <f>SUMIF('Alumina - Q&amp;V'!$H8:$H250,'CY Q&amp;V 2004-Now'!AE7,'Alumina - Q&amp;V'!$C8:$C250)*1000000</f>
        <v>7868937611</v>
      </c>
      <c r="AG12" s="1676">
        <f>SUMIF('Alumina - Q&amp;V'!$H8:$H250,'CY Q&amp;V 2004-Now'!AG7,'Alumina - Q&amp;V'!$B8:$B250)*1000000</f>
        <v>14014424.653000001</v>
      </c>
      <c r="AH12" s="1233">
        <f>SUMIF('Alumina - Q&amp;V'!$H8:$H250,'CY Q&amp;V 2004-Now'!AG7,'Alumina - Q&amp;V'!$C8:$C250)*1000000</f>
        <v>7289078953</v>
      </c>
      <c r="AI12" s="691">
        <f>SUMIF($C$9:AH$9,1,$C12:AH12)</f>
        <v>205160671.50800002</v>
      </c>
      <c r="AJ12" s="579">
        <f>SUMIF($C$9:AH$9,0,$C12:AH12)</f>
        <v>76867937342.790009</v>
      </c>
      <c r="AK12" s="624"/>
      <c r="AL12" s="571"/>
      <c r="AM12" s="571"/>
      <c r="AN12" s="571"/>
      <c r="AO12" s="571"/>
    </row>
    <row r="13" spans="1:41" s="541" customFormat="1">
      <c r="A13" s="613" t="s">
        <v>697</v>
      </c>
      <c r="B13" s="580" t="s">
        <v>110</v>
      </c>
      <c r="C13" s="691">
        <f>SUMIF('Alumina - Q&amp;V'!$H8:$H250,'CY Q&amp;V 2004-Now'!C7,'Alumina - Q&amp;V'!$D8:$D250)*1000000</f>
        <v>0</v>
      </c>
      <c r="D13" s="691">
        <f>SUMIF('Alumina - Q&amp;V'!$H8:$H250,'CY Q&amp;V 2004-Now'!C7,'Alumina - Q&amp;V'!$E8:$E250)*1000000</f>
        <v>0</v>
      </c>
      <c r="E13" s="691">
        <f>SUMIF('Alumina - Q&amp;V'!$H8:$H250,'CY Q&amp;V 2004-Now'!E7,'Alumina - Q&amp;V'!$D8:$D250)*1000000</f>
        <v>0</v>
      </c>
      <c r="F13" s="691">
        <f>SUMIF('Alumina - Q&amp;V'!$H8:$H250,'CY Q&amp;V 2004-Now'!E7,'Alumina - Q&amp;V'!$E8:$E250)*1000000</f>
        <v>0</v>
      </c>
      <c r="G13" s="691">
        <f>SUMIF('Alumina - Q&amp;V'!$H8:$H250,'CY Q&amp;V 2004-Now'!G7,'Alumina - Q&amp;V'!$D8:$D250)*1000000</f>
        <v>0</v>
      </c>
      <c r="H13" s="691">
        <f>SUMIF('Alumina - Q&amp;V'!$H8:$H250,'CY Q&amp;V 2004-Now'!G7,'Alumina - Q&amp;V'!$E8:$E250)*1000000</f>
        <v>0</v>
      </c>
      <c r="I13" s="691">
        <f>SUMIF('Alumina - Q&amp;V'!$H8:$H250,'CY Q&amp;V 2004-Now'!I7,'Alumina - Q&amp;V'!$D8:$D250)*1000000</f>
        <v>0</v>
      </c>
      <c r="J13" s="691">
        <f>SUMIF('Alumina - Q&amp;V'!$H8:$H250,'CY Q&amp;V 2004-Now'!I7,'Alumina - Q&amp;V'!$E8:$E250)*1000000</f>
        <v>0</v>
      </c>
      <c r="K13" s="691">
        <f>SUMIF('Alumina - Q&amp;V'!$H8:$H250,'CY Q&amp;V 2004-Now'!K7,'Alumina - Q&amp;V'!$D8:$D250)*1000000</f>
        <v>0</v>
      </c>
      <c r="L13" s="691">
        <f>SUMIF('Alumina - Q&amp;V'!$H8:$H250,'CY Q&amp;V 2004-Now'!K7,'Alumina - Q&amp;V'!$E8:$E250)*1000000</f>
        <v>0</v>
      </c>
      <c r="M13" s="691">
        <f>SUMIF('Alumina - Q&amp;V'!$H8:$H250,'CY Q&amp;V 2004-Now'!M7,'Alumina - Q&amp;V'!$D8:$D250)*1000000</f>
        <v>0</v>
      </c>
      <c r="N13" s="691">
        <f>SUMIF('Alumina - Q&amp;V'!$H8:$H250,'CY Q&amp;V 2004-Now'!M7,'Alumina - Q&amp;V'!$E8:$E250)*1000000</f>
        <v>0</v>
      </c>
      <c r="O13" s="691">
        <f>SUMIF('Alumina - Q&amp;V'!$H8:$H250,'CY Q&amp;V 2004-Now'!O7,'Alumina - Q&amp;V'!$D8:$D250)*1000000</f>
        <v>0</v>
      </c>
      <c r="P13" s="691">
        <f>SUMIF('Alumina - Q&amp;V'!$H8:$H250,'CY Q&amp;V 2004-Now'!O7,'Alumina - Q&amp;V'!$E8:$E250)*1000000</f>
        <v>0</v>
      </c>
      <c r="Q13" s="691">
        <f>SUMIF('Alumina - Q&amp;V'!$H8:$H250,'CY Q&amp;V 2004-Now'!Q7,'Alumina - Q&amp;V'!$D8:$D250)*1000000</f>
        <v>0</v>
      </c>
      <c r="R13" s="691">
        <f>SUMIF('Alumina - Q&amp;V'!$H8:$H250,'CY Q&amp;V 2004-Now'!Q7,'Alumina - Q&amp;V'!$E8:$E250)*1000000</f>
        <v>0</v>
      </c>
      <c r="S13" s="691">
        <f>SUMIF('Alumina - Q&amp;V'!$H8:$H250,'CY Q&amp;V 2004-Now'!S7,'Alumina - Q&amp;V'!$D8:$D250)*1000000</f>
        <v>0</v>
      </c>
      <c r="T13" s="691">
        <f>SUMIF('Alumina - Q&amp;V'!$H8:$H250,'CY Q&amp;V 2004-Now'!S7,'Alumina - Q&amp;V'!$E8:$E250)*1000000</f>
        <v>0</v>
      </c>
      <c r="U13" s="691">
        <f>SUMIF('Alumina - Q&amp;V'!$H8:$H250,'CY Q&amp;V 2004-Now'!U7,'Alumina - Q&amp;V'!$D8:$D250)*1000000</f>
        <v>0</v>
      </c>
      <c r="V13" s="691">
        <f>SUMIF('Alumina - Q&amp;V'!$H8:$H250,'CY Q&amp;V 2004-Now'!U7,'Alumina - Q&amp;V'!$E8:$E250)*1000000</f>
        <v>0</v>
      </c>
      <c r="W13" s="691">
        <f>SUMIF('Alumina - Q&amp;V'!$H8:$H250,'CY Q&amp;V 2004-Now'!W7,'Alumina - Q&amp;V'!$D8:$D250)*1000000</f>
        <v>0</v>
      </c>
      <c r="X13" s="691">
        <f>SUMIF('Alumina - Q&amp;V'!$H8:$H250,'CY Q&amp;V 2004-Now'!W7,'Alumina - Q&amp;V'!$E8:$E250)*1000000</f>
        <v>0</v>
      </c>
      <c r="Y13" s="691">
        <f>SUMIF('Alumina - Q&amp;V'!$H8:$H250,'CY Q&amp;V 2004-Now'!Y7,'Alumina - Q&amp;V'!$D8:$D250)*1000000</f>
        <v>0</v>
      </c>
      <c r="Z13" s="691">
        <f>SUMIF('Alumina - Q&amp;V'!$H8:$H250,'CY Q&amp;V 2004-Now'!Y7,'Alumina - Q&amp;V'!$E8:$E250)*1000000</f>
        <v>0</v>
      </c>
      <c r="AA13" s="691">
        <f>SUMIF('Alumina - Q&amp;V'!$H8:$H250,'CY Q&amp;V 2004-Now'!AA7,'Alumina - Q&amp;V'!$D8:$D250)*1000000</f>
        <v>92315.000000000015</v>
      </c>
      <c r="AB13" s="691">
        <f>SUMIF('Alumina - Q&amp;V'!$H8:$H250,'CY Q&amp;V 2004-Now'!AA7,'Alumina - Q&amp;V'!$E8:$E250)*1000000</f>
        <v>3947034.9999999995</v>
      </c>
      <c r="AC13" s="691">
        <f>SUMIF('Alumina - Q&amp;V'!$H8:$H250,'CY Q&amp;V 2004-Now'!AC7,'Alumina - Q&amp;V'!$D8:$D250)*1000000</f>
        <v>824002.39</v>
      </c>
      <c r="AD13" s="691">
        <f>SUMIF('Alumina - Q&amp;V'!$H8:$H250,'CY Q&amp;V 2004-Now'!AC7,'Alumina - Q&amp;V'!$E8:$E250)*1000000</f>
        <v>38833832</v>
      </c>
      <c r="AE13" s="1005">
        <f>SUMIF('Alumina - Q&amp;V'!$H8:$H250,'CY Q&amp;V 2004-Now'!AE7,'Alumina - Q&amp;V'!$D8:$D250)*1000000</f>
        <v>1480962.68</v>
      </c>
      <c r="AF13" s="1677">
        <f>SUMIF('Alumina - Q&amp;V'!$H8:$H250,'CY Q&amp;V 2004-Now'!AE7,'Alumina - Q&amp;V'!$E8:$E250)*1000000</f>
        <v>55917262.000000007</v>
      </c>
      <c r="AG13" s="687">
        <f>SUMIF('Alumina - Q&amp;V'!$H8:$H250,'CY Q&amp;V 2004-Now'!AG7,'Alumina - Q&amp;V'!$D8:$D250)*1000000</f>
        <v>1866166.03</v>
      </c>
      <c r="AH13" s="691">
        <f>SUMIF('Alumina - Q&amp;V'!$H8:$H250,'CY Q&amp;V 2004-Now'!AG7,'Alumina - Q&amp;V'!$E8:$E250)*1000000</f>
        <v>69905999.000000015</v>
      </c>
      <c r="AI13" s="691">
        <f>SUMIF($C$9:AH$9,1,$C13:AH13)</f>
        <v>4263446.0999999996</v>
      </c>
      <c r="AJ13" s="691">
        <f>SUMIF($C$9:AH$9,0,$C13:AH13)</f>
        <v>168604128</v>
      </c>
      <c r="AK13" s="624"/>
      <c r="AL13" s="571"/>
      <c r="AM13" s="571"/>
      <c r="AN13" s="571"/>
      <c r="AO13" s="571"/>
    </row>
    <row r="14" spans="1:41" s="541" customFormat="1">
      <c r="A14" s="611" t="s">
        <v>705</v>
      </c>
      <c r="B14" s="580"/>
      <c r="C14" s="1233">
        <f t="shared" ref="C14:AE14" si="1">SUM(C12:C13)</f>
        <v>10988386</v>
      </c>
      <c r="D14" s="1233">
        <f t="shared" si="1"/>
        <v>3178952432.7800002</v>
      </c>
      <c r="E14" s="1233">
        <f t="shared" si="1"/>
        <v>11352183</v>
      </c>
      <c r="F14" s="1233">
        <f t="shared" si="1"/>
        <v>3594857487.9999995</v>
      </c>
      <c r="G14" s="1233">
        <f t="shared" si="1"/>
        <v>11821747.75</v>
      </c>
      <c r="H14" s="1233">
        <f t="shared" si="1"/>
        <v>4921721511.4200001</v>
      </c>
      <c r="I14" s="1233">
        <f t="shared" si="1"/>
        <v>12193625.759000001</v>
      </c>
      <c r="J14" s="1233">
        <f t="shared" si="1"/>
        <v>5048349872.8499994</v>
      </c>
      <c r="K14" s="1233">
        <f t="shared" si="1"/>
        <v>12245763.095999999</v>
      </c>
      <c r="L14" s="1233">
        <f t="shared" si="1"/>
        <v>4759510952.3999996</v>
      </c>
      <c r="M14" s="1233">
        <f t="shared" si="1"/>
        <v>12421970</v>
      </c>
      <c r="N14" s="1233">
        <f t="shared" si="1"/>
        <v>3800773509.1799998</v>
      </c>
      <c r="O14" s="1233">
        <f t="shared" si="1"/>
        <v>12563285</v>
      </c>
      <c r="P14" s="1233">
        <f t="shared" si="1"/>
        <v>3959414750.8300004</v>
      </c>
      <c r="Q14" s="1233">
        <f t="shared" si="1"/>
        <v>12291484</v>
      </c>
      <c r="R14" s="1233">
        <f t="shared" si="1"/>
        <v>4189465678.9399996</v>
      </c>
      <c r="S14" s="1233">
        <f t="shared" si="1"/>
        <v>12811549.390000001</v>
      </c>
      <c r="T14" s="1233">
        <f t="shared" si="1"/>
        <v>3831147472.8899999</v>
      </c>
      <c r="U14" s="1233">
        <f t="shared" si="1"/>
        <v>13625703.529999999</v>
      </c>
      <c r="V14" s="1233">
        <f t="shared" si="1"/>
        <v>4147050893.5</v>
      </c>
      <c r="W14" s="1233">
        <f t="shared" si="1"/>
        <v>13876846.26</v>
      </c>
      <c r="X14" s="1233">
        <f t="shared" si="1"/>
        <v>4561739159</v>
      </c>
      <c r="Y14" s="1233">
        <f t="shared" si="1"/>
        <v>13778494</v>
      </c>
      <c r="Z14" s="1233">
        <f t="shared" si="1"/>
        <v>5290382612</v>
      </c>
      <c r="AA14" s="1233">
        <f t="shared" si="1"/>
        <v>13922088.890000001</v>
      </c>
      <c r="AB14" s="1233">
        <f t="shared" si="1"/>
        <v>4590604244.999999</v>
      </c>
      <c r="AC14" s="1233">
        <f t="shared" si="1"/>
        <v>14671006.450000001</v>
      </c>
      <c r="AD14" s="1233">
        <f>SUM(AD12:AD13)</f>
        <v>5878731067</v>
      </c>
      <c r="AE14" s="1233">
        <f t="shared" si="1"/>
        <v>14979393.800000001</v>
      </c>
      <c r="AF14" s="1233">
        <f>SUM(AF12:AF13)</f>
        <v>7924854873</v>
      </c>
      <c r="AG14" s="1676">
        <f t="shared" ref="AG14" si="2">SUM(AG12:AG13)</f>
        <v>15880590.683</v>
      </c>
      <c r="AH14" s="1233">
        <f>SUM(AH12:AH13)</f>
        <v>7358984952</v>
      </c>
      <c r="AI14" s="691">
        <f>SUMIF($C$9:AH$9,1,$C14:AH14)</f>
        <v>209424117.60800001</v>
      </c>
      <c r="AJ14" s="691">
        <f>SUMIF($C$9:AH$9,0,$C14:AH14)</f>
        <v>77036541470.790009</v>
      </c>
      <c r="AK14" s="624"/>
      <c r="AL14" s="571"/>
      <c r="AM14" s="571"/>
      <c r="AN14" s="571"/>
      <c r="AO14" s="571"/>
    </row>
    <row r="15" spans="1:41" s="541" customFormat="1">
      <c r="A15" s="584"/>
      <c r="B15" s="916"/>
      <c r="C15" s="585"/>
      <c r="D15" s="922"/>
      <c r="E15" s="586"/>
      <c r="F15" s="586"/>
      <c r="G15" s="586"/>
      <c r="H15" s="586"/>
      <c r="I15" s="588"/>
      <c r="J15" s="588"/>
      <c r="K15" s="586"/>
      <c r="L15" s="586"/>
      <c r="M15" s="586"/>
      <c r="N15" s="586"/>
      <c r="O15" s="586"/>
      <c r="P15" s="586"/>
      <c r="Q15" s="589"/>
      <c r="R15" s="589"/>
      <c r="S15" s="586"/>
      <c r="T15" s="586"/>
      <c r="U15" s="586"/>
      <c r="V15" s="586"/>
      <c r="W15" s="586"/>
      <c r="X15" s="586"/>
      <c r="Y15" s="692"/>
      <c r="Z15" s="692"/>
      <c r="AA15" s="692"/>
      <c r="AB15" s="1234"/>
      <c r="AC15" s="1234"/>
      <c r="AD15" s="1234"/>
      <c r="AE15" s="1234"/>
      <c r="AF15" s="1234"/>
      <c r="AG15" s="1234"/>
      <c r="AH15" s="1234"/>
      <c r="AI15" s="586"/>
      <c r="AJ15" s="586"/>
      <c r="AL15" s="571"/>
      <c r="AM15" s="571"/>
      <c r="AN15" s="571"/>
      <c r="AO15" s="571"/>
    </row>
    <row r="16" spans="1:41" s="541" customFormat="1">
      <c r="A16" s="591" t="s">
        <v>208</v>
      </c>
      <c r="B16" s="638"/>
      <c r="C16" s="430"/>
      <c r="D16" s="920"/>
      <c r="E16" s="586"/>
      <c r="F16" s="586"/>
      <c r="G16" s="586"/>
      <c r="H16" s="586"/>
      <c r="I16" s="592"/>
      <c r="J16" s="592"/>
      <c r="K16" s="586"/>
      <c r="L16" s="586"/>
      <c r="M16" s="586"/>
      <c r="N16" s="586"/>
      <c r="O16" s="586"/>
      <c r="P16" s="586"/>
      <c r="Q16" s="589"/>
      <c r="R16" s="589"/>
      <c r="S16" s="586"/>
      <c r="T16" s="586"/>
      <c r="U16" s="586"/>
      <c r="V16" s="586"/>
      <c r="W16" s="586"/>
      <c r="X16" s="586"/>
      <c r="Y16" s="692"/>
      <c r="Z16" s="692"/>
      <c r="AA16" s="692"/>
      <c r="AB16" s="1234"/>
      <c r="AC16" s="1234"/>
      <c r="AD16" s="1234"/>
      <c r="AE16" s="1234"/>
      <c r="AF16" s="1234"/>
      <c r="AG16" s="1234"/>
      <c r="AH16" s="1234"/>
      <c r="AI16" s="586"/>
      <c r="AJ16" s="586"/>
      <c r="AL16" s="571"/>
      <c r="AM16" s="571"/>
      <c r="AN16" s="571"/>
      <c r="AO16" s="571"/>
    </row>
    <row r="17" spans="1:46" s="541" customFormat="1">
      <c r="A17" s="593" t="s">
        <v>332</v>
      </c>
      <c r="B17" s="587" t="s">
        <v>110</v>
      </c>
      <c r="C17" s="586">
        <f>SUMIF('Base Metals - Q&amp;V'!$H8:$H250,'CY Q&amp;V 2004-Now'!C7,'Base Metals - Q&amp;V'!$B8:$B250)*1000</f>
        <v>42260.094000000005</v>
      </c>
      <c r="D17" s="920">
        <f>SUMIF('Base Metals - Q&amp;V'!$H8:$H250,'CY Q&amp;V 2004-Now'!C7,'Base Metals - Q&amp;V'!$C8:$C250)*1000000</f>
        <v>168134375.94999999</v>
      </c>
      <c r="E17" s="586">
        <f>SUMIF('Base Metals - Q&amp;V'!$H8:$H250,'CY Q&amp;V 2004-Now'!E7,'Base Metals - Q&amp;V'!$B8:$B250)*1000</f>
        <v>85220.481</v>
      </c>
      <c r="F17" s="586">
        <f>SUMIF('Base Metals - Q&amp;V'!$H8:$H250,'CY Q&amp;V 2004-Now'!E7,'Base Metals - Q&amp;V'!$C8:$C250)*1000000</f>
        <v>471208395.87999994</v>
      </c>
      <c r="G17" s="586">
        <f>SUMIF('Base Metals - Q&amp;V'!$H8:$H250,'CY Q&amp;V 2004-Now'!G7,'Base Metals - Q&amp;V'!$B8:$B250)*1000</f>
        <v>99242.47099999999</v>
      </c>
      <c r="H17" s="586">
        <f>SUMIF('Base Metals - Q&amp;V'!$H8:$H250,'CY Q&amp;V 2004-Now'!G7,'Base Metals - Q&amp;V'!$C8:$C250)*1000000</f>
        <v>865000194.02999985</v>
      </c>
      <c r="I17" s="586">
        <f>SUMIF('Base Metals - Q&amp;V'!$H8:$H250,'CY Q&amp;V 2004-Now'!I7,'Base Metals - Q&amp;V'!$B8:$B250)*1000</f>
        <v>105404.98599999999</v>
      </c>
      <c r="J17" s="586">
        <f>SUMIF('Base Metals - Q&amp;V'!$H8:$H250,'CY Q&amp;V 2004-Now'!I7,'Base Metals - Q&amp;V'!$C8:$C250)*1000000</f>
        <v>885582785.29999995</v>
      </c>
      <c r="K17" s="586">
        <f>SUMIF('Base Metals - Q&amp;V'!$H8:$H250,'CY Q&amp;V 2004-Now'!K7,'Base Metals - Q&amp;V'!$B8:$B250)*1000</f>
        <v>119055.948</v>
      </c>
      <c r="L17" s="586">
        <f>SUMIF('Base Metals - Q&amp;V'!$H8:$H250,'CY Q&amp;V 2004-Now'!K7,'Base Metals - Q&amp;V'!$C8:$C250)*1000000</f>
        <v>832515153.68000007</v>
      </c>
      <c r="M17" s="586">
        <f>SUMIF('Base Metals - Q&amp;V'!$H8:$H250,'CY Q&amp;V 2004-Now'!M7,'Base Metals - Q&amp;V'!$B8:$B250)*1000</f>
        <v>151496.43399999998</v>
      </c>
      <c r="N17" s="586">
        <f>SUMIF('Base Metals - Q&amp;V'!$H8:$H250,'CY Q&amp;V 2004-Now'!M7,'Base Metals - Q&amp;V'!$C8:$C250)*1000000</f>
        <v>933123284.94000006</v>
      </c>
      <c r="O17" s="586">
        <f>SUMIF('Base Metals - Q&amp;V'!$H8:$H250,'CY Q&amp;V 2004-Now'!O7,'Base Metals - Q&amp;V'!$B8:$B250)*1000</f>
        <v>155650.68099999998</v>
      </c>
      <c r="P17" s="586">
        <f>SUMIF('Base Metals - Q&amp;V'!$H8:$H250,'CY Q&amp;V 2004-Now'!O7,'Base Metals - Q&amp;V'!$C8:$C250)*1000000</f>
        <v>1302148086.0799999</v>
      </c>
      <c r="Q17" s="586">
        <f>SUMIF('Base Metals - Q&amp;V'!$H8:$H250,'CY Q&amp;V 2004-Now'!Q7,'Base Metals - Q&amp;V'!$B8:$B250)*1000</f>
        <v>144958.04783199998</v>
      </c>
      <c r="R17" s="586">
        <f>SUMIF('Base Metals - Q&amp;V'!$H8:$H250,'CY Q&amp;V 2004-Now'!Q7,'Base Metals - Q&amp;V'!$C8:$C250)*1000000</f>
        <v>1195223608.26</v>
      </c>
      <c r="S17" s="586">
        <f>SUMIF('Base Metals - Q&amp;V'!$H8:$H250,'CY Q&amp;V 2004-Now'!S7,'Base Metals - Q&amp;V'!$B8:$B250)*1000</f>
        <v>185750.019937</v>
      </c>
      <c r="T17" s="586">
        <f>SUMIF('Base Metals - Q&amp;V'!$H8:$H250,'CY Q&amp;V 2004-Now'!S7,'Base Metals - Q&amp;V'!$C8:$C250)*1000000</f>
        <v>1370450102.3600001</v>
      </c>
      <c r="U17" s="586">
        <f>SUMIF('Base Metals - Q&amp;V'!$H8:$H250,'CY Q&amp;V 2004-Now'!U7,'Base Metals - Q&amp;V'!$B8:$B250)*1000</f>
        <v>216056.61499999999</v>
      </c>
      <c r="V17" s="586">
        <f>SUMIF('Base Metals - Q&amp;V'!$H8:$H250,'CY Q&amp;V 2004-Now'!U7,'Base Metals - Q&amp;V'!$C8:$C250)*1000000</f>
        <v>1492764436.23</v>
      </c>
      <c r="W17" s="586">
        <f>SUMIF('Base Metals - Q&amp;V'!$H8:$H250,'CY Q&amp;V 2004-Now'!W7,'Base Metals - Q&amp;V'!$B8:$B250)*1000</f>
        <v>197080.71799999999</v>
      </c>
      <c r="X17" s="586">
        <f>SUMIF('Base Metals - Q&amp;V'!$H8:$H250,'CY Q&amp;V 2004-Now'!W7,'Base Metals - Q&amp;V'!$C8:$C250)*1000000</f>
        <v>1401605650.9999998</v>
      </c>
      <c r="Y17" s="692">
        <v>188847</v>
      </c>
      <c r="Z17" s="692">
        <v>1244580987</v>
      </c>
      <c r="AA17" s="692">
        <f>SUMIF('Base Metals - Q&amp;V'!$H8:$H250,'CY Q&amp;V 2004-Now'!AA7,'Base Metals - Q&amp;V'!$B8:$B250)*1000</f>
        <v>181536.03300000002</v>
      </c>
      <c r="AB17" s="1234">
        <f>SUMIF('Base Metals - Q&amp;V'!$H8:$H250,'CY Q&amp;V 2004-Now'!AA7,'Base Metals - Q&amp;V'!$C8:$C250)*1000000</f>
        <v>1188452888</v>
      </c>
      <c r="AC17" s="1234">
        <f>SUMIF('Base Metals - Q&amp;V'!$H8:$H250,'CY Q&amp;V 2004-Now'!AC7,'Base Metals - Q&amp;V'!$B8:$B250)*1000</f>
        <v>165701.848</v>
      </c>
      <c r="AD17" s="1234">
        <f>SUMIF('Base Metals - Q&amp;V'!$H8:$H250,'CY Q&amp;V 2004-Now'!AC7,'Base Metals - Q&amp;V'!$C8:$C250)*1000000</f>
        <v>1255639217</v>
      </c>
      <c r="AE17" s="1234">
        <f>SUMIF('Base Metals - Q&amp;V'!$H8:$H250,'CY Q&amp;V 2004-Now'!AE7,'Base Metals - Q&amp;V'!$B8:$B250)*1000</f>
        <v>168585.00300000003</v>
      </c>
      <c r="AF17" s="1234">
        <f>SUMIF('Base Metals - Q&amp;V'!$H8:$H250,'CY Q&amp;V 2004-Now'!AE7,'Base Metals - Q&amp;V'!$C8:$C250)*1000000</f>
        <v>1349702534</v>
      </c>
      <c r="AG17" s="1234">
        <f>SUMIF('Base Metals - Q&amp;V'!$H8:$H250,'CY Q&amp;V 2004-Now'!AG7,'Base Metals - Q&amp;V'!$B8:$B250)*1000</f>
        <v>171979.285</v>
      </c>
      <c r="AH17" s="1234">
        <f>SUMIF('Base Metals - Q&amp;V'!$H8:$H250,'CY Q&amp;V 2004-Now'!AG7,'Base Metals - Q&amp;V'!$C8:$C250)*1000000</f>
        <v>1388796330.0000002</v>
      </c>
      <c r="AI17" s="586">
        <f>SUMIF($C$9:AH$9,1,$C17:AH17)</f>
        <v>2378825.6647690004</v>
      </c>
      <c r="AJ17" s="692">
        <f>SUMIF($C$9:AH$9,0,$C17:AH17)</f>
        <v>17344928029.710003</v>
      </c>
      <c r="AK17" s="624"/>
      <c r="AL17" s="571"/>
      <c r="AM17" s="571"/>
      <c r="AN17" s="571"/>
      <c r="AO17" s="571"/>
    </row>
    <row r="18" spans="1:46" s="541" customFormat="1">
      <c r="A18" s="593" t="s">
        <v>333</v>
      </c>
      <c r="B18" s="587" t="s">
        <v>110</v>
      </c>
      <c r="C18" s="586">
        <f>SUMIF('Base Metals - Q&amp;V'!$H8:$H250,'CY Q&amp;V 2004-Now'!C7,'Base Metals - Q&amp;V'!$D8:$D250)*1000</f>
        <v>1174.7399999999998</v>
      </c>
      <c r="D18" s="920">
        <f>SUMIF('Base Metals - Q&amp;V'!$H8:$H250,'CY Q&amp;V 2004-Now'!C7,'Base Metals - Q&amp;V'!$E8:$E250)*1000000</f>
        <v>1544615.84</v>
      </c>
      <c r="E18" s="586">
        <f>SUMIF('Base Metals - Q&amp;V'!$H8:$H250,'CY Q&amp;V 2004-Now'!E7,'Base Metals - Q&amp;V'!$D8:$D250)*1000</f>
        <v>28595.314999999999</v>
      </c>
      <c r="F18" s="586">
        <f>SUMIF('Base Metals - Q&amp;V'!$H8:$H250,'CY Q&amp;V 2004-Now'!E7,'Base Metals - Q&amp;V'!$E8:$E250)*1000000</f>
        <v>39773083.839999996</v>
      </c>
      <c r="G18" s="586">
        <f>SUMIF('Base Metals - Q&amp;V'!$H8:$H250,'CY Q&amp;V 2004-Now'!G7,'Base Metals - Q&amp;V'!$D8:$D250)*1000</f>
        <v>70953.488999999987</v>
      </c>
      <c r="H18" s="586">
        <f>SUMIF('Base Metals - Q&amp;V'!$H8:$H250,'CY Q&amp;V 2004-Now'!G7,'Base Metals - Q&amp;V'!$E8:$E250)*1000000</f>
        <v>127854540.53</v>
      </c>
      <c r="I18" s="586">
        <f>SUMIF('Base Metals - Q&amp;V'!$H8:$H250,'CY Q&amp;V 2004-Now'!I7,'Base Metals - Q&amp;V'!$D8:$D250)*1000</f>
        <v>37091.524999999994</v>
      </c>
      <c r="J18" s="586">
        <f>SUMIF('Base Metals - Q&amp;V'!$H8:$H250,'CY Q&amp;V 2004-Now'!I7,'Base Metals - Q&amp;V'!$E8:$E250)*1000000</f>
        <v>96781479.340000004</v>
      </c>
      <c r="K18" s="586">
        <f>SUMIF('Base Metals - Q&amp;V'!$H8:$H250,'CY Q&amp;V 2004-Now'!K7,'Base Metals - Q&amp;V'!$D8:$D250)*1000</f>
        <v>18538.827999999998</v>
      </c>
      <c r="L18" s="586">
        <f>SUMIF('Base Metals - Q&amp;V'!$H8:$H250,'CY Q&amp;V 2004-Now'!K7,'Base Metals - Q&amp;V'!$E8:$E250)*1000000</f>
        <v>28815419.949999999</v>
      </c>
      <c r="M18" s="586">
        <f>SUMIF('Base Metals - Q&amp;V'!$H8:$H250,'CY Q&amp;V 2004-Now'!M7,'Base Metals - Q&amp;V'!$D8:$D250)*1000</f>
        <v>22755.433000000005</v>
      </c>
      <c r="N18" s="586">
        <f>SUMIF('Base Metals - Q&amp;V'!$H8:$H250,'CY Q&amp;V 2004-Now'!M7,'Base Metals - Q&amp;V'!$E8:$E250)*1000000</f>
        <v>48874789.219999999</v>
      </c>
      <c r="O18" s="586">
        <f>SUMIF('Base Metals - Q&amp;V'!$H8:$H250,'CY Q&amp;V 2004-Now'!O7,'Base Metals - Q&amp;V'!$D8:$D250)*1000</f>
        <v>52922.928999999996</v>
      </c>
      <c r="P18" s="586">
        <f>SUMIF('Base Metals - Q&amp;V'!$H8:$H250,'CY Q&amp;V 2004-Now'!O7,'Base Metals - Q&amp;V'!$E8:$E250)*1000000</f>
        <v>126644762.31999999</v>
      </c>
      <c r="Q18" s="586">
        <f>SUMIF('Base Metals - Q&amp;V'!$H8:$H250,'CY Q&amp;V 2004-Now'!Q7,'Base Metals - Q&amp;V'!$D8:$D250)*1000</f>
        <v>8342.9220000000005</v>
      </c>
      <c r="R18" s="586">
        <f>SUMIF('Base Metals - Q&amp;V'!$H8:$H250,'CY Q&amp;V 2004-Now'!Q7,'Base Metals - Q&amp;V'!$E8:$E250)*1000000</f>
        <v>19576467.120000001</v>
      </c>
      <c r="S18" s="586">
        <f>SUMIF('Base Metals - Q&amp;V'!$H8:$H250,'CY Q&amp;V 2004-Now'!S7,'Base Metals - Q&amp;V'!$D8:$D250)*1000</f>
        <v>8135.2939999999999</v>
      </c>
      <c r="T18" s="586">
        <f>SUMIF('Base Metals - Q&amp;V'!$H8:$H250,'CY Q&amp;V 2004-Now'!S7,'Base Metals - Q&amp;V'!$E8:$E250)*1000000</f>
        <v>16534423.209999999</v>
      </c>
      <c r="U18" s="586">
        <f>SUMIF('Base Metals - Q&amp;V'!$H8:$H250,'CY Q&amp;V 2004-Now'!U7,'Base Metals - Q&amp;V'!$D8:$D250)*1000</f>
        <v>52261.51</v>
      </c>
      <c r="V18" s="586">
        <f>SUMIF('Base Metals - Q&amp;V'!$H8:$H250,'CY Q&amp;V 2004-Now'!U7,'Base Metals - Q&amp;V'!$E8:$E250)*1000000</f>
        <v>116056678.27000003</v>
      </c>
      <c r="W18" s="586">
        <f>SUMIF('Base Metals - Q&amp;V'!$H8:$H250,'CY Q&amp;V 2004-Now'!W7,'Base Metals - Q&amp;V'!$D8:$D250)*1000</f>
        <v>80888.5</v>
      </c>
      <c r="X18" s="586">
        <f>SUMIF('Base Metals - Q&amp;V'!$H8:$H250,'CY Q&amp;V 2004-Now'!W7,'Base Metals - Q&amp;V'!$E8:$E250)*1000000</f>
        <v>184662425</v>
      </c>
      <c r="Y18" s="692">
        <v>20259</v>
      </c>
      <c r="Z18" s="692">
        <v>48685219</v>
      </c>
      <c r="AA18" s="692">
        <f>SUMIF('Base Metals - Q&amp;V'!$H8:$H250,'CY Q&amp;V 2004-Now'!AA7,'Base Metals - Q&amp;V'!$D8:$D250)*1000</f>
        <v>4760.91</v>
      </c>
      <c r="AB18" s="1234">
        <f>SUMIF('Base Metals - Q&amp;V'!$H8:$H250,'CY Q&amp;V 2004-Now'!AA7,'Base Metals - Q&amp;V'!$E8:$E250)*1000000</f>
        <v>12782990</v>
      </c>
      <c r="AC18" s="1234">
        <f>SUMIF('Base Metals - Q&amp;V'!$H8:$H250,'CY Q&amp;V 2004-Now'!AC7,'Base Metals - Q&amp;V'!$D8:$D250)*1000</f>
        <v>5901.08</v>
      </c>
      <c r="AD18" s="1234">
        <f>SUMIF('Base Metals - Q&amp;V'!$H8:$H250,'CY Q&amp;V 2004-Now'!AC7,'Base Metals - Q&amp;V'!$E8:$E250)*1000000</f>
        <v>18548734</v>
      </c>
      <c r="AE18" s="1234">
        <f>SUMIF('Base Metals - Q&amp;V'!$H8:$H250,'CY Q&amp;V 2004-Now'!AE7,'Base Metals - Q&amp;V'!$D8:$D250)*1000</f>
        <v>6091.0000000000009</v>
      </c>
      <c r="AF18" s="1234">
        <f>SUMIF('Base Metals - Q&amp;V'!$H8:$H250,'CY Q&amp;V 2004-Now'!AE7,'Base Metals - Q&amp;V'!$E8:$E250)*1000000</f>
        <v>17155192</v>
      </c>
      <c r="AG18" s="1234">
        <f>SUMIF('Base Metals - Q&amp;V'!$H8:$H250,'CY Q&amp;V 2004-Now'!AG7,'Base Metals - Q&amp;V'!$D8:$D250)*1000</f>
        <v>2916.8</v>
      </c>
      <c r="AH18" s="1234">
        <f>SUMIF('Base Metals - Q&amp;V'!$H8:$H250,'CY Q&amp;V 2004-Now'!AG7,'Base Metals - Q&amp;V'!$E8:$E250)*1000000</f>
        <v>8350650.9999999991</v>
      </c>
      <c r="AI18" s="586">
        <f>SUMIF($C$9:AH$9,1,$C18:AH18)</f>
        <v>421589.27499999997</v>
      </c>
      <c r="AJ18" s="692">
        <f>SUMIF($C$9:AH$9,0,$C18:AH18)</f>
        <v>912641470.63999999</v>
      </c>
      <c r="AK18" s="624"/>
      <c r="AL18" s="571"/>
      <c r="AM18" s="571"/>
      <c r="AN18" s="571"/>
      <c r="AO18" s="571"/>
    </row>
    <row r="19" spans="1:46" s="541" customFormat="1">
      <c r="A19" s="593" t="s">
        <v>334</v>
      </c>
      <c r="B19" s="587" t="s">
        <v>110</v>
      </c>
      <c r="C19" s="586">
        <f>SUMIF('Base Metals - Q&amp;V'!$H8:$H250,'CY Q&amp;V 2004-Now'!C7,'Base Metals - Q&amp;V'!$F8:$F250)*1000</f>
        <v>51783.87</v>
      </c>
      <c r="D19" s="920">
        <f>SUMIF('Base Metals - Q&amp;V'!$H8:$H250,'CY Q&amp;V 2004-Now'!C7,'Base Metals - Q&amp;V'!$G8:$G250)*1000000</f>
        <v>71168342.370000005</v>
      </c>
      <c r="E19" s="586">
        <f>SUMIF('Base Metals - Q&amp;V'!$H8:$H250,'CY Q&amp;V 2004-Now'!E7,'Base Metals - Q&amp;V'!$F8:$F250)*1000</f>
        <v>59104.380000000005</v>
      </c>
      <c r="F19" s="586">
        <f>SUMIF('Base Metals - Q&amp;V'!$H8:$H250,'CY Q&amp;V 2004-Now'!E7,'Base Metals - Q&amp;V'!$G8:$G250)*1000000</f>
        <v>126895319.62</v>
      </c>
      <c r="G19" s="586">
        <f>SUMIF('Base Metals - Q&amp;V'!$H8:$H250,'CY Q&amp;V 2004-Now'!G7,'Base Metals - Q&amp;V'!$F8:$F250)*1000</f>
        <v>109063.391</v>
      </c>
      <c r="H19" s="586">
        <f>SUMIF('Base Metals - Q&amp;V'!$H8:$H250,'CY Q&amp;V 2004-Now'!G7,'Base Metals - Q&amp;V'!$G8:$G250)*1000000</f>
        <v>491080469.87</v>
      </c>
      <c r="I19" s="586">
        <f>SUMIF('Base Metals - Q&amp;V'!$H8:$H250,'CY Q&amp;V 2004-Now'!I7,'Base Metals - Q&amp;V'!$F8:$F250)*1000</f>
        <v>173337.80000000002</v>
      </c>
      <c r="J19" s="586">
        <f>SUMIF('Base Metals - Q&amp;V'!$H8:$H250,'CY Q&amp;V 2004-Now'!I7,'Base Metals - Q&amp;V'!$G8:$G250)*1000000</f>
        <v>482884677.58000004</v>
      </c>
      <c r="K19" s="586">
        <f>SUMIF('Base Metals - Q&amp;V'!$H8:$H250,'CY Q&amp;V 2004-Now'!K7,'Base Metals - Q&amp;V'!$F8:$F250)*1000</f>
        <v>189811.95299999998</v>
      </c>
      <c r="L19" s="586">
        <f>SUMIF('Base Metals - Q&amp;V'!$H8:$H250,'CY Q&amp;V 2004-Now'!K7,'Base Metals - Q&amp;V'!$G8:$G250)*1000000</f>
        <v>293492480.21000004</v>
      </c>
      <c r="M19" s="586">
        <f>SUMIF('Base Metals - Q&amp;V'!$H8:$H250,'CY Q&amp;V 2004-Now'!M7,'Base Metals - Q&amp;V'!$F8:$F250)*1000</f>
        <v>99811.695999999982</v>
      </c>
      <c r="N19" s="586">
        <f>SUMIF('Base Metals - Q&amp;V'!$H8:$H250,'CY Q&amp;V 2004-Now'!M7,'Base Metals - Q&amp;V'!$G8:$G250)*1000000</f>
        <v>215924510.84</v>
      </c>
      <c r="O19" s="586">
        <f>SUMIF('Base Metals - Q&amp;V'!$H8:$H250,'CY Q&amp;V 2004-Now'!O7,'Base Metals - Q&amp;V'!$F8:$F250)*1000</f>
        <v>81515.22</v>
      </c>
      <c r="P19" s="586">
        <f>SUMIF('Base Metals - Q&amp;V'!$H8:$H250,'CY Q&amp;V 2004-Now'!O7,'Base Metals - Q&amp;V'!$G8:$G250)*1000000</f>
        <v>191884134.72000003</v>
      </c>
      <c r="Q19" s="586">
        <f>SUMIF('Base Metals - Q&amp;V'!$H8:$H250,'CY Q&amp;V 2004-Now'!Q7,'Base Metals - Q&amp;V'!$F8:$F250)*1000</f>
        <v>74400.736999999994</v>
      </c>
      <c r="R19" s="586">
        <f>SUMIF('Base Metals - Q&amp;V'!$H8:$H250,'CY Q&amp;V 2004-Now'!Q7,'Base Metals - Q&amp;V'!$G8:$G250)*1000000</f>
        <v>153041130.46000001</v>
      </c>
      <c r="S19" s="586">
        <f>SUMIF('Base Metals - Q&amp;V'!$H8:$H250,'CY Q&amp;V 2004-Now'!S7,'Base Metals - Q&amp;V'!$F8:$F250)*1000</f>
        <v>57112.677000000003</v>
      </c>
      <c r="T19" s="586">
        <f>SUMIF('Base Metals - Q&amp;V'!$H8:$H250,'CY Q&amp;V 2004-Now'!S7,'Base Metals - Q&amp;V'!$G8:$G250)*1000000</f>
        <v>107302473.5</v>
      </c>
      <c r="U19" s="586">
        <f>SUMIF('Base Metals - Q&amp;V'!$H8:$H250,'CY Q&amp;V 2004-Now'!U7,'Base Metals - Q&amp;V'!$F8:$F250)*1000</f>
        <v>47985.599999999999</v>
      </c>
      <c r="V19" s="586">
        <f>SUMIF('Base Metals - Q&amp;V'!$H8:$H250,'CY Q&amp;V 2004-Now'!U7,'Base Metals - Q&amp;V'!$G8:$G250)*1000000</f>
        <v>96281335.519999996</v>
      </c>
      <c r="W19" s="586">
        <f>SUMIF('Base Metals - Q&amp;V'!$H8:$H250,'CY Q&amp;V 2004-Now'!W7,'Base Metals - Q&amp;V'!$F8:$F250)*1000</f>
        <v>72763.53</v>
      </c>
      <c r="X19" s="586">
        <f>SUMIF('Base Metals - Q&amp;V'!$H8:$H250,'CY Q&amp;V 2004-Now'!W7,'Base Metals - Q&amp;V'!$G8:$G250)*1000000</f>
        <v>173001879</v>
      </c>
      <c r="Y19" s="692">
        <v>77178</v>
      </c>
      <c r="Z19" s="692">
        <v>185219379</v>
      </c>
      <c r="AA19" s="692">
        <f>SUMIF('Base Metals - Q&amp;V'!$H8:$H250,'CY Q&amp;V 2004-Now'!AA7,'Base Metals - Q&amp;V'!$F8:$F250)*1000</f>
        <v>94963.54</v>
      </c>
      <c r="AB19" s="1234">
        <f>SUMIF('Base Metals - Q&amp;V'!$H8:$H250,'CY Q&amp;V 2004-Now'!AA7,'Base Metals - Q&amp;V'!$G8:$G250)*1000000</f>
        <v>204523976</v>
      </c>
      <c r="AC19" s="1234">
        <f>SUMIF('Base Metals - Q&amp;V'!$H8:$H250,'CY Q&amp;V 2004-Now'!AC7,'Base Metals - Q&amp;V'!$F8:$F250)*1000</f>
        <v>84653.808000000005</v>
      </c>
      <c r="AD19" s="1234">
        <f>SUMIF('Base Metals - Q&amp;V'!$H8:$H250,'CY Q&amp;V 2004-Now'!AC7,'Base Metals - Q&amp;V'!$G8:$G250)*1000000</f>
        <v>292122965</v>
      </c>
      <c r="AE19" s="1234">
        <f>SUMIF('Base Metals - Q&amp;V'!$H8:$H250,'CY Q&amp;V 2004-Now'!AE7,'Base Metals - Q&amp;V'!$F8:$F250)*1000</f>
        <v>68823.993000000002</v>
      </c>
      <c r="AF19" s="1234">
        <f>SUMIF('Base Metals - Q&amp;V'!$H8:$H250,'CY Q&amp;V 2004-Now'!AE7,'Base Metals - Q&amp;V'!$G8:$G250)*1000000</f>
        <v>256932685</v>
      </c>
      <c r="AG19" s="1234">
        <f>SUMIF('Base Metals - Q&amp;V'!$H8:$H250,'CY Q&amp;V 2004-Now'!AG7,'Base Metals - Q&amp;V'!$F8:$F250)*1000</f>
        <v>76859.00499999999</v>
      </c>
      <c r="AH19" s="1234">
        <f>SUMIF('Base Metals - Q&amp;V'!$H8:$H250,'CY Q&amp;V 2004-Now'!AG7,'Base Metals - Q&amp;V'!$G8:$G250)*1000000</f>
        <v>264655282</v>
      </c>
      <c r="AI19" s="586">
        <f>SUMIF($C$9:AH$9,1,$C19:AH19)</f>
        <v>1419169.1999999997</v>
      </c>
      <c r="AJ19" s="692">
        <f>SUMIF($C$9:AH$9,0,$C19:AH19)</f>
        <v>3606411040.6900001</v>
      </c>
      <c r="AK19" s="624"/>
      <c r="AL19" s="571"/>
      <c r="AM19" s="571"/>
      <c r="AN19" s="571"/>
      <c r="AO19" s="571"/>
      <c r="AR19" s="586"/>
      <c r="AS19" s="586"/>
      <c r="AT19" s="586"/>
    </row>
    <row r="20" spans="1:46" s="541" customFormat="1">
      <c r="A20" s="596" t="s">
        <v>215</v>
      </c>
      <c r="B20" s="587"/>
      <c r="C20" s="590"/>
      <c r="D20" s="920">
        <f>SUM(D17:D19)</f>
        <v>240847334.16</v>
      </c>
      <c r="E20" s="590"/>
      <c r="F20" s="590">
        <f>SUM(F17:F19)</f>
        <v>637876799.33999991</v>
      </c>
      <c r="G20" s="590"/>
      <c r="H20" s="590">
        <f>SUM(H17:H19)</f>
        <v>1483935204.4299998</v>
      </c>
      <c r="I20" s="590"/>
      <c r="J20" s="590">
        <f>SUM(J17:J19)</f>
        <v>1465248942.22</v>
      </c>
      <c r="K20" s="590"/>
      <c r="L20" s="590">
        <f>SUM(L17:L19)</f>
        <v>1154823053.8400002</v>
      </c>
      <c r="M20" s="590"/>
      <c r="N20" s="590">
        <f>SUM(N17:N19)</f>
        <v>1197922585</v>
      </c>
      <c r="O20" s="590"/>
      <c r="P20" s="590">
        <f>SUM(P17:P19)</f>
        <v>1620676983.1199999</v>
      </c>
      <c r="Q20" s="590"/>
      <c r="R20" s="590">
        <f>SUM(R17:R19)</f>
        <v>1367841205.8399999</v>
      </c>
      <c r="S20" s="590"/>
      <c r="T20" s="590">
        <f>SUM(T17:T19)</f>
        <v>1494286999.0700002</v>
      </c>
      <c r="U20" s="590"/>
      <c r="V20" s="590">
        <f>SUM(V17:V19)</f>
        <v>1705102450.02</v>
      </c>
      <c r="W20" s="590"/>
      <c r="X20" s="590">
        <f>SUM(X17:X19)</f>
        <v>1759269954.9999998</v>
      </c>
      <c r="Y20" s="590"/>
      <c r="Z20" s="692">
        <v>1478485585</v>
      </c>
      <c r="AA20" s="692"/>
      <c r="AB20" s="1234">
        <f>SUM(AB17:AB19)</f>
        <v>1405759854</v>
      </c>
      <c r="AC20" s="1234"/>
      <c r="AD20" s="1234">
        <f>SUM(AD17:AD19)</f>
        <v>1566310916</v>
      </c>
      <c r="AE20" s="1234"/>
      <c r="AF20" s="1234">
        <f>SUM(AF17:AF19)</f>
        <v>1623790411</v>
      </c>
      <c r="AG20" s="1234"/>
      <c r="AH20" s="1234">
        <f>SUM(AH17:AH19)</f>
        <v>1661802263.0000002</v>
      </c>
      <c r="AI20" s="586"/>
      <c r="AJ20" s="692">
        <f>SUMIF($C$9:AH$9,0,$C20:AH20)</f>
        <v>21863980541.040001</v>
      </c>
      <c r="AL20" s="571"/>
      <c r="AM20" s="571"/>
      <c r="AN20" s="571"/>
      <c r="AO20" s="571"/>
      <c r="AR20" s="586"/>
      <c r="AS20" s="586"/>
      <c r="AT20" s="586"/>
    </row>
    <row r="21" spans="1:46" s="541" customFormat="1">
      <c r="A21" s="591"/>
      <c r="B21" s="638"/>
      <c r="C21" s="794"/>
      <c r="D21" s="920"/>
      <c r="E21" s="794"/>
      <c r="F21" s="794"/>
      <c r="G21" s="794"/>
      <c r="H21" s="794"/>
      <c r="I21" s="794"/>
      <c r="J21" s="794"/>
      <c r="K21" s="794"/>
      <c r="L21" s="794"/>
      <c r="M21" s="794"/>
      <c r="N21" s="794"/>
      <c r="O21" s="794"/>
      <c r="P21" s="794"/>
      <c r="Q21" s="794"/>
      <c r="R21" s="794"/>
      <c r="S21" s="794"/>
      <c r="T21" s="794"/>
      <c r="U21" s="794"/>
      <c r="V21" s="794"/>
      <c r="W21" s="794"/>
      <c r="X21" s="794"/>
      <c r="Y21" s="794"/>
      <c r="Z21" s="794"/>
      <c r="AA21" s="794"/>
      <c r="AB21" s="1234"/>
      <c r="AC21" s="1234"/>
      <c r="AD21" s="1234"/>
      <c r="AE21" s="1234"/>
      <c r="AF21" s="1234"/>
      <c r="AG21" s="1234"/>
      <c r="AH21" s="1234"/>
      <c r="AI21" s="586"/>
      <c r="AJ21" s="586"/>
      <c r="AL21" s="571"/>
      <c r="AM21" s="571"/>
      <c r="AN21" s="571"/>
      <c r="AO21" s="571"/>
      <c r="AR21" s="595"/>
      <c r="AS21" s="595"/>
      <c r="AT21" s="595"/>
    </row>
    <row r="22" spans="1:46" s="541" customFormat="1">
      <c r="A22" s="577" t="s">
        <v>217</v>
      </c>
      <c r="B22" s="790" t="s">
        <v>110</v>
      </c>
      <c r="C22" s="790">
        <v>102085.4</v>
      </c>
      <c r="D22" s="923">
        <v>38956692</v>
      </c>
      <c r="E22" s="579">
        <v>90259.48</v>
      </c>
      <c r="F22" s="579">
        <v>36482458</v>
      </c>
      <c r="G22" s="579">
        <v>101288</v>
      </c>
      <c r="H22" s="579">
        <v>44417038.469999999</v>
      </c>
      <c r="I22" s="581">
        <v>110729</v>
      </c>
      <c r="J22" s="581">
        <v>71319703.840000004</v>
      </c>
      <c r="K22" s="691">
        <v>87635.33</v>
      </c>
      <c r="L22" s="580" t="s">
        <v>273</v>
      </c>
      <c r="M22" s="691">
        <v>74898.460000000006</v>
      </c>
      <c r="N22" s="580" t="s">
        <v>273</v>
      </c>
      <c r="O22" s="691">
        <v>59033.54</v>
      </c>
      <c r="P22" s="580" t="s">
        <v>273</v>
      </c>
      <c r="Q22" s="691">
        <v>81925.06</v>
      </c>
      <c r="R22" s="580" t="s">
        <v>273</v>
      </c>
      <c r="S22" s="691">
        <v>164219.49</v>
      </c>
      <c r="T22" s="580" t="s">
        <v>273</v>
      </c>
      <c r="U22" s="1005">
        <v>195772.05</v>
      </c>
      <c r="V22" s="580" t="s">
        <v>273</v>
      </c>
      <c r="W22" s="691">
        <v>66540.210000000006</v>
      </c>
      <c r="X22" s="580" t="s">
        <v>273</v>
      </c>
      <c r="Y22" s="687" t="s">
        <v>719</v>
      </c>
      <c r="Z22" s="687" t="s">
        <v>719</v>
      </c>
      <c r="AA22" s="687" t="s">
        <v>719</v>
      </c>
      <c r="AB22" s="1233">
        <v>0</v>
      </c>
      <c r="AC22" s="1233">
        <v>0</v>
      </c>
      <c r="AD22" s="1233">
        <v>0</v>
      </c>
      <c r="AE22" s="1233">
        <v>0</v>
      </c>
      <c r="AF22" s="1233">
        <v>0</v>
      </c>
      <c r="AG22" s="1233">
        <v>0</v>
      </c>
      <c r="AH22" s="1233">
        <v>0</v>
      </c>
      <c r="AI22" s="579">
        <f>SUMIF($C$9:AH$9,1,$C22:AH22)</f>
        <v>1134386.02</v>
      </c>
      <c r="AJ22" s="598">
        <f>SUMIF($C$9:AD$9,0,$C22:AD22)</f>
        <v>191175892.31</v>
      </c>
      <c r="AL22" s="571"/>
      <c r="AM22" s="571"/>
      <c r="AN22" s="571"/>
      <c r="AO22" s="571"/>
      <c r="AR22" s="586"/>
      <c r="AS22" s="586"/>
      <c r="AT22" s="586"/>
    </row>
    <row r="23" spans="1:46" s="541" customFormat="1">
      <c r="A23" s="577"/>
      <c r="B23" s="620"/>
      <c r="C23" s="620"/>
      <c r="D23" s="923"/>
      <c r="E23" s="691"/>
      <c r="F23" s="691"/>
      <c r="G23" s="691"/>
      <c r="H23" s="691"/>
      <c r="I23" s="659"/>
      <c r="J23" s="659"/>
      <c r="K23" s="691"/>
      <c r="L23" s="691"/>
      <c r="M23" s="691"/>
      <c r="N23" s="691"/>
      <c r="O23" s="691"/>
      <c r="P23" s="691"/>
      <c r="Q23" s="691"/>
      <c r="R23" s="691"/>
      <c r="S23" s="691"/>
      <c r="T23" s="691"/>
      <c r="U23" s="691"/>
      <c r="V23" s="691"/>
      <c r="W23" s="691"/>
      <c r="X23" s="691"/>
      <c r="Y23" s="691"/>
      <c r="Z23" s="691"/>
      <c r="AA23" s="691"/>
      <c r="AB23" s="1233"/>
      <c r="AC23" s="1233"/>
      <c r="AD23" s="1233"/>
      <c r="AE23" s="1233"/>
      <c r="AF23" s="1233"/>
      <c r="AG23" s="1233"/>
      <c r="AH23" s="1233"/>
      <c r="AI23" s="579"/>
      <c r="AJ23" s="579"/>
      <c r="AL23" s="571"/>
      <c r="AM23" s="571"/>
      <c r="AN23" s="571"/>
      <c r="AO23" s="571"/>
      <c r="AR23" s="586"/>
      <c r="AS23" s="586"/>
      <c r="AT23" s="586"/>
    </row>
    <row r="24" spans="1:46" s="541" customFormat="1">
      <c r="A24" s="591" t="s">
        <v>218</v>
      </c>
      <c r="B24" s="917"/>
      <c r="C24" s="792">
        <v>90190.98</v>
      </c>
      <c r="D24" s="920">
        <v>1999715</v>
      </c>
      <c r="E24" s="586"/>
      <c r="F24" s="692">
        <v>1421038</v>
      </c>
      <c r="G24" s="586"/>
      <c r="H24" s="586">
        <v>1843547</v>
      </c>
      <c r="I24" s="595">
        <v>0</v>
      </c>
      <c r="J24" s="595">
        <v>1787130</v>
      </c>
      <c r="K24" s="586">
        <v>63696.81</v>
      </c>
      <c r="L24" s="586">
        <v>1225758</v>
      </c>
      <c r="M24" s="586">
        <v>57846.130000000005</v>
      </c>
      <c r="N24" s="586">
        <v>1089071</v>
      </c>
      <c r="O24" s="586">
        <v>67833.58</v>
      </c>
      <c r="P24" s="586">
        <v>1255153</v>
      </c>
      <c r="Q24" s="589">
        <v>63335.62</v>
      </c>
      <c r="R24" s="589">
        <v>1444176.96</v>
      </c>
      <c r="S24" s="586">
        <v>61290.51</v>
      </c>
      <c r="T24" s="586">
        <v>1446577.4</v>
      </c>
      <c r="U24" s="586">
        <v>36416.75</v>
      </c>
      <c r="V24" s="586">
        <v>1163527</v>
      </c>
      <c r="W24" s="586">
        <v>14517.73</v>
      </c>
      <c r="X24" s="586">
        <v>880439</v>
      </c>
      <c r="Y24" s="692">
        <v>20857</v>
      </c>
      <c r="Z24" s="692">
        <v>1087978</v>
      </c>
      <c r="AA24" s="1205">
        <v>17267.93</v>
      </c>
      <c r="AB24" s="1235">
        <v>1040912</v>
      </c>
      <c r="AC24" s="1399">
        <v>20998.510000000002</v>
      </c>
      <c r="AD24" s="1399">
        <v>1430087</v>
      </c>
      <c r="AE24" s="1399">
        <v>18898.59</v>
      </c>
      <c r="AF24" s="1399">
        <v>1425918</v>
      </c>
      <c r="AG24" s="1399">
        <v>19616.55</v>
      </c>
      <c r="AH24" s="1399">
        <v>1944713</v>
      </c>
      <c r="AI24" s="586">
        <f>SUMIF($C$9:AH$9,1,$C24:AH24)</f>
        <v>552766.69000000006</v>
      </c>
      <c r="AJ24" s="586">
        <f>SUMIF($C$9:AH$9,0,$C24:AH24)</f>
        <v>22485740.359999999</v>
      </c>
      <c r="AK24" s="624"/>
      <c r="AL24" s="571"/>
      <c r="AM24" s="571"/>
      <c r="AN24" s="571"/>
      <c r="AO24" s="571"/>
      <c r="AR24" s="586"/>
      <c r="AS24" s="586"/>
      <c r="AT24" s="586"/>
    </row>
    <row r="25" spans="1:46" s="541" customFormat="1">
      <c r="A25" s="599"/>
      <c r="B25" s="638"/>
      <c r="C25" s="430"/>
      <c r="D25" s="920"/>
      <c r="E25" s="586"/>
      <c r="F25" s="586"/>
      <c r="G25" s="586"/>
      <c r="H25" s="586"/>
      <c r="I25" s="592"/>
      <c r="J25" s="592"/>
      <c r="K25" s="586"/>
      <c r="L25" s="586"/>
      <c r="M25" s="586"/>
      <c r="N25" s="586"/>
      <c r="O25" s="586"/>
      <c r="P25" s="586"/>
      <c r="Q25" s="589"/>
      <c r="R25" s="589"/>
      <c r="S25" s="586"/>
      <c r="T25" s="586"/>
      <c r="U25" s="586"/>
      <c r="V25" s="586"/>
      <c r="W25" s="586"/>
      <c r="X25" s="586"/>
      <c r="Y25" s="692"/>
      <c r="Z25" s="692"/>
      <c r="AA25" s="692"/>
      <c r="AB25" s="1234"/>
      <c r="AC25" s="1234"/>
      <c r="AD25" s="1234"/>
      <c r="AE25" s="1234"/>
      <c r="AF25" s="1234"/>
      <c r="AG25" s="1234"/>
      <c r="AH25" s="1234"/>
      <c r="AI25" s="586"/>
      <c r="AJ25" s="586"/>
      <c r="AL25" s="571"/>
      <c r="AM25" s="571"/>
      <c r="AN25" s="571"/>
      <c r="AO25" s="571"/>
      <c r="AR25" s="589"/>
      <c r="AS25" s="589"/>
      <c r="AT25" s="589"/>
    </row>
    <row r="26" spans="1:46" s="541" customFormat="1">
      <c r="A26" s="577" t="s">
        <v>230</v>
      </c>
      <c r="B26" s="580" t="s">
        <v>110</v>
      </c>
      <c r="C26" s="691">
        <f ca="1">SUMIF('Minor Commodities - Q&amp;V'!$N$8:$N$250,'CY Q&amp;V 2004-Now'!C$7,'Minor Commodities - Q&amp;V'!$D$8:$D$242)*1000000</f>
        <v>6301445</v>
      </c>
      <c r="D26" s="921">
        <f ca="1">SUMIF('Minor Commodities - Q&amp;V'!$N$8:$N$250,'CY Q&amp;V 2004-Now'!C$7,'Minor Commodities - Q&amp;V'!$E$8:$E$242)*1000000</f>
        <v>281457719</v>
      </c>
      <c r="E26" s="579">
        <f ca="1">SUMIF('Minor Commodities - Q&amp;V'!$N8:$N250,'CY Q&amp;V 2004-Now'!E7,'Minor Commodities - Q&amp;V'!$D8:$D242)*1000000</f>
        <v>6334484</v>
      </c>
      <c r="F26" s="579">
        <f ca="1">SUMIF('Minor Commodities - Q&amp;V'!$N8:$N250,'CY Q&amp;V 2004-Now'!E7,'Minor Commodities - Q&amp;V'!$E8:$E242)*1000000</f>
        <v>280186535</v>
      </c>
      <c r="G26" s="691">
        <f ca="1">SUMIF('Minor Commodities - Q&amp;V'!$N8:$N250,'CY Q&amp;V 2004-Now'!G7,'Minor Commodities - Q&amp;V'!$D8:$D242)*1000000</f>
        <v>6611423</v>
      </c>
      <c r="H26" s="691">
        <f ca="1">SUMIF('Minor Commodities - Q&amp;V'!$N8:$N250,'CY Q&amp;V 2004-Now'!G7,'Minor Commodities - Q&amp;V'!$E8:$E242)*1000000</f>
        <v>289726141</v>
      </c>
      <c r="I26" s="691">
        <f ca="1">SUMIF('Minor Commodities - Q&amp;V'!$N8:$N250,'CY Q&amp;V 2004-Now'!I7,'Minor Commodities - Q&amp;V'!$D8:$D242)*1000000</f>
        <v>5810092</v>
      </c>
      <c r="J26" s="691">
        <f ca="1">SUMIF('Minor Commodities - Q&amp;V'!$N8:$N250,'CY Q&amp;V 2004-Now'!I7,'Minor Commodities - Q&amp;V'!$E8:$E242)*1000000</f>
        <v>263961627.00000003</v>
      </c>
      <c r="K26" s="691">
        <f ca="1">SUMIF('Minor Commodities - Q&amp;V'!$N8:$N250,'CY Q&amp;V 2004-Now'!K7,'Minor Commodities - Q&amp;V'!$D8:$D242)*1000000</f>
        <v>6731266</v>
      </c>
      <c r="L26" s="691">
        <f ca="1">SUMIF('Minor Commodities - Q&amp;V'!$N8:$N250,'CY Q&amp;V 2004-Now'!K7,'Minor Commodities - Q&amp;V'!$E8:$E242)*1000000</f>
        <v>305499633</v>
      </c>
      <c r="M26" s="691">
        <f ca="1">SUMIF('Minor Commodities - Q&amp;V'!$N8:$N250,'CY Q&amp;V 2004-Now'!M7,'Minor Commodities - Q&amp;V'!$D8:$D242)*1000000</f>
        <v>6558857</v>
      </c>
      <c r="N26" s="691">
        <f ca="1">SUMIF('Minor Commodities - Q&amp;V'!$N8:$N250,'CY Q&amp;V 2004-Now'!M7,'Minor Commodities - Q&amp;V'!$E8:$E242)*1000000</f>
        <v>308156873.99999994</v>
      </c>
      <c r="O26" s="691">
        <f ca="1">SUMIF('Minor Commodities - Q&amp;V'!$N8:$N250,'CY Q&amp;V 2004-Now'!O7,'Minor Commodities - Q&amp;V'!$D8:$D242)*1000000</f>
        <v>6998521</v>
      </c>
      <c r="P26" s="691">
        <f ca="1">SUMIF('Minor Commodities - Q&amp;V'!$N8:$N250,'CY Q&amp;V 2004-Now'!O7,'Minor Commodities - Q&amp;V'!$E8:$E242)*1000000</f>
        <v>318268201</v>
      </c>
      <c r="Q26" s="691">
        <f ca="1">SUMIF('Minor Commodities - Q&amp;V'!$N8:$N250,'CY Q&amp;V 2004-Now'!Q7,'Minor Commodities - Q&amp;V'!$D8:$D242)*1000000</f>
        <v>6981907</v>
      </c>
      <c r="R26" s="691">
        <f ca="1">SUMIF('Minor Commodities - Q&amp;V'!$N8:$N250,'CY Q&amp;V 2004-Now'!Q7,'Minor Commodities - Q&amp;V'!$E8:$E242)*1000000</f>
        <v>283495535</v>
      </c>
      <c r="S26" s="691">
        <f ca="1">SUMIF('Minor Commodities - Q&amp;V'!$N8:$N250,'CY Q&amp;V 2004-Now'!S7,'Minor Commodities - Q&amp;V'!$D8:$D242)*1000000</f>
        <v>7458256</v>
      </c>
      <c r="T26" s="691">
        <f ca="1">SUMIF('Minor Commodities - Q&amp;V'!$N8:$N250,'CY Q&amp;V 2004-Now'!S7,'Minor Commodities - Q&amp;V'!$E8:$E242)*1000000</f>
        <v>315086290</v>
      </c>
      <c r="U26" s="691">
        <f ca="1">SUMIF('Minor Commodities - Q&amp;V'!$N8:$N250,'CY Q&amp;V 2004-Now'!U7,'Minor Commodities - Q&amp;V'!$D8:$D242)*1000000</f>
        <v>7087324.0000000009</v>
      </c>
      <c r="V26" s="691">
        <f ca="1">SUMIF('Minor Commodities - Q&amp;V'!$N8:$N250,'CY Q&amp;V 2004-Now'!U7,'Minor Commodities - Q&amp;V'!$E8:$E242)*1000000</f>
        <v>296605242</v>
      </c>
      <c r="W26" s="691">
        <f ca="1">SUMIF('Minor Commodities - Q&amp;V'!$N8:$N250,'CY Q&amp;V 2004-Now'!W7,'Minor Commodities - Q&amp;V'!$D8:$D242)*1000000</f>
        <v>6211048.2800000003</v>
      </c>
      <c r="X26" s="691">
        <f ca="1">SUMIF('Minor Commodities - Q&amp;V'!$N8:$N250,'CY Q&amp;V 2004-Now'!W7,'Minor Commodities - Q&amp;V'!$E8:$E242)*1000000</f>
        <v>266884210</v>
      </c>
      <c r="Y26" s="691">
        <v>6945779</v>
      </c>
      <c r="Z26" s="691">
        <v>341452392</v>
      </c>
      <c r="AA26" s="691">
        <f ca="1">SUMIF('Minor Commodities - Q&amp;V'!$N8:$N250,'CY Q&amp;V 2004-Now'!AA7,'Minor Commodities - Q&amp;V'!$D8:$D242)*1000000</f>
        <v>6738517.4010000005</v>
      </c>
      <c r="AB26" s="1233">
        <f ca="1">SUMIF('Minor Commodities - Q&amp;V'!$N8:$N250,'CY Q&amp;V 2004-Now'!AA7,'Minor Commodities - Q&amp;V'!$E8:$E242)*1000000</f>
        <v>329402521</v>
      </c>
      <c r="AC26" s="1233">
        <f ca="1">SUMIF('Minor Commodities - Q&amp;V'!$N8:$N250,'CY Q&amp;V 2004-Now'!AC7,'Minor Commodities - Q&amp;V'!$D8:$D242)*1000000</f>
        <v>6814665.1800000006</v>
      </c>
      <c r="AD26" s="1233">
        <f ca="1">SUMIF('Minor Commodities - Q&amp;V'!$N8:$N250,'CY Q&amp;V 2004-Now'!AC7,'Minor Commodities - Q&amp;V'!$E8:$E242)*1000000</f>
        <v>338945631.63</v>
      </c>
      <c r="AE26" s="1233">
        <f ca="1">SUMIF('Minor Commodities - Q&amp;V'!$N8:$N250,'CY Q&amp;V 2004-Now'!AE7,'Minor Commodities - Q&amp;V'!$D8:$D242)*1000000</f>
        <v>6465666.2699999986</v>
      </c>
      <c r="AF26" s="1233">
        <f ca="1">SUMIF('Minor Commodities - Q&amp;V'!$N8:$N250,'CY Q&amp;V 2004-Now'!AE7,'Minor Commodities - Q&amp;V'!$E8:$E242)*1000000</f>
        <v>327376363.99999994</v>
      </c>
      <c r="AG26" s="1233">
        <f ca="1">SUMIF('Minor Commodities - Q&amp;V'!$N8:$N250,'CY Q&amp;V 2004-Now'!AG7,'Minor Commodities - Q&amp;V'!$D8:$D242)*1000000</f>
        <v>6239250.9469999997</v>
      </c>
      <c r="AH26" s="1233">
        <f ca="1">SUMIF('Minor Commodities - Q&amp;V'!$N8:$N250,'CY Q&amp;V 2004-Now'!AG7,'Minor Commodities - Q&amp;V'!$E8:$E242)*1000000</f>
        <v>323369284</v>
      </c>
      <c r="AI26" s="579">
        <f ca="1">SUMIF($C$9:AH$9,1,$C26:AH26)</f>
        <v>106288502.07799999</v>
      </c>
      <c r="AJ26" s="579">
        <f ca="1">SUMIF($C$9:AH$9,0,$C26:AH26)</f>
        <v>4869874199.6300001</v>
      </c>
      <c r="AK26" s="624"/>
      <c r="AL26" s="571"/>
      <c r="AM26" s="571"/>
      <c r="AN26" s="571"/>
      <c r="AO26" s="571"/>
      <c r="AR26" s="586"/>
      <c r="AS26" s="586"/>
      <c r="AT26" s="586"/>
    </row>
    <row r="27" spans="1:46" s="541" customFormat="1">
      <c r="A27" s="577"/>
      <c r="B27" s="578"/>
      <c r="C27" s="578"/>
      <c r="D27" s="923"/>
      <c r="E27" s="579"/>
      <c r="F27" s="579"/>
      <c r="G27" s="579"/>
      <c r="H27" s="579"/>
      <c r="I27" s="581"/>
      <c r="J27" s="581"/>
      <c r="K27" s="579"/>
      <c r="L27" s="579"/>
      <c r="M27" s="579"/>
      <c r="N27" s="579"/>
      <c r="O27" s="579"/>
      <c r="P27" s="579"/>
      <c r="Q27" s="582"/>
      <c r="R27" s="582"/>
      <c r="S27" s="579"/>
      <c r="T27" s="579"/>
      <c r="U27" s="579"/>
      <c r="V27" s="579"/>
      <c r="W27" s="579"/>
      <c r="X27" s="579"/>
      <c r="Y27" s="583"/>
      <c r="Z27" s="691"/>
      <c r="AA27" s="691"/>
      <c r="AB27" s="1233"/>
      <c r="AC27" s="1233"/>
      <c r="AD27" s="1233"/>
      <c r="AE27" s="1233"/>
      <c r="AF27" s="1233"/>
      <c r="AG27" s="1233"/>
      <c r="AH27" s="1233"/>
      <c r="AI27" s="579"/>
      <c r="AJ27" s="579"/>
      <c r="AL27" s="571"/>
      <c r="AM27" s="571"/>
      <c r="AN27" s="571"/>
      <c r="AO27" s="571"/>
      <c r="AR27" s="586"/>
      <c r="AS27" s="586"/>
      <c r="AT27" s="586"/>
    </row>
    <row r="28" spans="1:46" s="541" customFormat="1">
      <c r="A28" s="591" t="s">
        <v>231</v>
      </c>
      <c r="B28" s="638"/>
      <c r="C28" s="430"/>
      <c r="D28" s="920"/>
      <c r="E28" s="586"/>
      <c r="F28" s="586"/>
      <c r="G28" s="586"/>
      <c r="H28" s="586"/>
      <c r="I28" s="592"/>
      <c r="J28" s="592"/>
      <c r="K28" s="586"/>
      <c r="L28" s="586"/>
      <c r="M28" s="586"/>
      <c r="N28" s="586"/>
      <c r="O28" s="586"/>
      <c r="P28" s="586"/>
      <c r="Q28" s="589"/>
      <c r="R28" s="589"/>
      <c r="S28" s="586"/>
      <c r="T28" s="586"/>
      <c r="U28" s="586"/>
      <c r="V28" s="586"/>
      <c r="W28" s="586"/>
      <c r="X28" s="586"/>
      <c r="Y28" s="590"/>
      <c r="Z28" s="692"/>
      <c r="AA28" s="692"/>
      <c r="AB28" s="1234"/>
      <c r="AC28" s="1234"/>
      <c r="AD28" s="1234"/>
      <c r="AE28" s="1234"/>
      <c r="AF28" s="1234"/>
      <c r="AG28" s="1234"/>
      <c r="AH28" s="1234"/>
      <c r="AI28" s="586"/>
      <c r="AJ28" s="586"/>
      <c r="AL28" s="571"/>
      <c r="AM28" s="571"/>
      <c r="AN28" s="571"/>
      <c r="AO28" s="571"/>
      <c r="AR28" s="586"/>
      <c r="AS28" s="586"/>
      <c r="AT28" s="586"/>
    </row>
    <row r="29" spans="1:46" s="541" customFormat="1">
      <c r="A29" s="593" t="s">
        <v>335</v>
      </c>
      <c r="B29" s="788" t="s">
        <v>110</v>
      </c>
      <c r="C29" s="788">
        <v>438919.92</v>
      </c>
      <c r="D29" s="894">
        <v>3721753</v>
      </c>
      <c r="E29" s="692">
        <v>847864.56</v>
      </c>
      <c r="F29" s="692">
        <v>11198184</v>
      </c>
      <c r="G29" s="586">
        <v>1343612</v>
      </c>
      <c r="H29" s="586">
        <v>34323278</v>
      </c>
      <c r="I29" s="595">
        <v>1526310.94</v>
      </c>
      <c r="J29" s="595">
        <v>38398371</v>
      </c>
      <c r="K29" s="586">
        <v>2619510.9500000002</v>
      </c>
      <c r="L29" s="586">
        <v>65067523</v>
      </c>
      <c r="M29" s="586">
        <v>3067021.98</v>
      </c>
      <c r="N29" s="586">
        <v>82023027.300000012</v>
      </c>
      <c r="O29" s="586">
        <v>2367976.85</v>
      </c>
      <c r="P29" s="586">
        <v>57783933.350000001</v>
      </c>
      <c r="Q29" s="589">
        <v>2662483.5300000003</v>
      </c>
      <c r="R29" s="589">
        <v>61840425.085480474</v>
      </c>
      <c r="S29" s="586">
        <v>3996233.29</v>
      </c>
      <c r="T29" s="586">
        <v>128795715.78</v>
      </c>
      <c r="U29" s="586">
        <v>5527502.2000000002</v>
      </c>
      <c r="V29" s="586">
        <v>199427189.60000002</v>
      </c>
      <c r="W29" s="586">
        <v>3151108.2450000001</v>
      </c>
      <c r="X29" s="586">
        <v>80527992</v>
      </c>
      <c r="Y29" s="692">
        <v>1768041.17</v>
      </c>
      <c r="Z29" s="692">
        <v>61593971.568251476</v>
      </c>
      <c r="AA29" s="1205">
        <v>1026353.6639999998</v>
      </c>
      <c r="AB29" s="1235">
        <v>32980995.699999999</v>
      </c>
      <c r="AC29" s="1399">
        <v>1075560.2659999998</v>
      </c>
      <c r="AD29" s="1400">
        <v>32058884.600000001</v>
      </c>
      <c r="AE29" s="1400">
        <v>1449719.564</v>
      </c>
      <c r="AF29" s="1400">
        <v>45326644.450499997</v>
      </c>
      <c r="AG29" s="1400">
        <v>1992441.3299999998</v>
      </c>
      <c r="AH29" s="1400">
        <v>60859880.158939555</v>
      </c>
      <c r="AI29" s="586">
        <f>SUMIF($C$9:AH$9,1,$C29:AH29)</f>
        <v>34860660.458999999</v>
      </c>
      <c r="AJ29" s="586">
        <f>SUMIF($C$9:AH$9,0,$C29:AH29)</f>
        <v>995927768.59317172</v>
      </c>
      <c r="AK29" s="624"/>
      <c r="AL29" s="571"/>
      <c r="AM29" s="571"/>
      <c r="AN29" s="571"/>
      <c r="AO29" s="571"/>
      <c r="AR29" s="590"/>
      <c r="AS29" s="590"/>
      <c r="AT29" s="590"/>
    </row>
    <row r="30" spans="1:46" s="541" customFormat="1">
      <c r="A30" s="593" t="s">
        <v>336</v>
      </c>
      <c r="B30" s="788" t="s">
        <v>110</v>
      </c>
      <c r="C30" s="788">
        <v>204635.72</v>
      </c>
      <c r="D30" s="894">
        <v>850481</v>
      </c>
      <c r="E30" s="692">
        <v>125718.55</v>
      </c>
      <c r="F30" s="692">
        <v>897176</v>
      </c>
      <c r="G30" s="586">
        <v>134269</v>
      </c>
      <c r="H30" s="586">
        <v>865579</v>
      </c>
      <c r="I30" s="595">
        <v>202620.14</v>
      </c>
      <c r="J30" s="595">
        <v>1499391.5</v>
      </c>
      <c r="K30" s="586">
        <v>145591.63999999998</v>
      </c>
      <c r="L30" s="586">
        <v>1321716.5</v>
      </c>
      <c r="M30" s="586">
        <v>188799.99</v>
      </c>
      <c r="N30" s="586">
        <v>1612635.5</v>
      </c>
      <c r="O30" s="586">
        <v>124505.59</v>
      </c>
      <c r="P30" s="586">
        <v>1021717.1</v>
      </c>
      <c r="Q30" s="589">
        <v>265338.94</v>
      </c>
      <c r="R30" s="589">
        <v>2360577.75</v>
      </c>
      <c r="S30" s="586">
        <v>448457.62000000005</v>
      </c>
      <c r="T30" s="586">
        <v>3317758.3</v>
      </c>
      <c r="U30" s="586">
        <v>395241.66500000004</v>
      </c>
      <c r="V30" s="586">
        <v>7852434.2999999989</v>
      </c>
      <c r="W30" s="586">
        <v>172044.22</v>
      </c>
      <c r="X30" s="586">
        <v>1003315</v>
      </c>
      <c r="Y30" s="692">
        <v>112572.62999999999</v>
      </c>
      <c r="Z30" s="692">
        <v>714365.31499999994</v>
      </c>
      <c r="AA30" s="1205">
        <v>196879.91</v>
      </c>
      <c r="AB30" s="1235">
        <v>1115514.5825</v>
      </c>
      <c r="AC30" s="1399">
        <v>286813.37</v>
      </c>
      <c r="AD30" s="1400">
        <v>1875053.0049999999</v>
      </c>
      <c r="AE30" s="1400">
        <v>134007.35</v>
      </c>
      <c r="AF30" s="1400">
        <v>1644366.3424</v>
      </c>
      <c r="AG30" s="1400">
        <v>159023.08999999997</v>
      </c>
      <c r="AH30" s="1400">
        <v>2116682.7993763783</v>
      </c>
      <c r="AI30" s="692">
        <f>SUMIF($C$9:AH$9,1,$C30:AH30)</f>
        <v>3296519.4250000007</v>
      </c>
      <c r="AJ30" s="692">
        <f>SUMIF($C$9:AH$9,0,$C30:AH30)</f>
        <v>30068763.994276375</v>
      </c>
      <c r="AK30" s="624"/>
      <c r="AL30" s="571"/>
      <c r="AM30" s="571"/>
      <c r="AN30" s="571"/>
      <c r="AO30" s="571"/>
      <c r="AR30" s="42"/>
      <c r="AS30" s="42"/>
      <c r="AT30" s="42"/>
    </row>
    <row r="31" spans="1:46" s="541" customFormat="1">
      <c r="A31" s="593" t="s">
        <v>337</v>
      </c>
      <c r="B31" s="788" t="s">
        <v>110</v>
      </c>
      <c r="C31" s="788">
        <v>329811.94</v>
      </c>
      <c r="D31" s="894">
        <v>1839366</v>
      </c>
      <c r="E31" s="692">
        <v>433744.37</v>
      </c>
      <c r="F31" s="692">
        <v>3558885</v>
      </c>
      <c r="G31" s="586">
        <v>525548</v>
      </c>
      <c r="H31" s="586">
        <v>4940420</v>
      </c>
      <c r="I31" s="595">
        <v>785965.24</v>
      </c>
      <c r="J31" s="595">
        <v>12530094</v>
      </c>
      <c r="K31" s="586">
        <v>1229299.4500000002</v>
      </c>
      <c r="L31" s="586">
        <v>19925191</v>
      </c>
      <c r="M31" s="586">
        <v>1136843.9099999999</v>
      </c>
      <c r="N31" s="586">
        <v>16099075</v>
      </c>
      <c r="O31" s="586">
        <v>449223.78</v>
      </c>
      <c r="P31" s="586">
        <v>7668172</v>
      </c>
      <c r="Q31" s="589">
        <v>303452.32</v>
      </c>
      <c r="R31" s="589">
        <v>2917833.25</v>
      </c>
      <c r="S31" s="586">
        <v>1019203.45</v>
      </c>
      <c r="T31" s="586">
        <v>22663022.960000001</v>
      </c>
      <c r="U31" s="586">
        <v>1223152.08</v>
      </c>
      <c r="V31" s="586">
        <v>20701085.800000001</v>
      </c>
      <c r="W31" s="586">
        <v>1501417.27</v>
      </c>
      <c r="X31" s="586">
        <v>40520470</v>
      </c>
      <c r="Y31" s="692">
        <v>739520.34</v>
      </c>
      <c r="Z31" s="692">
        <v>16782780.515000001</v>
      </c>
      <c r="AA31" s="1205">
        <v>259782.64</v>
      </c>
      <c r="AB31" s="1235">
        <v>3387974</v>
      </c>
      <c r="AC31" s="1399">
        <v>443525.77</v>
      </c>
      <c r="AD31" s="1400">
        <v>6970284.2000000002</v>
      </c>
      <c r="AE31" s="1400">
        <v>210560.61</v>
      </c>
      <c r="AF31" s="1400">
        <v>3606588.5500000003</v>
      </c>
      <c r="AG31" s="1400">
        <v>300377.33</v>
      </c>
      <c r="AH31" s="1400">
        <v>3145018.4337779004</v>
      </c>
      <c r="AI31" s="692">
        <f>SUMIF($C$9:AH$9,1,$C31:AH31)</f>
        <v>10891428.5</v>
      </c>
      <c r="AJ31" s="692">
        <f>SUMIF($C$9:AH$9,0,$C31:AH31)</f>
        <v>187256260.70877787</v>
      </c>
      <c r="AK31" s="624"/>
      <c r="AL31" s="571"/>
      <c r="AM31" s="571"/>
      <c r="AN31" s="571"/>
      <c r="AO31" s="571"/>
      <c r="AR31" s="42"/>
      <c r="AS31" s="42"/>
      <c r="AT31" s="42"/>
    </row>
    <row r="32" spans="1:46" s="541" customFormat="1">
      <c r="A32" s="593" t="s">
        <v>338</v>
      </c>
      <c r="B32" s="788" t="s">
        <v>110</v>
      </c>
      <c r="C32" s="788">
        <v>2627705.5</v>
      </c>
      <c r="D32" s="894">
        <v>13231776.119999999</v>
      </c>
      <c r="E32" s="692">
        <v>3135474.1</v>
      </c>
      <c r="F32" s="692">
        <v>17517077.399999999</v>
      </c>
      <c r="G32" s="586">
        <v>3932959</v>
      </c>
      <c r="H32" s="586">
        <v>24019139</v>
      </c>
      <c r="I32" s="595">
        <v>4103626.72</v>
      </c>
      <c r="J32" s="595">
        <v>21867179.049999997</v>
      </c>
      <c r="K32" s="586">
        <v>3362306.3699999987</v>
      </c>
      <c r="L32" s="586">
        <v>25160242.099999998</v>
      </c>
      <c r="M32" s="586">
        <v>3872160.2800000003</v>
      </c>
      <c r="N32" s="586">
        <v>29499489.211281963</v>
      </c>
      <c r="O32" s="586">
        <v>3818957.6699999985</v>
      </c>
      <c r="P32" s="586">
        <v>29911942.450000003</v>
      </c>
      <c r="Q32" s="589">
        <v>5731340.4500000011</v>
      </c>
      <c r="R32" s="589">
        <v>45345204.100000001</v>
      </c>
      <c r="S32" s="586">
        <v>5889916.6280000014</v>
      </c>
      <c r="T32" s="586">
        <v>58176758.129999988</v>
      </c>
      <c r="U32" s="586">
        <v>6116612.7399999984</v>
      </c>
      <c r="V32" s="586">
        <v>80210842.019999996</v>
      </c>
      <c r="W32" s="586">
        <v>7136461.1120000016</v>
      </c>
      <c r="X32" s="586">
        <v>55107735</v>
      </c>
      <c r="Y32" s="692">
        <v>4446375.1189999999</v>
      </c>
      <c r="Z32" s="692">
        <v>41204751.375</v>
      </c>
      <c r="AA32" s="1205">
        <v>2515268.9880000008</v>
      </c>
      <c r="AB32" s="1235">
        <v>25244859.677999996</v>
      </c>
      <c r="AC32" s="1399">
        <v>2898466.7939999993</v>
      </c>
      <c r="AD32" s="1400">
        <v>25021133.743999999</v>
      </c>
      <c r="AE32" s="1400">
        <v>3600175.1149999998</v>
      </c>
      <c r="AF32" s="1400">
        <v>28671842.866500001</v>
      </c>
      <c r="AG32" s="1400">
        <v>2086893.6599999997</v>
      </c>
      <c r="AH32" s="1400">
        <v>29565869.215051804</v>
      </c>
      <c r="AI32" s="692">
        <f>SUMIF($C$9:AH$9,1,$C32:AH32)</f>
        <v>65274700.245999992</v>
      </c>
      <c r="AJ32" s="692">
        <f>SUMIF($C$9:AH$9,0,$C32:AH32)</f>
        <v>549755841.45983374</v>
      </c>
      <c r="AK32" s="624"/>
      <c r="AL32" s="571"/>
      <c r="AM32" s="571"/>
      <c r="AN32" s="571"/>
      <c r="AO32" s="571"/>
      <c r="AR32" s="42"/>
      <c r="AS32" s="42"/>
      <c r="AT32" s="42"/>
    </row>
    <row r="33" spans="1:46" s="541" customFormat="1">
      <c r="A33" s="593" t="s">
        <v>45</v>
      </c>
      <c r="B33" s="594"/>
      <c r="C33" s="594"/>
      <c r="D33" s="894">
        <v>521019</v>
      </c>
      <c r="E33" s="692"/>
      <c r="F33" s="692"/>
      <c r="G33" s="692"/>
      <c r="H33" s="692"/>
      <c r="I33" s="670"/>
      <c r="J33" s="670"/>
      <c r="K33" s="692"/>
      <c r="L33" s="692"/>
      <c r="M33" s="692"/>
      <c r="N33" s="692"/>
      <c r="O33" s="692"/>
      <c r="P33" s="692"/>
      <c r="Q33" s="692"/>
      <c r="R33" s="692"/>
      <c r="S33" s="692"/>
      <c r="T33" s="692"/>
      <c r="U33" s="692"/>
      <c r="V33" s="692"/>
      <c r="W33" s="692"/>
      <c r="X33" s="692"/>
      <c r="Y33" s="692">
        <v>0</v>
      </c>
      <c r="Z33" s="692">
        <v>0</v>
      </c>
      <c r="AA33" s="1204">
        <v>0</v>
      </c>
      <c r="AB33" s="1235">
        <v>0</v>
      </c>
      <c r="AC33" s="1400">
        <v>0</v>
      </c>
      <c r="AD33" s="1400">
        <v>0</v>
      </c>
      <c r="AE33" s="1400">
        <v>0</v>
      </c>
      <c r="AF33" s="1537" t="s">
        <v>719</v>
      </c>
      <c r="AG33" s="1537">
        <v>0</v>
      </c>
      <c r="AH33" s="1537" t="s">
        <v>719</v>
      </c>
      <c r="AI33" s="692"/>
      <c r="AJ33" s="692">
        <f>SUMIF($C$9:AH$9,0,$C33:AH33)</f>
        <v>521019</v>
      </c>
      <c r="AK33" s="624"/>
      <c r="AL33" s="571"/>
      <c r="AM33" s="571"/>
      <c r="AN33" s="571"/>
      <c r="AO33" s="571"/>
      <c r="AR33" s="42"/>
      <c r="AS33" s="42"/>
      <c r="AT33" s="42"/>
    </row>
    <row r="34" spans="1:46" s="541" customFormat="1">
      <c r="A34" s="596" t="s">
        <v>233</v>
      </c>
      <c r="B34" s="638"/>
      <c r="C34" s="430"/>
      <c r="D34" s="920">
        <v>20164395</v>
      </c>
      <c r="E34" s="586"/>
      <c r="F34" s="586">
        <f>SUM(F29:F33)</f>
        <v>33171322.399999999</v>
      </c>
      <c r="G34" s="586"/>
      <c r="H34" s="586">
        <v>64148416</v>
      </c>
      <c r="I34" s="595"/>
      <c r="J34" s="595">
        <v>74295035.549999997</v>
      </c>
      <c r="K34" s="586"/>
      <c r="L34" s="586">
        <v>111474672.59999999</v>
      </c>
      <c r="M34" s="586"/>
      <c r="N34" s="586">
        <v>129234227.01128197</v>
      </c>
      <c r="O34" s="586"/>
      <c r="P34" s="586">
        <v>96385764.900000006</v>
      </c>
      <c r="Q34" s="589"/>
      <c r="R34" s="589">
        <v>112464040.18548048</v>
      </c>
      <c r="S34" s="586"/>
      <c r="T34" s="586">
        <v>212953255.16999999</v>
      </c>
      <c r="U34" s="586"/>
      <c r="V34" s="586">
        <v>308191551.72000003</v>
      </c>
      <c r="W34" s="586"/>
      <c r="X34" s="586">
        <v>177159512</v>
      </c>
      <c r="Y34" s="692"/>
      <c r="Z34" s="692">
        <v>120295868.77325147</v>
      </c>
      <c r="AA34" s="1205"/>
      <c r="AB34" s="1235">
        <v>62729343.960500002</v>
      </c>
      <c r="AC34" s="1399"/>
      <c r="AD34" s="1400">
        <v>65925355.549000002</v>
      </c>
      <c r="AE34" s="1400"/>
      <c r="AF34" s="1400">
        <v>79249442.209399998</v>
      </c>
      <c r="AG34" s="1400"/>
      <c r="AH34" s="1400">
        <f>SUM(AH29:AH32)</f>
        <v>95687450.607145637</v>
      </c>
      <c r="AI34" s="586"/>
      <c r="AJ34" s="692">
        <f>SUMIF($C$9:AH$9,0,$C34:AH34)</f>
        <v>1763529653.6360593</v>
      </c>
      <c r="AL34" s="571"/>
      <c r="AM34" s="571"/>
      <c r="AN34" s="571"/>
      <c r="AO34" s="571"/>
      <c r="AR34" s="42"/>
      <c r="AS34" s="42"/>
      <c r="AT34" s="42"/>
    </row>
    <row r="35" spans="1:46" s="541" customFormat="1">
      <c r="A35" s="596"/>
      <c r="B35" s="638"/>
      <c r="C35" s="430"/>
      <c r="D35" s="920"/>
      <c r="E35" s="586"/>
      <c r="F35" s="586"/>
      <c r="G35" s="586"/>
      <c r="H35" s="586"/>
      <c r="I35" s="592"/>
      <c r="J35" s="592"/>
      <c r="K35" s="586"/>
      <c r="L35" s="586"/>
      <c r="M35" s="586"/>
      <c r="N35" s="586"/>
      <c r="O35" s="586"/>
      <c r="P35" s="586"/>
      <c r="Q35" s="589"/>
      <c r="R35" s="589"/>
      <c r="S35" s="586"/>
      <c r="T35" s="586"/>
      <c r="U35" s="586"/>
      <c r="V35" s="586"/>
      <c r="W35" s="586"/>
      <c r="X35" s="586"/>
      <c r="Y35" s="590"/>
      <c r="Z35" s="692"/>
      <c r="AA35" s="692"/>
      <c r="AB35" s="1234"/>
      <c r="AC35" s="1234"/>
      <c r="AD35" s="1234"/>
      <c r="AE35" s="1234"/>
      <c r="AF35" s="1234"/>
      <c r="AG35" s="1234"/>
      <c r="AH35" s="1234"/>
      <c r="AI35" s="586"/>
      <c r="AJ35" s="586"/>
      <c r="AL35" s="571"/>
      <c r="AM35" s="571"/>
      <c r="AN35" s="571"/>
      <c r="AO35" s="571"/>
      <c r="AR35" s="42"/>
      <c r="AS35" s="42"/>
      <c r="AT35" s="42"/>
    </row>
    <row r="36" spans="1:46" s="541" customFormat="1">
      <c r="A36" s="577" t="s">
        <v>234</v>
      </c>
      <c r="B36" s="580" t="s">
        <v>235</v>
      </c>
      <c r="C36" s="691">
        <f ca="1">SUMIF('Minor Commodities - Q&amp;V'!$N17:$N259,'CY Q&amp;V 2004-Now'!C$7,'Minor Commodities - Q&amp;V'!$H17:$H251)*1000000</f>
        <v>24225123</v>
      </c>
      <c r="D36" s="921">
        <f ca="1">SUMIF('Minor Commodities - Q&amp;V'!$N17:$N259,'CY Q&amp;V 2004-Now'!C$7,'Minor Commodities - Q&amp;V'!$I17:$I251)*1000000</f>
        <v>420744555</v>
      </c>
      <c r="E36" s="691">
        <f ca="1">SUMIF('Minor Commodities - Q&amp;V'!$N17:$N259,'CY Q&amp;V 2004-Now'!E$7,'Minor Commodities - Q&amp;V'!$H17:$H251)*1000000</f>
        <v>34306878.999999993</v>
      </c>
      <c r="F36" s="691">
        <f ca="1">SUMIF('Minor Commodities - Q&amp;V'!$N17:$N259,'CY Q&amp;V 2004-Now'!E$7,'Minor Commodities - Q&amp;V'!$I17:$I251)*1000000</f>
        <v>740148613</v>
      </c>
      <c r="G36" s="691">
        <f ca="1">SUMIF('Minor Commodities - Q&amp;V'!$N17:$N259,'CY Q&amp;V 2004-Now'!G$7,'Minor Commodities - Q&amp;V'!$H17:$H251)*1000000</f>
        <v>17070388</v>
      </c>
      <c r="H36" s="691">
        <f ca="1">SUMIF('Minor Commodities - Q&amp;V'!$N17:$N259,'CY Q&amp;V 2004-Now'!G$7,'Minor Commodities - Q&amp;V'!$I17:$I251)*1000000</f>
        <v>462457560.99999994</v>
      </c>
      <c r="I36" s="691">
        <f ca="1">SUMIF('Minor Commodities - Q&amp;V'!$N17:$N259,'CY Q&amp;V 2004-Now'!I$7,'Minor Commodities - Q&amp;V'!$H17:$H251)*1000000</f>
        <v>23536777</v>
      </c>
      <c r="J36" s="691">
        <f ca="1">SUMIF('Minor Commodities - Q&amp;V'!$N17:$N259,'CY Q&amp;V 2004-Now'!I$7,'Minor Commodities - Q&amp;V'!$I17:$I251)*1000000</f>
        <v>560730419.00000012</v>
      </c>
      <c r="K36" s="691">
        <f ca="1">SUMIF('Minor Commodities - Q&amp;V'!$N17:$N259,'CY Q&amp;V 2004-Now'!K$7,'Minor Commodities - Q&amp;V'!$H17:$H251)*1000000</f>
        <v>35240545</v>
      </c>
      <c r="L36" s="691">
        <f ca="1">SUMIF('Minor Commodities - Q&amp;V'!$N17:$N259,'CY Q&amp;V 2004-Now'!K$7,'Minor Commodities - Q&amp;V'!$I17:$I251)*1000000</f>
        <v>502741709</v>
      </c>
      <c r="M36" s="691">
        <f ca="1">SUMIF('Minor Commodities - Q&amp;V'!$N17:$N259,'CY Q&amp;V 2004-Now'!M$7,'Minor Commodities - Q&amp;V'!$H17:$H251)*1000000</f>
        <v>11899603</v>
      </c>
      <c r="N36" s="691">
        <f ca="1">SUMIF('Minor Commodities - Q&amp;V'!$N17:$N259,'CY Q&amp;V 2004-Now'!M$7,'Minor Commodities - Q&amp;V'!$I17:$I251)*1000000</f>
        <v>231502138</v>
      </c>
      <c r="O36" s="691">
        <f ca="1">SUMIF('Minor Commodities - Q&amp;V'!$N17:$N259,'CY Q&amp;V 2004-Now'!O$7,'Minor Commodities - Q&amp;V'!$H17:$H251)*1000000</f>
        <v>14416656</v>
      </c>
      <c r="P36" s="691">
        <f ca="1">SUMIF('Minor Commodities - Q&amp;V'!$N17:$N259,'CY Q&amp;V 2004-Now'!O$7,'Minor Commodities - Q&amp;V'!$I17:$I251)*1000000</f>
        <v>345543720.99999994</v>
      </c>
      <c r="Q36" s="691">
        <f ca="1">SUMIF('Minor Commodities - Q&amp;V'!$N17:$N259,'CY Q&amp;V 2004-Now'!Q$7,'Minor Commodities - Q&amp;V'!$H17:$H251)*1000000</f>
        <v>7634725</v>
      </c>
      <c r="R36" s="691">
        <f ca="1">SUMIF('Minor Commodities - Q&amp;V'!$N17:$N259,'CY Q&amp;V 2004-Now'!Q$7,'Minor Commodities - Q&amp;V'!$I17:$I251)*1000000</f>
        <v>291177856</v>
      </c>
      <c r="S36" s="691">
        <f ca="1">SUMIF('Minor Commodities - Q&amp;V'!$N17:$N259,'CY Q&amp;V 2004-Now'!S$7,'Minor Commodities - Q&amp;V'!$H17:$H251)*1000000</f>
        <v>9878125</v>
      </c>
      <c r="T36" s="691">
        <f ca="1">SUMIF('Minor Commodities - Q&amp;V'!$N17:$N259,'CY Q&amp;V 2004-Now'!S$7,'Minor Commodities - Q&amp;V'!$I17:$I251)*1000000</f>
        <v>350402676.00000006</v>
      </c>
      <c r="U36" s="691">
        <f ca="1">SUMIF('Minor Commodities - Q&amp;V'!$N17:$N259,'CY Q&amp;V 2004-Now'!U$7,'Minor Commodities - Q&amp;V'!$H17:$H251)*1000000</f>
        <v>10694365.999999998</v>
      </c>
      <c r="V36" s="691">
        <f ca="1">SUMIF('Minor Commodities - Q&amp;V'!$N17:$N259,'CY Q&amp;V 2004-Now'!U$7,'Minor Commodities - Q&amp;V'!$I17:$I251)*1000000</f>
        <v>389095743</v>
      </c>
      <c r="W36" s="691">
        <v>10629381.779999999</v>
      </c>
      <c r="X36" s="691">
        <v>370620755</v>
      </c>
      <c r="Y36" s="691">
        <v>12643318</v>
      </c>
      <c r="Z36" s="691">
        <f ca="1">SUMIF('Minor Commodities - Q&amp;V'!$N17:$N259,'CY Q&amp;V 2004-Now'!Y$7,'Minor Commodities - Q&amp;V'!$I17:$I251)*1000000</f>
        <v>350487381</v>
      </c>
      <c r="AA36" s="691">
        <f ca="1">SUMIF('Minor Commodities - Q&amp;V'!$N17:$N259,'CY Q&amp;V 2004-Now'!AA$7,'Minor Commodities - Q&amp;V'!$H17:$H251)*1000000</f>
        <v>9996252.0300000012</v>
      </c>
      <c r="AB36" s="1233">
        <f ca="1">SUMIF('Minor Commodities - Q&amp;V'!$N17:$N259,'CY Q&amp;V 2004-Now'!AA$7,'Minor Commodities - Q&amp;V'!$I17:$I251)*1000000</f>
        <v>277059195.00000006</v>
      </c>
      <c r="AC36" s="691">
        <f ca="1">SUMIF('Minor Commodities - Q&amp;V'!$N17:$N259,'CY Q&amp;V 2004-Now'!AC$7,'Minor Commodities - Q&amp;V'!$H17:$H251)*1000000</f>
        <v>15477909.889999999</v>
      </c>
      <c r="AD36" s="1233">
        <f ca="1">SUMIF('Minor Commodities - Q&amp;V'!$N17:$N259,'CY Q&amp;V 2004-Now'!AC$7,'Minor Commodities - Q&amp;V'!$I17:$I251)*1000000</f>
        <v>267062677</v>
      </c>
      <c r="AE36" s="691">
        <f ca="1">SUMIF('Minor Commodities - Q&amp;V'!$N17:$N259,'CY Q&amp;V 2004-Now'!AE$7,'Minor Commodities - Q&amp;V'!$H17:$H251)*1000000</f>
        <v>15977354.379999999</v>
      </c>
      <c r="AF36" s="1233">
        <f ca="1">SUMIF('Minor Commodities - Q&amp;V'!$N17:$N259,'CY Q&amp;V 2004-Now'!AE$7,'Minor Commodities - Q&amp;V'!$I17:$I251)*1000000</f>
        <v>258785252</v>
      </c>
      <c r="AG36" s="1233">
        <f ca="1">SUMIF('Minor Commodities - Q&amp;V'!$N17:$N259,'CY Q&amp;V 2004-Now'!AG$7,'Minor Commodities - Q&amp;V'!$H17:$H251)*1000000</f>
        <v>15763761.609999999</v>
      </c>
      <c r="AH36" s="1233">
        <f ca="1">SUMIF('Minor Commodities - Q&amp;V'!$N17:$N259,'CY Q&amp;V 2004-Now'!AG$7,'Minor Commodities - Q&amp;V'!$I17:$I251)*1000000</f>
        <v>251020052.99999997</v>
      </c>
      <c r="AI36" s="579">
        <f ca="1">SUMIF($C$9:AH$9,1,$C36:AH36)</f>
        <v>269391164.69</v>
      </c>
      <c r="AJ36" s="579">
        <f ca="1">SUMIF($C$9:AH$9,0,$C36:AH36)</f>
        <v>6069580304</v>
      </c>
      <c r="AK36" s="624"/>
      <c r="AL36" s="571"/>
      <c r="AM36" s="571"/>
      <c r="AN36" s="571"/>
      <c r="AO36" s="571"/>
      <c r="AR36" s="42"/>
      <c r="AS36" s="42"/>
      <c r="AT36" s="42"/>
    </row>
    <row r="37" spans="1:46" s="541" customFormat="1">
      <c r="A37" s="602"/>
      <c r="B37" s="601"/>
      <c r="C37" s="603"/>
      <c r="D37" s="921"/>
      <c r="E37" s="579"/>
      <c r="F37" s="579"/>
      <c r="G37" s="579"/>
      <c r="H37" s="579"/>
      <c r="I37" s="581"/>
      <c r="J37" s="581"/>
      <c r="K37" s="579"/>
      <c r="L37" s="579"/>
      <c r="M37" s="579"/>
      <c r="N37" s="579"/>
      <c r="O37" s="579"/>
      <c r="P37" s="579"/>
      <c r="Q37" s="582"/>
      <c r="R37" s="582"/>
      <c r="S37" s="579"/>
      <c r="T37" s="579"/>
      <c r="U37" s="579"/>
      <c r="V37" s="579"/>
      <c r="W37" s="579"/>
      <c r="X37" s="579"/>
      <c r="Y37" s="691"/>
      <c r="Z37" s="691"/>
      <c r="AA37" s="691"/>
      <c r="AB37" s="1233"/>
      <c r="AC37" s="1233"/>
      <c r="AD37" s="1233"/>
      <c r="AE37" s="1233"/>
      <c r="AF37" s="1233"/>
      <c r="AG37" s="1233"/>
      <c r="AH37" s="1233"/>
      <c r="AI37" s="579"/>
      <c r="AJ37" s="579"/>
      <c r="AL37" s="571"/>
      <c r="AM37" s="571"/>
      <c r="AN37" s="571"/>
      <c r="AO37" s="571"/>
      <c r="AR37" s="42"/>
      <c r="AS37" s="42"/>
      <c r="AT37" s="42"/>
    </row>
    <row r="38" spans="1:46" s="541" customFormat="1">
      <c r="A38" s="591" t="s">
        <v>237</v>
      </c>
      <c r="B38" s="918"/>
      <c r="C38" s="789">
        <v>8669.94</v>
      </c>
      <c r="D38" s="920">
        <v>1793961</v>
      </c>
      <c r="E38" s="692">
        <v>6192.2939999999999</v>
      </c>
      <c r="F38" s="692">
        <v>1319717</v>
      </c>
      <c r="G38" s="586">
        <v>1932</v>
      </c>
      <c r="H38" s="586">
        <v>324543</v>
      </c>
      <c r="I38" s="595">
        <v>522.17999999999995</v>
      </c>
      <c r="J38" s="595">
        <v>140804</v>
      </c>
      <c r="K38" s="586">
        <v>1468.1200000000001</v>
      </c>
      <c r="L38" s="586">
        <v>312173</v>
      </c>
      <c r="M38" s="586">
        <v>5980.43</v>
      </c>
      <c r="N38" s="586">
        <v>333130</v>
      </c>
      <c r="O38" s="586">
        <v>5161.84</v>
      </c>
      <c r="P38" s="586">
        <v>728675</v>
      </c>
      <c r="Q38" s="589">
        <v>11281.03</v>
      </c>
      <c r="R38" s="589">
        <v>1074311.3999999999</v>
      </c>
      <c r="S38" s="586">
        <v>3497.88</v>
      </c>
      <c r="T38" s="586">
        <v>1513547</v>
      </c>
      <c r="U38" s="586">
        <v>4955.9400000000005</v>
      </c>
      <c r="V38" s="586">
        <v>1133213</v>
      </c>
      <c r="W38" s="692">
        <v>33613</v>
      </c>
      <c r="X38" s="692">
        <v>2868092</v>
      </c>
      <c r="Y38" s="692">
        <v>5372</v>
      </c>
      <c r="Z38" s="692">
        <v>2443946</v>
      </c>
      <c r="AA38" s="1205">
        <v>4699.7999999999993</v>
      </c>
      <c r="AB38" s="1235">
        <v>2024447</v>
      </c>
      <c r="AC38" s="1235">
        <v>5456.6200000000008</v>
      </c>
      <c r="AD38" s="1235">
        <v>2200482</v>
      </c>
      <c r="AE38" s="1235">
        <v>8873.75</v>
      </c>
      <c r="AF38" s="1235">
        <v>2204050</v>
      </c>
      <c r="AG38" s="1235">
        <v>5660.7350000000006</v>
      </c>
      <c r="AH38" s="1235">
        <v>1593150.1332764172</v>
      </c>
      <c r="AI38" s="586">
        <f>SUMIF($C$9:AH$9,1,$C38:AH38)</f>
        <v>113337.55900000001</v>
      </c>
      <c r="AJ38" s="586">
        <f>SUMIF($C$9:AH$9,0,$C38:AH38)</f>
        <v>22008241.533276416</v>
      </c>
      <c r="AK38" s="624"/>
      <c r="AL38" s="571"/>
      <c r="AM38" s="571"/>
      <c r="AN38" s="571"/>
      <c r="AO38" s="571"/>
      <c r="AR38" s="42"/>
      <c r="AS38" s="42"/>
      <c r="AT38" s="42"/>
    </row>
    <row r="39" spans="1:46" s="541" customFormat="1">
      <c r="A39" s="596"/>
      <c r="B39" s="638"/>
      <c r="C39" s="430"/>
      <c r="D39" s="920"/>
      <c r="E39" s="586"/>
      <c r="F39" s="586"/>
      <c r="G39" s="586"/>
      <c r="H39" s="586"/>
      <c r="I39" s="592"/>
      <c r="J39" s="592"/>
      <c r="K39" s="586"/>
      <c r="L39" s="586"/>
      <c r="M39" s="586"/>
      <c r="N39" s="586"/>
      <c r="O39" s="586"/>
      <c r="P39" s="586"/>
      <c r="Q39" s="589"/>
      <c r="R39" s="589"/>
      <c r="S39" s="586"/>
      <c r="T39" s="586"/>
      <c r="U39" s="586"/>
      <c r="V39" s="586"/>
      <c r="W39" s="692"/>
      <c r="X39" s="692"/>
      <c r="Y39" s="692"/>
      <c r="Z39" s="692"/>
      <c r="AA39" s="229"/>
      <c r="AB39" s="1236"/>
      <c r="AC39" s="1236"/>
      <c r="AD39" s="1236"/>
      <c r="AE39" s="1236"/>
      <c r="AF39" s="1236"/>
      <c r="AG39" s="1236"/>
      <c r="AH39" s="1236"/>
      <c r="AI39" s="586"/>
      <c r="AJ39" s="586"/>
      <c r="AL39" s="571"/>
      <c r="AM39" s="571"/>
      <c r="AN39" s="571"/>
      <c r="AO39" s="571"/>
      <c r="AR39" s="42"/>
      <c r="AS39" s="42"/>
      <c r="AT39" s="42"/>
    </row>
    <row r="40" spans="1:46" s="541" customFormat="1">
      <c r="A40" s="577" t="s">
        <v>248</v>
      </c>
      <c r="B40" s="578" t="s">
        <v>196</v>
      </c>
      <c r="C40" s="578">
        <v>370275.9</v>
      </c>
      <c r="D40" s="923">
        <v>257986</v>
      </c>
      <c r="E40" s="691">
        <v>274497.34399999998</v>
      </c>
      <c r="F40" s="691">
        <v>227582</v>
      </c>
      <c r="G40" s="579">
        <v>321678</v>
      </c>
      <c r="H40" s="579">
        <v>267986</v>
      </c>
      <c r="I40" s="581">
        <v>263683.34000000003</v>
      </c>
      <c r="J40" s="581">
        <v>206222</v>
      </c>
      <c r="K40" s="579">
        <v>3007059.02</v>
      </c>
      <c r="L40" s="579">
        <v>402977.18</v>
      </c>
      <c r="M40" s="579">
        <v>387998.06</v>
      </c>
      <c r="N40" s="579">
        <v>317449</v>
      </c>
      <c r="O40" s="579">
        <v>508983.76</v>
      </c>
      <c r="P40" s="579">
        <v>364163</v>
      </c>
      <c r="Q40" s="582">
        <v>147262.32999999999</v>
      </c>
      <c r="R40" s="582">
        <v>133026</v>
      </c>
      <c r="S40" s="579">
        <v>274927.67199999996</v>
      </c>
      <c r="T40" s="579">
        <v>344291.28</v>
      </c>
      <c r="U40" s="579">
        <v>360314.53</v>
      </c>
      <c r="V40" s="579">
        <v>437312</v>
      </c>
      <c r="W40" s="691">
        <v>664221</v>
      </c>
      <c r="X40" s="691">
        <v>1346627</v>
      </c>
      <c r="Y40" s="691">
        <v>286935</v>
      </c>
      <c r="Z40" s="691">
        <v>650402</v>
      </c>
      <c r="AA40" s="1206">
        <v>233079.883</v>
      </c>
      <c r="AB40" s="1237">
        <v>320805</v>
      </c>
      <c r="AC40" s="1237">
        <v>273861.73033333337</v>
      </c>
      <c r="AD40" s="1237">
        <v>805787.5</v>
      </c>
      <c r="AE40" s="1237">
        <v>176428.598</v>
      </c>
      <c r="AF40" s="1237">
        <v>272125</v>
      </c>
      <c r="AG40" s="1237">
        <v>210882.95300000001</v>
      </c>
      <c r="AH40" s="1237">
        <v>467379</v>
      </c>
      <c r="AI40" s="579">
        <f>SUMIF($C$9:AH$9,1,$C40:AH40)</f>
        <v>7762089.1203333335</v>
      </c>
      <c r="AJ40" s="579">
        <f>SUMIF($C$9:AH$9,0,$C40:AH40)</f>
        <v>6822119.96</v>
      </c>
      <c r="AK40" s="624"/>
      <c r="AL40" s="571"/>
      <c r="AM40" s="571"/>
      <c r="AN40" s="571"/>
      <c r="AO40" s="571"/>
      <c r="AR40" s="42"/>
      <c r="AS40" s="42"/>
      <c r="AT40" s="42"/>
    </row>
    <row r="41" spans="1:46" s="541" customFormat="1">
      <c r="A41" s="602"/>
      <c r="B41" s="601"/>
      <c r="C41" s="603"/>
      <c r="D41" s="921"/>
      <c r="E41" s="579"/>
      <c r="F41" s="579"/>
      <c r="G41" s="579"/>
      <c r="H41" s="579"/>
      <c r="I41" s="581"/>
      <c r="J41" s="581"/>
      <c r="K41" s="579"/>
      <c r="L41" s="579"/>
      <c r="M41" s="579"/>
      <c r="N41" s="579"/>
      <c r="O41" s="579"/>
      <c r="P41" s="579"/>
      <c r="Q41" s="582"/>
      <c r="R41" s="582"/>
      <c r="S41" s="579"/>
      <c r="T41" s="579"/>
      <c r="U41" s="579"/>
      <c r="V41" s="579"/>
      <c r="W41" s="579"/>
      <c r="X41" s="579"/>
      <c r="Y41" s="691"/>
      <c r="Z41" s="691"/>
      <c r="AA41" s="691"/>
      <c r="AB41" s="1233"/>
      <c r="AC41" s="1233"/>
      <c r="AD41" s="1233"/>
      <c r="AE41" s="1233"/>
      <c r="AF41" s="1233"/>
      <c r="AG41" s="1233"/>
      <c r="AH41" s="1233"/>
      <c r="AI41" s="579"/>
      <c r="AJ41" s="579"/>
      <c r="AL41" s="571"/>
      <c r="AM41" s="571"/>
      <c r="AN41" s="571"/>
      <c r="AO41" s="571"/>
      <c r="AR41" s="42"/>
      <c r="AS41" s="42"/>
      <c r="AT41" s="42"/>
    </row>
    <row r="42" spans="1:46" s="541" customFormat="1">
      <c r="A42" s="591" t="s">
        <v>269</v>
      </c>
      <c r="B42" s="587" t="s">
        <v>196</v>
      </c>
      <c r="C42" s="692">
        <v>178958.9</v>
      </c>
      <c r="D42" s="920">
        <v>3199913329</v>
      </c>
      <c r="E42" s="586">
        <f>SUMIF('Gold - Q&amp;V'!$D8:$D250,'CY Q&amp;V 2004-Now'!E7,'Gold - Q&amp;V'!$B8:$B250)*1000</f>
        <v>167285.32349000001</v>
      </c>
      <c r="F42" s="586">
        <f>SUMIF('Gold - Q&amp;V'!$D8:$D250,'CY Q&amp;V 2004-Now'!E7,'Gold - Q&amp;V'!$C8:$C250)*1000000</f>
        <v>3144134798</v>
      </c>
      <c r="G42" s="586">
        <f>SUMIF('Gold - Q&amp;V'!$D8:$D250,'CY Q&amp;V 2004-Now'!G7,'Gold - Q&amp;V'!$B8:$B250)*1000</f>
        <v>162969.09348999997</v>
      </c>
      <c r="H42" s="586">
        <f>SUMIF('Gold - Q&amp;V'!$D8:$D250,'CY Q&amp;V 2004-Now'!G7,'Gold - Q&amp;V'!$C8:$C250)*1000000</f>
        <v>4208332570.0000005</v>
      </c>
      <c r="I42" s="586">
        <f>SUMIF('Gold - Q&amp;V'!$D8:$D250,'CY Q&amp;V 2004-Now'!I7,'Gold - Q&amp;V'!$B8:$B250)*1000</f>
        <v>151448.83905999997</v>
      </c>
      <c r="J42" s="586">
        <f>SUMIF('Gold - Q&amp;V'!$D8:$D250,'CY Q&amp;V 2004-Now'!I7,'Gold - Q&amp;V'!$C8:$C250)*1000000</f>
        <v>4039057729</v>
      </c>
      <c r="K42" s="586">
        <f>SUMIF('Gold - Q&amp;V'!$D8:$D250,'CY Q&amp;V 2004-Now'!K7,'Gold - Q&amp;V'!$B8:$B250)*1000</f>
        <v>132074.25353000002</v>
      </c>
      <c r="L42" s="586">
        <f>SUMIF('Gold - Q&amp;V'!$D8:$D250,'CY Q&amp;V 2004-Now'!K7,'Gold - Q&amp;V'!$C8:$C250)*1000000</f>
        <v>4399513068</v>
      </c>
      <c r="M42" s="586">
        <f>SUMIF('Gold - Q&amp;V'!$D8:$D250,'CY Q&amp;V 2004-Now'!M7,'Gold - Q&amp;V'!$B8:$B250)*1000</f>
        <v>146427.91006000002</v>
      </c>
      <c r="N42" s="586">
        <f>SUMIF('Gold - Q&amp;V'!$D8:$D250,'CY Q&amp;V 2004-Now'!M7,'Gold - Q&amp;V'!$C8:$C250)*1000000</f>
        <v>5814421613</v>
      </c>
      <c r="O42" s="586">
        <f>SUMIF('Gold - Q&amp;V'!$D8:$D250,'CY Q&amp;V 2004-Now'!O7,'Gold - Q&amp;V'!$B8:$B250)*1000</f>
        <v>182899.55302999998</v>
      </c>
      <c r="P42" s="586">
        <f>SUMIF('Gold - Q&amp;V'!$D8:$D250,'CY Q&amp;V 2004-Now'!O7,'Gold - Q&amp;V'!$C8:$C250)*1000000</f>
        <v>7849131459</v>
      </c>
      <c r="Q42" s="586">
        <f>SUMIF('Gold - Q&amp;V'!$D8:$D250,'CY Q&amp;V 2004-Now'!Q7,'Gold - Q&amp;V'!$B8:$B250)*1000</f>
        <v>179608.17457</v>
      </c>
      <c r="R42" s="586">
        <f>SUMIF('Gold - Q&amp;V'!$D8:$D250,'CY Q&amp;V 2004-Now'!Q7,'Gold - Q&amp;V'!$C8:$C250)*1000000</f>
        <v>8793892579</v>
      </c>
      <c r="S42" s="586">
        <f>SUMIF('Gold - Q&amp;V'!$D8:$D250,'CY Q&amp;V 2004-Now'!S7,'Gold - Q&amp;V'!$B8:$B250)*1000</f>
        <v>181286.63516000001</v>
      </c>
      <c r="T42" s="586">
        <f>SUMIF('Gold - Q&amp;V'!$D8:$D250,'CY Q&amp;V 2004-Now'!S7,'Gold - Q&amp;V'!$C8:$C250)*1000000</f>
        <v>9380306472</v>
      </c>
      <c r="U42" s="586">
        <f>SUMIF('Gold - Q&amp;V'!$D8:$D250,'CY Q&amp;V 2004-Now'!U7,'Gold - Q&amp;V'!$B8:$B250)*1000</f>
        <v>187454.36469999998</v>
      </c>
      <c r="V42" s="586">
        <f>SUMIF('Gold - Q&amp;V'!$D8:$D250,'CY Q&amp;V 2004-Now'!U7,'Gold - Q&amp;V'!$C8:$C250)*1000000</f>
        <v>8742677440</v>
      </c>
      <c r="W42" s="586">
        <f>SUMIF('Gold - Q&amp;V'!$D8:$D250,'CY Q&amp;V 2004-Now'!W7,'Gold - Q&amp;V'!$B8:$B250)*1000</f>
        <v>194736.49055852593</v>
      </c>
      <c r="X42" s="586">
        <f>SUMIF('Gold - Q&amp;V'!$D8:$D250,'CY Q&amp;V 2004-Now'!W7,'Gold - Q&amp;V'!$C8:$C250)*1000000</f>
        <v>8786109164.0000019</v>
      </c>
      <c r="Y42" s="692">
        <v>194273</v>
      </c>
      <c r="Z42" s="692">
        <v>9618613488</v>
      </c>
      <c r="AA42" s="692">
        <f>SUMIF('Gold - Q&amp;V'!$D8:$D250,'CY Q&amp;V 2004-Now'!AA7,'Gold - Q&amp;V'!$B8:$B250)*1000</f>
        <v>197025.09114887082</v>
      </c>
      <c r="AB42" s="1234">
        <f>SUMIF('Gold - Q&amp;V'!$D8:$D250,'CY Q&amp;V 2004-Now'!AA7,'Gold - Q&amp;V'!$C8:$C250)*1000000</f>
        <v>10627038843</v>
      </c>
      <c r="AC42" s="1234">
        <f>SUMIF('Gold - Q&amp;V'!$D8:$D250,'CY Q&amp;V 2004-Now'!AC7,'Gold - Q&amp;V'!$B8:$B250)*1000</f>
        <v>219845.7953815127</v>
      </c>
      <c r="AD42" s="1234">
        <f>SUMIF('Gold - Q&amp;V'!$D8:$D250,'CY Q&amp;V 2004-Now'!AC7,'Gold - Q&amp;V'!$C8:$C250)*1000000</f>
        <v>11144525042.000002</v>
      </c>
      <c r="AE42" s="1234">
        <f>SUMIF('Gold - Q&amp;V'!$D8:$D250,'CY Q&amp;V 2004-Now'!AE7,'Gold - Q&amp;V'!$B8:$B250)*1000</f>
        <v>212115.83091331137</v>
      </c>
      <c r="AF42" s="1234">
        <f>SUMIF('Gold - Q&amp;V'!$D8:$D250,'CY Q&amp;V 2004-Now'!AE7,'Gold - Q&amp;V'!$C8:$C250)*1000000</f>
        <v>11516482507</v>
      </c>
      <c r="AG42" s="1234">
        <f>SUMIF('Gold - Q&amp;V'!$D8:$D250,'CY Q&amp;V 2004-Now'!AG7,'Gold - Q&amp;V'!$B8:$B250)*1000</f>
        <v>218826.82638325135</v>
      </c>
      <c r="AH42" s="1234">
        <f>SUMIF('Gold - Q&amp;V'!$D8:$D250,'CY Q&amp;V 2004-Now'!AG7,'Gold - Q&amp;V'!$C8:$C250)*1000000</f>
        <v>13787397590.999998</v>
      </c>
      <c r="AI42" s="586">
        <f>SUMIF($C$9:AH$9,1,$C42:AH42)</f>
        <v>2907236.0814754721</v>
      </c>
      <c r="AJ42" s="586">
        <f>SUMIF($C$9:AH$9,0,$C42:AH42)</f>
        <v>125051547692</v>
      </c>
      <c r="AK42" s="624"/>
      <c r="AL42" s="571"/>
      <c r="AM42" s="571"/>
      <c r="AN42" s="571"/>
      <c r="AO42" s="571"/>
      <c r="AR42" s="42"/>
      <c r="AS42" s="42"/>
      <c r="AT42" s="42"/>
    </row>
    <row r="43" spans="1:46" s="541" customFormat="1">
      <c r="A43" s="599"/>
      <c r="B43" s="594"/>
      <c r="C43" s="594"/>
      <c r="D43" s="894"/>
      <c r="E43" s="586"/>
      <c r="F43" s="586"/>
      <c r="G43" s="586"/>
      <c r="H43" s="586"/>
      <c r="I43" s="604"/>
      <c r="J43" s="604"/>
      <c r="K43" s="586"/>
      <c r="L43" s="586"/>
      <c r="M43" s="586"/>
      <c r="N43" s="586"/>
      <c r="O43" s="586"/>
      <c r="P43" s="586"/>
      <c r="Q43" s="589"/>
      <c r="R43" s="589"/>
      <c r="S43" s="586"/>
      <c r="T43" s="586"/>
      <c r="U43" s="586"/>
      <c r="V43" s="586"/>
      <c r="W43" s="586"/>
      <c r="X43" s="586"/>
      <c r="Y43" s="605"/>
      <c r="Z43" s="605"/>
      <c r="AA43" s="605"/>
      <c r="AB43" s="1238"/>
      <c r="AC43" s="1238"/>
      <c r="AD43" s="1238"/>
      <c r="AE43" s="1678"/>
      <c r="AF43" s="1678"/>
      <c r="AG43" s="1238"/>
      <c r="AH43" s="1238"/>
      <c r="AI43" s="586"/>
      <c r="AJ43" s="586"/>
      <c r="AL43" s="571"/>
      <c r="AM43" s="571"/>
      <c r="AN43" s="571"/>
      <c r="AO43" s="571"/>
      <c r="AR43" s="42"/>
      <c r="AS43" s="42"/>
      <c r="AT43" s="42"/>
    </row>
    <row r="44" spans="1:46" s="541" customFormat="1">
      <c r="A44" s="577" t="s">
        <v>271</v>
      </c>
      <c r="B44" s="620" t="s">
        <v>110</v>
      </c>
      <c r="C44" s="620">
        <v>1578043</v>
      </c>
      <c r="D44" s="923">
        <v>26207706.609999999</v>
      </c>
      <c r="E44" s="691">
        <v>1406082</v>
      </c>
      <c r="F44" s="691">
        <v>23112327.91</v>
      </c>
      <c r="G44" s="691">
        <v>1548611</v>
      </c>
      <c r="H44" s="691">
        <v>28127147.52</v>
      </c>
      <c r="I44" s="659">
        <v>1281736</v>
      </c>
      <c r="J44" s="659">
        <v>20753890.079999998</v>
      </c>
      <c r="K44" s="691">
        <v>914370</v>
      </c>
      <c r="L44" s="691">
        <v>15420741</v>
      </c>
      <c r="M44" s="691">
        <v>784374</v>
      </c>
      <c r="N44" s="691">
        <v>17122457</v>
      </c>
      <c r="O44" s="691">
        <v>891282</v>
      </c>
      <c r="P44" s="691">
        <v>17145292</v>
      </c>
      <c r="Q44" s="691">
        <v>357356</v>
      </c>
      <c r="R44" s="691">
        <v>5674505</v>
      </c>
      <c r="S44" s="691">
        <v>245829</v>
      </c>
      <c r="T44" s="691">
        <v>3850828</v>
      </c>
      <c r="U44" s="691">
        <v>1635755</v>
      </c>
      <c r="V44" s="691">
        <v>8393968.8599999994</v>
      </c>
      <c r="W44" s="691">
        <v>612071</v>
      </c>
      <c r="X44" s="691">
        <v>11120382</v>
      </c>
      <c r="Y44" s="691">
        <v>580557.54599999997</v>
      </c>
      <c r="Z44" s="691">
        <v>13792538.75</v>
      </c>
      <c r="AA44" s="1206">
        <v>487002.755</v>
      </c>
      <c r="AB44" s="1237">
        <v>12316700.775</v>
      </c>
      <c r="AC44" s="1237">
        <v>679021.29700000002</v>
      </c>
      <c r="AD44" s="1237">
        <v>16150901.560000001</v>
      </c>
      <c r="AE44" s="1237">
        <v>854540.97000000009</v>
      </c>
      <c r="AF44" s="1237">
        <v>18831156.906199999</v>
      </c>
      <c r="AG44" s="1237">
        <v>1072149.3600000001</v>
      </c>
      <c r="AH44" s="1237">
        <v>25632045.834297538</v>
      </c>
      <c r="AI44" s="579">
        <f>SUMIF($C$9:AH$9,1,$C44:AH44)</f>
        <v>14928780.928000001</v>
      </c>
      <c r="AJ44" s="579">
        <f>SUMIF($C$9:AH$9,0,$C44:AH44)</f>
        <v>263652589.80549756</v>
      </c>
      <c r="AK44" s="624"/>
      <c r="AL44" s="571"/>
      <c r="AM44" s="571"/>
      <c r="AN44" s="571"/>
      <c r="AO44" s="571"/>
      <c r="AR44" s="42"/>
      <c r="AS44" s="42"/>
      <c r="AT44" s="42"/>
    </row>
    <row r="45" spans="1:46" s="541" customFormat="1">
      <c r="A45" s="577"/>
      <c r="B45" s="578"/>
      <c r="C45" s="578"/>
      <c r="D45" s="923"/>
      <c r="E45" s="691"/>
      <c r="F45" s="691"/>
      <c r="G45" s="691"/>
      <c r="H45" s="691"/>
      <c r="I45" s="659"/>
      <c r="J45" s="659"/>
      <c r="K45" s="691"/>
      <c r="L45" s="691"/>
      <c r="M45" s="691"/>
      <c r="N45" s="691"/>
      <c r="O45" s="691"/>
      <c r="P45" s="691"/>
      <c r="Q45" s="691"/>
      <c r="R45" s="691"/>
      <c r="S45" s="691"/>
      <c r="T45" s="691"/>
      <c r="U45" s="691"/>
      <c r="V45" s="691"/>
      <c r="W45" s="691"/>
      <c r="X45" s="691"/>
      <c r="Y45" s="691"/>
      <c r="Z45" s="691"/>
      <c r="AA45" s="691"/>
      <c r="AB45" s="1233"/>
      <c r="AC45" s="1233"/>
      <c r="AD45" s="1233"/>
      <c r="AE45" s="1233"/>
      <c r="AF45" s="1233"/>
      <c r="AG45" s="1233"/>
      <c r="AH45" s="1233"/>
      <c r="AI45" s="579"/>
      <c r="AJ45" s="579"/>
      <c r="AL45" s="571"/>
      <c r="AM45" s="571"/>
      <c r="AN45" s="571"/>
      <c r="AO45" s="571"/>
      <c r="AR45" s="42"/>
      <c r="AS45" s="42"/>
      <c r="AT45" s="42"/>
    </row>
    <row r="46" spans="1:46" s="541" customFormat="1">
      <c r="A46" s="591" t="s">
        <v>541</v>
      </c>
      <c r="B46" s="638"/>
      <c r="C46" s="430"/>
      <c r="D46" s="920"/>
      <c r="E46" s="586"/>
      <c r="F46" s="586"/>
      <c r="G46" s="586"/>
      <c r="H46" s="586"/>
      <c r="I46" s="586"/>
      <c r="J46" s="586"/>
      <c r="K46" s="586"/>
      <c r="L46" s="586"/>
      <c r="M46" s="586"/>
      <c r="N46" s="586"/>
      <c r="O46" s="586"/>
      <c r="P46" s="586"/>
      <c r="Q46" s="589"/>
      <c r="R46" s="589"/>
      <c r="S46" s="589"/>
      <c r="T46" s="589"/>
      <c r="U46" s="600"/>
      <c r="V46" s="600"/>
      <c r="W46" s="692"/>
      <c r="X46" s="692"/>
      <c r="Y46" s="600"/>
      <c r="Z46" s="600"/>
      <c r="AA46" s="600"/>
      <c r="AB46" s="1239"/>
      <c r="AC46" s="1239"/>
      <c r="AD46" s="1239"/>
      <c r="AE46" s="1234"/>
      <c r="AF46" s="1234"/>
      <c r="AG46" s="1239"/>
      <c r="AH46" s="1239"/>
      <c r="AI46" s="600"/>
      <c r="AJ46" s="600"/>
      <c r="AL46" s="606"/>
      <c r="AM46" s="606"/>
      <c r="AN46" s="606"/>
      <c r="AO46" s="607"/>
      <c r="AR46" s="42"/>
      <c r="AS46" s="42"/>
      <c r="AT46" s="42"/>
    </row>
    <row r="47" spans="1:46" s="541" customFormat="1">
      <c r="A47" s="593" t="s">
        <v>339</v>
      </c>
      <c r="B47" s="788" t="s">
        <v>110</v>
      </c>
      <c r="C47" s="793">
        <v>134761.07999999999</v>
      </c>
      <c r="D47" s="894" t="s">
        <v>273</v>
      </c>
      <c r="E47" s="692">
        <v>246128.25</v>
      </c>
      <c r="F47" s="608" t="s">
        <v>273</v>
      </c>
      <c r="G47" s="586">
        <v>278233</v>
      </c>
      <c r="H47" s="608" t="s">
        <v>273</v>
      </c>
      <c r="I47" s="595">
        <v>294006.77</v>
      </c>
      <c r="J47" s="595" t="s">
        <v>273</v>
      </c>
      <c r="K47" s="586">
        <v>298290.28000000003</v>
      </c>
      <c r="L47" s="608" t="s">
        <v>273</v>
      </c>
      <c r="M47" s="586">
        <v>275559.82999999996</v>
      </c>
      <c r="N47" s="608" t="s">
        <v>273</v>
      </c>
      <c r="O47" s="586">
        <v>196839.06999999998</v>
      </c>
      <c r="P47" s="608" t="s">
        <v>273</v>
      </c>
      <c r="Q47" s="589">
        <v>308139.42</v>
      </c>
      <c r="R47" s="609" t="s">
        <v>273</v>
      </c>
      <c r="S47" s="586">
        <v>266224.46000000002</v>
      </c>
      <c r="T47" s="608" t="s">
        <v>273</v>
      </c>
      <c r="U47" s="586">
        <v>395840.81</v>
      </c>
      <c r="V47" s="608" t="s">
        <v>273</v>
      </c>
      <c r="W47" s="692">
        <v>274662</v>
      </c>
      <c r="X47" s="684" t="s">
        <v>652</v>
      </c>
      <c r="Y47" s="692">
        <v>283108</v>
      </c>
      <c r="Z47" s="684" t="s">
        <v>652</v>
      </c>
      <c r="AA47" s="1205">
        <v>574659.56999999995</v>
      </c>
      <c r="AB47" s="1240" t="s">
        <v>273</v>
      </c>
      <c r="AC47" s="1235">
        <v>363572.54000000004</v>
      </c>
      <c r="AD47" s="1240" t="s">
        <v>273</v>
      </c>
      <c r="AE47" s="1240">
        <v>360132.95999999996</v>
      </c>
      <c r="AF47" s="1240" t="s">
        <v>273</v>
      </c>
      <c r="AG47" s="1240">
        <v>352977.57999999996</v>
      </c>
      <c r="AH47" s="1240" t="s">
        <v>273</v>
      </c>
      <c r="AI47" s="586">
        <f>SUMIF($C$9:AH$9,1,$C47:AH47)</f>
        <v>4903135.62</v>
      </c>
      <c r="AJ47" s="684" t="s">
        <v>273</v>
      </c>
      <c r="AK47" s="624"/>
      <c r="AL47" s="571"/>
      <c r="AM47" s="571"/>
      <c r="AN47" s="571"/>
      <c r="AO47" s="571"/>
      <c r="AR47" s="42"/>
      <c r="AS47" s="42"/>
      <c r="AT47" s="42"/>
    </row>
    <row r="48" spans="1:46" s="541" customFormat="1">
      <c r="A48" s="593" t="s">
        <v>340</v>
      </c>
      <c r="B48" s="788" t="s">
        <v>110</v>
      </c>
      <c r="C48" s="793">
        <v>775442.7</v>
      </c>
      <c r="D48" s="894">
        <v>90689749</v>
      </c>
      <c r="E48" s="692">
        <v>666429.46</v>
      </c>
      <c r="F48" s="692">
        <v>74696021</v>
      </c>
      <c r="G48" s="586">
        <v>742079</v>
      </c>
      <c r="H48" s="586">
        <v>84444176</v>
      </c>
      <c r="I48" s="595">
        <v>730873.79</v>
      </c>
      <c r="J48" s="595">
        <v>79800273</v>
      </c>
      <c r="K48" s="586">
        <v>598904.57999999996</v>
      </c>
      <c r="L48" s="586">
        <v>76945319</v>
      </c>
      <c r="M48" s="586">
        <v>463741.5</v>
      </c>
      <c r="N48" s="586">
        <v>63498346</v>
      </c>
      <c r="O48" s="586">
        <v>497715.15999999992</v>
      </c>
      <c r="P48" s="586">
        <v>66691050</v>
      </c>
      <c r="Q48" s="589">
        <v>379284.10000000003</v>
      </c>
      <c r="R48" s="589">
        <v>56851391</v>
      </c>
      <c r="S48" s="586">
        <v>279281.76</v>
      </c>
      <c r="T48" s="586">
        <v>68407301</v>
      </c>
      <c r="U48" s="586">
        <v>199987.25</v>
      </c>
      <c r="V48" s="586">
        <v>49257052</v>
      </c>
      <c r="W48" s="692">
        <v>14218</v>
      </c>
      <c r="X48" s="1204">
        <v>3275391</v>
      </c>
      <c r="Y48" s="692">
        <v>188333</v>
      </c>
      <c r="Z48" s="692">
        <v>42191626</v>
      </c>
      <c r="AA48" s="1205">
        <v>167959.25</v>
      </c>
      <c r="AB48" s="1235">
        <v>38220228</v>
      </c>
      <c r="AC48" s="1235">
        <v>128730.5</v>
      </c>
      <c r="AD48" s="1235">
        <v>28957263</v>
      </c>
      <c r="AE48" s="1235">
        <v>182509</v>
      </c>
      <c r="AF48" s="1235">
        <v>42629608</v>
      </c>
      <c r="AG48" s="1235">
        <v>359027.28</v>
      </c>
      <c r="AH48" s="1235">
        <v>72746015</v>
      </c>
      <c r="AI48" s="692">
        <f>SUMIF($C$9:AH$9,1,$C48:AH48)</f>
        <v>6374516.3300000001</v>
      </c>
      <c r="AJ48" s="586">
        <f>SUMIF($C$9:AH$9,0,$C48:AH48)</f>
        <v>939300809</v>
      </c>
      <c r="AK48" s="624"/>
      <c r="AL48" s="571"/>
      <c r="AM48" s="571"/>
      <c r="AN48" s="571"/>
      <c r="AO48" s="571"/>
      <c r="AR48" s="42"/>
      <c r="AS48" s="42"/>
      <c r="AT48" s="42"/>
    </row>
    <row r="49" spans="1:46" s="541" customFormat="1">
      <c r="A49" s="593" t="s">
        <v>341</v>
      </c>
      <c r="B49" s="788" t="s">
        <v>110</v>
      </c>
      <c r="C49" s="793">
        <v>66342.77</v>
      </c>
      <c r="D49" s="894">
        <v>21474768</v>
      </c>
      <c r="E49" s="692">
        <v>84977.14</v>
      </c>
      <c r="F49" s="692">
        <v>26916075</v>
      </c>
      <c r="G49" s="586">
        <v>53518</v>
      </c>
      <c r="H49" s="586">
        <v>17667803</v>
      </c>
      <c r="I49" s="595">
        <v>73035.039999999994</v>
      </c>
      <c r="J49" s="595">
        <v>23574626</v>
      </c>
      <c r="K49" s="586">
        <v>68698.63</v>
      </c>
      <c r="L49" s="586">
        <v>20864638</v>
      </c>
      <c r="M49" s="586">
        <v>76708.94</v>
      </c>
      <c r="N49" s="586">
        <v>24463466</v>
      </c>
      <c r="O49" s="586">
        <v>33352.699999999997</v>
      </c>
      <c r="P49" s="586">
        <v>15412925</v>
      </c>
      <c r="Q49" s="589">
        <v>24771.879999999997</v>
      </c>
      <c r="R49" s="589">
        <v>14361119</v>
      </c>
      <c r="S49" s="586">
        <v>22026.97</v>
      </c>
      <c r="T49" s="586">
        <v>26194508</v>
      </c>
      <c r="U49" s="586">
        <v>33398.32</v>
      </c>
      <c r="V49" s="586">
        <v>29130672</v>
      </c>
      <c r="W49" s="692">
        <v>22090</v>
      </c>
      <c r="X49" s="1204">
        <v>17845723</v>
      </c>
      <c r="Y49" s="692">
        <v>21593</v>
      </c>
      <c r="Z49" s="692">
        <v>19858929</v>
      </c>
      <c r="AA49" s="1205">
        <v>7053.66</v>
      </c>
      <c r="AB49" s="1235">
        <v>6175940</v>
      </c>
      <c r="AC49" s="1235">
        <v>14882.130000000001</v>
      </c>
      <c r="AD49" s="1235">
        <v>13161815</v>
      </c>
      <c r="AE49" s="1235">
        <v>8032.905999999999</v>
      </c>
      <c r="AF49" s="1235">
        <v>9501004</v>
      </c>
      <c r="AG49" s="1235">
        <v>20957</v>
      </c>
      <c r="AH49" s="1235">
        <v>22190860</v>
      </c>
      <c r="AI49" s="692">
        <f>SUMIF($C$9:AH$9,1,$C49:AH49)</f>
        <v>631439.08600000001</v>
      </c>
      <c r="AJ49" s="692">
        <f>SUMIF($C$9:AH$9,0,$C49:AH49)</f>
        <v>308794871</v>
      </c>
      <c r="AK49" s="624"/>
      <c r="AL49" s="571"/>
      <c r="AM49" s="571"/>
      <c r="AN49" s="571"/>
      <c r="AO49" s="571"/>
      <c r="AR49" s="42"/>
      <c r="AS49" s="42"/>
      <c r="AT49" s="42"/>
    </row>
    <row r="50" spans="1:46" s="541" customFormat="1">
      <c r="A50" s="593" t="s">
        <v>353</v>
      </c>
      <c r="B50" s="788" t="s">
        <v>110</v>
      </c>
      <c r="C50" s="793">
        <v>113102.34</v>
      </c>
      <c r="D50" s="894">
        <v>70108292</v>
      </c>
      <c r="E50" s="692">
        <v>100452.42</v>
      </c>
      <c r="F50" s="692">
        <v>63786635</v>
      </c>
      <c r="G50" s="586">
        <v>102211</v>
      </c>
      <c r="H50" s="586">
        <v>64390184</v>
      </c>
      <c r="I50" s="586">
        <v>107671.1</v>
      </c>
      <c r="J50" s="586">
        <v>56301148</v>
      </c>
      <c r="K50" s="423"/>
      <c r="L50" s="427"/>
      <c r="M50" s="586"/>
      <c r="N50" s="586"/>
      <c r="O50" s="586"/>
      <c r="P50" s="586"/>
      <c r="Q50" s="589"/>
      <c r="R50" s="589"/>
      <c r="S50" s="586"/>
      <c r="T50" s="586"/>
      <c r="U50" s="586"/>
      <c r="V50" s="586"/>
      <c r="W50" s="692">
        <v>39801</v>
      </c>
      <c r="X50" s="1204">
        <v>36002163</v>
      </c>
      <c r="Y50" s="692">
        <v>43459</v>
      </c>
      <c r="Z50" s="692">
        <v>44030930</v>
      </c>
      <c r="AA50" s="1205">
        <v>27312.06</v>
      </c>
      <c r="AB50" s="1235">
        <v>26070876</v>
      </c>
      <c r="AC50" s="1235">
        <v>17482.63</v>
      </c>
      <c r="AD50" s="1235">
        <v>18192000</v>
      </c>
      <c r="AE50" s="1235">
        <v>25631.200000000001</v>
      </c>
      <c r="AF50" s="1235">
        <v>29610518</v>
      </c>
      <c r="AG50" s="1235">
        <v>14857.11</v>
      </c>
      <c r="AH50" s="1240" t="s">
        <v>273</v>
      </c>
      <c r="AI50" s="692">
        <f>SUMIF($C$9:AH$9,1,$C50:AH50)</f>
        <v>591979.86</v>
      </c>
      <c r="AJ50" s="692">
        <f>SUMIF($C$9:AH$9,0,$C50:AH50)</f>
        <v>408492746</v>
      </c>
      <c r="AK50" s="624"/>
      <c r="AL50" s="571"/>
      <c r="AM50" s="571"/>
      <c r="AN50" s="571"/>
      <c r="AO50" s="571"/>
      <c r="AS50" s="42"/>
      <c r="AT50" s="42"/>
    </row>
    <row r="51" spans="1:46" s="541" customFormat="1">
      <c r="A51" s="593" t="s">
        <v>342</v>
      </c>
      <c r="B51" s="788" t="s">
        <v>110</v>
      </c>
      <c r="C51" s="793">
        <v>440794.78</v>
      </c>
      <c r="D51" s="894">
        <v>273960947</v>
      </c>
      <c r="E51" s="692">
        <v>443896.04</v>
      </c>
      <c r="F51" s="692">
        <v>330381846</v>
      </c>
      <c r="G51" s="586">
        <v>370183</v>
      </c>
      <c r="H51" s="586">
        <v>358819527</v>
      </c>
      <c r="I51" s="595">
        <v>289876.43</v>
      </c>
      <c r="J51" s="595">
        <v>263931467</v>
      </c>
      <c r="K51" s="586">
        <v>356393.16000000003</v>
      </c>
      <c r="L51" s="586">
        <v>309499986.85000002</v>
      </c>
      <c r="M51" s="586">
        <v>253499.78</v>
      </c>
      <c r="N51" s="586">
        <v>214485748</v>
      </c>
      <c r="O51" s="586">
        <v>333469.26</v>
      </c>
      <c r="P51" s="586">
        <v>229840510</v>
      </c>
      <c r="Q51" s="589">
        <v>217297.99</v>
      </c>
      <c r="R51" s="589">
        <v>210012842</v>
      </c>
      <c r="S51" s="586">
        <v>175164.13799999998</v>
      </c>
      <c r="T51" s="586">
        <v>195238759</v>
      </c>
      <c r="U51" s="586">
        <v>231508.22999999998</v>
      </c>
      <c r="V51" s="586">
        <v>157591112</v>
      </c>
      <c r="W51" s="692">
        <v>203938</v>
      </c>
      <c r="X51" s="1204">
        <v>119887628</v>
      </c>
      <c r="Y51" s="692">
        <v>214878</v>
      </c>
      <c r="Z51" s="692">
        <v>168139059</v>
      </c>
      <c r="AA51" s="1205">
        <v>202885.74</v>
      </c>
      <c r="AB51" s="1235">
        <v>119932606</v>
      </c>
      <c r="AC51" s="1235">
        <v>62317.25</v>
      </c>
      <c r="AD51" s="1235">
        <v>78668092</v>
      </c>
      <c r="AE51" s="1235">
        <v>97328.238000000012</v>
      </c>
      <c r="AF51" s="1235">
        <v>165669383</v>
      </c>
      <c r="AG51" s="1235">
        <v>171428.83000000002</v>
      </c>
      <c r="AH51" s="1235">
        <v>282857648</v>
      </c>
      <c r="AI51" s="692">
        <f>SUMIF($C$9:AH$9,1,$C51:AH51)</f>
        <v>4064858.8660000004</v>
      </c>
      <c r="AJ51" s="692">
        <f>SUMIF($C$9:AH$9,0,$C51:AH51)</f>
        <v>3478917160.8499999</v>
      </c>
      <c r="AK51" s="624"/>
      <c r="AL51" s="571"/>
      <c r="AM51" s="571"/>
      <c r="AN51" s="571"/>
      <c r="AO51" s="571"/>
      <c r="AS51" s="42"/>
      <c r="AT51" s="42"/>
    </row>
    <row r="52" spans="1:46" s="541" customFormat="1">
      <c r="A52" s="593" t="s">
        <v>849</v>
      </c>
      <c r="B52" s="788" t="s">
        <v>110</v>
      </c>
      <c r="C52" s="893" t="s">
        <v>652</v>
      </c>
      <c r="D52" s="894" t="s">
        <v>652</v>
      </c>
      <c r="E52" s="684" t="s">
        <v>652</v>
      </c>
      <c r="F52" s="684" t="s">
        <v>652</v>
      </c>
      <c r="G52" s="684" t="s">
        <v>652</v>
      </c>
      <c r="H52" s="684" t="s">
        <v>652</v>
      </c>
      <c r="I52" s="670" t="s">
        <v>652</v>
      </c>
      <c r="J52" s="670" t="s">
        <v>652</v>
      </c>
      <c r="K52" s="684" t="s">
        <v>652</v>
      </c>
      <c r="L52" s="684" t="s">
        <v>652</v>
      </c>
      <c r="M52" s="684" t="s">
        <v>652</v>
      </c>
      <c r="N52" s="684" t="s">
        <v>652</v>
      </c>
      <c r="O52" s="684" t="s">
        <v>652</v>
      </c>
      <c r="P52" s="684" t="s">
        <v>652</v>
      </c>
      <c r="Q52" s="684" t="s">
        <v>652</v>
      </c>
      <c r="R52" s="684" t="s">
        <v>652</v>
      </c>
      <c r="S52" s="684" t="s">
        <v>652</v>
      </c>
      <c r="T52" s="684" t="s">
        <v>652</v>
      </c>
      <c r="U52" s="684" t="s">
        <v>652</v>
      </c>
      <c r="V52" s="684" t="s">
        <v>652</v>
      </c>
      <c r="W52" s="684">
        <v>186800.70303030306</v>
      </c>
      <c r="X52" s="1760">
        <v>156853001.86666667</v>
      </c>
      <c r="Y52" s="684">
        <v>252371.61212121212</v>
      </c>
      <c r="Z52" s="684">
        <v>242596752.36441705</v>
      </c>
      <c r="AA52" s="1760">
        <v>286956.36363636371</v>
      </c>
      <c r="AB52" s="1240">
        <v>262039072.01084828</v>
      </c>
      <c r="AC52" s="1235">
        <v>286455.59369696974</v>
      </c>
      <c r="AD52" s="1235">
        <v>271959792.81765264</v>
      </c>
      <c r="AE52" s="1235">
        <v>260029.59175757578</v>
      </c>
      <c r="AF52" s="1235">
        <v>276283983.39685088</v>
      </c>
      <c r="AG52" s="1235">
        <v>156141.65284848487</v>
      </c>
      <c r="AH52" s="1235">
        <v>164928278.26340798</v>
      </c>
      <c r="AI52" s="692">
        <f>SUMIF($C$9:AH$9,1,$C52:AH52)</f>
        <v>1428755.5170909094</v>
      </c>
      <c r="AJ52" s="692">
        <f>SUMIF($C$9:AH$9,0,$C52:AH52)</f>
        <v>1374660880.7198434</v>
      </c>
      <c r="AK52" s="624"/>
      <c r="AL52" s="571"/>
      <c r="AM52" s="571"/>
      <c r="AN52" s="571"/>
      <c r="AO52" s="571"/>
      <c r="AS52" s="42"/>
      <c r="AT52" s="42"/>
    </row>
    <row r="53" spans="1:46" s="541" customFormat="1">
      <c r="A53" s="593" t="s">
        <v>850</v>
      </c>
      <c r="B53" s="788" t="s">
        <v>110</v>
      </c>
      <c r="C53" s="793"/>
      <c r="D53" s="894">
        <v>322321350</v>
      </c>
      <c r="E53" s="586"/>
      <c r="F53" s="692">
        <v>385346226</v>
      </c>
      <c r="G53" s="586"/>
      <c r="H53" s="586">
        <v>357359247.40606064</v>
      </c>
      <c r="I53" s="595"/>
      <c r="J53" s="595">
        <v>356668527</v>
      </c>
      <c r="K53" s="586"/>
      <c r="L53" s="586">
        <v>390581906.45036364</v>
      </c>
      <c r="M53" s="586"/>
      <c r="N53" s="586">
        <v>369919833.06151509</v>
      </c>
      <c r="O53" s="586"/>
      <c r="P53" s="586">
        <v>217696033.05454546</v>
      </c>
      <c r="Q53" s="589"/>
      <c r="R53" s="589">
        <v>317673802.95082188</v>
      </c>
      <c r="S53" s="586"/>
      <c r="T53" s="586">
        <v>680648758.23660612</v>
      </c>
      <c r="U53" s="586"/>
      <c r="V53" s="586">
        <v>414942887.15951514</v>
      </c>
      <c r="W53" s="586"/>
      <c r="X53" s="1764">
        <f>X54-SUM(X48:X52)</f>
        <v>71374126.99999994</v>
      </c>
      <c r="Y53" s="692"/>
      <c r="Z53" s="1760">
        <f>Z54-SUM(Z48:Z52)</f>
        <v>69596301</v>
      </c>
      <c r="AA53" s="692"/>
      <c r="AB53" s="1235">
        <f>AB54-SUM(AB48:AB52)</f>
        <v>160025306</v>
      </c>
      <c r="AC53" s="1235"/>
      <c r="AD53" s="1235">
        <f>AD54-SUM(AD48:AD52)</f>
        <v>102570200</v>
      </c>
      <c r="AE53" s="1235"/>
      <c r="AF53" s="1235">
        <f>AF54-SUM(AF48:AF52)</f>
        <v>104403291.00000006</v>
      </c>
      <c r="AG53" s="1235"/>
      <c r="AH53" s="1235">
        <f>AH54-SUM(AH48:AH52)</f>
        <v>125956511</v>
      </c>
      <c r="AI53" s="586"/>
      <c r="AJ53" s="692">
        <f>SUMIF($C$9:AH$9,0,$C53:AH53)</f>
        <v>4447084307.3194275</v>
      </c>
      <c r="AL53" s="571"/>
      <c r="AM53" s="571"/>
      <c r="AN53" s="571"/>
      <c r="AO53" s="571"/>
      <c r="AS53" s="42"/>
      <c r="AT53" s="42"/>
    </row>
    <row r="54" spans="1:46" s="541" customFormat="1">
      <c r="A54" s="596" t="s">
        <v>547</v>
      </c>
      <c r="B54" s="638"/>
      <c r="C54" s="592"/>
      <c r="D54" s="692">
        <f>SUMIF('Mineral Sands - Q&amp;V'!$D8:$D250,'CY Q&amp;V 2004-Now'!C7,'Mineral Sands - Q&amp;V'!$C8:$C250)*1000000</f>
        <v>764910779.21212125</v>
      </c>
      <c r="E54" s="586"/>
      <c r="F54" s="692">
        <f>SUMIF('Mineral Sands - Q&amp;V'!$D8:$D250,'CY Q&amp;V 2004-Now'!E7,'Mineral Sands - Q&amp;V'!$C8:$C250)*1000000</f>
        <v>846793591.63939393</v>
      </c>
      <c r="G54" s="586"/>
      <c r="H54" s="692">
        <f>SUMIF('Mineral Sands - Q&amp;V'!$D8:$D250,'CY Q&amp;V 2004-Now'!G7,'Mineral Sands - Q&amp;V'!$C8:$C250)*1000000</f>
        <v>886262810.36130917</v>
      </c>
      <c r="I54" s="595"/>
      <c r="J54" s="692">
        <f>SUMIF('Mineral Sands - Q&amp;V'!$D8:$D250,'CY Q&amp;V 2004-Now'!I7,'Mineral Sands - Q&amp;V'!$C8:$C250)*1000000</f>
        <v>691055713.60429811</v>
      </c>
      <c r="K54" s="586"/>
      <c r="L54" s="692">
        <f>SUMIF('Mineral Sands - Q&amp;V'!$D8:$D250,'CY Q&amp;V 2004-Now'!K7,'Mineral Sands - Q&amp;V'!$C8:$C250)*1000000</f>
        <v>777136717.99124885</v>
      </c>
      <c r="M54" s="586"/>
      <c r="N54" s="692">
        <f>SUMIF('Mineral Sands - Q&amp;V'!$D8:$D250,'CY Q&amp;V 2004-Now'!M7,'Mineral Sands - Q&amp;V'!$C8:$C250)*1000000</f>
        <v>641830940.86659384</v>
      </c>
      <c r="O54" s="586"/>
      <c r="P54" s="692">
        <f>SUMIF('Mineral Sands - Q&amp;V'!$D8:$D250,'CY Q&amp;V 2004-Now'!O7,'Mineral Sands - Q&amp;V'!$C8:$C250)*1000000</f>
        <v>526470515.44375753</v>
      </c>
      <c r="Q54" s="589"/>
      <c r="R54" s="692">
        <f>SUMIF('Mineral Sands - Q&amp;V'!$D8:$D250,'CY Q&amp;V 2004-Now'!Q7,'Mineral Sands - Q&amp;V'!$C8:$C250)*1000000</f>
        <v>591622104.60567033</v>
      </c>
      <c r="S54" s="586"/>
      <c r="T54" s="692">
        <f>SUMIF('Mineral Sands - Q&amp;V'!$D8:$D250,'CY Q&amp;V 2004-Now'!S7,'Mineral Sands - Q&amp;V'!$C8:$C250)*1000000</f>
        <v>970807032.06660604</v>
      </c>
      <c r="U54" s="586"/>
      <c r="V54" s="692">
        <f>SUMIF('Mineral Sands - Q&amp;V'!$D8:$D250,'CY Q&amp;V 2004-Now'!U7,'Mineral Sands - Q&amp;V'!$C8:$C250)*1000000</f>
        <v>645165237.5995152</v>
      </c>
      <c r="W54" s="586"/>
      <c r="X54" s="586">
        <f>SUMIF('Mineral Sands - Q&amp;V'!$D8:$D250,'CY Q&amp;V 2004-Now'!W7,'Mineral Sands - Q&amp;V'!$C8:$C250)*1000000</f>
        <v>405238033.86666662</v>
      </c>
      <c r="Y54" s="692"/>
      <c r="Z54" s="692">
        <v>586413597.36441708</v>
      </c>
      <c r="AA54" s="692"/>
      <c r="AB54" s="1234">
        <f>SUMIF('Mineral Sands - Q&amp;V'!$D$8:$D$261,$AA$7,'Mineral Sands - Q&amp;V'!$C8:$C261)*1000000</f>
        <v>612464028.01084828</v>
      </c>
      <c r="AC54" s="1234"/>
      <c r="AD54" s="1234">
        <f>SUMIF('Mineral Sands - Q&amp;V'!$D$8:$D$261,$AC$7,'Mineral Sands - Q&amp;V'!$C8:$C261)*1000000</f>
        <v>513509162.81765264</v>
      </c>
      <c r="AE54" s="1234"/>
      <c r="AF54" s="1234">
        <f>SUMIF('Mineral Sands - Q&amp;V'!$D$8:$D$261,$AE$7,'Mineral Sands - Q&amp;V'!$C8:$C261)*1000000</f>
        <v>628097787.39685094</v>
      </c>
      <c r="AG54" s="1234"/>
      <c r="AH54" s="1234">
        <f>SUMIF('Mineral Sands - Q&amp;V'!$D$8:$D$261,$AG$7,'Mineral Sands - Q&amp;V'!$C8:$C261)*1000000</f>
        <v>668679312.26340795</v>
      </c>
      <c r="AI54" s="586"/>
      <c r="AJ54" s="692">
        <f>SUMIF($C$9:AH$9,0,$C54:AH54)</f>
        <v>10756457365.110357</v>
      </c>
      <c r="AL54" s="571"/>
      <c r="AM54" s="571"/>
      <c r="AN54" s="571"/>
      <c r="AO54" s="571"/>
      <c r="AS54" s="42"/>
      <c r="AT54" s="42"/>
    </row>
    <row r="55" spans="1:46" s="541" customFormat="1">
      <c r="A55" s="596"/>
      <c r="B55" s="638"/>
      <c r="C55" s="430"/>
      <c r="D55" s="920"/>
      <c r="E55" s="586"/>
      <c r="F55" s="586"/>
      <c r="G55" s="586"/>
      <c r="H55" s="586"/>
      <c r="I55" s="586"/>
      <c r="J55" s="586"/>
      <c r="K55" s="586"/>
      <c r="L55" s="586"/>
      <c r="M55" s="586"/>
      <c r="N55" s="586"/>
      <c r="O55" s="586"/>
      <c r="P55" s="586"/>
      <c r="Q55" s="589"/>
      <c r="R55" s="589"/>
      <c r="S55" s="586"/>
      <c r="T55" s="586"/>
      <c r="U55" s="586"/>
      <c r="V55" s="586"/>
      <c r="W55" s="586"/>
      <c r="X55" s="586"/>
      <c r="Y55" s="600"/>
      <c r="Z55" s="600"/>
      <c r="AA55" s="600"/>
      <c r="AB55" s="1239"/>
      <c r="AC55" s="1239"/>
      <c r="AD55" s="1239"/>
      <c r="AE55" s="1234"/>
      <c r="AF55" s="1234"/>
      <c r="AG55" s="1239"/>
      <c r="AH55" s="1239"/>
      <c r="AI55" s="586"/>
      <c r="AJ55" s="586"/>
      <c r="AL55" s="571"/>
      <c r="AM55" s="571"/>
      <c r="AN55" s="571"/>
      <c r="AO55" s="571"/>
      <c r="AS55" s="42"/>
      <c r="AT55" s="42"/>
    </row>
    <row r="56" spans="1:46" s="541" customFormat="1">
      <c r="A56" s="577" t="s">
        <v>284</v>
      </c>
      <c r="B56" s="580" t="s">
        <v>110</v>
      </c>
      <c r="C56" s="579">
        <f>SUMIF('Iron Ore - Q&amp;V'!$F8:$F250,'CY Q&amp;V 2004-Now'!C7,'Iron Ore - Q&amp;V'!$D8:$D250)*1000000</f>
        <v>213531629.07000002</v>
      </c>
      <c r="D56" s="921">
        <f>SUMIF('Iron Ore - Q&amp;V'!$F8:$F250,'CY Q&amp;V 2004-Now'!C7,'Iron Ore - Q&amp;V'!$E8:$E250)*1000000</f>
        <v>6192976319.1399994</v>
      </c>
      <c r="E56" s="579">
        <f>SUMIF('Iron Ore - Q&amp;V'!$F8:$F250,'CY Q&amp;V 2004-Now'!E7,'Iron Ore - Q&amp;V'!$D8:$D250)*1000000</f>
        <v>240501673.69000003</v>
      </c>
      <c r="F56" s="579">
        <f>SUMIF('Iron Ore - Q&amp;V'!$F8:$F250,'CY Q&amp;V 2004-Now'!E7,'Iron Ore - Q&amp;V'!$E8:$E250)*1000000</f>
        <v>11308717944.99</v>
      </c>
      <c r="G56" s="691">
        <f>SUMIF('Iron Ore - Q&amp;V'!$F8:$F250,'CY Q&amp;V 2004-Now'!G7,'Iron Ore - Q&amp;V'!$D8:$D250)*1000000</f>
        <v>250325766.36199999</v>
      </c>
      <c r="H56" s="691">
        <f>SUMIF('Iron Ore - Q&amp;V'!$F8:$F250,'CY Q&amp;V 2004-Now'!G7,'Iron Ore - Q&amp;V'!$E8:$E250)*1000000</f>
        <v>14780092745.67</v>
      </c>
      <c r="I56" s="691">
        <f>SUMIF('Iron Ore - Q&amp;V'!$F8:$F250,'CY Q&amp;V 2004-Now'!I7,'Iron Ore - Q&amp;V'!$D8:$D250)*1000000</f>
        <v>264449152.05099994</v>
      </c>
      <c r="J56" s="691">
        <f>SUMIF('Iron Ore - Q&amp;V'!$F8:$F250,'CY Q&amp;V 2004-Now'!I7,'Iron Ore - Q&amp;V'!$E8:$E250)*1000000</f>
        <v>16135903953.440001</v>
      </c>
      <c r="K56" s="691">
        <f>SUMIF('Iron Ore - Q&amp;V'!$F8:$F250,'CY Q&amp;V 2004-Now'!K7,'Iron Ore - Q&amp;V'!$D8:$D250)*1000000</f>
        <v>305884472.68200004</v>
      </c>
      <c r="L56" s="691">
        <f>SUMIF('Iron Ore - Q&amp;V'!$F8:$F250,'CY Q&amp;V 2004-Now'!K7,'Iron Ore - Q&amp;V'!$E8:$E250)*1000000</f>
        <v>31909855018.219997</v>
      </c>
      <c r="M56" s="691">
        <f>SUMIF('Iron Ore - Q&amp;V'!$F8:$F250,'CY Q&amp;V 2004-Now'!M7,'Iron Ore - Q&amp;V'!$D8:$D250)*1000000</f>
        <v>356069646.30899996</v>
      </c>
      <c r="N56" s="691">
        <f>SUMIF('Iron Ore - Q&amp;V'!$F8:$F250,'CY Q&amp;V 2004-Now'!M7,'Iron Ore - Q&amp;V'!$E8:$E250)*1000000</f>
        <v>28133427135.669998</v>
      </c>
      <c r="O56" s="691">
        <f>SUMIF('Iron Ore - Q&amp;V'!$F8:$F250,'CY Q&amp;V 2004-Now'!O7,'Iron Ore - Q&amp;V'!$D8:$D250)*1000000</f>
        <v>393851157.06600004</v>
      </c>
      <c r="P56" s="691">
        <f>SUMIF('Iron Ore - Q&amp;V'!$F8:$F250,'CY Q&amp;V 2004-Now'!O7,'Iron Ore - Q&amp;V'!$E8:$E250)*1000000</f>
        <v>50262149327.229996</v>
      </c>
      <c r="Q56" s="691">
        <f>SUMIF('Iron Ore - Q&amp;V'!$F8:$F250,'CY Q&amp;V 2004-Now'!Q7,'Iron Ore - Q&amp;V'!$D8:$D250)*1000000</f>
        <v>426672879.69499999</v>
      </c>
      <c r="R56" s="691">
        <f>SUMIF('Iron Ore - Q&amp;V'!$F8:$F250,'CY Q&amp;V 2004-Now'!Q7,'Iron Ore - Q&amp;V'!$E8:$E250)*1000000</f>
        <v>62863290517.729996</v>
      </c>
      <c r="S56" s="691">
        <f>SUMIF('Iron Ore - Q&amp;V'!$F8:$F250,'CY Q&amp;V 2004-Now'!S7,'Iron Ore - Q&amp;V'!$D8:$D250)*1000000</f>
        <v>478326216.88999999</v>
      </c>
      <c r="T56" s="691">
        <f>SUMIF('Iron Ore - Q&amp;V'!$F8:$F250,'CY Q&amp;V 2004-Now'!S7,'Iron Ore - Q&amp;V'!$E8:$E250)*1000000</f>
        <v>52823916640.019997</v>
      </c>
      <c r="U56" s="691">
        <f>SUMIF('Iron Ore - Q&amp;V'!$F8:$F250,'CY Q&amp;V 2004-Now'!U7,'Iron Ore - Q&amp;V'!$D8:$D250)*1000000</f>
        <v>554937833.38100004</v>
      </c>
      <c r="V56" s="691">
        <f>SUMIF('Iron Ore - Q&amp;V'!$F8:$F250,'CY Q&amp;V 2004-Now'!U7,'Iron Ore - Q&amp;V'!$E8:$E250)*1000000</f>
        <v>70384424735.240005</v>
      </c>
      <c r="W56" s="691">
        <f>SUMIF('Iron Ore - Q&amp;V'!$F8:$F250,'CY Q&amp;V 2004-Now'!W7,'Iron Ore - Q&amp;V'!$D8:$D250)*1000000</f>
        <v>686234258.61200011</v>
      </c>
      <c r="X56" s="691">
        <f>SUMIF('Iron Ore - Q&amp;V'!$F8:$F250,'CY Q&amp;V 2004-Now'!W7,'Iron Ore - Q&amp;V'!$E8:$E250)*1000000</f>
        <v>65053440010.000008</v>
      </c>
      <c r="Y56" s="691">
        <f>SUMIF('Iron Ore - Q&amp;V'!$F8:$F250,'CY Q&amp;V 2004-Now'!Y7,'Iron Ore - Q&amp;V'!$D8:$D250)*1000000</f>
        <v>742394106.78799999</v>
      </c>
      <c r="Z56" s="691">
        <f>SUMIF('Iron Ore - Q&amp;V'!$F8:$F250,'CY Q&amp;V 2004-Now'!Y7,'Iron Ore - Q&amp;V'!$E8:$E250)*1000000</f>
        <v>49630774951</v>
      </c>
      <c r="AA56" s="691">
        <f>SUMIF('Iron Ore - Q&amp;V'!$F8:$F250,'CY Q&amp;V 2004-Now'!AA7,'Iron Ore - Q&amp;V'!$D8:$D250)*1000000</f>
        <v>769277521.14499998</v>
      </c>
      <c r="AB56" s="1233">
        <f>SUMIF('Iron Ore - Q&amp;V'!$F8:$F250,'CY Q&amp;V 2004-Now'!AA7,'Iron Ore - Q&amp;V'!$E8:$E250)*1000000</f>
        <v>55609172696.999992</v>
      </c>
      <c r="AC56" s="1233">
        <f>SUMIF('Iron Ore - Q&amp;V'!$F8:$F250,'CY Q&amp;V 2004-Now'!AC7,'Iron Ore - Q&amp;V'!$D8:$D250)*1000000</f>
        <v>814119534.71399999</v>
      </c>
      <c r="AD56" s="1233">
        <f>SUMIF('Iron Ore - Q&amp;V'!$F8:$F250,'CY Q&amp;V 2004-Now'!AC7,'Iron Ore - Q&amp;V'!$E8:$E250)*1000000</f>
        <v>63829415272</v>
      </c>
      <c r="AE56" s="1233">
        <f>SUMIF('Iron Ore - Q&amp;V'!$F8:$F250,'CY Q&amp;V 2004-Now'!AE7,'Iron Ore - Q&amp;V'!$D8:$D250)*1000000</f>
        <v>813577820.15700006</v>
      </c>
      <c r="AF56" s="1233">
        <f>SUMIF('Iron Ore - Q&amp;V'!$F8:$F250,'CY Q&amp;V 2004-Now'!AE7,'Iron Ore - Q&amp;V'!$E8:$E250)*1000000</f>
        <v>65236000407.999992</v>
      </c>
      <c r="AG56" s="1233">
        <f>SUMIF('Iron Ore - Q&amp;V'!$F8:$F250,'CY Q&amp;V 2004-Now'!AG7,'Iron Ore - Q&amp;V'!$D8:$D250)*1000000</f>
        <v>810312792.73699999</v>
      </c>
      <c r="AH56" s="1233">
        <f>SUMIF('Iron Ore - Q&amp;V'!$F8:$F250,'CY Q&amp;V 2004-Now'!AG7,'Iron Ore - Q&amp;V'!$E8:$E250)*1000000</f>
        <v>97675628392</v>
      </c>
      <c r="AI56" s="579">
        <f>SUMIF($C$9:AH$9,1,$C56:AH56)</f>
        <v>8120466461.348999</v>
      </c>
      <c r="AJ56" s="579">
        <f>SUMIF($C$9:AH$9,0,$C56:AH56)</f>
        <v>741829186067.34998</v>
      </c>
      <c r="AK56" s="624"/>
      <c r="AL56" s="571"/>
      <c r="AM56" s="571"/>
      <c r="AN56" s="571"/>
      <c r="AO56" s="571"/>
      <c r="AS56" s="42"/>
      <c r="AT56" s="42"/>
    </row>
    <row r="57" spans="1:46" s="541" customFormat="1">
      <c r="A57" s="611"/>
      <c r="B57" s="603"/>
      <c r="C57" s="603"/>
      <c r="D57" s="921"/>
      <c r="E57" s="579"/>
      <c r="F57" s="579"/>
      <c r="G57" s="579"/>
      <c r="H57" s="579"/>
      <c r="I57" s="581"/>
      <c r="J57" s="581"/>
      <c r="K57" s="579"/>
      <c r="L57" s="579"/>
      <c r="M57" s="579"/>
      <c r="N57" s="579"/>
      <c r="O57" s="579"/>
      <c r="P57" s="579"/>
      <c r="Q57" s="582"/>
      <c r="R57" s="582"/>
      <c r="S57" s="579"/>
      <c r="T57" s="579"/>
      <c r="U57" s="579"/>
      <c r="V57" s="579"/>
      <c r="W57" s="579"/>
      <c r="X57" s="579"/>
      <c r="Y57" s="610"/>
      <c r="Z57" s="691"/>
      <c r="AA57" s="691"/>
      <c r="AB57" s="1233"/>
      <c r="AC57" s="1233"/>
      <c r="AD57" s="1233"/>
      <c r="AE57" s="1233"/>
      <c r="AF57" s="1233"/>
      <c r="AG57" s="1233"/>
      <c r="AH57" s="1233"/>
      <c r="AI57" s="579"/>
      <c r="AJ57" s="579"/>
      <c r="AL57" s="571"/>
      <c r="AM57" s="571"/>
      <c r="AN57" s="571"/>
      <c r="AO57" s="571"/>
      <c r="AS57" s="42"/>
      <c r="AT57" s="42"/>
    </row>
    <row r="58" spans="1:46" s="541" customFormat="1">
      <c r="A58" s="591" t="s">
        <v>290</v>
      </c>
      <c r="B58" s="430"/>
      <c r="C58" s="789">
        <v>4259360</v>
      </c>
      <c r="D58" s="920">
        <v>37974548</v>
      </c>
      <c r="E58" s="586"/>
      <c r="F58" s="692">
        <v>50236068</v>
      </c>
      <c r="G58" s="586"/>
      <c r="H58" s="586">
        <v>28682258</v>
      </c>
      <c r="I58" s="595">
        <v>3814743.85</v>
      </c>
      <c r="J58" s="595">
        <v>19304520.800000001</v>
      </c>
      <c r="K58" s="586">
        <v>3833242.0500000007</v>
      </c>
      <c r="L58" s="586">
        <v>17526640.550000001</v>
      </c>
      <c r="M58" s="586">
        <v>3921431.5100000002</v>
      </c>
      <c r="N58" s="586">
        <v>20451346.75</v>
      </c>
      <c r="O58" s="586">
        <v>3855380.6700000004</v>
      </c>
      <c r="P58" s="586">
        <v>22740018.316345755</v>
      </c>
      <c r="Q58" s="589">
        <v>3780429.983</v>
      </c>
      <c r="R58" s="589">
        <v>31618697.399999999</v>
      </c>
      <c r="S58" s="586">
        <v>4457341.1199999992</v>
      </c>
      <c r="T58" s="586">
        <v>37254338.500000007</v>
      </c>
      <c r="U58" s="586">
        <v>4719722.5</v>
      </c>
      <c r="V58" s="692">
        <v>65813961.500000007</v>
      </c>
      <c r="W58" s="692">
        <v>4857417.3599999994</v>
      </c>
      <c r="X58" s="692">
        <v>30550222</v>
      </c>
      <c r="Y58" s="692">
        <v>4623806.8849999998</v>
      </c>
      <c r="Z58" s="692">
        <v>31276960.420000002</v>
      </c>
      <c r="AA58" s="1205">
        <v>4427227.915000001</v>
      </c>
      <c r="AB58" s="1235">
        <v>28564413.240000002</v>
      </c>
      <c r="AC58" s="1235">
        <v>4086647.8699999996</v>
      </c>
      <c r="AD58" s="1235">
        <v>24739981.129999999</v>
      </c>
      <c r="AE58" s="1235">
        <v>3955714.0760000004</v>
      </c>
      <c r="AF58" s="1235">
        <v>32159428.274</v>
      </c>
      <c r="AG58" s="1235">
        <v>4397905.0599999987</v>
      </c>
      <c r="AH58" s="1235">
        <v>37751872.640386753</v>
      </c>
      <c r="AI58" s="586">
        <f>SUMIF($C$9:AH$9,1,$C58:AH58)</f>
        <v>58990370.848999992</v>
      </c>
      <c r="AJ58" s="586">
        <f>SUMIF($C$9:AH$9,0,$C58:AH58)</f>
        <v>516645275.52073258</v>
      </c>
      <c r="AK58" s="624"/>
      <c r="AL58" s="571"/>
      <c r="AM58" s="571"/>
      <c r="AN58" s="571"/>
      <c r="AO58" s="571"/>
      <c r="AS58" s="42"/>
      <c r="AT58" s="42"/>
    </row>
    <row r="59" spans="1:46" s="541" customFormat="1">
      <c r="A59" s="599"/>
      <c r="B59" s="430"/>
      <c r="C59" s="684"/>
      <c r="D59" s="920"/>
      <c r="E59" s="684"/>
      <c r="F59" s="692"/>
      <c r="G59" s="684"/>
      <c r="H59" s="692"/>
      <c r="I59" s="684"/>
      <c r="J59" s="692"/>
      <c r="K59" s="684"/>
      <c r="L59" s="692"/>
      <c r="M59" s="692"/>
      <c r="N59" s="692"/>
      <c r="O59" s="692"/>
      <c r="P59" s="692"/>
      <c r="Q59" s="692"/>
      <c r="R59" s="692"/>
      <c r="S59" s="692"/>
      <c r="T59" s="692"/>
      <c r="U59" s="692"/>
      <c r="V59" s="692"/>
      <c r="W59" s="692"/>
      <c r="X59" s="692"/>
      <c r="Y59" s="692"/>
      <c r="Z59" s="692"/>
      <c r="AA59" s="229"/>
      <c r="AB59" s="1236"/>
      <c r="AC59" s="1236"/>
      <c r="AD59" s="1236"/>
      <c r="AE59" s="1236"/>
      <c r="AF59" s="1236"/>
      <c r="AG59" s="1236"/>
      <c r="AH59" s="1236"/>
      <c r="AI59" s="692"/>
      <c r="AJ59" s="586"/>
      <c r="AL59" s="571"/>
      <c r="AM59" s="571"/>
      <c r="AN59" s="571"/>
      <c r="AO59" s="571"/>
      <c r="AS59" s="42"/>
      <c r="AT59" s="42"/>
    </row>
    <row r="60" spans="1:46" s="541" customFormat="1">
      <c r="A60" s="577" t="s">
        <v>295</v>
      </c>
      <c r="B60" s="578" t="s">
        <v>110</v>
      </c>
      <c r="C60" s="790">
        <v>275612</v>
      </c>
      <c r="D60" s="923">
        <v>109660229.37</v>
      </c>
      <c r="E60" s="691">
        <v>352402</v>
      </c>
      <c r="F60" s="691">
        <v>129363992.7</v>
      </c>
      <c r="G60" s="579">
        <v>409047</v>
      </c>
      <c r="H60" s="579">
        <v>121674018.04000001</v>
      </c>
      <c r="I60" s="581">
        <v>398980</v>
      </c>
      <c r="J60" s="581">
        <v>190869179.15000001</v>
      </c>
      <c r="K60" s="598">
        <v>341672</v>
      </c>
      <c r="L60" s="598">
        <v>358971004</v>
      </c>
      <c r="M60" s="579">
        <v>630321</v>
      </c>
      <c r="N60" s="598">
        <v>282389057</v>
      </c>
      <c r="O60" s="579">
        <v>744859</v>
      </c>
      <c r="P60" s="598">
        <v>421520073</v>
      </c>
      <c r="Q60" s="691">
        <v>1044534</v>
      </c>
      <c r="R60" s="580" t="s">
        <v>273</v>
      </c>
      <c r="S60" s="691">
        <v>640160</v>
      </c>
      <c r="T60" s="580" t="s">
        <v>273</v>
      </c>
      <c r="U60" s="691">
        <v>718296</v>
      </c>
      <c r="V60" s="687" t="s">
        <v>273</v>
      </c>
      <c r="W60" s="687">
        <v>821197</v>
      </c>
      <c r="X60" s="687" t="s">
        <v>273</v>
      </c>
      <c r="Y60" s="687">
        <v>543408</v>
      </c>
      <c r="Z60" s="687" t="s">
        <v>273</v>
      </c>
      <c r="AA60" s="1761">
        <v>359233.01</v>
      </c>
      <c r="AB60" s="1762">
        <v>85265180</v>
      </c>
      <c r="AC60" s="1762">
        <v>189450.23999999999</v>
      </c>
      <c r="AD60" s="1762" t="s">
        <v>273</v>
      </c>
      <c r="AE60" s="1762">
        <v>554744.22</v>
      </c>
      <c r="AF60" s="1762">
        <v>456739263</v>
      </c>
      <c r="AG60" s="1762">
        <v>557674.84</v>
      </c>
      <c r="AH60" s="1762" t="s">
        <v>273</v>
      </c>
      <c r="AI60" s="579">
        <f>SUMIF($C$9:AH$9,1,$C60:AH60)</f>
        <v>8581590.3100000005</v>
      </c>
      <c r="AJ60" s="598">
        <f>SUMIF($C$9:AH$9,0,$C60:AH60)</f>
        <v>2156451996.2600002</v>
      </c>
      <c r="AK60" s="624"/>
      <c r="AL60" s="571"/>
      <c r="AM60" s="571"/>
      <c r="AN60" s="571"/>
      <c r="AO60" s="571"/>
      <c r="AS60" s="42"/>
      <c r="AT60" s="42"/>
    </row>
    <row r="61" spans="1:46" s="541" customFormat="1">
      <c r="A61" s="574"/>
      <c r="B61" s="1202"/>
      <c r="C61" s="620"/>
      <c r="D61" s="923"/>
      <c r="E61" s="691"/>
      <c r="F61" s="691"/>
      <c r="G61" s="691"/>
      <c r="H61" s="691"/>
      <c r="I61" s="659"/>
      <c r="J61" s="659"/>
      <c r="K61" s="691"/>
      <c r="L61" s="691"/>
      <c r="M61" s="691"/>
      <c r="N61" s="691"/>
      <c r="O61" s="691"/>
      <c r="P61" s="691"/>
      <c r="Q61" s="691"/>
      <c r="R61" s="691"/>
      <c r="S61" s="691"/>
      <c r="T61" s="691"/>
      <c r="U61" s="691"/>
      <c r="V61" s="691"/>
      <c r="W61" s="691"/>
      <c r="X61" s="691"/>
      <c r="Y61" s="691"/>
      <c r="Z61" s="691"/>
      <c r="AA61" s="691"/>
      <c r="AB61" s="1233"/>
      <c r="AC61" s="1233"/>
      <c r="AD61" s="1233"/>
      <c r="AE61" s="1233"/>
      <c r="AF61" s="1233"/>
      <c r="AG61" s="1233"/>
      <c r="AH61" s="1233"/>
      <c r="AI61" s="691"/>
      <c r="AJ61" s="691"/>
      <c r="AL61" s="571"/>
      <c r="AM61" s="571"/>
      <c r="AN61" s="571"/>
      <c r="AO61" s="571"/>
      <c r="AS61" s="42"/>
      <c r="AT61" s="42"/>
    </row>
    <row r="62" spans="1:46" s="541" customFormat="1">
      <c r="A62" s="591" t="s">
        <v>297</v>
      </c>
      <c r="B62" s="594"/>
      <c r="C62" s="594"/>
      <c r="D62" s="894"/>
      <c r="E62" s="692"/>
      <c r="F62" s="692"/>
      <c r="G62" s="692"/>
      <c r="H62" s="692"/>
      <c r="I62" s="604"/>
      <c r="J62" s="604"/>
      <c r="K62" s="692"/>
      <c r="L62" s="692"/>
      <c r="M62" s="692"/>
      <c r="N62" s="692"/>
      <c r="O62" s="692"/>
      <c r="P62" s="692"/>
      <c r="Q62" s="692"/>
      <c r="R62" s="692"/>
      <c r="S62" s="692"/>
      <c r="T62" s="692"/>
      <c r="U62" s="692"/>
      <c r="V62" s="692"/>
      <c r="W62" s="692"/>
      <c r="X62" s="692"/>
      <c r="Y62" s="692"/>
      <c r="Z62" s="692"/>
      <c r="AA62" s="692"/>
      <c r="AB62" s="1234"/>
      <c r="AC62" s="1234"/>
      <c r="AD62" s="1234"/>
      <c r="AE62" s="1234"/>
      <c r="AF62" s="1234"/>
      <c r="AG62" s="1234"/>
      <c r="AH62" s="1234"/>
      <c r="AI62" s="692"/>
      <c r="AJ62" s="692"/>
      <c r="AL62" s="571"/>
      <c r="AM62" s="571"/>
      <c r="AN62" s="571"/>
      <c r="AO62" s="571"/>
      <c r="AS62" s="928"/>
      <c r="AT62" s="928"/>
    </row>
    <row r="63" spans="1:46" s="541" customFormat="1">
      <c r="A63" s="593" t="s">
        <v>343</v>
      </c>
      <c r="B63" s="594" t="s">
        <v>110</v>
      </c>
      <c r="C63" s="789">
        <f>SUMIF('Minor Commodities - Q&amp;V'!$N$8:$N$250,'CY Q&amp;V 2004-Now'!C$7,'Minor Commodities - Q&amp;V'!$J$8:$J$250)*1000</f>
        <v>4396.8679999999995</v>
      </c>
      <c r="D63" s="894">
        <f>SUMIF('Minor Commodities - Q&amp;V'!$N$8:$N$250,'CY Q&amp;V 2004-Now'!C$7,'Minor Commodities - Q&amp;V'!$K$8:$K$250)*1000000</f>
        <v>261187543</v>
      </c>
      <c r="E63" s="604">
        <f>SUMIF('Minor Commodities - Q&amp;V'!$N$8:$N$250,'CY Q&amp;V 2004-Now'!E$7,'Minor Commodities - Q&amp;V'!$J$8:$J$250)*1000</f>
        <v>4567.4600000000009</v>
      </c>
      <c r="F63" s="894">
        <f>SUMIF('Minor Commodities - Q&amp;V'!$N$8:$N$250,'CY Q&amp;V 2004-Now'!E$7,'Minor Commodities - Q&amp;V'!$K$8:$K$250)*1000000</f>
        <v>166932800</v>
      </c>
      <c r="G63" s="604">
        <f>SUMIF('Minor Commodities - Q&amp;V'!$N$8:$N$250,'CY Q&amp;V 2004-Now'!G$7,'Minor Commodities - Q&amp;V'!$J$8:$J$250)*1000</f>
        <v>5128.8249999999998</v>
      </c>
      <c r="H63" s="894">
        <f>SUMIF('Minor Commodities - Q&amp;V'!$N$8:$N$250,'CY Q&amp;V 2004-Now'!G$7,'Minor Commodities - Q&amp;V'!$K$8:$K$250)*1000000</f>
        <v>220425176</v>
      </c>
      <c r="I63" s="604">
        <f>SUMIF('Minor Commodities - Q&amp;V'!$N$8:$N$250,'CY Q&amp;V 2004-Now'!I$7,'Minor Commodities - Q&amp;V'!$J$8:$J$250)*1000</f>
        <v>4730.3459999999995</v>
      </c>
      <c r="J63" s="894">
        <f>SUMIF('Minor Commodities - Q&amp;V'!$N$8:$N$250,'CY Q&amp;V 2004-Now'!I$7,'Minor Commodities - Q&amp;V'!$K$8:$K$250)*1000000</f>
        <v>348990785</v>
      </c>
      <c r="K63" s="604">
        <f>SUMIF('Minor Commodities - Q&amp;V'!$N$8:$N$250,'CY Q&amp;V 2004-Now'!K$7,'Minor Commodities - Q&amp;V'!$J$8:$J$250)*1000</f>
        <v>4784.6750000000002</v>
      </c>
      <c r="L63" s="894">
        <f>SUMIF('Minor Commodities - Q&amp;V'!$N$8:$N$250,'CY Q&amp;V 2004-Now'!K$7,'Minor Commodities - Q&amp;V'!$K$8:$K$250)*1000000</f>
        <v>377659792.00000006</v>
      </c>
      <c r="M63" s="604">
        <f>SUMIF('Minor Commodities - Q&amp;V'!$N$8:$N$250,'CY Q&amp;V 2004-Now'!M$7,'Minor Commodities - Q&amp;V'!$J$8:$J$250)*1000</f>
        <v>4670.387999999999</v>
      </c>
      <c r="N63" s="894">
        <f>SUMIF('Minor Commodities - Q&amp;V'!$N$8:$N$250,'CY Q&amp;V 2004-Now'!M$7,'Minor Commodities - Q&amp;V'!$K$8:$K$250)*1000000</f>
        <v>183872077</v>
      </c>
      <c r="O63" s="604">
        <f>SUMIF('Minor Commodities - Q&amp;V'!$N$8:$N$250,'CY Q&amp;V 2004-Now'!O$7,'Minor Commodities - Q&amp;V'!$J$8:$J$250)*1000</f>
        <v>3943.0120000000006</v>
      </c>
      <c r="P63" s="894">
        <f>SUMIF('Minor Commodities - Q&amp;V'!$N$8:$N$250,'CY Q&amp;V 2004-Now'!O$7,'Minor Commodities - Q&amp;V'!$K$8:$K$250)*1000000</f>
        <v>173787236</v>
      </c>
      <c r="Q63" s="604">
        <f>SUMIF('Minor Commodities - Q&amp;V'!$N$8:$N$250,'CY Q&amp;V 2004-Now'!Q$7,'Minor Commodities - Q&amp;V'!$J$8:$J$250)*1000</f>
        <v>3880</v>
      </c>
      <c r="R63" s="894">
        <f>SUMIF('Minor Commodities - Q&amp;V'!$N$8:$N$250,'CY Q&amp;V 2004-Now'!Q$7,'Minor Commodities - Q&amp;V'!$K$8:$K$250)*1000000</f>
        <v>127995275.99999999</v>
      </c>
      <c r="S63" s="604">
        <f>SUMIF('Minor Commodities - Q&amp;V'!$N$8:$N$250,'CY Q&amp;V 2004-Now'!S$7,'Minor Commodities - Q&amp;V'!$J$8:$J$250)*1000</f>
        <v>5910</v>
      </c>
      <c r="T63" s="894">
        <f>SUMIF('Minor Commodities - Q&amp;V'!$N$8:$N$250,'CY Q&amp;V 2004-Now'!S$7,'Minor Commodities - Q&amp;V'!$K$8:$K$250)*1000000</f>
        <v>155449318</v>
      </c>
      <c r="U63" s="604">
        <f>SUMIF('Minor Commodities - Q&amp;V'!$N$8:$N$250,'CY Q&amp;V 2004-Now'!U$7,'Minor Commodities - Q&amp;V'!$J$8:$J$250)*1000</f>
        <v>6399.9999999999991</v>
      </c>
      <c r="V63" s="894">
        <f>SUMIF('Minor Commodities - Q&amp;V'!$N$8:$N$250,'CY Q&amp;V 2004-Now'!U$7,'Minor Commodities - Q&amp;V'!$K$8:$K$250)*1000000</f>
        <v>171749885</v>
      </c>
      <c r="W63" s="604">
        <f>SUMIF('Minor Commodities - Q&amp;V'!$N$8:$N$250,'CY Q&amp;V 2004-Now'!W$7,'Minor Commodities - Q&amp;V'!$J$8:$J$250)*1000</f>
        <v>6201.2560000000003</v>
      </c>
      <c r="X63" s="894">
        <f>SUMIF('Minor Commodities - Q&amp;V'!$N$8:$N$250,'CY Q&amp;V 2004-Now'!W$7,'Minor Commodities - Q&amp;V'!$K$8:$K$250)*1000000</f>
        <v>197576142</v>
      </c>
      <c r="Y63" s="1231">
        <f>SUMIF('Minor Commodities - Q&amp;V'!$N$8:$N$250,'CY Q&amp;V 2004-Now'!Y$7,'Minor Commodities - Q&amp;V'!$J$8:$J$250)*1000</f>
        <v>5720.6859999999997</v>
      </c>
      <c r="Z63" s="894">
        <f>SUMIF('Minor Commodities - Q&amp;V'!$N$8:$N$250,'CY Q&amp;V 2004-Now'!Y$7,'Minor Commodities - Q&amp;V'!$K$8:$K$250)*1000000</f>
        <v>199471951</v>
      </c>
      <c r="AA63" s="1231">
        <f>SUMIF('Minor Commodities - Q&amp;V'!$N$8:$N$250,'CY Q&amp;V 2004-Now'!AA$7,'Minor Commodities - Q&amp;V'!$J$8:$J$250)*1000</f>
        <v>5139.7489999999998</v>
      </c>
      <c r="AB63" s="1240">
        <f>SUMIF('Minor Commodities - Q&amp;V'!$N$8:$N$250,'CY Q&amp;V 2004-Now'!AA$7,'Minor Commodities - Q&amp;V'!$K$8:$K$250)*1000000</f>
        <v>169378671</v>
      </c>
      <c r="AC63" s="1240">
        <f>SUMIF('Minor Commodities - Q&amp;V'!$N$8:$N$250,'CY Q&amp;V 2004-Now'!AC$7,'Minor Commodities - Q&amp;V'!$J$8:$J$250)*1000</f>
        <v>5033.8279999999995</v>
      </c>
      <c r="AD63" s="1240">
        <f>SUMIF('Minor Commodities - Q&amp;V'!$N$8:$N$250,'CY Q&amp;V 2004-Now'!AC$7,'Minor Commodities - Q&amp;V'!$K$8:$K$250)*1000000</f>
        <v>381220194</v>
      </c>
      <c r="AE63" s="1240">
        <f>SUMIF('Minor Commodities - Q&amp;V'!$N$8:$N$250,'CY Q&amp;V 2004-Now'!AE$7,'Minor Commodities - Q&amp;V'!$J$8:$J$250)*1000</f>
        <v>4878.0980000000009</v>
      </c>
      <c r="AF63" s="1240">
        <f>SUMIF('Minor Commodities - Q&amp;V'!$N$8:$N$250,'CY Q&amp;V 2004-Now'!AE$7,'Minor Commodities - Q&amp;V'!$K$8:$K$250)*1000000</f>
        <v>503216708.00000006</v>
      </c>
      <c r="AG63" s="1240">
        <f>SUMIF('Minor Commodities - Q&amp;V'!$N$8:$N$250,'CY Q&amp;V 2004-Now'!AG$7,'Minor Commodities - Q&amp;V'!$J$8:$J$250)*1000</f>
        <v>5741.6719999999996</v>
      </c>
      <c r="AH63" s="1240">
        <f>SUMIF('Minor Commodities - Q&amp;V'!$N$8:$N$250,'CY Q&amp;V 2004-Now'!AG$7,'Minor Commodities - Q&amp;V'!$K$8:$K$250)*1000000</f>
        <v>259483073</v>
      </c>
      <c r="AI63" s="692">
        <f>SUMIF($C$9:AH$9,1,$C63:AH63)</f>
        <v>81126.862999999998</v>
      </c>
      <c r="AJ63" s="692">
        <f>SUMIF($C$9:AH$9,0,$C63:AH63)</f>
        <v>3898396627</v>
      </c>
      <c r="AK63" s="624"/>
      <c r="AL63" s="571"/>
      <c r="AM63" s="571"/>
      <c r="AN63" s="571"/>
      <c r="AO63" s="571"/>
      <c r="AS63" s="928"/>
      <c r="AT63" s="928"/>
    </row>
    <row r="64" spans="1:46" s="541" customFormat="1">
      <c r="A64" s="593" t="s">
        <v>3</v>
      </c>
      <c r="B64" s="594" t="s">
        <v>110</v>
      </c>
      <c r="C64" s="789">
        <f>SUMIF('Nickel - Q&amp;V'!$D8:$D250,'CY Q&amp;V 2004-Now'!C7,'Nickel - Q&amp;V'!$B8:$B250)*1000</f>
        <v>174701</v>
      </c>
      <c r="D64" s="894">
        <f>SUMIF('Nickel - Q&amp;V'!$D8:$D250,'CY Q&amp;V 2004-Now'!C7,'Nickel - Q&amp;V'!$C8:$C250)*1000000</f>
        <v>3270207822</v>
      </c>
      <c r="E64" s="789">
        <f>SUMIF('Nickel - Q&amp;V'!$D8:$D250,'CY Q&amp;V 2004-Now'!E7,'Nickel - Q&amp;V'!$B8:$B250)*1000</f>
        <v>188362</v>
      </c>
      <c r="F64" s="894">
        <f>SUMIF('Nickel - Q&amp;V'!$D8:$D250,'CY Q&amp;V 2004-Now'!E7,'Nickel - Q&amp;V'!$C8:$C250)*1000000</f>
        <v>3490738470</v>
      </c>
      <c r="G64" s="789">
        <f>SUMIF('Nickel - Q&amp;V'!$D8:$D250,'CY Q&amp;V 2004-Now'!G7,'Nickel - Q&amp;V'!$B8:$B250)*1000</f>
        <v>175087</v>
      </c>
      <c r="H64" s="894">
        <f>SUMIF('Nickel - Q&amp;V'!$D8:$D250,'CY Q&amp;V 2004-Now'!G7,'Nickel - Q&amp;V'!$C8:$C250)*1000000</f>
        <v>5844173432</v>
      </c>
      <c r="I64" s="789">
        <f>SUMIF('Nickel - Q&amp;V'!$D8:$D250,'CY Q&amp;V 2004-Now'!I7,'Nickel - Q&amp;V'!$B8:$B250)*1000</f>
        <v>162492.00000000003</v>
      </c>
      <c r="J64" s="894">
        <f>SUMIF('Nickel - Q&amp;V'!$D8:$D250,'CY Q&amp;V 2004-Now'!I7,'Nickel - Q&amp;V'!$C8:$C250)*1000000</f>
        <v>6901856392</v>
      </c>
      <c r="K64" s="789">
        <f>SUMIF('Nickel - Q&amp;V'!$D8:$D250,'CY Q&amp;V 2004-Now'!K7,'Nickel - Q&amp;V'!$B8:$B250)*1000</f>
        <v>187791</v>
      </c>
      <c r="L64" s="894">
        <f>SUMIF('Nickel - Q&amp;V'!$D8:$D250,'CY Q&amp;V 2004-Now'!K7,'Nickel - Q&amp;V'!$C8:$C250)*1000000</f>
        <v>4059155738</v>
      </c>
      <c r="M64" s="789">
        <f>SUMIF('Nickel - Q&amp;V'!$D8:$D250,'CY Q&amp;V 2004-Now'!M7,'Nickel - Q&amp;V'!$B8:$B250)*1000</f>
        <v>171178</v>
      </c>
      <c r="N64" s="894">
        <f>SUMIF('Nickel - Q&amp;V'!$D8:$D250,'CY Q&amp;V 2004-Now'!M7,'Nickel - Q&amp;V'!$C8:$C250)*1000000</f>
        <v>3352941845</v>
      </c>
      <c r="O64" s="789">
        <f>SUMIF('Nickel - Q&amp;V'!$D8:$D250,'CY Q&amp;V 2004-Now'!O7,'Nickel - Q&amp;V'!$B8:$B250)*1000</f>
        <v>193259</v>
      </c>
      <c r="P64" s="894">
        <f>SUMIF('Nickel - Q&amp;V'!$D8:$D250,'CY Q&amp;V 2004-Now'!O7,'Nickel - Q&amp;V'!$C8:$C250)*1000000</f>
        <v>4550334790</v>
      </c>
      <c r="Q64" s="789">
        <f>SUMIF('Nickel - Q&amp;V'!$D8:$D250,'CY Q&amp;V 2004-Now'!Q7,'Nickel - Q&amp;V'!$B8:$B250)*1000</f>
        <v>185130</v>
      </c>
      <c r="R64" s="894">
        <f>SUMIF('Nickel - Q&amp;V'!$D8:$D250,'CY Q&amp;V 2004-Now'!Q7,'Nickel - Q&amp;V'!$C8:$C250)*1000000</f>
        <v>3951580226</v>
      </c>
      <c r="S64" s="789">
        <f>SUMIF('Nickel - Q&amp;V'!$D8:$D250,'CY Q&amp;V 2004-Now'!S7,'Nickel - Q&amp;V'!$B8:$B250)*1000</f>
        <v>230767.1003574091</v>
      </c>
      <c r="T64" s="894">
        <f>SUMIF('Nickel - Q&amp;V'!$D8:$D250,'CY Q&amp;V 2004-Now'!S7,'Nickel - Q&amp;V'!$C8:$C250)*1000000</f>
        <v>3801194548.54</v>
      </c>
      <c r="U64" s="789">
        <f>SUMIF('Nickel - Q&amp;V'!$D8:$D250,'CY Q&amp;V 2004-Now'!U7,'Nickel - Q&amp;V'!$B8:$B250)*1000</f>
        <v>229730</v>
      </c>
      <c r="V64" s="894">
        <f>SUMIF('Nickel - Q&amp;V'!$D8:$D250,'CY Q&amp;V 2004-Now'!U7,'Nickel - Q&amp;V'!$C8:$C250)*1000000</f>
        <v>3380559515</v>
      </c>
      <c r="W64" s="789">
        <f>SUMIF('Nickel - Q&amp;V'!$D8:$D250,'CY Q&amp;V 2004-Now'!W7,'Nickel - Q&amp;V'!$B8:$B250)*1000</f>
        <v>218563.11600000001</v>
      </c>
      <c r="X64" s="894">
        <f>SUMIF('Nickel - Q&amp;V'!$D8:$D250,'CY Q&amp;V 2004-Now'!W7,'Nickel - Q&amp;V'!$C8:$C250)*1000000</f>
        <v>3582498108</v>
      </c>
      <c r="Y64" s="1232">
        <f>SUMIF('Nickel - Q&amp;V'!$D8:$D250,'CY Q&amp;V 2004-Now'!Y7,'Nickel - Q&amp;V'!$B8:$B250)*1000</f>
        <v>173974.19099999999</v>
      </c>
      <c r="Z64" s="894">
        <f>SUMIF('Nickel - Q&amp;V'!$D8:$D250,'CY Q&amp;V 2004-Now'!Y7,'Nickel - Q&amp;V'!$C8:$C250)*1000000</f>
        <v>2557214478.9999995</v>
      </c>
      <c r="AA64" s="1232">
        <f>SUMIF('Nickel - Q&amp;V'!$D8:$D250,'CY Q&amp;V 2004-Now'!AA7,'Nickel - Q&amp;V'!$B8:$B250)*1000</f>
        <v>165475.67600000001</v>
      </c>
      <c r="AB64" s="1240">
        <f>SUMIF('Nickel - Q&amp;V'!$D8:$D250,'CY Q&amp;V 2004-Now'!AA7,'Nickel - Q&amp;V'!$C8:$C250)*1000000</f>
        <v>2122624423.0000002</v>
      </c>
      <c r="AC64" s="1240">
        <f>SUMIF('Nickel - Q&amp;V'!$D8:$D250,'CY Q&amp;V 2004-Now'!AC7,'Nickel - Q&amp;V'!$B8:$B250)*1000</f>
        <v>165182.95699999999</v>
      </c>
      <c r="AD64" s="1240">
        <f>SUMIF('Nickel - Q&amp;V'!$D8:$D250,'CY Q&amp;V 2004-Now'!AC7,'Nickel - Q&amp;V'!$C8:$C250)*1000000</f>
        <v>2258753167.0000005</v>
      </c>
      <c r="AE64" s="1240">
        <f>SUMIF('Nickel - Q&amp;V'!$D8:$D250,'CY Q&amp;V 2004-Now'!AE7,'Nickel - Q&amp;V'!$B8:$B250)*1000</f>
        <v>149706.005</v>
      </c>
      <c r="AF64" s="1240">
        <f>SUMIF('Nickel - Q&amp;V'!$D8:$D250,'CY Q&amp;V 2004-Now'!AE7,'Nickel - Q&amp;V'!$C8:$C250)*1000000</f>
        <v>2616263650</v>
      </c>
      <c r="AG64" s="1240">
        <f>SUMIF('Nickel - Q&amp;V'!$D8:$D250,'CY Q&amp;V 2004-Now'!AG7,'Nickel - Q&amp;V'!$B8:$B250)*1000</f>
        <v>153924.08000000002</v>
      </c>
      <c r="AH64" s="1240">
        <f>SUMIF('Nickel - Q&amp;V'!$D8:$D250,'CY Q&amp;V 2004-Now'!AG7,'Nickel - Q&amp;V'!$C8:$C250)*1000000</f>
        <v>3111135121</v>
      </c>
      <c r="AI64" s="692">
        <f>SUMIF($C$9:AH$9,1,$C64:AH64)</f>
        <v>2925323.125357409</v>
      </c>
      <c r="AJ64" s="692">
        <f>SUMIF($C$9:AH$9,0,$C64:AH64)</f>
        <v>58851231726.540001</v>
      </c>
      <c r="AK64" s="624"/>
      <c r="AL64" s="571"/>
      <c r="AM64" s="571"/>
      <c r="AN64" s="571"/>
      <c r="AO64" s="571"/>
      <c r="AT64" s="928"/>
    </row>
    <row r="65" spans="1:46" s="541" customFormat="1">
      <c r="A65" s="593" t="s">
        <v>344</v>
      </c>
      <c r="B65" s="594" t="s">
        <v>196</v>
      </c>
      <c r="C65" s="789">
        <f>SUMIF('Minor Commodities - Q&amp;V'!$N$8:$N$250,'CY Q&amp;V 2004-Now'!C$7,'Minor Commodities - Q&amp;V'!$L$8:$L$250)</f>
        <v>1042.01</v>
      </c>
      <c r="D65" s="894">
        <f>SUMIF('Minor Commodities - Q&amp;V'!$N$8:$N$250,'CY Q&amp;V 2004-Now'!C$7,'Minor Commodities - Q&amp;V'!$M$8:$M$250)*1000000</f>
        <v>10567779.999999998</v>
      </c>
      <c r="E65" s="789">
        <f>SUMIF('Minor Commodities - Q&amp;V'!$N$8:$N$250,'CY Q&amp;V 2004-Now'!E$7,'Minor Commodities - Q&amp;V'!$L$8:$L$250)</f>
        <v>661.21</v>
      </c>
      <c r="F65" s="894">
        <f>SUMIF('Minor Commodities - Q&amp;V'!$N$8:$N$250,'CY Q&amp;V 2004-Now'!E$7,'Minor Commodities - Q&amp;V'!$M$8:$M$250)*1000000</f>
        <v>6020111</v>
      </c>
      <c r="G65" s="789">
        <f>SUMIF('Minor Commodities - Q&amp;V'!$N$8:$N$250,'CY Q&amp;V 2004-Now'!G$7,'Minor Commodities - Q&amp;V'!$L$8:$L$250)</f>
        <v>959.08</v>
      </c>
      <c r="H65" s="894">
        <f>SUMIF('Minor Commodities - Q&amp;V'!$N$8:$N$250,'CY Q&amp;V 2004-Now'!G$7,'Minor Commodities - Q&amp;V'!$M$8:$M$250)*1000000</f>
        <v>12505294</v>
      </c>
      <c r="I65" s="789">
        <f>SUMIF('Minor Commodities - Q&amp;V'!$N$8:$N$250,'CY Q&amp;V 2004-Now'!I$7,'Minor Commodities - Q&amp;V'!$L$8:$L$250)</f>
        <v>741.7</v>
      </c>
      <c r="J65" s="894">
        <f>SUMIF('Minor Commodities - Q&amp;V'!$N$8:$N$250,'CY Q&amp;V 2004-Now'!I$7,'Minor Commodities - Q&amp;V'!$M$8:$M$250)*1000000</f>
        <v>10162872</v>
      </c>
      <c r="K65" s="789">
        <f>SUMIF('Minor Commodities - Q&amp;V'!$N$8:$N$250,'CY Q&amp;V 2004-Now'!K$7,'Minor Commodities - Q&amp;V'!$L$8:$L$250)</f>
        <v>709.75</v>
      </c>
      <c r="L65" s="894">
        <f>SUMIF('Minor Commodities - Q&amp;V'!$N$8:$N$250,'CY Q&amp;V 2004-Now'!K$7,'Minor Commodities - Q&amp;V'!$M$8:$M$250)*1000000</f>
        <v>8753701</v>
      </c>
      <c r="M65" s="789">
        <f>SUMIF('Minor Commodities - Q&amp;V'!$N$8:$N$250,'CY Q&amp;V 2004-Now'!M$7,'Minor Commodities - Q&amp;V'!$L$8:$L$250)</f>
        <v>1034.05</v>
      </c>
      <c r="N65" s="894">
        <f>SUMIF('Minor Commodities - Q&amp;V'!$N$8:$N$250,'CY Q&amp;V 2004-Now'!M$7,'Minor Commodities - Q&amp;V'!$M$8:$M$250)*1000000</f>
        <v>10001145</v>
      </c>
      <c r="O65" s="789">
        <f>SUMIF('Minor Commodities - Q&amp;V'!$N$8:$N$250,'CY Q&amp;V 2004-Now'!O$7,'Minor Commodities - Q&amp;V'!$L$8:$L$250)</f>
        <v>781.03</v>
      </c>
      <c r="P65" s="894">
        <f>SUMIF('Minor Commodities - Q&amp;V'!$N$8:$N$250,'CY Q&amp;V 2004-Now'!O$7,'Minor Commodities - Q&amp;V'!$M$8:$M$250)*1000000</f>
        <v>8225481</v>
      </c>
      <c r="Q65" s="789">
        <f>SUMIF('Minor Commodities - Q&amp;V'!$N$8:$N$250,'CY Q&amp;V 2004-Now'!Q$7,'Minor Commodities - Q&amp;V'!$L$8:$L$250)</f>
        <v>438.60690499999998</v>
      </c>
      <c r="R65" s="894">
        <f>SUMIF('Minor Commodities - Q&amp;V'!$N$8:$N$250,'CY Q&amp;V 2004-Now'!Q$7,'Minor Commodities - Q&amp;V'!$M$8:$M$250)*1000000</f>
        <v>10606194</v>
      </c>
      <c r="S65" s="789">
        <f>SUMIF('Minor Commodities - Q&amp;V'!$N$8:$N$250,'CY Q&amp;V 2004-Now'!S$7,'Minor Commodities - Q&amp;V'!$L$8:$L$250)</f>
        <v>706.33281504000001</v>
      </c>
      <c r="T65" s="894">
        <f>SUMIF('Minor Commodities - Q&amp;V'!$N$8:$N$250,'CY Q&amp;V 2004-Now'!S$7,'Minor Commodities - Q&amp;V'!$M$8:$M$250)*1000000</f>
        <v>15679998.159999998</v>
      </c>
      <c r="U65" s="789">
        <f>SUMIF('Minor Commodities - Q&amp;V'!$N$8:$N$250,'CY Q&amp;V 2004-Now'!U$7,'Minor Commodities - Q&amp;V'!$L$8:$L$250)</f>
        <v>786.18942475000006</v>
      </c>
      <c r="V65" s="894">
        <f>SUMIF('Minor Commodities - Q&amp;V'!$N$8:$N$250,'CY Q&amp;V 2004-Now'!U$7,'Minor Commodities - Q&amp;V'!$M$8:$M$250)*1000000</f>
        <v>20442434.100000001</v>
      </c>
      <c r="W65" s="789">
        <f>SUMIF('Minor Commodities - Q&amp;V'!$N$8:$N$250,'CY Q&amp;V 2004-Now'!W$7,'Minor Commodities - Q&amp;V'!$L$8:$L$250)</f>
        <v>765.50463909028417</v>
      </c>
      <c r="X65" s="894">
        <f>SUMIF('Minor Commodities - Q&amp;V'!$N$8:$N$250,'CY Q&amp;V 2004-Now'!W$7,'Minor Commodities - Q&amp;V'!$M$8:$M$250)*1000000</f>
        <v>12210918</v>
      </c>
      <c r="Y65" s="1232">
        <f>SUMIF('Minor Commodities - Q&amp;V'!$N$8:$N$250,'CY Q&amp;V 2004-Now'!Y$7,'Minor Commodities - Q&amp;V'!$L$8:$L$250)</f>
        <v>533.20421058872148</v>
      </c>
      <c r="Z65" s="894">
        <f>SUMIF('Minor Commodities - Q&amp;V'!$N$8:$N$250,'CY Q&amp;V 2004-Now'!Y$7,'Minor Commodities - Q&amp;V'!$M$8:$M$250)*1000000</f>
        <v>14706059.999999998</v>
      </c>
      <c r="AA65" s="1232">
        <f>SUMIF('Minor Commodities - Q&amp;V'!$N$8:$N$250,'CY Q&amp;V 2004-Now'!AA$7,'Minor Commodities - Q&amp;V'!$L$8:$L$250)</f>
        <v>762.21267344101375</v>
      </c>
      <c r="AB65" s="1240">
        <f>SUMIF('Minor Commodities - Q&amp;V'!$N$8:$N$250,'CY Q&amp;V 2004-Now'!AA$7,'Minor Commodities - Q&amp;V'!$M$8:$M$250)*1000000</f>
        <v>18245303</v>
      </c>
      <c r="AC65" s="1240">
        <f>SUMIF('Minor Commodities - Q&amp;V'!$N$8:$N$250,'CY Q&amp;V 2004-Now'!AC$7,'Minor Commodities - Q&amp;V'!$L$8:$L$250)</f>
        <v>765.1508987362638</v>
      </c>
      <c r="AD65" s="1240">
        <f>SUMIF('Minor Commodities - Q&amp;V'!$N$8:$N$250,'CY Q&amp;V 2004-Now'!AC$7,'Minor Commodities - Q&amp;V'!$M$8:$M$250)*1000000</f>
        <v>25510372.000000004</v>
      </c>
      <c r="AE65" s="1240">
        <f>SUMIF('Minor Commodities - Q&amp;V'!$N$8:$N$250,'CY Q&amp;V 2004-Now'!AE$7,'Minor Commodities - Q&amp;V'!$L$8:$L$250)</f>
        <v>540.76377808259224</v>
      </c>
      <c r="AF65" s="1240">
        <f>SUMIF('Minor Commodities - Q&amp;V'!$N$8:$N$250,'CY Q&amp;V 2004-Now'!AE$7,'Minor Commodities - Q&amp;V'!$M$8:$M$250)*1000000</f>
        <v>23825429</v>
      </c>
      <c r="AG65" s="1240">
        <f>SUMIF('Minor Commodities - Q&amp;V'!$N$8:$N$250,'CY Q&amp;V 2004-Now'!AG$7,'Minor Commodities - Q&amp;V'!$L$8:$L$250)</f>
        <v>483.22618170055392</v>
      </c>
      <c r="AH65" s="1240">
        <f>SUMIF('Minor Commodities - Q&amp;V'!$N$8:$N$250,'CY Q&amp;V 2004-Now'!AG$7,'Minor Commodities - Q&amp;V'!$M$8:$M$250)*1000000</f>
        <v>32606871.000000004</v>
      </c>
      <c r="AI65" s="692">
        <f>SUMIF($C$9:AH$9,1,$C65:AH65)</f>
        <v>11710.021526429429</v>
      </c>
      <c r="AJ65" s="692">
        <f>SUMIF($C$9:AH$9,0,$C65:AH65)</f>
        <v>240069963.25999999</v>
      </c>
      <c r="AL65" s="571"/>
      <c r="AM65" s="571"/>
      <c r="AN65" s="571"/>
      <c r="AO65" s="571"/>
      <c r="AT65" s="928"/>
    </row>
    <row r="66" spans="1:46" s="541" customFormat="1">
      <c r="A66" s="596" t="s">
        <v>301</v>
      </c>
      <c r="B66" s="794"/>
      <c r="C66" s="794"/>
      <c r="D66" s="894">
        <f>SUM(D63:D65)</f>
        <v>3541963145</v>
      </c>
      <c r="E66" s="692"/>
      <c r="F66" s="894">
        <f>SUM(F63:F65)</f>
        <v>3663691381</v>
      </c>
      <c r="G66" s="692"/>
      <c r="H66" s="894">
        <f>SUM(H63:H65)</f>
        <v>6077103902</v>
      </c>
      <c r="I66" s="670"/>
      <c r="J66" s="894">
        <f>SUM(J63:J65)</f>
        <v>7261010049</v>
      </c>
      <c r="K66" s="692"/>
      <c r="L66" s="894">
        <f>SUM(L63:L65)</f>
        <v>4445569231</v>
      </c>
      <c r="M66" s="692"/>
      <c r="N66" s="894">
        <f>SUM(N63:N65)</f>
        <v>3546815067</v>
      </c>
      <c r="O66" s="692"/>
      <c r="P66" s="894">
        <f>SUM(P63:P65)</f>
        <v>4732347507</v>
      </c>
      <c r="Q66" s="692"/>
      <c r="R66" s="894">
        <f>SUM(R63:R65)</f>
        <v>4090181696</v>
      </c>
      <c r="S66" s="692"/>
      <c r="T66" s="894">
        <f>SUM(T63:T65)</f>
        <v>3972323864.6999998</v>
      </c>
      <c r="U66" s="692"/>
      <c r="V66" s="894">
        <f>SUM(V63:V65)</f>
        <v>3572751834.0999999</v>
      </c>
      <c r="W66" s="692"/>
      <c r="X66" s="894">
        <f>SUM(X63:X65)</f>
        <v>3792285168</v>
      </c>
      <c r="Y66" s="692"/>
      <c r="Z66" s="894">
        <f>SUM(Z63:Z65)</f>
        <v>2771392489.9999995</v>
      </c>
      <c r="AA66" s="894"/>
      <c r="AB66" s="1240">
        <f>SUM(AB63:AB65)</f>
        <v>2310248397</v>
      </c>
      <c r="AC66" s="1240"/>
      <c r="AD66" s="1240">
        <f>SUM(AD63:AD65)</f>
        <v>2665483733.0000005</v>
      </c>
      <c r="AE66" s="1240"/>
      <c r="AF66" s="1240">
        <f>SUM(AF63:AF65)</f>
        <v>3143305787</v>
      </c>
      <c r="AG66" s="1240"/>
      <c r="AH66" s="1240">
        <f>SUM(AH63:AH65)</f>
        <v>3403225065</v>
      </c>
      <c r="AI66" s="692"/>
      <c r="AJ66" s="692">
        <f>SUMIF($C$9:AH$9,0,$C66:AH66)</f>
        <v>62989698316.799995</v>
      </c>
      <c r="AL66" s="571"/>
      <c r="AM66" s="571"/>
      <c r="AN66" s="571"/>
      <c r="AO66" s="571"/>
      <c r="AT66" s="928"/>
    </row>
    <row r="67" spans="1:46" s="541" customFormat="1">
      <c r="A67" s="599" t="s">
        <v>304</v>
      </c>
      <c r="B67" s="794"/>
      <c r="C67" s="692"/>
      <c r="D67" s="920"/>
      <c r="E67" s="692"/>
      <c r="F67" s="692"/>
      <c r="G67" s="692"/>
      <c r="H67" s="692"/>
      <c r="I67" s="684"/>
      <c r="J67" s="929"/>
      <c r="K67" s="692"/>
      <c r="L67" s="692"/>
      <c r="M67" s="692"/>
      <c r="N67" s="692"/>
      <c r="O67" s="692"/>
      <c r="P67" s="692"/>
      <c r="Q67" s="692"/>
      <c r="R67" s="692"/>
      <c r="S67" s="692"/>
      <c r="T67" s="692"/>
      <c r="U67" s="692"/>
      <c r="V67" s="692"/>
      <c r="W67" s="692"/>
      <c r="X67" s="692"/>
      <c r="Y67" s="692"/>
      <c r="Z67" s="692"/>
      <c r="AA67" s="692"/>
      <c r="AB67" s="692"/>
      <c r="AC67" s="692"/>
      <c r="AD67" s="692"/>
      <c r="AE67" s="692"/>
      <c r="AF67" s="692"/>
      <c r="AG67" s="692"/>
      <c r="AH67" s="692"/>
      <c r="AI67" s="692"/>
      <c r="AJ67" s="692"/>
      <c r="AL67" s="571"/>
      <c r="AM67" s="571"/>
      <c r="AN67" s="571"/>
      <c r="AO67" s="571"/>
      <c r="AT67" s="928"/>
    </row>
    <row r="68" spans="1:46" s="541" customFormat="1">
      <c r="A68" s="577" t="s">
        <v>305</v>
      </c>
      <c r="B68" s="603"/>
      <c r="C68" s="603"/>
      <c r="D68" s="921"/>
      <c r="E68" s="579"/>
      <c r="F68" s="579"/>
      <c r="G68" s="579"/>
      <c r="H68" s="579"/>
      <c r="I68" s="612"/>
      <c r="J68" s="612"/>
      <c r="K68" s="579"/>
      <c r="L68" s="579"/>
      <c r="M68" s="579"/>
      <c r="N68" s="579"/>
      <c r="O68" s="579"/>
      <c r="P68" s="579"/>
      <c r="Q68" s="582"/>
      <c r="R68" s="582"/>
      <c r="S68" s="579"/>
      <c r="T68" s="579"/>
      <c r="U68" s="579"/>
      <c r="V68" s="579"/>
      <c r="W68" s="579"/>
      <c r="X68" s="579"/>
      <c r="Y68" s="691"/>
      <c r="Z68" s="691"/>
      <c r="AA68" s="691"/>
      <c r="AB68" s="691"/>
      <c r="AC68" s="691"/>
      <c r="AD68" s="691"/>
      <c r="AE68" s="691"/>
      <c r="AF68" s="691"/>
      <c r="AG68" s="691"/>
      <c r="AH68" s="691"/>
      <c r="AI68" s="579"/>
      <c r="AJ68" s="579"/>
      <c r="AL68" s="571"/>
      <c r="AM68" s="571"/>
      <c r="AN68" s="571"/>
      <c r="AO68" s="571"/>
      <c r="AT68" s="42"/>
    </row>
    <row r="69" spans="1:46" s="541" customFormat="1">
      <c r="A69" s="613" t="s">
        <v>97</v>
      </c>
      <c r="B69" s="578" t="s">
        <v>306</v>
      </c>
      <c r="C69" s="579">
        <f>SUMIF('Petroleum - Q&amp;V1'!$H8:$H250,'CY Q&amp;V 2004-Now'!C7,'Petroleum - Q&amp;V1'!$D8:$D250)*1000000</f>
        <v>5483402</v>
      </c>
      <c r="D69" s="921">
        <f>SUMIF('Petroleum - Q&amp;V1'!$H8:$H250,'CY Q&amp;V 2004-Now'!C7,'Petroleum - Q&amp;V1'!$E8:$E250)*1000000</f>
        <v>2022972111</v>
      </c>
      <c r="E69" s="579">
        <f>SUMIF('Petroleum - Q&amp;V1'!$H8:$H250,'CY Q&amp;V 2004-Now'!E7,'Petroleum - Q&amp;V1'!$D8:$D250)*1000000</f>
        <v>5884500</v>
      </c>
      <c r="F69" s="579">
        <f>SUMIF('Petroleum - Q&amp;V1'!$H8:$H250,'CY Q&amp;V 2004-Now'!E7,'Petroleum - Q&amp;V1'!$E8:$E250)*1000000</f>
        <v>2576899599</v>
      </c>
      <c r="G69" s="579">
        <f>SUMIF('Petroleum - Q&amp;V1'!$H8:$H250,'CY Q&amp;V 2004-Now'!G7,'Petroleum - Q&amp;V1'!$D8:$D250)*1000000</f>
        <v>5609151</v>
      </c>
      <c r="H69" s="579">
        <f>SUMIF('Petroleum - Q&amp;V1'!$H8:$H250,'CY Q&amp;V 2004-Now'!G7,'Petroleum - Q&amp;V1'!$E8:$E250)*1000000</f>
        <v>2940186079</v>
      </c>
      <c r="I69" s="579">
        <f>SUMIF('Petroleum - Q&amp;V1'!$H8:$H250,'CY Q&amp;V 2004-Now'!I7,'Petroleum - Q&amp;V1'!$D8:$D250)*1000000</f>
        <v>5855654</v>
      </c>
      <c r="J69" s="579">
        <f>SUMIF('Petroleum - Q&amp;V1'!$H8:$H250,'CY Q&amp;V 2004-Now'!I7,'Petroleum - Q&amp;V1'!$E8:$E250)*1000000</f>
        <v>3236755018</v>
      </c>
      <c r="K69" s="579">
        <f>SUMIF('Petroleum - Q&amp;V1'!$H8:$H250,'CY Q&amp;V 2004-Now'!K7,'Petroleum - Q&amp;V1'!$D8:$D250)*1000000</f>
        <v>5725013.0000000009</v>
      </c>
      <c r="L69" s="579">
        <f>SUMIF('Petroleum - Q&amp;V1'!$H8:$H250,'CY Q&amp;V 2004-Now'!K7,'Petroleum - Q&amp;V1'!$E8:$E250)*1000000</f>
        <v>3512416903.9999995</v>
      </c>
      <c r="M69" s="579">
        <f>SUMIF('Petroleum - Q&amp;V1'!$H8:$H250,'CY Q&amp;V 2004-Now'!M7,'Petroleum - Q&amp;V1'!$D8:$D250)*1000000</f>
        <v>7492544</v>
      </c>
      <c r="N69" s="579">
        <f>SUMIF('Petroleum - Q&amp;V1'!$H8:$H250,'CY Q&amp;V 2004-Now'!M7,'Petroleum - Q&amp;V1'!$E8:$E250)*1000000</f>
        <v>3121956738</v>
      </c>
      <c r="O69" s="579">
        <f>SUMIF('Petroleum - Q&amp;V1'!$H8:$H250,'CY Q&amp;V 2004-Now'!O7,'Petroleum - Q&amp;V1'!$D8:$D250)*1000000</f>
        <v>7215589</v>
      </c>
      <c r="P69" s="579">
        <f>SUMIF('Petroleum - Q&amp;V1'!$H8:$H250,'CY Q&amp;V 2004-Now'!O7,'Petroleum - Q&amp;V1'!$E8:$E250)*1000000</f>
        <v>3705433478</v>
      </c>
      <c r="Q69" s="579">
        <f>SUMIF('Petroleum - Q&amp;V1'!$H8:$H250,'CY Q&amp;V 2004-Now'!Q7,'Petroleum - Q&amp;V1'!$D8:$D250)*1000000</f>
        <v>6282227</v>
      </c>
      <c r="R69" s="579">
        <f>SUMIF('Petroleum - Q&amp;V1'!$H8:$H250,'CY Q&amp;V 2004-Now'!Q7,'Petroleum - Q&amp;V1'!$E8:$E250)*1000000</f>
        <v>4088397526</v>
      </c>
      <c r="S69" s="579">
        <f>SUMIF('Petroleum - Q&amp;V1'!$H8:$H250,'CY Q&amp;V 2004-Now'!S7,'Petroleum - Q&amp;V1'!$D8:$D250)*1000000</f>
        <v>5999510</v>
      </c>
      <c r="T69" s="579">
        <f>SUMIF('Petroleum - Q&amp;V1'!$H8:$H250,'CY Q&amp;V 2004-Now'!S7,'Petroleum - Q&amp;V1'!$E8:$E250)*1000000</f>
        <v>3862301114.9999995</v>
      </c>
      <c r="U69" s="579">
        <f>SUMIF('Petroleum - Q&amp;V1'!$H8:$H250,'CY Q&amp;V 2004-Now'!U7,'Petroleum - Q&amp;V1'!$D8:$D250)*1000000</f>
        <v>5957271</v>
      </c>
      <c r="V69" s="579">
        <f>SUMIF('Petroleum - Q&amp;V1'!$H8:$H250,'CY Q&amp;V 2004-Now'!U7,'Petroleum - Q&amp;V1'!$E8:$E250)*1000000</f>
        <v>4116922037.0000005</v>
      </c>
      <c r="W69" s="579">
        <f>SUMIF('Petroleum - Q&amp;V1'!$H8:$H250,'CY Q&amp;V 2004-Now'!W7,'Petroleum - Q&amp;V1'!$D8:$D250)*1000000</f>
        <v>4916020.9720000001</v>
      </c>
      <c r="X69" s="579">
        <f>SUMIF('Petroleum - Q&amp;V1'!$H8:$H250,'CY Q&amp;V 2004-Now'!W7,'Petroleum - Q&amp;V1'!$E8:$E250)*1000000</f>
        <v>3197191703.1127391</v>
      </c>
      <c r="Y69" s="691">
        <f>SUMIF('Petroleum - Q&amp;V1'!$H8:$H250,'CY Q&amp;V 2004-Now'!Y7,'Petroleum - Q&amp;V1'!$D8:$D250)*1000000</f>
        <v>6630118.2649999997</v>
      </c>
      <c r="Z69" s="691">
        <f>SUMIF('Petroleum - Q&amp;V1'!$H8:$H250,'CY Q&amp;V 2004-Now'!Y7,'Petroleum - Q&amp;V1'!$E8:$E250)*1000000</f>
        <v>2461749279.2567773</v>
      </c>
      <c r="AA69" s="691">
        <f>SUMIF('Petroleum - Q&amp;V1'!$H8:$H250,'CY Q&amp;V 2004-Now'!AA7,'Petroleum - Q&amp;V1'!$D8:$D250)*1000000</f>
        <v>6456941.0225498695</v>
      </c>
      <c r="AB69" s="691">
        <f>SUMIF('Petroleum - Q&amp;V1'!$H8:$H250,'CY Q&amp;V 2004-Now'!AA7,'Petroleum - Q&amp;V1'!$E8:$E250)*1000000</f>
        <v>2154180720.9778752</v>
      </c>
      <c r="AC69" s="691">
        <f>SUMIF('Petroleum - Q&amp;V1'!$H8:$H250,'CY Q&amp;V 2004-Now'!AC7,'Petroleum - Q&amp;V1'!$D8:$D250)*1000000</f>
        <v>6265165.7466368768</v>
      </c>
      <c r="AD69" s="691">
        <f>SUMIF('Petroleum - Q&amp;V1'!$H8:$H250,'CY Q&amp;V 2004-Now'!AC7,'Petroleum - Q&amp;V1'!$E8:$E250)*1000000</f>
        <v>2688602115.2507873</v>
      </c>
      <c r="AE69" s="691">
        <f>SUMIF('Petroleum - Q&amp;V1'!$H8:$H250,'CY Q&amp;V 2004-Now'!AE7,'Petroleum - Q&amp;V1'!$D8:$D250)*1000000</f>
        <v>8784551.42059833</v>
      </c>
      <c r="AF69" s="691">
        <f>SUMIF('Petroleum - Q&amp;V1'!$H8:$H250,'CY Q&amp;V 2004-Now'!AE7,'Petroleum - Q&amp;V1'!$E8:$E250)*1000000</f>
        <v>5247145453.8666544</v>
      </c>
      <c r="AG69" s="691">
        <f>SUMIF('Petroleum - Q&amp;V1'!$H8:$H250,'CY Q&amp;V 2004-Now'!AG7,'Petroleum - Q&amp;V1'!$D8:$D250)*1000000</f>
        <v>13769031.518872235</v>
      </c>
      <c r="AH69" s="691">
        <f>SUMIF('Petroleum - Q&amp;V1'!$H8:$H250,'CY Q&amp;V 2004-Now'!AG7,'Petroleum - Q&amp;V1'!$E8:$E250)*1000000</f>
        <v>7406381694.2101212</v>
      </c>
      <c r="AI69" s="579">
        <f>SUMIF($C$9:AH$9,1,$C69:AH69)</f>
        <v>108326689.94565731</v>
      </c>
      <c r="AJ69" s="579">
        <f>SUMIF($C$9:AH$9,0,$C69:AH69)</f>
        <v>56339491571.67495</v>
      </c>
      <c r="AK69" s="624"/>
      <c r="AL69" s="571"/>
      <c r="AM69" s="571"/>
      <c r="AN69" s="571"/>
      <c r="AO69" s="571"/>
      <c r="AT69" s="42"/>
    </row>
    <row r="70" spans="1:46" s="541" customFormat="1">
      <c r="A70" s="613" t="s">
        <v>96</v>
      </c>
      <c r="B70" s="578" t="s">
        <v>306</v>
      </c>
      <c r="C70" s="579">
        <f>SUMIF('Petroleum - Q&amp;V1'!$H8:$H250,'CY Q&amp;V 2004-Now'!C7,'Petroleum - Q&amp;V1'!$B8:$B250)*1000000</f>
        <v>12218847</v>
      </c>
      <c r="D70" s="921">
        <f>SUMIF('Petroleum - Q&amp;V1'!$H8:$H250,'CY Q&amp;V 2004-Now'!C7,'Petroleum - Q&amp;V1'!$C8:$C250)*1000000</f>
        <v>4209310075.0000005</v>
      </c>
      <c r="E70" s="579">
        <f>SUMIF('Petroleum - Q&amp;V1'!$H8:$H250,'CY Q&amp;V 2004-Now'!E7,'Petroleum - Q&amp;V1'!$B8:$B250)*1000000</f>
        <v>13173896.999999998</v>
      </c>
      <c r="F70" s="579">
        <f>SUMIF('Petroleum - Q&amp;V1'!$H8:$H250,'CY Q&amp;V 2004-Now'!E7,'Petroleum - Q&amp;V1'!$C8:$C250)*1000000</f>
        <v>6162270370</v>
      </c>
      <c r="G70" s="579">
        <f>SUMIF('Petroleum - Q&amp;V1'!$H8:$H250,'CY Q&amp;V 2004-Now'!G7,'Petroleum - Q&amp;V1'!$B8:$B250)*1000000</f>
        <v>11953792</v>
      </c>
      <c r="H70" s="579">
        <f>SUMIF('Petroleum - Q&amp;V1'!$H8:$H250,'CY Q&amp;V 2004-Now'!G7,'Petroleum - Q&amp;V1'!$C8:$C250)*1000000</f>
        <v>6602800654</v>
      </c>
      <c r="I70" s="579">
        <f>SUMIF('Petroleum - Q&amp;V1'!$H8:$H250,'CY Q&amp;V 2004-Now'!I7,'Petroleum - Q&amp;V1'!$B8:$B250)*1000000</f>
        <v>13195792</v>
      </c>
      <c r="J70" s="579">
        <f>SUMIF('Petroleum - Q&amp;V1'!$H8:$H250,'CY Q&amp;V 2004-Now'!I7,'Petroleum - Q&amp;V1'!$C8:$C250)*1000000</f>
        <v>7384292250</v>
      </c>
      <c r="K70" s="579">
        <f>SUMIF('Petroleum - Q&amp;V1'!$H8:$H250,'CY Q&amp;V 2004-Now'!K7,'Petroleum - Q&amp;V1'!$B8:$B250)*1000000</f>
        <v>13324422</v>
      </c>
      <c r="L70" s="579">
        <f>SUMIF('Petroleum - Q&amp;V1'!$H8:$H250,'CY Q&amp;V 2004-Now'!K7,'Petroleum - Q&amp;V1'!$C8:$C250)*1000000</f>
        <v>9737620320</v>
      </c>
      <c r="M70" s="579">
        <f>SUMIF('Petroleum - Q&amp;V1'!$H8:$H250,'CY Q&amp;V 2004-Now'!M7,'Petroleum - Q&amp;V1'!$B8:$B250)*1000000</f>
        <v>11246917</v>
      </c>
      <c r="N70" s="579">
        <f>SUMIF('Petroleum - Q&amp;V1'!$H8:$H250,'CY Q&amp;V 2004-Now'!M7,'Petroleum - Q&amp;V1'!$C8:$C250)*1000000</f>
        <v>5505448018.000001</v>
      </c>
      <c r="O70" s="579">
        <f>SUMIF('Petroleum - Q&amp;V1'!$H8:$H250,'CY Q&amp;V 2004-Now'!O7,'Petroleum - Q&amp;V1'!$B8:$B250)*1000000</f>
        <v>14705000</v>
      </c>
      <c r="P70" s="579">
        <f>SUMIF('Petroleum - Q&amp;V1'!$H8:$H250,'CY Q&amp;V 2004-Now'!O7,'Petroleum - Q&amp;V1'!$C8:$C250)*1000000</f>
        <v>8247309631</v>
      </c>
      <c r="Q70" s="579">
        <f>SUMIF('Petroleum - Q&amp;V1'!$H8:$H250,'CY Q&amp;V 2004-Now'!Q7,'Petroleum - Q&amp;V1'!$B8:$B250)*1000000</f>
        <v>12053493</v>
      </c>
      <c r="R70" s="579">
        <f>SUMIF('Petroleum - Q&amp;V1'!$H8:$H250,'CY Q&amp;V 2004-Now'!Q7,'Petroleum - Q&amp;V1'!$C8:$C250)*1000000</f>
        <v>8030943573.999999</v>
      </c>
      <c r="S70" s="579">
        <f>SUMIF('Petroleum - Q&amp;V1'!$H8:$H250,'CY Q&amp;V 2004-Now'!S7,'Petroleum - Q&amp;V1'!$B8:$B250)*1000000</f>
        <v>9991681</v>
      </c>
      <c r="T70" s="579">
        <f>SUMIF('Petroleum - Q&amp;V1'!$H8:$H250,'CY Q&amp;V 2004-Now'!S7,'Petroleum - Q&amp;V1'!$C8:$C250)*1000000</f>
        <v>7099593535.000001</v>
      </c>
      <c r="U70" s="579">
        <f>SUMIF('Petroleum - Q&amp;V1'!$H8:$H250,'CY Q&amp;V 2004-Now'!U7,'Petroleum - Q&amp;V1'!$B8:$B250)*1000000</f>
        <v>6870977</v>
      </c>
      <c r="V70" s="579">
        <f>SUMIF('Petroleum - Q&amp;V1'!$H8:$H250,'CY Q&amp;V 2004-Now'!U7,'Petroleum - Q&amp;V1'!$C8:$C250)*1000000</f>
        <v>5111092673</v>
      </c>
      <c r="W70" s="579">
        <f>SUMIF('Petroleum - Q&amp;V1'!$H8:$H250,'CY Q&amp;V 2004-Now'!W7,'Petroleum - Q&amp;V1'!$B8:$B250)*1000000</f>
        <v>7608303.3370000003</v>
      </c>
      <c r="X70" s="579">
        <f>SUMIF('Petroleum - Q&amp;V1'!$H8:$H250,'CY Q&amp;V 2004-Now'!W7,'Petroleum - Q&amp;V1'!$C8:$C250)*1000000</f>
        <v>5376682614.1111679</v>
      </c>
      <c r="Y70" s="691">
        <f>SUMIF('Petroleum - Q&amp;V1'!$H8:$H250,'CY Q&amp;V 2004-Now'!Y7,'Petroleum - Q&amp;V1'!$B8:$B250)*1000000</f>
        <v>8343417.7189999996</v>
      </c>
      <c r="Z70" s="691">
        <f>SUMIF('Petroleum - Q&amp;V1'!$H8:$H250,'CY Q&amp;V 2004-Now'!Y7,'Petroleum - Q&amp;V1'!$C8:$C250)*1000000</f>
        <v>3775532080.3098979</v>
      </c>
      <c r="AA70" s="691">
        <f>SUMIF('Petroleum - Q&amp;V1'!$H8:$H250,'CY Q&amp;V 2004-Now'!AA7,'Petroleum - Q&amp;V1'!$B8:$B250)*1000000</f>
        <v>5813947.7664729292</v>
      </c>
      <c r="AB70" s="691">
        <f>SUMIF('Petroleum - Q&amp;V1'!$H8:$H250,'CY Q&amp;V 2004-Now'!AA7,'Petroleum - Q&amp;V1'!$C8:$C250)*1000000</f>
        <v>2179609274.9664736</v>
      </c>
      <c r="AC70" s="691">
        <f>SUMIF('Petroleum - Q&amp;V1'!$H8:$H250,'CY Q&amp;V 2004-Now'!AC7,'Petroleum - Q&amp;V1'!$B8:$B250)*1000000</f>
        <v>5280838.499799314</v>
      </c>
      <c r="AD70" s="691">
        <f>SUMIF('Petroleum - Q&amp;V1'!$H8:$H250,'CY Q&amp;V 2004-Now'!AC7,'Petroleum - Q&amp;V1'!$C8:$C250)*1000000</f>
        <v>2234046117.9976282</v>
      </c>
      <c r="AE70" s="691">
        <f>SUMIF('Petroleum - Q&amp;V1'!$H8:$H250,'CY Q&amp;V 2004-Now'!AE7,'Petroleum - Q&amp;V1'!$B8:$B250)*1000000</f>
        <v>3638135.9035488847</v>
      </c>
      <c r="AF70" s="691">
        <f>SUMIF('Petroleum - Q&amp;V1'!$H8:$H250,'CY Q&amp;V 2004-Now'!AE7,'Petroleum - Q&amp;V1'!$C8:$C250)*1000000</f>
        <v>2200842908.2207103</v>
      </c>
      <c r="AG70" s="691">
        <f>SUMIF('Petroleum - Q&amp;V1'!$H8:$H250,'CY Q&amp;V 2004-Now'!AG7,'Petroleum - Q&amp;V1'!$B8:$B250)*1000000</f>
        <v>4597737.9997921446</v>
      </c>
      <c r="AH70" s="691">
        <f>SUMIF('Petroleum - Q&amp;V1'!$H8:$H250,'CY Q&amp;V 2004-Now'!AG7,'Petroleum - Q&amp;V1'!$C8:$C250)*1000000</f>
        <v>2715232612.7344885</v>
      </c>
      <c r="AI70" s="691">
        <f>SUMIF($C$9:AH$9,1,$C70:AH70)</f>
        <v>154017199.2256133</v>
      </c>
      <c r="AJ70" s="691">
        <f>SUMIF($C$9:AH$9,0,$C70:AH70)</f>
        <v>86572626708.340363</v>
      </c>
      <c r="AK70" s="624"/>
      <c r="AL70" s="571"/>
      <c r="AM70" s="571"/>
      <c r="AN70" s="571"/>
      <c r="AO70" s="571"/>
      <c r="AT70" s="42"/>
    </row>
    <row r="71" spans="1:46" s="541" customFormat="1">
      <c r="A71" s="613" t="s">
        <v>345</v>
      </c>
      <c r="B71" s="578" t="s">
        <v>110</v>
      </c>
      <c r="C71" s="579">
        <f>SUMIF('Petroleum - Q&amp;V2'!$L8:$L250,'CY Q&amp;V 2004-Now'!C7,'Petroleum - Q&amp;V2'!$C8:$C250)</f>
        <v>9219308.2852303274</v>
      </c>
      <c r="D71" s="921">
        <f>SUMIF('Petroleum - Q&amp;V2'!$L8:$L250,'CY Q&amp;V 2004-Now'!C7,'Petroleum - Q&amp;V2'!$E8:$E250)*1000000</f>
        <v>3150809630</v>
      </c>
      <c r="E71" s="579">
        <f>SUMIF('Petroleum - Q&amp;V2'!$L8:$L250,'CY Q&amp;V 2004-Now'!E7,'Petroleum - Q&amp;V2'!$C8:$C250)</f>
        <v>11600612</v>
      </c>
      <c r="F71" s="579">
        <f>SUMIF('Petroleum - Q&amp;V2'!$L8:$L250,'CY Q&amp;V 2004-Now'!E7,'Petroleum - Q&amp;V2'!$E8:$E250)*1000000</f>
        <v>4446336486.208416</v>
      </c>
      <c r="G71" s="579">
        <f>SUMIF('Petroleum - Q&amp;V2'!$L8:$L250,'CY Q&amp;V 2004-Now'!G7,'Petroleum - Q&amp;V2'!$C8:$C250)</f>
        <v>11958780</v>
      </c>
      <c r="H71" s="579">
        <f>SUMIF('Petroleum - Q&amp;V2'!$L8:$L250,'CY Q&amp;V 2004-Now'!G7,'Petroleum - Q&amp;V2'!$E8:$E250)*1000000</f>
        <v>4550762377.726985</v>
      </c>
      <c r="I71" s="579">
        <f>SUMIF('Petroleum - Q&amp;V2'!$L8:$L250,'CY Q&amp;V 2004-Now'!I7,'Petroleum - Q&amp;V2'!$C8:$C250)</f>
        <v>12375731</v>
      </c>
      <c r="J71" s="579">
        <f>SUMIF('Petroleum - Q&amp;V2'!$L8:$L250,'CY Q&amp;V 2004-Now'!I7,'Petroleum - Q&amp;V2'!$E8:$E250)*1000000</f>
        <v>4448575119.4258499</v>
      </c>
      <c r="K71" s="579">
        <f>SUMIF('Petroleum - Q&amp;V2'!$L8:$L250,'CY Q&amp;V 2004-Now'!K7,'Petroleum - Q&amp;V2'!$C8:$C250)</f>
        <v>12381004</v>
      </c>
      <c r="L71" s="579">
        <f>SUMIF('Petroleum - Q&amp;V2'!$L8:$L250,'CY Q&amp;V 2004-Now'!K7,'Petroleum - Q&amp;V2'!$E8:$E250)*1000000</f>
        <v>8157477515.6968403</v>
      </c>
      <c r="M71" s="579">
        <f>SUMIF('Petroleum - Q&amp;V2'!$L8:$L250,'CY Q&amp;V 2004-Now'!M7,'Petroleum - Q&amp;V2'!$C8:$C250)</f>
        <v>15252516</v>
      </c>
      <c r="N71" s="579">
        <f>SUMIF('Petroleum - Q&amp;V2'!$L8:$L250,'CY Q&amp;V 2004-Now'!M7,'Petroleum - Q&amp;V2'!$E8:$E250)*1000000</f>
        <v>6320744990.7749481</v>
      </c>
      <c r="O71" s="579">
        <f>SUMIF('Petroleum - Q&amp;V2'!$L8:$L250,'CY Q&amp;V 2004-Now'!O7,'Petroleum - Q&amp;V2'!$C8:$C250)</f>
        <v>16527193</v>
      </c>
      <c r="P71" s="579">
        <f>SUMIF('Petroleum - Q&amp;V2'!$L8:$L250,'CY Q&amp;V 2004-Now'!O7,'Petroleum - Q&amp;V2'!$E8:$E250)*1000000</f>
        <v>8754682473.68223</v>
      </c>
      <c r="Q71" s="579">
        <f>SUMIF('Petroleum - Q&amp;V2'!$L8:$L250,'CY Q&amp;V 2004-Now'!Q7,'Petroleum - Q&amp;V2'!$C8:$C250)</f>
        <v>16554099.919233976</v>
      </c>
      <c r="R71" s="579">
        <f>SUMIF('Petroleum - Q&amp;V2'!$L8:$L250,'CY Q&amp;V 2004-Now'!Q7,'Petroleum - Q&amp;V2'!$E8:$E250)*1000000</f>
        <v>8552071284</v>
      </c>
      <c r="S71" s="579">
        <f>SUMIF('Petroleum - Q&amp;V2'!$L8:$L250,'CY Q&amp;V 2004-Now'!S7,'Petroleum - Q&amp;V2'!$C8:$C250)</f>
        <v>18260551</v>
      </c>
      <c r="T71" s="579">
        <f>SUMIF('Petroleum - Q&amp;V2'!$L8:$L250,'CY Q&amp;V 2004-Now'!S7,'Petroleum - Q&amp;V2'!$E8:$E250)*1000000</f>
        <v>11271620675.400679</v>
      </c>
      <c r="U71" s="579">
        <f>SUMIF('Petroleum - Q&amp;V2'!$L8:$L250,'CY Q&amp;V 2004-Now'!U7,'Petroleum - Q&amp;V2'!$C8:$C250)</f>
        <v>19220443</v>
      </c>
      <c r="V71" s="579">
        <f>SUMIF('Petroleum - Q&amp;V2'!$L8:$L250,'CY Q&amp;V 2004-Now'!U7,'Petroleum - Q&amp;V2'!$E8:$E250)*1000000</f>
        <v>13287960818.379126</v>
      </c>
      <c r="W71" s="579">
        <f>SUMIF('Petroleum - Q&amp;V2'!$L8:$L250,'CY Q&amp;V 2004-Now'!W7,'Petroleum - Q&amp;V2'!$C8:$C250)</f>
        <v>20852601</v>
      </c>
      <c r="X71" s="579">
        <f>SUMIF('Petroleum - Q&amp;V2'!$L8:$L250,'CY Q&amp;V 2004-Now'!W7,'Petroleum - Q&amp;V2'!$E8:$E250)*1000000</f>
        <v>15487317250.651384</v>
      </c>
      <c r="Y71" s="691">
        <f>SUMIF('Petroleum - Q&amp;V2'!$L8:$L250,'CY Q&amp;V 2004-Now'!Y7,'Petroleum - Q&amp;V2'!$C8:$C250)</f>
        <v>20385653</v>
      </c>
      <c r="Z71" s="691">
        <f>SUMIF('Petroleum - Q&amp;V2'!$L8:$L250,'CY Q&amp;V 2004-Now'!Y7,'Petroleum - Q&amp;V2'!$E8:$E250)*1000000</f>
        <v>11554349752.904898</v>
      </c>
      <c r="AA71" s="691">
        <f>SUMIF('Petroleum - Q&amp;V2'!$L8:$L250,'CY Q&amp;V 2004-Now'!AA7,'Petroleum - Q&amp;V2'!$C8:$C250)</f>
        <v>23774656.646750003</v>
      </c>
      <c r="AB71" s="691">
        <f>SUMIF('Petroleum - Q&amp;V2'!$L8:$L250,'CY Q&amp;V 2004-Now'!AA7,'Petroleum - Q&amp;V2'!$E8:$E250)*1000000</f>
        <v>10620614121.943226</v>
      </c>
      <c r="AC71" s="691">
        <f>SUMIF('Petroleum - Q&amp;V2'!$L8:$L250,'CY Q&amp;V 2004-Now'!AC7,'Petroleum - Q&amp;V2'!$C8:$C250)</f>
        <v>32599760.111609735</v>
      </c>
      <c r="AD71" s="691">
        <f>SUMIF('Petroleum - Q&amp;V2'!$L8:$L250,'CY Q&amp;V 2004-Now'!AC7,'Petroleum - Q&amp;V2'!$E8:$E250)*1000000</f>
        <v>14921887350.350874</v>
      </c>
      <c r="AE71" s="691">
        <f>SUMIF('Petroleum - Q&amp;V2'!$L8:$L250,'CY Q&amp;V 2004-Now'!AE7,'Petroleum - Q&amp;V2'!$C8:$C250)</f>
        <v>43722336.378265209</v>
      </c>
      <c r="AF71" s="691">
        <f>SUMIF('Petroleum - Q&amp;V2'!$L8:$L250,'CY Q&amp;V 2004-Now'!AE7,'Petroleum - Q&amp;V2'!$E8:$E250)*1000000</f>
        <v>26978126958.992531</v>
      </c>
      <c r="AG71" s="691">
        <f>SUMIF('Petroleum - Q&amp;V2'!$L8:$L250,'CY Q&amp;V 2004-Now'!AG7,'Petroleum - Q&amp;V2'!$C8:$C250)</f>
        <v>44147614.446351066</v>
      </c>
      <c r="AH71" s="691">
        <f>SUMIF('Petroleum - Q&amp;V2'!$L8:$L250,'CY Q&amp;V 2004-Now'!AG7,'Petroleum - Q&amp;V2'!$E8:$E250)*1000000</f>
        <v>27394793066.075848</v>
      </c>
      <c r="AI71" s="691">
        <f>SUMIF($C$9:AH$9,1,$C71:AH71)</f>
        <v>328832859.7874403</v>
      </c>
      <c r="AJ71" s="691">
        <f>SUMIF($C$9:AH$9,0,$C71:AH71)</f>
        <v>179898129872.21381</v>
      </c>
      <c r="AK71" s="624"/>
      <c r="AL71" s="571"/>
      <c r="AM71" s="571"/>
      <c r="AN71" s="571"/>
      <c r="AO71" s="571"/>
      <c r="AT71" s="42"/>
    </row>
    <row r="72" spans="1:46" s="541" customFormat="1">
      <c r="A72" s="613" t="s">
        <v>346</v>
      </c>
      <c r="B72" s="578" t="s">
        <v>110</v>
      </c>
      <c r="C72" s="579">
        <f>SUMIF('Petroleum - Q&amp;V2'!$L8:$L250,'CY Q&amp;V 2004-Now'!C7,'Petroleum - Q&amp;V2'!$F8:$F250)</f>
        <v>721688</v>
      </c>
      <c r="D72" s="921">
        <f>SUMIF('Petroleum - Q&amp;V2'!$L8:$L250,'CY Q&amp;V 2004-Now'!C7,'Petroleum - Q&amp;V2'!$H8:$H250)*1000000</f>
        <v>340417957</v>
      </c>
      <c r="E72" s="579">
        <f>SUMIF('Petroleum - Q&amp;V2'!$L8:$L250,'CY Q&amp;V 2004-Now'!E7,'Petroleum - Q&amp;V2'!$F8:$F250)</f>
        <v>870730</v>
      </c>
      <c r="F72" s="579">
        <f>SUMIF('Petroleum - Q&amp;V2'!$L8:$L250,'CY Q&amp;V 2004-Now'!E7,'Petroleum - Q&amp;V2'!$H8:$H250)*1000000</f>
        <v>544222021.35632873</v>
      </c>
      <c r="G72" s="579">
        <f>SUMIF('Petroleum - Q&amp;V2'!$L8:$L250,'CY Q&amp;V 2004-Now'!G7,'Petroleum - Q&amp;V2'!$F8:$F250)</f>
        <v>862231</v>
      </c>
      <c r="H72" s="579">
        <f>SUMIF('Petroleum - Q&amp;V2'!$L8:$L250,'CY Q&amp;V 2004-Now'!G7,'Petroleum - Q&amp;V2'!$H8:$H250)*1000000</f>
        <v>613830073.30998862</v>
      </c>
      <c r="I72" s="579">
        <f>SUMIF('Petroleum - Q&amp;V2'!$L8:$L250,'CY Q&amp;V 2004-Now'!I7,'Petroleum - Q&amp;V2'!$F8:$F250)</f>
        <v>893914</v>
      </c>
      <c r="J72" s="579">
        <f>SUMIF('Petroleum - Q&amp;V2'!$L8:$L250,'CY Q&amp;V 2004-Now'!I7,'Petroleum - Q&amp;V2'!$H8:$H250)*1000000</f>
        <v>686636886.81833994</v>
      </c>
      <c r="K72" s="579">
        <f>SUMIF('Petroleum - Q&amp;V2'!$L8:$L250,'CY Q&amp;V 2004-Now'!K7,'Petroleum - Q&amp;V2'!$F8:$F250)</f>
        <v>764668</v>
      </c>
      <c r="L72" s="579">
        <f>SUMIF('Petroleum - Q&amp;V2'!$L8:$L250,'CY Q&amp;V 2004-Now'!K7,'Petroleum - Q&amp;V2'!$H8:$H250)*1000000</f>
        <v>754340749.19629419</v>
      </c>
      <c r="M72" s="579">
        <f>SUMIF('Petroleum - Q&amp;V2'!$L8:$L250,'CY Q&amp;V 2004-Now'!M7,'Petroleum - Q&amp;V2'!$F8:$F250)</f>
        <v>950524</v>
      </c>
      <c r="N72" s="579">
        <f>SUMIF('Petroleum - Q&amp;V2'!$L8:$L250,'CY Q&amp;V 2004-Now'!M7,'Petroleum - Q&amp;V2'!$H8:$H250)*1000000</f>
        <v>612776966.1391654</v>
      </c>
      <c r="O72" s="579">
        <f>SUMIF('Petroleum - Q&amp;V2'!$L8:$L250,'CY Q&amp;V 2004-Now'!O7,'Petroleum - Q&amp;V2'!$F8:$F250)</f>
        <v>988724</v>
      </c>
      <c r="P72" s="579">
        <f>SUMIF('Petroleum - Q&amp;V2'!$L8:$L250,'CY Q&amp;V 2004-Now'!O7,'Petroleum - Q&amp;V2'!$H8:$H250)*1000000</f>
        <v>763328435.01571763</v>
      </c>
      <c r="Q72" s="579">
        <f>SUMIF('Petroleum - Q&amp;V2'!$L8:$L250,'CY Q&amp;V 2004-Now'!Q7,'Petroleum - Q&amp;V2'!$F8:$F250)</f>
        <v>861480</v>
      </c>
      <c r="R72" s="579">
        <f>SUMIF('Petroleum - Q&amp;V2'!$L8:$L250,'CY Q&amp;V 2004-Now'!Q7,'Petroleum - Q&amp;V2'!$H8:$H250)*1000000</f>
        <v>745879959.94549286</v>
      </c>
      <c r="S72" s="579">
        <f>SUMIF('Petroleum - Q&amp;V2'!$L8:$L250,'CY Q&amp;V 2004-Now'!S7,'Petroleum - Q&amp;V2'!$F8:$F250)</f>
        <v>809878</v>
      </c>
      <c r="T72" s="579">
        <f>SUMIF('Petroleum - Q&amp;V2'!$L8:$L250,'CY Q&amp;V 2004-Now'!S7,'Petroleum - Q&amp;V2'!$H8:$H250)*1000000</f>
        <v>729155763.19075692</v>
      </c>
      <c r="U72" s="579">
        <f>SUMIF('Petroleum - Q&amp;V2'!$L8:$L250,'CY Q&amp;V 2004-Now'!U7,'Petroleum - Q&amp;V2'!$F8:$F250)</f>
        <v>685934</v>
      </c>
      <c r="V72" s="579">
        <f>SUMIF('Petroleum - Q&amp;V2'!$L8:$L250,'CY Q&amp;V 2004-Now'!U7,'Petroleum - Q&amp;V2'!$H8:$H250)*1000000</f>
        <v>600135301.29233539</v>
      </c>
      <c r="W72" s="579">
        <f>SUMIF('Petroleum - Q&amp;V2'!$L8:$L250,'CY Q&amp;V 2004-Now'!W7,'Petroleum - Q&amp;V2'!$F8:$F250)</f>
        <v>357609</v>
      </c>
      <c r="X72" s="579">
        <f>SUMIF('Petroleum - Q&amp;V2'!$L8:$L250,'CY Q&amp;V 2004-Now'!W7,'Petroleum - Q&amp;V2'!$H8:$H250)*1000000</f>
        <v>309007022.95666265</v>
      </c>
      <c r="Y72" s="691">
        <f>SUMIF('Petroleum - Q&amp;V2'!$L8:$L250,'CY Q&amp;V 2004-Now'!Y7,'Petroleum - Q&amp;V2'!$F8:$F250)</f>
        <v>501903</v>
      </c>
      <c r="Z72" s="691">
        <f>SUMIF('Petroleum - Q&amp;V2'!$L8:$L250,'CY Q&amp;V 2004-Now'!Y7,'Petroleum - Q&amp;V2'!$H8:$H250)*1000000</f>
        <v>254108296.40322834</v>
      </c>
      <c r="AA72" s="691">
        <f>SUMIF('Petroleum - Q&amp;V2'!$L8:$L250,'CY Q&amp;V 2004-Now'!AA7,'Petroleum - Q&amp;V2'!$F8:$F250)</f>
        <v>575755</v>
      </c>
      <c r="AB72" s="691">
        <f>SUMIF('Petroleum - Q&amp;V2'!$L8:$L250,'CY Q&amp;V 2004-Now'!AA7,'Petroleum - Q&amp;V2'!$H8:$H250)*1000000</f>
        <v>288140716.02423257</v>
      </c>
      <c r="AC72" s="691">
        <f>SUMIF('Petroleum - Q&amp;V2'!$L8:$L250,'CY Q&amp;V 2004-Now'!AC7,'Petroleum - Q&amp;V2'!$F8:$F250)</f>
        <v>456275</v>
      </c>
      <c r="AD72" s="691">
        <f>SUMIF('Petroleum - Q&amp;V2'!$L8:$L250,'CY Q&amp;V 2004-Now'!AC7,'Petroleum - Q&amp;V2'!$H8:$H250)*1000000</f>
        <v>288498125.77110589</v>
      </c>
      <c r="AE72" s="691">
        <f>SUMIF('Petroleum - Q&amp;V2'!$L8:$L250,'CY Q&amp;V 2004-Now'!AE7,'Petroleum - Q&amp;V2'!$F8:$F250)</f>
        <v>463110</v>
      </c>
      <c r="AF72" s="691">
        <f>SUMIF('Petroleum - Q&amp;V2'!$L8:$L250,'CY Q&amp;V 2004-Now'!AE7,'Petroleum - Q&amp;V2'!$H8:$H250)*1000000</f>
        <v>348824394.21846777</v>
      </c>
      <c r="AG72" s="691">
        <f>SUMIF('Petroleum - Q&amp;V2'!$L8:$L250,'CY Q&amp;V 2004-Now'!AG7,'Petroleum - Q&amp;V2'!$F8:$F250)</f>
        <v>418249</v>
      </c>
      <c r="AH72" s="691">
        <f>SUMIF('Petroleum - Q&amp;V2'!$L8:$L250,'CY Q&amp;V 2004-Now'!AG7,'Petroleum - Q&amp;V2'!$H8:$H250)*1000000</f>
        <v>274240157.70186311</v>
      </c>
      <c r="AI72" s="691">
        <f>SUMIF($C$9:AH$9,1,$C72:AH72)</f>
        <v>11182672</v>
      </c>
      <c r="AJ72" s="691">
        <f>SUMIF($C$9:AH$9,0,$C72:AH72)</f>
        <v>8153542826.3399811</v>
      </c>
      <c r="AK72" s="624"/>
      <c r="AL72" s="571"/>
      <c r="AM72" s="571"/>
      <c r="AN72" s="571"/>
      <c r="AO72" s="571"/>
      <c r="AT72" s="42"/>
    </row>
    <row r="73" spans="1:46" s="541" customFormat="1">
      <c r="A73" s="613" t="s">
        <v>151</v>
      </c>
      <c r="B73" s="614" t="s">
        <v>347</v>
      </c>
      <c r="C73" s="579">
        <f>SUMIF('Petroleum - Q&amp;V2'!$L8:$L250,'CY Q&amp;V 2004-Now'!C7,'Petroleum - Q&amp;V2'!$I8:$I250)</f>
        <v>7713691</v>
      </c>
      <c r="D73" s="921">
        <f>SUMIF('Petroleum - Q&amp;V2'!$L8:$L250,'CY Q&amp;V 2004-Now'!C7,'Petroleum - Q&amp;V2'!$K8:$K250)*1000000</f>
        <v>655458232</v>
      </c>
      <c r="E73" s="579">
        <f>SUMIF('Petroleum - Q&amp;V2'!$L8:$L250,'CY Q&amp;V 2004-Now'!E7,'Petroleum - Q&amp;V2'!$I8:$I250)</f>
        <v>7406249</v>
      </c>
      <c r="F73" s="579">
        <f>SUMIF('Petroleum - Q&amp;V2'!$L8:$L250,'CY Q&amp;V 2004-Now'!E7,'Petroleum - Q&amp;V2'!$K8:$K250)*1000000</f>
        <v>661610646</v>
      </c>
      <c r="G73" s="579">
        <f>SUMIF('Petroleum - Q&amp;V2'!$L8:$L250,'CY Q&amp;V 2004-Now'!G7,'Petroleum - Q&amp;V2'!$I8:$I250)</f>
        <v>8364468</v>
      </c>
      <c r="H73" s="579">
        <f>SUMIF('Petroleum - Q&amp;V2'!$L8:$L250,'CY Q&amp;V 2004-Now'!G7,'Petroleum - Q&amp;V2'!$K8:$K250)*1000000</f>
        <v>816673663.99999988</v>
      </c>
      <c r="I73" s="579">
        <f>SUMIF('Petroleum - Q&amp;V2'!$L8:$L250,'CY Q&amp;V 2004-Now'!I7,'Petroleum - Q&amp;V2'!$I8:$I250)</f>
        <v>9174076</v>
      </c>
      <c r="J73" s="579">
        <f>SUMIF('Petroleum - Q&amp;V2'!$L8:$L250,'CY Q&amp;V 2004-Now'!I7,'Petroleum - Q&amp;V2'!$K8:$K250)*1000000</f>
        <v>1002465839</v>
      </c>
      <c r="K73" s="579">
        <f>SUMIF('Petroleum - Q&amp;V2'!$L8:$L250,'CY Q&amp;V 2004-Now'!K7,'Petroleum - Q&amp;V2'!$I8:$I250)</f>
        <v>8502567</v>
      </c>
      <c r="L73" s="579">
        <f>SUMIF('Petroleum - Q&amp;V2'!$L8:$L250,'CY Q&amp;V 2004-Now'!K7,'Petroleum - Q&amp;V2'!$K8:$K250)*1000000</f>
        <v>1191442427</v>
      </c>
      <c r="M73" s="579">
        <f>SUMIF('Petroleum - Q&amp;V2'!$L8:$L250,'CY Q&amp;V 2004-Now'!M7,'Petroleum - Q&amp;V2'!$I8:$I250)</f>
        <v>9312415</v>
      </c>
      <c r="N73" s="579">
        <f>SUMIF('Petroleum - Q&amp;V2'!$L8:$L250,'CY Q&amp;V 2004-Now'!M7,'Petroleum - Q&amp;V2'!$K8:$K250)*1000000</f>
        <v>1156235342</v>
      </c>
      <c r="O73" s="579">
        <f>SUMIF('Petroleum - Q&amp;V2'!$L8:$L250,'CY Q&amp;V 2004-Now'!O7,'Petroleum - Q&amp;V2'!$I8:$I250)</f>
        <v>9226158</v>
      </c>
      <c r="P73" s="579">
        <f>SUMIF('Petroleum - Q&amp;V2'!$L8:$L250,'CY Q&amp;V 2004-Now'!O7,'Petroleum - Q&amp;V2'!$K8:$K250)*1000000</f>
        <v>1391169679</v>
      </c>
      <c r="Q73" s="579">
        <f>SUMIF('Petroleum - Q&amp;V2'!$L8:$L250,'CY Q&amp;V 2004-Now'!Q7,'Petroleum - Q&amp;V2'!$I8:$I250)</f>
        <v>8869413</v>
      </c>
      <c r="R73" s="579">
        <f>SUMIF('Petroleum - Q&amp;V2'!$L8:$L250,'CY Q&amp;V 2004-Now'!Q7,'Petroleum - Q&amp;V2'!$K8:$K250)*1000000</f>
        <v>1421126106</v>
      </c>
      <c r="S73" s="579">
        <f>SUMIF('Petroleum - Q&amp;V2'!$L8:$L250,'CY Q&amp;V 2004-Now'!S7,'Petroleum - Q&amp;V2'!$I8:$I250)</f>
        <v>9009209</v>
      </c>
      <c r="T73" s="579">
        <f>SUMIF('Petroleum - Q&amp;V2'!$L8:$L250,'CY Q&amp;V 2004-Now'!S7,'Petroleum - Q&amp;V2'!$K8:$K250)*1000000</f>
        <v>1470541897</v>
      </c>
      <c r="U73" s="579">
        <f>SUMIF('Petroleum - Q&amp;V2'!$L8:$L250,'CY Q&amp;V 2004-Now'!U7,'Petroleum - Q&amp;V2'!$I8:$I250)</f>
        <v>9297667</v>
      </c>
      <c r="V73" s="579">
        <f>SUMIF('Petroleum - Q&amp;V2'!$L8:$L250,'CY Q&amp;V 2004-Now'!U7,'Petroleum - Q&amp;V2'!$K8:$K250)*1000000</f>
        <v>1559456330</v>
      </c>
      <c r="W73" s="579">
        <f>SUMIF('Petroleum - Q&amp;V2'!$L8:$L250,'CY Q&amp;V 2004-Now'!W7,'Petroleum - Q&amp;V2'!$I8:$I250)</f>
        <v>8070924.6770000001</v>
      </c>
      <c r="X73" s="579">
        <f>SUMIF('Petroleum - Q&amp;V2'!$L8:$L250,'CY Q&amp;V 2004-Now'!W7,'Petroleum - Q&amp;V2'!$K8:$K250)*1000000</f>
        <v>1491260153.7561886</v>
      </c>
      <c r="Y73" s="691">
        <f>SUMIF('Petroleum - Q&amp;V2'!$L8:$L250,'CY Q&amp;V 2004-Now'!Y7,'Petroleum - Q&amp;V2'!$I8:$I250)</f>
        <v>10016682.171999998</v>
      </c>
      <c r="Z73" s="691">
        <f>SUMIF('Petroleum - Q&amp;V2'!$L8:$L250,'CY Q&amp;V 2004-Now'!Y7,'Petroleum - Q&amp;V2'!$K8:$K250)*1000000</f>
        <v>1861523430.198</v>
      </c>
      <c r="AA73" s="691">
        <f>SUMIF('Petroleum - Q&amp;V2'!$L8:$L250,'CY Q&amp;V 2004-Now'!AA7,'Petroleum - Q&amp;V2'!$I8:$I250)</f>
        <v>10131107.748056386</v>
      </c>
      <c r="AB73" s="691">
        <f>SUMIF('Petroleum - Q&amp;V2'!$L8:$L250,'CY Q&amp;V 2004-Now'!AA7,'Petroleum - Q&amp;V2'!$K8:$K250)*1000000</f>
        <v>1916104660.6769698</v>
      </c>
      <c r="AC73" s="691">
        <f>SUMIF('Petroleum - Q&amp;V2'!$L8:$L250,'CY Q&amp;V 2004-Now'!AC7,'Petroleum - Q&amp;V2'!$I8:$I250)</f>
        <v>9887401.4177690279</v>
      </c>
      <c r="AD73" s="691">
        <f>SUMIF('Petroleum - Q&amp;V2'!$L8:$L250,'CY Q&amp;V 2004-Now'!AC7,'Petroleum - Q&amp;V2'!$K8:$K250)*1000000</f>
        <v>1745804133.2613595</v>
      </c>
      <c r="AE73" s="691">
        <f>SUMIF('Petroleum - Q&amp;V2'!$L8:$L250,'CY Q&amp;V 2004-Now'!AE7,'Petroleum - Q&amp;V2'!$I8:$I250)</f>
        <v>10128603.143680073</v>
      </c>
      <c r="AF73" s="691">
        <f>SUMIF('Petroleum - Q&amp;V2'!$L8:$L250,'CY Q&amp;V 2004-Now'!AE7,'Petroleum - Q&amp;V2'!$K8:$K250)*1000000</f>
        <v>1585068033.9181547</v>
      </c>
      <c r="AG73" s="691">
        <f>SUMIF('Petroleum - Q&amp;V2'!$L8:$L250,'CY Q&amp;V 2004-Now'!AG7,'Petroleum - Q&amp;V2'!$I8:$I250)</f>
        <v>10926725.65204655</v>
      </c>
      <c r="AH73" s="691">
        <f>SUMIF('Petroleum - Q&amp;V2'!$L8:$L250,'CY Q&amp;V 2004-Now'!AG7,'Petroleum - Q&amp;V2'!$K8:$K250)*1000000</f>
        <v>1698004187.6200366</v>
      </c>
      <c r="AI73" s="691">
        <f>SUMIF($C$9:AH$9,1,$C73:AH73)</f>
        <v>146037357.81055206</v>
      </c>
      <c r="AJ73" s="691">
        <f>SUMIF($C$9:AH$9,0,$C73:AH73)</f>
        <v>21623944761.43071</v>
      </c>
      <c r="AK73" s="624"/>
      <c r="AL73" s="571"/>
      <c r="AM73" s="571"/>
      <c r="AN73" s="571"/>
      <c r="AO73" s="571"/>
      <c r="AT73" s="42"/>
    </row>
    <row r="74" spans="1:46" s="541" customFormat="1">
      <c r="A74" s="611" t="s">
        <v>307</v>
      </c>
      <c r="B74" s="603"/>
      <c r="C74" s="579"/>
      <c r="D74" s="921">
        <f>SUM(D69:D73)</f>
        <v>10378968005</v>
      </c>
      <c r="E74" s="579"/>
      <c r="F74" s="579">
        <f>SUM(F69:F73)</f>
        <v>14391339122.564745</v>
      </c>
      <c r="G74" s="579"/>
      <c r="H74" s="579">
        <f>SUM(H69:H73)</f>
        <v>15524252848.036974</v>
      </c>
      <c r="I74" s="579"/>
      <c r="J74" s="691">
        <f>SUM(J69:J73)</f>
        <v>16758725113.24419</v>
      </c>
      <c r="K74" s="579"/>
      <c r="L74" s="579">
        <f>SUM(L69:L73)</f>
        <v>23353297915.893131</v>
      </c>
      <c r="M74" s="579"/>
      <c r="N74" s="579">
        <f>SUM(N69:N73)</f>
        <v>16717162054.914114</v>
      </c>
      <c r="O74" s="579"/>
      <c r="P74" s="579">
        <f>SUM(P69:P73)</f>
        <v>22861923696.697945</v>
      </c>
      <c r="Q74" s="579"/>
      <c r="R74" s="579">
        <f>SUM(R69:R73)</f>
        <v>22838418449.945492</v>
      </c>
      <c r="S74" s="579"/>
      <c r="T74" s="579">
        <f>SUM(T69:T73)</f>
        <v>24433212985.591438</v>
      </c>
      <c r="U74" s="579"/>
      <c r="V74" s="579">
        <f>SUM(V69:V73)</f>
        <v>24675567159.671463</v>
      </c>
      <c r="W74" s="579"/>
      <c r="X74" s="579">
        <f>SUM(X69:X73)</f>
        <v>25861458744.588139</v>
      </c>
      <c r="Y74" s="579"/>
      <c r="Z74" s="691">
        <f>SUM(Z69:Z73)</f>
        <v>19907262839.0728</v>
      </c>
      <c r="AA74" s="691"/>
      <c r="AB74" s="691">
        <f>SUM(AB69:AB73)</f>
        <v>17158649494.588778</v>
      </c>
      <c r="AC74" s="691"/>
      <c r="AD74" s="691">
        <f>SUM(AD69:AD73)</f>
        <v>21878837842.631756</v>
      </c>
      <c r="AE74" s="691"/>
      <c r="AF74" s="691">
        <f>SUM(AF69:AF73)</f>
        <v>36360007749.216515</v>
      </c>
      <c r="AG74" s="691"/>
      <c r="AH74" s="691">
        <f>SUM(AH69:AH73)</f>
        <v>39488651718.342361</v>
      </c>
      <c r="AI74" s="579"/>
      <c r="AJ74" s="691">
        <f>SUMIF($C$9:AH$9,0,$C74:AH74)</f>
        <v>352587735739.99976</v>
      </c>
      <c r="AL74" s="571"/>
      <c r="AM74" s="571"/>
      <c r="AN74" s="571"/>
      <c r="AO74" s="571"/>
      <c r="AT74" s="42"/>
    </row>
    <row r="75" spans="1:46" s="541" customFormat="1">
      <c r="A75" s="615"/>
      <c r="B75" s="578"/>
      <c r="C75" s="578"/>
      <c r="D75" s="923"/>
      <c r="E75" s="579"/>
      <c r="F75" s="579"/>
      <c r="G75" s="579"/>
      <c r="H75" s="579"/>
      <c r="I75" s="616"/>
      <c r="J75" s="616"/>
      <c r="K75" s="579"/>
      <c r="L75" s="579"/>
      <c r="M75" s="579"/>
      <c r="N75" s="579"/>
      <c r="O75" s="579"/>
      <c r="P75" s="579"/>
      <c r="Q75" s="582"/>
      <c r="R75" s="582"/>
      <c r="S75" s="579"/>
      <c r="T75" s="579"/>
      <c r="U75" s="579"/>
      <c r="V75" s="579"/>
      <c r="W75" s="579"/>
      <c r="X75" s="579"/>
      <c r="Y75" s="610"/>
      <c r="Z75" s="691"/>
      <c r="AA75" s="691"/>
      <c r="AB75" s="691"/>
      <c r="AC75" s="691"/>
      <c r="AD75" s="691"/>
      <c r="AE75" s="691"/>
      <c r="AF75" s="691"/>
      <c r="AG75" s="691"/>
      <c r="AH75" s="691"/>
      <c r="AI75" s="579"/>
      <c r="AJ75" s="579"/>
      <c r="AL75" s="571"/>
      <c r="AM75" s="571"/>
      <c r="AN75" s="571"/>
      <c r="AO75" s="571"/>
      <c r="AT75" s="42"/>
    </row>
    <row r="76" spans="1:46" s="541" customFormat="1">
      <c r="A76" s="591" t="s">
        <v>313</v>
      </c>
      <c r="B76" s="594" t="s">
        <v>110</v>
      </c>
      <c r="C76" s="788">
        <f ca="1">SUMIF('Minor Commodities - Q&amp;V'!$N$8:$N$250,'CY Q&amp;V 2004-Now'!C$7,'Minor Commodities - Q&amp;V'!$F$8:$F$242)*1000000</f>
        <v>10486431.916000001</v>
      </c>
      <c r="D76" s="894">
        <f ca="1">SUMIF('Minor Commodities - Q&amp;V'!$N$8:$N$250,'CY Q&amp;V 2004-Now'!C$7,'Minor Commodities - Q&amp;V'!$G$8:$G$242)*1000000</f>
        <v>186629417.10000002</v>
      </c>
      <c r="E76" s="788">
        <f ca="1">SUMIF('Minor Commodities - Q&amp;V'!$N$8:$N$250,'CY Q&amp;V 2004-Now'!E$7,'Minor Commodities - Q&amp;V'!$F$8:$F$242)*1000000</f>
        <v>11475206.92</v>
      </c>
      <c r="F76" s="788">
        <f ca="1">SUMIF('Minor Commodities - Q&amp;V'!$N$8:$N$250,'CY Q&amp;V 2004-Now'!E$7,'Minor Commodities - Q&amp;V'!$G$8:$G$242)*1000000</f>
        <v>213782655.01000002</v>
      </c>
      <c r="G76" s="788">
        <f ca="1">SUMIF('Minor Commodities - Q&amp;V'!$N$8:$N$250,'CY Q&amp;V 2004-Now'!G$7,'Minor Commodities - Q&amp;V'!$F$8:$F$242)*1000000</f>
        <v>10715927.219999999</v>
      </c>
      <c r="H76" s="788">
        <f ca="1">SUMIF('Minor Commodities - Q&amp;V'!$N$8:$N$250,'CY Q&amp;V 2004-Now'!G$7,'Minor Commodities - Q&amp;V'!$G$8:$G$242)*1000000</f>
        <v>241642998.10999998</v>
      </c>
      <c r="I76" s="788">
        <f ca="1">SUMIF('Minor Commodities - Q&amp;V'!$N$8:$N$250,'CY Q&amp;V 2004-Now'!I$7,'Minor Commodities - Q&amp;V'!$F$8:$F$242)*1000000</f>
        <v>10385685.728999998</v>
      </c>
      <c r="J76" s="788">
        <f ca="1">SUMIF('Minor Commodities - Q&amp;V'!$N$8:$N$250,'CY Q&amp;V 2004-Now'!I$7,'Minor Commodities - Q&amp;V'!$G$8:$G$242)*1000000</f>
        <v>229604348.91</v>
      </c>
      <c r="K76" s="788">
        <f ca="1">SUMIF('Minor Commodities - Q&amp;V'!$N$8:$N$250,'CY Q&amp;V 2004-Now'!K$7,'Minor Commodities - Q&amp;V'!$F$8:$F$242)*1000000</f>
        <v>11488632.785</v>
      </c>
      <c r="L76" s="788">
        <f ca="1">SUMIF('Minor Commodities - Q&amp;V'!$N$8:$N$250,'CY Q&amp;V 2004-Now'!K$7,'Minor Commodities - Q&amp;V'!$G$8:$G$242)*1000000</f>
        <v>290950415.91000003</v>
      </c>
      <c r="M76" s="788">
        <f ca="1">SUMIF('Minor Commodities - Q&amp;V'!$N$8:$N$250,'CY Q&amp;V 2004-Now'!M$7,'Minor Commodities - Q&amp;V'!$F$8:$F$242)*1000000</f>
        <v>10063552.932</v>
      </c>
      <c r="N76" s="788">
        <f ca="1">SUMIF('Minor Commodities - Q&amp;V'!$N$8:$N$250,'CY Q&amp;V 2004-Now'!M$7,'Minor Commodities - Q&amp;V'!$G$8:$G$242)*1000000</f>
        <v>447592200.68000001</v>
      </c>
      <c r="O76" s="788">
        <f ca="1">SUMIF('Minor Commodities - Q&amp;V'!$N$8:$N$250,'CY Q&amp;V 2004-Now'!O$7,'Minor Commodities - Q&amp;V'!$F$8:$F$242)*1000000</f>
        <v>11542636.41</v>
      </c>
      <c r="P76" s="788">
        <f ca="1">SUMIF('Minor Commodities - Q&amp;V'!$N$8:$N$250,'CY Q&amp;V 2004-Now'!O$7,'Minor Commodities - Q&amp;V'!$G$8:$G$242)*1000000</f>
        <v>386668816.90000004</v>
      </c>
      <c r="Q76" s="788">
        <f ca="1">SUMIF('Minor Commodities - Q&amp;V'!$N$8:$N$250,'CY Q&amp;V 2004-Now'!Q$7,'Minor Commodities - Q&amp;V'!$F$8:$F$242)*1000000</f>
        <v>12252575.100000001</v>
      </c>
      <c r="R76" s="788">
        <f ca="1">SUMIF('Minor Commodities - Q&amp;V'!$N$8:$N$250,'CY Q&amp;V 2004-Now'!Q$7,'Minor Commodities - Q&amp;V'!$G$8:$G$242)*1000000</f>
        <v>335770892.65000004</v>
      </c>
      <c r="S76" s="788">
        <f ca="1">SUMIF('Minor Commodities - Q&amp;V'!$N$8:$N$250,'CY Q&amp;V 2004-Now'!S$7,'Minor Commodities - Q&amp;V'!$F$8:$F$242)*1000000</f>
        <v>12504826.539999999</v>
      </c>
      <c r="T76" s="788">
        <f ca="1">SUMIF('Minor Commodities - Q&amp;V'!$N$8:$N$250,'CY Q&amp;V 2004-Now'!S$7,'Minor Commodities - Q&amp;V'!$G$8:$G$242)*1000000</f>
        <v>364509384.84000003</v>
      </c>
      <c r="U76" s="788">
        <f ca="1">SUMIF('Minor Commodities - Q&amp;V'!$N$8:$N$250,'CY Q&amp;V 2004-Now'!U$7,'Minor Commodities - Q&amp;V'!$F$8:$F$242)*1000000</f>
        <v>12900183.612000002</v>
      </c>
      <c r="V76" s="788">
        <f ca="1">SUMIF('Minor Commodities - Q&amp;V'!$N$8:$N$250,'CY Q&amp;V 2004-Now'!U$7,'Minor Commodities - Q&amp;V'!$G$8:$G$242)*1000000</f>
        <v>412414961.90999997</v>
      </c>
      <c r="W76" s="788">
        <f ca="1">SUMIF('Minor Commodities - Q&amp;V'!$N$8:$N$250,'CY Q&amp;V 2004-Now'!W$7,'Minor Commodities - Q&amp;V'!$F$8:$F$242)*1000000</f>
        <v>12997952.599999998</v>
      </c>
      <c r="X76" s="788">
        <f ca="1">SUMIF('Minor Commodities - Q&amp;V'!$N$8:$N$250,'CY Q&amp;V 2004-Now'!W$7,'Minor Commodities - Q&amp;V'!$G$8:$G$242)*1000000</f>
        <v>406426593</v>
      </c>
      <c r="Y76" s="788">
        <f ca="1">SUMIF('Minor Commodities - Q&amp;V'!$N$8:$N$250,'CY Q&amp;V 2004-Now'!Y$7,'Minor Commodities - Q&amp;V'!$F$8:$F$242)*1000000</f>
        <v>11390053.199999999</v>
      </c>
      <c r="Z76" s="788">
        <f ca="1">SUMIF('Minor Commodities - Q&amp;V'!$N$8:$N$250,'CY Q&amp;V 2004-Now'!Y$7,'Minor Commodities - Q&amp;V'!$G$8:$G$242)*1000000</f>
        <v>355146406</v>
      </c>
      <c r="AA76" s="788">
        <f ca="1">SUMIF('Minor Commodities - Q&amp;V'!$N$8:$N$250,'CY Q&amp;V 2004-Now'!AA$7,'Minor Commodities - Q&amp;V'!$F$8:$F$242)*1000000</f>
        <v>10410190.17</v>
      </c>
      <c r="AB76" s="788">
        <f ca="1">SUMIF('Minor Commodities - Q&amp;V'!$N$8:$N$250,'CY Q&amp;V 2004-Now'!AA$7,'Minor Commodities - Q&amp;V'!$G$8:$G$242)*1000000</f>
        <v>312742939</v>
      </c>
      <c r="AC76" s="788">
        <f ca="1">SUMIF('Minor Commodities - Q&amp;V'!$N$8:$N$250,'CY Q&amp;V 2004-Now'!AC$7,'Minor Commodities - Q&amp;V'!$F$8:$F$242)*1000000</f>
        <v>11674986.52</v>
      </c>
      <c r="AD76" s="788">
        <f ca="1">SUMIF('Minor Commodities - Q&amp;V'!$N$8:$N$250,'CY Q&amp;V 2004-Now'!AC$7,'Minor Commodities - Q&amp;V'!$G$8:$G$242)*1000000</f>
        <v>274061355</v>
      </c>
      <c r="AE76" s="788">
        <f ca="1">SUMIF('Minor Commodities - Q&amp;V'!$N$8:$N$250,'CY Q&amp;V 2004-Now'!AE$7,'Minor Commodities - Q&amp;V'!$F$8:$F$242)*1000000</f>
        <v>12894453.490000002</v>
      </c>
      <c r="AF76" s="788">
        <f ca="1">SUMIF('Minor Commodities - Q&amp;V'!$N$8:$N$250,'CY Q&amp;V 2004-Now'!AE$7,'Minor Commodities - Q&amp;V'!$G$8:$G$242)*1000000</f>
        <v>303629543.49680001</v>
      </c>
      <c r="AG76" s="788">
        <f ca="1">SUMIF('Minor Commodities - Q&amp;V'!$N$8:$N$250,'CY Q&amp;V 2004-Now'!AG$7,'Minor Commodities - Q&amp;V'!$F$8:$F$242)*1000000</f>
        <v>11473709.442999998</v>
      </c>
      <c r="AH76" s="788">
        <f ca="1">SUMIF('Minor Commodities - Q&amp;V'!$N$8:$N$250,'CY Q&amp;V 2004-Now'!AG$7,'Minor Commodities - Q&amp;V'!$G$8:$G$242)*1000000</f>
        <v>333741981</v>
      </c>
      <c r="AI76" s="586">
        <f ca="1">SUMIF($C$9:AH$9,1,$C76:AH76)</f>
        <v>184657004.58699998</v>
      </c>
      <c r="AJ76" s="586">
        <f ca="1">SUMIF($C$9:AH$9,0,$C76:AH76)</f>
        <v>5095314909.5168009</v>
      </c>
      <c r="AK76" s="624"/>
      <c r="AL76" s="571"/>
      <c r="AM76" s="571"/>
      <c r="AN76" s="571"/>
      <c r="AO76" s="571"/>
      <c r="AT76" s="42"/>
    </row>
    <row r="77" spans="1:46" s="541" customFormat="1">
      <c r="A77" s="591"/>
      <c r="B77" s="594"/>
      <c r="C77" s="594"/>
      <c r="D77" s="894"/>
      <c r="E77" s="586"/>
      <c r="F77" s="586"/>
      <c r="G77" s="586"/>
      <c r="H77" s="586"/>
      <c r="I77" s="604"/>
      <c r="J77" s="604"/>
      <c r="K77" s="586"/>
      <c r="L77" s="586"/>
      <c r="M77" s="586"/>
      <c r="N77" s="586"/>
      <c r="O77" s="586"/>
      <c r="P77" s="586"/>
      <c r="Q77" s="589"/>
      <c r="R77" s="589"/>
      <c r="S77" s="586"/>
      <c r="T77" s="586"/>
      <c r="U77" s="586"/>
      <c r="V77" s="586"/>
      <c r="W77" s="586"/>
      <c r="X77" s="586"/>
      <c r="Y77" s="692"/>
      <c r="Z77" s="692"/>
      <c r="AA77" s="692"/>
      <c r="AB77" s="692"/>
      <c r="AC77" s="692"/>
      <c r="AD77" s="692"/>
      <c r="AE77" s="692"/>
      <c r="AF77" s="692"/>
      <c r="AG77" s="692"/>
      <c r="AH77" s="692"/>
      <c r="AI77" s="586"/>
      <c r="AJ77" s="586"/>
      <c r="AL77" s="571"/>
      <c r="AM77" s="571"/>
      <c r="AN77" s="571"/>
      <c r="AO77" s="571"/>
      <c r="AT77" s="42"/>
    </row>
    <row r="78" spans="1:46" s="541" customFormat="1">
      <c r="A78" s="577" t="s">
        <v>314</v>
      </c>
      <c r="B78" s="601" t="s">
        <v>110</v>
      </c>
      <c r="C78" s="790">
        <v>701496</v>
      </c>
      <c r="D78" s="921">
        <v>6795566.4699999997</v>
      </c>
      <c r="E78" s="691">
        <v>745740</v>
      </c>
      <c r="F78" s="691">
        <v>7029286.46</v>
      </c>
      <c r="G78" s="691">
        <v>717676</v>
      </c>
      <c r="H78" s="691">
        <v>6380178.0099999998</v>
      </c>
      <c r="I78" s="659">
        <v>667000</v>
      </c>
      <c r="J78" s="659">
        <v>10649062.92</v>
      </c>
      <c r="K78" s="691">
        <v>507785</v>
      </c>
      <c r="L78" s="691">
        <v>7562492</v>
      </c>
      <c r="M78" s="691">
        <v>462314</v>
      </c>
      <c r="N78" s="691">
        <v>10006288</v>
      </c>
      <c r="O78" s="691">
        <v>422611</v>
      </c>
      <c r="P78" s="691">
        <v>12544042</v>
      </c>
      <c r="Q78" s="691">
        <v>477640</v>
      </c>
      <c r="R78" s="691">
        <v>15394140</v>
      </c>
      <c r="S78" s="691">
        <v>459537</v>
      </c>
      <c r="T78" s="691">
        <v>15289183</v>
      </c>
      <c r="U78" s="691">
        <v>438688</v>
      </c>
      <c r="V78" s="691">
        <v>15325432.539999999</v>
      </c>
      <c r="W78" s="691">
        <v>487248</v>
      </c>
      <c r="X78" s="691">
        <v>17353328.100000001</v>
      </c>
      <c r="Y78" s="691">
        <v>550002</v>
      </c>
      <c r="Z78" s="691">
        <v>34604715</v>
      </c>
      <c r="AA78" s="1206">
        <v>587126.48300000001</v>
      </c>
      <c r="AB78" s="1241">
        <v>14549866</v>
      </c>
      <c r="AC78" s="1241">
        <v>883747.11900000006</v>
      </c>
      <c r="AD78" s="1241">
        <v>21288628.25</v>
      </c>
      <c r="AE78" s="1241">
        <v>1006493.4319999999</v>
      </c>
      <c r="AF78" s="1241">
        <v>19989688</v>
      </c>
      <c r="AG78" s="1241">
        <v>996470.89100000006</v>
      </c>
      <c r="AH78" s="1241">
        <v>21581950</v>
      </c>
      <c r="AI78" s="579">
        <f>SUMIF($C$9:AH$9,1,$C78:AH78)</f>
        <v>10111574.925000001</v>
      </c>
      <c r="AJ78" s="579">
        <f>SUMIF($C$9:AH$9,0,$C78:AH78)</f>
        <v>236343846.75</v>
      </c>
      <c r="AK78" s="624"/>
      <c r="AL78" s="571"/>
      <c r="AM78" s="571"/>
      <c r="AN78" s="571"/>
      <c r="AO78" s="571"/>
      <c r="AT78" s="42"/>
    </row>
    <row r="79" spans="1:46" s="541" customFormat="1">
      <c r="A79" s="602"/>
      <c r="B79" s="603"/>
      <c r="C79" s="603"/>
      <c r="D79" s="921"/>
      <c r="E79" s="691"/>
      <c r="F79" s="691"/>
      <c r="G79" s="691"/>
      <c r="H79" s="691"/>
      <c r="I79" s="659"/>
      <c r="J79" s="659"/>
      <c r="K79" s="691"/>
      <c r="L79" s="691"/>
      <c r="M79" s="691"/>
      <c r="N79" s="691"/>
      <c r="O79" s="691"/>
      <c r="P79" s="691"/>
      <c r="Q79" s="691"/>
      <c r="R79" s="691"/>
      <c r="S79" s="691"/>
      <c r="T79" s="691"/>
      <c r="U79" s="691"/>
      <c r="V79" s="691"/>
      <c r="W79" s="691"/>
      <c r="X79" s="691"/>
      <c r="Y79" s="691"/>
      <c r="Z79" s="691"/>
      <c r="AA79" s="691"/>
      <c r="AB79" s="691"/>
      <c r="AC79" s="691"/>
      <c r="AD79" s="691"/>
      <c r="AE79" s="691"/>
      <c r="AF79" s="691"/>
      <c r="AG79" s="691"/>
      <c r="AH79" s="691"/>
      <c r="AI79" s="579"/>
      <c r="AJ79" s="579"/>
      <c r="AL79" s="571"/>
      <c r="AM79" s="571"/>
      <c r="AN79" s="571"/>
      <c r="AO79" s="571"/>
      <c r="AT79" s="42"/>
    </row>
    <row r="80" spans="1:46" s="541" customFormat="1">
      <c r="A80" s="591" t="s">
        <v>317</v>
      </c>
      <c r="B80" s="594" t="s">
        <v>196</v>
      </c>
      <c r="C80" s="788">
        <f>SUMIF('Minor Commodities - Q&amp;V'!$N$8:$N$250,'CY Q&amp;V 2004-Now'!C$7,'Minor Commodities - Q&amp;V'!$B$8:$B$250)*1000</f>
        <v>121539.99999999999</v>
      </c>
      <c r="D80" s="920">
        <f>SUMIF('Minor Commodities - Q&amp;V'!$N$8:$N$250,'CY Q&amp;V 2004-Now'!C$7,'Minor Commodities - Q&amp;V'!$C$8:$C$250)*1000000</f>
        <v>24654912.799999997</v>
      </c>
      <c r="E80" s="692">
        <f>SUMIF('Minor Commodities - Q&amp;V'!$N$8:$N$250,'CY Q&amp;V 2004-Now'!E$7,'Minor Commodities - Q&amp;V'!$B$8:$B$250)*1000</f>
        <v>127520.00000000001</v>
      </c>
      <c r="F80" s="692">
        <f>SUMIF('Minor Commodities - Q&amp;V'!$N$8:$N$250,'CY Q&amp;V 2004-Now'!E$7,'Minor Commodities - Q&amp;V'!$C$8:$C$250)*1000000</f>
        <v>39103266.360000007</v>
      </c>
      <c r="G80" s="692">
        <f>SUMIF('Minor Commodities - Q&amp;V'!$N$8:$N$250,'CY Q&amp;V 2004-Now'!G$7,'Minor Commodities - Q&amp;V'!$B$8:$B$250)*1000</f>
        <v>103020.00000000001</v>
      </c>
      <c r="H80" s="692">
        <f>SUMIF('Minor Commodities - Q&amp;V'!$N$8:$N$250,'CY Q&amp;V 2004-Now'!G$7,'Minor Commodities - Q&amp;V'!$C$8:$C$250)*1000000</f>
        <v>49870901.419999994</v>
      </c>
      <c r="I80" s="692">
        <f>SUMIF('Minor Commodities - Q&amp;V'!$N$8:$N$250,'CY Q&amp;V 2004-Now'!I$7,'Minor Commodities - Q&amp;V'!$B$8:$B$250)*1000</f>
        <v>120330</v>
      </c>
      <c r="J80" s="692">
        <f>SUMIF('Minor Commodities - Q&amp;V'!$N$8:$N$250,'CY Q&amp;V 2004-Now'!I$7,'Minor Commodities - Q&amp;V'!$C$8:$C$250)*1000000</f>
        <v>63222478.219999999</v>
      </c>
      <c r="K80" s="692">
        <f>SUMIF('Minor Commodities - Q&amp;V'!$N$8:$N$250,'CY Q&amp;V 2004-Now'!K$7,'Minor Commodities - Q&amp;V'!$B$8:$B$250)*1000</f>
        <v>88060</v>
      </c>
      <c r="L80" s="692">
        <f>SUMIF('Minor Commodities - Q&amp;V'!$N$8:$N$250,'CY Q&amp;V 2004-Now'!K$7,'Minor Commodities - Q&amp;V'!$C$8:$C$250)*1000000</f>
        <v>51411615.130000003</v>
      </c>
      <c r="M80" s="692">
        <f>SUMIF('Minor Commodities - Q&amp;V'!$N$8:$N$250,'CY Q&amp;V 2004-Now'!M$7,'Minor Commodities - Q&amp;V'!$B$8:$B$250)*1000</f>
        <v>124140</v>
      </c>
      <c r="N80" s="692">
        <f>SUMIF('Minor Commodities - Q&amp;V'!$N$8:$N$250,'CY Q&amp;V 2004-Now'!M$7,'Minor Commodities - Q&amp;V'!$C$8:$C$250)*1000000</f>
        <v>74044649.460000008</v>
      </c>
      <c r="O80" s="692">
        <f>SUMIF('Minor Commodities - Q&amp;V'!$N$8:$N$250,'CY Q&amp;V 2004-Now'!O$7,'Minor Commodities - Q&amp;V'!$B$8:$B$250)*1000</f>
        <v>112990.00000000001</v>
      </c>
      <c r="P80" s="692">
        <f>SUMIF('Minor Commodities - Q&amp;V'!$N$8:$N$250,'CY Q&amp;V 2004-Now'!O$7,'Minor Commodities - Q&amp;V'!$C$8:$C$250)*1000000</f>
        <v>80654205.189999998</v>
      </c>
      <c r="Q80" s="692">
        <f>SUMIF('Minor Commodities - Q&amp;V'!$N$8:$N$250,'CY Q&amp;V 2004-Now'!Q$7,'Minor Commodities - Q&amp;V'!$B$8:$B$250)*1000</f>
        <v>91470</v>
      </c>
      <c r="R80" s="692">
        <f>SUMIF('Minor Commodities - Q&amp;V'!$N$8:$N$250,'CY Q&amp;V 2004-Now'!Q$7,'Minor Commodities - Q&amp;V'!$C$8:$C$250)*1000000</f>
        <v>96223977.849999994</v>
      </c>
      <c r="S80" s="692">
        <f>SUMIF('Minor Commodities - Q&amp;V'!$N$8:$N$250,'CY Q&amp;V 2004-Now'!S$7,'Minor Commodities - Q&amp;V'!$B$8:$B$250)*1000</f>
        <v>134670.00000000003</v>
      </c>
      <c r="T80" s="692">
        <f>SUMIF('Minor Commodities - Q&amp;V'!$N$8:$N$250,'CY Q&amp;V 2004-Now'!S$7,'Minor Commodities - Q&amp;V'!$C$8:$C$250)*1000000</f>
        <v>120732521.81</v>
      </c>
      <c r="U80" s="692">
        <f>SUMIF('Minor Commodities - Q&amp;V'!$N$8:$N$250,'CY Q&amp;V 2004-Now'!U$7,'Minor Commodities - Q&amp;V'!$B$8:$B$250)*1000</f>
        <v>126350</v>
      </c>
      <c r="V80" s="692">
        <f>SUMIF('Minor Commodities - Q&amp;V'!$N$8:$N$250,'CY Q&amp;V 2004-Now'!U$7,'Minor Commodities - Q&amp;V'!$C$8:$C$250)*1000000</f>
        <v>88375709.99000001</v>
      </c>
      <c r="W80" s="692">
        <f>SUMIF('Minor Commodities - Q&amp;V'!$N$8:$N$250,'CY Q&amp;V 2004-Now'!W$7,'Minor Commodities - Q&amp;V'!$B$8:$B$250)*1000</f>
        <v>147469.35516178497</v>
      </c>
      <c r="X80" s="692">
        <f>SUMIF('Minor Commodities - Q&amp;V'!$N$8:$N$250,'CY Q&amp;V 2004-Now'!W$7,'Minor Commodities - Q&amp;V'!$C$8:$C$250)*1000000</f>
        <v>94609190.000000015</v>
      </c>
      <c r="Y80" s="692">
        <f>SUMIF('Minor Commodities - Q&amp;V'!$N$8:$N$250,'CY Q&amp;V 2004-Now'!Y$7,'Minor Commodities - Q&amp;V'!$B$8:$B$250)*1000</f>
        <v>149760.98616826386</v>
      </c>
      <c r="Z80" s="692">
        <f>SUMIF('Minor Commodities - Q&amp;V'!$N$8:$N$250,'CY Q&amp;V 2004-Now'!Y$7,'Minor Commodities - Q&amp;V'!$C$8:$C$250)*1000000</f>
        <v>96075520.000000015</v>
      </c>
      <c r="AA80" s="692">
        <f>SUMIF('Minor Commodities - Q&amp;V'!$N$8:$N$250,'CY Q&amp;V 2004-Now'!AA$7,'Minor Commodities - Q&amp;V'!$B$8:$B$250)*1000</f>
        <v>158024.03033215451</v>
      </c>
      <c r="AB80" s="692">
        <f>SUMIF('Minor Commodities - Q&amp;V'!$N$8:$N$250,'CY Q&amp;V 2004-Now'!AA$7,'Minor Commodities - Q&amp;V'!$C$8:$C$250)*1000000</f>
        <v>111613164</v>
      </c>
      <c r="AC80" s="692">
        <f>SUMIF('Minor Commodities - Q&amp;V'!$N$8:$N$250,'CY Q&amp;V 2004-Now'!AC$7,'Minor Commodities - Q&amp;V'!$B$8:$B$250)*1000</f>
        <v>150866.10314033285</v>
      </c>
      <c r="AD80" s="692">
        <f>SUMIF('Minor Commodities - Q&amp;V'!$N$8:$N$250,'CY Q&amp;V 2004-Now'!AC$7,'Minor Commodities - Q&amp;V'!$C$8:$C$250)*1000000</f>
        <v>98551907</v>
      </c>
      <c r="AE80" s="692">
        <f>SUMIF('Minor Commodities - Q&amp;V'!$N$8:$N$250,'CY Q&amp;V 2004-Now'!AE$7,'Minor Commodities - Q&amp;V'!$B$8:$B$250)*1000</f>
        <v>144205.04345900714</v>
      </c>
      <c r="AF80" s="692">
        <f>SUMIF('Minor Commodities - Q&amp;V'!$N$8:$N$250,'CY Q&amp;V 2004-Now'!AE$7,'Minor Commodities - Q&amp;V'!$C$8:$C$250)*1000000</f>
        <v>94066417</v>
      </c>
      <c r="AG80" s="692">
        <f>SUMIF('Minor Commodities - Q&amp;V'!$N$8:$N$250,'CY Q&amp;V 2004-Now'!AG$7,'Minor Commodities - Q&amp;V'!$B$8:$B$250)*1000</f>
        <v>134472.84293673231</v>
      </c>
      <c r="AH80" s="692">
        <f>SUMIF('Minor Commodities - Q&amp;V'!$N$8:$N$250,'CY Q&amp;V 2004-Now'!AG$7,'Minor Commodities - Q&amp;V'!$C$8:$C$250)*1000000</f>
        <v>95034499</v>
      </c>
      <c r="AI80" s="586">
        <f>SUMIF($C$9:AH$9,1,$C80:AH80)</f>
        <v>2034888.3611982758</v>
      </c>
      <c r="AJ80" s="586">
        <f>SUMIF($C$9:AH$9,0,$C80:AH80)</f>
        <v>1278244935.23</v>
      </c>
      <c r="AK80" s="624"/>
      <c r="AL80" s="571"/>
      <c r="AM80" s="571"/>
      <c r="AN80" s="571"/>
      <c r="AO80" s="571"/>
      <c r="AR80" s="423"/>
      <c r="AS80" s="423"/>
      <c r="AT80" s="42"/>
    </row>
    <row r="81" spans="1:46" s="541" customFormat="1">
      <c r="A81" s="591"/>
      <c r="B81" s="594"/>
      <c r="C81" s="594"/>
      <c r="D81" s="894"/>
      <c r="E81" s="586"/>
      <c r="F81" s="586"/>
      <c r="G81" s="586"/>
      <c r="H81" s="586"/>
      <c r="I81" s="604"/>
      <c r="J81" s="604"/>
      <c r="K81" s="586"/>
      <c r="L81" s="586"/>
      <c r="M81" s="586"/>
      <c r="N81" s="586"/>
      <c r="O81" s="586"/>
      <c r="P81" s="586"/>
      <c r="Q81" s="589"/>
      <c r="R81" s="589"/>
      <c r="S81" s="586"/>
      <c r="T81" s="586"/>
      <c r="U81" s="586"/>
      <c r="V81" s="586"/>
      <c r="W81" s="586"/>
      <c r="X81" s="586"/>
      <c r="Y81" s="597"/>
      <c r="Z81" s="597"/>
      <c r="AA81" s="600"/>
      <c r="AB81" s="600"/>
      <c r="AC81" s="600"/>
      <c r="AD81" s="600"/>
      <c r="AE81" s="692"/>
      <c r="AF81" s="692"/>
      <c r="AG81" s="600"/>
      <c r="AH81" s="600"/>
      <c r="AI81" s="586"/>
      <c r="AJ81" s="586"/>
      <c r="AL81" s="571"/>
      <c r="AM81" s="571"/>
      <c r="AN81" s="571"/>
      <c r="AO81" s="571"/>
      <c r="AR81" s="423"/>
      <c r="AS81" s="423"/>
      <c r="AT81" s="42"/>
    </row>
    <row r="82" spans="1:46" s="541" customFormat="1">
      <c r="A82" s="577" t="s">
        <v>321</v>
      </c>
      <c r="B82" s="603"/>
      <c r="C82" s="603"/>
      <c r="D82" s="921"/>
      <c r="E82" s="579"/>
      <c r="F82" s="579"/>
      <c r="G82" s="579"/>
      <c r="H82" s="579"/>
      <c r="I82" s="612"/>
      <c r="J82" s="612"/>
      <c r="K82" s="579"/>
      <c r="L82" s="579"/>
      <c r="M82" s="579"/>
      <c r="N82" s="579"/>
      <c r="O82" s="579"/>
      <c r="P82" s="579"/>
      <c r="Q82" s="579"/>
      <c r="R82" s="579"/>
      <c r="S82" s="579"/>
      <c r="T82" s="579"/>
      <c r="U82" s="579"/>
      <c r="V82" s="579"/>
      <c r="W82" s="579"/>
      <c r="X82" s="579"/>
      <c r="Y82" s="579"/>
      <c r="Z82" s="579"/>
      <c r="AA82" s="691"/>
      <c r="AB82" s="691"/>
      <c r="AC82" s="691"/>
      <c r="AD82" s="691"/>
      <c r="AE82" s="691"/>
      <c r="AF82" s="691"/>
      <c r="AG82" s="691"/>
      <c r="AH82" s="691"/>
      <c r="AI82" s="579"/>
      <c r="AJ82" s="579"/>
      <c r="AR82" s="423"/>
      <c r="AS82" s="423"/>
      <c r="AT82" s="42"/>
    </row>
    <row r="83" spans="1:46" s="541" customFormat="1">
      <c r="A83" s="613" t="s">
        <v>354</v>
      </c>
      <c r="B83" s="578" t="s">
        <v>110</v>
      </c>
      <c r="C83" s="620">
        <f>SUMIF('Lithium - Q&amp;V'!$D$8:$D$252,'CY Q&amp;V 2004-Now'!C$7,'Lithium - Q&amp;V'!$B$8:$B$252)*1000</f>
        <v>110256</v>
      </c>
      <c r="D83" s="923">
        <f>SUMIF('Lithium - Q&amp;V'!$D$8:$D$252,'CY Q&amp;V 2004-Now'!C$7,'Lithium - Q&amp;V'!$C$8:$C$252)*1000000</f>
        <v>24199351</v>
      </c>
      <c r="E83" s="691">
        <f>SUMIF('Lithium - Q&amp;V'!$D$8:$D$252,'CY Q&amp;V 2004-Now'!E$7,'Lithium - Q&amp;V'!$B$8:$B$252)*1000</f>
        <v>173635</v>
      </c>
      <c r="F83" s="687">
        <f>SUMIF('Lithium - Q&amp;V'!$D$8:$D$252,'CY Q&amp;V 2004-Now'!E$7,'Lithium - Q&amp;V'!$C$8:$C$252)*1000000</f>
        <v>30318278.999999996</v>
      </c>
      <c r="G83" s="691">
        <f>SUMIF('Lithium - Q&amp;V'!$D$8:$D$252,'CY Q&amp;V 2004-Now'!G$7,'Lithium - Q&amp;V'!$B$8:$B$252)*1000</f>
        <v>222101</v>
      </c>
      <c r="H83" s="687">
        <f>SUMIF('Lithium - Q&amp;V'!$D$8:$D$252,'CY Q&amp;V 2004-Now'!G$7,'Lithium - Q&amp;V'!$C$8:$C$252)*1000000</f>
        <v>51784586.000000007</v>
      </c>
      <c r="I83" s="659">
        <f>SUMIF('Lithium - Q&amp;V'!$D$8:$D$252,'CY Q&amp;V 2004-Now'!I$7,'Lithium - Q&amp;V'!$B$8:$B$252)*1000</f>
        <v>245279</v>
      </c>
      <c r="J83" s="659">
        <f>SUMIF('Lithium - Q&amp;V'!$D$8:$D$252,'CY Q&amp;V 2004-Now'!I$7,'Lithium - Q&amp;V'!$C$8:$C$252)*1000000</f>
        <v>67904725</v>
      </c>
      <c r="K83" s="691">
        <f>SUMIF('Lithium - Q&amp;V'!$D$8:$D$252,'CY Q&amp;V 2004-Now'!K$7,'Lithium - Q&amp;V'!$B$8:$B$252)*1000</f>
        <v>239528.00000000003</v>
      </c>
      <c r="L83" s="687">
        <f>SUMIF('Lithium - Q&amp;V'!$D$8:$D$252,'CY Q&amp;V 2004-Now'!K$7,'Lithium - Q&amp;V'!$C$8:$C$252)*1000000</f>
        <v>73337527.329999998</v>
      </c>
      <c r="M83" s="691">
        <f>SUMIF('Lithium - Q&amp;V'!$D$8:$D$252,'CY Q&amp;V 2004-Now'!M$7,'Lithium - Q&amp;V'!$B$8:$B$252)*1000</f>
        <v>197482.15</v>
      </c>
      <c r="N83" s="691">
        <f>SUMIF('Lithium - Q&amp;V'!$D$8:$D$252,'CY Q&amp;V 2004-Now'!M$7,'Lithium - Q&amp;V'!$C$8:$C$252)*1000000</f>
        <v>71703547</v>
      </c>
      <c r="O83" s="691">
        <f>SUMIF('Lithium - Q&amp;V'!$D$8:$D$252,'CY Q&amp;V 2004-Now'!O$7,'Lithium - Q&amp;V'!$B$8:$B$252)*1000</f>
        <v>326864.99999999994</v>
      </c>
      <c r="P83" s="691">
        <f>SUMIF('Lithium - Q&amp;V'!$D$8:$D$252,'CY Q&amp;V 2004-Now'!O$7,'Lithium - Q&amp;V'!$C$8:$C$252)*1000000</f>
        <v>92182259.810000002</v>
      </c>
      <c r="Q83" s="691">
        <f>SUMIF('Lithium - Q&amp;V'!$D$8:$D$252,'CY Q&amp;V 2004-Now'!Q$7,'Lithium - Q&amp;V'!$B$8:$B$252)*1000</f>
        <v>401535.85</v>
      </c>
      <c r="R83" s="691">
        <f>SUMIF('Lithium - Q&amp;V'!$D$8:$D$252,'CY Q&amp;V 2004-Now'!Q$7,'Lithium - Q&amp;V'!$C$8:$C$252)*1000000</f>
        <v>117327288.90000001</v>
      </c>
      <c r="S83" s="691">
        <f>SUMIF('Lithium - Q&amp;V'!$D$8:$D$252,'CY Q&amp;V 2004-Now'!S$7,'Lithium - Q&amp;V'!$B$8:$B$252)*1000</f>
        <v>500898.55</v>
      </c>
      <c r="T83" s="691">
        <f>SUMIF('Lithium - Q&amp;V'!$D$8:$D$252,'CY Q&amp;V 2004-Now'!S$7,'Lithium - Q&amp;V'!$C$8:$C$252)*1000000</f>
        <v>162189381.88999999</v>
      </c>
      <c r="U83" s="579">
        <f>SUMIF('Lithium - Q&amp;V'!$D$8:$D$252,'CY Q&amp;V 2004-Now'!U$7,'Lithium - Q&amp;V'!$B$8:$B$252)*1000</f>
        <v>405119</v>
      </c>
      <c r="V83" s="579">
        <f>SUMIF('Lithium - Q&amp;V'!$D$8:$D$252,'CY Q&amp;V 2004-Now'!U$7,'Lithium - Q&amp;V'!$C$8:$C$252)*1000000</f>
        <v>169286544.41999999</v>
      </c>
      <c r="W83" s="691">
        <f>SUMIF('Lithium - Q&amp;V'!$D$8:$D$252,'CY Q&amp;V 2004-Now'!W$7,'Lithium - Q&amp;V'!$B$8:$B$252)*1000</f>
        <v>444546</v>
      </c>
      <c r="X83" s="691">
        <f>SUMIF('Lithium - Q&amp;V'!$D$8:$D$252,'CY Q&amp;V 2004-Now'!W$7,'Lithium - Q&amp;V'!$C$8:$C$252)*1000000</f>
        <v>201517762</v>
      </c>
      <c r="Y83" s="691">
        <f>SUMIF('Lithium - Q&amp;V'!$D$8:$D$252,'CY Q&amp;V 2004-Now'!Y$7,'Lithium - Q&amp;V'!$B$8:$B$252)*1000</f>
        <v>439514</v>
      </c>
      <c r="Z83" s="691">
        <f>SUMIF('Lithium - Q&amp;V'!$D$8:$D$252,'CY Q&amp;V 2004-Now'!Y$7,'Lithium - Q&amp;V'!$C$8:$C$252)*1000000</f>
        <v>240178272.00000003</v>
      </c>
      <c r="AA83" s="1206">
        <f>SUMIF('Lithium - Q&amp;V'!$D$8:$D$252,'CY Q&amp;V 2004-Now'!AA$7,'Lithium - Q&amp;V'!$B$8:$B$252)*1000</f>
        <v>522181.00000000006</v>
      </c>
      <c r="AB83" s="1207">
        <f>SUMIF('Lithium - Q&amp;V'!$D$8:$D$252,'CY Q&amp;V 2004-Now'!AA$7,'Lithium - Q&amp;V'!$C$8:$C$252)*1000000</f>
        <v>293859642</v>
      </c>
      <c r="AC83" s="1241">
        <f>SUMIF('Lithium - Q&amp;V'!$D$8:$D$252,'CY Q&amp;V 2004-Now'!AC$7,'Lithium - Q&amp;V'!$B$8:$B$252)*1000</f>
        <v>1706618.61</v>
      </c>
      <c r="AD83" s="1241">
        <f>SUMIF('Lithium - Q&amp;V'!$D$8:$D$252,'CY Q&amp;V 2004-Now'!AC$7,'Lithium - Q&amp;V'!$C$8:$C$252)*1000000</f>
        <v>1198528566.9999998</v>
      </c>
      <c r="AE83" s="1241">
        <f>SUMIF('Lithium - Q&amp;V'!$D$8:$D$252,'CY Q&amp;V 2004-Now'!AE$7,'Lithium - Q&amp;V'!$B$8:$B$252)*1000</f>
        <v>1965943.7</v>
      </c>
      <c r="AF83" s="1241">
        <f>SUMIF('Lithium - Q&amp;V'!$D$8:$D$252,'CY Q&amp;V 2004-Now'!AE$7,'Lithium - Q&amp;V'!$C$8:$C$252)*1000000</f>
        <v>1862957569</v>
      </c>
      <c r="AG83" s="1241">
        <f>SUMIF('Lithium - Q&amp;V'!$D$8:$D$252,'CY Q&amp;V 2004-Now'!AG$7,'Lithium - Q&amp;V'!$B$8:$B$252)*1000</f>
        <v>1616763.5205000001</v>
      </c>
      <c r="AH83" s="1241">
        <f>SUMIF('Lithium - Q&amp;V'!$D$8:$D$252,'CY Q&amp;V 2004-Now'!AG$7,'Lithium - Q&amp;V'!$C$8:$C$252)*1000000</f>
        <v>1345789017</v>
      </c>
      <c r="AI83" s="691">
        <f>SUMIF($C$9:AH$9,1,$C83:AH83)</f>
        <v>9518266.3805</v>
      </c>
      <c r="AJ83" s="691">
        <f>SUMIF($C$9:AH$9,0,$C83:AH83)</f>
        <v>6003064319.3499994</v>
      </c>
      <c r="AR83" s="423"/>
      <c r="AS83" s="423"/>
      <c r="AT83" s="42"/>
    </row>
    <row r="84" spans="1:46" s="541" customFormat="1">
      <c r="A84" s="613" t="s">
        <v>355</v>
      </c>
      <c r="B84" s="578" t="s">
        <v>110</v>
      </c>
      <c r="C84" s="578"/>
      <c r="D84" s="923"/>
      <c r="E84" s="579">
        <v>1043.3599999999999</v>
      </c>
      <c r="F84" s="598" t="s">
        <v>273</v>
      </c>
      <c r="G84" s="579">
        <v>583.63</v>
      </c>
      <c r="H84" s="598" t="s">
        <v>273</v>
      </c>
      <c r="I84" s="581">
        <v>538.29</v>
      </c>
      <c r="J84" s="581" t="s">
        <v>273</v>
      </c>
      <c r="K84" s="579">
        <v>680.11</v>
      </c>
      <c r="L84" s="598" t="s">
        <v>273</v>
      </c>
      <c r="M84" s="579"/>
      <c r="N84" s="579"/>
      <c r="O84" s="579"/>
      <c r="P84" s="579"/>
      <c r="Q84" s="579"/>
      <c r="R84" s="579"/>
      <c r="S84" s="579"/>
      <c r="T84" s="579"/>
      <c r="U84" s="579"/>
      <c r="V84" s="579"/>
      <c r="W84" s="579">
        <v>87</v>
      </c>
      <c r="X84" s="579"/>
      <c r="Y84" s="579">
        <v>249.834</v>
      </c>
      <c r="Z84" s="687" t="s">
        <v>273</v>
      </c>
      <c r="AA84" s="1761">
        <v>39</v>
      </c>
      <c r="AB84" s="1761" t="s">
        <v>273</v>
      </c>
      <c r="AC84" s="1761">
        <v>74.426000000000002</v>
      </c>
      <c r="AD84" s="1761" t="s">
        <v>273</v>
      </c>
      <c r="AE84" s="1761">
        <v>117.38499999999999</v>
      </c>
      <c r="AF84" s="1761" t="s">
        <v>273</v>
      </c>
      <c r="AG84" s="1241">
        <v>117.38499999999999</v>
      </c>
      <c r="AH84" s="1761" t="s">
        <v>273</v>
      </c>
      <c r="AI84" s="691">
        <f>SUMIF($C$9:AH$9,1,$C84:AH84)</f>
        <v>3530.42</v>
      </c>
      <c r="AJ84" s="579"/>
      <c r="AR84" s="423"/>
      <c r="AS84" s="423"/>
      <c r="AT84" s="42"/>
    </row>
    <row r="85" spans="1:46" s="541" customFormat="1">
      <c r="A85" s="613" t="s">
        <v>356</v>
      </c>
      <c r="B85" s="578" t="s">
        <v>110</v>
      </c>
      <c r="C85" s="578"/>
      <c r="D85" s="923"/>
      <c r="E85" s="579">
        <v>426.97</v>
      </c>
      <c r="F85" s="579">
        <v>3841446</v>
      </c>
      <c r="G85" s="579">
        <v>426.11</v>
      </c>
      <c r="H85" s="579">
        <v>7854595</v>
      </c>
      <c r="I85" s="581">
        <v>148.43</v>
      </c>
      <c r="J85" s="581">
        <v>3833294</v>
      </c>
      <c r="K85" s="579">
        <v>169.5</v>
      </c>
      <c r="L85" s="579">
        <v>2265026</v>
      </c>
      <c r="M85" s="579"/>
      <c r="N85" s="579"/>
      <c r="O85" s="579"/>
      <c r="P85" s="579"/>
      <c r="Q85" s="579"/>
      <c r="R85" s="579"/>
      <c r="S85" s="579"/>
      <c r="T85" s="579"/>
      <c r="U85" s="579"/>
      <c r="V85" s="579"/>
      <c r="W85" s="579">
        <v>14</v>
      </c>
      <c r="X85" s="579"/>
      <c r="Y85" s="579">
        <v>21.766999999999999</v>
      </c>
      <c r="Z85" s="687" t="s">
        <v>273</v>
      </c>
      <c r="AA85" s="1761">
        <v>41.28</v>
      </c>
      <c r="AB85" s="1761" t="s">
        <v>273</v>
      </c>
      <c r="AC85" s="1761">
        <v>21.1</v>
      </c>
      <c r="AD85" s="1761" t="s">
        <v>273</v>
      </c>
      <c r="AE85" s="1761">
        <v>82.1</v>
      </c>
      <c r="AF85" s="1761" t="s">
        <v>273</v>
      </c>
      <c r="AG85" s="1241">
        <v>82.1</v>
      </c>
      <c r="AH85" s="1761" t="s">
        <v>273</v>
      </c>
      <c r="AI85" s="691">
        <f>SUMIF($C$9:AH$9,1,$C85:AH85)</f>
        <v>1433.3569999999997</v>
      </c>
      <c r="AJ85" s="579"/>
      <c r="AR85" s="423"/>
      <c r="AS85" s="423"/>
      <c r="AT85" s="42"/>
    </row>
    <row r="86" spans="1:46" s="541" customFormat="1">
      <c r="A86" s="611" t="s">
        <v>323</v>
      </c>
      <c r="B86" s="603"/>
      <c r="C86" s="790">
        <v>111771</v>
      </c>
      <c r="D86" s="921">
        <v>197286847</v>
      </c>
      <c r="E86" s="579"/>
      <c r="F86" s="579">
        <v>192657468</v>
      </c>
      <c r="G86" s="579"/>
      <c r="H86" s="579">
        <v>159153126</v>
      </c>
      <c r="I86" s="581"/>
      <c r="J86" s="581">
        <v>170883445</v>
      </c>
      <c r="K86" s="579"/>
      <c r="L86" s="579">
        <v>194890438</v>
      </c>
      <c r="M86" s="579">
        <v>224374.39999999999</v>
      </c>
      <c r="N86" s="579">
        <v>92741498</v>
      </c>
      <c r="O86" s="579">
        <v>326968.908</v>
      </c>
      <c r="P86" s="579">
        <v>93312253</v>
      </c>
      <c r="Q86" s="582"/>
      <c r="R86" s="582">
        <v>196306721</v>
      </c>
      <c r="S86" s="579"/>
      <c r="T86" s="579">
        <v>200728873</v>
      </c>
      <c r="U86" s="579"/>
      <c r="V86" s="579">
        <v>173039737</v>
      </c>
      <c r="W86" s="579"/>
      <c r="X86" s="691">
        <v>207334873</v>
      </c>
      <c r="Y86" s="617"/>
      <c r="Z86" s="691">
        <v>248196274</v>
      </c>
      <c r="AA86" s="1206"/>
      <c r="AB86" s="1241">
        <v>301637301</v>
      </c>
      <c r="AC86" s="1241"/>
      <c r="AD86" s="1241">
        <v>1212138982</v>
      </c>
      <c r="AE86" s="1241"/>
      <c r="AF86" s="1241">
        <v>1891800166</v>
      </c>
      <c r="AG86" s="1241"/>
      <c r="AH86" s="1241">
        <v>1374587711</v>
      </c>
      <c r="AI86" s="579">
        <f>SUMIF($C$9:AH$9,1,$C86:AH86)</f>
        <v>663114.30799999996</v>
      </c>
      <c r="AJ86" s="579">
        <f>SUM($C86:AI86)</f>
        <v>6908021941.6160002</v>
      </c>
      <c r="AL86" s="571"/>
      <c r="AM86" s="571"/>
      <c r="AN86" s="624"/>
      <c r="AR86" s="423"/>
      <c r="AS86" s="423"/>
      <c r="AT86" s="42"/>
    </row>
    <row r="87" spans="1:46" s="541" customFormat="1">
      <c r="A87" s="596"/>
      <c r="B87" s="430"/>
      <c r="C87" s="430"/>
      <c r="D87" s="920"/>
      <c r="E87" s="586"/>
      <c r="F87" s="586"/>
      <c r="G87" s="586"/>
      <c r="H87" s="586"/>
      <c r="I87" s="592"/>
      <c r="J87" s="592"/>
      <c r="K87" s="586"/>
      <c r="L87" s="586"/>
      <c r="M87" s="586"/>
      <c r="N87" s="586"/>
      <c r="O87" s="586"/>
      <c r="P87" s="586"/>
      <c r="Q87" s="589"/>
      <c r="R87" s="589"/>
      <c r="S87" s="586"/>
      <c r="T87" s="586"/>
      <c r="U87" s="586"/>
      <c r="V87" s="586"/>
      <c r="W87" s="586"/>
      <c r="X87" s="586"/>
      <c r="Y87" s="597"/>
      <c r="Z87" s="597"/>
      <c r="AA87" s="600"/>
      <c r="AB87" s="600"/>
      <c r="AC87" s="600"/>
      <c r="AD87" s="600"/>
      <c r="AE87" s="692"/>
      <c r="AF87" s="692"/>
      <c r="AG87" s="600"/>
      <c r="AH87" s="600"/>
      <c r="AI87" s="586"/>
      <c r="AJ87" s="586"/>
      <c r="AL87" s="624"/>
      <c r="AN87" s="624"/>
      <c r="AO87" s="571"/>
      <c r="AR87" s="423"/>
      <c r="AS87" s="423"/>
      <c r="AT87" s="42"/>
    </row>
    <row r="88" spans="1:46" s="541" customFormat="1">
      <c r="A88" s="591" t="s">
        <v>302</v>
      </c>
      <c r="B88" s="594" t="s">
        <v>110</v>
      </c>
      <c r="C88" s="594"/>
      <c r="D88" s="894">
        <v>15290405.57</v>
      </c>
      <c r="E88" s="894"/>
      <c r="F88" s="894">
        <v>13646771.57</v>
      </c>
      <c r="G88" s="586"/>
      <c r="H88" s="586">
        <v>15561388.1</v>
      </c>
      <c r="I88" s="595"/>
      <c r="J88" s="692">
        <v>13647434.57</v>
      </c>
      <c r="K88" s="586"/>
      <c r="L88" s="586">
        <v>76975183</v>
      </c>
      <c r="M88" s="586"/>
      <c r="N88" s="692">
        <v>63335222</v>
      </c>
      <c r="O88" s="586"/>
      <c r="P88" s="692">
        <v>42263274</v>
      </c>
      <c r="Q88" s="589"/>
      <c r="R88" s="692">
        <v>469000214</v>
      </c>
      <c r="S88" s="586"/>
      <c r="T88" s="692">
        <v>380036531</v>
      </c>
      <c r="U88" s="586"/>
      <c r="V88" s="692">
        <v>492647032.50999999</v>
      </c>
      <c r="W88" s="586"/>
      <c r="X88" s="692">
        <v>602934218</v>
      </c>
      <c r="Y88" s="586"/>
      <c r="Z88" s="692">
        <v>415956482.35798645</v>
      </c>
      <c r="AA88" s="692"/>
      <c r="AB88" s="692">
        <v>214860007</v>
      </c>
      <c r="AC88" s="692"/>
      <c r="AD88" s="1400">
        <v>415609842.99998474</v>
      </c>
      <c r="AE88" s="1400"/>
      <c r="AF88" s="1400">
        <v>378307193</v>
      </c>
      <c r="AG88" s="1400"/>
      <c r="AH88" s="1400">
        <v>739686397</v>
      </c>
      <c r="AI88" s="586"/>
      <c r="AJ88" s="586">
        <f>SUM($C88:AH88)</f>
        <v>4349757596.6779709</v>
      </c>
      <c r="AM88" s="624"/>
      <c r="AN88" s="624"/>
      <c r="AO88" s="571"/>
      <c r="AR88" s="423"/>
      <c r="AS88" s="423"/>
      <c r="AT88" s="42"/>
    </row>
    <row r="89" spans="1:46" s="541" customFormat="1">
      <c r="A89" s="591" t="s">
        <v>835</v>
      </c>
      <c r="B89" s="430"/>
      <c r="C89" s="430"/>
      <c r="D89" s="920"/>
      <c r="E89" s="920"/>
      <c r="F89" s="920"/>
      <c r="G89" s="586"/>
      <c r="H89" s="586"/>
      <c r="I89" s="430"/>
      <c r="J89" s="692"/>
      <c r="K89" s="586"/>
      <c r="L89" s="586"/>
      <c r="M89" s="586"/>
      <c r="N89" s="692"/>
      <c r="O89" s="586"/>
      <c r="P89" s="692"/>
      <c r="Q89" s="589"/>
      <c r="R89" s="692"/>
      <c r="S89" s="586"/>
      <c r="T89" s="692"/>
      <c r="U89" s="586"/>
      <c r="V89" s="692"/>
      <c r="W89" s="586"/>
      <c r="X89" s="692"/>
      <c r="Y89" s="597"/>
      <c r="Z89" s="597"/>
      <c r="AA89" s="600"/>
      <c r="AB89" s="600"/>
      <c r="AC89" s="600"/>
      <c r="AD89" s="600"/>
      <c r="AE89" s="692"/>
      <c r="AF89" s="692"/>
      <c r="AG89" s="600"/>
      <c r="AH89" s="600"/>
      <c r="AI89" s="586"/>
      <c r="AJ89" s="597"/>
      <c r="AL89" s="624"/>
      <c r="AO89" s="571"/>
      <c r="AR89" s="423"/>
      <c r="AS89" s="423"/>
      <c r="AT89" s="42"/>
    </row>
    <row r="90" spans="1:46" s="541" customFormat="1">
      <c r="A90" s="577"/>
      <c r="B90" s="603"/>
      <c r="C90" s="603"/>
      <c r="D90" s="921"/>
      <c r="E90" s="921"/>
      <c r="F90" s="921"/>
      <c r="G90" s="579"/>
      <c r="H90" s="579"/>
      <c r="I90" s="603"/>
      <c r="J90" s="691"/>
      <c r="K90" s="579"/>
      <c r="L90" s="579"/>
      <c r="M90" s="579"/>
      <c r="N90" s="691"/>
      <c r="O90" s="579"/>
      <c r="P90" s="691"/>
      <c r="Q90" s="579"/>
      <c r="R90" s="691"/>
      <c r="S90" s="579"/>
      <c r="T90" s="691"/>
      <c r="U90" s="579"/>
      <c r="V90" s="691"/>
      <c r="W90" s="579"/>
      <c r="X90" s="691"/>
      <c r="Y90" s="579"/>
      <c r="Z90" s="579"/>
      <c r="AA90" s="691"/>
      <c r="AB90" s="691"/>
      <c r="AC90" s="691"/>
      <c r="AD90" s="691"/>
      <c r="AE90" s="691"/>
      <c r="AF90" s="691"/>
      <c r="AG90" s="691"/>
      <c r="AH90" s="691"/>
      <c r="AI90" s="579"/>
      <c r="AJ90" s="579"/>
      <c r="AO90" s="571"/>
      <c r="AR90" s="423"/>
      <c r="AS90" s="423"/>
      <c r="AT90" s="42"/>
    </row>
    <row r="91" spans="1:46" s="541" customFormat="1">
      <c r="A91" s="577" t="s">
        <v>330</v>
      </c>
      <c r="B91" s="603"/>
      <c r="C91" s="603"/>
      <c r="D91" s="176">
        <f ca="1">SUM(D88,D86,D80,D78,D76,D74,D66,D58,D56,D54,D44,D42,D40,D38,D36,D34,D26,D24,D22,D20,D14)</f>
        <v>28758745770.842121</v>
      </c>
      <c r="E91" s="176"/>
      <c r="F91" s="176">
        <f ca="1">SUM(F88,F86,F80,F78,F76,F74,F66,F58,F56,F54,F44,F42,F40,F38,F36,F34,F26,F24,F22,F20,F14)</f>
        <v>39219936234.244133</v>
      </c>
      <c r="G91" s="176"/>
      <c r="H91" s="176">
        <f ca="1">SUM(H88,H86,H80,H78,H76,H74,H66,H58,H56,H54,H44,H42,H40,H38,H36,H34,H26,H24,H22,H20,H14)</f>
        <v>49274304821.548279</v>
      </c>
      <c r="I91" s="176"/>
      <c r="J91" s="176">
        <f ca="1">SUM(J88,J86,J80,J78,J76,J74,J66,J58,J56,J54,J44,J42,J40,J38,J36,J34,J26,J24,J22,J20,J14)</f>
        <v>52899857495.248489</v>
      </c>
      <c r="K91" s="176"/>
      <c r="L91" s="176">
        <f ca="1">SUM(L88,L86,L80,L78,L76,L74,L66,L58,L56,L54,L44,L42,L40,L38,L36,L34,L26,L24,L22,L20,L14)</f>
        <v>72376100405.714371</v>
      </c>
      <c r="M91" s="176"/>
      <c r="N91" s="176">
        <f ca="1">SUM(N88,N86,N80,N78,N76,N74,N66,N58,N56,N54,N44,N42,N40,N38,N36,N34,N26,N24,N22,N20,N14)</f>
        <v>61248279456.53199</v>
      </c>
      <c r="O91" s="176"/>
      <c r="P91" s="176">
        <f ca="1">SUM(P88,P86,P80,P78,P76,P74,P66,P58,P56,P54,P44,P42,P40,P38,P36,P34,P26,P24,P22,P20,P14)</f>
        <v>93229987818.628036</v>
      </c>
      <c r="Q91" s="176"/>
      <c r="R91" s="176">
        <f ca="1">SUM(R88,R86,R80,R78,R76,R74,R66,R58,R56,R54,R44,R42,R40,R38,R36,R34,R26,R24,R22,R20,R14)</f>
        <v>106574490325.50664</v>
      </c>
      <c r="S91" s="176"/>
      <c r="T91" s="176">
        <f ca="1">SUM(T88,T86,T80,T78,T76,T74,T66,T58,T56,T54,T44,T42,T40,T38,T36,T34,T26,T24,T22,T20,T14)</f>
        <v>98910149763.338043</v>
      </c>
      <c r="U91" s="176"/>
      <c r="V91" s="176">
        <f ca="1">SUM(V88,V86,V80,V78,V76,V74,V66,V58,V56,V54,V44,V42,V40,V38,V36,V34,V26,V24,V22,V20,V14)</f>
        <v>116125377143.161</v>
      </c>
      <c r="W91" s="176"/>
      <c r="X91" s="176">
        <f ca="1">SUM(X88,X86,X80,X78,X76,X74,X66,X58,X56,X54,X44,X42,X40,X38,X36,X34,X26,X24,X22,X20,X14)</f>
        <v>112409628675.55481</v>
      </c>
      <c r="Y91" s="176"/>
      <c r="Z91" s="176">
        <f ca="1">SUM(Z88,Z86,Z80,Z78,Z76,Z74,Z66,Z58,Z56,Z54,Z44,Z42,Z40,Z38,Z36,Z34,Z26,Z24,Z22,Z20,Z14)</f>
        <v>91294792426.738449</v>
      </c>
      <c r="AA91" s="176"/>
      <c r="AB91" s="176">
        <f ca="1">SUM(AB88,AB86,AB80,AB78,AB76,AB74,AB66,AB58,AB56,AB54,AB44,AB42,AB40,AB38,AB36,AB34,AB26,AB24,AB22,AB20,AB14,AB60)</f>
        <v>94068064353.575104</v>
      </c>
      <c r="AC91" s="176"/>
      <c r="AD91" s="176">
        <f ca="1">SUM(AD88,AD86,AD80,AD78,AD76,AD74,AD66,AD58,AD56,AD54,AD44,AD42,AD40,AD38,AD36,AD34,AD26,AD24,AD22,AD20,AD14)</f>
        <v>110215724654.06841</v>
      </c>
      <c r="AE91" s="176"/>
      <c r="AF91" s="176">
        <f ca="1">SUM(AF88,AF86,AF80,AF78,AF76,AF74,AF66,AF60,AF58,AF56,AF54,AF44,AF42,AF40,AF38,AF36,AF34,AF26,AF24,AF22,AF20,AF14)</f>
        <v>130297375529.49976</v>
      </c>
      <c r="AG91" s="176"/>
      <c r="AH91" s="176">
        <f ca="1">SUM(AH88,AH86,AH80,AH78,AH76,AH74,AH66,AH58,AH56,AH54,AH44,AH42,AH40,AH38,AH36,AH34,AH26,AH24,AH22,AH20,AH14,AH60)</f>
        <v>167346467779.82086</v>
      </c>
      <c r="AI91" s="579"/>
      <c r="AJ91" s="579">
        <f ca="1">SUM($C91:AH91)</f>
        <v>1424249282654.0205</v>
      </c>
      <c r="AN91" s="571"/>
      <c r="AO91" s="571"/>
      <c r="AR91" s="423"/>
      <c r="AS91" s="423"/>
      <c r="AT91" s="42"/>
    </row>
    <row r="92" spans="1:46" s="541" customFormat="1">
      <c r="A92" s="603"/>
      <c r="B92" s="601"/>
      <c r="C92" s="601"/>
      <c r="D92" s="921"/>
      <c r="E92" s="603"/>
      <c r="F92" s="603" t="s">
        <v>304</v>
      </c>
      <c r="G92" s="603"/>
      <c r="H92" s="603" t="s">
        <v>304</v>
      </c>
      <c r="I92" s="601"/>
      <c r="J92" s="601"/>
      <c r="K92" s="603"/>
      <c r="L92" s="603"/>
      <c r="M92" s="603"/>
      <c r="N92" s="603"/>
      <c r="O92" s="603"/>
      <c r="P92" s="603"/>
      <c r="Q92" s="603"/>
      <c r="R92" s="603" t="s">
        <v>304</v>
      </c>
      <c r="S92" s="603"/>
      <c r="T92" s="603"/>
      <c r="U92" s="603"/>
      <c r="V92" s="603"/>
      <c r="W92" s="603"/>
      <c r="X92" s="603" t="s">
        <v>304</v>
      </c>
      <c r="Y92" s="618"/>
      <c r="Z92" s="618"/>
      <c r="AA92" s="668"/>
      <c r="AB92" s="668"/>
      <c r="AC92" s="668"/>
      <c r="AD92" s="668"/>
      <c r="AE92" s="668"/>
      <c r="AF92" s="668"/>
      <c r="AG92" s="668"/>
      <c r="AH92" s="668"/>
      <c r="AI92" s="603"/>
      <c r="AJ92" s="618"/>
      <c r="AL92" s="571"/>
      <c r="AM92" s="571"/>
      <c r="AN92" s="571" t="s">
        <v>304</v>
      </c>
      <c r="AO92" s="571"/>
      <c r="AR92" s="423"/>
      <c r="AS92" s="423"/>
      <c r="AT92" s="42"/>
    </row>
    <row r="93" spans="1:46" s="541" customFormat="1">
      <c r="A93" s="794"/>
      <c r="B93" s="638"/>
      <c r="C93" s="638"/>
      <c r="D93" s="920"/>
      <c r="E93" s="794"/>
      <c r="F93" s="794"/>
      <c r="G93" s="794"/>
      <c r="H93" s="794"/>
      <c r="I93" s="638"/>
      <c r="J93" s="638"/>
      <c r="K93" s="794"/>
      <c r="L93" s="794"/>
      <c r="M93" s="794"/>
      <c r="N93" s="794"/>
      <c r="O93" s="794"/>
      <c r="P93" s="794"/>
      <c r="Q93" s="794"/>
      <c r="R93" s="794"/>
      <c r="S93" s="794"/>
      <c r="T93" s="794"/>
      <c r="U93" s="794"/>
      <c r="V93" s="794"/>
      <c r="W93" s="794"/>
      <c r="X93" s="794"/>
      <c r="Y93" s="674"/>
      <c r="Z93" s="674"/>
      <c r="AA93" s="674"/>
      <c r="AB93" s="674"/>
      <c r="AC93" s="674"/>
      <c r="AD93" s="674"/>
      <c r="AE93" s="674"/>
      <c r="AF93" s="674"/>
      <c r="AG93" s="674"/>
      <c r="AH93" s="674"/>
      <c r="AI93" s="794"/>
      <c r="AJ93" s="674"/>
      <c r="AL93" s="571"/>
      <c r="AM93" s="571"/>
      <c r="AN93" s="571"/>
      <c r="AO93" s="571"/>
      <c r="AT93" s="928"/>
    </row>
    <row r="94" spans="1:46">
      <c r="A94" s="874"/>
      <c r="B94" s="874"/>
      <c r="C94" s="621"/>
      <c r="D94" s="924"/>
      <c r="U94" s="430"/>
      <c r="V94" s="430"/>
      <c r="W94" s="586"/>
      <c r="X94" s="586"/>
      <c r="Y94" s="430"/>
      <c r="Z94" s="692"/>
      <c r="AA94" s="692"/>
      <c r="AB94" s="692"/>
      <c r="AC94" s="692"/>
      <c r="AD94" s="692"/>
      <c r="AE94" s="692"/>
      <c r="AF94" s="692"/>
      <c r="AG94" s="692"/>
      <c r="AH94" s="692"/>
      <c r="AJ94" s="430"/>
      <c r="AK94" s="541"/>
      <c r="AL94" s="487"/>
      <c r="AM94" s="571"/>
      <c r="AN94" s="541"/>
      <c r="AO94" s="541"/>
      <c r="AT94" s="42"/>
    </row>
    <row r="95" spans="1:46" s="630" customFormat="1">
      <c r="A95" s="874"/>
      <c r="B95" s="874"/>
      <c r="C95" s="621"/>
      <c r="D95" s="924"/>
      <c r="U95" s="794"/>
      <c r="V95" s="794"/>
      <c r="W95" s="692"/>
      <c r="X95" s="692"/>
      <c r="Y95" s="794"/>
      <c r="Z95" s="692"/>
      <c r="AA95" s="692"/>
      <c r="AB95" s="692"/>
      <c r="AC95" s="692"/>
      <c r="AD95" s="692"/>
      <c r="AE95" s="692"/>
      <c r="AF95" s="692"/>
      <c r="AG95" s="692"/>
      <c r="AH95" s="692"/>
      <c r="AJ95" s="794"/>
      <c r="AK95" s="541"/>
      <c r="AL95" s="487"/>
      <c r="AM95" s="571"/>
      <c r="AN95" s="541"/>
      <c r="AO95" s="541"/>
      <c r="AT95" s="42"/>
    </row>
    <row r="96" spans="1:46">
      <c r="D96" s="925"/>
      <c r="F96" s="622"/>
      <c r="H96" s="622"/>
      <c r="J96" s="622"/>
      <c r="L96" s="622"/>
      <c r="N96" s="622"/>
      <c r="P96" s="622"/>
      <c r="R96" s="622"/>
      <c r="T96" s="622"/>
      <c r="V96" s="622"/>
      <c r="W96" s="597"/>
      <c r="X96" s="622"/>
      <c r="Y96" s="428"/>
      <c r="Z96" s="622"/>
      <c r="AA96" s="631"/>
      <c r="AB96" s="1243"/>
      <c r="AC96" s="1243"/>
      <c r="AD96" s="1243"/>
      <c r="AE96" s="1243"/>
      <c r="AF96" s="1243"/>
      <c r="AG96" s="1243"/>
      <c r="AH96" s="1763"/>
      <c r="AJ96" s="622"/>
      <c r="AK96" s="622"/>
      <c r="AL96" s="624"/>
      <c r="AM96" s="541"/>
      <c r="AN96" s="624"/>
      <c r="AO96" s="541"/>
      <c r="AT96" s="42"/>
    </row>
    <row r="97" spans="3:46">
      <c r="D97" s="791"/>
      <c r="F97" s="622"/>
      <c r="G97" s="622"/>
      <c r="H97" s="622"/>
      <c r="I97" s="622"/>
      <c r="J97" s="622"/>
      <c r="K97" s="622"/>
      <c r="L97" s="622"/>
      <c r="M97" s="622"/>
      <c r="N97" s="622"/>
      <c r="O97" s="622"/>
      <c r="P97" s="622"/>
      <c r="Q97" s="622"/>
      <c r="R97" s="622"/>
      <c r="S97" s="622"/>
      <c r="T97" s="622"/>
      <c r="U97" s="622"/>
      <c r="V97" s="622"/>
      <c r="W97" s="622"/>
      <c r="X97" s="631"/>
      <c r="Y97" s="622"/>
      <c r="Z97" s="631"/>
      <c r="AA97" s="631"/>
      <c r="AB97" s="631"/>
      <c r="AC97" s="631"/>
      <c r="AD97" s="631"/>
      <c r="AE97" s="631"/>
      <c r="AF97" s="631"/>
      <c r="AG97" s="631"/>
      <c r="AH97" s="631"/>
      <c r="AI97" s="622"/>
      <c r="AJ97" s="622"/>
      <c r="AL97" s="624"/>
      <c r="AM97" s="541"/>
      <c r="AN97" s="624"/>
      <c r="AO97" s="541"/>
      <c r="AT97" s="42"/>
    </row>
    <row r="98" spans="3:46">
      <c r="C98" s="927"/>
      <c r="D98" s="926"/>
      <c r="E98" s="926"/>
      <c r="F98" s="926"/>
      <c r="G98" s="926"/>
      <c r="H98" s="926"/>
      <c r="I98" s="926"/>
      <c r="J98" s="926"/>
      <c r="K98" s="926"/>
      <c r="L98" s="926"/>
      <c r="M98" s="926"/>
      <c r="N98" s="926"/>
      <c r="O98" s="926"/>
      <c r="P98" s="926"/>
      <c r="Q98" s="926"/>
      <c r="R98" s="926"/>
      <c r="S98" s="926"/>
      <c r="T98" s="926"/>
      <c r="U98" s="926"/>
      <c r="V98" s="926"/>
      <c r="W98" s="926"/>
      <c r="X98" s="926"/>
      <c r="Y98" s="926"/>
      <c r="Z98" s="926"/>
      <c r="AA98" s="926"/>
      <c r="AB98" s="926"/>
      <c r="AC98" s="632"/>
      <c r="AD98" s="926"/>
      <c r="AE98" s="926"/>
      <c r="AF98" s="926"/>
      <c r="AG98" s="926"/>
      <c r="AH98" s="926"/>
      <c r="AL98" s="624"/>
      <c r="AM98" s="541"/>
      <c r="AN98" s="624"/>
      <c r="AO98" s="541"/>
      <c r="AT98" s="42"/>
    </row>
    <row r="99" spans="3:46">
      <c r="C99" s="927"/>
      <c r="D99" s="926"/>
      <c r="E99" s="926"/>
      <c r="F99" s="926"/>
      <c r="G99" s="926"/>
      <c r="H99" s="926"/>
      <c r="I99" s="926"/>
      <c r="J99" s="926"/>
      <c r="K99" s="926"/>
      <c r="L99" s="926"/>
      <c r="M99" s="926"/>
      <c r="N99" s="926"/>
      <c r="O99" s="926"/>
      <c r="P99" s="926"/>
      <c r="Q99" s="926"/>
      <c r="R99" s="926"/>
      <c r="S99" s="926"/>
      <c r="T99" s="926"/>
      <c r="U99" s="926"/>
      <c r="V99" s="926"/>
      <c r="W99" s="926"/>
      <c r="X99" s="926"/>
      <c r="Y99" s="926"/>
      <c r="Z99" s="926"/>
      <c r="AA99" s="926"/>
      <c r="AB99" s="926"/>
      <c r="AC99" s="926"/>
      <c r="AD99" s="926"/>
      <c r="AE99" s="926"/>
      <c r="AF99" s="926"/>
      <c r="AG99" s="926"/>
      <c r="AH99" s="926"/>
      <c r="AL99" s="624"/>
      <c r="AM99" s="541"/>
      <c r="AN99" s="624"/>
      <c r="AO99" s="541"/>
    </row>
    <row r="100" spans="3:46">
      <c r="G100" s="586"/>
      <c r="H100" s="586"/>
      <c r="AL100" s="624"/>
      <c r="AM100" s="541"/>
      <c r="AN100" s="624"/>
    </row>
    <row r="101" spans="3:46">
      <c r="G101" s="586"/>
      <c r="H101" s="623"/>
      <c r="AJ101" s="622"/>
      <c r="AL101" s="541"/>
      <c r="AM101" s="541"/>
      <c r="AN101" s="622"/>
    </row>
    <row r="102" spans="3:46">
      <c r="G102" s="586"/>
      <c r="H102" s="624"/>
      <c r="U102" s="586"/>
      <c r="V102" s="586"/>
      <c r="Y102" s="586"/>
      <c r="Z102" s="586"/>
      <c r="AA102" s="692"/>
      <c r="AB102" s="692"/>
      <c r="AC102" s="692"/>
      <c r="AD102" s="692"/>
      <c r="AE102" s="692"/>
      <c r="AF102" s="692"/>
      <c r="AG102" s="692"/>
      <c r="AH102" s="692"/>
      <c r="AI102" s="541"/>
      <c r="AL102" s="541"/>
    </row>
    <row r="103" spans="3:46">
      <c r="G103" s="586"/>
      <c r="H103" s="623"/>
      <c r="U103" s="586"/>
      <c r="V103" s="586"/>
      <c r="Y103" s="586"/>
      <c r="Z103" s="586"/>
      <c r="AA103" s="692"/>
      <c r="AB103" s="692"/>
      <c r="AC103" s="692"/>
      <c r="AD103" s="692"/>
      <c r="AE103" s="692"/>
      <c r="AF103" s="692"/>
      <c r="AG103" s="692"/>
      <c r="AH103" s="692"/>
      <c r="AI103" s="541"/>
      <c r="AL103" s="622"/>
      <c r="AN103" s="622"/>
    </row>
    <row r="104" spans="3:46">
      <c r="G104" s="586"/>
      <c r="H104" s="623"/>
      <c r="U104" s="430"/>
      <c r="V104" s="430"/>
      <c r="Y104" s="625"/>
      <c r="Z104" s="625"/>
      <c r="AA104" s="674"/>
      <c r="AB104" s="674"/>
      <c r="AC104" s="674"/>
      <c r="AD104" s="674"/>
      <c r="AE104" s="674"/>
      <c r="AF104" s="674"/>
      <c r="AG104" s="674"/>
      <c r="AH104" s="674"/>
      <c r="AI104" s="541"/>
    </row>
    <row r="105" spans="3:46">
      <c r="G105" s="625"/>
      <c r="H105" s="623"/>
      <c r="AL105" s="622"/>
      <c r="AN105" s="622"/>
    </row>
    <row r="106" spans="3:46">
      <c r="G106" s="430"/>
      <c r="H106" s="430"/>
    </row>
    <row r="107" spans="3:46">
      <c r="G107" s="430"/>
      <c r="H107" s="430"/>
      <c r="W107" s="586"/>
      <c r="X107" s="586"/>
      <c r="AL107" s="622"/>
      <c r="AN107" s="622"/>
    </row>
    <row r="108" spans="3:46">
      <c r="G108" s="430"/>
      <c r="H108" s="430"/>
      <c r="W108" s="586"/>
      <c r="X108" s="586"/>
    </row>
    <row r="109" spans="3:46">
      <c r="G109" s="430"/>
      <c r="H109" s="428"/>
      <c r="W109" s="625"/>
      <c r="X109" s="625"/>
      <c r="AN109" s="622"/>
    </row>
    <row r="110" spans="3:46">
      <c r="G110" s="428"/>
      <c r="H110" s="626"/>
    </row>
    <row r="111" spans="3:46">
      <c r="G111" s="428"/>
      <c r="H111" s="428"/>
      <c r="AN111" s="622"/>
    </row>
    <row r="112" spans="3:46">
      <c r="G112" s="428"/>
      <c r="H112" s="428"/>
    </row>
    <row r="114" spans="6:40">
      <c r="AN114" s="622"/>
    </row>
    <row r="120" spans="6:40">
      <c r="F120" s="586"/>
      <c r="G120" s="595"/>
      <c r="H120" s="586"/>
      <c r="I120" s="586"/>
      <c r="J120" s="586"/>
    </row>
  </sheetData>
  <mergeCells count="17">
    <mergeCell ref="AI7:AJ7"/>
    <mergeCell ref="Y7:Z7"/>
    <mergeCell ref="O7:P7"/>
    <mergeCell ref="E7:F7"/>
    <mergeCell ref="G7:H7"/>
    <mergeCell ref="I7:J7"/>
    <mergeCell ref="K7:L7"/>
    <mergeCell ref="M7:N7"/>
    <mergeCell ref="AA7:AB7"/>
    <mergeCell ref="AC7:AD7"/>
    <mergeCell ref="AE7:AF7"/>
    <mergeCell ref="AG7:AH7"/>
    <mergeCell ref="C7:D7"/>
    <mergeCell ref="Q7:R7"/>
    <mergeCell ref="S7:T7"/>
    <mergeCell ref="U7:V7"/>
    <mergeCell ref="W7:X7"/>
  </mergeCells>
  <pageMargins left="0.75" right="0.75" top="1" bottom="1" header="0.5" footer="0.5"/>
  <pageSetup paperSize="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2:AN224"/>
  <sheetViews>
    <sheetView workbookViewId="0">
      <pane xSplit="2" ySplit="8" topLeftCell="AD9" activePane="bottomRight" state="frozen"/>
      <selection activeCell="V13" sqref="V13"/>
      <selection pane="topRight" activeCell="V13" sqref="V13"/>
      <selection pane="bottomLeft" activeCell="V13" sqref="V13"/>
      <selection pane="bottomRight"/>
    </sheetView>
  </sheetViews>
  <sheetFormatPr defaultRowHeight="15"/>
  <cols>
    <col min="1" max="1" width="24.5703125" style="470" customWidth="1"/>
    <col min="2" max="2" width="7" style="470" bestFit="1" customWidth="1"/>
    <col min="3" max="3" width="19.7109375" style="470" bestFit="1" customWidth="1"/>
    <col min="4" max="4" width="20.42578125" style="470" bestFit="1" customWidth="1"/>
    <col min="5" max="5" width="19.7109375" style="470" bestFit="1" customWidth="1"/>
    <col min="6" max="6" width="20.42578125" style="470" bestFit="1" customWidth="1"/>
    <col min="7" max="7" width="19.7109375" style="470" bestFit="1" customWidth="1"/>
    <col min="8" max="8" width="20.42578125" style="470" bestFit="1" customWidth="1"/>
    <col min="9" max="9" width="19.7109375" style="470" bestFit="1" customWidth="1"/>
    <col min="10" max="10" width="20.42578125" style="470" bestFit="1" customWidth="1"/>
    <col min="11" max="11" width="19.7109375" style="470" bestFit="1" customWidth="1"/>
    <col min="12" max="12" width="20.42578125" style="470" bestFit="1" customWidth="1"/>
    <col min="13" max="13" width="19.7109375" style="470" bestFit="1" customWidth="1"/>
    <col min="14" max="14" width="20.42578125" style="470" bestFit="1" customWidth="1"/>
    <col min="15" max="15" width="19.7109375" style="470" bestFit="1" customWidth="1"/>
    <col min="16" max="16" width="20.42578125" style="470" bestFit="1" customWidth="1"/>
    <col min="17" max="17" width="19.7109375" style="470" bestFit="1" customWidth="1"/>
    <col min="18" max="18" width="20.42578125" style="470" bestFit="1" customWidth="1"/>
    <col min="19" max="19" width="19.7109375" style="717" bestFit="1" customWidth="1"/>
    <col min="20" max="20" width="20.42578125" style="717" bestFit="1" customWidth="1"/>
    <col min="21" max="21" width="19.7109375" style="470" bestFit="1" customWidth="1"/>
    <col min="22" max="22" width="20.42578125" style="470" bestFit="1" customWidth="1"/>
    <col min="23" max="23" width="19.7109375" style="470" bestFit="1" customWidth="1"/>
    <col min="24" max="24" width="20.42578125" style="470" bestFit="1" customWidth="1"/>
    <col min="25" max="25" width="19.7109375" style="470" bestFit="1" customWidth="1"/>
    <col min="26" max="26" width="20.42578125" style="470" bestFit="1" customWidth="1"/>
    <col min="27" max="27" width="19.7109375" style="470" bestFit="1" customWidth="1"/>
    <col min="28" max="28" width="20.42578125" style="470" bestFit="1" customWidth="1"/>
    <col min="29" max="29" width="19.7109375" style="470" bestFit="1" customWidth="1"/>
    <col min="30" max="30" width="20.42578125" style="470" bestFit="1" customWidth="1"/>
    <col min="31" max="31" width="17.7109375" style="271" bestFit="1" customWidth="1"/>
    <col min="32" max="32" width="20.42578125" style="271" bestFit="1" customWidth="1"/>
    <col min="33" max="33" width="19.7109375" style="271" bestFit="1" customWidth="1"/>
    <col min="34" max="34" width="20.42578125" style="271" bestFit="1" customWidth="1"/>
    <col min="35" max="35" width="17.7109375" style="271" bestFit="1" customWidth="1"/>
    <col min="36" max="36" width="20.42578125" style="271" bestFit="1" customWidth="1"/>
    <col min="37" max="37" width="19.7109375" style="271" bestFit="1" customWidth="1"/>
    <col min="38" max="38" width="20.42578125" style="271" bestFit="1" customWidth="1"/>
    <col min="39" max="39" width="19.7109375" style="271" bestFit="1" customWidth="1"/>
    <col min="40" max="40" width="20.42578125" style="271" bestFit="1" customWidth="1"/>
    <col min="41" max="16384" width="9.140625" style="271"/>
  </cols>
  <sheetData>
    <row r="2" spans="1:40">
      <c r="K2" s="861"/>
    </row>
    <row r="3" spans="1:40">
      <c r="AG3" s="630"/>
    </row>
    <row r="5" spans="1:40">
      <c r="A5" s="1107" t="s">
        <v>683</v>
      </c>
      <c r="B5" s="794"/>
      <c r="C5" s="794"/>
      <c r="D5" s="794"/>
      <c r="E5" s="794"/>
      <c r="F5" s="794"/>
      <c r="G5" s="794"/>
      <c r="H5" s="794"/>
      <c r="I5" s="794"/>
      <c r="J5" s="794"/>
      <c r="K5" s="794"/>
      <c r="L5" s="794"/>
      <c r="M5" s="794"/>
      <c r="N5" s="794"/>
      <c r="O5" s="794"/>
      <c r="P5" s="794"/>
      <c r="Q5" s="794"/>
      <c r="R5" s="794"/>
      <c r="S5" s="684"/>
      <c r="T5" s="684"/>
      <c r="U5" s="794"/>
      <c r="V5" s="794"/>
      <c r="W5" s="794"/>
      <c r="X5" s="794"/>
      <c r="Y5" s="794"/>
      <c r="Z5" s="794"/>
      <c r="AA5" s="794"/>
      <c r="AB5" s="794"/>
      <c r="AC5" s="794"/>
      <c r="AD5" s="794"/>
      <c r="AG5" s="418"/>
      <c r="AH5" s="418"/>
      <c r="AI5" s="418"/>
      <c r="AJ5" s="418"/>
    </row>
    <row r="6" spans="1:40">
      <c r="A6" s="794"/>
      <c r="B6" s="794"/>
      <c r="C6" s="794"/>
      <c r="D6" s="794"/>
      <c r="E6" s="794"/>
      <c r="F6" s="794"/>
      <c r="G6" s="794"/>
      <c r="H6" s="794"/>
      <c r="I6" s="794"/>
      <c r="J6" s="794"/>
      <c r="K6" s="794"/>
      <c r="L6" s="794"/>
      <c r="M6" s="794"/>
      <c r="N6" s="794"/>
      <c r="O6" s="794"/>
      <c r="P6" s="794"/>
      <c r="Q6" s="794"/>
      <c r="R6" s="794"/>
      <c r="S6" s="794"/>
      <c r="T6" s="794"/>
      <c r="U6" s="794"/>
      <c r="V6" s="794"/>
      <c r="W6" s="794"/>
      <c r="X6" s="794"/>
      <c r="Y6" s="794"/>
      <c r="Z6" s="794"/>
      <c r="AA6" s="794"/>
      <c r="AB6" s="794"/>
      <c r="AC6" s="794"/>
      <c r="AD6" s="794"/>
      <c r="AE6" s="794"/>
      <c r="AF6" s="794"/>
      <c r="AG6" s="794"/>
      <c r="AH6" s="794"/>
      <c r="AI6" s="794"/>
      <c r="AJ6" s="794"/>
      <c r="AK6" s="794"/>
      <c r="AL6" s="794"/>
      <c r="AM6" s="794"/>
      <c r="AN6" s="794"/>
    </row>
    <row r="7" spans="1:40">
      <c r="A7" s="794"/>
      <c r="B7" s="794"/>
      <c r="C7" s="1952" t="s">
        <v>586</v>
      </c>
      <c r="D7" s="1952"/>
      <c r="E7" s="1952" t="s">
        <v>587</v>
      </c>
      <c r="F7" s="1952"/>
      <c r="G7" s="1952" t="s">
        <v>588</v>
      </c>
      <c r="H7" s="1952"/>
      <c r="I7" s="1952" t="s">
        <v>589</v>
      </c>
      <c r="J7" s="1952"/>
      <c r="K7" s="1952" t="s">
        <v>590</v>
      </c>
      <c r="L7" s="1952"/>
      <c r="M7" s="1952" t="s">
        <v>591</v>
      </c>
      <c r="N7" s="1952"/>
      <c r="O7" s="1952" t="s">
        <v>592</v>
      </c>
      <c r="P7" s="1952"/>
      <c r="Q7" s="1952" t="s">
        <v>593</v>
      </c>
      <c r="R7" s="1952"/>
      <c r="S7" s="1952" t="s">
        <v>594</v>
      </c>
      <c r="T7" s="1952"/>
      <c r="U7" s="1952" t="s">
        <v>595</v>
      </c>
      <c r="V7" s="1952"/>
      <c r="W7" s="1952" t="s">
        <v>596</v>
      </c>
      <c r="X7" s="1952"/>
      <c r="Y7" s="1952" t="s">
        <v>597</v>
      </c>
      <c r="Z7" s="1952"/>
      <c r="AA7" s="1952" t="s">
        <v>598</v>
      </c>
      <c r="AB7" s="1952"/>
      <c r="AC7" s="1952" t="s">
        <v>599</v>
      </c>
      <c r="AD7" s="1952"/>
      <c r="AE7" s="1952" t="s">
        <v>600</v>
      </c>
      <c r="AF7" s="1952"/>
      <c r="AG7" s="1952" t="s">
        <v>601</v>
      </c>
      <c r="AH7" s="1952"/>
      <c r="AI7" s="1952" t="s">
        <v>602</v>
      </c>
      <c r="AJ7" s="1952"/>
      <c r="AK7" s="1952" t="s">
        <v>603</v>
      </c>
      <c r="AL7" s="1952"/>
      <c r="AM7" s="1952" t="s">
        <v>604</v>
      </c>
      <c r="AN7" s="1952"/>
    </row>
    <row r="8" spans="1:40">
      <c r="A8" s="641" t="s">
        <v>190</v>
      </c>
      <c r="B8" s="637" t="s">
        <v>191</v>
      </c>
      <c r="C8" s="863" t="str">
        <f>CONCATENATE(C7," QUANTITY")</f>
        <v>1984-85 QUANTITY</v>
      </c>
      <c r="D8" s="645" t="str">
        <f>CONCATENATE(C7, " VALUE")</f>
        <v>1984-85 VALUE</v>
      </c>
      <c r="E8" s="863" t="str">
        <f>CONCATENATE(E7," QUANTITY")</f>
        <v>1985-86 QUANTITY</v>
      </c>
      <c r="F8" s="645" t="str">
        <f>CONCATENATE(E7, " VALUE")</f>
        <v>1985-86 VALUE</v>
      </c>
      <c r="G8" s="863" t="str">
        <f>CONCATENATE(G7," QUANTITY")</f>
        <v>1986-87 QUANTITY</v>
      </c>
      <c r="H8" s="645" t="str">
        <f>CONCATENATE(G7, " VALUE")</f>
        <v>1986-87 VALUE</v>
      </c>
      <c r="I8" s="863" t="str">
        <f>CONCATENATE(I7," QUANTITY")</f>
        <v>1987-88 QUANTITY</v>
      </c>
      <c r="J8" s="645" t="str">
        <f>CONCATENATE(I7, " VALUE")</f>
        <v>1987-88 VALUE</v>
      </c>
      <c r="K8" s="863" t="str">
        <f>CONCATENATE(K7," QUANTITY")</f>
        <v>1988-89 QUANTITY</v>
      </c>
      <c r="L8" s="645" t="str">
        <f>CONCATENATE(K7, " VALUE")</f>
        <v>1988-89 VALUE</v>
      </c>
      <c r="M8" s="863" t="str">
        <f>CONCATENATE(M7," QUANTITY")</f>
        <v>1989-90 QUANTITY</v>
      </c>
      <c r="N8" s="645" t="str">
        <f>CONCATENATE(M7, " VALUE")</f>
        <v>1989-90 VALUE</v>
      </c>
      <c r="O8" s="863" t="str">
        <f>CONCATENATE(O7," QUANTITY")</f>
        <v>1990-91 QUANTITY</v>
      </c>
      <c r="P8" s="645" t="str">
        <f>CONCATENATE(O7, " VALUE")</f>
        <v>1990-91 VALUE</v>
      </c>
      <c r="Q8" s="863" t="str">
        <f>CONCATENATE(Q7," QUANTITY")</f>
        <v>1991-92 QUANTITY</v>
      </c>
      <c r="R8" s="645" t="str">
        <f>CONCATENATE(Q7, " VALUE")</f>
        <v>1991-92 VALUE</v>
      </c>
      <c r="S8" s="863" t="str">
        <f>CONCATENATE(S7," QUANTITY")</f>
        <v>1992-93 QUANTITY</v>
      </c>
      <c r="T8" s="645" t="str">
        <f>CONCATENATE(S7, " VALUE")</f>
        <v>1992-93 VALUE</v>
      </c>
      <c r="U8" s="863" t="str">
        <f>CONCATENATE(U7," QUANTITY")</f>
        <v>1993-94 QUANTITY</v>
      </c>
      <c r="V8" s="645" t="str">
        <f>CONCATENATE(U7, " VALUE")</f>
        <v>1993-94 VALUE</v>
      </c>
      <c r="W8" s="863" t="str">
        <f>CONCATENATE(W7," QUANTITY")</f>
        <v>1994-95 QUANTITY</v>
      </c>
      <c r="X8" s="645" t="str">
        <f>CONCATENATE(W7, " VALUE")</f>
        <v>1994-95 VALUE</v>
      </c>
      <c r="Y8" s="863" t="str">
        <f>CONCATENATE(Y7," QUANTITY")</f>
        <v>1995-96 QUANTITY</v>
      </c>
      <c r="Z8" s="645" t="str">
        <f>CONCATENATE(Y7, " VALUE")</f>
        <v>1995-96 VALUE</v>
      </c>
      <c r="AA8" s="863" t="str">
        <f>CONCATENATE(AA7," QUANTITY")</f>
        <v>1996-97 QUANTITY</v>
      </c>
      <c r="AB8" s="645" t="str">
        <f>CONCATENATE(AA7, " VALUE")</f>
        <v>1996-97 VALUE</v>
      </c>
      <c r="AC8" s="863" t="str">
        <f>CONCATENATE(AC7," QUANTITY")</f>
        <v>1997-98 QUANTITY</v>
      </c>
      <c r="AD8" s="645" t="str">
        <f>CONCATENATE(AC7, " VALUE")</f>
        <v>1997-98 VALUE</v>
      </c>
      <c r="AE8" s="863" t="str">
        <f>CONCATENATE(AE7," QUANTITY")</f>
        <v>1998-99 QUANTITY</v>
      </c>
      <c r="AF8" s="645" t="str">
        <f>CONCATENATE(AE7, " VALUE")</f>
        <v>1998-99 VALUE</v>
      </c>
      <c r="AG8" s="863" t="str">
        <f>CONCATENATE(AG7," QUANTITY")</f>
        <v>1999-00 QUANTITY</v>
      </c>
      <c r="AH8" s="645" t="str">
        <f>CONCATENATE(AG7, " VALUE")</f>
        <v>1999-00 VALUE</v>
      </c>
      <c r="AI8" s="863" t="str">
        <f>CONCATENATE(AI7," QUANTITY")</f>
        <v>2000-01 QUANTITY</v>
      </c>
      <c r="AJ8" s="645" t="str">
        <f>CONCATENATE(AI7, " VALUE")</f>
        <v>2000-01 VALUE</v>
      </c>
      <c r="AK8" s="863" t="str">
        <f>CONCATENATE(AK7," QUANTITY")</f>
        <v>2001-02 QUANTITY</v>
      </c>
      <c r="AL8" s="645" t="str">
        <f>CONCATENATE(AK7, " VALUE")</f>
        <v>2001-02 VALUE</v>
      </c>
      <c r="AM8" s="863" t="str">
        <f>CONCATENATE(AM7," QUANTITY")</f>
        <v>2002-03 QUANTITY</v>
      </c>
      <c r="AN8" s="645" t="str">
        <f>CONCATENATE(AM7, " VALUE")</f>
        <v>2002-03 VALUE</v>
      </c>
    </row>
    <row r="9" spans="1:40">
      <c r="A9" s="637"/>
      <c r="B9" s="637"/>
      <c r="C9" s="637"/>
      <c r="D9" s="637"/>
      <c r="E9" s="637"/>
      <c r="F9" s="637"/>
      <c r="G9" s="637"/>
      <c r="H9" s="637"/>
      <c r="I9" s="637"/>
      <c r="J9" s="637"/>
      <c r="K9" s="637"/>
      <c r="L9" s="637"/>
      <c r="M9" s="637"/>
      <c r="N9" s="646"/>
      <c r="O9" s="637"/>
      <c r="P9" s="637"/>
      <c r="Q9" s="637"/>
      <c r="R9" s="637"/>
      <c r="S9" s="645"/>
      <c r="T9" s="645"/>
      <c r="U9" s="637"/>
      <c r="V9" s="637"/>
      <c r="W9" s="637"/>
      <c r="X9" s="637"/>
      <c r="Y9" s="637"/>
      <c r="Z9" s="637"/>
      <c r="AA9" s="637"/>
      <c r="AB9" s="637"/>
      <c r="AC9" s="637"/>
      <c r="AD9" s="637"/>
      <c r="AE9" s="794"/>
      <c r="AF9" s="812"/>
      <c r="AG9" s="819"/>
      <c r="AH9" s="637"/>
      <c r="AI9" s="819"/>
      <c r="AJ9" s="637"/>
      <c r="AK9" s="818"/>
    </row>
    <row r="10" spans="1:40">
      <c r="A10" s="884" t="s">
        <v>193</v>
      </c>
      <c r="B10" s="848"/>
      <c r="C10" s="849"/>
      <c r="D10" s="849"/>
      <c r="E10" s="849"/>
      <c r="F10" s="849"/>
      <c r="G10" s="849"/>
      <c r="H10" s="849"/>
      <c r="I10" s="848"/>
      <c r="J10" s="848"/>
      <c r="K10" s="848"/>
      <c r="L10" s="848"/>
      <c r="M10" s="848"/>
      <c r="N10" s="850"/>
      <c r="O10" s="848"/>
      <c r="P10" s="848"/>
      <c r="Q10" s="848"/>
      <c r="R10" s="848"/>
      <c r="S10" s="849"/>
      <c r="T10" s="849"/>
      <c r="U10" s="848"/>
      <c r="V10" s="848"/>
      <c r="W10" s="848"/>
      <c r="X10" s="848"/>
      <c r="Y10" s="848"/>
      <c r="Z10" s="848"/>
      <c r="AA10" s="851"/>
      <c r="AB10" s="851"/>
      <c r="AC10" s="851"/>
      <c r="AD10" s="851"/>
      <c r="AE10" s="846"/>
      <c r="AF10" s="852"/>
      <c r="AG10" s="853"/>
      <c r="AH10" s="851"/>
      <c r="AI10" s="853"/>
      <c r="AJ10" s="851"/>
      <c r="AK10" s="864"/>
      <c r="AL10" s="865"/>
      <c r="AM10" s="865"/>
      <c r="AN10" s="865"/>
    </row>
    <row r="11" spans="1:40">
      <c r="A11" s="887" t="s">
        <v>0</v>
      </c>
      <c r="B11" s="848" t="s">
        <v>110</v>
      </c>
      <c r="C11" s="849">
        <v>5326982</v>
      </c>
      <c r="D11" s="849">
        <v>1056839641</v>
      </c>
      <c r="E11" s="849">
        <v>5430555</v>
      </c>
      <c r="F11" s="849">
        <v>1029283528</v>
      </c>
      <c r="G11" s="849">
        <v>5727327</v>
      </c>
      <c r="H11" s="849">
        <v>1090879157</v>
      </c>
      <c r="I11" s="857">
        <v>6063130</v>
      </c>
      <c r="J11" s="857">
        <v>1182997535</v>
      </c>
      <c r="K11" s="857">
        <v>6171962</v>
      </c>
      <c r="L11" s="857">
        <v>1619228331</v>
      </c>
      <c r="M11" s="866">
        <v>6651028</v>
      </c>
      <c r="N11" s="866">
        <v>2335697184</v>
      </c>
      <c r="O11" s="867">
        <v>6800451</v>
      </c>
      <c r="P11" s="867">
        <v>2099125726</v>
      </c>
      <c r="Q11" s="850">
        <v>7129199</v>
      </c>
      <c r="R11" s="850">
        <v>1758150370</v>
      </c>
      <c r="S11" s="849">
        <v>7547856</v>
      </c>
      <c r="T11" s="849">
        <v>1818116459</v>
      </c>
      <c r="U11" s="854">
        <v>7830064</v>
      </c>
      <c r="V11" s="854">
        <v>1784319220</v>
      </c>
      <c r="W11" s="854">
        <v>7906987</v>
      </c>
      <c r="X11" s="854">
        <v>1684604310</v>
      </c>
      <c r="Y11" s="854">
        <v>8232135</v>
      </c>
      <c r="Z11" s="855">
        <v>1918337128</v>
      </c>
      <c r="AA11" s="855">
        <v>8347933</v>
      </c>
      <c r="AB11" s="855">
        <v>1955770170</v>
      </c>
      <c r="AC11" s="856">
        <v>8514673</v>
      </c>
      <c r="AD11" s="856">
        <v>2260538170</v>
      </c>
      <c r="AE11" s="855">
        <v>8864125</v>
      </c>
      <c r="AF11" s="855">
        <v>2367032747.3600001</v>
      </c>
      <c r="AG11" s="855">
        <v>9354252</v>
      </c>
      <c r="AH11" s="855">
        <v>2657894317</v>
      </c>
      <c r="AI11" s="854">
        <v>10479429</v>
      </c>
      <c r="AJ11" s="854">
        <v>3600668963</v>
      </c>
      <c r="AK11" s="854">
        <v>10856507</v>
      </c>
      <c r="AL11" s="854">
        <v>3584378494</v>
      </c>
      <c r="AM11" s="854">
        <v>11132187</v>
      </c>
      <c r="AN11" s="854">
        <v>3204651644</v>
      </c>
    </row>
    <row r="12" spans="1:40">
      <c r="A12" s="887" t="s">
        <v>195</v>
      </c>
      <c r="B12" s="848" t="s">
        <v>196</v>
      </c>
      <c r="C12" s="857">
        <v>0</v>
      </c>
      <c r="D12" s="857">
        <v>0</v>
      </c>
      <c r="E12" s="857">
        <v>0</v>
      </c>
      <c r="F12" s="857">
        <v>0</v>
      </c>
      <c r="G12" s="857">
        <v>0</v>
      </c>
      <c r="H12" s="857">
        <v>0</v>
      </c>
      <c r="I12" s="857">
        <v>0</v>
      </c>
      <c r="J12" s="857">
        <v>0</v>
      </c>
      <c r="K12" s="857">
        <v>1767</v>
      </c>
      <c r="L12" s="857">
        <v>60641</v>
      </c>
      <c r="M12" s="849">
        <v>42986</v>
      </c>
      <c r="N12" s="849">
        <v>1454998</v>
      </c>
      <c r="O12" s="867">
        <v>8481</v>
      </c>
      <c r="P12" s="867">
        <v>267377</v>
      </c>
      <c r="Q12" s="849">
        <v>0</v>
      </c>
      <c r="R12" s="849">
        <v>0</v>
      </c>
      <c r="S12" s="849">
        <v>0</v>
      </c>
      <c r="T12" s="849">
        <v>0</v>
      </c>
      <c r="U12" s="854">
        <v>0</v>
      </c>
      <c r="V12" s="854">
        <v>0</v>
      </c>
      <c r="W12" s="854">
        <v>0</v>
      </c>
      <c r="X12" s="854">
        <v>0</v>
      </c>
      <c r="Y12" s="854">
        <v>5388</v>
      </c>
      <c r="Z12" s="855">
        <v>2118702</v>
      </c>
      <c r="AA12" s="855">
        <v>26745.768000000004</v>
      </c>
      <c r="AB12" s="855">
        <v>10058746</v>
      </c>
      <c r="AC12" s="846">
        <v>0</v>
      </c>
      <c r="AD12" s="846">
        <v>0</v>
      </c>
      <c r="AE12" s="846">
        <v>0</v>
      </c>
      <c r="AF12" s="846">
        <v>0</v>
      </c>
      <c r="AG12" s="846">
        <v>0</v>
      </c>
      <c r="AH12" s="846">
        <v>0</v>
      </c>
      <c r="AI12" s="846">
        <v>0</v>
      </c>
      <c r="AJ12" s="846">
        <v>0</v>
      </c>
      <c r="AK12" s="854">
        <v>0</v>
      </c>
      <c r="AL12" s="854">
        <v>0</v>
      </c>
      <c r="AM12" s="854">
        <v>0</v>
      </c>
      <c r="AN12" s="854">
        <v>0</v>
      </c>
    </row>
    <row r="13" spans="1:40">
      <c r="A13" s="888" t="s">
        <v>197</v>
      </c>
      <c r="B13" s="848"/>
      <c r="C13" s="849"/>
      <c r="D13" s="849">
        <f>SUM(D11:D12)</f>
        <v>1056839641</v>
      </c>
      <c r="E13" s="849"/>
      <c r="F13" s="849">
        <f>SUM(F11:F12)</f>
        <v>1029283528</v>
      </c>
      <c r="G13" s="849"/>
      <c r="H13" s="849">
        <f>SUM(H11:H12)</f>
        <v>1090879157</v>
      </c>
      <c r="I13" s="848"/>
      <c r="J13" s="850">
        <f>SUM(J11:J12)</f>
        <v>1182997535</v>
      </c>
      <c r="K13" s="848"/>
      <c r="L13" s="850">
        <f>SUM(L11:L12)</f>
        <v>1619288972</v>
      </c>
      <c r="M13" s="848"/>
      <c r="N13" s="850">
        <f>SUM(N11:N12)</f>
        <v>2337152182</v>
      </c>
      <c r="O13" s="848"/>
      <c r="P13" s="859">
        <f>SUM(P11:P12)</f>
        <v>2099393103</v>
      </c>
      <c r="Q13" s="850"/>
      <c r="R13" s="850">
        <v>1758150370</v>
      </c>
      <c r="S13" s="849"/>
      <c r="T13" s="849">
        <v>1818116459</v>
      </c>
      <c r="U13" s="848"/>
      <c r="V13" s="854">
        <v>1784319220</v>
      </c>
      <c r="W13" s="854"/>
      <c r="X13" s="854">
        <v>1684604310</v>
      </c>
      <c r="Y13" s="855"/>
      <c r="Z13" s="854">
        <v>1920455830</v>
      </c>
      <c r="AA13" s="855"/>
      <c r="AB13" s="855">
        <v>1965828915</v>
      </c>
      <c r="AC13" s="856">
        <v>8514673</v>
      </c>
      <c r="AD13" s="856">
        <v>2260538170</v>
      </c>
      <c r="AE13" s="855">
        <v>8864125</v>
      </c>
      <c r="AF13" s="855">
        <v>2367032747.3600001</v>
      </c>
      <c r="AG13" s="855">
        <v>9354252</v>
      </c>
      <c r="AH13" s="855">
        <v>2657894317</v>
      </c>
      <c r="AI13" s="854">
        <v>10479429</v>
      </c>
      <c r="AJ13" s="854">
        <v>3600668963</v>
      </c>
      <c r="AK13" s="854">
        <f>SUM(AK11:AK12)</f>
        <v>10856507</v>
      </c>
      <c r="AL13" s="854">
        <f>SUM(AL11:AL12)</f>
        <v>3584378494</v>
      </c>
      <c r="AM13" s="854">
        <f>SUM(AM11:AM12)</f>
        <v>11132187</v>
      </c>
      <c r="AN13" s="854">
        <f>SUM(AN11:AN12)</f>
        <v>3204651644</v>
      </c>
    </row>
    <row r="14" spans="1:40">
      <c r="A14" s="596"/>
      <c r="B14" s="594"/>
      <c r="C14" s="670"/>
      <c r="D14" s="670"/>
      <c r="E14" s="670"/>
      <c r="F14" s="670"/>
      <c r="G14" s="670"/>
      <c r="H14" s="670"/>
      <c r="I14" s="594"/>
      <c r="J14" s="594"/>
      <c r="K14" s="594"/>
      <c r="L14" s="594"/>
      <c r="M14" s="594"/>
      <c r="N14" s="672"/>
      <c r="O14" s="594"/>
      <c r="P14" s="824"/>
      <c r="Q14" s="672"/>
      <c r="R14" s="672"/>
      <c r="S14" s="670"/>
      <c r="T14" s="670"/>
      <c r="U14" s="594"/>
      <c r="V14" s="820"/>
      <c r="W14" s="820"/>
      <c r="X14" s="820"/>
      <c r="Y14" s="626"/>
      <c r="Z14" s="820"/>
      <c r="AA14" s="692"/>
      <c r="AB14" s="692"/>
      <c r="AC14" s="821"/>
      <c r="AD14" s="821"/>
      <c r="AE14" s="692"/>
      <c r="AF14" s="692"/>
      <c r="AG14" s="692"/>
      <c r="AH14" s="692"/>
      <c r="AI14" s="710"/>
      <c r="AJ14" s="710"/>
      <c r="AK14" s="710"/>
      <c r="AL14" s="710"/>
      <c r="AM14" s="710"/>
      <c r="AN14" s="710"/>
    </row>
    <row r="15" spans="1:40">
      <c r="A15" s="885" t="s">
        <v>207</v>
      </c>
      <c r="B15" s="594" t="s">
        <v>110</v>
      </c>
      <c r="C15" s="717">
        <v>0</v>
      </c>
      <c r="D15" s="717">
        <v>0</v>
      </c>
      <c r="E15" s="717">
        <v>0</v>
      </c>
      <c r="F15" s="717">
        <v>0</v>
      </c>
      <c r="G15" s="717">
        <v>0</v>
      </c>
      <c r="H15" s="717">
        <v>0</v>
      </c>
      <c r="I15" s="717">
        <v>9669</v>
      </c>
      <c r="J15" s="717">
        <v>1160280</v>
      </c>
      <c r="K15" s="717">
        <v>0</v>
      </c>
      <c r="L15" s="717">
        <v>0</v>
      </c>
      <c r="M15" s="868">
        <v>7521</v>
      </c>
      <c r="N15" s="868">
        <v>1006603</v>
      </c>
      <c r="O15" s="823">
        <v>0</v>
      </c>
      <c r="P15" s="823">
        <v>0</v>
      </c>
      <c r="Q15" s="823">
        <v>0</v>
      </c>
      <c r="R15" s="823">
        <v>0</v>
      </c>
      <c r="S15" s="823">
        <v>0</v>
      </c>
      <c r="T15" s="823">
        <v>0</v>
      </c>
      <c r="U15" s="823">
        <v>0</v>
      </c>
      <c r="V15" s="823">
        <v>0</v>
      </c>
      <c r="W15" s="823">
        <v>0</v>
      </c>
      <c r="X15" s="823">
        <v>0</v>
      </c>
      <c r="Y15" s="823">
        <v>0</v>
      </c>
      <c r="Z15" s="823">
        <v>0</v>
      </c>
      <c r="AA15" s="823">
        <v>0</v>
      </c>
      <c r="AB15" s="823">
        <v>0</v>
      </c>
      <c r="AC15" s="823">
        <v>0</v>
      </c>
      <c r="AD15" s="823">
        <v>0</v>
      </c>
      <c r="AE15" s="823">
        <v>0</v>
      </c>
      <c r="AF15" s="823">
        <v>0</v>
      </c>
      <c r="AG15" s="823">
        <v>0</v>
      </c>
      <c r="AH15" s="823">
        <v>0</v>
      </c>
      <c r="AI15" s="823">
        <v>0</v>
      </c>
      <c r="AJ15" s="823">
        <v>0</v>
      </c>
      <c r="AK15" s="710">
        <v>0</v>
      </c>
      <c r="AL15" s="710">
        <v>0</v>
      </c>
      <c r="AM15" s="710">
        <v>0</v>
      </c>
      <c r="AN15" s="710">
        <v>0</v>
      </c>
    </row>
    <row r="16" spans="1:40">
      <c r="A16" s="683"/>
      <c r="B16" s="794"/>
      <c r="C16" s="684"/>
      <c r="D16" s="684"/>
      <c r="E16" s="684"/>
      <c r="F16" s="684"/>
      <c r="G16" s="684"/>
      <c r="H16" s="684"/>
      <c r="I16" s="794"/>
      <c r="J16" s="794"/>
      <c r="K16" s="794"/>
      <c r="L16" s="794"/>
      <c r="M16" s="794"/>
      <c r="N16" s="692"/>
      <c r="O16" s="794"/>
      <c r="P16" s="794"/>
      <c r="Q16" s="794"/>
      <c r="R16" s="794"/>
      <c r="S16" s="684"/>
      <c r="T16" s="684"/>
      <c r="U16" s="794"/>
      <c r="V16" s="794"/>
      <c r="W16" s="794"/>
      <c r="X16" s="794"/>
      <c r="Y16" s="794"/>
      <c r="Z16" s="794"/>
      <c r="AA16" s="692"/>
      <c r="AB16" s="692"/>
      <c r="AC16" s="794"/>
      <c r="AD16" s="794"/>
      <c r="AE16" s="692"/>
      <c r="AF16" s="692"/>
      <c r="AG16" s="822"/>
      <c r="AH16" s="812"/>
      <c r="AI16" s="822"/>
      <c r="AJ16" s="812"/>
      <c r="AK16" s="710"/>
      <c r="AL16" s="710"/>
      <c r="AM16" s="710"/>
      <c r="AN16" s="710"/>
    </row>
    <row r="17" spans="1:40">
      <c r="A17" s="1570" t="s">
        <v>208</v>
      </c>
      <c r="B17" s="825"/>
      <c r="C17" s="826"/>
      <c r="D17" s="826"/>
      <c r="E17" s="826"/>
      <c r="F17" s="826"/>
      <c r="G17" s="826"/>
      <c r="H17" s="826"/>
      <c r="I17" s="825"/>
      <c r="J17" s="825"/>
      <c r="K17" s="825"/>
      <c r="L17" s="825"/>
      <c r="M17" s="825"/>
      <c r="N17" s="827"/>
      <c r="O17" s="825"/>
      <c r="P17" s="825"/>
      <c r="Q17" s="825"/>
      <c r="R17" s="825"/>
      <c r="S17" s="826"/>
      <c r="T17" s="826"/>
      <c r="U17" s="825"/>
      <c r="V17" s="825"/>
      <c r="W17" s="825"/>
      <c r="X17" s="825"/>
      <c r="Y17" s="825"/>
      <c r="Z17" s="825"/>
      <c r="AA17" s="825"/>
      <c r="AB17" s="825"/>
      <c r="AC17" s="846"/>
      <c r="AD17" s="825"/>
      <c r="AE17" s="827"/>
      <c r="AF17" s="827"/>
      <c r="AG17" s="825"/>
      <c r="AH17" s="825"/>
      <c r="AI17" s="828"/>
      <c r="AJ17" s="828"/>
      <c r="AK17" s="828"/>
      <c r="AL17" s="828"/>
      <c r="AM17" s="828"/>
      <c r="AN17" s="828"/>
    </row>
    <row r="18" spans="1:40">
      <c r="A18" s="1571" t="s">
        <v>437</v>
      </c>
      <c r="B18" s="829" t="s">
        <v>110</v>
      </c>
      <c r="C18" s="830">
        <f>3424+10381+42</f>
        <v>13847</v>
      </c>
      <c r="D18" s="830">
        <f>3141119+12803570+6748</f>
        <v>15951437</v>
      </c>
      <c r="E18" s="830">
        <f>3484+8788</f>
        <v>12272</v>
      </c>
      <c r="F18" s="830">
        <f>4162432+9700345</f>
        <v>13862777</v>
      </c>
      <c r="G18" s="830">
        <v>3519</v>
      </c>
      <c r="H18" s="830">
        <v>4106685</v>
      </c>
      <c r="I18" s="826">
        <v>2701</v>
      </c>
      <c r="J18" s="826">
        <v>5938229</v>
      </c>
      <c r="K18" s="826">
        <v>13083</v>
      </c>
      <c r="L18" s="826">
        <v>31374188</v>
      </c>
      <c r="M18" s="869">
        <v>14979</v>
      </c>
      <c r="N18" s="869">
        <v>23922443</v>
      </c>
      <c r="O18" s="842">
        <v>11995</v>
      </c>
      <c r="P18" s="842">
        <v>20349205</v>
      </c>
      <c r="Q18" s="830">
        <v>12018.012999999999</v>
      </c>
      <c r="R18" s="830">
        <v>17440805</v>
      </c>
      <c r="S18" s="830">
        <v>22915</v>
      </c>
      <c r="T18" s="830">
        <v>27438799</v>
      </c>
      <c r="U18" s="831">
        <v>32456</v>
      </c>
      <c r="V18" s="831">
        <v>40255726</v>
      </c>
      <c r="W18" s="831">
        <v>29203</v>
      </c>
      <c r="X18" s="831">
        <v>76534777</v>
      </c>
      <c r="Y18" s="831">
        <v>23685</v>
      </c>
      <c r="Z18" s="827">
        <v>65420387</v>
      </c>
      <c r="AA18" s="827">
        <v>27733.521000000001</v>
      </c>
      <c r="AB18" s="827">
        <v>58979700</v>
      </c>
      <c r="AC18" s="833">
        <v>29434</v>
      </c>
      <c r="AD18" s="833">
        <v>61121739</v>
      </c>
      <c r="AE18" s="827">
        <v>24435.789957999998</v>
      </c>
      <c r="AF18" s="827">
        <v>43712910.772800945</v>
      </c>
      <c r="AG18" s="827">
        <v>30731.591499999999</v>
      </c>
      <c r="AH18" s="827">
        <v>64618092</v>
      </c>
      <c r="AI18" s="831">
        <v>42616</v>
      </c>
      <c r="AJ18" s="831">
        <v>111116266</v>
      </c>
      <c r="AK18" s="831">
        <v>53496</v>
      </c>
      <c r="AL18" s="831">
        <v>122573732</v>
      </c>
      <c r="AM18" s="831">
        <v>59447</v>
      </c>
      <c r="AN18" s="831">
        <v>138780268</v>
      </c>
    </row>
    <row r="19" spans="1:40">
      <c r="A19" s="1571" t="s">
        <v>550</v>
      </c>
      <c r="B19" s="829" t="s">
        <v>110</v>
      </c>
      <c r="C19" s="830">
        <v>0</v>
      </c>
      <c r="D19" s="830">
        <v>0</v>
      </c>
      <c r="E19" s="830">
        <v>0</v>
      </c>
      <c r="F19" s="830">
        <v>0</v>
      </c>
      <c r="G19" s="830">
        <v>0</v>
      </c>
      <c r="H19" s="830">
        <v>0</v>
      </c>
      <c r="I19" s="830">
        <v>0</v>
      </c>
      <c r="J19" s="830">
        <v>0</v>
      </c>
      <c r="K19" s="826">
        <v>2431</v>
      </c>
      <c r="L19" s="826">
        <v>920073</v>
      </c>
      <c r="M19" s="869">
        <v>13171</v>
      </c>
      <c r="N19" s="869">
        <v>7604934</v>
      </c>
      <c r="O19" s="842">
        <v>12481</v>
      </c>
      <c r="P19" s="842">
        <v>5990776</v>
      </c>
      <c r="Q19" s="830">
        <v>21678</v>
      </c>
      <c r="R19" s="830">
        <v>7297295</v>
      </c>
      <c r="S19" s="830">
        <v>22302</v>
      </c>
      <c r="T19" s="830">
        <v>6649704</v>
      </c>
      <c r="U19" s="831">
        <v>21113</v>
      </c>
      <c r="V19" s="831">
        <v>4981363</v>
      </c>
      <c r="W19" s="831">
        <v>21098</v>
      </c>
      <c r="X19" s="831">
        <v>9204496.3827228192</v>
      </c>
      <c r="Y19" s="831">
        <v>21277</v>
      </c>
      <c r="Z19" s="827">
        <v>12644200</v>
      </c>
      <c r="AA19" s="827">
        <v>13486.043999999998</v>
      </c>
      <c r="AB19" s="827">
        <v>6086206</v>
      </c>
      <c r="AC19" s="833">
        <v>27001</v>
      </c>
      <c r="AD19" s="833">
        <v>10448512</v>
      </c>
      <c r="AE19" s="827">
        <v>51552.917000000001</v>
      </c>
      <c r="AF19" s="827">
        <v>17253219.559999999</v>
      </c>
      <c r="AG19" s="827">
        <v>64465</v>
      </c>
      <c r="AH19" s="827">
        <v>20242917</v>
      </c>
      <c r="AI19" s="831">
        <v>82326</v>
      </c>
      <c r="AJ19" s="831">
        <v>37308780</v>
      </c>
      <c r="AK19" s="831">
        <v>75076</v>
      </c>
      <c r="AL19" s="831">
        <v>36723119</v>
      </c>
      <c r="AM19" s="831">
        <v>70019</v>
      </c>
      <c r="AN19" s="831">
        <v>31850488</v>
      </c>
    </row>
    <row r="20" spans="1:40">
      <c r="A20" s="1571" t="s">
        <v>551</v>
      </c>
      <c r="B20" s="829" t="s">
        <v>110</v>
      </c>
      <c r="C20" s="830">
        <v>21677</v>
      </c>
      <c r="D20" s="830">
        <v>10451891</v>
      </c>
      <c r="E20" s="830">
        <v>31822</v>
      </c>
      <c r="F20" s="830">
        <v>20044441</v>
      </c>
      <c r="G20" s="830">
        <v>0</v>
      </c>
      <c r="H20" s="830">
        <v>0</v>
      </c>
      <c r="I20" s="826">
        <v>4059</v>
      </c>
      <c r="J20" s="826">
        <v>2805427</v>
      </c>
      <c r="K20" s="826">
        <v>28799</v>
      </c>
      <c r="L20" s="826">
        <v>26786585</v>
      </c>
      <c r="M20" s="869">
        <v>45878</v>
      </c>
      <c r="N20" s="869">
        <v>59754974</v>
      </c>
      <c r="O20" s="842">
        <v>57331</v>
      </c>
      <c r="P20" s="842">
        <v>76385678</v>
      </c>
      <c r="Q20" s="830">
        <v>142919</v>
      </c>
      <c r="R20" s="830">
        <v>125578837</v>
      </c>
      <c r="S20" s="830">
        <v>127963</v>
      </c>
      <c r="T20" s="830">
        <v>104106685</v>
      </c>
      <c r="U20" s="831">
        <v>136385</v>
      </c>
      <c r="V20" s="831">
        <v>79541654</v>
      </c>
      <c r="W20" s="831">
        <v>132850.11430000002</v>
      </c>
      <c r="X20" s="831">
        <v>95841711</v>
      </c>
      <c r="Y20" s="831">
        <v>113492</v>
      </c>
      <c r="Z20" s="827">
        <v>75322576</v>
      </c>
      <c r="AA20" s="827">
        <v>88368.614000000001</v>
      </c>
      <c r="AB20" s="827">
        <v>75120390</v>
      </c>
      <c r="AC20" s="833">
        <v>123968</v>
      </c>
      <c r="AD20" s="833">
        <v>117107347</v>
      </c>
      <c r="AE20" s="827">
        <v>194899.92499999999</v>
      </c>
      <c r="AF20" s="827">
        <v>170726482.72</v>
      </c>
      <c r="AG20" s="827">
        <v>232584.87</v>
      </c>
      <c r="AH20" s="827">
        <v>251013207</v>
      </c>
      <c r="AI20" s="831">
        <v>236089</v>
      </c>
      <c r="AJ20" s="831">
        <v>280239658</v>
      </c>
      <c r="AK20" s="831">
        <v>223669</v>
      </c>
      <c r="AL20" s="831">
        <v>173815927</v>
      </c>
      <c r="AM20" s="831">
        <v>206451</v>
      </c>
      <c r="AN20" s="831">
        <v>173193024</v>
      </c>
    </row>
    <row r="21" spans="1:40">
      <c r="A21" s="1572" t="s">
        <v>215</v>
      </c>
      <c r="B21" s="825"/>
      <c r="C21" s="826"/>
      <c r="D21" s="826">
        <f>SUM(D18:D20)</f>
        <v>26403328</v>
      </c>
      <c r="E21" s="826"/>
      <c r="F21" s="826">
        <f>SUM(F18:F20)</f>
        <v>33907218</v>
      </c>
      <c r="G21" s="826"/>
      <c r="H21" s="826">
        <f>SUM(H18:H20)</f>
        <v>4106685</v>
      </c>
      <c r="I21" s="825"/>
      <c r="J21" s="827">
        <f>SUM(J18:J20)</f>
        <v>8743656</v>
      </c>
      <c r="K21" s="827"/>
      <c r="L21" s="826">
        <v>59080846</v>
      </c>
      <c r="M21" s="870"/>
      <c r="N21" s="869">
        <v>91282351</v>
      </c>
      <c r="O21" s="825"/>
      <c r="P21" s="842">
        <f>SUM(P18:P20)</f>
        <v>102725659</v>
      </c>
      <c r="Q21" s="826"/>
      <c r="R21" s="826">
        <v>150316937</v>
      </c>
      <c r="S21" s="826"/>
      <c r="T21" s="826">
        <v>138195188</v>
      </c>
      <c r="U21" s="827"/>
      <c r="V21" s="831">
        <v>124778743</v>
      </c>
      <c r="W21" s="827"/>
      <c r="X21" s="831">
        <v>181580984</v>
      </c>
      <c r="Y21" s="827"/>
      <c r="Z21" s="831">
        <v>153387163</v>
      </c>
      <c r="AA21" s="827"/>
      <c r="AB21" s="827">
        <v>140186296</v>
      </c>
      <c r="AC21" s="825"/>
      <c r="AD21" s="834">
        <v>188677598</v>
      </c>
      <c r="AE21" s="835"/>
      <c r="AF21" s="827">
        <v>231692613.05280095</v>
      </c>
      <c r="AG21" s="827"/>
      <c r="AH21" s="827">
        <v>335874216</v>
      </c>
      <c r="AI21" s="827"/>
      <c r="AJ21" s="831">
        <f>SUM(AJ18:AJ20)</f>
        <v>428664704</v>
      </c>
      <c r="AK21" s="831"/>
      <c r="AL21" s="831">
        <f>SUM(AL18:AL20)</f>
        <v>333112778</v>
      </c>
      <c r="AM21" s="831"/>
      <c r="AN21" s="831">
        <f>SUM(AN18:AN20)</f>
        <v>343823780</v>
      </c>
    </row>
    <row r="22" spans="1:40">
      <c r="A22" s="596"/>
      <c r="B22" s="794"/>
      <c r="C22" s="684"/>
      <c r="D22" s="684"/>
      <c r="E22" s="684"/>
      <c r="F22" s="684"/>
      <c r="G22" s="684"/>
      <c r="H22" s="684"/>
      <c r="I22" s="794"/>
      <c r="J22" s="794"/>
      <c r="K22" s="794"/>
      <c r="L22" s="794"/>
      <c r="M22" s="794"/>
      <c r="N22" s="692"/>
      <c r="O22" s="794"/>
      <c r="P22" s="794"/>
      <c r="Q22" s="794"/>
      <c r="R22" s="794"/>
      <c r="S22" s="684"/>
      <c r="T22" s="684"/>
      <c r="U22" s="794"/>
      <c r="V22" s="794"/>
      <c r="W22" s="794"/>
      <c r="X22" s="794"/>
      <c r="Y22" s="794"/>
      <c r="Z22" s="794"/>
      <c r="AA22" s="794"/>
      <c r="AB22" s="794"/>
      <c r="AC22" s="794"/>
      <c r="AD22" s="794"/>
      <c r="AE22" s="709"/>
      <c r="AF22" s="709"/>
      <c r="AG22" s="692"/>
      <c r="AH22" s="692"/>
      <c r="AI22" s="692"/>
      <c r="AJ22" s="710"/>
      <c r="AK22" s="710"/>
      <c r="AL22" s="710"/>
      <c r="AM22" s="692"/>
      <c r="AN22" s="692"/>
    </row>
    <row r="23" spans="1:40">
      <c r="A23" s="885" t="s">
        <v>217</v>
      </c>
      <c r="B23" s="594" t="s">
        <v>110</v>
      </c>
      <c r="C23" s="604">
        <v>0</v>
      </c>
      <c r="D23" s="604">
        <v>0</v>
      </c>
      <c r="E23" s="604">
        <v>0</v>
      </c>
      <c r="F23" s="604">
        <v>0</v>
      </c>
      <c r="G23" s="604">
        <v>0</v>
      </c>
      <c r="H23" s="604">
        <v>0</v>
      </c>
      <c r="I23" s="604">
        <v>0</v>
      </c>
      <c r="J23" s="604">
        <v>0</v>
      </c>
      <c r="K23" s="604">
        <v>0</v>
      </c>
      <c r="L23" s="604">
        <v>0</v>
      </c>
      <c r="M23" s="604">
        <v>0</v>
      </c>
      <c r="N23" s="670">
        <v>0</v>
      </c>
      <c r="O23" s="604">
        <v>0</v>
      </c>
      <c r="P23" s="604">
        <v>0</v>
      </c>
      <c r="Q23" s="604">
        <v>0</v>
      </c>
      <c r="R23" s="604">
        <v>0</v>
      </c>
      <c r="S23" s="604">
        <v>0</v>
      </c>
      <c r="T23" s="604">
        <v>0</v>
      </c>
      <c r="U23" s="604">
        <v>0</v>
      </c>
      <c r="V23" s="604">
        <v>0</v>
      </c>
      <c r="W23" s="604">
        <v>0</v>
      </c>
      <c r="X23" s="604">
        <v>0</v>
      </c>
      <c r="Y23" s="604">
        <v>0</v>
      </c>
      <c r="Z23" s="604">
        <v>0</v>
      </c>
      <c r="AA23" s="594"/>
      <c r="AB23" s="594"/>
      <c r="AC23" s="821">
        <v>16115</v>
      </c>
      <c r="AD23" s="821">
        <v>3658408</v>
      </c>
      <c r="AE23" s="692">
        <v>30052.491000000002</v>
      </c>
      <c r="AF23" s="692">
        <v>6528155.9699999997</v>
      </c>
      <c r="AG23" s="692">
        <v>17547</v>
      </c>
      <c r="AH23" s="692">
        <v>3249086</v>
      </c>
      <c r="AI23" s="710">
        <v>33014</v>
      </c>
      <c r="AJ23" s="710">
        <v>6898498</v>
      </c>
      <c r="AK23" s="710">
        <v>5678</v>
      </c>
      <c r="AL23" s="710">
        <v>450582</v>
      </c>
      <c r="AM23" s="710">
        <v>31187</v>
      </c>
      <c r="AN23" s="710">
        <v>6323498</v>
      </c>
    </row>
    <row r="24" spans="1:40">
      <c r="A24" s="593"/>
      <c r="B24" s="794"/>
      <c r="C24" s="684"/>
      <c r="D24" s="684"/>
      <c r="E24" s="684"/>
      <c r="F24" s="684"/>
      <c r="G24" s="684"/>
      <c r="H24" s="684"/>
      <c r="I24" s="794"/>
      <c r="J24" s="794"/>
      <c r="K24" s="794"/>
      <c r="L24" s="794"/>
      <c r="M24" s="794"/>
      <c r="N24" s="692"/>
      <c r="O24" s="794"/>
      <c r="P24" s="794"/>
      <c r="Q24" s="794"/>
      <c r="R24" s="794"/>
      <c r="S24" s="684"/>
      <c r="T24" s="684"/>
      <c r="U24" s="794"/>
      <c r="V24" s="794"/>
      <c r="W24" s="794"/>
      <c r="X24" s="794"/>
      <c r="Y24" s="794"/>
      <c r="Z24" s="794"/>
      <c r="AA24" s="794"/>
      <c r="AB24" s="794"/>
      <c r="AE24" s="692"/>
      <c r="AF24" s="692"/>
      <c r="AG24" s="418"/>
      <c r="AH24" s="418"/>
      <c r="AI24" s="418"/>
      <c r="AJ24" s="418"/>
      <c r="AK24" s="710"/>
      <c r="AL24" s="710"/>
      <c r="AM24" s="710"/>
      <c r="AN24" s="710"/>
    </row>
    <row r="25" spans="1:40">
      <c r="A25" s="1570" t="s">
        <v>218</v>
      </c>
      <c r="B25" s="825"/>
      <c r="C25" s="826"/>
      <c r="D25" s="826"/>
      <c r="E25" s="826"/>
      <c r="F25" s="826"/>
      <c r="G25" s="826"/>
      <c r="H25" s="826"/>
      <c r="I25" s="825"/>
      <c r="J25" s="825"/>
      <c r="K25" s="825"/>
      <c r="L25" s="825"/>
      <c r="M25" s="825"/>
      <c r="N25" s="827"/>
      <c r="O25" s="825"/>
      <c r="P25" s="825"/>
      <c r="Q25" s="825"/>
      <c r="R25" s="825"/>
      <c r="S25" s="826"/>
      <c r="T25" s="826"/>
      <c r="U25" s="825"/>
      <c r="V25" s="825"/>
      <c r="W25" s="825"/>
      <c r="X25" s="825"/>
      <c r="Y25" s="825"/>
      <c r="Z25" s="825"/>
      <c r="AA25" s="825"/>
      <c r="AB25" s="825"/>
      <c r="AC25" s="825"/>
      <c r="AD25" s="825"/>
      <c r="AE25" s="827"/>
      <c r="AF25" s="827"/>
      <c r="AG25" s="827"/>
      <c r="AH25" s="827"/>
      <c r="AI25" s="827"/>
      <c r="AJ25" s="827"/>
      <c r="AK25" s="826"/>
      <c r="AL25" s="826"/>
      <c r="AM25" s="826"/>
      <c r="AN25" s="826"/>
    </row>
    <row r="26" spans="1:40">
      <c r="A26" s="1571" t="s">
        <v>219</v>
      </c>
      <c r="B26" s="829" t="s">
        <v>110</v>
      </c>
      <c r="C26" s="826">
        <v>0</v>
      </c>
      <c r="D26" s="826">
        <v>0</v>
      </c>
      <c r="E26" s="826">
        <v>0</v>
      </c>
      <c r="F26" s="826">
        <v>0</v>
      </c>
      <c r="G26" s="826">
        <v>0</v>
      </c>
      <c r="H26" s="826">
        <v>0</v>
      </c>
      <c r="I26" s="826">
        <v>0</v>
      </c>
      <c r="J26" s="826">
        <v>0</v>
      </c>
      <c r="K26" s="826">
        <v>0</v>
      </c>
      <c r="L26" s="826">
        <v>0</v>
      </c>
      <c r="M26" s="826">
        <v>0</v>
      </c>
      <c r="N26" s="826">
        <v>0</v>
      </c>
      <c r="O26" s="826">
        <v>0</v>
      </c>
      <c r="P26" s="826">
        <v>0</v>
      </c>
      <c r="Q26" s="826">
        <v>0</v>
      </c>
      <c r="R26" s="826">
        <v>0</v>
      </c>
      <c r="S26" s="826">
        <v>0</v>
      </c>
      <c r="T26" s="826">
        <v>0</v>
      </c>
      <c r="U26" s="826">
        <v>0</v>
      </c>
      <c r="V26" s="826">
        <v>0</v>
      </c>
      <c r="W26" s="826">
        <v>0</v>
      </c>
      <c r="X26" s="826">
        <v>0</v>
      </c>
      <c r="Y26" s="826">
        <v>0</v>
      </c>
      <c r="Z26" s="826">
        <v>0</v>
      </c>
      <c r="AA26" s="826">
        <v>0</v>
      </c>
      <c r="AB26" s="826">
        <v>0</v>
      </c>
      <c r="AC26" s="826">
        <v>0</v>
      </c>
      <c r="AD26" s="826">
        <v>0</v>
      </c>
      <c r="AE26" s="826">
        <v>0</v>
      </c>
      <c r="AF26" s="826">
        <v>0</v>
      </c>
      <c r="AG26" s="826">
        <v>0</v>
      </c>
      <c r="AH26" s="826">
        <v>0</v>
      </c>
      <c r="AI26" s="826">
        <v>0</v>
      </c>
      <c r="AJ26" s="826">
        <v>0</v>
      </c>
      <c r="AK26" s="826">
        <v>0</v>
      </c>
      <c r="AL26" s="826">
        <v>0</v>
      </c>
      <c r="AM26" s="826">
        <v>0</v>
      </c>
      <c r="AN26" s="826">
        <v>0</v>
      </c>
    </row>
    <row r="27" spans="1:40">
      <c r="A27" s="1571" t="s">
        <v>220</v>
      </c>
      <c r="B27" s="829" t="s">
        <v>110</v>
      </c>
      <c r="C27" s="830">
        <v>0</v>
      </c>
      <c r="D27" s="830">
        <v>0</v>
      </c>
      <c r="E27" s="830">
        <v>41885</v>
      </c>
      <c r="F27" s="830" t="s">
        <v>575</v>
      </c>
      <c r="G27" s="830">
        <v>10458</v>
      </c>
      <c r="H27" s="830">
        <f>G27*150</f>
        <v>1568700</v>
      </c>
      <c r="I27" s="826">
        <v>11387</v>
      </c>
      <c r="J27" s="826">
        <v>2238865</v>
      </c>
      <c r="K27" s="826">
        <v>44065</v>
      </c>
      <c r="L27" s="826">
        <v>3527557</v>
      </c>
      <c r="M27" s="826">
        <v>28137</v>
      </c>
      <c r="N27" s="826">
        <v>3988107</v>
      </c>
      <c r="O27" s="842">
        <v>15403</v>
      </c>
      <c r="P27" s="842">
        <v>3914836</v>
      </c>
      <c r="Q27" s="830">
        <v>19329</v>
      </c>
      <c r="R27" s="830">
        <v>5860557</v>
      </c>
      <c r="S27" s="830">
        <v>20208</v>
      </c>
      <c r="T27" s="830">
        <v>5891735</v>
      </c>
      <c r="U27" s="831">
        <v>20351</v>
      </c>
      <c r="V27" s="827">
        <v>6044132</v>
      </c>
      <c r="W27" s="831">
        <v>18796</v>
      </c>
      <c r="X27" s="827">
        <v>4662524</v>
      </c>
      <c r="Y27" s="831">
        <v>19753</v>
      </c>
      <c r="Z27" s="827">
        <v>4096240</v>
      </c>
      <c r="AA27" s="827">
        <v>20473</v>
      </c>
      <c r="AB27" s="827">
        <v>4073620</v>
      </c>
      <c r="AC27" s="833">
        <v>24023</v>
      </c>
      <c r="AD27" s="833">
        <v>4362859</v>
      </c>
      <c r="AE27" s="827">
        <v>11688</v>
      </c>
      <c r="AF27" s="827">
        <v>1220812</v>
      </c>
      <c r="AG27" s="827">
        <v>11513.36</v>
      </c>
      <c r="AH27" s="827">
        <v>1202424</v>
      </c>
      <c r="AI27" s="831">
        <v>12366</v>
      </c>
      <c r="AJ27" s="831">
        <v>1291319</v>
      </c>
      <c r="AK27" s="826">
        <v>12623</v>
      </c>
      <c r="AL27" s="826">
        <v>1318221</v>
      </c>
      <c r="AM27" s="826">
        <v>11366</v>
      </c>
      <c r="AN27" s="826">
        <v>1186952</v>
      </c>
    </row>
    <row r="28" spans="1:40">
      <c r="A28" s="1571" t="s">
        <v>222</v>
      </c>
      <c r="B28" s="829" t="s">
        <v>110</v>
      </c>
      <c r="C28" s="830">
        <v>28155</v>
      </c>
      <c r="D28" s="830">
        <v>70389</v>
      </c>
      <c r="E28" s="830">
        <v>23131</v>
      </c>
      <c r="F28" s="830">
        <v>57828</v>
      </c>
      <c r="G28" s="830">
        <v>23991</v>
      </c>
      <c r="H28" s="830">
        <v>59969</v>
      </c>
      <c r="I28" s="826">
        <v>22679</v>
      </c>
      <c r="J28" s="826">
        <v>56698</v>
      </c>
      <c r="K28" s="826">
        <v>24007</v>
      </c>
      <c r="L28" s="826">
        <v>60020</v>
      </c>
      <c r="M28" s="826">
        <v>21952</v>
      </c>
      <c r="N28" s="826">
        <v>54880</v>
      </c>
      <c r="O28" s="842">
        <v>22994</v>
      </c>
      <c r="P28" s="842">
        <v>137964</v>
      </c>
      <c r="Q28" s="830">
        <v>16741</v>
      </c>
      <c r="R28" s="830">
        <v>170243</v>
      </c>
      <c r="S28" s="830">
        <v>0</v>
      </c>
      <c r="T28" s="830">
        <v>0</v>
      </c>
      <c r="U28" s="830">
        <v>0</v>
      </c>
      <c r="V28" s="830">
        <v>0</v>
      </c>
      <c r="W28" s="830">
        <v>0</v>
      </c>
      <c r="X28" s="830">
        <v>0</v>
      </c>
      <c r="Y28" s="830">
        <v>0</v>
      </c>
      <c r="Z28" s="830">
        <v>0</v>
      </c>
      <c r="AA28" s="830">
        <v>0</v>
      </c>
      <c r="AB28" s="830">
        <v>0</v>
      </c>
      <c r="AC28" s="830">
        <v>0</v>
      </c>
      <c r="AD28" s="830">
        <v>0</v>
      </c>
      <c r="AE28" s="830">
        <v>0</v>
      </c>
      <c r="AF28" s="830">
        <v>0</v>
      </c>
      <c r="AG28" s="830">
        <v>0</v>
      </c>
      <c r="AH28" s="830">
        <v>0</v>
      </c>
      <c r="AI28" s="830">
        <v>0</v>
      </c>
      <c r="AJ28" s="830">
        <v>0</v>
      </c>
      <c r="AK28" s="826">
        <v>0</v>
      </c>
      <c r="AL28" s="826">
        <v>0</v>
      </c>
      <c r="AM28" s="826">
        <v>0</v>
      </c>
      <c r="AN28" s="826">
        <v>0</v>
      </c>
    </row>
    <row r="29" spans="1:40">
      <c r="A29" s="1571" t="s">
        <v>223</v>
      </c>
      <c r="B29" s="829" t="s">
        <v>110</v>
      </c>
      <c r="C29" s="830">
        <v>0</v>
      </c>
      <c r="D29" s="830">
        <v>0</v>
      </c>
      <c r="E29" s="830">
        <v>0</v>
      </c>
      <c r="F29" s="830">
        <v>0</v>
      </c>
      <c r="G29" s="830">
        <v>0</v>
      </c>
      <c r="H29" s="830">
        <v>0</v>
      </c>
      <c r="I29" s="830">
        <v>0</v>
      </c>
      <c r="J29" s="830">
        <v>0</v>
      </c>
      <c r="K29" s="826">
        <v>383</v>
      </c>
      <c r="L29" s="826">
        <v>765</v>
      </c>
      <c r="M29" s="830">
        <v>0</v>
      </c>
      <c r="N29" s="830">
        <v>0</v>
      </c>
      <c r="O29" s="830">
        <v>0</v>
      </c>
      <c r="P29" s="830">
        <v>0</v>
      </c>
      <c r="Q29" s="830">
        <v>0</v>
      </c>
      <c r="R29" s="830">
        <v>0</v>
      </c>
      <c r="S29" s="831">
        <v>0</v>
      </c>
      <c r="T29" s="827">
        <v>0</v>
      </c>
      <c r="U29" s="831">
        <v>66483</v>
      </c>
      <c r="V29" s="827">
        <v>797796</v>
      </c>
      <c r="W29" s="831">
        <v>13921</v>
      </c>
      <c r="X29" s="827">
        <v>169475</v>
      </c>
      <c r="Y29" s="831">
        <v>21175</v>
      </c>
      <c r="Z29" s="827">
        <v>259212</v>
      </c>
      <c r="AA29" s="827">
        <v>16689</v>
      </c>
      <c r="AB29" s="827">
        <v>212081</v>
      </c>
      <c r="AC29" s="827">
        <v>36296</v>
      </c>
      <c r="AD29" s="827">
        <v>541990</v>
      </c>
      <c r="AE29" s="827">
        <v>10190</v>
      </c>
      <c r="AF29" s="827">
        <v>101900</v>
      </c>
      <c r="AG29" s="827">
        <v>28478</v>
      </c>
      <c r="AH29" s="827">
        <v>284780</v>
      </c>
      <c r="AI29" s="831">
        <v>11783</v>
      </c>
      <c r="AJ29" s="831">
        <v>117830</v>
      </c>
      <c r="AK29" s="826">
        <v>11751</v>
      </c>
      <c r="AL29" s="826">
        <v>117510</v>
      </c>
      <c r="AM29" s="826">
        <v>19117</v>
      </c>
      <c r="AN29" s="826">
        <v>191170</v>
      </c>
    </row>
    <row r="30" spans="1:40">
      <c r="A30" s="1571" t="s">
        <v>224</v>
      </c>
      <c r="B30" s="829" t="s">
        <v>110</v>
      </c>
      <c r="C30" s="830">
        <v>242489</v>
      </c>
      <c r="D30" s="830">
        <v>292136</v>
      </c>
      <c r="E30" s="830">
        <v>242489</v>
      </c>
      <c r="F30" s="830">
        <v>292015</v>
      </c>
      <c r="G30" s="830">
        <v>208895</v>
      </c>
      <c r="H30" s="830">
        <v>252326</v>
      </c>
      <c r="I30" s="826">
        <v>191184</v>
      </c>
      <c r="J30" s="826">
        <v>381127</v>
      </c>
      <c r="K30" s="826">
        <v>171189</v>
      </c>
      <c r="L30" s="826">
        <v>205570</v>
      </c>
      <c r="M30" s="826">
        <v>279538</v>
      </c>
      <c r="N30" s="826">
        <v>511780</v>
      </c>
      <c r="O30" s="831">
        <v>620</v>
      </c>
      <c r="P30" s="831">
        <v>744</v>
      </c>
      <c r="Q30" s="830">
        <v>0</v>
      </c>
      <c r="R30" s="830">
        <v>0</v>
      </c>
      <c r="S30" s="830">
        <v>29927</v>
      </c>
      <c r="T30" s="830">
        <v>35913</v>
      </c>
      <c r="U30" s="831">
        <v>27766</v>
      </c>
      <c r="V30" s="827">
        <v>33320</v>
      </c>
      <c r="W30" s="831">
        <v>31778</v>
      </c>
      <c r="X30" s="827">
        <v>38134</v>
      </c>
      <c r="Y30" s="831">
        <v>127813</v>
      </c>
      <c r="Z30" s="827">
        <v>258976</v>
      </c>
      <c r="AA30" s="827">
        <v>54861</v>
      </c>
      <c r="AB30" s="827">
        <v>65833</v>
      </c>
      <c r="AC30" s="827">
        <v>72975</v>
      </c>
      <c r="AD30" s="827">
        <v>87570</v>
      </c>
      <c r="AE30" s="827">
        <v>74032</v>
      </c>
      <c r="AF30" s="827">
        <v>88838</v>
      </c>
      <c r="AG30" s="827">
        <v>98706</v>
      </c>
      <c r="AH30" s="827">
        <v>118448</v>
      </c>
      <c r="AI30" s="831">
        <v>70320</v>
      </c>
      <c r="AJ30" s="831">
        <v>150614</v>
      </c>
      <c r="AK30" s="826">
        <v>10619</v>
      </c>
      <c r="AL30" s="826">
        <v>76883</v>
      </c>
      <c r="AM30" s="826">
        <v>0</v>
      </c>
      <c r="AN30" s="826">
        <v>0</v>
      </c>
    </row>
    <row r="31" spans="1:40">
      <c r="A31" s="1571" t="s">
        <v>226</v>
      </c>
      <c r="B31" s="829" t="s">
        <v>110</v>
      </c>
      <c r="C31" s="830">
        <v>1710</v>
      </c>
      <c r="D31" s="830">
        <v>31505</v>
      </c>
      <c r="E31" s="830">
        <v>4600</v>
      </c>
      <c r="F31" s="830">
        <v>188422</v>
      </c>
      <c r="G31" s="830">
        <v>7460</v>
      </c>
      <c r="H31" s="830">
        <v>241564</v>
      </c>
      <c r="I31" s="826">
        <v>185</v>
      </c>
      <c r="J31" s="826">
        <v>11187</v>
      </c>
      <c r="K31" s="826">
        <v>3706</v>
      </c>
      <c r="L31" s="826">
        <v>186553</v>
      </c>
      <c r="M31" s="826">
        <v>7701</v>
      </c>
      <c r="N31" s="826">
        <v>472291</v>
      </c>
      <c r="O31" s="830">
        <v>0</v>
      </c>
      <c r="P31" s="830">
        <v>0</v>
      </c>
      <c r="Q31" s="830">
        <v>3120</v>
      </c>
      <c r="R31" s="830">
        <v>218131</v>
      </c>
      <c r="S31" s="830">
        <v>2840</v>
      </c>
      <c r="T31" s="830">
        <v>175794</v>
      </c>
      <c r="U31" s="831">
        <v>3563</v>
      </c>
      <c r="V31" s="827">
        <v>243900</v>
      </c>
      <c r="W31" s="831">
        <v>4225</v>
      </c>
      <c r="X31" s="827">
        <v>250392</v>
      </c>
      <c r="Y31" s="831">
        <v>3363</v>
      </c>
      <c r="Z31" s="827">
        <v>173565</v>
      </c>
      <c r="AA31" s="827">
        <v>3307</v>
      </c>
      <c r="AB31" s="827">
        <v>211973</v>
      </c>
      <c r="AC31" s="827">
        <v>280</v>
      </c>
      <c r="AD31" s="827">
        <v>31649</v>
      </c>
      <c r="AE31" s="827">
        <v>1776</v>
      </c>
      <c r="AF31" s="827">
        <v>216398</v>
      </c>
      <c r="AG31" s="827">
        <v>2478</v>
      </c>
      <c r="AH31" s="827">
        <v>206974</v>
      </c>
      <c r="AI31" s="831">
        <v>440</v>
      </c>
      <c r="AJ31" s="831">
        <v>45508</v>
      </c>
      <c r="AK31" s="826">
        <v>400</v>
      </c>
      <c r="AL31" s="826">
        <v>42243</v>
      </c>
      <c r="AM31" s="826">
        <v>1837</v>
      </c>
      <c r="AN31" s="826">
        <v>147239</v>
      </c>
    </row>
    <row r="32" spans="1:40">
      <c r="A32" s="1571" t="s">
        <v>227</v>
      </c>
      <c r="B32" s="829" t="s">
        <v>110</v>
      </c>
      <c r="C32" s="830">
        <v>0</v>
      </c>
      <c r="D32" s="830">
        <v>0</v>
      </c>
      <c r="E32" s="830">
        <v>0</v>
      </c>
      <c r="F32" s="830">
        <v>0</v>
      </c>
      <c r="G32" s="830">
        <v>0</v>
      </c>
      <c r="H32" s="830">
        <v>0</v>
      </c>
      <c r="I32" s="830">
        <v>0</v>
      </c>
      <c r="J32" s="830">
        <v>0</v>
      </c>
      <c r="K32" s="830">
        <v>0</v>
      </c>
      <c r="L32" s="830">
        <v>0</v>
      </c>
      <c r="M32" s="830">
        <v>0</v>
      </c>
      <c r="N32" s="830">
        <v>0</v>
      </c>
      <c r="O32" s="830">
        <v>0</v>
      </c>
      <c r="P32" s="830">
        <v>0</v>
      </c>
      <c r="Q32" s="830">
        <v>0</v>
      </c>
      <c r="R32" s="830">
        <v>0</v>
      </c>
      <c r="S32" s="831">
        <v>0</v>
      </c>
      <c r="T32" s="827">
        <v>0</v>
      </c>
      <c r="U32" s="831">
        <v>0</v>
      </c>
      <c r="V32" s="827">
        <v>0</v>
      </c>
      <c r="W32" s="831">
        <v>0</v>
      </c>
      <c r="X32" s="827">
        <v>0</v>
      </c>
      <c r="Y32" s="831">
        <v>0</v>
      </c>
      <c r="Z32" s="827">
        <v>0</v>
      </c>
      <c r="AA32" s="827">
        <v>0</v>
      </c>
      <c r="AB32" s="827">
        <v>0</v>
      </c>
      <c r="AC32" s="827">
        <v>0</v>
      </c>
      <c r="AD32" s="827">
        <v>0</v>
      </c>
      <c r="AE32" s="827">
        <v>0</v>
      </c>
      <c r="AF32" s="827">
        <v>0</v>
      </c>
      <c r="AG32" s="827">
        <v>358.37</v>
      </c>
      <c r="AH32" s="827">
        <v>24970</v>
      </c>
      <c r="AI32" s="831">
        <v>1273</v>
      </c>
      <c r="AJ32" s="831">
        <v>91582</v>
      </c>
      <c r="AK32" s="826">
        <v>1679</v>
      </c>
      <c r="AL32" s="826">
        <v>114216</v>
      </c>
      <c r="AM32" s="826">
        <v>713</v>
      </c>
      <c r="AN32" s="826">
        <v>57919</v>
      </c>
    </row>
    <row r="33" spans="1:40">
      <c r="A33" s="1571" t="s">
        <v>228</v>
      </c>
      <c r="B33" s="829" t="s">
        <v>110</v>
      </c>
      <c r="C33" s="830">
        <v>0</v>
      </c>
      <c r="D33" s="830">
        <v>0</v>
      </c>
      <c r="E33" s="830">
        <v>126899</v>
      </c>
      <c r="F33" s="830">
        <v>372318</v>
      </c>
      <c r="G33" s="830">
        <v>72176</v>
      </c>
      <c r="H33" s="830">
        <v>209528</v>
      </c>
      <c r="I33" s="826">
        <v>1697</v>
      </c>
      <c r="J33" s="826">
        <v>20364</v>
      </c>
      <c r="K33" s="826">
        <v>1709</v>
      </c>
      <c r="L33" s="826">
        <v>20503</v>
      </c>
      <c r="M33" s="826">
        <v>32401</v>
      </c>
      <c r="N33" s="826">
        <v>324010</v>
      </c>
      <c r="O33" s="842">
        <v>153611</v>
      </c>
      <c r="P33" s="842">
        <v>1689718</v>
      </c>
      <c r="Q33" s="830">
        <v>22575</v>
      </c>
      <c r="R33" s="830">
        <v>225745</v>
      </c>
      <c r="S33" s="830">
        <v>22984</v>
      </c>
      <c r="T33" s="830">
        <v>249946</v>
      </c>
      <c r="U33" s="831">
        <v>33189</v>
      </c>
      <c r="V33" s="827">
        <v>318018</v>
      </c>
      <c r="W33" s="831">
        <v>61599</v>
      </c>
      <c r="X33" s="827">
        <v>615990</v>
      </c>
      <c r="Y33" s="831">
        <v>10885</v>
      </c>
      <c r="Z33" s="827">
        <v>108850</v>
      </c>
      <c r="AA33" s="827">
        <v>13003</v>
      </c>
      <c r="AB33" s="827">
        <v>130030</v>
      </c>
      <c r="AC33" s="833">
        <v>2360</v>
      </c>
      <c r="AD33" s="833">
        <v>14160</v>
      </c>
      <c r="AE33" s="827">
        <v>0</v>
      </c>
      <c r="AF33" s="827">
        <v>0</v>
      </c>
      <c r="AG33" s="827">
        <v>0</v>
      </c>
      <c r="AH33" s="827">
        <v>0</v>
      </c>
      <c r="AI33" s="827">
        <v>0</v>
      </c>
      <c r="AJ33" s="827">
        <v>0</v>
      </c>
      <c r="AK33" s="826">
        <v>0</v>
      </c>
      <c r="AL33" s="826">
        <v>0</v>
      </c>
      <c r="AM33" s="826">
        <v>0</v>
      </c>
      <c r="AN33" s="826">
        <v>0</v>
      </c>
    </row>
    <row r="34" spans="1:40">
      <c r="A34" s="1572" t="s">
        <v>229</v>
      </c>
      <c r="B34" s="825"/>
      <c r="C34" s="826"/>
      <c r="D34" s="826">
        <f>SUM(D27:D33)</f>
        <v>394030</v>
      </c>
      <c r="E34" s="826"/>
      <c r="F34" s="826">
        <f>SUM(F27:F33)</f>
        <v>910583</v>
      </c>
      <c r="G34" s="826"/>
      <c r="H34" s="826">
        <f>SUM(H27:H33)</f>
        <v>2332087</v>
      </c>
      <c r="I34" s="825"/>
      <c r="J34" s="827">
        <f>SUM(J27:J33)</f>
        <v>2708241</v>
      </c>
      <c r="K34" s="827"/>
      <c r="L34" s="826">
        <v>4000968</v>
      </c>
      <c r="M34" s="827"/>
      <c r="N34" s="826">
        <v>5351068</v>
      </c>
      <c r="O34" s="842"/>
      <c r="P34" s="842">
        <f>SUM(P27:P33)</f>
        <v>5743262</v>
      </c>
      <c r="Q34" s="830"/>
      <c r="R34" s="830">
        <v>6474676</v>
      </c>
      <c r="S34" s="826"/>
      <c r="T34" s="826">
        <v>6353388</v>
      </c>
      <c r="U34" s="827"/>
      <c r="V34" s="831">
        <v>7437166</v>
      </c>
      <c r="W34" s="827"/>
      <c r="X34" s="831">
        <v>5736515</v>
      </c>
      <c r="Y34" s="827"/>
      <c r="Z34" s="831">
        <v>4896843</v>
      </c>
      <c r="AA34" s="827"/>
      <c r="AB34" s="827">
        <v>4693537</v>
      </c>
      <c r="AC34" s="825"/>
      <c r="AD34" s="833">
        <v>5038228</v>
      </c>
      <c r="AE34" s="835"/>
      <c r="AF34" s="827">
        <v>1627948</v>
      </c>
      <c r="AG34" s="827"/>
      <c r="AH34" s="827">
        <v>1837596</v>
      </c>
      <c r="AI34" s="827"/>
      <c r="AJ34" s="831">
        <f>SUM(AJ26:AJ33)</f>
        <v>1696853</v>
      </c>
      <c r="AK34" s="826"/>
      <c r="AL34" s="826">
        <f>SUM(AL26:AL33)</f>
        <v>1669073</v>
      </c>
      <c r="AM34" s="826"/>
      <c r="AN34" s="826">
        <v>1583280</v>
      </c>
    </row>
    <row r="35" spans="1:40">
      <c r="A35" s="599"/>
      <c r="B35" s="794"/>
      <c r="C35" s="684"/>
      <c r="D35" s="684"/>
      <c r="E35" s="684"/>
      <c r="F35" s="684"/>
      <c r="G35" s="684"/>
      <c r="H35" s="684"/>
      <c r="I35" s="794"/>
      <c r="J35" s="794"/>
      <c r="K35" s="794"/>
      <c r="L35" s="794"/>
      <c r="M35" s="594"/>
      <c r="N35" s="672"/>
      <c r="O35" s="871"/>
      <c r="P35" s="871"/>
      <c r="Q35" s="684"/>
      <c r="R35" s="684"/>
      <c r="S35" s="684"/>
      <c r="T35" s="684"/>
      <c r="U35" s="626"/>
      <c r="V35" s="820"/>
      <c r="W35" s="626"/>
      <c r="X35" s="820"/>
      <c r="Y35" s="692"/>
      <c r="Z35" s="710"/>
      <c r="AA35" s="692"/>
      <c r="AB35" s="692"/>
      <c r="AD35" s="821"/>
      <c r="AE35" s="692"/>
      <c r="AF35" s="692"/>
      <c r="AG35" s="692"/>
      <c r="AH35" s="692"/>
      <c r="AI35" s="692"/>
      <c r="AJ35" s="710"/>
      <c r="AK35" s="710"/>
      <c r="AL35" s="710"/>
      <c r="AM35" s="692"/>
      <c r="AN35" s="710"/>
    </row>
    <row r="36" spans="1:40">
      <c r="A36" s="885" t="s">
        <v>230</v>
      </c>
      <c r="B36" s="594" t="s">
        <v>110</v>
      </c>
      <c r="C36" s="670">
        <v>2672619</v>
      </c>
      <c r="D36" s="670">
        <v>109120090</v>
      </c>
      <c r="E36" s="670">
        <v>3765045</v>
      </c>
      <c r="F36" s="670">
        <v>126840815</v>
      </c>
      <c r="G36" s="670">
        <v>3795055</v>
      </c>
      <c r="H36" s="670">
        <v>141742231</v>
      </c>
      <c r="I36" s="717">
        <v>3701942</v>
      </c>
      <c r="J36" s="717">
        <v>150965157</v>
      </c>
      <c r="K36" s="717">
        <v>3800228</v>
      </c>
      <c r="L36" s="717">
        <v>161240819</v>
      </c>
      <c r="M36" s="717">
        <v>4160646</v>
      </c>
      <c r="N36" s="717">
        <v>183698442</v>
      </c>
      <c r="O36" s="871">
        <v>5218176</v>
      </c>
      <c r="P36" s="871">
        <v>232915908</v>
      </c>
      <c r="Q36" s="684">
        <v>5491310</v>
      </c>
      <c r="R36" s="684">
        <v>243540117</v>
      </c>
      <c r="S36" s="670">
        <v>5428055</v>
      </c>
      <c r="T36" s="670">
        <v>244773673</v>
      </c>
      <c r="U36" s="626">
        <v>5152574</v>
      </c>
      <c r="V36" s="626">
        <v>236288139</v>
      </c>
      <c r="W36" s="626">
        <v>5863747</v>
      </c>
      <c r="X36" s="626">
        <v>274745803</v>
      </c>
      <c r="Y36" s="710">
        <v>5897443</v>
      </c>
      <c r="Z36" s="692">
        <v>270359539</v>
      </c>
      <c r="AA36" s="692">
        <v>5556644</v>
      </c>
      <c r="AB36" s="692">
        <v>257303044</v>
      </c>
      <c r="AC36" s="836">
        <v>5708548</v>
      </c>
      <c r="AD36" s="821">
        <v>257282501</v>
      </c>
      <c r="AE36" s="692">
        <v>5796621.7999999998</v>
      </c>
      <c r="AF36" s="692">
        <v>256742210</v>
      </c>
      <c r="AG36" s="692">
        <v>6504505.7000000002</v>
      </c>
      <c r="AH36" s="692">
        <v>271531464</v>
      </c>
      <c r="AI36" s="710">
        <v>6102813</v>
      </c>
      <c r="AJ36" s="710">
        <v>252281765</v>
      </c>
      <c r="AK36" s="710">
        <v>6164194</v>
      </c>
      <c r="AL36" s="710">
        <v>258125908</v>
      </c>
      <c r="AM36" s="710">
        <v>6323197</v>
      </c>
      <c r="AN36" s="710">
        <v>272886748</v>
      </c>
    </row>
    <row r="37" spans="1:40">
      <c r="A37" s="591"/>
      <c r="B37" s="594"/>
      <c r="C37" s="670"/>
      <c r="D37" s="670"/>
      <c r="E37" s="670"/>
      <c r="F37" s="670"/>
      <c r="G37" s="670"/>
      <c r="H37" s="670"/>
      <c r="I37" s="594"/>
      <c r="J37" s="594"/>
      <c r="K37" s="626"/>
      <c r="L37" s="626"/>
      <c r="M37" s="626"/>
      <c r="N37" s="626"/>
      <c r="Q37" s="670"/>
      <c r="R37" s="670"/>
      <c r="S37" s="670"/>
      <c r="T37" s="670"/>
      <c r="U37" s="626"/>
      <c r="V37" s="626"/>
      <c r="W37" s="626"/>
      <c r="X37" s="626"/>
      <c r="Y37" s="626"/>
      <c r="Z37" s="626"/>
      <c r="AA37" s="692"/>
      <c r="AB37" s="692"/>
      <c r="AE37" s="692"/>
      <c r="AF37" s="692"/>
      <c r="AG37" s="692"/>
      <c r="AH37" s="692"/>
      <c r="AI37" s="710"/>
      <c r="AJ37" s="710"/>
      <c r="AK37" s="710"/>
      <c r="AL37" s="710"/>
      <c r="AM37" s="710"/>
      <c r="AN37" s="710"/>
    </row>
    <row r="38" spans="1:40">
      <c r="A38" s="1570" t="s">
        <v>231</v>
      </c>
      <c r="B38" s="825"/>
      <c r="C38" s="826"/>
      <c r="D38" s="826"/>
      <c r="E38" s="826"/>
      <c r="F38" s="826"/>
      <c r="G38" s="826"/>
      <c r="H38" s="826"/>
      <c r="I38" s="825"/>
      <c r="J38" s="825"/>
      <c r="K38" s="827"/>
      <c r="L38" s="827"/>
      <c r="M38" s="827"/>
      <c r="N38" s="827"/>
      <c r="O38" s="825"/>
      <c r="P38" s="825"/>
      <c r="Q38" s="830"/>
      <c r="R38" s="830"/>
      <c r="S38" s="826"/>
      <c r="T38" s="826"/>
      <c r="U38" s="827"/>
      <c r="V38" s="827"/>
      <c r="W38" s="827"/>
      <c r="X38" s="827"/>
      <c r="Y38" s="827"/>
      <c r="Z38" s="827"/>
      <c r="AA38" s="827"/>
      <c r="AB38" s="827"/>
      <c r="AC38" s="825"/>
      <c r="AD38" s="825"/>
      <c r="AE38" s="827"/>
      <c r="AF38" s="827"/>
      <c r="AG38" s="827"/>
      <c r="AH38" s="827"/>
      <c r="AI38" s="827"/>
      <c r="AJ38" s="827"/>
      <c r="AK38" s="831"/>
      <c r="AL38" s="831"/>
      <c r="AM38" s="831"/>
      <c r="AN38" s="831"/>
    </row>
    <row r="39" spans="1:40">
      <c r="A39" s="1571" t="s">
        <v>552</v>
      </c>
      <c r="B39" s="829" t="s">
        <v>110</v>
      </c>
      <c r="C39" s="830">
        <v>160544</v>
      </c>
      <c r="D39" s="830">
        <v>1007069</v>
      </c>
      <c r="E39" s="830">
        <v>117255</v>
      </c>
      <c r="F39" s="830">
        <v>744055</v>
      </c>
      <c r="G39" s="830">
        <v>100816</v>
      </c>
      <c r="H39" s="830">
        <v>581430</v>
      </c>
      <c r="I39" s="826">
        <v>261853</v>
      </c>
      <c r="J39" s="826">
        <v>1314472</v>
      </c>
      <c r="K39" s="826">
        <v>170838</v>
      </c>
      <c r="L39" s="826">
        <v>1134173</v>
      </c>
      <c r="M39" s="826">
        <v>150814</v>
      </c>
      <c r="N39" s="826">
        <v>754854</v>
      </c>
      <c r="O39" s="842">
        <v>102945</v>
      </c>
      <c r="P39" s="842">
        <v>435358</v>
      </c>
      <c r="Q39" s="830">
        <v>121343</v>
      </c>
      <c r="R39" s="830">
        <v>737177</v>
      </c>
      <c r="S39" s="827">
        <v>298943</v>
      </c>
      <c r="T39" s="827">
        <v>1791423</v>
      </c>
      <c r="U39" s="827">
        <v>51434</v>
      </c>
      <c r="V39" s="827">
        <v>226475</v>
      </c>
      <c r="W39" s="827">
        <v>328940</v>
      </c>
      <c r="X39" s="827">
        <v>1876744</v>
      </c>
      <c r="Y39" s="831">
        <v>556743</v>
      </c>
      <c r="Z39" s="827">
        <v>3487810</v>
      </c>
      <c r="AA39" s="827">
        <v>405993</v>
      </c>
      <c r="AB39" s="827">
        <v>2635481</v>
      </c>
      <c r="AC39" s="833">
        <v>311081</v>
      </c>
      <c r="AD39" s="833">
        <v>2244377</v>
      </c>
      <c r="AE39" s="827">
        <v>277486</v>
      </c>
      <c r="AF39" s="827">
        <v>2271690</v>
      </c>
      <c r="AG39" s="827">
        <v>301267.43</v>
      </c>
      <c r="AH39" s="827">
        <v>2248441</v>
      </c>
      <c r="AI39" s="831">
        <v>284164</v>
      </c>
      <c r="AJ39" s="831">
        <v>2776441</v>
      </c>
      <c r="AK39" s="831">
        <v>650749</v>
      </c>
      <c r="AL39" s="831">
        <v>5631178</v>
      </c>
      <c r="AM39" s="831">
        <v>477673</v>
      </c>
      <c r="AN39" s="831">
        <v>4354630</v>
      </c>
    </row>
    <row r="40" spans="1:40">
      <c r="A40" s="1571" t="s">
        <v>553</v>
      </c>
      <c r="B40" s="829" t="s">
        <v>110</v>
      </c>
      <c r="C40" s="830">
        <v>58944</v>
      </c>
      <c r="D40" s="830">
        <v>67107</v>
      </c>
      <c r="E40" s="830">
        <v>6379</v>
      </c>
      <c r="F40" s="830">
        <v>16098</v>
      </c>
      <c r="G40" s="830">
        <v>22365</v>
      </c>
      <c r="H40" s="830">
        <v>28965</v>
      </c>
      <c r="I40" s="826">
        <v>5989</v>
      </c>
      <c r="J40" s="826">
        <v>38905</v>
      </c>
      <c r="K40" s="826">
        <v>24643</v>
      </c>
      <c r="L40" s="826">
        <v>114215</v>
      </c>
      <c r="M40" s="826">
        <v>44981</v>
      </c>
      <c r="N40" s="826">
        <v>213086</v>
      </c>
      <c r="O40" s="842">
        <v>30952</v>
      </c>
      <c r="P40" s="842">
        <v>152200</v>
      </c>
      <c r="Q40" s="826">
        <v>120716</v>
      </c>
      <c r="R40" s="826">
        <v>620463</v>
      </c>
      <c r="S40" s="827">
        <v>57740</v>
      </c>
      <c r="T40" s="827">
        <v>283399</v>
      </c>
      <c r="U40" s="827">
        <v>106280</v>
      </c>
      <c r="V40" s="827">
        <v>525788</v>
      </c>
      <c r="W40" s="827">
        <v>145017</v>
      </c>
      <c r="X40" s="827">
        <v>739570</v>
      </c>
      <c r="Y40" s="831">
        <v>177597</v>
      </c>
      <c r="Z40" s="827">
        <v>1019434</v>
      </c>
      <c r="AA40" s="827">
        <v>234063</v>
      </c>
      <c r="AB40" s="827">
        <v>1326354</v>
      </c>
      <c r="AC40" s="833">
        <v>182618</v>
      </c>
      <c r="AD40" s="833">
        <v>1022704</v>
      </c>
      <c r="AE40" s="827">
        <v>254165</v>
      </c>
      <c r="AF40" s="827">
        <v>1668738</v>
      </c>
      <c r="AG40" s="827">
        <v>222579.04</v>
      </c>
      <c r="AH40" s="827">
        <v>1411176.5</v>
      </c>
      <c r="AI40" s="831">
        <v>161947</v>
      </c>
      <c r="AJ40" s="831">
        <v>1059089</v>
      </c>
      <c r="AK40" s="831">
        <v>353191</v>
      </c>
      <c r="AL40" s="831">
        <v>1300475</v>
      </c>
      <c r="AM40" s="831">
        <v>154806</v>
      </c>
      <c r="AN40" s="831">
        <v>1088798</v>
      </c>
    </row>
    <row r="41" spans="1:40">
      <c r="A41" s="1571" t="s">
        <v>554</v>
      </c>
      <c r="B41" s="829" t="s">
        <v>110</v>
      </c>
      <c r="C41" s="830">
        <v>46524</v>
      </c>
      <c r="D41" s="830">
        <v>92686</v>
      </c>
      <c r="E41" s="830">
        <v>46524</v>
      </c>
      <c r="F41" s="830">
        <v>92686</v>
      </c>
      <c r="G41" s="830">
        <v>116222</v>
      </c>
      <c r="H41" s="830">
        <v>187560</v>
      </c>
      <c r="I41" s="826">
        <v>90056</v>
      </c>
      <c r="J41" s="826">
        <v>1237914</v>
      </c>
      <c r="K41" s="826">
        <v>180494</v>
      </c>
      <c r="L41" s="826">
        <v>1672350</v>
      </c>
      <c r="M41" s="826">
        <v>108198</v>
      </c>
      <c r="N41" s="826">
        <v>800585</v>
      </c>
      <c r="O41" s="842">
        <v>43135</v>
      </c>
      <c r="P41" s="842">
        <v>454534</v>
      </c>
      <c r="Q41" s="830">
        <v>144617</v>
      </c>
      <c r="R41" s="830">
        <v>538908</v>
      </c>
      <c r="S41" s="827">
        <v>58614</v>
      </c>
      <c r="T41" s="827">
        <v>494327</v>
      </c>
      <c r="U41" s="827">
        <v>144732</v>
      </c>
      <c r="V41" s="827">
        <v>2054589</v>
      </c>
      <c r="W41" s="827">
        <v>47001</v>
      </c>
      <c r="X41" s="827">
        <v>692168</v>
      </c>
      <c r="Y41" s="831">
        <v>261652</v>
      </c>
      <c r="Z41" s="827">
        <v>1711061</v>
      </c>
      <c r="AA41" s="827">
        <v>404438</v>
      </c>
      <c r="AB41" s="827">
        <v>2525448</v>
      </c>
      <c r="AC41" s="833">
        <v>425434</v>
      </c>
      <c r="AD41" s="833">
        <v>2670997</v>
      </c>
      <c r="AE41" s="827">
        <v>310114</v>
      </c>
      <c r="AF41" s="827">
        <v>2090288</v>
      </c>
      <c r="AG41" s="827">
        <v>221596.01</v>
      </c>
      <c r="AH41" s="827">
        <v>1551019</v>
      </c>
      <c r="AI41" s="831">
        <v>251360</v>
      </c>
      <c r="AJ41" s="831">
        <v>2074419</v>
      </c>
      <c r="AK41" s="831">
        <v>249449</v>
      </c>
      <c r="AL41" s="831">
        <v>1625004</v>
      </c>
      <c r="AM41" s="831">
        <v>350834</v>
      </c>
      <c r="AN41" s="831">
        <v>3465632</v>
      </c>
    </row>
    <row r="42" spans="1:40">
      <c r="A42" s="1571" t="s">
        <v>555</v>
      </c>
      <c r="B42" s="829" t="s">
        <v>110</v>
      </c>
      <c r="C42" s="830">
        <v>594017</v>
      </c>
      <c r="D42" s="830">
        <v>1007661</v>
      </c>
      <c r="E42" s="830">
        <v>886091</v>
      </c>
      <c r="F42" s="830">
        <v>1660770</v>
      </c>
      <c r="G42" s="830">
        <v>1271826</v>
      </c>
      <c r="H42" s="830">
        <v>3786995</v>
      </c>
      <c r="I42" s="826">
        <v>580514</v>
      </c>
      <c r="J42" s="826">
        <v>1651086</v>
      </c>
      <c r="K42" s="826">
        <v>757976</v>
      </c>
      <c r="L42" s="826">
        <v>2142695</v>
      </c>
      <c r="M42" s="826">
        <v>729863</v>
      </c>
      <c r="N42" s="826">
        <v>2693633</v>
      </c>
      <c r="O42" s="827">
        <v>0</v>
      </c>
      <c r="P42" s="827">
        <v>0</v>
      </c>
      <c r="Q42" s="830">
        <v>1031609</v>
      </c>
      <c r="R42" s="830">
        <v>5752069</v>
      </c>
      <c r="S42" s="827">
        <v>1304088</v>
      </c>
      <c r="T42" s="827">
        <v>6098122</v>
      </c>
      <c r="U42" s="827">
        <v>2434032</v>
      </c>
      <c r="V42" s="827">
        <v>9927160</v>
      </c>
      <c r="W42" s="827">
        <v>1927572</v>
      </c>
      <c r="X42" s="827">
        <v>9090488</v>
      </c>
      <c r="Y42" s="831">
        <v>1353346</v>
      </c>
      <c r="Z42" s="827">
        <v>5968708</v>
      </c>
      <c r="AA42" s="827">
        <v>1623046</v>
      </c>
      <c r="AB42" s="827">
        <v>7594735</v>
      </c>
      <c r="AC42" s="833">
        <v>1788494</v>
      </c>
      <c r="AD42" s="833">
        <v>8426742</v>
      </c>
      <c r="AE42" s="827">
        <v>1934437.5</v>
      </c>
      <c r="AF42" s="827">
        <v>8754554</v>
      </c>
      <c r="AG42" s="827">
        <v>1705099.34</v>
      </c>
      <c r="AH42" s="827">
        <v>7830707.0600000005</v>
      </c>
      <c r="AI42" s="831">
        <v>1174861</v>
      </c>
      <c r="AJ42" s="831">
        <v>5874215</v>
      </c>
      <c r="AK42" s="831">
        <v>1544804</v>
      </c>
      <c r="AL42" s="831">
        <v>6964844</v>
      </c>
      <c r="AM42" s="831">
        <v>1436049</v>
      </c>
      <c r="AN42" s="831">
        <v>7291151</v>
      </c>
    </row>
    <row r="43" spans="1:40">
      <c r="A43" s="1571" t="s">
        <v>232</v>
      </c>
      <c r="B43" s="829" t="s">
        <v>110</v>
      </c>
      <c r="C43" s="830">
        <v>0</v>
      </c>
      <c r="D43" s="830">
        <v>0</v>
      </c>
      <c r="E43" s="830">
        <v>0</v>
      </c>
      <c r="F43" s="830">
        <v>0</v>
      </c>
      <c r="G43" s="830">
        <v>20</v>
      </c>
      <c r="H43" s="830">
        <v>40</v>
      </c>
      <c r="I43" s="827">
        <v>0</v>
      </c>
      <c r="J43" s="827">
        <v>0</v>
      </c>
      <c r="K43" s="827">
        <v>0</v>
      </c>
      <c r="L43" s="827">
        <v>0</v>
      </c>
      <c r="M43" s="827">
        <v>0</v>
      </c>
      <c r="N43" s="827">
        <v>0</v>
      </c>
      <c r="O43" s="842">
        <v>548673</v>
      </c>
      <c r="P43" s="842">
        <v>2327258</v>
      </c>
      <c r="Q43" s="827">
        <v>0</v>
      </c>
      <c r="R43" s="827">
        <v>0</v>
      </c>
      <c r="S43" s="827">
        <v>0</v>
      </c>
      <c r="T43" s="827">
        <v>0</v>
      </c>
      <c r="U43" s="827">
        <v>0</v>
      </c>
      <c r="V43" s="827">
        <v>0</v>
      </c>
      <c r="W43" s="827">
        <v>92</v>
      </c>
      <c r="X43" s="827">
        <v>21823</v>
      </c>
      <c r="Y43" s="831">
        <v>0</v>
      </c>
      <c r="Z43" s="827">
        <v>0</v>
      </c>
      <c r="AA43" s="827">
        <v>0</v>
      </c>
      <c r="AB43" s="827">
        <v>0</v>
      </c>
      <c r="AC43" s="827">
        <v>0</v>
      </c>
      <c r="AD43" s="827">
        <v>0</v>
      </c>
      <c r="AE43" s="827">
        <v>0</v>
      </c>
      <c r="AF43" s="825">
        <v>0</v>
      </c>
      <c r="AG43" s="827">
        <v>0</v>
      </c>
      <c r="AH43" s="825">
        <v>0</v>
      </c>
      <c r="AI43" s="831">
        <v>1100</v>
      </c>
      <c r="AJ43" s="831">
        <v>55000</v>
      </c>
      <c r="AK43" s="831">
        <v>300</v>
      </c>
      <c r="AL43" s="831">
        <v>16500</v>
      </c>
      <c r="AM43" s="831">
        <v>568</v>
      </c>
      <c r="AN43" s="831">
        <v>31240</v>
      </c>
    </row>
    <row r="44" spans="1:40">
      <c r="A44" s="1572" t="s">
        <v>233</v>
      </c>
      <c r="B44" s="825"/>
      <c r="C44" s="826"/>
      <c r="D44" s="826">
        <f>SUM(D39:D43)</f>
        <v>2174523</v>
      </c>
      <c r="E44" s="826"/>
      <c r="F44" s="826">
        <f>SUM(F39:F43)</f>
        <v>2513609</v>
      </c>
      <c r="G44" s="826"/>
      <c r="H44" s="826">
        <f>SUM(H39:H43)</f>
        <v>4584990</v>
      </c>
      <c r="I44" s="825"/>
      <c r="J44" s="827">
        <f>SUM(J39:J43)</f>
        <v>4242377</v>
      </c>
      <c r="K44" s="827"/>
      <c r="L44" s="826">
        <v>5063433</v>
      </c>
      <c r="M44" s="827"/>
      <c r="N44" s="826">
        <f>SUM(N39:N43)</f>
        <v>4462158</v>
      </c>
      <c r="O44" s="825"/>
      <c r="P44" s="842">
        <f>SUM(P39:P43)</f>
        <v>3369350</v>
      </c>
      <c r="Q44" s="830"/>
      <c r="R44" s="830">
        <v>7648617</v>
      </c>
      <c r="S44" s="827"/>
      <c r="T44" s="831">
        <v>8667271</v>
      </c>
      <c r="U44" s="827"/>
      <c r="V44" s="827">
        <v>12734012</v>
      </c>
      <c r="W44" s="827"/>
      <c r="X44" s="827">
        <v>12420793</v>
      </c>
      <c r="Y44" s="827"/>
      <c r="Z44" s="827">
        <v>12187013</v>
      </c>
      <c r="AA44" s="827"/>
      <c r="AB44" s="827">
        <v>14082018</v>
      </c>
      <c r="AC44" s="825"/>
      <c r="AD44" s="833">
        <v>14364820</v>
      </c>
      <c r="AE44" s="835"/>
      <c r="AF44" s="827">
        <v>14785270</v>
      </c>
      <c r="AG44" s="827"/>
      <c r="AH44" s="827">
        <v>13041343.560000001</v>
      </c>
      <c r="AI44" s="827"/>
      <c r="AJ44" s="831">
        <f>SUM(AJ39:AJ43)</f>
        <v>11839164</v>
      </c>
      <c r="AK44" s="831"/>
      <c r="AL44" s="831">
        <f>SUM(AL39:AL43)</f>
        <v>15538001</v>
      </c>
      <c r="AM44" s="831"/>
      <c r="AN44" s="831">
        <f>SUM(AN39:AN43)</f>
        <v>16231451</v>
      </c>
    </row>
    <row r="45" spans="1:40">
      <c r="A45" s="599"/>
      <c r="B45" s="794"/>
      <c r="C45" s="684"/>
      <c r="D45" s="684"/>
      <c r="E45" s="684"/>
      <c r="F45" s="684"/>
      <c r="G45" s="684"/>
      <c r="H45" s="684"/>
      <c r="I45" s="794"/>
      <c r="J45" s="794"/>
      <c r="K45" s="626"/>
      <c r="L45" s="717"/>
      <c r="M45" s="626"/>
      <c r="N45" s="717"/>
      <c r="P45" s="871"/>
      <c r="Q45" s="670"/>
      <c r="R45" s="670"/>
      <c r="S45" s="626"/>
      <c r="T45" s="820"/>
      <c r="U45" s="626"/>
      <c r="V45" s="820"/>
      <c r="W45" s="626"/>
      <c r="X45" s="820"/>
      <c r="Y45" s="626"/>
      <c r="Z45" s="820"/>
      <c r="AA45" s="692"/>
      <c r="AB45" s="692"/>
      <c r="AC45" s="794"/>
      <c r="AD45" s="789"/>
      <c r="AE45" s="692"/>
      <c r="AF45" s="692"/>
      <c r="AG45" s="692"/>
      <c r="AH45" s="692"/>
      <c r="AI45" s="692"/>
      <c r="AJ45" s="710"/>
      <c r="AK45" s="710"/>
      <c r="AL45" s="710"/>
      <c r="AM45" s="692"/>
      <c r="AN45" s="710"/>
    </row>
    <row r="46" spans="1:40">
      <c r="A46" s="885" t="s">
        <v>234</v>
      </c>
      <c r="B46" s="594" t="s">
        <v>235</v>
      </c>
      <c r="C46" s="670">
        <v>5569285</v>
      </c>
      <c r="D46" s="670">
        <v>45056768</v>
      </c>
      <c r="E46" s="670">
        <v>17472460</v>
      </c>
      <c r="F46" s="670">
        <v>147567905</v>
      </c>
      <c r="G46" s="670">
        <v>32164524</v>
      </c>
      <c r="H46" s="670">
        <v>284094805</v>
      </c>
      <c r="I46" s="717">
        <v>30218355</v>
      </c>
      <c r="J46" s="717">
        <v>248202718</v>
      </c>
      <c r="K46" s="717">
        <v>36470380</v>
      </c>
      <c r="L46" s="717">
        <v>354745556</v>
      </c>
      <c r="M46" s="717">
        <v>33854620</v>
      </c>
      <c r="N46" s="717">
        <v>413583727</v>
      </c>
      <c r="O46" s="871">
        <v>29964155</v>
      </c>
      <c r="P46" s="871">
        <v>435725448</v>
      </c>
      <c r="Q46" s="670">
        <v>47485294</v>
      </c>
      <c r="R46" s="670">
        <v>564768721</v>
      </c>
      <c r="S46" s="626">
        <v>24827163</v>
      </c>
      <c r="T46" s="626">
        <v>519981370</v>
      </c>
      <c r="U46" s="626">
        <v>28864319</v>
      </c>
      <c r="V46" s="626">
        <v>476747331</v>
      </c>
      <c r="W46" s="626">
        <v>23931476</v>
      </c>
      <c r="X46" s="626">
        <v>480031071</v>
      </c>
      <c r="Y46" s="820">
        <v>33522991</v>
      </c>
      <c r="Z46" s="626">
        <v>525213116</v>
      </c>
      <c r="AA46" s="692">
        <v>52521276</v>
      </c>
      <c r="AB46" s="692">
        <v>395793806</v>
      </c>
      <c r="AC46" s="836">
        <v>42483235</v>
      </c>
      <c r="AD46" s="821">
        <v>537870611</v>
      </c>
      <c r="AE46" s="692">
        <v>51230582</v>
      </c>
      <c r="AF46" s="692">
        <v>610435064</v>
      </c>
      <c r="AG46" s="692">
        <v>50984633</v>
      </c>
      <c r="AH46" s="692">
        <v>703669937</v>
      </c>
      <c r="AI46" s="710">
        <v>25419431</v>
      </c>
      <c r="AJ46" s="710">
        <v>614453364</v>
      </c>
      <c r="AK46" s="710">
        <v>25694968</v>
      </c>
      <c r="AL46" s="710">
        <v>489339885</v>
      </c>
      <c r="AM46" s="710">
        <v>38891107</v>
      </c>
      <c r="AN46" s="710">
        <v>773323675</v>
      </c>
    </row>
    <row r="47" spans="1:40">
      <c r="A47" s="591"/>
      <c r="B47" s="594"/>
      <c r="C47" s="670"/>
      <c r="D47" s="670"/>
      <c r="E47" s="670"/>
      <c r="F47" s="670"/>
      <c r="G47" s="670"/>
      <c r="H47" s="670"/>
      <c r="K47" s="594"/>
      <c r="L47" s="594"/>
      <c r="M47" s="717"/>
      <c r="N47" s="717"/>
      <c r="O47" s="871"/>
      <c r="P47" s="871"/>
      <c r="Q47" s="684"/>
      <c r="R47" s="684"/>
      <c r="S47" s="626"/>
      <c r="T47" s="626"/>
      <c r="U47" s="626"/>
      <c r="V47" s="626"/>
      <c r="W47" s="626"/>
      <c r="X47" s="626"/>
      <c r="Y47" s="820"/>
      <c r="Z47" s="626"/>
      <c r="AA47" s="692"/>
      <c r="AB47" s="692"/>
      <c r="AC47" s="836"/>
      <c r="AD47" s="821"/>
      <c r="AE47" s="692"/>
      <c r="AF47" s="692"/>
      <c r="AG47" s="692"/>
      <c r="AH47" s="692"/>
      <c r="AI47" s="710"/>
      <c r="AJ47" s="710"/>
      <c r="AK47" s="710"/>
      <c r="AL47" s="710"/>
      <c r="AM47" s="710"/>
      <c r="AN47" s="710"/>
    </row>
    <row r="48" spans="1:40">
      <c r="A48" s="1570" t="s">
        <v>236</v>
      </c>
      <c r="B48" s="829" t="s">
        <v>110</v>
      </c>
      <c r="C48" s="830">
        <v>257</v>
      </c>
      <c r="D48" s="830">
        <v>1029</v>
      </c>
      <c r="E48" s="830">
        <v>1638</v>
      </c>
      <c r="F48" s="830">
        <v>8450</v>
      </c>
      <c r="G48" s="830">
        <v>401</v>
      </c>
      <c r="H48" s="830">
        <v>2006</v>
      </c>
      <c r="I48" s="826">
        <v>124</v>
      </c>
      <c r="J48" s="826">
        <v>682</v>
      </c>
      <c r="K48" s="826">
        <v>0</v>
      </c>
      <c r="L48" s="826">
        <v>0</v>
      </c>
      <c r="M48" s="826">
        <v>0</v>
      </c>
      <c r="N48" s="826">
        <v>0</v>
      </c>
      <c r="O48" s="842">
        <v>22</v>
      </c>
      <c r="P48" s="842">
        <v>160</v>
      </c>
      <c r="Q48" s="826">
        <v>169</v>
      </c>
      <c r="R48" s="826">
        <v>1300</v>
      </c>
      <c r="S48" s="827">
        <v>445</v>
      </c>
      <c r="T48" s="827">
        <v>5171</v>
      </c>
      <c r="U48" s="827">
        <v>0</v>
      </c>
      <c r="V48" s="827">
        <v>0</v>
      </c>
      <c r="W48" s="827">
        <v>9636</v>
      </c>
      <c r="X48" s="827">
        <v>77062</v>
      </c>
      <c r="Y48" s="831">
        <v>0</v>
      </c>
      <c r="Z48" s="827">
        <v>0</v>
      </c>
      <c r="AA48" s="831">
        <v>0</v>
      </c>
      <c r="AB48" s="827">
        <v>0</v>
      </c>
      <c r="AC48" s="831">
        <v>0</v>
      </c>
      <c r="AD48" s="827">
        <v>0</v>
      </c>
      <c r="AE48" s="831">
        <v>0</v>
      </c>
      <c r="AF48" s="827">
        <v>0</v>
      </c>
      <c r="AG48" s="831">
        <v>0</v>
      </c>
      <c r="AH48" s="827">
        <v>0</v>
      </c>
      <c r="AI48" s="831">
        <v>0</v>
      </c>
      <c r="AJ48" s="827">
        <v>0</v>
      </c>
      <c r="AK48" s="831">
        <v>0</v>
      </c>
      <c r="AL48" s="827">
        <v>0</v>
      </c>
      <c r="AM48" s="831">
        <v>0</v>
      </c>
      <c r="AN48" s="827">
        <v>0</v>
      </c>
    </row>
    <row r="49" spans="1:40">
      <c r="A49" s="599"/>
      <c r="B49" s="594"/>
      <c r="C49" s="670"/>
      <c r="D49" s="670"/>
      <c r="E49" s="670"/>
      <c r="F49" s="670"/>
      <c r="G49" s="670"/>
      <c r="H49" s="670"/>
      <c r="I49" s="594"/>
      <c r="J49" s="594"/>
      <c r="K49" s="794"/>
      <c r="L49" s="794"/>
      <c r="M49" s="626"/>
      <c r="N49" s="626"/>
      <c r="O49" s="871"/>
      <c r="P49" s="871"/>
      <c r="Q49" s="670"/>
      <c r="R49" s="670"/>
      <c r="S49" s="626"/>
      <c r="T49" s="626"/>
      <c r="U49" s="626"/>
      <c r="V49" s="626"/>
      <c r="W49" s="626"/>
      <c r="X49" s="626"/>
      <c r="Y49" s="626"/>
      <c r="Z49" s="626"/>
      <c r="AA49" s="692"/>
      <c r="AB49" s="692"/>
      <c r="AE49" s="692"/>
      <c r="AF49" s="692"/>
      <c r="AG49" s="692"/>
      <c r="AH49" s="692"/>
      <c r="AI49" s="710"/>
      <c r="AJ49" s="710"/>
      <c r="AK49" s="710"/>
      <c r="AL49" s="710"/>
      <c r="AM49" s="710"/>
      <c r="AN49" s="710"/>
    </row>
    <row r="50" spans="1:40">
      <c r="A50" s="885" t="s">
        <v>237</v>
      </c>
      <c r="B50" s="794"/>
      <c r="C50" s="684"/>
      <c r="D50" s="684"/>
      <c r="E50" s="684"/>
      <c r="F50" s="684"/>
      <c r="G50" s="684"/>
      <c r="H50" s="684"/>
      <c r="I50" s="794"/>
      <c r="J50" s="794"/>
      <c r="K50" s="594"/>
      <c r="L50" s="594"/>
      <c r="M50" s="626"/>
      <c r="N50" s="626"/>
      <c r="O50" s="871"/>
      <c r="P50" s="871"/>
      <c r="Q50" s="670"/>
      <c r="R50" s="670"/>
      <c r="S50" s="626"/>
      <c r="T50" s="626"/>
      <c r="U50" s="626"/>
      <c r="V50" s="626"/>
      <c r="W50" s="626"/>
      <c r="X50" s="626"/>
      <c r="Y50" s="692"/>
      <c r="Z50" s="692"/>
      <c r="AA50" s="692"/>
      <c r="AB50" s="692"/>
      <c r="AC50" s="794"/>
      <c r="AD50" s="794"/>
      <c r="AE50" s="692"/>
      <c r="AF50" s="692"/>
      <c r="AG50" s="692"/>
      <c r="AH50" s="692"/>
      <c r="AI50" s="710"/>
      <c r="AJ50" s="710"/>
      <c r="AK50" s="710"/>
      <c r="AL50" s="710"/>
      <c r="AM50" s="710"/>
      <c r="AN50" s="710"/>
    </row>
    <row r="51" spans="1:40">
      <c r="A51" s="886" t="s">
        <v>239</v>
      </c>
      <c r="B51" s="594" t="s">
        <v>110</v>
      </c>
      <c r="C51" s="692">
        <v>0</v>
      </c>
      <c r="D51" s="692">
        <v>0</v>
      </c>
      <c r="E51" s="670">
        <v>145</v>
      </c>
      <c r="F51" s="670">
        <v>45000</v>
      </c>
      <c r="G51" s="670">
        <v>585</v>
      </c>
      <c r="H51" s="670">
        <v>50000</v>
      </c>
      <c r="I51" s="717">
        <v>0</v>
      </c>
      <c r="J51" s="717">
        <v>0</v>
      </c>
      <c r="K51" s="717">
        <v>0</v>
      </c>
      <c r="L51" s="717">
        <v>0</v>
      </c>
      <c r="M51" s="717">
        <v>1239</v>
      </c>
      <c r="N51" s="717">
        <v>1789485</v>
      </c>
      <c r="O51" s="872">
        <v>249</v>
      </c>
      <c r="P51" s="871">
        <v>76706</v>
      </c>
      <c r="Q51" s="670">
        <v>5687</v>
      </c>
      <c r="R51" s="670">
        <v>1932444</v>
      </c>
      <c r="S51" s="626">
        <v>1486</v>
      </c>
      <c r="T51" s="626">
        <v>443200</v>
      </c>
      <c r="U51" s="626">
        <v>1762</v>
      </c>
      <c r="V51" s="626">
        <v>485121</v>
      </c>
      <c r="W51" s="692">
        <v>571</v>
      </c>
      <c r="X51" s="692">
        <v>171408</v>
      </c>
      <c r="Y51" s="710">
        <v>0</v>
      </c>
      <c r="Z51" s="692">
        <v>0</v>
      </c>
      <c r="AA51" s="692">
        <v>946</v>
      </c>
      <c r="AB51" s="692">
        <v>283695</v>
      </c>
      <c r="AC51" s="789">
        <v>958</v>
      </c>
      <c r="AD51" s="789">
        <v>287457</v>
      </c>
      <c r="AE51" s="692">
        <v>0</v>
      </c>
      <c r="AF51" s="692">
        <v>0</v>
      </c>
      <c r="AG51" s="692">
        <v>0</v>
      </c>
      <c r="AH51" s="692">
        <v>0</v>
      </c>
      <c r="AI51" s="710">
        <v>0</v>
      </c>
      <c r="AJ51" s="710">
        <v>0</v>
      </c>
      <c r="AK51" s="710">
        <v>0</v>
      </c>
      <c r="AL51" s="710">
        <v>0</v>
      </c>
      <c r="AM51" s="710">
        <v>0</v>
      </c>
      <c r="AN51" s="710">
        <v>0</v>
      </c>
    </row>
    <row r="52" spans="1:40">
      <c r="A52" s="886" t="s">
        <v>240</v>
      </c>
      <c r="B52" s="594" t="s">
        <v>110</v>
      </c>
      <c r="C52" s="692">
        <v>0</v>
      </c>
      <c r="D52" s="692">
        <v>0</v>
      </c>
      <c r="E52" s="692">
        <v>0</v>
      </c>
      <c r="F52" s="692">
        <v>0</v>
      </c>
      <c r="G52" s="692">
        <v>0</v>
      </c>
      <c r="H52" s="692">
        <v>0</v>
      </c>
      <c r="I52" s="692">
        <v>0</v>
      </c>
      <c r="J52" s="692">
        <v>0</v>
      </c>
      <c r="K52" s="692">
        <v>0</v>
      </c>
      <c r="L52" s="692">
        <v>0</v>
      </c>
      <c r="M52" s="692">
        <v>0</v>
      </c>
      <c r="N52" s="692">
        <v>0</v>
      </c>
      <c r="O52" s="692">
        <v>0</v>
      </c>
      <c r="P52" s="692">
        <v>0</v>
      </c>
      <c r="Q52" s="692">
        <v>0</v>
      </c>
      <c r="R52" s="692">
        <v>0</v>
      </c>
      <c r="S52" s="692">
        <v>0</v>
      </c>
      <c r="T52" s="692">
        <v>0</v>
      </c>
      <c r="U52" s="692">
        <v>0</v>
      </c>
      <c r="V52" s="692">
        <v>0</v>
      </c>
      <c r="W52" s="692">
        <v>0</v>
      </c>
      <c r="X52" s="692">
        <v>0</v>
      </c>
      <c r="Y52" s="710">
        <v>40</v>
      </c>
      <c r="Z52" s="692">
        <v>12000</v>
      </c>
      <c r="AA52" s="692">
        <v>220</v>
      </c>
      <c r="AB52" s="692">
        <v>11000</v>
      </c>
      <c r="AC52" s="789">
        <v>391</v>
      </c>
      <c r="AD52" s="789">
        <v>80800</v>
      </c>
      <c r="AE52" s="692">
        <v>5177</v>
      </c>
      <c r="AF52" s="692">
        <v>950000</v>
      </c>
      <c r="AG52" s="692">
        <v>2990</v>
      </c>
      <c r="AH52" s="692">
        <v>621780</v>
      </c>
      <c r="AI52" s="710">
        <v>1448</v>
      </c>
      <c r="AJ52" s="710">
        <v>366995</v>
      </c>
      <c r="AK52" s="710">
        <v>802</v>
      </c>
      <c r="AL52" s="710">
        <v>176531</v>
      </c>
      <c r="AM52" s="710">
        <v>769</v>
      </c>
      <c r="AN52" s="710">
        <v>212485</v>
      </c>
    </row>
    <row r="53" spans="1:40">
      <c r="A53" s="886" t="s">
        <v>241</v>
      </c>
      <c r="B53" s="594" t="s">
        <v>110</v>
      </c>
      <c r="C53" s="692">
        <v>0</v>
      </c>
      <c r="D53" s="692">
        <v>0</v>
      </c>
      <c r="E53" s="692">
        <v>0</v>
      </c>
      <c r="F53" s="692">
        <v>0</v>
      </c>
      <c r="G53" s="692">
        <v>0</v>
      </c>
      <c r="H53" s="692">
        <v>0</v>
      </c>
      <c r="I53" s="692">
        <v>0</v>
      </c>
      <c r="J53" s="692">
        <v>0</v>
      </c>
      <c r="K53" s="692">
        <v>0</v>
      </c>
      <c r="L53" s="692">
        <v>0</v>
      </c>
      <c r="M53" s="692">
        <v>0</v>
      </c>
      <c r="N53" s="692">
        <v>0</v>
      </c>
      <c r="O53" s="692">
        <v>0</v>
      </c>
      <c r="P53" s="692">
        <v>0</v>
      </c>
      <c r="Q53" s="692">
        <v>0</v>
      </c>
      <c r="R53" s="692">
        <v>0</v>
      </c>
      <c r="S53" s="692">
        <v>0</v>
      </c>
      <c r="T53" s="692">
        <v>0</v>
      </c>
      <c r="U53" s="692">
        <v>0</v>
      </c>
      <c r="V53" s="692">
        <v>0</v>
      </c>
      <c r="W53" s="692">
        <v>0</v>
      </c>
      <c r="X53" s="692">
        <v>0</v>
      </c>
      <c r="Y53" s="710">
        <v>25</v>
      </c>
      <c r="Z53" s="692">
        <v>9016</v>
      </c>
      <c r="AA53" s="692">
        <v>0</v>
      </c>
      <c r="AB53" s="692">
        <v>0</v>
      </c>
      <c r="AC53" s="692">
        <v>0</v>
      </c>
      <c r="AD53" s="692">
        <v>0</v>
      </c>
      <c r="AE53" s="692">
        <v>0</v>
      </c>
      <c r="AF53" s="692">
        <v>0</v>
      </c>
      <c r="AG53" s="692">
        <v>0</v>
      </c>
      <c r="AH53" s="692">
        <v>0</v>
      </c>
      <c r="AI53" s="692">
        <v>0</v>
      </c>
      <c r="AJ53" s="692">
        <v>0</v>
      </c>
      <c r="AK53" s="692">
        <v>0</v>
      </c>
      <c r="AL53" s="692">
        <v>0</v>
      </c>
      <c r="AM53" s="710">
        <v>0</v>
      </c>
      <c r="AN53" s="710">
        <v>0</v>
      </c>
    </row>
    <row r="54" spans="1:40">
      <c r="A54" s="886" t="s">
        <v>242</v>
      </c>
      <c r="B54" s="594" t="s">
        <v>110</v>
      </c>
      <c r="C54" s="692">
        <v>0</v>
      </c>
      <c r="D54" s="692">
        <v>0</v>
      </c>
      <c r="E54" s="692">
        <v>0</v>
      </c>
      <c r="F54" s="692">
        <v>0</v>
      </c>
      <c r="G54" s="692">
        <v>0</v>
      </c>
      <c r="H54" s="692">
        <v>0</v>
      </c>
      <c r="I54" s="692">
        <v>0</v>
      </c>
      <c r="J54" s="692">
        <v>0</v>
      </c>
      <c r="K54" s="692">
        <v>0</v>
      </c>
      <c r="L54" s="692">
        <v>0</v>
      </c>
      <c r="M54" s="692">
        <v>0</v>
      </c>
      <c r="N54" s="692">
        <v>0</v>
      </c>
      <c r="O54" s="692">
        <v>0</v>
      </c>
      <c r="P54" s="692">
        <v>0</v>
      </c>
      <c r="Q54" s="692">
        <v>0</v>
      </c>
      <c r="R54" s="692">
        <v>0</v>
      </c>
      <c r="S54" s="692">
        <v>0</v>
      </c>
      <c r="T54" s="692">
        <v>0</v>
      </c>
      <c r="U54" s="692">
        <v>0</v>
      </c>
      <c r="V54" s="692">
        <v>0</v>
      </c>
      <c r="W54" s="692">
        <v>0</v>
      </c>
      <c r="X54" s="692">
        <v>0</v>
      </c>
      <c r="Y54" s="692">
        <v>0</v>
      </c>
      <c r="Z54" s="692">
        <v>0</v>
      </c>
      <c r="AA54" s="692">
        <v>0</v>
      </c>
      <c r="AB54" s="692">
        <v>0</v>
      </c>
      <c r="AC54" s="692">
        <v>0</v>
      </c>
      <c r="AD54" s="692">
        <v>0</v>
      </c>
      <c r="AE54" s="692">
        <v>0</v>
      </c>
      <c r="AF54" s="692">
        <v>0</v>
      </c>
      <c r="AG54" s="692">
        <v>0</v>
      </c>
      <c r="AH54" s="692">
        <v>0</v>
      </c>
      <c r="AI54" s="692">
        <v>0</v>
      </c>
      <c r="AJ54" s="692">
        <v>0</v>
      </c>
      <c r="AK54" s="692">
        <v>0</v>
      </c>
      <c r="AL54" s="692">
        <v>0</v>
      </c>
      <c r="AM54" s="710">
        <v>0</v>
      </c>
      <c r="AN54" s="710">
        <v>0</v>
      </c>
    </row>
    <row r="55" spans="1:40">
      <c r="A55" s="886" t="s">
        <v>243</v>
      </c>
      <c r="B55" s="594" t="s">
        <v>110</v>
      </c>
      <c r="C55" s="692">
        <v>0</v>
      </c>
      <c r="D55" s="692">
        <v>0</v>
      </c>
      <c r="E55" s="692">
        <v>0</v>
      </c>
      <c r="F55" s="692">
        <v>0</v>
      </c>
      <c r="G55" s="692">
        <v>0</v>
      </c>
      <c r="H55" s="692">
        <v>0</v>
      </c>
      <c r="I55" s="692">
        <v>0</v>
      </c>
      <c r="J55" s="692">
        <v>0</v>
      </c>
      <c r="K55" s="692">
        <v>0</v>
      </c>
      <c r="L55" s="692">
        <v>0</v>
      </c>
      <c r="M55" s="692">
        <v>0</v>
      </c>
      <c r="N55" s="692">
        <v>0</v>
      </c>
      <c r="O55" s="692">
        <v>0</v>
      </c>
      <c r="P55" s="692">
        <v>0</v>
      </c>
      <c r="Q55" s="692">
        <v>0</v>
      </c>
      <c r="R55" s="692">
        <v>0</v>
      </c>
      <c r="S55" s="692">
        <v>0</v>
      </c>
      <c r="T55" s="692">
        <v>0</v>
      </c>
      <c r="U55" s="692">
        <v>0</v>
      </c>
      <c r="V55" s="692">
        <v>0</v>
      </c>
      <c r="W55" s="692">
        <v>0</v>
      </c>
      <c r="X55" s="692">
        <v>0</v>
      </c>
      <c r="Y55" s="710">
        <v>0</v>
      </c>
      <c r="Z55" s="692">
        <v>0</v>
      </c>
      <c r="AA55" s="302">
        <v>0</v>
      </c>
      <c r="AB55" s="302">
        <v>0</v>
      </c>
      <c r="AC55" s="302">
        <v>0</v>
      </c>
      <c r="AD55" s="302">
        <v>0</v>
      </c>
      <c r="AE55" s="692">
        <v>984</v>
      </c>
      <c r="AF55" s="692">
        <v>594880</v>
      </c>
      <c r="AG55" s="692">
        <v>0</v>
      </c>
      <c r="AH55" s="692">
        <v>0</v>
      </c>
      <c r="AI55" s="710">
        <v>131.33000000000001</v>
      </c>
      <c r="AJ55" s="710">
        <v>48640</v>
      </c>
      <c r="AK55" s="710">
        <v>267</v>
      </c>
      <c r="AL55" s="710">
        <v>94530</v>
      </c>
      <c r="AM55" s="710">
        <v>619</v>
      </c>
      <c r="AN55" s="710">
        <v>216509</v>
      </c>
    </row>
    <row r="56" spans="1:40">
      <c r="A56" s="886" t="s">
        <v>45</v>
      </c>
      <c r="B56" s="594" t="s">
        <v>110</v>
      </c>
      <c r="C56" s="692">
        <v>0</v>
      </c>
      <c r="D56" s="692">
        <v>0</v>
      </c>
      <c r="E56" s="692">
        <v>0</v>
      </c>
      <c r="F56" s="692">
        <v>0</v>
      </c>
      <c r="G56" s="692">
        <v>0</v>
      </c>
      <c r="H56" s="692">
        <v>0</v>
      </c>
      <c r="I56" s="692">
        <v>0</v>
      </c>
      <c r="J56" s="692">
        <v>0</v>
      </c>
      <c r="K56" s="692">
        <v>0</v>
      </c>
      <c r="L56" s="692">
        <v>0</v>
      </c>
      <c r="M56" s="692">
        <v>0</v>
      </c>
      <c r="N56" s="692">
        <v>0</v>
      </c>
      <c r="O56" s="692">
        <v>0</v>
      </c>
      <c r="P56" s="692">
        <v>0</v>
      </c>
      <c r="Q56" s="692">
        <v>0</v>
      </c>
      <c r="R56" s="692">
        <v>0</v>
      </c>
      <c r="S56" s="692">
        <v>0</v>
      </c>
      <c r="T56" s="692">
        <v>0</v>
      </c>
      <c r="U56" s="692">
        <v>0</v>
      </c>
      <c r="V56" s="692">
        <v>0</v>
      </c>
      <c r="W56" s="692">
        <v>0</v>
      </c>
      <c r="X56" s="692">
        <v>0</v>
      </c>
      <c r="Y56" s="692">
        <v>0</v>
      </c>
      <c r="Z56" s="692">
        <v>0</v>
      </c>
      <c r="AA56" s="692">
        <v>0</v>
      </c>
      <c r="AB56" s="692">
        <v>0</v>
      </c>
      <c r="AC56" s="692">
        <v>0</v>
      </c>
      <c r="AD56" s="692">
        <v>0</v>
      </c>
      <c r="AE56" s="692">
        <v>0</v>
      </c>
      <c r="AF56" s="692">
        <v>0</v>
      </c>
      <c r="AG56" s="692">
        <v>0</v>
      </c>
      <c r="AH56" s="692">
        <v>0</v>
      </c>
      <c r="AI56" s="692">
        <v>0</v>
      </c>
      <c r="AJ56" s="692">
        <v>0</v>
      </c>
      <c r="AK56" s="692">
        <v>435</v>
      </c>
      <c r="AL56" s="692">
        <v>226690</v>
      </c>
      <c r="AM56" s="710">
        <v>100</v>
      </c>
      <c r="AN56" s="710">
        <v>45000</v>
      </c>
    </row>
    <row r="57" spans="1:40">
      <c r="A57" s="886" t="s">
        <v>244</v>
      </c>
      <c r="B57" s="594" t="s">
        <v>110</v>
      </c>
      <c r="C57" s="670">
        <v>2644</v>
      </c>
      <c r="D57" s="670">
        <v>118980</v>
      </c>
      <c r="E57" s="670">
        <v>2233</v>
      </c>
      <c r="F57" s="670">
        <v>100481</v>
      </c>
      <c r="G57" s="670">
        <v>1861</v>
      </c>
      <c r="H57" s="670">
        <v>83755</v>
      </c>
      <c r="I57" s="717">
        <v>294</v>
      </c>
      <c r="J57" s="717">
        <v>13210</v>
      </c>
      <c r="K57" s="717">
        <v>1088</v>
      </c>
      <c r="L57" s="717">
        <v>48977</v>
      </c>
      <c r="M57" s="717">
        <v>994</v>
      </c>
      <c r="N57" s="717">
        <v>43341</v>
      </c>
      <c r="O57" s="871">
        <v>430</v>
      </c>
      <c r="P57" s="871">
        <v>19302</v>
      </c>
      <c r="Q57" s="670">
        <v>295</v>
      </c>
      <c r="R57" s="670">
        <v>13258</v>
      </c>
      <c r="S57" s="626">
        <v>1002</v>
      </c>
      <c r="T57" s="626">
        <v>45047</v>
      </c>
      <c r="U57" s="626">
        <v>995</v>
      </c>
      <c r="V57" s="626">
        <v>44753</v>
      </c>
      <c r="W57" s="692">
        <v>0</v>
      </c>
      <c r="X57" s="692">
        <v>0</v>
      </c>
      <c r="Y57" s="692">
        <v>0</v>
      </c>
      <c r="Z57" s="692">
        <v>0</v>
      </c>
      <c r="AA57" s="692">
        <v>0</v>
      </c>
      <c r="AB57" s="692">
        <v>0</v>
      </c>
      <c r="AC57" s="692">
        <v>0</v>
      </c>
      <c r="AD57" s="692">
        <v>0</v>
      </c>
      <c r="AE57" s="692">
        <v>0</v>
      </c>
      <c r="AF57" s="692">
        <v>0</v>
      </c>
      <c r="AG57" s="692">
        <v>0</v>
      </c>
      <c r="AH57" s="692">
        <v>0</v>
      </c>
      <c r="AI57" s="692">
        <v>0</v>
      </c>
      <c r="AJ57" s="692">
        <v>0</v>
      </c>
      <c r="AK57" s="692">
        <v>0</v>
      </c>
      <c r="AL57" s="692">
        <v>0</v>
      </c>
      <c r="AM57" s="710">
        <v>0</v>
      </c>
      <c r="AN57" s="710">
        <v>0</v>
      </c>
    </row>
    <row r="58" spans="1:40">
      <c r="A58" s="886" t="s">
        <v>245</v>
      </c>
      <c r="B58" s="594" t="s">
        <v>110</v>
      </c>
      <c r="C58" s="692">
        <v>0</v>
      </c>
      <c r="D58" s="692">
        <v>0</v>
      </c>
      <c r="E58" s="717">
        <v>0</v>
      </c>
      <c r="F58" s="717">
        <v>0</v>
      </c>
      <c r="G58" s="717">
        <v>0</v>
      </c>
      <c r="H58" s="717">
        <v>0</v>
      </c>
      <c r="I58" s="717">
        <v>0</v>
      </c>
      <c r="J58" s="717">
        <v>0</v>
      </c>
      <c r="K58" s="717">
        <v>0</v>
      </c>
      <c r="L58" s="717">
        <v>0</v>
      </c>
      <c r="M58" s="717">
        <v>59</v>
      </c>
      <c r="N58" s="717">
        <v>2360</v>
      </c>
      <c r="O58" s="692">
        <v>0</v>
      </c>
      <c r="P58" s="692">
        <v>0</v>
      </c>
      <c r="Q58" s="692">
        <v>0</v>
      </c>
      <c r="R58" s="692">
        <v>0</v>
      </c>
      <c r="S58" s="692">
        <v>0</v>
      </c>
      <c r="T58" s="692">
        <v>0</v>
      </c>
      <c r="U58" s="692">
        <v>0</v>
      </c>
      <c r="V58" s="692">
        <v>0</v>
      </c>
      <c r="W58" s="692">
        <v>0</v>
      </c>
      <c r="X58" s="692">
        <v>0</v>
      </c>
      <c r="Y58" s="692">
        <v>0</v>
      </c>
      <c r="Z58" s="692">
        <v>0</v>
      </c>
      <c r="AA58" s="692">
        <v>0</v>
      </c>
      <c r="AB58" s="692">
        <v>0</v>
      </c>
      <c r="AC58" s="692">
        <v>0</v>
      </c>
      <c r="AD58" s="692">
        <v>0</v>
      </c>
      <c r="AE58" s="692">
        <v>0</v>
      </c>
      <c r="AF58" s="692">
        <v>0</v>
      </c>
      <c r="AG58" s="692">
        <v>0</v>
      </c>
      <c r="AH58" s="692">
        <v>0</v>
      </c>
      <c r="AI58" s="692">
        <v>0</v>
      </c>
      <c r="AJ58" s="692">
        <v>0</v>
      </c>
      <c r="AK58" s="692">
        <v>0</v>
      </c>
      <c r="AL58" s="692">
        <v>0</v>
      </c>
      <c r="AM58" s="710">
        <v>0</v>
      </c>
      <c r="AN58" s="710">
        <v>0</v>
      </c>
    </row>
    <row r="59" spans="1:40">
      <c r="A59" s="889" t="s">
        <v>247</v>
      </c>
      <c r="B59" s="794"/>
      <c r="C59" s="684"/>
      <c r="D59" s="684">
        <f>SUM(D51:D58)</f>
        <v>118980</v>
      </c>
      <c r="E59" s="684"/>
      <c r="F59" s="684">
        <f>SUM(F51:F58)</f>
        <v>145481</v>
      </c>
      <c r="G59" s="684"/>
      <c r="H59" s="684">
        <f>SUM(H51:H58)</f>
        <v>133755</v>
      </c>
      <c r="I59" s="794"/>
      <c r="J59" s="692">
        <f>SUM(J51:J58)</f>
        <v>13210</v>
      </c>
      <c r="K59" s="626"/>
      <c r="L59" s="717">
        <v>48977</v>
      </c>
      <c r="N59" s="626">
        <f>SUM(N51:N58)</f>
        <v>1835186</v>
      </c>
      <c r="P59" s="871">
        <f>SUM(P51:P57)</f>
        <v>96008</v>
      </c>
      <c r="Q59" s="684"/>
      <c r="R59" s="684">
        <f>SUM(R51:R57)</f>
        <v>1945702</v>
      </c>
      <c r="S59" s="626"/>
      <c r="T59" s="626">
        <f>SUM(T51:T57)</f>
        <v>488247</v>
      </c>
      <c r="U59" s="626"/>
      <c r="V59" s="626">
        <v>529874</v>
      </c>
      <c r="W59" s="692"/>
      <c r="X59" s="692">
        <v>171408</v>
      </c>
      <c r="Y59" s="692"/>
      <c r="Z59" s="692">
        <v>21016</v>
      </c>
      <c r="AA59" s="692"/>
      <c r="AB59" s="692">
        <v>294695</v>
      </c>
      <c r="AC59" s="794"/>
      <c r="AD59" s="789">
        <f>SUM(AD51:AD55)</f>
        <v>368257</v>
      </c>
      <c r="AE59" s="709"/>
      <c r="AF59" s="692">
        <v>1544880</v>
      </c>
      <c r="AG59" s="692"/>
      <c r="AH59" s="692">
        <v>621780</v>
      </c>
      <c r="AI59" s="692"/>
      <c r="AJ59" s="710">
        <f>SUM(AJ51:AJ58)</f>
        <v>415635</v>
      </c>
      <c r="AK59" s="710"/>
      <c r="AL59" s="710">
        <f>SUM(AL51:AL58)</f>
        <v>497751</v>
      </c>
      <c r="AM59" s="692"/>
      <c r="AN59" s="710">
        <f>SUM(AN51:AN58)</f>
        <v>473994</v>
      </c>
    </row>
    <row r="60" spans="1:40">
      <c r="A60" s="596"/>
      <c r="B60" s="794"/>
      <c r="C60" s="684"/>
      <c r="D60" s="684"/>
      <c r="E60" s="684"/>
      <c r="F60" s="684"/>
      <c r="G60" s="684"/>
      <c r="H60" s="684"/>
      <c r="I60" s="794"/>
      <c r="J60" s="794"/>
      <c r="K60" s="594"/>
      <c r="L60" s="594"/>
      <c r="M60" s="626"/>
      <c r="N60" s="717"/>
      <c r="Q60" s="670"/>
      <c r="R60" s="670"/>
      <c r="S60" s="626"/>
      <c r="T60" s="626"/>
      <c r="U60" s="626"/>
      <c r="V60" s="626"/>
      <c r="W60" s="692"/>
      <c r="X60" s="692"/>
      <c r="Y60" s="626"/>
      <c r="Z60" s="626"/>
      <c r="AA60" s="692"/>
      <c r="AB60" s="692"/>
      <c r="AE60" s="709"/>
      <c r="AF60" s="709"/>
      <c r="AG60" s="692"/>
      <c r="AH60" s="692"/>
      <c r="AI60" s="692"/>
      <c r="AJ60" s="710"/>
      <c r="AK60" s="710"/>
      <c r="AL60" s="710"/>
      <c r="AM60" s="692"/>
      <c r="AN60" s="710"/>
    </row>
    <row r="61" spans="1:40">
      <c r="A61" s="1570" t="s">
        <v>248</v>
      </c>
      <c r="B61" s="825"/>
      <c r="C61" s="826"/>
      <c r="D61" s="826"/>
      <c r="E61" s="826"/>
      <c r="F61" s="826"/>
      <c r="G61" s="826"/>
      <c r="H61" s="826"/>
      <c r="I61" s="825"/>
      <c r="J61" s="825"/>
      <c r="K61" s="829"/>
      <c r="L61" s="829"/>
      <c r="M61" s="827"/>
      <c r="N61" s="827"/>
      <c r="O61" s="825"/>
      <c r="P61" s="825"/>
      <c r="Q61" s="830"/>
      <c r="R61" s="830"/>
      <c r="S61" s="827"/>
      <c r="T61" s="827"/>
      <c r="U61" s="827"/>
      <c r="V61" s="827"/>
      <c r="W61" s="827"/>
      <c r="X61" s="827"/>
      <c r="Y61" s="827"/>
      <c r="Z61" s="827"/>
      <c r="AA61" s="827"/>
      <c r="AB61" s="827"/>
      <c r="AC61" s="825"/>
      <c r="AD61" s="825"/>
      <c r="AE61" s="827"/>
      <c r="AF61" s="827"/>
      <c r="AG61" s="827"/>
      <c r="AH61" s="827"/>
      <c r="AI61" s="827"/>
      <c r="AJ61" s="827"/>
      <c r="AK61" s="827"/>
      <c r="AL61" s="827"/>
      <c r="AM61" s="827"/>
      <c r="AN61" s="827"/>
    </row>
    <row r="62" spans="1:40">
      <c r="A62" s="1571" t="s">
        <v>249</v>
      </c>
      <c r="B62" s="829" t="s">
        <v>196</v>
      </c>
      <c r="C62" s="830">
        <v>0</v>
      </c>
      <c r="D62" s="830">
        <v>0</v>
      </c>
      <c r="E62" s="830">
        <v>0</v>
      </c>
      <c r="F62" s="830">
        <v>0</v>
      </c>
      <c r="G62" s="830">
        <v>0</v>
      </c>
      <c r="H62" s="830">
        <v>0</v>
      </c>
      <c r="I62" s="830">
        <v>0</v>
      </c>
      <c r="J62" s="830">
        <v>0</v>
      </c>
      <c r="K62" s="830">
        <v>0</v>
      </c>
      <c r="L62" s="830">
        <v>0</v>
      </c>
      <c r="M62" s="830">
        <v>0</v>
      </c>
      <c r="N62" s="830">
        <v>0</v>
      </c>
      <c r="O62" s="830">
        <v>0</v>
      </c>
      <c r="P62" s="830">
        <v>0</v>
      </c>
      <c r="Q62" s="830">
        <v>0</v>
      </c>
      <c r="R62" s="830">
        <v>0</v>
      </c>
      <c r="S62" s="827">
        <v>28384</v>
      </c>
      <c r="T62" s="827">
        <v>22012</v>
      </c>
      <c r="U62" s="827">
        <v>23236</v>
      </c>
      <c r="V62" s="827">
        <v>16741</v>
      </c>
      <c r="W62" s="827">
        <v>17380</v>
      </c>
      <c r="X62" s="827">
        <v>14812</v>
      </c>
      <c r="Y62" s="831">
        <v>0</v>
      </c>
      <c r="Z62" s="827">
        <v>0</v>
      </c>
      <c r="AA62" s="827">
        <v>5149</v>
      </c>
      <c r="AB62" s="827">
        <v>3089</v>
      </c>
      <c r="AC62" s="825">
        <v>0</v>
      </c>
      <c r="AD62" s="825">
        <v>0</v>
      </c>
      <c r="AE62" s="827">
        <v>0</v>
      </c>
      <c r="AF62" s="827">
        <v>0</v>
      </c>
      <c r="AG62" s="827">
        <v>7186</v>
      </c>
      <c r="AH62" s="827">
        <v>4312</v>
      </c>
      <c r="AI62" s="831">
        <v>0</v>
      </c>
      <c r="AJ62" s="831">
        <v>0</v>
      </c>
      <c r="AK62" s="827"/>
      <c r="AL62" s="827"/>
      <c r="AM62" s="827"/>
      <c r="AN62" s="827"/>
    </row>
    <row r="63" spans="1:40">
      <c r="A63" s="1571" t="s">
        <v>250</v>
      </c>
      <c r="B63" s="829" t="s">
        <v>196</v>
      </c>
      <c r="C63" s="830">
        <v>59586</v>
      </c>
      <c r="D63" s="830">
        <v>90368</v>
      </c>
      <c r="E63" s="830">
        <v>8988</v>
      </c>
      <c r="F63" s="830">
        <v>50716</v>
      </c>
      <c r="G63" s="830">
        <v>51000</v>
      </c>
      <c r="H63" s="830">
        <v>195500</v>
      </c>
      <c r="I63" s="826">
        <v>51000</v>
      </c>
      <c r="J63" s="826">
        <v>195500</v>
      </c>
      <c r="K63" s="826">
        <v>41064</v>
      </c>
      <c r="L63" s="826">
        <v>198426</v>
      </c>
      <c r="M63" s="826">
        <v>14594</v>
      </c>
      <c r="N63" s="826">
        <v>67958</v>
      </c>
      <c r="O63" s="842">
        <v>24617</v>
      </c>
      <c r="P63" s="842">
        <v>131426</v>
      </c>
      <c r="Q63" s="830">
        <v>17659</v>
      </c>
      <c r="R63" s="830">
        <v>127910</v>
      </c>
      <c r="S63" s="827">
        <v>25352</v>
      </c>
      <c r="T63" s="827">
        <v>308045</v>
      </c>
      <c r="U63" s="827">
        <v>0</v>
      </c>
      <c r="V63" s="827">
        <v>0</v>
      </c>
      <c r="W63" s="827">
        <v>0</v>
      </c>
      <c r="X63" s="827">
        <v>0</v>
      </c>
      <c r="Y63" s="827">
        <v>0</v>
      </c>
      <c r="Z63" s="827">
        <v>0</v>
      </c>
      <c r="AA63" s="827">
        <v>0</v>
      </c>
      <c r="AB63" s="827">
        <v>0</v>
      </c>
      <c r="AC63" s="827">
        <v>0</v>
      </c>
      <c r="AD63" s="827">
        <v>0</v>
      </c>
      <c r="AE63" s="827">
        <v>0</v>
      </c>
      <c r="AF63" s="827">
        <v>0</v>
      </c>
      <c r="AG63" s="827">
        <v>0</v>
      </c>
      <c r="AH63" s="827">
        <v>0</v>
      </c>
      <c r="AI63" s="827">
        <v>0</v>
      </c>
      <c r="AJ63" s="827">
        <v>0</v>
      </c>
      <c r="AK63" s="827"/>
      <c r="AL63" s="827"/>
      <c r="AM63" s="827"/>
      <c r="AN63" s="827"/>
    </row>
    <row r="64" spans="1:40">
      <c r="A64" s="1571" t="s">
        <v>251</v>
      </c>
      <c r="B64" s="829" t="s">
        <v>196</v>
      </c>
      <c r="C64" s="830">
        <v>0</v>
      </c>
      <c r="D64" s="830">
        <v>0</v>
      </c>
      <c r="E64" s="830">
        <v>0</v>
      </c>
      <c r="F64" s="830">
        <v>0</v>
      </c>
      <c r="G64" s="830">
        <v>0</v>
      </c>
      <c r="H64" s="830">
        <v>0</v>
      </c>
      <c r="I64" s="830">
        <v>0</v>
      </c>
      <c r="J64" s="830">
        <v>0</v>
      </c>
      <c r="K64" s="830">
        <v>0</v>
      </c>
      <c r="L64" s="830">
        <v>0</v>
      </c>
      <c r="M64" s="842">
        <v>0</v>
      </c>
      <c r="N64" s="831">
        <v>0</v>
      </c>
      <c r="O64" s="842">
        <v>0</v>
      </c>
      <c r="P64" s="842">
        <v>0</v>
      </c>
      <c r="Q64" s="830">
        <v>0</v>
      </c>
      <c r="R64" s="830">
        <v>0</v>
      </c>
      <c r="S64" s="827">
        <v>13000</v>
      </c>
      <c r="T64" s="827">
        <v>9117</v>
      </c>
      <c r="U64" s="827">
        <v>23775</v>
      </c>
      <c r="V64" s="827">
        <v>19020</v>
      </c>
      <c r="W64" s="831">
        <v>0</v>
      </c>
      <c r="X64" s="827">
        <v>0</v>
      </c>
      <c r="Y64" s="831">
        <v>2053</v>
      </c>
      <c r="Z64" s="827">
        <v>20020</v>
      </c>
      <c r="AA64" s="827">
        <v>41360</v>
      </c>
      <c r="AB64" s="827">
        <v>20680</v>
      </c>
      <c r="AC64" s="833">
        <v>8053</v>
      </c>
      <c r="AD64" s="833">
        <v>4027</v>
      </c>
      <c r="AE64" s="827">
        <v>0</v>
      </c>
      <c r="AF64" s="827">
        <v>0</v>
      </c>
      <c r="AG64" s="827">
        <v>0</v>
      </c>
      <c r="AH64" s="827">
        <v>0</v>
      </c>
      <c r="AI64" s="831">
        <v>4344</v>
      </c>
      <c r="AJ64" s="831">
        <v>2172</v>
      </c>
      <c r="AK64" s="827"/>
      <c r="AL64" s="827"/>
      <c r="AM64" s="827"/>
      <c r="AN64" s="827"/>
    </row>
    <row r="65" spans="1:40">
      <c r="A65" s="1571" t="s">
        <v>252</v>
      </c>
      <c r="B65" s="829" t="s">
        <v>196</v>
      </c>
      <c r="C65" s="830">
        <v>0</v>
      </c>
      <c r="D65" s="830">
        <v>0</v>
      </c>
      <c r="E65" s="830">
        <v>0</v>
      </c>
      <c r="F65" s="830">
        <v>0</v>
      </c>
      <c r="G65" s="830">
        <v>0</v>
      </c>
      <c r="H65" s="830">
        <v>0</v>
      </c>
      <c r="I65" s="830">
        <v>0</v>
      </c>
      <c r="J65" s="830">
        <v>0</v>
      </c>
      <c r="K65" s="830">
        <v>0</v>
      </c>
      <c r="L65" s="830">
        <v>0</v>
      </c>
      <c r="M65" s="842">
        <v>0</v>
      </c>
      <c r="N65" s="831">
        <v>0</v>
      </c>
      <c r="O65" s="842">
        <v>0</v>
      </c>
      <c r="P65" s="842">
        <v>0</v>
      </c>
      <c r="Q65" s="830">
        <v>18555</v>
      </c>
      <c r="R65" s="830">
        <v>342249</v>
      </c>
      <c r="S65" s="827">
        <v>27773</v>
      </c>
      <c r="T65" s="827">
        <v>1450587</v>
      </c>
      <c r="U65" s="827">
        <v>178540</v>
      </c>
      <c r="V65" s="827">
        <v>1197961</v>
      </c>
      <c r="W65" s="827">
        <v>236990</v>
      </c>
      <c r="X65" s="827">
        <v>1395607</v>
      </c>
      <c r="Y65" s="831">
        <v>39220</v>
      </c>
      <c r="Z65" s="827">
        <v>47136</v>
      </c>
      <c r="AA65" s="827">
        <v>37000</v>
      </c>
      <c r="AB65" s="827">
        <v>12500</v>
      </c>
      <c r="AC65" s="833">
        <v>21536</v>
      </c>
      <c r="AD65" s="833">
        <v>8936</v>
      </c>
      <c r="AE65" s="827">
        <v>0</v>
      </c>
      <c r="AF65" s="827">
        <v>0</v>
      </c>
      <c r="AG65" s="827">
        <v>178.35</v>
      </c>
      <c r="AH65" s="827">
        <v>4369</v>
      </c>
      <c r="AI65" s="831">
        <v>16171</v>
      </c>
      <c r="AJ65" s="831">
        <v>36315</v>
      </c>
      <c r="AK65" s="827"/>
      <c r="AL65" s="827"/>
      <c r="AM65" s="827"/>
      <c r="AN65" s="827"/>
    </row>
    <row r="66" spans="1:40">
      <c r="A66" s="1571" t="s">
        <v>254</v>
      </c>
      <c r="B66" s="829" t="s">
        <v>196</v>
      </c>
      <c r="C66" s="830">
        <v>0</v>
      </c>
      <c r="D66" s="830">
        <v>0</v>
      </c>
      <c r="E66" s="838">
        <v>0.22500000000000001</v>
      </c>
      <c r="F66" s="830">
        <v>1685</v>
      </c>
      <c r="G66" s="838">
        <f>200/1000</f>
        <v>0.2</v>
      </c>
      <c r="H66" s="830">
        <v>1784</v>
      </c>
      <c r="I66" s="830">
        <v>0</v>
      </c>
      <c r="J66" s="830">
        <v>0</v>
      </c>
      <c r="K66" s="826">
        <f>1930/1000</f>
        <v>1.93</v>
      </c>
      <c r="L66" s="826">
        <v>2200</v>
      </c>
      <c r="M66" s="839">
        <v>550</v>
      </c>
      <c r="N66" s="830">
        <v>2020</v>
      </c>
      <c r="O66" s="842">
        <v>0</v>
      </c>
      <c r="P66" s="842">
        <v>0</v>
      </c>
      <c r="Q66" s="826">
        <v>0</v>
      </c>
      <c r="R66" s="826">
        <v>0</v>
      </c>
      <c r="S66" s="827">
        <v>0</v>
      </c>
      <c r="T66" s="827">
        <v>0</v>
      </c>
      <c r="U66" s="827">
        <v>0</v>
      </c>
      <c r="V66" s="827">
        <v>0</v>
      </c>
      <c r="W66" s="827">
        <v>0</v>
      </c>
      <c r="X66" s="827">
        <v>0</v>
      </c>
      <c r="Y66" s="831">
        <v>0</v>
      </c>
      <c r="Z66" s="827">
        <v>0</v>
      </c>
      <c r="AA66" s="825">
        <v>0</v>
      </c>
      <c r="AB66" s="827">
        <v>0</v>
      </c>
      <c r="AC66" s="825">
        <v>0</v>
      </c>
      <c r="AD66" s="825">
        <v>0</v>
      </c>
      <c r="AE66" s="827">
        <v>0</v>
      </c>
      <c r="AF66" s="827">
        <v>0</v>
      </c>
      <c r="AG66" s="827">
        <v>4</v>
      </c>
      <c r="AH66" s="827">
        <v>10420</v>
      </c>
      <c r="AI66" s="831">
        <v>11.5</v>
      </c>
      <c r="AJ66" s="831">
        <v>20000</v>
      </c>
      <c r="AK66" s="827"/>
      <c r="AL66" s="827"/>
      <c r="AM66" s="827"/>
      <c r="AN66" s="827"/>
    </row>
    <row r="67" spans="1:40">
      <c r="A67" s="1571" t="s">
        <v>241</v>
      </c>
      <c r="B67" s="829" t="s">
        <v>196</v>
      </c>
      <c r="C67" s="830">
        <v>0</v>
      </c>
      <c r="D67" s="830">
        <v>0</v>
      </c>
      <c r="E67" s="830">
        <v>0</v>
      </c>
      <c r="F67" s="830">
        <v>0</v>
      </c>
      <c r="G67" s="830">
        <v>0</v>
      </c>
      <c r="H67" s="830">
        <v>0</v>
      </c>
      <c r="I67" s="830">
        <v>0</v>
      </c>
      <c r="J67" s="830">
        <v>0</v>
      </c>
      <c r="K67" s="830">
        <v>0</v>
      </c>
      <c r="L67" s="830">
        <v>0</v>
      </c>
      <c r="M67" s="842">
        <v>0</v>
      </c>
      <c r="N67" s="831">
        <v>0</v>
      </c>
      <c r="O67" s="842">
        <v>0</v>
      </c>
      <c r="P67" s="842">
        <v>0</v>
      </c>
      <c r="Q67" s="826">
        <v>8844</v>
      </c>
      <c r="R67" s="826">
        <v>7499</v>
      </c>
      <c r="S67" s="827">
        <v>70819</v>
      </c>
      <c r="T67" s="827">
        <v>45116</v>
      </c>
      <c r="U67" s="827">
        <v>0</v>
      </c>
      <c r="V67" s="827">
        <v>0</v>
      </c>
      <c r="W67" s="827">
        <v>0</v>
      </c>
      <c r="X67" s="827">
        <v>0</v>
      </c>
      <c r="Y67" s="831">
        <v>0</v>
      </c>
      <c r="Z67" s="827">
        <v>0</v>
      </c>
      <c r="AA67" s="827">
        <v>38796</v>
      </c>
      <c r="AB67" s="827">
        <v>23798</v>
      </c>
      <c r="AC67" s="825">
        <v>0</v>
      </c>
      <c r="AD67" s="825">
        <v>0</v>
      </c>
      <c r="AE67" s="827">
        <v>0</v>
      </c>
      <c r="AF67" s="827">
        <v>0</v>
      </c>
      <c r="AG67" s="827">
        <v>20748</v>
      </c>
      <c r="AH67" s="827">
        <v>16045</v>
      </c>
      <c r="AI67" s="831">
        <v>14430</v>
      </c>
      <c r="AJ67" s="831">
        <v>8658</v>
      </c>
      <c r="AK67" s="827"/>
      <c r="AL67" s="827"/>
      <c r="AM67" s="827"/>
      <c r="AN67" s="827"/>
    </row>
    <row r="68" spans="1:40">
      <c r="A68" s="1571" t="s">
        <v>257</v>
      </c>
      <c r="B68" s="829" t="s">
        <v>196</v>
      </c>
      <c r="C68" s="830">
        <v>0</v>
      </c>
      <c r="D68" s="830">
        <v>0</v>
      </c>
      <c r="E68" s="830">
        <v>0</v>
      </c>
      <c r="F68" s="830">
        <v>0</v>
      </c>
      <c r="G68" s="830">
        <v>0</v>
      </c>
      <c r="H68" s="830">
        <v>0</v>
      </c>
      <c r="I68" s="830">
        <v>0</v>
      </c>
      <c r="J68" s="830">
        <v>0</v>
      </c>
      <c r="K68" s="830">
        <v>0</v>
      </c>
      <c r="L68" s="830">
        <v>0</v>
      </c>
      <c r="M68" s="842">
        <v>0</v>
      </c>
      <c r="N68" s="831">
        <v>0</v>
      </c>
      <c r="O68" s="842">
        <v>0</v>
      </c>
      <c r="P68" s="842">
        <v>0</v>
      </c>
      <c r="Q68" s="826">
        <v>0</v>
      </c>
      <c r="R68" s="826">
        <v>0</v>
      </c>
      <c r="S68" s="827">
        <v>88</v>
      </c>
      <c r="T68" s="827">
        <v>17138</v>
      </c>
      <c r="U68" s="827">
        <v>285</v>
      </c>
      <c r="V68" s="827">
        <v>977</v>
      </c>
      <c r="W68" s="827">
        <v>5561</v>
      </c>
      <c r="X68" s="827">
        <v>19639</v>
      </c>
      <c r="Y68" s="831">
        <v>0</v>
      </c>
      <c r="Z68" s="827">
        <v>0</v>
      </c>
      <c r="AA68" s="831">
        <v>0</v>
      </c>
      <c r="AB68" s="827">
        <v>0</v>
      </c>
      <c r="AC68" s="831">
        <v>0</v>
      </c>
      <c r="AD68" s="827">
        <v>0</v>
      </c>
      <c r="AE68" s="831">
        <v>0</v>
      </c>
      <c r="AF68" s="827">
        <v>0</v>
      </c>
      <c r="AG68" s="831">
        <v>0</v>
      </c>
      <c r="AH68" s="827">
        <v>0</v>
      </c>
      <c r="AI68" s="831">
        <v>0</v>
      </c>
      <c r="AJ68" s="827">
        <v>0</v>
      </c>
      <c r="AK68" s="827"/>
      <c r="AL68" s="827"/>
      <c r="AM68" s="827"/>
      <c r="AN68" s="827"/>
    </row>
    <row r="69" spans="1:40">
      <c r="A69" s="1571" t="s">
        <v>258</v>
      </c>
      <c r="B69" s="829" t="s">
        <v>196</v>
      </c>
      <c r="C69" s="830">
        <v>0</v>
      </c>
      <c r="D69" s="830">
        <v>0</v>
      </c>
      <c r="E69" s="830">
        <v>21</v>
      </c>
      <c r="F69" s="830">
        <v>14</v>
      </c>
      <c r="G69" s="830">
        <v>0</v>
      </c>
      <c r="H69" s="830">
        <v>0</v>
      </c>
      <c r="I69" s="830">
        <v>0</v>
      </c>
      <c r="J69" s="830">
        <v>0</v>
      </c>
      <c r="K69" s="830">
        <v>0</v>
      </c>
      <c r="L69" s="830">
        <v>0</v>
      </c>
      <c r="M69" s="830">
        <v>0</v>
      </c>
      <c r="N69" s="830">
        <v>0</v>
      </c>
      <c r="O69" s="830">
        <v>0</v>
      </c>
      <c r="P69" s="830">
        <v>0</v>
      </c>
      <c r="Q69" s="830">
        <v>0</v>
      </c>
      <c r="R69" s="830">
        <v>0</v>
      </c>
      <c r="S69" s="830">
        <v>0</v>
      </c>
      <c r="T69" s="830">
        <v>0</v>
      </c>
      <c r="U69" s="830">
        <v>0</v>
      </c>
      <c r="V69" s="830">
        <v>0</v>
      </c>
      <c r="W69" s="830">
        <v>0</v>
      </c>
      <c r="X69" s="830">
        <v>0</v>
      </c>
      <c r="Y69" s="830">
        <v>0</v>
      </c>
      <c r="Z69" s="830">
        <v>0</v>
      </c>
      <c r="AA69" s="830">
        <v>0</v>
      </c>
      <c r="AB69" s="830">
        <v>0</v>
      </c>
      <c r="AC69" s="830">
        <v>0</v>
      </c>
      <c r="AD69" s="830">
        <v>0</v>
      </c>
      <c r="AE69" s="830">
        <v>0</v>
      </c>
      <c r="AF69" s="830">
        <v>0</v>
      </c>
      <c r="AG69" s="830">
        <v>0</v>
      </c>
      <c r="AH69" s="830">
        <v>0</v>
      </c>
      <c r="AI69" s="830">
        <v>0</v>
      </c>
      <c r="AJ69" s="830">
        <v>0</v>
      </c>
      <c r="AK69" s="827"/>
      <c r="AL69" s="827"/>
      <c r="AM69" s="827"/>
      <c r="AN69" s="827"/>
    </row>
    <row r="70" spans="1:40">
      <c r="A70" s="1571" t="s">
        <v>262</v>
      </c>
      <c r="B70" s="829" t="s">
        <v>196</v>
      </c>
      <c r="C70" s="830">
        <v>0</v>
      </c>
      <c r="D70" s="830">
        <v>0</v>
      </c>
      <c r="E70" s="830">
        <v>0</v>
      </c>
      <c r="F70" s="830">
        <v>0</v>
      </c>
      <c r="G70" s="830">
        <v>0</v>
      </c>
      <c r="H70" s="830">
        <v>0</v>
      </c>
      <c r="I70" s="830">
        <v>0</v>
      </c>
      <c r="J70" s="830">
        <v>0</v>
      </c>
      <c r="K70" s="830">
        <v>0</v>
      </c>
      <c r="L70" s="830">
        <v>0</v>
      </c>
      <c r="M70" s="830">
        <v>0</v>
      </c>
      <c r="N70" s="830">
        <v>0</v>
      </c>
      <c r="O70" s="830">
        <v>0</v>
      </c>
      <c r="P70" s="830">
        <v>0</v>
      </c>
      <c r="Q70" s="830">
        <v>0</v>
      </c>
      <c r="R70" s="830">
        <v>0</v>
      </c>
      <c r="S70" s="830">
        <v>0</v>
      </c>
      <c r="T70" s="830">
        <v>0</v>
      </c>
      <c r="U70" s="830">
        <v>0</v>
      </c>
      <c r="V70" s="830">
        <v>0</v>
      </c>
      <c r="W70" s="830">
        <v>0</v>
      </c>
      <c r="X70" s="830">
        <v>0</v>
      </c>
      <c r="Y70" s="830">
        <v>0</v>
      </c>
      <c r="Z70" s="830">
        <v>0</v>
      </c>
      <c r="AA70" s="830">
        <v>0</v>
      </c>
      <c r="AB70" s="830">
        <v>0</v>
      </c>
      <c r="AC70" s="830">
        <v>0</v>
      </c>
      <c r="AD70" s="830">
        <v>0</v>
      </c>
      <c r="AE70" s="830">
        <v>0</v>
      </c>
      <c r="AF70" s="830">
        <v>0</v>
      </c>
      <c r="AG70" s="830">
        <v>0</v>
      </c>
      <c r="AH70" s="830">
        <v>0</v>
      </c>
      <c r="AI70" s="830">
        <v>0</v>
      </c>
      <c r="AJ70" s="830">
        <v>0</v>
      </c>
      <c r="AK70" s="827"/>
      <c r="AL70" s="827"/>
      <c r="AM70" s="827"/>
      <c r="AN70" s="827"/>
    </row>
    <row r="71" spans="1:40">
      <c r="A71" s="1571" t="s">
        <v>263</v>
      </c>
      <c r="B71" s="829" t="s">
        <v>110</v>
      </c>
      <c r="C71" s="830">
        <v>0</v>
      </c>
      <c r="D71" s="830">
        <v>0</v>
      </c>
      <c r="E71" s="830">
        <v>54</v>
      </c>
      <c r="F71" s="830">
        <v>50214</v>
      </c>
      <c r="G71" s="830">
        <v>0</v>
      </c>
      <c r="H71" s="830">
        <v>0</v>
      </c>
      <c r="I71" s="830">
        <v>0</v>
      </c>
      <c r="J71" s="830">
        <v>0</v>
      </c>
      <c r="K71" s="830">
        <v>0</v>
      </c>
      <c r="L71" s="830">
        <v>0</v>
      </c>
      <c r="M71" s="830">
        <v>0</v>
      </c>
      <c r="N71" s="830">
        <v>0</v>
      </c>
      <c r="O71" s="830">
        <v>0</v>
      </c>
      <c r="P71" s="830">
        <v>0</v>
      </c>
      <c r="Q71" s="830">
        <v>0</v>
      </c>
      <c r="R71" s="830">
        <v>0</v>
      </c>
      <c r="S71" s="830">
        <v>0</v>
      </c>
      <c r="T71" s="830">
        <v>0</v>
      </c>
      <c r="U71" s="830">
        <v>0</v>
      </c>
      <c r="V71" s="830">
        <v>0</v>
      </c>
      <c r="W71" s="830">
        <v>0</v>
      </c>
      <c r="X71" s="830">
        <v>0</v>
      </c>
      <c r="Y71" s="830">
        <v>0</v>
      </c>
      <c r="Z71" s="830">
        <v>0</v>
      </c>
      <c r="AA71" s="830">
        <v>0</v>
      </c>
      <c r="AB71" s="830">
        <v>0</v>
      </c>
      <c r="AC71" s="830">
        <v>0</v>
      </c>
      <c r="AD71" s="830">
        <v>0</v>
      </c>
      <c r="AE71" s="830">
        <v>0</v>
      </c>
      <c r="AF71" s="830">
        <v>0</v>
      </c>
      <c r="AG71" s="830">
        <v>0</v>
      </c>
      <c r="AH71" s="830">
        <v>0</v>
      </c>
      <c r="AI71" s="830">
        <v>0</v>
      </c>
      <c r="AJ71" s="830">
        <v>0</v>
      </c>
      <c r="AK71" s="827"/>
      <c r="AL71" s="827"/>
      <c r="AM71" s="827"/>
      <c r="AN71" s="827"/>
    </row>
    <row r="72" spans="1:40">
      <c r="A72" s="1571" t="s">
        <v>264</v>
      </c>
      <c r="B72" s="829" t="s">
        <v>196</v>
      </c>
      <c r="C72" s="830">
        <v>0</v>
      </c>
      <c r="D72" s="830">
        <v>0</v>
      </c>
      <c r="E72" s="830">
        <v>0</v>
      </c>
      <c r="F72" s="830">
        <v>0</v>
      </c>
      <c r="G72" s="830">
        <v>0</v>
      </c>
      <c r="H72" s="830">
        <v>0</v>
      </c>
      <c r="I72" s="830">
        <v>0</v>
      </c>
      <c r="J72" s="830">
        <v>0</v>
      </c>
      <c r="K72" s="830">
        <v>0</v>
      </c>
      <c r="L72" s="830">
        <v>0</v>
      </c>
      <c r="M72" s="842">
        <v>0</v>
      </c>
      <c r="N72" s="831">
        <v>0</v>
      </c>
      <c r="O72" s="842">
        <v>0</v>
      </c>
      <c r="P72" s="842">
        <v>0</v>
      </c>
      <c r="Q72" s="826">
        <v>0</v>
      </c>
      <c r="R72" s="826">
        <v>0</v>
      </c>
      <c r="S72" s="827">
        <v>1960</v>
      </c>
      <c r="T72" s="827">
        <v>7415</v>
      </c>
      <c r="U72" s="827">
        <v>0</v>
      </c>
      <c r="V72" s="827">
        <v>0</v>
      </c>
      <c r="W72" s="827">
        <v>0</v>
      </c>
      <c r="X72" s="827">
        <v>0</v>
      </c>
      <c r="Y72" s="827">
        <v>0</v>
      </c>
      <c r="Z72" s="827">
        <v>0</v>
      </c>
      <c r="AA72" s="827">
        <v>0</v>
      </c>
      <c r="AB72" s="827">
        <v>0</v>
      </c>
      <c r="AC72" s="827">
        <v>0</v>
      </c>
      <c r="AD72" s="827">
        <v>0</v>
      </c>
      <c r="AE72" s="827">
        <v>0</v>
      </c>
      <c r="AF72" s="827">
        <v>0</v>
      </c>
      <c r="AG72" s="827">
        <v>0</v>
      </c>
      <c r="AH72" s="827">
        <v>0</v>
      </c>
      <c r="AI72" s="827">
        <v>0</v>
      </c>
      <c r="AJ72" s="827">
        <v>0</v>
      </c>
      <c r="AK72" s="827"/>
      <c r="AL72" s="827"/>
      <c r="AM72" s="827"/>
      <c r="AN72" s="827"/>
    </row>
    <row r="73" spans="1:40">
      <c r="A73" s="1571" t="s">
        <v>265</v>
      </c>
      <c r="B73" s="829" t="s">
        <v>196</v>
      </c>
      <c r="C73" s="830">
        <v>0</v>
      </c>
      <c r="D73" s="830">
        <v>0</v>
      </c>
      <c r="E73" s="830">
        <v>0</v>
      </c>
      <c r="F73" s="830">
        <v>0</v>
      </c>
      <c r="G73" s="830">
        <v>0</v>
      </c>
      <c r="H73" s="830">
        <v>0</v>
      </c>
      <c r="I73" s="830">
        <v>0</v>
      </c>
      <c r="J73" s="830">
        <v>0</v>
      </c>
      <c r="K73" s="830">
        <v>0</v>
      </c>
      <c r="L73" s="830">
        <v>0</v>
      </c>
      <c r="M73" s="842">
        <v>0</v>
      </c>
      <c r="N73" s="831">
        <v>0</v>
      </c>
      <c r="O73" s="842">
        <v>0</v>
      </c>
      <c r="P73" s="842">
        <v>0</v>
      </c>
      <c r="Q73" s="830">
        <v>0</v>
      </c>
      <c r="R73" s="830">
        <v>0</v>
      </c>
      <c r="S73" s="827">
        <v>1863</v>
      </c>
      <c r="T73" s="827">
        <v>7550</v>
      </c>
      <c r="U73" s="827">
        <v>0</v>
      </c>
      <c r="V73" s="827">
        <v>0</v>
      </c>
      <c r="W73" s="827">
        <v>441</v>
      </c>
      <c r="X73" s="827">
        <v>3996</v>
      </c>
      <c r="Y73" s="831">
        <v>25700</v>
      </c>
      <c r="Z73" s="827">
        <v>33314</v>
      </c>
      <c r="AA73" s="827">
        <v>28730</v>
      </c>
      <c r="AB73" s="827">
        <v>17238</v>
      </c>
      <c r="AC73" s="825">
        <v>0</v>
      </c>
      <c r="AD73" s="825">
        <v>0</v>
      </c>
      <c r="AE73" s="827">
        <v>0</v>
      </c>
      <c r="AF73" s="827">
        <v>0</v>
      </c>
      <c r="AG73" s="827">
        <v>100.09</v>
      </c>
      <c r="AH73" s="827">
        <v>60054</v>
      </c>
      <c r="AI73" s="831">
        <v>111830</v>
      </c>
      <c r="AJ73" s="831">
        <v>67098</v>
      </c>
      <c r="AK73" s="827"/>
      <c r="AL73" s="827"/>
      <c r="AM73" s="827"/>
      <c r="AN73" s="827"/>
    </row>
    <row r="74" spans="1:40">
      <c r="A74" s="1571" t="s">
        <v>266</v>
      </c>
      <c r="B74" s="829" t="s">
        <v>196</v>
      </c>
      <c r="C74" s="830">
        <v>0</v>
      </c>
      <c r="D74" s="830">
        <v>0</v>
      </c>
      <c r="E74" s="830">
        <v>0</v>
      </c>
      <c r="F74" s="830">
        <v>0</v>
      </c>
      <c r="G74" s="830">
        <v>0</v>
      </c>
      <c r="H74" s="830">
        <v>0</v>
      </c>
      <c r="I74" s="830">
        <v>0</v>
      </c>
      <c r="J74" s="830">
        <v>0</v>
      </c>
      <c r="K74" s="826">
        <v>1260</v>
      </c>
      <c r="L74" s="826">
        <v>12600</v>
      </c>
      <c r="M74" s="842">
        <v>0</v>
      </c>
      <c r="N74" s="831">
        <v>0</v>
      </c>
      <c r="O74" s="842">
        <v>0</v>
      </c>
      <c r="P74" s="842">
        <v>0</v>
      </c>
      <c r="Q74" s="842">
        <v>0</v>
      </c>
      <c r="R74" s="842">
        <v>0</v>
      </c>
      <c r="S74" s="842">
        <v>0</v>
      </c>
      <c r="T74" s="842">
        <v>0</v>
      </c>
      <c r="U74" s="842">
        <v>0</v>
      </c>
      <c r="V74" s="842">
        <v>0</v>
      </c>
      <c r="W74" s="842">
        <v>0</v>
      </c>
      <c r="X74" s="842">
        <v>0</v>
      </c>
      <c r="Y74" s="842">
        <v>0</v>
      </c>
      <c r="Z74" s="842">
        <v>0</v>
      </c>
      <c r="AA74" s="842">
        <v>0</v>
      </c>
      <c r="AB74" s="842">
        <v>0</v>
      </c>
      <c r="AC74" s="842">
        <v>0</v>
      </c>
      <c r="AD74" s="842">
        <v>0</v>
      </c>
      <c r="AE74" s="842">
        <v>0</v>
      </c>
      <c r="AF74" s="842">
        <v>0</v>
      </c>
      <c r="AG74" s="842">
        <v>0</v>
      </c>
      <c r="AH74" s="842">
        <v>0</v>
      </c>
      <c r="AI74" s="842">
        <v>0</v>
      </c>
      <c r="AJ74" s="842">
        <v>0</v>
      </c>
      <c r="AK74" s="827"/>
      <c r="AL74" s="827"/>
      <c r="AM74" s="827"/>
      <c r="AN74" s="827"/>
    </row>
    <row r="75" spans="1:40">
      <c r="A75" s="1572" t="s">
        <v>267</v>
      </c>
      <c r="B75" s="825"/>
      <c r="C75" s="826"/>
      <c r="D75" s="826">
        <f>SUM(D62:D74)</f>
        <v>90368</v>
      </c>
      <c r="E75" s="826"/>
      <c r="F75" s="826">
        <f>SUM(F62:F74)</f>
        <v>102629</v>
      </c>
      <c r="G75" s="826"/>
      <c r="H75" s="826">
        <f>SUM(H62:H74)</f>
        <v>197284</v>
      </c>
      <c r="I75" s="825"/>
      <c r="J75" s="827">
        <f>SUM(J62:J74)</f>
        <v>195500</v>
      </c>
      <c r="K75" s="829"/>
      <c r="L75" s="830">
        <f>SUM(L62:L74)</f>
        <v>213226</v>
      </c>
      <c r="M75" s="825"/>
      <c r="N75" s="827">
        <f>SUM(N62:N74)</f>
        <v>69978</v>
      </c>
      <c r="O75" s="825"/>
      <c r="P75" s="842">
        <f>SUM(P63:P63)</f>
        <v>131426</v>
      </c>
      <c r="Q75" s="830"/>
      <c r="R75" s="830">
        <v>477658</v>
      </c>
      <c r="S75" s="827"/>
      <c r="T75" s="831">
        <v>1866980</v>
      </c>
      <c r="U75" s="827"/>
      <c r="V75" s="827">
        <v>1234699</v>
      </c>
      <c r="W75" s="827"/>
      <c r="X75" s="827">
        <v>1434054</v>
      </c>
      <c r="Y75" s="827"/>
      <c r="Z75" s="827">
        <v>100470</v>
      </c>
      <c r="AA75" s="827"/>
      <c r="AB75" s="827">
        <f>SUM(AB62:AB73)</f>
        <v>77305</v>
      </c>
      <c r="AC75" s="840"/>
      <c r="AD75" s="833">
        <v>12963</v>
      </c>
      <c r="AE75" s="827"/>
      <c r="AF75" s="827"/>
      <c r="AG75" s="827"/>
      <c r="AH75" s="827">
        <v>95200</v>
      </c>
      <c r="AI75" s="827"/>
      <c r="AJ75" s="827">
        <v>134243</v>
      </c>
      <c r="AK75" s="827">
        <v>435280</v>
      </c>
      <c r="AL75" s="827">
        <v>403929</v>
      </c>
      <c r="AM75" s="827">
        <v>180298</v>
      </c>
      <c r="AN75" s="827">
        <v>227714</v>
      </c>
    </row>
    <row r="76" spans="1:40">
      <c r="A76" s="599"/>
      <c r="B76" s="794"/>
      <c r="C76" s="684"/>
      <c r="D76" s="684"/>
      <c r="E76" s="684"/>
      <c r="F76" s="684"/>
      <c r="G76" s="684"/>
      <c r="H76" s="684"/>
      <c r="I76" s="794"/>
      <c r="J76" s="794"/>
      <c r="K76" s="594"/>
      <c r="L76" s="594"/>
      <c r="M76" s="594"/>
      <c r="N76" s="672"/>
      <c r="O76" s="873"/>
      <c r="P76" s="873"/>
      <c r="Q76" s="670"/>
      <c r="R76" s="670"/>
      <c r="S76" s="626"/>
      <c r="T76" s="820"/>
      <c r="U76" s="626"/>
      <c r="V76" s="820"/>
      <c r="W76" s="626"/>
      <c r="X76" s="820"/>
      <c r="Y76" s="626"/>
      <c r="Z76" s="820"/>
      <c r="AA76" s="692"/>
      <c r="AB76" s="692"/>
      <c r="AC76" s="841"/>
      <c r="AD76" s="821"/>
      <c r="AE76" s="692"/>
      <c r="AF76" s="692"/>
      <c r="AG76" s="692"/>
      <c r="AH76" s="692"/>
      <c r="AI76" s="692"/>
      <c r="AJ76" s="710"/>
      <c r="AK76" s="710"/>
      <c r="AL76" s="710"/>
      <c r="AM76" s="692"/>
      <c r="AN76" s="710"/>
    </row>
    <row r="77" spans="1:40">
      <c r="A77" s="885" t="s">
        <v>269</v>
      </c>
      <c r="B77" s="594" t="s">
        <v>196</v>
      </c>
      <c r="C77" s="670">
        <v>37425</v>
      </c>
      <c r="D77" s="670">
        <v>508891876</v>
      </c>
      <c r="E77" s="670">
        <v>46287</v>
      </c>
      <c r="F77" s="670">
        <v>710655104</v>
      </c>
      <c r="G77" s="670">
        <v>64911</v>
      </c>
      <c r="H77" s="670">
        <v>1300079190</v>
      </c>
      <c r="I77" s="717">
        <v>90546</v>
      </c>
      <c r="J77" s="717">
        <v>1843770410</v>
      </c>
      <c r="K77" s="717">
        <v>130565</v>
      </c>
      <c r="L77" s="717">
        <v>2072691840</v>
      </c>
      <c r="M77" s="717">
        <v>161789</v>
      </c>
      <c r="N77" s="717">
        <v>2596453778</v>
      </c>
      <c r="O77" s="873">
        <v>181175</v>
      </c>
      <c r="P77" s="873">
        <v>2762816830</v>
      </c>
      <c r="Q77" s="670">
        <v>182042.864</v>
      </c>
      <c r="R77" s="670">
        <v>2689922065.1066504</v>
      </c>
      <c r="S77" s="626">
        <v>179800.1580467186</v>
      </c>
      <c r="T77" s="626">
        <v>2834190199.1441336</v>
      </c>
      <c r="U77" s="626">
        <v>193599</v>
      </c>
      <c r="V77" s="626">
        <v>3415060358</v>
      </c>
      <c r="W77" s="692">
        <v>187848</v>
      </c>
      <c r="X77" s="692">
        <v>3132866624</v>
      </c>
      <c r="Y77" s="710">
        <v>205889</v>
      </c>
      <c r="Z77" s="692">
        <v>3404646735</v>
      </c>
      <c r="AA77" s="692">
        <v>228021.62029211895</v>
      </c>
      <c r="AB77" s="692">
        <v>3409613840.042223</v>
      </c>
      <c r="AC77" s="789">
        <v>239456</v>
      </c>
      <c r="AD77" s="789">
        <v>3468954490</v>
      </c>
      <c r="AE77" s="692">
        <v>219258.32447076053</v>
      </c>
      <c r="AF77" s="692">
        <v>3219516923.8099003</v>
      </c>
      <c r="AG77" s="692">
        <v>204959.06826328571</v>
      </c>
      <c r="AH77" s="692">
        <v>2951257682.7412167</v>
      </c>
      <c r="AI77" s="710">
        <v>201205</v>
      </c>
      <c r="AJ77" s="710">
        <v>3245063559</v>
      </c>
      <c r="AK77" s="710">
        <v>184998</v>
      </c>
      <c r="AL77" s="710">
        <v>3279499524</v>
      </c>
      <c r="AM77" s="710">
        <v>187474</v>
      </c>
      <c r="AN77" s="710">
        <v>3445336712</v>
      </c>
    </row>
    <row r="78" spans="1:40">
      <c r="A78" s="599"/>
      <c r="B78" s="594"/>
      <c r="C78" s="670"/>
      <c r="D78" s="670"/>
      <c r="E78" s="670"/>
      <c r="F78" s="670"/>
      <c r="G78" s="670"/>
      <c r="H78" s="670"/>
      <c r="I78" s="594"/>
      <c r="J78" s="594"/>
      <c r="K78" s="717"/>
      <c r="L78" s="717"/>
      <c r="M78" s="717"/>
      <c r="N78" s="717"/>
      <c r="O78" s="873"/>
      <c r="P78" s="873"/>
      <c r="Q78" s="670"/>
      <c r="R78" s="670"/>
      <c r="S78" s="820"/>
      <c r="T78" s="820"/>
      <c r="U78" s="820"/>
      <c r="V78" s="820"/>
      <c r="W78" s="820"/>
      <c r="X78" s="820"/>
      <c r="Y78" s="820"/>
      <c r="Z78" s="820"/>
      <c r="AA78" s="692"/>
      <c r="AB78" s="692"/>
      <c r="AC78" s="821"/>
      <c r="AD78" s="821"/>
      <c r="AE78" s="692"/>
      <c r="AF78" s="692"/>
      <c r="AG78" s="692"/>
      <c r="AH78" s="692"/>
      <c r="AI78" s="710"/>
      <c r="AJ78" s="710"/>
      <c r="AK78" s="710"/>
      <c r="AL78" s="710"/>
      <c r="AM78" s="710"/>
      <c r="AN78" s="710"/>
    </row>
    <row r="79" spans="1:40">
      <c r="A79" s="1570" t="s">
        <v>271</v>
      </c>
      <c r="B79" s="829" t="s">
        <v>110</v>
      </c>
      <c r="C79" s="830">
        <v>545151</v>
      </c>
      <c r="D79" s="830">
        <v>6169189</v>
      </c>
      <c r="E79" s="830">
        <v>348639</v>
      </c>
      <c r="F79" s="830">
        <v>3908872</v>
      </c>
      <c r="G79" s="830">
        <v>233404</v>
      </c>
      <c r="H79" s="830">
        <v>2673698</v>
      </c>
      <c r="I79" s="826">
        <v>99162</v>
      </c>
      <c r="J79" s="826">
        <v>947660</v>
      </c>
      <c r="K79" s="826">
        <v>165967</v>
      </c>
      <c r="L79" s="826">
        <v>1326387</v>
      </c>
      <c r="M79" s="826">
        <v>154809</v>
      </c>
      <c r="N79" s="826">
        <v>995281</v>
      </c>
      <c r="O79" s="842">
        <v>82520</v>
      </c>
      <c r="P79" s="842">
        <v>612778</v>
      </c>
      <c r="Q79" s="830">
        <v>101822</v>
      </c>
      <c r="R79" s="830">
        <v>1041012</v>
      </c>
      <c r="S79" s="827">
        <v>124486</v>
      </c>
      <c r="T79" s="831">
        <v>1100095</v>
      </c>
      <c r="U79" s="827">
        <v>195158</v>
      </c>
      <c r="V79" s="831">
        <v>2071423</v>
      </c>
      <c r="W79" s="827">
        <v>229617</v>
      </c>
      <c r="X79" s="827">
        <v>2658560</v>
      </c>
      <c r="Y79" s="831">
        <v>252910</v>
      </c>
      <c r="Z79" s="827">
        <v>2451768</v>
      </c>
      <c r="AA79" s="827">
        <v>251909</v>
      </c>
      <c r="AB79" s="827">
        <v>2642427</v>
      </c>
      <c r="AC79" s="833">
        <v>834946</v>
      </c>
      <c r="AD79" s="833">
        <v>14337774</v>
      </c>
      <c r="AE79" s="827">
        <v>1261538</v>
      </c>
      <c r="AF79" s="827">
        <v>21767354</v>
      </c>
      <c r="AG79" s="827">
        <v>1336915.93</v>
      </c>
      <c r="AH79" s="827">
        <v>23394311</v>
      </c>
      <c r="AI79" s="831">
        <v>947380</v>
      </c>
      <c r="AJ79" s="831">
        <v>18470170</v>
      </c>
      <c r="AK79" s="831">
        <v>1346341</v>
      </c>
      <c r="AL79" s="831">
        <v>25704569</v>
      </c>
      <c r="AM79" s="831">
        <v>1458625</v>
      </c>
      <c r="AN79" s="831">
        <v>24786306</v>
      </c>
    </row>
    <row r="80" spans="1:40">
      <c r="A80" s="591"/>
      <c r="B80" s="594"/>
      <c r="C80" s="670"/>
      <c r="D80" s="670"/>
      <c r="E80" s="670"/>
      <c r="F80" s="670"/>
      <c r="G80" s="670"/>
      <c r="H80" s="670"/>
      <c r="I80" s="594"/>
      <c r="J80" s="594"/>
      <c r="K80" s="626"/>
      <c r="L80" s="626"/>
      <c r="M80" s="626"/>
      <c r="N80" s="626"/>
      <c r="O80" s="873"/>
      <c r="P80" s="873"/>
      <c r="Q80" s="670"/>
      <c r="R80" s="670"/>
      <c r="S80" s="820"/>
      <c r="T80" s="820"/>
      <c r="U80" s="820"/>
      <c r="V80" s="820"/>
      <c r="W80" s="820"/>
      <c r="X80" s="820"/>
      <c r="Y80" s="820"/>
      <c r="Z80" s="820"/>
      <c r="AA80" s="692"/>
      <c r="AB80" s="692"/>
      <c r="AE80" s="692"/>
      <c r="AF80" s="692"/>
      <c r="AG80" s="692"/>
      <c r="AH80" s="692"/>
      <c r="AI80" s="710"/>
      <c r="AJ80" s="710"/>
      <c r="AK80" s="710"/>
      <c r="AL80" s="710"/>
      <c r="AM80" s="710"/>
      <c r="AN80" s="710"/>
    </row>
    <row r="81" spans="1:40">
      <c r="A81" s="885" t="s">
        <v>272</v>
      </c>
      <c r="B81" s="794"/>
      <c r="C81" s="684"/>
      <c r="D81" s="684"/>
      <c r="E81" s="684"/>
      <c r="F81" s="684"/>
      <c r="G81" s="684"/>
      <c r="H81" s="684"/>
      <c r="I81" s="794"/>
      <c r="J81" s="794"/>
      <c r="K81" s="626"/>
      <c r="L81" s="626"/>
      <c r="M81" s="626"/>
      <c r="N81" s="626"/>
      <c r="O81" s="873"/>
      <c r="P81" s="873"/>
      <c r="Q81" s="670"/>
      <c r="R81" s="670"/>
      <c r="S81" s="820"/>
      <c r="T81" s="820"/>
      <c r="U81" s="820"/>
      <c r="V81" s="820"/>
      <c r="W81" s="710"/>
      <c r="X81" s="710"/>
      <c r="Y81" s="710"/>
      <c r="Z81" s="710"/>
      <c r="AA81" s="692"/>
      <c r="AB81" s="692"/>
      <c r="AC81" s="794"/>
      <c r="AD81" s="794"/>
      <c r="AE81" s="692"/>
      <c r="AF81" s="692"/>
      <c r="AG81" s="692"/>
      <c r="AH81" s="692"/>
      <c r="AI81" s="710"/>
      <c r="AJ81" s="710"/>
      <c r="AK81" s="710"/>
      <c r="AL81" s="710"/>
      <c r="AM81" s="710"/>
      <c r="AN81" s="710"/>
    </row>
    <row r="82" spans="1:40">
      <c r="A82" s="886" t="s">
        <v>556</v>
      </c>
      <c r="B82" s="594" t="s">
        <v>110</v>
      </c>
      <c r="C82" s="670">
        <v>4269</v>
      </c>
      <c r="D82" s="670">
        <v>149459</v>
      </c>
      <c r="E82" s="670">
        <v>8166</v>
      </c>
      <c r="F82" s="670">
        <v>285810</v>
      </c>
      <c r="G82" s="670">
        <v>12122</v>
      </c>
      <c r="H82" s="670">
        <v>427334</v>
      </c>
      <c r="I82" s="717">
        <v>17890</v>
      </c>
      <c r="J82" s="717">
        <v>630044</v>
      </c>
      <c r="K82" s="717">
        <v>26069</v>
      </c>
      <c r="L82" s="717">
        <v>977265</v>
      </c>
      <c r="M82" s="717">
        <v>27768</v>
      </c>
      <c r="N82" s="717">
        <v>1152128</v>
      </c>
      <c r="O82" s="871">
        <v>22141</v>
      </c>
      <c r="P82" s="871">
        <v>2071178</v>
      </c>
      <c r="Q82" s="670">
        <v>35993</v>
      </c>
      <c r="R82" s="670">
        <v>3385985</v>
      </c>
      <c r="S82" s="626">
        <v>42517</v>
      </c>
      <c r="T82" s="626">
        <v>4038822</v>
      </c>
      <c r="U82" s="626">
        <v>55962</v>
      </c>
      <c r="V82" s="626">
        <v>5320446</v>
      </c>
      <c r="W82" s="692">
        <v>71070</v>
      </c>
      <c r="X82" s="692">
        <v>6752553</v>
      </c>
      <c r="Y82" s="710">
        <v>83655</v>
      </c>
      <c r="Z82" s="692">
        <v>7948288</v>
      </c>
      <c r="AA82" s="692">
        <v>98456</v>
      </c>
      <c r="AB82" s="692">
        <v>11323354</v>
      </c>
      <c r="AC82" s="789">
        <v>116037</v>
      </c>
      <c r="AD82" s="789">
        <v>13644227</v>
      </c>
      <c r="AE82" s="692">
        <v>88579.665000000008</v>
      </c>
      <c r="AF82" s="692">
        <v>11313352.26</v>
      </c>
      <c r="AG82" s="692">
        <v>103814.68</v>
      </c>
      <c r="AH82" s="692">
        <v>12471320</v>
      </c>
      <c r="AI82" s="710">
        <v>111637</v>
      </c>
      <c r="AJ82" s="670" t="s">
        <v>273</v>
      </c>
      <c r="AK82" s="710">
        <v>102276</v>
      </c>
      <c r="AL82" s="670" t="s">
        <v>273</v>
      </c>
      <c r="AM82" s="710">
        <v>110972</v>
      </c>
      <c r="AN82" s="684" t="s">
        <v>273</v>
      </c>
    </row>
    <row r="83" spans="1:40">
      <c r="A83" s="886" t="s">
        <v>557</v>
      </c>
      <c r="B83" s="594" t="s">
        <v>110</v>
      </c>
      <c r="C83" s="670">
        <v>1187577</v>
      </c>
      <c r="D83" s="670"/>
      <c r="E83" s="670">
        <v>1050131</v>
      </c>
      <c r="G83" s="670">
        <v>1038922</v>
      </c>
      <c r="H83" s="670">
        <v>57843880</v>
      </c>
      <c r="I83" s="717">
        <v>946494</v>
      </c>
      <c r="J83" s="717">
        <v>63934291</v>
      </c>
      <c r="K83" s="717">
        <v>874782</v>
      </c>
      <c r="L83" s="717">
        <v>67183462</v>
      </c>
      <c r="M83" s="717">
        <v>1071845</v>
      </c>
      <c r="N83" s="717">
        <v>89606326</v>
      </c>
      <c r="O83" s="871">
        <v>965930</v>
      </c>
      <c r="P83" s="871">
        <v>85482878</v>
      </c>
      <c r="Q83" s="670">
        <v>974801</v>
      </c>
      <c r="R83" s="670">
        <v>83153556</v>
      </c>
      <c r="S83" s="626">
        <v>990351</v>
      </c>
      <c r="T83" s="626">
        <v>81661030</v>
      </c>
      <c r="U83" s="626">
        <v>1069717</v>
      </c>
      <c r="V83" s="626">
        <v>92318841</v>
      </c>
      <c r="W83" s="692">
        <v>987018</v>
      </c>
      <c r="X83" s="692">
        <v>89648027</v>
      </c>
      <c r="Y83" s="710">
        <v>1101515</v>
      </c>
      <c r="Z83" s="692">
        <v>111179482</v>
      </c>
      <c r="AA83" s="692">
        <v>1100919</v>
      </c>
      <c r="AB83" s="692">
        <v>117284071</v>
      </c>
      <c r="AC83" s="789">
        <v>1313266</v>
      </c>
      <c r="AD83" s="789">
        <v>149137955</v>
      </c>
      <c r="AE83" s="692">
        <v>1319855.76</v>
      </c>
      <c r="AF83" s="692">
        <v>158587045.05000001</v>
      </c>
      <c r="AG83" s="692">
        <v>1161389</v>
      </c>
      <c r="AH83" s="692">
        <v>151655393</v>
      </c>
      <c r="AI83" s="710">
        <v>1088613</v>
      </c>
      <c r="AJ83" s="710">
        <v>168745136</v>
      </c>
      <c r="AK83" s="710">
        <v>801236</v>
      </c>
      <c r="AL83" s="710">
        <v>128753900</v>
      </c>
      <c r="AM83" s="710">
        <v>960367</v>
      </c>
      <c r="AN83" s="710">
        <v>136508821</v>
      </c>
    </row>
    <row r="84" spans="1:40">
      <c r="A84" s="886" t="s">
        <v>274</v>
      </c>
      <c r="B84" s="594" t="s">
        <v>110</v>
      </c>
      <c r="C84" s="670">
        <v>140</v>
      </c>
      <c r="D84" s="670">
        <v>55385867</v>
      </c>
      <c r="E84" s="470">
        <v>0</v>
      </c>
      <c r="F84" s="670">
        <v>59817919</v>
      </c>
      <c r="G84" s="670">
        <v>53</v>
      </c>
      <c r="H84" s="670">
        <v>13250</v>
      </c>
      <c r="I84" s="717">
        <v>0</v>
      </c>
      <c r="J84" s="717">
        <v>0</v>
      </c>
      <c r="K84" s="717">
        <v>0</v>
      </c>
      <c r="L84" s="717">
        <v>0</v>
      </c>
      <c r="M84" s="717">
        <v>0</v>
      </c>
      <c r="N84" s="717">
        <v>0</v>
      </c>
      <c r="O84" s="717">
        <v>0</v>
      </c>
      <c r="P84" s="717">
        <v>0</v>
      </c>
      <c r="Q84" s="717">
        <v>0</v>
      </c>
      <c r="R84" s="717">
        <v>0</v>
      </c>
      <c r="S84" s="717">
        <v>0</v>
      </c>
      <c r="T84" s="717">
        <v>0</v>
      </c>
      <c r="U84" s="717">
        <v>0</v>
      </c>
      <c r="V84" s="717">
        <v>0</v>
      </c>
      <c r="W84" s="717">
        <v>0</v>
      </c>
      <c r="X84" s="717">
        <v>0</v>
      </c>
      <c r="Y84" s="717">
        <v>0</v>
      </c>
      <c r="Z84" s="717">
        <v>0</v>
      </c>
      <c r="AA84" s="717">
        <v>0</v>
      </c>
      <c r="AB84" s="717">
        <v>0</v>
      </c>
      <c r="AC84" s="717">
        <v>0</v>
      </c>
      <c r="AD84" s="717">
        <v>0</v>
      </c>
      <c r="AE84" s="717">
        <v>0</v>
      </c>
      <c r="AF84" s="717">
        <v>0</v>
      </c>
      <c r="AG84" s="717">
        <v>0</v>
      </c>
      <c r="AH84" s="717">
        <v>0</v>
      </c>
      <c r="AI84" s="717">
        <v>0</v>
      </c>
      <c r="AJ84" s="717">
        <v>0</v>
      </c>
      <c r="AK84" s="710">
        <v>0</v>
      </c>
      <c r="AL84" s="710">
        <v>0</v>
      </c>
      <c r="AM84" s="710">
        <v>0</v>
      </c>
      <c r="AN84" s="710">
        <v>0</v>
      </c>
    </row>
    <row r="85" spans="1:40">
      <c r="A85" s="886" t="s">
        <v>558</v>
      </c>
      <c r="B85" s="594" t="s">
        <v>110</v>
      </c>
      <c r="C85" s="670">
        <v>69516</v>
      </c>
      <c r="D85" s="670"/>
      <c r="E85" s="670">
        <v>57818</v>
      </c>
      <c r="F85" s="670"/>
      <c r="G85" s="670">
        <v>61178</v>
      </c>
      <c r="H85" s="670">
        <v>22899652</v>
      </c>
      <c r="I85" s="717">
        <v>195504</v>
      </c>
      <c r="J85" s="717">
        <v>69996495</v>
      </c>
      <c r="K85" s="717">
        <v>227979</v>
      </c>
      <c r="L85" s="717">
        <v>95474088</v>
      </c>
      <c r="M85" s="717">
        <v>284109.11</v>
      </c>
      <c r="N85" s="717">
        <v>131107248</v>
      </c>
      <c r="O85" s="871">
        <v>263408</v>
      </c>
      <c r="P85" s="871">
        <v>131710093</v>
      </c>
      <c r="Q85" s="684">
        <v>305118</v>
      </c>
      <c r="R85" s="684">
        <v>153117864</v>
      </c>
      <c r="S85" s="626">
        <v>361421</v>
      </c>
      <c r="T85" s="626">
        <v>168546726</v>
      </c>
      <c r="U85" s="626">
        <v>332994</v>
      </c>
      <c r="V85" s="626">
        <v>153940432</v>
      </c>
      <c r="W85" s="692">
        <v>396275</v>
      </c>
      <c r="X85" s="692">
        <v>184625545</v>
      </c>
      <c r="Y85" s="710">
        <v>408521</v>
      </c>
      <c r="Z85" s="692">
        <v>199569466</v>
      </c>
      <c r="AA85" s="692">
        <v>413457</v>
      </c>
      <c r="AB85" s="692">
        <v>205199238</v>
      </c>
      <c r="AC85" s="789">
        <v>467258</v>
      </c>
      <c r="AD85" s="789">
        <v>241631970</v>
      </c>
      <c r="AE85" s="692">
        <v>475539</v>
      </c>
      <c r="AF85" s="692">
        <v>275230270.17250901</v>
      </c>
      <c r="AG85" s="692">
        <v>552505</v>
      </c>
      <c r="AH85" s="692">
        <v>324646687.80963999</v>
      </c>
      <c r="AI85" s="710">
        <v>643274</v>
      </c>
      <c r="AJ85" s="710">
        <v>409192213.61184621</v>
      </c>
      <c r="AK85" s="710">
        <v>585913</v>
      </c>
      <c r="AL85" s="710">
        <v>380208228</v>
      </c>
      <c r="AM85" s="710">
        <v>597273.93939393945</v>
      </c>
      <c r="AN85" s="710">
        <v>353782300</v>
      </c>
    </row>
    <row r="86" spans="1:40">
      <c r="A86" s="886" t="s">
        <v>275</v>
      </c>
      <c r="B86" s="594" t="s">
        <v>110</v>
      </c>
      <c r="C86" s="670">
        <v>39</v>
      </c>
      <c r="D86" s="670">
        <v>3618</v>
      </c>
      <c r="E86" s="670">
        <v>249</v>
      </c>
      <c r="F86" s="670">
        <v>29817</v>
      </c>
      <c r="G86" s="670">
        <v>955</v>
      </c>
      <c r="H86" s="670">
        <v>153220</v>
      </c>
      <c r="I86" s="717">
        <v>826</v>
      </c>
      <c r="J86" s="717">
        <v>114799</v>
      </c>
      <c r="K86" s="692">
        <v>0</v>
      </c>
      <c r="L86" s="692">
        <v>0</v>
      </c>
      <c r="M86" s="692">
        <v>0</v>
      </c>
      <c r="N86" s="692">
        <v>0</v>
      </c>
      <c r="O86" s="692">
        <v>0</v>
      </c>
      <c r="P86" s="692">
        <v>0</v>
      </c>
      <c r="Q86" s="692">
        <v>0</v>
      </c>
      <c r="R86" s="692">
        <v>0</v>
      </c>
      <c r="S86" s="692">
        <v>0</v>
      </c>
      <c r="T86" s="692">
        <v>0</v>
      </c>
      <c r="U86" s="692">
        <v>0</v>
      </c>
      <c r="V86" s="692">
        <v>0</v>
      </c>
      <c r="W86" s="692">
        <v>0</v>
      </c>
      <c r="X86" s="692">
        <v>0</v>
      </c>
      <c r="Y86" s="692">
        <v>0</v>
      </c>
      <c r="Z86" s="692">
        <v>0</v>
      </c>
      <c r="AA86" s="692">
        <v>0</v>
      </c>
      <c r="AB86" s="692">
        <v>0</v>
      </c>
      <c r="AC86" s="692">
        <v>0</v>
      </c>
      <c r="AD86" s="692">
        <v>0</v>
      </c>
      <c r="AE86" s="692">
        <v>0</v>
      </c>
      <c r="AF86" s="692">
        <v>0</v>
      </c>
      <c r="AG86" s="692">
        <v>0</v>
      </c>
      <c r="AH86" s="692">
        <v>0</v>
      </c>
      <c r="AI86" s="692">
        <v>0</v>
      </c>
      <c r="AJ86" s="692">
        <v>0</v>
      </c>
      <c r="AK86" s="710">
        <v>0</v>
      </c>
      <c r="AL86" s="710">
        <v>0</v>
      </c>
      <c r="AM86" s="710">
        <v>0</v>
      </c>
      <c r="AN86" s="710">
        <v>0</v>
      </c>
    </row>
    <row r="87" spans="1:40">
      <c r="A87" s="886" t="s">
        <v>559</v>
      </c>
      <c r="B87" s="594" t="s">
        <v>110</v>
      </c>
      <c r="C87" s="670">
        <v>19571</v>
      </c>
      <c r="D87" s="670">
        <v>4583699</v>
      </c>
      <c r="E87" s="670">
        <v>19002</v>
      </c>
      <c r="F87" s="670">
        <v>6219583</v>
      </c>
      <c r="G87" s="670">
        <v>12606</v>
      </c>
      <c r="H87" s="670">
        <v>5140988</v>
      </c>
      <c r="I87" s="717">
        <v>10882</v>
      </c>
      <c r="J87" s="717">
        <v>4581114</v>
      </c>
      <c r="K87" s="717">
        <v>18297</v>
      </c>
      <c r="L87" s="717">
        <v>7781578</v>
      </c>
      <c r="M87" s="717">
        <v>15023</v>
      </c>
      <c r="N87" s="717">
        <v>7902766</v>
      </c>
      <c r="O87" s="871">
        <v>23836</v>
      </c>
      <c r="P87" s="871">
        <v>13259826</v>
      </c>
      <c r="Q87" s="684">
        <v>11782</v>
      </c>
      <c r="R87" s="684">
        <v>6517864</v>
      </c>
      <c r="S87" s="626">
        <v>11215</v>
      </c>
      <c r="T87" s="626">
        <v>4446491</v>
      </c>
      <c r="U87" s="626">
        <v>17438</v>
      </c>
      <c r="V87" s="626">
        <v>6934515</v>
      </c>
      <c r="W87" s="692">
        <v>19243</v>
      </c>
      <c r="X87" s="692">
        <v>7730200</v>
      </c>
      <c r="Y87" s="710">
        <v>21776</v>
      </c>
      <c r="Z87" s="692">
        <v>10556319</v>
      </c>
      <c r="AA87" s="692">
        <v>30723</v>
      </c>
      <c r="AB87" s="692">
        <v>15187711</v>
      </c>
      <c r="AC87" s="789">
        <v>28346</v>
      </c>
      <c r="AD87" s="789">
        <v>10986255</v>
      </c>
      <c r="AE87" s="692">
        <v>17512.75</v>
      </c>
      <c r="AF87" s="692">
        <v>8130864.9000000004</v>
      </c>
      <c r="AG87" s="692">
        <v>39064</v>
      </c>
      <c r="AH87" s="692">
        <v>16378713</v>
      </c>
      <c r="AI87" s="710">
        <v>39814</v>
      </c>
      <c r="AJ87" s="710">
        <v>18052535</v>
      </c>
      <c r="AK87" s="710">
        <v>39768</v>
      </c>
      <c r="AL87" s="710">
        <v>19442862</v>
      </c>
      <c r="AM87" s="710">
        <v>38060</v>
      </c>
      <c r="AN87" s="710">
        <v>15935474</v>
      </c>
    </row>
    <row r="88" spans="1:40">
      <c r="A88" s="886" t="s">
        <v>276</v>
      </c>
      <c r="B88" s="594" t="s">
        <v>110</v>
      </c>
      <c r="C88" s="670"/>
      <c r="D88" s="670"/>
      <c r="E88" s="670"/>
      <c r="F88" s="670"/>
      <c r="G88" s="670"/>
      <c r="H88" s="670"/>
      <c r="I88" s="717"/>
      <c r="J88" s="717"/>
      <c r="K88" s="717"/>
      <c r="L88" s="717"/>
      <c r="M88" s="717"/>
      <c r="N88" s="717"/>
      <c r="O88" s="871"/>
      <c r="P88" s="871"/>
      <c r="Q88" s="684"/>
      <c r="R88" s="684"/>
      <c r="S88" s="626"/>
      <c r="T88" s="626"/>
      <c r="U88" s="626"/>
      <c r="V88" s="626"/>
      <c r="W88" s="692"/>
      <c r="X88" s="692"/>
      <c r="Y88" s="710"/>
      <c r="Z88" s="692"/>
      <c r="AA88" s="692"/>
      <c r="AB88" s="692"/>
      <c r="AC88" s="789"/>
      <c r="AD88" s="789"/>
      <c r="AE88" s="692"/>
      <c r="AF88" s="692"/>
      <c r="AG88" s="692"/>
      <c r="AH88" s="692"/>
      <c r="AI88" s="710"/>
      <c r="AJ88" s="710"/>
      <c r="AK88" s="710"/>
      <c r="AL88" s="710"/>
      <c r="AM88" s="710"/>
      <c r="AN88" s="710"/>
    </row>
    <row r="89" spans="1:40">
      <c r="A89" s="886" t="s">
        <v>277</v>
      </c>
      <c r="B89" s="594" t="s">
        <v>110</v>
      </c>
      <c r="C89" s="670">
        <v>16590</v>
      </c>
      <c r="D89" s="670">
        <v>7512887</v>
      </c>
      <c r="E89" s="670">
        <v>17962</v>
      </c>
      <c r="F89" s="670">
        <v>10384934</v>
      </c>
      <c r="G89" s="670">
        <v>12407</v>
      </c>
      <c r="H89" s="670">
        <v>8417755</v>
      </c>
      <c r="I89" s="717">
        <v>9705</v>
      </c>
      <c r="J89" s="717">
        <v>6960550</v>
      </c>
      <c r="K89" s="717">
        <v>10133</v>
      </c>
      <c r="L89" s="717">
        <v>7445827</v>
      </c>
      <c r="M89" s="717">
        <v>13358</v>
      </c>
      <c r="N89" s="717">
        <v>9731111</v>
      </c>
      <c r="O89" s="871">
        <v>6869</v>
      </c>
      <c r="P89" s="871">
        <v>5113867</v>
      </c>
      <c r="Q89" s="670">
        <v>7372</v>
      </c>
      <c r="R89" s="670">
        <v>2131269</v>
      </c>
      <c r="S89" s="626">
        <v>6211</v>
      </c>
      <c r="T89" s="626">
        <v>1813910</v>
      </c>
      <c r="U89" s="626">
        <v>5848</v>
      </c>
      <c r="V89" s="626">
        <v>1667044</v>
      </c>
      <c r="W89" s="692">
        <v>300</v>
      </c>
      <c r="X89" s="692">
        <v>82525</v>
      </c>
      <c r="Y89" s="692">
        <v>0</v>
      </c>
      <c r="Z89" s="692">
        <v>0</v>
      </c>
      <c r="AA89" s="692">
        <v>0</v>
      </c>
      <c r="AB89" s="692">
        <v>0</v>
      </c>
      <c r="AC89" s="692">
        <v>0</v>
      </c>
      <c r="AD89" s="692">
        <v>0</v>
      </c>
      <c r="AE89" s="692">
        <v>0</v>
      </c>
      <c r="AF89" s="692">
        <v>0</v>
      </c>
      <c r="AG89" s="692">
        <v>0</v>
      </c>
      <c r="AH89" s="692">
        <v>0</v>
      </c>
      <c r="AI89" s="692">
        <v>0</v>
      </c>
      <c r="AJ89" s="692">
        <v>0</v>
      </c>
      <c r="AK89" s="710">
        <v>0</v>
      </c>
      <c r="AL89" s="710">
        <v>0</v>
      </c>
      <c r="AM89" s="710">
        <v>0</v>
      </c>
      <c r="AN89" s="710">
        <v>0</v>
      </c>
    </row>
    <row r="90" spans="1:40">
      <c r="A90" s="886" t="s">
        <v>560</v>
      </c>
      <c r="B90" s="594" t="s">
        <v>110</v>
      </c>
      <c r="C90" s="670">
        <v>73484</v>
      </c>
      <c r="D90" s="670">
        <v>25457848</v>
      </c>
      <c r="E90" s="670">
        <v>71794</v>
      </c>
      <c r="F90" s="670">
        <v>30751960</v>
      </c>
      <c r="G90" s="670">
        <v>82462</v>
      </c>
      <c r="H90" s="670">
        <v>46089968</v>
      </c>
      <c r="I90" s="717">
        <v>85078</v>
      </c>
      <c r="J90" s="717">
        <v>51168571</v>
      </c>
      <c r="K90" s="717">
        <v>100484</v>
      </c>
      <c r="L90" s="717">
        <v>62491492</v>
      </c>
      <c r="M90" s="717">
        <v>82232</v>
      </c>
      <c r="N90" s="717">
        <v>58541710</v>
      </c>
      <c r="O90" s="871">
        <v>65446</v>
      </c>
      <c r="P90" s="871">
        <v>49598010</v>
      </c>
      <c r="Q90" s="670">
        <v>47466</v>
      </c>
      <c r="R90" s="670">
        <v>26878559</v>
      </c>
      <c r="S90" s="626">
        <v>75928</v>
      </c>
      <c r="T90" s="626">
        <v>42135260</v>
      </c>
      <c r="U90" s="626">
        <v>68931</v>
      </c>
      <c r="V90" s="626">
        <v>35757509</v>
      </c>
      <c r="W90" s="692">
        <v>107782</v>
      </c>
      <c r="X90" s="692">
        <v>56131247</v>
      </c>
      <c r="Y90" s="710">
        <v>119140</v>
      </c>
      <c r="Z90" s="692">
        <v>75058683</v>
      </c>
      <c r="AA90" s="692">
        <v>110962</v>
      </c>
      <c r="AB90" s="692">
        <v>77743262</v>
      </c>
      <c r="AC90" s="789">
        <v>104134</v>
      </c>
      <c r="AD90" s="789">
        <v>78581122</v>
      </c>
      <c r="AE90" s="692">
        <v>119708.715</v>
      </c>
      <c r="AF90" s="692">
        <v>90971055.629999995</v>
      </c>
      <c r="AG90" s="692">
        <v>98493</v>
      </c>
      <c r="AH90" s="692">
        <v>72778349</v>
      </c>
      <c r="AI90" s="710">
        <v>127212.62</v>
      </c>
      <c r="AJ90" s="710">
        <v>110036230</v>
      </c>
      <c r="AK90" s="710">
        <v>122610</v>
      </c>
      <c r="AL90" s="710">
        <v>106743027</v>
      </c>
      <c r="AM90" s="710">
        <v>113569</v>
      </c>
      <c r="AN90" s="710">
        <v>82530715</v>
      </c>
    </row>
    <row r="91" spans="1:40">
      <c r="A91" s="886" t="s">
        <v>278</v>
      </c>
      <c r="B91" s="594" t="s">
        <v>110</v>
      </c>
      <c r="C91" s="692">
        <v>0</v>
      </c>
      <c r="D91" s="692">
        <v>0</v>
      </c>
      <c r="E91" s="692">
        <v>0</v>
      </c>
      <c r="F91" s="692">
        <v>0</v>
      </c>
      <c r="G91" s="692">
        <v>0</v>
      </c>
      <c r="H91" s="692">
        <v>0</v>
      </c>
      <c r="I91" s="692">
        <v>0</v>
      </c>
      <c r="J91" s="692">
        <v>0</v>
      </c>
      <c r="K91" s="692">
        <v>0</v>
      </c>
      <c r="L91" s="692">
        <v>0</v>
      </c>
      <c r="M91" s="692">
        <v>0</v>
      </c>
      <c r="N91" s="692">
        <v>0</v>
      </c>
      <c r="O91" s="692">
        <v>0</v>
      </c>
      <c r="P91" s="692">
        <v>0</v>
      </c>
      <c r="Q91" s="692">
        <v>0</v>
      </c>
      <c r="R91" s="692">
        <v>0</v>
      </c>
      <c r="S91" s="692">
        <v>0</v>
      </c>
      <c r="T91" s="692">
        <v>0</v>
      </c>
      <c r="U91" s="692">
        <v>0</v>
      </c>
      <c r="V91" s="692">
        <v>0</v>
      </c>
      <c r="W91" s="692">
        <v>0</v>
      </c>
      <c r="X91" s="692">
        <v>0</v>
      </c>
      <c r="Y91" s="692">
        <v>0</v>
      </c>
      <c r="Z91" s="692">
        <v>0</v>
      </c>
      <c r="AA91" s="692">
        <v>0</v>
      </c>
      <c r="AB91" s="692">
        <v>0</v>
      </c>
      <c r="AC91" s="692">
        <v>0</v>
      </c>
      <c r="AD91" s="692">
        <v>0</v>
      </c>
      <c r="AE91" s="692">
        <v>0</v>
      </c>
      <c r="AF91" s="692">
        <v>0</v>
      </c>
      <c r="AG91" s="692">
        <v>0</v>
      </c>
      <c r="AH91" s="692">
        <v>0</v>
      </c>
      <c r="AI91" s="710">
        <v>191.5</v>
      </c>
      <c r="AJ91" s="710">
        <v>37407</v>
      </c>
      <c r="AK91" s="710">
        <v>2129</v>
      </c>
      <c r="AL91" s="710">
        <v>332509</v>
      </c>
      <c r="AM91" s="710">
        <v>1613</v>
      </c>
      <c r="AN91" s="710">
        <v>242988</v>
      </c>
    </row>
    <row r="92" spans="1:40">
      <c r="A92" s="886" t="s">
        <v>279</v>
      </c>
      <c r="B92" s="594" t="s">
        <v>110</v>
      </c>
      <c r="C92" s="670">
        <v>42</v>
      </c>
      <c r="D92" s="670">
        <v>397547</v>
      </c>
      <c r="E92" s="670">
        <v>25</v>
      </c>
      <c r="F92" s="670">
        <v>345693</v>
      </c>
      <c r="G92" s="670">
        <v>43</v>
      </c>
      <c r="H92" s="670">
        <v>328846</v>
      </c>
      <c r="I92" s="692">
        <v>0</v>
      </c>
      <c r="J92" s="692">
        <v>0</v>
      </c>
      <c r="K92" s="717">
        <v>20</v>
      </c>
      <c r="L92" s="717">
        <v>105840</v>
      </c>
      <c r="M92" s="692">
        <v>0</v>
      </c>
      <c r="N92" s="692">
        <v>0</v>
      </c>
      <c r="O92" s="692">
        <v>0</v>
      </c>
      <c r="P92" s="692">
        <v>0</v>
      </c>
      <c r="Q92" s="692">
        <v>0</v>
      </c>
      <c r="R92" s="692">
        <v>0</v>
      </c>
      <c r="S92" s="692">
        <v>0</v>
      </c>
      <c r="T92" s="692">
        <v>0</v>
      </c>
      <c r="U92" s="692">
        <v>0</v>
      </c>
      <c r="V92" s="692">
        <v>0</v>
      </c>
      <c r="W92" s="692">
        <v>0</v>
      </c>
      <c r="X92" s="692">
        <v>0</v>
      </c>
      <c r="Y92" s="692">
        <v>0</v>
      </c>
      <c r="Z92" s="692">
        <v>0</v>
      </c>
      <c r="AA92" s="692">
        <v>0</v>
      </c>
      <c r="AB92" s="692">
        <v>0</v>
      </c>
      <c r="AC92" s="692">
        <v>0</v>
      </c>
      <c r="AD92" s="692">
        <v>0</v>
      </c>
      <c r="AE92" s="692">
        <v>0</v>
      </c>
      <c r="AF92" s="692">
        <v>0</v>
      </c>
      <c r="AG92" s="692">
        <v>0</v>
      </c>
      <c r="AH92" s="692">
        <v>0</v>
      </c>
      <c r="AI92" s="692">
        <v>0</v>
      </c>
      <c r="AJ92" s="692">
        <v>0</v>
      </c>
      <c r="AK92" s="710">
        <v>0</v>
      </c>
      <c r="AL92" s="710">
        <v>0</v>
      </c>
      <c r="AM92" s="710">
        <v>0</v>
      </c>
      <c r="AN92" s="710">
        <v>0</v>
      </c>
    </row>
    <row r="93" spans="1:40">
      <c r="A93" s="886" t="s">
        <v>561</v>
      </c>
      <c r="B93" s="594" t="s">
        <v>110</v>
      </c>
      <c r="C93" s="670">
        <v>362339</v>
      </c>
      <c r="D93" s="670">
        <v>41279076</v>
      </c>
      <c r="E93" s="670">
        <v>249030</v>
      </c>
      <c r="F93" s="670">
        <v>48356864</v>
      </c>
      <c r="G93" s="670">
        <v>310576</v>
      </c>
      <c r="H93" s="670">
        <v>56297397</v>
      </c>
      <c r="I93" s="717">
        <v>366053</v>
      </c>
      <c r="J93" s="717">
        <v>97148148</v>
      </c>
      <c r="K93" s="717">
        <v>340140</v>
      </c>
      <c r="L93" s="717">
        <v>151609319</v>
      </c>
      <c r="M93" s="717">
        <v>300256</v>
      </c>
      <c r="N93" s="717">
        <v>175190729</v>
      </c>
      <c r="O93" s="871">
        <v>208424</v>
      </c>
      <c r="P93" s="871">
        <v>100801777</v>
      </c>
      <c r="Q93" s="670">
        <v>226930</v>
      </c>
      <c r="R93" s="670">
        <v>61114152</v>
      </c>
      <c r="S93" s="626">
        <v>302463</v>
      </c>
      <c r="T93" s="626">
        <v>49191977</v>
      </c>
      <c r="U93" s="626">
        <v>349134</v>
      </c>
      <c r="V93" s="626">
        <v>63098512</v>
      </c>
      <c r="W93" s="692">
        <v>477052</v>
      </c>
      <c r="X93" s="692">
        <v>129771749</v>
      </c>
      <c r="Y93" s="710">
        <v>410025</v>
      </c>
      <c r="Z93" s="692">
        <v>181210326</v>
      </c>
      <c r="AA93" s="692">
        <v>324087</v>
      </c>
      <c r="AB93" s="692">
        <v>177986602</v>
      </c>
      <c r="AC93" s="789">
        <v>321381</v>
      </c>
      <c r="AD93" s="789">
        <v>169129893</v>
      </c>
      <c r="AE93" s="692">
        <v>284532.83</v>
      </c>
      <c r="AF93" s="692">
        <v>136065790.06999999</v>
      </c>
      <c r="AG93" s="692">
        <v>348109</v>
      </c>
      <c r="AH93" s="692">
        <v>153271253</v>
      </c>
      <c r="AI93" s="710">
        <v>343080</v>
      </c>
      <c r="AJ93" s="710">
        <v>198837333</v>
      </c>
      <c r="AK93" s="710">
        <v>317770</v>
      </c>
      <c r="AL93" s="710">
        <v>218836980</v>
      </c>
      <c r="AM93" s="710">
        <v>411150</v>
      </c>
      <c r="AN93" s="710">
        <v>255814591</v>
      </c>
    </row>
    <row r="94" spans="1:40">
      <c r="A94" s="886" t="s">
        <v>45</v>
      </c>
      <c r="B94" s="594"/>
      <c r="C94" s="670"/>
      <c r="D94" s="670"/>
      <c r="E94" s="670"/>
      <c r="F94" s="670"/>
      <c r="G94" s="670"/>
      <c r="H94" s="670"/>
      <c r="I94" s="717"/>
      <c r="J94" s="717"/>
      <c r="K94" s="717"/>
      <c r="L94" s="717"/>
      <c r="M94" s="717"/>
      <c r="N94" s="717"/>
      <c r="O94" s="871"/>
      <c r="P94" s="871"/>
      <c r="Q94" s="670"/>
      <c r="R94" s="670"/>
      <c r="S94" s="626"/>
      <c r="T94" s="626"/>
      <c r="U94" s="626"/>
      <c r="V94" s="626"/>
      <c r="W94" s="692"/>
      <c r="X94" s="692"/>
      <c r="Y94" s="710"/>
      <c r="Z94" s="692"/>
      <c r="AA94" s="692"/>
      <c r="AB94" s="692"/>
      <c r="AC94" s="789"/>
      <c r="AD94" s="789"/>
      <c r="AE94" s="692"/>
      <c r="AF94" s="692"/>
      <c r="AG94" s="692"/>
      <c r="AH94" s="692"/>
      <c r="AI94" s="710"/>
      <c r="AJ94" s="710"/>
      <c r="AK94" s="710"/>
      <c r="AL94" s="710"/>
      <c r="AM94" s="710"/>
      <c r="AN94" s="710"/>
    </row>
    <row r="95" spans="1:40">
      <c r="A95" s="889" t="s">
        <v>547</v>
      </c>
      <c r="B95" s="794"/>
      <c r="C95" s="684"/>
      <c r="D95" s="684">
        <f>SUM(D82:D93)</f>
        <v>134770001</v>
      </c>
      <c r="E95" s="684"/>
      <c r="F95" s="684">
        <f>SUM(F82:F93)</f>
        <v>156192580</v>
      </c>
      <c r="G95" s="684"/>
      <c r="H95" s="684">
        <f>SUM(H84:H93)</f>
        <v>139341076</v>
      </c>
      <c r="I95" s="794"/>
      <c r="J95" s="692">
        <f>SUM(J82:J93)</f>
        <v>294534012</v>
      </c>
      <c r="K95" s="626"/>
      <c r="L95" s="717">
        <v>393068871</v>
      </c>
      <c r="M95" s="626"/>
      <c r="N95" s="717">
        <v>473232018</v>
      </c>
      <c r="P95" s="871">
        <f>SUM(P82:P93)</f>
        <v>388037629</v>
      </c>
      <c r="Q95" s="670"/>
      <c r="R95" s="670">
        <v>336299249</v>
      </c>
      <c r="S95" s="626"/>
      <c r="T95" s="820">
        <v>351834216</v>
      </c>
      <c r="U95" s="626"/>
      <c r="V95" s="626">
        <v>359037299</v>
      </c>
      <c r="W95" s="692"/>
      <c r="X95" s="692">
        <v>474741846</v>
      </c>
      <c r="Y95" s="692"/>
      <c r="Z95" s="692">
        <v>585522564</v>
      </c>
      <c r="AA95" s="692"/>
      <c r="AB95" s="692">
        <v>604724238</v>
      </c>
      <c r="AC95" s="794"/>
      <c r="AD95" s="789">
        <v>663111422</v>
      </c>
      <c r="AE95" s="709"/>
      <c r="AF95" s="692">
        <v>680298378.08250904</v>
      </c>
      <c r="AG95" s="692"/>
      <c r="AH95" s="692">
        <v>731201715.80963993</v>
      </c>
      <c r="AI95" s="692"/>
      <c r="AJ95" s="710">
        <f>SUM(AJ83:AJ93)</f>
        <v>904900854.61184621</v>
      </c>
      <c r="AK95" s="710"/>
      <c r="AL95" s="710">
        <f>SUM(AL83:AL93)</f>
        <v>854317506</v>
      </c>
      <c r="AM95" s="692"/>
      <c r="AN95" s="710">
        <f>SUM(AN83:AN93)</f>
        <v>844814889</v>
      </c>
    </row>
    <row r="96" spans="1:40">
      <c r="A96" s="596"/>
      <c r="B96" s="794"/>
      <c r="C96" s="684"/>
      <c r="D96" s="684"/>
      <c r="E96" s="684"/>
      <c r="F96" s="684"/>
      <c r="G96" s="684"/>
      <c r="H96" s="684"/>
      <c r="I96" s="794"/>
      <c r="J96" s="794"/>
      <c r="K96" s="594"/>
      <c r="L96" s="594"/>
      <c r="M96" s="626"/>
      <c r="N96" s="626"/>
      <c r="Q96" s="684"/>
      <c r="R96" s="684"/>
      <c r="S96" s="626"/>
      <c r="T96" s="820"/>
      <c r="U96" s="626"/>
      <c r="V96" s="626"/>
      <c r="W96" s="626"/>
      <c r="X96" s="626"/>
      <c r="Y96" s="626"/>
      <c r="Z96" s="626"/>
      <c r="AA96" s="692"/>
      <c r="AB96" s="692"/>
      <c r="AE96" s="709"/>
      <c r="AF96" s="709"/>
      <c r="AG96" s="692"/>
      <c r="AH96" s="692"/>
      <c r="AI96" s="692"/>
      <c r="AJ96" s="710"/>
      <c r="AK96" s="710"/>
      <c r="AL96" s="710"/>
      <c r="AM96" s="692"/>
      <c r="AN96" s="710"/>
    </row>
    <row r="97" spans="1:40">
      <c r="A97" s="1570" t="s">
        <v>280</v>
      </c>
      <c r="B97" s="825"/>
      <c r="C97" s="826"/>
      <c r="D97" s="826"/>
      <c r="E97" s="826"/>
      <c r="F97" s="826"/>
      <c r="G97" s="826"/>
      <c r="H97" s="826"/>
      <c r="I97" s="825"/>
      <c r="J97" s="825"/>
      <c r="K97" s="825"/>
      <c r="L97" s="825"/>
      <c r="M97" s="827"/>
      <c r="N97" s="827"/>
      <c r="O97" s="825"/>
      <c r="P97" s="825"/>
      <c r="Q97" s="826"/>
      <c r="R97" s="826"/>
      <c r="S97" s="827"/>
      <c r="T97" s="827"/>
      <c r="U97" s="827"/>
      <c r="V97" s="827"/>
      <c r="W97" s="827"/>
      <c r="X97" s="827"/>
      <c r="Y97" s="827"/>
      <c r="Z97" s="827"/>
      <c r="AA97" s="827"/>
      <c r="AB97" s="827"/>
      <c r="AC97" s="825"/>
      <c r="AD97" s="825"/>
      <c r="AE97" s="827"/>
      <c r="AF97" s="827"/>
      <c r="AG97" s="827"/>
      <c r="AH97" s="827"/>
      <c r="AI97" s="827"/>
      <c r="AJ97" s="827"/>
      <c r="AK97" s="831"/>
      <c r="AL97" s="831"/>
      <c r="AM97" s="827"/>
      <c r="AN97" s="827"/>
    </row>
    <row r="98" spans="1:40">
      <c r="A98" s="1571" t="s">
        <v>281</v>
      </c>
      <c r="B98" s="829" t="s">
        <v>110</v>
      </c>
      <c r="C98" s="830">
        <v>4779</v>
      </c>
      <c r="D98" s="830">
        <v>32017</v>
      </c>
      <c r="E98" s="830">
        <v>10104</v>
      </c>
      <c r="F98" s="830">
        <v>118452</v>
      </c>
      <c r="G98" s="830">
        <v>4405</v>
      </c>
      <c r="H98" s="830">
        <v>68814</v>
      </c>
      <c r="I98" s="826">
        <v>9602</v>
      </c>
      <c r="J98" s="826">
        <v>387558</v>
      </c>
      <c r="K98" s="826">
        <v>18358</v>
      </c>
      <c r="L98" s="826">
        <v>739627</v>
      </c>
      <c r="M98" s="826">
        <v>9692</v>
      </c>
      <c r="N98" s="826">
        <v>437909</v>
      </c>
      <c r="O98" s="842">
        <v>34315</v>
      </c>
      <c r="P98" s="842">
        <v>1346129</v>
      </c>
      <c r="Q98" s="830">
        <v>22793</v>
      </c>
      <c r="R98" s="830">
        <v>1057900</v>
      </c>
      <c r="S98" s="827">
        <v>22311</v>
      </c>
      <c r="T98" s="827">
        <v>858398</v>
      </c>
      <c r="U98" s="827">
        <v>22167</v>
      </c>
      <c r="V98" s="827">
        <v>864560</v>
      </c>
      <c r="W98" s="827">
        <v>52515</v>
      </c>
      <c r="X98" s="827">
        <v>1933436</v>
      </c>
      <c r="Y98" s="831">
        <v>61445</v>
      </c>
      <c r="Z98" s="827">
        <v>2265550</v>
      </c>
      <c r="AA98" s="827">
        <v>63066</v>
      </c>
      <c r="AB98" s="827">
        <v>2725219</v>
      </c>
      <c r="AC98" s="833">
        <v>35742</v>
      </c>
      <c r="AD98" s="833">
        <v>1513545</v>
      </c>
      <c r="AE98" s="827">
        <v>23694</v>
      </c>
      <c r="AF98" s="827">
        <v>907504</v>
      </c>
      <c r="AG98" s="827">
        <v>42997.66</v>
      </c>
      <c r="AH98" s="827">
        <v>1649003</v>
      </c>
      <c r="AI98" s="831">
        <v>56245</v>
      </c>
      <c r="AJ98" s="831">
        <v>2520890</v>
      </c>
      <c r="AK98" s="831">
        <v>36027</v>
      </c>
      <c r="AL98" s="831">
        <v>1685053</v>
      </c>
      <c r="AM98" s="827">
        <v>43144</v>
      </c>
      <c r="AN98" s="827">
        <v>2169260</v>
      </c>
    </row>
    <row r="99" spans="1:40">
      <c r="A99" s="1571" t="s">
        <v>282</v>
      </c>
      <c r="B99" s="829" t="s">
        <v>110</v>
      </c>
      <c r="C99" s="826">
        <v>0</v>
      </c>
      <c r="D99" s="826">
        <v>0</v>
      </c>
      <c r="E99" s="826">
        <v>0</v>
      </c>
      <c r="F99" s="826">
        <v>0</v>
      </c>
      <c r="G99" s="826">
        <v>0</v>
      </c>
      <c r="H99" s="826">
        <v>0</v>
      </c>
      <c r="I99" s="826">
        <v>0</v>
      </c>
      <c r="J99" s="826">
        <v>0</v>
      </c>
      <c r="K99" s="826">
        <v>3513</v>
      </c>
      <c r="L99" s="826">
        <v>916814</v>
      </c>
      <c r="M99" s="826">
        <v>0</v>
      </c>
      <c r="N99" s="826">
        <v>0</v>
      </c>
      <c r="O99" s="842">
        <v>2280</v>
      </c>
      <c r="P99" s="842">
        <v>113597</v>
      </c>
      <c r="Q99" s="830">
        <v>164</v>
      </c>
      <c r="R99" s="830">
        <v>6483</v>
      </c>
      <c r="S99" s="827">
        <v>0</v>
      </c>
      <c r="T99" s="827">
        <v>0</v>
      </c>
      <c r="U99" s="827">
        <v>0</v>
      </c>
      <c r="V99" s="827">
        <v>0</v>
      </c>
      <c r="W99" s="827">
        <v>0</v>
      </c>
      <c r="X99" s="827">
        <v>0</v>
      </c>
      <c r="Y99" s="827">
        <v>0</v>
      </c>
      <c r="Z99" s="827">
        <v>0</v>
      </c>
      <c r="AA99" s="827">
        <v>0</v>
      </c>
      <c r="AB99" s="827">
        <v>0</v>
      </c>
      <c r="AC99" s="827">
        <v>0</v>
      </c>
      <c r="AD99" s="827">
        <v>0</v>
      </c>
      <c r="AE99" s="827">
        <v>0</v>
      </c>
      <c r="AF99" s="827">
        <v>0</v>
      </c>
      <c r="AG99" s="827">
        <v>0</v>
      </c>
      <c r="AH99" s="827">
        <v>0</v>
      </c>
      <c r="AI99" s="827">
        <v>0</v>
      </c>
      <c r="AJ99" s="827">
        <v>0</v>
      </c>
      <c r="AK99" s="831">
        <v>0</v>
      </c>
      <c r="AL99" s="831">
        <v>0</v>
      </c>
      <c r="AM99" s="827">
        <v>0</v>
      </c>
      <c r="AN99" s="827">
        <v>0</v>
      </c>
    </row>
    <row r="100" spans="1:40">
      <c r="A100" s="1572" t="s">
        <v>283</v>
      </c>
      <c r="B100" s="829"/>
      <c r="C100" s="830"/>
      <c r="D100" s="830">
        <f>SUM(D98:D99)</f>
        <v>32017</v>
      </c>
      <c r="E100" s="830"/>
      <c r="F100" s="830">
        <f>SUM(F98:F99)</f>
        <v>118452</v>
      </c>
      <c r="G100" s="830"/>
      <c r="H100" s="830">
        <f>SUM(H98:H99)</f>
        <v>68814</v>
      </c>
      <c r="I100" s="829"/>
      <c r="J100" s="837">
        <f>SUM(J98:J99)</f>
        <v>387558</v>
      </c>
      <c r="K100" s="827"/>
      <c r="L100" s="826">
        <v>1656441</v>
      </c>
      <c r="M100" s="827"/>
      <c r="N100" s="826">
        <v>437909</v>
      </c>
      <c r="O100" s="825"/>
      <c r="P100" s="842">
        <f>SUM(P98:P99)</f>
        <v>1459726</v>
      </c>
      <c r="Q100" s="830"/>
      <c r="R100" s="830">
        <v>1064383</v>
      </c>
      <c r="S100" s="827"/>
      <c r="T100" s="827">
        <f>SUM(T98:T99)</f>
        <v>858398</v>
      </c>
      <c r="U100" s="827"/>
      <c r="V100" s="827">
        <f>SUM(V98:V99)</f>
        <v>864560</v>
      </c>
      <c r="W100" s="827"/>
      <c r="X100" s="827">
        <f>SUM(X98:X99)</f>
        <v>1933436</v>
      </c>
      <c r="Y100" s="827"/>
      <c r="Z100" s="827">
        <f>SUM(Z98:Z99)</f>
        <v>2265550</v>
      </c>
      <c r="AA100" s="827"/>
      <c r="AB100" s="827">
        <f>SUM(AB98:AB99)</f>
        <v>2725219</v>
      </c>
      <c r="AC100" s="827"/>
      <c r="AD100" s="827">
        <f>SUM(AD98:AD99)</f>
        <v>1513545</v>
      </c>
      <c r="AE100" s="827"/>
      <c r="AF100" s="827">
        <f>SUM(AF98:AF99)</f>
        <v>907504</v>
      </c>
      <c r="AG100" s="827"/>
      <c r="AH100" s="827">
        <f>SUM(AH98:AH99)</f>
        <v>1649003</v>
      </c>
      <c r="AI100" s="827"/>
      <c r="AJ100" s="827">
        <f>SUM(AJ98:AJ99)</f>
        <v>2520890</v>
      </c>
      <c r="AK100" s="831"/>
      <c r="AL100" s="831">
        <f>SUM(AL98:AL99)</f>
        <v>1685053</v>
      </c>
      <c r="AM100" s="827"/>
      <c r="AN100" s="827">
        <f>SUM(AN98:AN99)</f>
        <v>2169260</v>
      </c>
    </row>
    <row r="101" spans="1:40">
      <c r="A101" s="593"/>
      <c r="B101" s="594"/>
      <c r="C101" s="670"/>
      <c r="D101" s="670"/>
      <c r="E101" s="670"/>
      <c r="F101" s="670"/>
      <c r="G101" s="670"/>
      <c r="H101" s="670"/>
      <c r="I101" s="594"/>
      <c r="J101" s="594"/>
      <c r="K101" s="626"/>
      <c r="L101" s="626"/>
      <c r="M101" s="626"/>
      <c r="N101" s="626"/>
      <c r="Q101" s="670"/>
      <c r="R101" s="670"/>
      <c r="S101" s="626"/>
      <c r="T101" s="626"/>
      <c r="U101" s="626"/>
      <c r="V101" s="626"/>
      <c r="W101" s="692"/>
      <c r="X101" s="692"/>
      <c r="Y101" s="626"/>
      <c r="Z101" s="626"/>
      <c r="AA101" s="692"/>
      <c r="AB101" s="692"/>
      <c r="AE101" s="692"/>
      <c r="AF101" s="692"/>
      <c r="AG101" s="692"/>
      <c r="AH101" s="692"/>
      <c r="AI101" s="710"/>
      <c r="AJ101" s="710"/>
      <c r="AK101" s="710"/>
      <c r="AL101" s="710"/>
      <c r="AM101" s="710"/>
      <c r="AN101" s="710"/>
    </row>
    <row r="102" spans="1:40">
      <c r="A102" s="885" t="s">
        <v>284</v>
      </c>
      <c r="B102" s="794"/>
      <c r="C102" s="684"/>
      <c r="D102" s="684"/>
      <c r="E102" s="684"/>
      <c r="F102" s="684"/>
      <c r="G102" s="684"/>
      <c r="H102" s="684"/>
      <c r="I102" s="794"/>
      <c r="J102" s="794"/>
      <c r="K102" s="626"/>
      <c r="L102" s="626"/>
      <c r="M102" s="626"/>
      <c r="N102" s="626"/>
      <c r="Q102" s="670"/>
      <c r="R102" s="670"/>
      <c r="S102" s="626"/>
      <c r="T102" s="626"/>
      <c r="U102" s="626"/>
      <c r="V102" s="626"/>
      <c r="W102" s="692"/>
      <c r="X102" s="692"/>
      <c r="Y102" s="692"/>
      <c r="Z102" s="692"/>
      <c r="AA102" s="692"/>
      <c r="AB102" s="692"/>
      <c r="AC102" s="794"/>
      <c r="AD102" s="794"/>
      <c r="AE102" s="692"/>
      <c r="AF102" s="692"/>
      <c r="AG102" s="692"/>
      <c r="AH102" s="692"/>
      <c r="AI102" s="692"/>
      <c r="AJ102" s="692"/>
      <c r="AK102" s="710"/>
      <c r="AL102" s="710"/>
      <c r="AM102" s="710"/>
      <c r="AN102" s="710"/>
    </row>
    <row r="103" spans="1:40">
      <c r="A103" s="886" t="s">
        <v>285</v>
      </c>
      <c r="B103" s="594" t="s">
        <v>110</v>
      </c>
      <c r="C103" s="670">
        <v>5751054</v>
      </c>
      <c r="D103" s="670">
        <v>92668925</v>
      </c>
      <c r="E103" s="670">
        <v>6650394</v>
      </c>
      <c r="F103" s="670">
        <v>115988759</v>
      </c>
      <c r="G103" s="670">
        <v>5902633</v>
      </c>
      <c r="H103" s="670">
        <v>113339893</v>
      </c>
      <c r="I103" s="717">
        <v>5447458</v>
      </c>
      <c r="J103" s="717">
        <v>101593363</v>
      </c>
      <c r="K103" s="717">
        <v>4914588</v>
      </c>
      <c r="L103" s="717">
        <v>78446430</v>
      </c>
      <c r="M103" s="717">
        <v>5255037</v>
      </c>
      <c r="N103" s="717">
        <v>103517251</v>
      </c>
      <c r="O103" s="871">
        <v>4368036</v>
      </c>
      <c r="P103" s="871">
        <v>113955037</v>
      </c>
      <c r="Q103" s="670">
        <v>5797570</v>
      </c>
      <c r="R103" s="670">
        <v>157663947</v>
      </c>
      <c r="S103" s="820">
        <v>5037380</v>
      </c>
      <c r="T103" s="820">
        <v>144446749</v>
      </c>
      <c r="U103" s="626">
        <v>6049806</v>
      </c>
      <c r="V103" s="626">
        <v>156792953</v>
      </c>
      <c r="W103" s="626">
        <v>6628986</v>
      </c>
      <c r="X103" s="626">
        <v>152208376</v>
      </c>
      <c r="Y103" s="710">
        <v>6328119</v>
      </c>
      <c r="Z103" s="692">
        <v>149565656</v>
      </c>
      <c r="AA103" s="692">
        <v>5938893</v>
      </c>
      <c r="AB103" s="692">
        <v>139776550</v>
      </c>
      <c r="AC103" s="789">
        <v>7738897</v>
      </c>
      <c r="AD103" s="789">
        <v>206647943</v>
      </c>
      <c r="AE103" s="692">
        <v>7144618</v>
      </c>
      <c r="AF103" s="692">
        <v>207872396</v>
      </c>
      <c r="AG103" s="692">
        <v>6037470</v>
      </c>
      <c r="AH103" s="692">
        <v>154209360</v>
      </c>
      <c r="AI103" s="710">
        <v>6646444</v>
      </c>
      <c r="AJ103" s="710">
        <v>207408487</v>
      </c>
      <c r="AK103" s="710">
        <v>6660230</v>
      </c>
      <c r="AL103" s="710">
        <v>214483003</v>
      </c>
      <c r="AM103" s="710">
        <v>7739409</v>
      </c>
      <c r="AN103" s="710">
        <v>200420603</v>
      </c>
    </row>
    <row r="104" spans="1:40">
      <c r="A104" s="886" t="s">
        <v>286</v>
      </c>
      <c r="B104" s="594" t="s">
        <v>110</v>
      </c>
      <c r="C104" s="670">
        <v>83524061</v>
      </c>
      <c r="D104" s="670">
        <v>1737428851</v>
      </c>
      <c r="E104" s="670">
        <v>78863020</v>
      </c>
      <c r="F104" s="670">
        <v>1849678084</v>
      </c>
      <c r="G104" s="670">
        <v>71995023</v>
      </c>
      <c r="H104" s="670">
        <v>1562495836</v>
      </c>
      <c r="I104" s="717">
        <v>89189441</v>
      </c>
      <c r="J104" s="717">
        <v>1754075785</v>
      </c>
      <c r="K104" s="717">
        <v>95502782</v>
      </c>
      <c r="L104" s="717">
        <v>1712003160</v>
      </c>
      <c r="M104" s="717">
        <v>101017156</v>
      </c>
      <c r="N104" s="717">
        <v>2142510771</v>
      </c>
      <c r="O104" s="871">
        <v>103304766</v>
      </c>
      <c r="P104" s="871">
        <v>2534731534</v>
      </c>
      <c r="Q104" s="670">
        <v>105845490</v>
      </c>
      <c r="R104" s="670">
        <v>2795606350</v>
      </c>
      <c r="S104" s="820">
        <v>106692763</v>
      </c>
      <c r="T104" s="820">
        <v>2846693812</v>
      </c>
      <c r="U104" s="626">
        <v>113640430</v>
      </c>
      <c r="V104" s="626">
        <v>2708362762</v>
      </c>
      <c r="W104" s="692">
        <v>126498792</v>
      </c>
      <c r="X104" s="692">
        <v>2642098607</v>
      </c>
      <c r="Y104" s="710">
        <v>126571650</v>
      </c>
      <c r="Z104" s="692">
        <v>2774492764</v>
      </c>
      <c r="AA104" s="692">
        <v>135349473</v>
      </c>
      <c r="AB104" s="692">
        <v>3019871477</v>
      </c>
      <c r="AC104" s="789">
        <v>142003028</v>
      </c>
      <c r="AD104" s="789">
        <v>3724124135</v>
      </c>
      <c r="AE104" s="692">
        <v>133882496</v>
      </c>
      <c r="AF104" s="692">
        <v>3690655347</v>
      </c>
      <c r="AG104" s="692">
        <v>145120868</v>
      </c>
      <c r="AH104" s="692">
        <v>3567914626</v>
      </c>
      <c r="AI104" s="710">
        <v>155123446</v>
      </c>
      <c r="AJ104" s="710">
        <v>4705296377</v>
      </c>
      <c r="AK104" s="710">
        <v>157973734</v>
      </c>
      <c r="AL104" s="710">
        <v>4993130854</v>
      </c>
      <c r="AM104" s="710">
        <v>180778095</v>
      </c>
      <c r="AN104" s="710">
        <v>5004850990</v>
      </c>
    </row>
    <row r="105" spans="1:40">
      <c r="A105" s="886" t="s">
        <v>287</v>
      </c>
      <c r="B105" s="594" t="s">
        <v>110</v>
      </c>
      <c r="C105" s="670">
        <v>21433</v>
      </c>
      <c r="D105" s="670">
        <v>422109</v>
      </c>
      <c r="E105" s="670">
        <v>0</v>
      </c>
      <c r="F105" s="670">
        <v>0</v>
      </c>
      <c r="G105" s="670">
        <v>128659</v>
      </c>
      <c r="H105" s="670">
        <v>2975568</v>
      </c>
      <c r="I105" s="717">
        <v>540803</v>
      </c>
      <c r="J105" s="717">
        <v>11502886</v>
      </c>
      <c r="K105" s="692">
        <v>0</v>
      </c>
      <c r="L105" s="692">
        <v>0</v>
      </c>
      <c r="M105" s="692">
        <v>0</v>
      </c>
      <c r="N105" s="692">
        <v>0</v>
      </c>
      <c r="O105" s="692">
        <v>0</v>
      </c>
      <c r="P105" s="692">
        <v>0</v>
      </c>
      <c r="Q105" s="692">
        <v>0</v>
      </c>
      <c r="R105" s="692">
        <v>0</v>
      </c>
      <c r="S105" s="692">
        <v>0</v>
      </c>
      <c r="T105" s="692">
        <v>0</v>
      </c>
      <c r="U105" s="692">
        <v>0</v>
      </c>
      <c r="V105" s="692">
        <v>0</v>
      </c>
      <c r="W105" s="692">
        <v>0</v>
      </c>
      <c r="X105" s="692">
        <v>0</v>
      </c>
      <c r="Y105" s="692">
        <v>0</v>
      </c>
      <c r="Z105" s="692">
        <v>0</v>
      </c>
      <c r="AA105" s="692">
        <v>0</v>
      </c>
      <c r="AB105" s="692">
        <v>0</v>
      </c>
      <c r="AC105" s="692">
        <v>0</v>
      </c>
      <c r="AD105" s="692">
        <v>0</v>
      </c>
      <c r="AE105" s="692">
        <v>0</v>
      </c>
      <c r="AF105" s="692">
        <v>0</v>
      </c>
      <c r="AG105" s="692">
        <v>0</v>
      </c>
      <c r="AH105" s="692">
        <v>0</v>
      </c>
      <c r="AI105" s="692">
        <v>0</v>
      </c>
      <c r="AJ105" s="692">
        <v>0</v>
      </c>
      <c r="AK105" s="710">
        <v>0</v>
      </c>
      <c r="AL105" s="710">
        <v>0</v>
      </c>
      <c r="AM105" s="710">
        <v>0</v>
      </c>
      <c r="AN105" s="710">
        <v>0</v>
      </c>
    </row>
    <row r="106" spans="1:40">
      <c r="A106" s="889" t="s">
        <v>289</v>
      </c>
      <c r="B106" s="794"/>
      <c r="C106" s="684">
        <f t="shared" ref="C106:J106" si="0">SUM(C103:C105)</f>
        <v>89296548</v>
      </c>
      <c r="D106" s="684">
        <f t="shared" si="0"/>
        <v>1830519885</v>
      </c>
      <c r="E106" s="684">
        <f t="shared" si="0"/>
        <v>85513414</v>
      </c>
      <c r="F106" s="684">
        <f t="shared" si="0"/>
        <v>1965666843</v>
      </c>
      <c r="G106" s="684">
        <f t="shared" si="0"/>
        <v>78026315</v>
      </c>
      <c r="H106" s="684">
        <f t="shared" si="0"/>
        <v>1678811297</v>
      </c>
      <c r="I106" s="692">
        <f t="shared" si="0"/>
        <v>95177702</v>
      </c>
      <c r="J106" s="692">
        <f t="shared" si="0"/>
        <v>1867172034</v>
      </c>
      <c r="K106" s="717">
        <v>100417370</v>
      </c>
      <c r="L106" s="717">
        <v>1790449590</v>
      </c>
      <c r="M106" s="717">
        <v>106272193</v>
      </c>
      <c r="N106" s="717">
        <v>2246028022</v>
      </c>
      <c r="O106" s="871">
        <f>O104+O103</f>
        <v>107672802</v>
      </c>
      <c r="P106" s="871">
        <f>SUM(P103:P104)</f>
        <v>2648686571</v>
      </c>
      <c r="Q106" s="670">
        <v>111643060</v>
      </c>
      <c r="R106" s="670">
        <v>2953270297</v>
      </c>
      <c r="S106" s="626">
        <v>111730143</v>
      </c>
      <c r="T106" s="626">
        <v>2991140561</v>
      </c>
      <c r="U106" s="626">
        <v>119690236</v>
      </c>
      <c r="V106" s="626">
        <v>2865155715</v>
      </c>
      <c r="W106" s="692">
        <v>133127777.61</v>
      </c>
      <c r="X106" s="692">
        <v>2794306983</v>
      </c>
      <c r="Y106" s="692">
        <v>132899769</v>
      </c>
      <c r="Z106" s="692">
        <v>2924058420</v>
      </c>
      <c r="AA106" s="692">
        <v>141288366</v>
      </c>
      <c r="AB106" s="692">
        <v>3159648027</v>
      </c>
      <c r="AC106" s="789">
        <v>149741925</v>
      </c>
      <c r="AD106" s="789">
        <v>3930772078</v>
      </c>
      <c r="AE106" s="692">
        <v>141027114</v>
      </c>
      <c r="AF106" s="692">
        <v>3898527743</v>
      </c>
      <c r="AG106" s="692">
        <v>151158338</v>
      </c>
      <c r="AH106" s="692">
        <v>3722123986</v>
      </c>
      <c r="AI106" s="710">
        <v>161769890</v>
      </c>
      <c r="AJ106" s="710">
        <f>SUM(AJ103:AJ105)</f>
        <v>4912704864</v>
      </c>
      <c r="AK106" s="710">
        <f>SUM(AK103:AK105)</f>
        <v>164633964</v>
      </c>
      <c r="AL106" s="710">
        <f>SUM(AL103:AL105)</f>
        <v>5207613857</v>
      </c>
      <c r="AM106" s="710">
        <f>SUM(AM103:AM105)</f>
        <v>188517504</v>
      </c>
      <c r="AN106" s="710">
        <f>SUM(AN103:AN105)</f>
        <v>5205271593</v>
      </c>
    </row>
    <row r="107" spans="1:40">
      <c r="A107" s="596"/>
      <c r="B107" s="794"/>
      <c r="C107" s="684"/>
      <c r="D107" s="684"/>
      <c r="E107" s="684"/>
      <c r="F107" s="684"/>
      <c r="G107" s="684"/>
      <c r="H107" s="684"/>
      <c r="I107" s="794"/>
      <c r="J107" s="794"/>
      <c r="K107" s="594"/>
      <c r="L107" s="594"/>
      <c r="M107" s="626"/>
      <c r="N107" s="626"/>
      <c r="Q107" s="670"/>
      <c r="R107" s="670"/>
      <c r="S107" s="626"/>
      <c r="T107" s="626"/>
      <c r="U107" s="626"/>
      <c r="V107" s="626"/>
      <c r="W107" s="692"/>
      <c r="X107" s="692"/>
      <c r="Y107" s="626"/>
      <c r="Z107" s="626"/>
      <c r="AA107" s="692"/>
      <c r="AB107" s="692"/>
      <c r="AE107" s="709"/>
      <c r="AF107" s="709"/>
      <c r="AG107" s="692"/>
      <c r="AH107" s="692"/>
      <c r="AI107" s="710"/>
      <c r="AJ107" s="710"/>
      <c r="AK107" s="710"/>
      <c r="AL107" s="710"/>
      <c r="AM107" s="710"/>
      <c r="AN107" s="710"/>
    </row>
    <row r="108" spans="1:40">
      <c r="A108" s="1570" t="s">
        <v>290</v>
      </c>
      <c r="B108" s="825"/>
      <c r="C108" s="826"/>
      <c r="D108" s="826"/>
      <c r="E108" s="826"/>
      <c r="F108" s="826"/>
      <c r="G108" s="826"/>
      <c r="H108" s="826"/>
      <c r="I108" s="826"/>
      <c r="J108" s="826"/>
      <c r="K108" s="825"/>
      <c r="L108" s="825"/>
      <c r="M108" s="827"/>
      <c r="N108" s="827"/>
      <c r="O108" s="825"/>
      <c r="P108" s="825"/>
      <c r="Q108" s="830"/>
      <c r="R108" s="830"/>
      <c r="S108" s="827"/>
      <c r="T108" s="827"/>
      <c r="U108" s="827"/>
      <c r="V108" s="827"/>
      <c r="W108" s="827"/>
      <c r="X108" s="827"/>
      <c r="Y108" s="827"/>
      <c r="Z108" s="827"/>
      <c r="AA108" s="827"/>
      <c r="AB108" s="827"/>
      <c r="AC108" s="825"/>
      <c r="AD108" s="825"/>
      <c r="AE108" s="827"/>
      <c r="AF108" s="827"/>
      <c r="AG108" s="827"/>
      <c r="AH108" s="827"/>
      <c r="AI108" s="831"/>
      <c r="AJ108" s="831"/>
      <c r="AK108" s="831"/>
      <c r="AL108" s="831"/>
      <c r="AM108" s="831"/>
      <c r="AN108" s="831"/>
    </row>
    <row r="109" spans="1:40">
      <c r="A109" s="1571" t="s">
        <v>291</v>
      </c>
      <c r="B109" s="829" t="s">
        <v>110</v>
      </c>
      <c r="C109" s="830">
        <v>300</v>
      </c>
      <c r="D109" s="830">
        <v>2100</v>
      </c>
      <c r="E109" s="830">
        <v>330</v>
      </c>
      <c r="F109" s="830">
        <v>2310</v>
      </c>
      <c r="G109" s="830">
        <v>243</v>
      </c>
      <c r="H109" s="830">
        <v>3162</v>
      </c>
      <c r="I109" s="826">
        <v>130</v>
      </c>
      <c r="J109" s="826">
        <v>2060</v>
      </c>
      <c r="K109" s="826">
        <v>360</v>
      </c>
      <c r="L109" s="826">
        <v>7200</v>
      </c>
      <c r="M109" s="826">
        <v>333</v>
      </c>
      <c r="N109" s="826">
        <v>6660</v>
      </c>
      <c r="O109" s="842">
        <v>0</v>
      </c>
      <c r="P109" s="842">
        <v>0</v>
      </c>
      <c r="Q109" s="826">
        <v>280</v>
      </c>
      <c r="R109" s="826">
        <v>1120</v>
      </c>
      <c r="S109" s="827">
        <v>0</v>
      </c>
      <c r="T109" s="831">
        <v>0</v>
      </c>
      <c r="U109" s="827">
        <v>2500</v>
      </c>
      <c r="V109" s="827">
        <v>25000</v>
      </c>
      <c r="W109" s="827">
        <v>3950</v>
      </c>
      <c r="X109" s="827">
        <v>39500</v>
      </c>
      <c r="Y109" s="831">
        <v>7342</v>
      </c>
      <c r="Z109" s="827">
        <v>62040</v>
      </c>
      <c r="AA109" s="827">
        <v>4387</v>
      </c>
      <c r="AB109" s="827">
        <v>126045</v>
      </c>
      <c r="AC109" s="833">
        <v>3624</v>
      </c>
      <c r="AD109" s="833">
        <v>86372</v>
      </c>
      <c r="AE109" s="827">
        <v>3086</v>
      </c>
      <c r="AF109" s="827">
        <v>67892</v>
      </c>
      <c r="AG109" s="827">
        <v>2932</v>
      </c>
      <c r="AH109" s="827">
        <v>64504</v>
      </c>
      <c r="AI109" s="831">
        <v>9103</v>
      </c>
      <c r="AJ109" s="831">
        <v>146074</v>
      </c>
      <c r="AK109" s="831">
        <v>17080</v>
      </c>
      <c r="AL109" s="831">
        <v>315846</v>
      </c>
      <c r="AM109" s="831">
        <v>8870</v>
      </c>
      <c r="AN109" s="831">
        <v>89697</v>
      </c>
    </row>
    <row r="110" spans="1:40">
      <c r="A110" s="1571" t="s">
        <v>292</v>
      </c>
      <c r="B110" s="829" t="s">
        <v>110</v>
      </c>
      <c r="C110" s="830">
        <v>209618</v>
      </c>
      <c r="D110" s="830">
        <v>1187327</v>
      </c>
      <c r="E110" s="830">
        <v>206289</v>
      </c>
      <c r="F110" s="830">
        <v>1088735</v>
      </c>
      <c r="G110" s="830">
        <v>194895</v>
      </c>
      <c r="H110" s="830">
        <v>1251642</v>
      </c>
      <c r="I110" s="826">
        <v>1433143</v>
      </c>
      <c r="J110" s="826">
        <v>6560914</v>
      </c>
      <c r="K110" s="826">
        <v>1739324</v>
      </c>
      <c r="L110" s="826">
        <v>8325470</v>
      </c>
      <c r="M110" s="826">
        <v>1698820</v>
      </c>
      <c r="N110" s="826">
        <v>7868870</v>
      </c>
      <c r="O110" s="842">
        <v>1738427</v>
      </c>
      <c r="P110" s="842">
        <v>9853611</v>
      </c>
      <c r="Q110" s="826">
        <v>2053239</v>
      </c>
      <c r="R110" s="826">
        <v>12143544</v>
      </c>
      <c r="S110" s="827">
        <v>2103555</v>
      </c>
      <c r="T110" s="831">
        <v>13587083</v>
      </c>
      <c r="U110" s="827">
        <v>2147271</v>
      </c>
      <c r="V110" s="827">
        <v>14764597</v>
      </c>
      <c r="W110" s="827">
        <v>2195221</v>
      </c>
      <c r="X110" s="827">
        <v>14653307</v>
      </c>
      <c r="Y110" s="831">
        <v>2612334</v>
      </c>
      <c r="Z110" s="827">
        <v>17508415</v>
      </c>
      <c r="AA110" s="827">
        <v>2353431</v>
      </c>
      <c r="AB110" s="827">
        <v>15744780</v>
      </c>
      <c r="AC110" s="833">
        <v>2579643</v>
      </c>
      <c r="AD110" s="833">
        <v>11791428</v>
      </c>
      <c r="AE110" s="827">
        <v>3046105</v>
      </c>
      <c r="AF110" s="827">
        <v>13867322</v>
      </c>
      <c r="AG110" s="827">
        <v>3007559.02</v>
      </c>
      <c r="AH110" s="827">
        <v>14523824.26</v>
      </c>
      <c r="AI110" s="831">
        <v>3825671</v>
      </c>
      <c r="AJ110" s="831">
        <v>15740387</v>
      </c>
      <c r="AK110" s="831">
        <v>3195825</v>
      </c>
      <c r="AL110" s="831">
        <v>15079931</v>
      </c>
      <c r="AM110" s="831">
        <v>4884233</v>
      </c>
      <c r="AN110" s="831">
        <v>19421112</v>
      </c>
    </row>
    <row r="111" spans="1:40">
      <c r="A111" s="1572" t="s">
        <v>293</v>
      </c>
      <c r="B111" s="825"/>
      <c r="C111" s="826"/>
      <c r="D111" s="826">
        <f>SUM(D109:D110)</f>
        <v>1189427</v>
      </c>
      <c r="E111" s="826"/>
      <c r="F111" s="826">
        <f>SUM(F109:F110)</f>
        <v>1091045</v>
      </c>
      <c r="G111" s="826"/>
      <c r="H111" s="826">
        <f>SUM(H109:H110)</f>
        <v>1254804</v>
      </c>
      <c r="I111" s="825"/>
      <c r="J111" s="827">
        <f>SUM(J109:J110)</f>
        <v>6562974</v>
      </c>
      <c r="K111" s="827"/>
      <c r="L111" s="826">
        <v>8332670</v>
      </c>
      <c r="M111" s="827"/>
      <c r="N111" s="826">
        <v>7875530</v>
      </c>
      <c r="O111" s="825"/>
      <c r="P111" s="842">
        <f>SUM(P109:P110)</f>
        <v>9853611</v>
      </c>
      <c r="Q111" s="826"/>
      <c r="R111" s="826">
        <v>12144664</v>
      </c>
      <c r="S111" s="827"/>
      <c r="T111" s="827">
        <v>13587083</v>
      </c>
      <c r="U111" s="827"/>
      <c r="V111" s="827">
        <v>14789597</v>
      </c>
      <c r="W111" s="827"/>
      <c r="X111" s="827">
        <v>14692807</v>
      </c>
      <c r="Y111" s="827"/>
      <c r="Z111" s="827">
        <v>17570455</v>
      </c>
      <c r="AA111" s="827"/>
      <c r="AB111" s="827">
        <v>15870825</v>
      </c>
      <c r="AC111" s="825"/>
      <c r="AD111" s="833">
        <v>11877800</v>
      </c>
      <c r="AE111" s="835"/>
      <c r="AF111" s="827">
        <v>13935214</v>
      </c>
      <c r="AG111" s="827"/>
      <c r="AH111" s="827">
        <v>14588328.26</v>
      </c>
      <c r="AI111" s="827"/>
      <c r="AJ111" s="831">
        <f>SUM(AJ109:AJ110)</f>
        <v>15886461</v>
      </c>
      <c r="AK111" s="831"/>
      <c r="AL111" s="831">
        <f>SUM(AL109:AL110)</f>
        <v>15395777</v>
      </c>
      <c r="AM111" s="831"/>
      <c r="AN111" s="831">
        <f>SUM(AN109:AN110)</f>
        <v>19510809</v>
      </c>
    </row>
    <row r="112" spans="1:40">
      <c r="A112" s="599"/>
      <c r="B112" s="794"/>
      <c r="C112" s="684"/>
      <c r="D112" s="684"/>
      <c r="E112" s="684"/>
      <c r="F112" s="684"/>
      <c r="G112" s="684"/>
      <c r="H112" s="684"/>
      <c r="I112" s="594"/>
      <c r="J112" s="594"/>
      <c r="K112" s="692"/>
      <c r="L112" s="684"/>
      <c r="M112" s="692"/>
      <c r="N112" s="684"/>
      <c r="P112" s="871"/>
      <c r="Q112" s="670"/>
      <c r="R112" s="670"/>
      <c r="S112" s="820"/>
      <c r="T112" s="820"/>
      <c r="U112" s="820"/>
      <c r="V112" s="820"/>
      <c r="W112" s="710"/>
      <c r="X112" s="710"/>
      <c r="Y112" s="710"/>
      <c r="Z112" s="710"/>
      <c r="AA112" s="692"/>
      <c r="AB112" s="692"/>
      <c r="AC112" s="794"/>
      <c r="AD112" s="789"/>
      <c r="AE112" s="692"/>
      <c r="AF112" s="692"/>
      <c r="AG112" s="692"/>
      <c r="AH112" s="692"/>
      <c r="AI112" s="692"/>
      <c r="AJ112" s="710"/>
      <c r="AK112" s="710"/>
      <c r="AL112" s="710"/>
      <c r="AM112" s="692"/>
      <c r="AN112" s="710"/>
    </row>
    <row r="113" spans="1:40">
      <c r="A113" s="885" t="s">
        <v>294</v>
      </c>
      <c r="B113" s="594" t="s">
        <v>110</v>
      </c>
      <c r="C113" s="684">
        <v>16729</v>
      </c>
      <c r="D113" s="684">
        <v>215936</v>
      </c>
      <c r="E113" s="717">
        <v>0</v>
      </c>
      <c r="F113" s="717">
        <v>0</v>
      </c>
      <c r="G113" s="717">
        <v>0</v>
      </c>
      <c r="H113" s="717">
        <v>0</v>
      </c>
      <c r="I113" s="717">
        <v>0</v>
      </c>
      <c r="J113" s="717">
        <v>0</v>
      </c>
      <c r="K113" s="717">
        <v>0</v>
      </c>
      <c r="L113" s="717">
        <v>0</v>
      </c>
      <c r="M113" s="717">
        <v>0</v>
      </c>
      <c r="N113" s="717">
        <v>0</v>
      </c>
      <c r="O113" s="717">
        <v>0</v>
      </c>
      <c r="P113" s="717">
        <v>0</v>
      </c>
      <c r="Q113" s="717">
        <v>0</v>
      </c>
      <c r="R113" s="717">
        <v>0</v>
      </c>
      <c r="S113" s="717">
        <v>0</v>
      </c>
      <c r="T113" s="717">
        <v>0</v>
      </c>
      <c r="U113" s="717">
        <v>0</v>
      </c>
      <c r="V113" s="717">
        <v>0</v>
      </c>
      <c r="W113" s="717">
        <v>0</v>
      </c>
      <c r="X113" s="717">
        <v>0</v>
      </c>
      <c r="Y113" s="717">
        <v>0</v>
      </c>
      <c r="Z113" s="717">
        <v>0</v>
      </c>
      <c r="AA113" s="717">
        <v>0</v>
      </c>
      <c r="AB113" s="717">
        <v>0</v>
      </c>
      <c r="AC113" s="717">
        <v>0</v>
      </c>
      <c r="AD113" s="717">
        <v>0</v>
      </c>
      <c r="AE113" s="717">
        <v>0</v>
      </c>
      <c r="AF113" s="717">
        <v>0</v>
      </c>
      <c r="AG113" s="717">
        <v>0</v>
      </c>
      <c r="AH113" s="717">
        <v>0</v>
      </c>
      <c r="AI113" s="717">
        <v>0</v>
      </c>
      <c r="AJ113" s="717">
        <v>0</v>
      </c>
      <c r="AK113" s="717">
        <v>0</v>
      </c>
      <c r="AL113" s="717">
        <v>0</v>
      </c>
      <c r="AM113" s="717">
        <v>0</v>
      </c>
      <c r="AN113" s="717">
        <v>0</v>
      </c>
    </row>
    <row r="114" spans="1:40">
      <c r="A114" s="599"/>
      <c r="B114" s="794"/>
      <c r="C114" s="684"/>
      <c r="D114" s="684"/>
      <c r="E114" s="684"/>
      <c r="F114" s="684"/>
      <c r="G114" s="684"/>
      <c r="H114" s="684"/>
      <c r="I114" s="594"/>
      <c r="J114" s="594"/>
      <c r="K114" s="692"/>
      <c r="L114" s="684"/>
      <c r="M114" s="692"/>
      <c r="N114" s="684"/>
      <c r="P114" s="871"/>
      <c r="Q114" s="670"/>
      <c r="R114" s="670"/>
      <c r="S114" s="820"/>
      <c r="T114" s="820"/>
      <c r="U114" s="820"/>
      <c r="V114" s="820"/>
      <c r="W114" s="710"/>
      <c r="X114" s="710"/>
      <c r="Y114" s="710"/>
      <c r="Z114" s="710"/>
      <c r="AA114" s="692"/>
      <c r="AB114" s="692"/>
      <c r="AC114" s="794"/>
      <c r="AD114" s="789"/>
      <c r="AE114" s="692"/>
      <c r="AF114" s="692"/>
      <c r="AG114" s="692"/>
      <c r="AH114" s="692"/>
      <c r="AI114" s="692"/>
      <c r="AJ114" s="710"/>
      <c r="AK114" s="710"/>
      <c r="AL114" s="710"/>
      <c r="AM114" s="692"/>
      <c r="AN114" s="710"/>
    </row>
    <row r="115" spans="1:40">
      <c r="A115" s="884" t="s">
        <v>295</v>
      </c>
      <c r="B115" s="848" t="s">
        <v>110</v>
      </c>
      <c r="C115" s="866">
        <v>0</v>
      </c>
      <c r="D115" s="866">
        <v>0</v>
      </c>
      <c r="E115" s="866">
        <v>0</v>
      </c>
      <c r="F115" s="866">
        <v>0</v>
      </c>
      <c r="G115" s="866">
        <v>0</v>
      </c>
      <c r="H115" s="866">
        <v>0</v>
      </c>
      <c r="I115" s="866">
        <v>0</v>
      </c>
      <c r="J115" s="866">
        <v>0</v>
      </c>
      <c r="K115" s="866">
        <v>0</v>
      </c>
      <c r="L115" s="866">
        <v>0</v>
      </c>
      <c r="M115" s="866">
        <v>273000</v>
      </c>
      <c r="N115" s="866">
        <v>1200000</v>
      </c>
      <c r="O115" s="867">
        <v>160322</v>
      </c>
      <c r="P115" s="867">
        <v>25585813</v>
      </c>
      <c r="Q115" s="849">
        <v>395303</v>
      </c>
      <c r="R115" s="849">
        <v>71855982</v>
      </c>
      <c r="S115" s="854">
        <v>251532</v>
      </c>
      <c r="T115" s="854">
        <v>46887348</v>
      </c>
      <c r="U115" s="855">
        <v>315786</v>
      </c>
      <c r="V115" s="855">
        <v>42010988</v>
      </c>
      <c r="W115" s="855">
        <v>71912</v>
      </c>
      <c r="X115" s="855">
        <v>8842461</v>
      </c>
      <c r="Y115" s="854">
        <v>347038</v>
      </c>
      <c r="Z115" s="855">
        <v>41335413</v>
      </c>
      <c r="AA115" s="855">
        <v>324113</v>
      </c>
      <c r="AB115" s="855">
        <v>37619254</v>
      </c>
      <c r="AC115" s="856">
        <v>86297</v>
      </c>
      <c r="AD115" s="856">
        <v>9394938</v>
      </c>
      <c r="AE115" s="855">
        <v>27414.14</v>
      </c>
      <c r="AF115" s="855">
        <v>3415875.39</v>
      </c>
      <c r="AG115" s="855">
        <v>212382</v>
      </c>
      <c r="AH115" s="855">
        <v>25684859</v>
      </c>
      <c r="AI115" s="854">
        <v>401358</v>
      </c>
      <c r="AJ115" s="854">
        <v>58501917</v>
      </c>
      <c r="AK115" s="854">
        <v>474267</v>
      </c>
      <c r="AL115" s="854">
        <v>68616729</v>
      </c>
      <c r="AM115" s="854">
        <v>619651</v>
      </c>
      <c r="AN115" s="854">
        <v>75377357</v>
      </c>
    </row>
    <row r="116" spans="1:40">
      <c r="A116" s="591"/>
      <c r="B116" s="594"/>
      <c r="C116" s="670"/>
      <c r="D116" s="670"/>
      <c r="E116" s="670"/>
      <c r="F116" s="670"/>
      <c r="G116" s="670"/>
      <c r="H116" s="670"/>
      <c r="I116" s="594"/>
      <c r="J116" s="594"/>
      <c r="K116" s="794"/>
      <c r="L116" s="794"/>
      <c r="M116" s="626"/>
      <c r="N116" s="626"/>
      <c r="O116" s="871"/>
      <c r="P116" s="871"/>
      <c r="Q116" s="684"/>
      <c r="R116" s="684"/>
      <c r="S116" s="820"/>
      <c r="T116" s="820"/>
      <c r="U116" s="820"/>
      <c r="V116" s="820"/>
      <c r="W116" s="710"/>
      <c r="X116" s="710"/>
      <c r="Y116" s="710"/>
      <c r="Z116" s="710"/>
      <c r="AA116" s="692"/>
      <c r="AB116" s="692"/>
      <c r="AC116" s="794"/>
      <c r="AD116" s="794"/>
      <c r="AE116" s="692"/>
      <c r="AF116" s="692"/>
      <c r="AG116" s="692"/>
      <c r="AH116" s="692"/>
      <c r="AI116" s="710"/>
      <c r="AJ116" s="710"/>
      <c r="AK116" s="710"/>
      <c r="AL116" s="710"/>
      <c r="AM116" s="710"/>
      <c r="AN116" s="710"/>
    </row>
    <row r="117" spans="1:40">
      <c r="A117" s="1573" t="s">
        <v>297</v>
      </c>
      <c r="B117" s="919"/>
      <c r="C117" s="1574"/>
      <c r="D117" s="1574"/>
      <c r="E117" s="1574"/>
      <c r="F117" s="1574"/>
      <c r="G117" s="1574"/>
      <c r="H117" s="1574"/>
      <c r="I117" s="1575"/>
      <c r="J117" s="1575"/>
      <c r="K117" s="919"/>
      <c r="L117" s="919"/>
      <c r="M117" s="1576"/>
      <c r="N117" s="1576"/>
      <c r="O117" s="1577"/>
      <c r="P117" s="1577"/>
      <c r="Q117" s="1575"/>
      <c r="R117" s="1575"/>
      <c r="S117" s="1578"/>
      <c r="T117" s="1578"/>
      <c r="U117" s="1578"/>
      <c r="V117" s="1578"/>
      <c r="W117" s="1578"/>
      <c r="X117" s="1578"/>
      <c r="Y117" s="1578"/>
      <c r="Z117" s="1578"/>
      <c r="AA117" s="1576"/>
      <c r="AB117" s="1576"/>
      <c r="AC117" s="1579"/>
      <c r="AD117" s="1579"/>
      <c r="AE117" s="1576"/>
      <c r="AF117" s="1576"/>
      <c r="AG117" s="1576"/>
      <c r="AH117" s="1576"/>
      <c r="AI117" s="1578"/>
      <c r="AJ117" s="1578"/>
      <c r="AK117" s="1578"/>
      <c r="AL117" s="1578"/>
      <c r="AM117" s="1578"/>
      <c r="AN117" s="1578"/>
    </row>
    <row r="118" spans="1:40">
      <c r="A118" s="1580" t="s">
        <v>562</v>
      </c>
      <c r="B118" s="919" t="s">
        <v>110</v>
      </c>
      <c r="C118" s="1574">
        <v>449</v>
      </c>
      <c r="D118" s="1574">
        <v>5937452</v>
      </c>
      <c r="E118" s="1574">
        <v>515</v>
      </c>
      <c r="F118" s="1574">
        <v>9230525</v>
      </c>
      <c r="G118" s="1574">
        <v>463</v>
      </c>
      <c r="H118" s="1574">
        <v>4012332</v>
      </c>
      <c r="I118" s="1575">
        <v>325</v>
      </c>
      <c r="J118" s="1575">
        <v>3521185</v>
      </c>
      <c r="K118" s="1575">
        <v>266</v>
      </c>
      <c r="L118" s="1575">
        <v>3681889</v>
      </c>
      <c r="M118" s="1575">
        <v>268</v>
      </c>
      <c r="N118" s="1575">
        <v>4600916</v>
      </c>
      <c r="O118" s="1577">
        <v>222</v>
      </c>
      <c r="P118" s="1577">
        <v>3697617</v>
      </c>
      <c r="Q118" s="1574">
        <v>633.995</v>
      </c>
      <c r="R118" s="1574">
        <v>28808544</v>
      </c>
      <c r="S118" s="1578">
        <v>287.41000000000003</v>
      </c>
      <c r="T118" s="1578">
        <v>12109563</v>
      </c>
      <c r="U118" s="1576">
        <v>370</v>
      </c>
      <c r="V118" s="1576">
        <v>19954659</v>
      </c>
      <c r="W118" s="1576">
        <v>786</v>
      </c>
      <c r="X118" s="1576">
        <v>48072829</v>
      </c>
      <c r="Y118" s="1578">
        <v>870</v>
      </c>
      <c r="Z118" s="1576">
        <v>66688908</v>
      </c>
      <c r="AA118" s="1576">
        <v>878.00099999999998</v>
      </c>
      <c r="AB118" s="1576">
        <v>50853771</v>
      </c>
      <c r="AC118" s="1581">
        <v>1499</v>
      </c>
      <c r="AD118" s="1581">
        <v>81778705</v>
      </c>
      <c r="AE118" s="1576">
        <v>1092.2338400000001</v>
      </c>
      <c r="AF118" s="1576">
        <v>55266893.764114715</v>
      </c>
      <c r="AG118" s="1576">
        <v>994.42200000000003</v>
      </c>
      <c r="AH118" s="1576">
        <v>49064798</v>
      </c>
      <c r="AI118" s="1578">
        <v>1947</v>
      </c>
      <c r="AJ118" s="1578">
        <v>94627283</v>
      </c>
      <c r="AK118" s="1578">
        <v>1898</v>
      </c>
      <c r="AL118" s="1578">
        <v>56866445</v>
      </c>
      <c r="AM118" s="1578">
        <v>2035</v>
      </c>
      <c r="AN118" s="1578">
        <v>54471438</v>
      </c>
    </row>
    <row r="119" spans="1:40">
      <c r="A119" s="1580" t="s">
        <v>563</v>
      </c>
      <c r="B119" s="919" t="s">
        <v>110</v>
      </c>
      <c r="C119" s="1576">
        <v>0</v>
      </c>
      <c r="D119" s="1576">
        <v>0</v>
      </c>
      <c r="E119" s="1576">
        <v>0</v>
      </c>
      <c r="F119" s="1576">
        <v>0</v>
      </c>
      <c r="G119" s="1576">
        <v>0</v>
      </c>
      <c r="H119" s="1576">
        <v>0</v>
      </c>
      <c r="I119" s="1576">
        <v>0</v>
      </c>
      <c r="J119" s="1576">
        <v>0</v>
      </c>
      <c r="K119" s="1576">
        <v>0</v>
      </c>
      <c r="L119" s="1576">
        <v>0</v>
      </c>
      <c r="M119" s="1576">
        <v>0</v>
      </c>
      <c r="N119" s="1576">
        <v>0</v>
      </c>
      <c r="O119" s="1576">
        <v>0</v>
      </c>
      <c r="P119" s="1576">
        <v>0</v>
      </c>
      <c r="Q119" s="1576">
        <v>0</v>
      </c>
      <c r="R119" s="1576">
        <v>0</v>
      </c>
      <c r="S119" s="1576">
        <v>0</v>
      </c>
      <c r="T119" s="1576">
        <v>0</v>
      </c>
      <c r="U119" s="1576">
        <v>0</v>
      </c>
      <c r="V119" s="1576">
        <v>0</v>
      </c>
      <c r="W119" s="1576">
        <v>0</v>
      </c>
      <c r="X119" s="1576">
        <v>0</v>
      </c>
      <c r="Y119" s="1576">
        <v>0</v>
      </c>
      <c r="Z119" s="1576">
        <v>0</v>
      </c>
      <c r="AA119" s="1576">
        <v>0</v>
      </c>
      <c r="AB119" s="1576">
        <v>0</v>
      </c>
      <c r="AC119" s="1576">
        <v>0</v>
      </c>
      <c r="AD119" s="1576">
        <v>0</v>
      </c>
      <c r="AE119" s="1576">
        <v>0</v>
      </c>
      <c r="AF119" s="1576">
        <v>0</v>
      </c>
      <c r="AG119" s="1576">
        <v>340.32</v>
      </c>
      <c r="AH119" s="1576">
        <v>14101071</v>
      </c>
      <c r="AI119" s="1578">
        <v>1321.72</v>
      </c>
      <c r="AJ119" s="1578">
        <v>54656716</v>
      </c>
      <c r="AK119" s="1578">
        <v>1985</v>
      </c>
      <c r="AL119" s="1578">
        <v>54828789</v>
      </c>
      <c r="AM119" s="1578">
        <v>2390</v>
      </c>
      <c r="AN119" s="1578">
        <v>55784670</v>
      </c>
    </row>
    <row r="120" spans="1:40">
      <c r="A120" s="1580" t="s">
        <v>564</v>
      </c>
      <c r="B120" s="919" t="s">
        <v>110</v>
      </c>
      <c r="C120" s="1576">
        <v>0</v>
      </c>
      <c r="D120" s="1576">
        <v>0</v>
      </c>
      <c r="E120" s="1576">
        <v>0</v>
      </c>
      <c r="F120" s="1576">
        <v>0</v>
      </c>
      <c r="G120" s="1576">
        <v>0</v>
      </c>
      <c r="H120" s="1576">
        <v>0</v>
      </c>
      <c r="I120" s="1576">
        <v>0</v>
      </c>
      <c r="J120" s="1576">
        <v>0</v>
      </c>
      <c r="K120" s="1576">
        <v>0</v>
      </c>
      <c r="L120" s="1576">
        <v>0</v>
      </c>
      <c r="M120" s="1576">
        <v>0</v>
      </c>
      <c r="N120" s="1576">
        <v>0</v>
      </c>
      <c r="O120" s="1576">
        <v>0</v>
      </c>
      <c r="P120" s="1576">
        <v>0</v>
      </c>
      <c r="Q120" s="1576">
        <v>0</v>
      </c>
      <c r="R120" s="1576">
        <v>0</v>
      </c>
      <c r="S120" s="1576">
        <v>0</v>
      </c>
      <c r="T120" s="1576">
        <v>0</v>
      </c>
      <c r="U120" s="1576">
        <v>0</v>
      </c>
      <c r="V120" s="1576">
        <v>0</v>
      </c>
      <c r="W120" s="1576">
        <v>0</v>
      </c>
      <c r="X120" s="1576">
        <v>0</v>
      </c>
      <c r="Y120" s="1576">
        <v>0</v>
      </c>
      <c r="Z120" s="1576">
        <v>0</v>
      </c>
      <c r="AA120" s="1576">
        <v>0</v>
      </c>
      <c r="AB120" s="1576">
        <v>0</v>
      </c>
      <c r="AC120" s="1576">
        <v>0</v>
      </c>
      <c r="AD120" s="1576">
        <v>0</v>
      </c>
      <c r="AE120" s="1576">
        <v>0</v>
      </c>
      <c r="AF120" s="1576">
        <v>0</v>
      </c>
      <c r="AG120" s="1576">
        <v>732</v>
      </c>
      <c r="AH120" s="1576">
        <v>23090295</v>
      </c>
      <c r="AI120" s="1578">
        <v>920.85</v>
      </c>
      <c r="AJ120" s="1578">
        <v>25096601</v>
      </c>
      <c r="AK120" s="1578">
        <v>549</v>
      </c>
      <c r="AL120" s="1578">
        <v>15668639</v>
      </c>
      <c r="AM120" s="1578">
        <v>495.15</v>
      </c>
      <c r="AN120" s="1578">
        <v>13926085</v>
      </c>
    </row>
    <row r="121" spans="1:40">
      <c r="A121" s="1582" t="s">
        <v>298</v>
      </c>
      <c r="B121" s="919"/>
      <c r="C121" s="1574">
        <f t="shared" ref="C121:J121" si="1">SUM(C118:C120)</f>
        <v>449</v>
      </c>
      <c r="D121" s="1574">
        <f t="shared" si="1"/>
        <v>5937452</v>
      </c>
      <c r="E121" s="1576">
        <f t="shared" si="1"/>
        <v>515</v>
      </c>
      <c r="F121" s="1576">
        <f t="shared" si="1"/>
        <v>9230525</v>
      </c>
      <c r="G121" s="1576">
        <f t="shared" si="1"/>
        <v>463</v>
      </c>
      <c r="H121" s="1576">
        <f t="shared" si="1"/>
        <v>4012332</v>
      </c>
      <c r="I121" s="1574">
        <f t="shared" si="1"/>
        <v>325</v>
      </c>
      <c r="J121" s="1574">
        <f t="shared" si="1"/>
        <v>3521185</v>
      </c>
      <c r="K121" s="1575">
        <v>266</v>
      </c>
      <c r="L121" s="1575">
        <v>3681889</v>
      </c>
      <c r="M121" s="1575">
        <v>268</v>
      </c>
      <c r="N121" s="1575">
        <v>4600916</v>
      </c>
      <c r="O121" s="1577">
        <v>222</v>
      </c>
      <c r="P121" s="1577">
        <v>3697617</v>
      </c>
      <c r="Q121" s="1574">
        <v>633.995</v>
      </c>
      <c r="R121" s="1574">
        <v>28808544</v>
      </c>
      <c r="S121" s="1578">
        <v>287.41000000000003</v>
      </c>
      <c r="T121" s="1578">
        <v>12109563</v>
      </c>
      <c r="U121" s="1576">
        <v>370</v>
      </c>
      <c r="V121" s="1576">
        <v>19954659</v>
      </c>
      <c r="W121" s="1576">
        <v>786</v>
      </c>
      <c r="X121" s="1576">
        <v>48072829</v>
      </c>
      <c r="Y121" s="1578">
        <v>870</v>
      </c>
      <c r="Z121" s="1576">
        <v>66688908</v>
      </c>
      <c r="AA121" s="1576">
        <v>878.00099999999998</v>
      </c>
      <c r="AB121" s="1576">
        <v>50853771</v>
      </c>
      <c r="AC121" s="1581">
        <v>1499</v>
      </c>
      <c r="AD121" s="1581">
        <v>81778705</v>
      </c>
      <c r="AE121" s="1576">
        <v>1092.2338400000001</v>
      </c>
      <c r="AF121" s="1576">
        <v>55266893.764114715</v>
      </c>
      <c r="AG121" s="1576"/>
      <c r="AH121" s="1576">
        <v>86256164</v>
      </c>
      <c r="AI121" s="1578"/>
      <c r="AJ121" s="1578">
        <f>SUM(AJ118:AJ120)</f>
        <v>174380600</v>
      </c>
      <c r="AK121" s="1578"/>
      <c r="AL121" s="1578">
        <f>SUM(AL118:AL120)</f>
        <v>127363873</v>
      </c>
      <c r="AM121" s="1578"/>
      <c r="AN121" s="1578">
        <f>SUM(AN118:AN120)</f>
        <v>124182193</v>
      </c>
    </row>
    <row r="122" spans="1:40">
      <c r="A122" s="1580" t="s">
        <v>565</v>
      </c>
      <c r="B122" s="919" t="s">
        <v>110</v>
      </c>
      <c r="C122" s="1574">
        <v>486491</v>
      </c>
      <c r="D122" s="1574">
        <v>363306720</v>
      </c>
      <c r="E122" s="1574">
        <v>455155</v>
      </c>
      <c r="F122" s="1574">
        <v>313472129</v>
      </c>
      <c r="G122" s="1574">
        <v>406321</v>
      </c>
      <c r="H122" s="1574">
        <v>264726489</v>
      </c>
      <c r="I122" s="1575">
        <v>388964</v>
      </c>
      <c r="J122" s="1575">
        <v>391749276</v>
      </c>
      <c r="K122" s="1575">
        <v>353850</v>
      </c>
      <c r="L122" s="1575">
        <v>633839033</v>
      </c>
      <c r="M122" s="1575">
        <v>446453</v>
      </c>
      <c r="N122" s="1575">
        <v>565370341</v>
      </c>
      <c r="O122" s="1577">
        <v>510320</v>
      </c>
      <c r="P122" s="1577">
        <v>591302981</v>
      </c>
      <c r="Q122" s="1574">
        <v>475305</v>
      </c>
      <c r="R122" s="1574">
        <v>485907939</v>
      </c>
      <c r="S122" s="1578">
        <f>521030</f>
        <v>521030</v>
      </c>
      <c r="T122" s="1578">
        <f>470435536</f>
        <v>470435536</v>
      </c>
      <c r="U122" s="1576">
        <v>563025</v>
      </c>
      <c r="V122" s="1576">
        <v>458620550</v>
      </c>
      <c r="W122" s="1576">
        <v>729442</v>
      </c>
      <c r="X122" s="1576">
        <v>897118281</v>
      </c>
      <c r="Y122" s="1578">
        <v>761919</v>
      </c>
      <c r="Z122" s="1576">
        <v>1097301395</v>
      </c>
      <c r="AA122" s="1576">
        <v>776490</v>
      </c>
      <c r="AB122" s="1576">
        <v>1051111897</v>
      </c>
      <c r="AC122" s="1581">
        <v>942470</v>
      </c>
      <c r="AD122" s="1581">
        <v>1146639375</v>
      </c>
      <c r="AE122" s="1576">
        <v>835160.1</v>
      </c>
      <c r="AF122" s="1576">
        <v>872398146.45216513</v>
      </c>
      <c r="AG122" s="1576">
        <v>871262</v>
      </c>
      <c r="AH122" s="1576">
        <v>1613510211</v>
      </c>
      <c r="AI122" s="1578">
        <v>899618.48</v>
      </c>
      <c r="AJ122" s="1578">
        <v>1857503896</v>
      </c>
      <c r="AK122" s="1578">
        <v>1110357</v>
      </c>
      <c r="AL122" s="1578">
        <v>1619104901</v>
      </c>
      <c r="AM122" s="1578">
        <v>1355882</v>
      </c>
      <c r="AN122" s="1578">
        <v>1997056701</v>
      </c>
    </row>
    <row r="123" spans="1:40">
      <c r="A123" s="1580" t="s">
        <v>566</v>
      </c>
      <c r="B123" s="919" t="s">
        <v>110</v>
      </c>
      <c r="C123" s="1574">
        <v>0</v>
      </c>
      <c r="D123" s="1574">
        <v>0</v>
      </c>
      <c r="E123" s="1576">
        <v>0</v>
      </c>
      <c r="F123" s="1576">
        <v>0</v>
      </c>
      <c r="G123" s="1576">
        <v>0</v>
      </c>
      <c r="H123" s="1576">
        <v>0</v>
      </c>
      <c r="I123" s="1575">
        <v>0</v>
      </c>
      <c r="J123" s="1575">
        <v>0</v>
      </c>
      <c r="K123" s="1575">
        <v>0</v>
      </c>
      <c r="L123" s="1575">
        <v>0</v>
      </c>
      <c r="M123" s="1577">
        <v>0</v>
      </c>
      <c r="N123" s="1578">
        <v>0</v>
      </c>
      <c r="O123" s="1577">
        <v>0</v>
      </c>
      <c r="P123" s="1577">
        <v>0</v>
      </c>
      <c r="Q123" s="1583">
        <v>0</v>
      </c>
      <c r="R123" s="1583">
        <v>0</v>
      </c>
      <c r="S123" s="1583">
        <v>0</v>
      </c>
      <c r="T123" s="1583">
        <v>0</v>
      </c>
      <c r="U123" s="1583">
        <v>0</v>
      </c>
      <c r="V123" s="1583">
        <v>0</v>
      </c>
      <c r="W123" s="1583">
        <v>0</v>
      </c>
      <c r="X123" s="1583">
        <v>0</v>
      </c>
      <c r="Y123" s="1583">
        <v>0</v>
      </c>
      <c r="Z123" s="1583">
        <v>0</v>
      </c>
      <c r="AA123" s="1583">
        <v>0</v>
      </c>
      <c r="AB123" s="1583">
        <v>0</v>
      </c>
      <c r="AC123" s="1583">
        <v>0</v>
      </c>
      <c r="AD123" s="1583">
        <v>0</v>
      </c>
      <c r="AE123" s="1576">
        <v>519</v>
      </c>
      <c r="AF123" s="1576">
        <v>4220297</v>
      </c>
      <c r="AG123" s="1576">
        <v>14199.976000000001</v>
      </c>
      <c r="AH123" s="1576">
        <v>192774850</v>
      </c>
      <c r="AI123" s="1578">
        <v>27969.37</v>
      </c>
      <c r="AJ123" s="1578">
        <v>381234256</v>
      </c>
      <c r="AK123" s="1578">
        <v>35522</v>
      </c>
      <c r="AL123" s="1578">
        <v>382964497</v>
      </c>
      <c r="AM123" s="1578">
        <v>37915</v>
      </c>
      <c r="AN123" s="1578">
        <v>485414557</v>
      </c>
    </row>
    <row r="124" spans="1:40">
      <c r="A124" s="1580" t="s">
        <v>299</v>
      </c>
      <c r="B124" s="919" t="s">
        <v>110</v>
      </c>
      <c r="C124" s="1574">
        <v>0</v>
      </c>
      <c r="D124" s="1574">
        <v>0</v>
      </c>
      <c r="E124" s="1574">
        <v>45937</v>
      </c>
      <c r="F124" s="1574">
        <v>8490324</v>
      </c>
      <c r="G124" s="1574">
        <v>59257</v>
      </c>
      <c r="H124" s="1574">
        <v>10065723</v>
      </c>
      <c r="I124" s="1575">
        <v>0</v>
      </c>
      <c r="J124" s="1575">
        <v>0</v>
      </c>
      <c r="K124" s="1575">
        <v>0</v>
      </c>
      <c r="L124" s="1575">
        <v>0</v>
      </c>
      <c r="M124" s="1575">
        <v>37084</v>
      </c>
      <c r="N124" s="1575">
        <v>20598342</v>
      </c>
      <c r="O124" s="1577">
        <v>8666</v>
      </c>
      <c r="P124" s="1577">
        <v>4575271</v>
      </c>
      <c r="Q124" s="1575">
        <v>5210</v>
      </c>
      <c r="R124" s="1575">
        <v>3135393</v>
      </c>
      <c r="S124" s="1583">
        <v>0</v>
      </c>
      <c r="T124" s="1583">
        <v>0</v>
      </c>
      <c r="U124" s="1583">
        <v>0</v>
      </c>
      <c r="V124" s="1583">
        <v>0</v>
      </c>
      <c r="W124" s="1583">
        <v>0</v>
      </c>
      <c r="X124" s="1583">
        <v>0</v>
      </c>
      <c r="Y124" s="1583">
        <v>0</v>
      </c>
      <c r="Z124" s="1583">
        <v>0</v>
      </c>
      <c r="AA124" s="1583">
        <v>0</v>
      </c>
      <c r="AB124" s="1583">
        <v>0</v>
      </c>
      <c r="AC124" s="1583">
        <v>0</v>
      </c>
      <c r="AD124" s="1583">
        <v>0</v>
      </c>
      <c r="AE124" s="1583">
        <v>0</v>
      </c>
      <c r="AF124" s="1583">
        <v>0</v>
      </c>
      <c r="AG124" s="1583">
        <v>0</v>
      </c>
      <c r="AH124" s="1583">
        <v>0</v>
      </c>
      <c r="AI124" s="1583">
        <v>0</v>
      </c>
      <c r="AJ124" s="1583">
        <v>0</v>
      </c>
      <c r="AK124" s="1578">
        <v>0</v>
      </c>
      <c r="AL124" s="1578">
        <v>0</v>
      </c>
      <c r="AM124" s="1578">
        <v>0</v>
      </c>
      <c r="AN124" s="1578">
        <v>0</v>
      </c>
    </row>
    <row r="125" spans="1:40">
      <c r="A125" s="1580" t="s">
        <v>736</v>
      </c>
      <c r="B125" s="919" t="s">
        <v>196</v>
      </c>
      <c r="C125" s="1574">
        <v>461</v>
      </c>
      <c r="D125" s="1574">
        <v>2491786</v>
      </c>
      <c r="E125" s="1574">
        <v>421</v>
      </c>
      <c r="F125" s="1574">
        <v>2050352</v>
      </c>
      <c r="G125" s="1574">
        <v>490</v>
      </c>
      <c r="H125" s="1574">
        <v>3218062</v>
      </c>
      <c r="I125" s="1575">
        <v>454</v>
      </c>
      <c r="J125" s="1575">
        <v>2842171</v>
      </c>
      <c r="K125" s="1575">
        <v>280</v>
      </c>
      <c r="L125" s="1575">
        <v>1622806</v>
      </c>
      <c r="M125" s="1575">
        <v>431</v>
      </c>
      <c r="N125" s="1575">
        <v>1631497</v>
      </c>
      <c r="O125" s="1577">
        <v>350</v>
      </c>
      <c r="P125" s="1577">
        <v>1229183</v>
      </c>
      <c r="Q125" s="1575">
        <v>554.50900000000001</v>
      </c>
      <c r="R125" s="1575">
        <v>1386855</v>
      </c>
      <c r="S125" s="1576">
        <v>422.01299999999998</v>
      </c>
      <c r="T125" s="1578">
        <v>1626008</v>
      </c>
      <c r="U125" s="1576">
        <v>373</v>
      </c>
      <c r="V125" s="1576">
        <v>2576698</v>
      </c>
      <c r="W125" s="1576">
        <v>514</v>
      </c>
      <c r="X125" s="1576">
        <v>3100988</v>
      </c>
      <c r="Y125" s="1578">
        <v>558</v>
      </c>
      <c r="Z125" s="1576">
        <v>2703172</v>
      </c>
      <c r="AA125" s="1576">
        <v>433.21499999999997</v>
      </c>
      <c r="AB125" s="1576">
        <v>2238476</v>
      </c>
      <c r="AC125" s="1581">
        <v>668</v>
      </c>
      <c r="AD125" s="1581">
        <v>6785327</v>
      </c>
      <c r="AE125" s="1576">
        <v>791.89519984889159</v>
      </c>
      <c r="AF125" s="1576">
        <v>9233229.6406634524</v>
      </c>
      <c r="AG125" s="1576">
        <v>790.93299999999999</v>
      </c>
      <c r="AH125" s="1576">
        <v>17154394</v>
      </c>
      <c r="AI125" s="1578">
        <v>862.87700000000007</v>
      </c>
      <c r="AJ125" s="1578">
        <v>39173885</v>
      </c>
      <c r="AK125" s="1578">
        <v>828</v>
      </c>
      <c r="AL125" s="1578">
        <v>20072174</v>
      </c>
      <c r="AM125" s="1578">
        <v>517</v>
      </c>
      <c r="AN125" s="1578">
        <v>7468326</v>
      </c>
    </row>
    <row r="126" spans="1:40">
      <c r="A126" s="1580" t="s">
        <v>567</v>
      </c>
      <c r="B126" s="919" t="s">
        <v>196</v>
      </c>
      <c r="C126" s="1574">
        <v>81</v>
      </c>
      <c r="D126" s="1574">
        <v>1225011</v>
      </c>
      <c r="E126" s="1574">
        <v>94</v>
      </c>
      <c r="F126" s="1574">
        <v>1498493</v>
      </c>
      <c r="G126" s="1574">
        <v>105</v>
      </c>
      <c r="H126" s="1574">
        <v>2645121</v>
      </c>
      <c r="I126" s="1579">
        <v>82</v>
      </c>
      <c r="J126" s="1579">
        <v>1936029</v>
      </c>
      <c r="K126" s="1575">
        <v>70</v>
      </c>
      <c r="L126" s="1575">
        <v>1504088</v>
      </c>
      <c r="M126" s="1575">
        <v>66</v>
      </c>
      <c r="N126" s="1575">
        <v>1049022</v>
      </c>
      <c r="O126" s="1577">
        <v>89</v>
      </c>
      <c r="P126" s="1577">
        <v>1268587</v>
      </c>
      <c r="Q126" s="1574">
        <v>125.637</v>
      </c>
      <c r="R126" s="1574">
        <v>1646045</v>
      </c>
      <c r="S126" s="1576">
        <v>112.181</v>
      </c>
      <c r="T126" s="1578">
        <v>1246898</v>
      </c>
      <c r="U126" s="1576">
        <v>64</v>
      </c>
      <c r="V126" s="1576">
        <v>987882</v>
      </c>
      <c r="W126" s="1576">
        <v>121</v>
      </c>
      <c r="X126" s="1576">
        <v>1412150</v>
      </c>
      <c r="Y126" s="1578">
        <v>87</v>
      </c>
      <c r="Z126" s="1576">
        <v>1995309</v>
      </c>
      <c r="AA126" s="1576">
        <v>254.56</v>
      </c>
      <c r="AB126" s="1576">
        <v>1582314</v>
      </c>
      <c r="AC126" s="1581">
        <v>212</v>
      </c>
      <c r="AD126" s="1581">
        <v>3105879</v>
      </c>
      <c r="AE126" s="1576">
        <v>101.83586977349816</v>
      </c>
      <c r="AF126" s="1576">
        <v>1838766.5099171938</v>
      </c>
      <c r="AG126" s="1576">
        <v>115.55800000000001</v>
      </c>
      <c r="AH126" s="1576">
        <v>2581065</v>
      </c>
      <c r="AI126" s="1578">
        <v>188.16800000000001</v>
      </c>
      <c r="AJ126" s="1578">
        <v>6062098</v>
      </c>
      <c r="AK126" s="1578">
        <v>144</v>
      </c>
      <c r="AL126" s="1578">
        <v>3949956</v>
      </c>
      <c r="AM126" s="1578">
        <v>152</v>
      </c>
      <c r="AN126" s="1578">
        <v>4337857</v>
      </c>
    </row>
    <row r="127" spans="1:40">
      <c r="A127" s="1582" t="s">
        <v>301</v>
      </c>
      <c r="B127" s="1579"/>
      <c r="C127" s="1575"/>
      <c r="D127" s="1575">
        <f>SUM(D121:D126)</f>
        <v>372960969</v>
      </c>
      <c r="E127" s="1575"/>
      <c r="F127" s="1575">
        <f>SUM(F121:F126)</f>
        <v>334741823</v>
      </c>
      <c r="G127" s="1575"/>
      <c r="H127" s="1575">
        <f>SUM(H121:H126)</f>
        <v>284667727</v>
      </c>
      <c r="I127" s="1579"/>
      <c r="J127" s="1576">
        <f>SUM(J121:J126)</f>
        <v>400048661</v>
      </c>
      <c r="K127" s="1576"/>
      <c r="L127" s="1575">
        <f>SUM(L121:L126)</f>
        <v>640647816</v>
      </c>
      <c r="M127" s="1576"/>
      <c r="N127" s="1575">
        <f>SUM(N121:N126)</f>
        <v>593250118</v>
      </c>
      <c r="O127" s="1579"/>
      <c r="P127" s="1577">
        <f>SUM(P121:P126)</f>
        <v>602073639</v>
      </c>
      <c r="Q127" s="1574"/>
      <c r="R127" s="1574">
        <f>521349718-464942</f>
        <v>520884776</v>
      </c>
      <c r="S127" s="1578"/>
      <c r="T127" s="1578">
        <f>487155241-1737236</f>
        <v>485418005</v>
      </c>
      <c r="U127" s="1576"/>
      <c r="V127" s="1576">
        <v>482139789</v>
      </c>
      <c r="W127" s="1576"/>
      <c r="X127" s="1576">
        <v>949704248</v>
      </c>
      <c r="Y127" s="1576"/>
      <c r="Z127" s="1576">
        <v>1168688784</v>
      </c>
      <c r="AA127" s="1576"/>
      <c r="AB127" s="1576">
        <v>1105786458</v>
      </c>
      <c r="AC127" s="1579"/>
      <c r="AD127" s="1581">
        <v>1238309287</v>
      </c>
      <c r="AE127" s="1584"/>
      <c r="AF127" s="1576">
        <v>942957333.36686051</v>
      </c>
      <c r="AG127" s="1576"/>
      <c r="AH127" s="1576">
        <v>1912276684</v>
      </c>
      <c r="AI127" s="1576"/>
      <c r="AJ127" s="1578">
        <f>SUM(AJ121:AJ126)</f>
        <v>2458354735</v>
      </c>
      <c r="AK127" s="1578"/>
      <c r="AL127" s="1578">
        <f>SUM(AL121:AL126)</f>
        <v>2153455401</v>
      </c>
      <c r="AM127" s="1578"/>
      <c r="AN127" s="1578">
        <f>SUM(AN121:AN126)</f>
        <v>2618459634</v>
      </c>
    </row>
    <row r="128" spans="1:40">
      <c r="A128" s="596"/>
      <c r="B128" s="794"/>
      <c r="C128" s="684"/>
      <c r="D128" s="684"/>
      <c r="E128" s="684"/>
      <c r="F128" s="684"/>
      <c r="G128" s="684"/>
      <c r="H128" s="684"/>
      <c r="I128" s="638"/>
      <c r="J128" s="638"/>
      <c r="K128" s="794"/>
      <c r="L128" s="794"/>
      <c r="M128" s="594"/>
      <c r="N128" s="672"/>
      <c r="P128" s="871"/>
      <c r="Q128" s="684"/>
      <c r="R128" s="684"/>
      <c r="S128" s="820"/>
      <c r="T128" s="820"/>
      <c r="U128" s="820"/>
      <c r="V128" s="820"/>
      <c r="W128" s="820"/>
      <c r="X128" s="820"/>
      <c r="Y128" s="626"/>
      <c r="Z128" s="626"/>
      <c r="AA128" s="692"/>
      <c r="AB128" s="692"/>
      <c r="AD128" s="821"/>
      <c r="AE128" s="709"/>
      <c r="AF128" s="692"/>
      <c r="AG128" s="692"/>
      <c r="AH128" s="692"/>
      <c r="AI128" s="692"/>
      <c r="AJ128" s="710"/>
      <c r="AK128" s="710"/>
      <c r="AL128" s="710"/>
      <c r="AM128" s="692"/>
      <c r="AN128" s="710"/>
    </row>
    <row r="129" spans="1:40">
      <c r="A129" s="884" t="s">
        <v>303</v>
      </c>
      <c r="B129" s="880" t="s">
        <v>110</v>
      </c>
      <c r="C129" s="866">
        <v>0</v>
      </c>
      <c r="D129" s="866">
        <v>0</v>
      </c>
      <c r="E129" s="866">
        <v>10238</v>
      </c>
      <c r="F129" s="866">
        <v>441894</v>
      </c>
      <c r="G129" s="866">
        <v>1641</v>
      </c>
      <c r="H129" s="866">
        <v>51669</v>
      </c>
      <c r="I129" s="866">
        <v>879</v>
      </c>
      <c r="J129" s="866">
        <v>52794</v>
      </c>
      <c r="K129" s="866">
        <v>1338</v>
      </c>
      <c r="L129" s="866">
        <v>78504</v>
      </c>
      <c r="M129" s="849">
        <v>1111</v>
      </c>
      <c r="N129" s="849">
        <v>68546</v>
      </c>
      <c r="O129" s="867">
        <v>376</v>
      </c>
      <c r="P129" s="867">
        <v>28000</v>
      </c>
      <c r="Q129" s="866">
        <v>762</v>
      </c>
      <c r="R129" s="866">
        <v>56685</v>
      </c>
      <c r="S129" s="855">
        <v>1134</v>
      </c>
      <c r="T129" s="855">
        <v>84432</v>
      </c>
      <c r="U129" s="855">
        <v>813</v>
      </c>
      <c r="V129" s="855">
        <v>60380</v>
      </c>
      <c r="W129" s="855">
        <v>960</v>
      </c>
      <c r="X129" s="855">
        <v>66992</v>
      </c>
      <c r="Y129" s="854">
        <v>547</v>
      </c>
      <c r="Z129" s="855">
        <v>40748</v>
      </c>
      <c r="AA129" s="855">
        <v>0</v>
      </c>
      <c r="AB129" s="855">
        <v>0</v>
      </c>
      <c r="AC129" s="855">
        <v>0</v>
      </c>
      <c r="AD129" s="855">
        <v>0</v>
      </c>
      <c r="AE129" s="855">
        <v>0</v>
      </c>
      <c r="AF129" s="855">
        <v>0</v>
      </c>
      <c r="AG129" s="855">
        <v>0</v>
      </c>
      <c r="AH129" s="855">
        <v>0</v>
      </c>
      <c r="AI129" s="855">
        <v>0</v>
      </c>
      <c r="AJ129" s="855">
        <v>0</v>
      </c>
      <c r="AK129" s="854">
        <v>0</v>
      </c>
      <c r="AL129" s="854">
        <v>0</v>
      </c>
      <c r="AM129" s="854">
        <v>0</v>
      </c>
      <c r="AN129" s="854">
        <v>0</v>
      </c>
    </row>
    <row r="130" spans="1:40">
      <c r="A130" s="599" t="s">
        <v>304</v>
      </c>
      <c r="B130" s="794"/>
      <c r="C130" s="684"/>
      <c r="D130" s="684"/>
      <c r="E130" s="684"/>
      <c r="F130" s="684"/>
      <c r="G130" s="684"/>
      <c r="H130" s="684"/>
      <c r="I130" s="794"/>
      <c r="J130" s="794"/>
      <c r="K130" s="626"/>
      <c r="L130" s="626"/>
      <c r="M130" s="684"/>
      <c r="N130" s="684"/>
      <c r="O130" s="871"/>
      <c r="P130" s="871"/>
      <c r="Q130" s="670"/>
      <c r="R130" s="670"/>
      <c r="S130" s="626"/>
      <c r="T130" s="626"/>
      <c r="U130" s="626"/>
      <c r="V130" s="626"/>
      <c r="W130" s="626"/>
      <c r="X130" s="626"/>
      <c r="Y130" s="626"/>
      <c r="Z130" s="626"/>
      <c r="AA130" s="692"/>
      <c r="AB130" s="692"/>
      <c r="AE130" s="692"/>
      <c r="AF130" s="692"/>
      <c r="AG130" s="692"/>
      <c r="AH130" s="692"/>
      <c r="AI130" s="692"/>
      <c r="AJ130" s="710"/>
      <c r="AK130" s="710"/>
      <c r="AL130" s="710"/>
      <c r="AM130" s="710"/>
      <c r="AN130" s="710"/>
    </row>
    <row r="131" spans="1:40">
      <c r="A131" s="1573" t="s">
        <v>305</v>
      </c>
      <c r="B131" s="1579"/>
      <c r="C131" s="1575"/>
      <c r="D131" s="1575"/>
      <c r="E131" s="1575"/>
      <c r="F131" s="1575"/>
      <c r="G131" s="1575"/>
      <c r="H131" s="1575"/>
      <c r="I131" s="919"/>
      <c r="J131" s="919"/>
      <c r="K131" s="1576"/>
      <c r="L131" s="1576"/>
      <c r="M131" s="1575"/>
      <c r="N131" s="1575"/>
      <c r="O131" s="1577"/>
      <c r="P131" s="1577"/>
      <c r="Q131" s="1574"/>
      <c r="R131" s="1574"/>
      <c r="S131" s="1576"/>
      <c r="T131" s="1576"/>
      <c r="U131" s="1576"/>
      <c r="V131" s="1576"/>
      <c r="W131" s="1576"/>
      <c r="X131" s="1576"/>
      <c r="Y131" s="1576"/>
      <c r="Z131" s="1576"/>
      <c r="AA131" s="1576"/>
      <c r="AB131" s="1576"/>
      <c r="AC131" s="1579"/>
      <c r="AD131" s="1579"/>
      <c r="AE131" s="1576"/>
      <c r="AF131" s="1576"/>
      <c r="AG131" s="1576"/>
      <c r="AH131" s="1576"/>
      <c r="AI131" s="1578"/>
      <c r="AJ131" s="1578"/>
      <c r="AK131" s="1578"/>
      <c r="AL131" s="1578"/>
      <c r="AM131" s="1578"/>
      <c r="AN131" s="1578"/>
    </row>
    <row r="132" spans="1:40">
      <c r="A132" s="1580" t="s">
        <v>97</v>
      </c>
      <c r="B132" s="919" t="s">
        <v>306</v>
      </c>
      <c r="C132" s="1574">
        <f>94861/0.733</f>
        <v>129414.73396998637</v>
      </c>
      <c r="D132" s="1574" t="s">
        <v>575</v>
      </c>
      <c r="E132" s="1574">
        <v>381287</v>
      </c>
      <c r="F132" s="1574" t="s">
        <v>576</v>
      </c>
      <c r="G132" s="1574">
        <v>512434</v>
      </c>
      <c r="H132" s="1574">
        <v>76464584</v>
      </c>
      <c r="I132" s="1575">
        <v>1140514</v>
      </c>
      <c r="J132" s="1575">
        <v>169911500</v>
      </c>
      <c r="K132" s="1575">
        <v>1154116</v>
      </c>
      <c r="L132" s="1575">
        <v>141799395</v>
      </c>
      <c r="M132" s="1575">
        <v>1601163</v>
      </c>
      <c r="N132" s="1575">
        <v>235653383</v>
      </c>
      <c r="O132" s="1577">
        <v>1867892</v>
      </c>
      <c r="P132" s="1577">
        <v>370948987</v>
      </c>
      <c r="Q132" s="1574">
        <v>1996708</v>
      </c>
      <c r="R132" s="1574">
        <v>338981745</v>
      </c>
      <c r="S132" s="1576">
        <v>1995401</v>
      </c>
      <c r="T132" s="1576">
        <v>363038053</v>
      </c>
      <c r="U132" s="1576">
        <v>2350031</v>
      </c>
      <c r="V132" s="1576">
        <v>348711923</v>
      </c>
      <c r="W132" s="1576">
        <v>2634932</v>
      </c>
      <c r="X132" s="1576">
        <v>398338386</v>
      </c>
      <c r="Y132" s="1578">
        <v>4648827</v>
      </c>
      <c r="Z132" s="1576">
        <v>685743146</v>
      </c>
      <c r="AA132" s="1576">
        <v>5734946</v>
      </c>
      <c r="AB132" s="1576">
        <v>943153536</v>
      </c>
      <c r="AC132" s="1581">
        <v>6758554</v>
      </c>
      <c r="AD132" s="1581">
        <v>1065843094</v>
      </c>
      <c r="AE132" s="1576">
        <v>5554129</v>
      </c>
      <c r="AF132" s="1576">
        <v>743906225.27999997</v>
      </c>
      <c r="AG132" s="1576">
        <v>6347648</v>
      </c>
      <c r="AH132" s="1576">
        <v>1583938449</v>
      </c>
      <c r="AI132" s="1578">
        <v>5809460</v>
      </c>
      <c r="AJ132" s="1578">
        <v>1984526940</v>
      </c>
      <c r="AK132" s="1578">
        <v>6326003</v>
      </c>
      <c r="AL132" s="1578">
        <v>1680033506</v>
      </c>
      <c r="AM132" s="1578">
        <v>6934156</v>
      </c>
      <c r="AN132" s="1578">
        <v>2046370293</v>
      </c>
    </row>
    <row r="133" spans="1:40">
      <c r="A133" s="1580" t="s">
        <v>96</v>
      </c>
      <c r="B133" s="919" t="s">
        <v>306</v>
      </c>
      <c r="C133" s="1574">
        <v>1216456</v>
      </c>
      <c r="D133" s="1574">
        <v>284790518</v>
      </c>
      <c r="E133" s="1574">
        <v>1430180</v>
      </c>
      <c r="F133" s="1574">
        <v>311924009</v>
      </c>
      <c r="G133" s="1574">
        <v>1574655</v>
      </c>
      <c r="H133" s="1574">
        <v>262843620</v>
      </c>
      <c r="I133" s="1575">
        <v>1932597</v>
      </c>
      <c r="J133" s="1575">
        <v>304355749</v>
      </c>
      <c r="K133" s="1575">
        <v>2198943</v>
      </c>
      <c r="L133" s="1575">
        <v>269860578</v>
      </c>
      <c r="M133" s="1574">
        <v>3962739</v>
      </c>
      <c r="N133" s="1574">
        <v>601471936</v>
      </c>
      <c r="O133" s="1577">
        <v>5136529</v>
      </c>
      <c r="P133" s="1577">
        <v>1054061459</v>
      </c>
      <c r="Q133" s="1574">
        <v>5432496</v>
      </c>
      <c r="R133" s="1574">
        <v>941287650</v>
      </c>
      <c r="S133" s="1576">
        <v>4538080</v>
      </c>
      <c r="T133" s="1576">
        <v>855690950</v>
      </c>
      <c r="U133" s="1576">
        <v>5327567</v>
      </c>
      <c r="V133" s="1576">
        <v>815332844</v>
      </c>
      <c r="W133" s="1576">
        <v>9901184</v>
      </c>
      <c r="X133" s="1576">
        <v>1559650770</v>
      </c>
      <c r="Y133" s="1578">
        <v>9646943</v>
      </c>
      <c r="Z133" s="1576">
        <v>1535670541</v>
      </c>
      <c r="AA133" s="1576">
        <v>10465951</v>
      </c>
      <c r="AB133" s="1576">
        <v>1915933489</v>
      </c>
      <c r="AC133" s="1581">
        <v>9852490</v>
      </c>
      <c r="AD133" s="1581">
        <v>1567158552</v>
      </c>
      <c r="AE133" s="1576">
        <v>9162535.7458721325</v>
      </c>
      <c r="AF133" s="1576">
        <v>1189643507.9398711</v>
      </c>
      <c r="AG133" s="1576">
        <v>12054819</v>
      </c>
      <c r="AH133" s="1576">
        <v>3144766638</v>
      </c>
      <c r="AI133" s="1578">
        <v>13957274</v>
      </c>
      <c r="AJ133" s="1578">
        <v>4792052082.1799994</v>
      </c>
      <c r="AK133" s="1578">
        <v>15087852</v>
      </c>
      <c r="AL133" s="1578">
        <v>4198780711</v>
      </c>
      <c r="AM133" s="1578">
        <v>14004299</v>
      </c>
      <c r="AN133" s="1578">
        <v>4258124798</v>
      </c>
    </row>
    <row r="134" spans="1:40">
      <c r="A134" s="1580" t="s">
        <v>345</v>
      </c>
      <c r="B134" s="919" t="s">
        <v>110</v>
      </c>
      <c r="C134" s="1575">
        <v>0</v>
      </c>
      <c r="D134" s="1575">
        <v>0</v>
      </c>
      <c r="E134" s="1575">
        <v>0</v>
      </c>
      <c r="F134" s="1575">
        <v>0</v>
      </c>
      <c r="G134" s="1575">
        <v>0</v>
      </c>
      <c r="H134" s="1575">
        <v>0</v>
      </c>
      <c r="I134" s="1575">
        <v>0</v>
      </c>
      <c r="J134" s="1575">
        <v>0</v>
      </c>
      <c r="K134" s="1575">
        <v>0</v>
      </c>
      <c r="L134" s="1575">
        <v>0</v>
      </c>
      <c r="M134" s="1574">
        <v>2003220.7692307692</v>
      </c>
      <c r="N134" s="1574">
        <v>336091222</v>
      </c>
      <c r="O134" s="1577">
        <v>3556359.2115384615</v>
      </c>
      <c r="P134" s="1577">
        <v>836400762</v>
      </c>
      <c r="Q134" s="1574">
        <v>4225019.230769231</v>
      </c>
      <c r="R134" s="1574">
        <v>846334383</v>
      </c>
      <c r="S134" s="1576">
        <v>4893574.192307692</v>
      </c>
      <c r="T134" s="1578">
        <v>1025056102</v>
      </c>
      <c r="U134" s="1576">
        <v>5699265.75</v>
      </c>
      <c r="V134" s="1576">
        <v>1015679244</v>
      </c>
      <c r="W134" s="1576">
        <v>6848223.557692308</v>
      </c>
      <c r="X134" s="1576">
        <v>1262512586</v>
      </c>
      <c r="Y134" s="1578">
        <v>7303621.384615385</v>
      </c>
      <c r="Z134" s="1576">
        <v>1350915501</v>
      </c>
      <c r="AA134" s="1576">
        <v>7124972.653846154</v>
      </c>
      <c r="AB134" s="1576">
        <v>1528770813</v>
      </c>
      <c r="AC134" s="1581">
        <v>7298921.730769231</v>
      </c>
      <c r="AD134" s="1581">
        <v>1591935107</v>
      </c>
      <c r="AE134" s="1576">
        <v>7536486.865384615</v>
      </c>
      <c r="AF134" s="1576">
        <v>1434419363</v>
      </c>
      <c r="AG134" s="1576">
        <v>7569482.692307692</v>
      </c>
      <c r="AH134" s="1576">
        <v>1971060425</v>
      </c>
      <c r="AI134" s="1578">
        <v>8260389.230769231</v>
      </c>
      <c r="AJ134" s="1578">
        <v>2695528134</v>
      </c>
      <c r="AK134" s="1578">
        <v>7424657.653846154</v>
      </c>
      <c r="AL134" s="1578">
        <v>2970606165</v>
      </c>
      <c r="AM134" s="1578">
        <v>7765873.730769231</v>
      </c>
      <c r="AN134" s="1578">
        <v>3130828043</v>
      </c>
    </row>
    <row r="135" spans="1:40">
      <c r="A135" s="1580" t="s">
        <v>488</v>
      </c>
      <c r="B135" s="919" t="s">
        <v>110</v>
      </c>
      <c r="C135" s="1576">
        <v>0</v>
      </c>
      <c r="D135" s="1576">
        <v>0</v>
      </c>
      <c r="E135" s="1576">
        <v>0</v>
      </c>
      <c r="F135" s="1576">
        <v>0</v>
      </c>
      <c r="G135" s="1576">
        <v>0</v>
      </c>
      <c r="H135" s="1576">
        <v>0</v>
      </c>
      <c r="I135" s="1576">
        <v>0</v>
      </c>
      <c r="J135" s="1576">
        <v>0</v>
      </c>
      <c r="K135" s="1576">
        <v>0</v>
      </c>
      <c r="L135" s="1576">
        <v>0</v>
      </c>
      <c r="M135" s="1576">
        <v>0</v>
      </c>
      <c r="N135" s="1576">
        <v>0</v>
      </c>
      <c r="O135" s="1576">
        <v>0</v>
      </c>
      <c r="P135" s="1576">
        <v>0</v>
      </c>
      <c r="Q135" s="1576">
        <v>0</v>
      </c>
      <c r="R135" s="1576">
        <v>0</v>
      </c>
      <c r="S135" s="1576">
        <v>0</v>
      </c>
      <c r="T135" s="1576">
        <v>0</v>
      </c>
      <c r="U135" s="1576">
        <v>0</v>
      </c>
      <c r="V135" s="1576">
        <v>0</v>
      </c>
      <c r="W135" s="1576">
        <v>0</v>
      </c>
      <c r="X135" s="1576">
        <v>0</v>
      </c>
      <c r="Y135" s="1578">
        <v>100241</v>
      </c>
      <c r="Z135" s="1576">
        <v>22708772</v>
      </c>
      <c r="AA135" s="1576">
        <v>209685</v>
      </c>
      <c r="AB135" s="1576">
        <v>59668659</v>
      </c>
      <c r="AC135" s="1581">
        <v>376089</v>
      </c>
      <c r="AD135" s="1581">
        <v>90469095</v>
      </c>
      <c r="AE135" s="1576">
        <v>388694</v>
      </c>
      <c r="AF135" s="1576">
        <v>90621537</v>
      </c>
      <c r="AG135" s="1576">
        <v>443576</v>
      </c>
      <c r="AH135" s="1576">
        <v>190900705</v>
      </c>
      <c r="AI135" s="1578">
        <v>428900</v>
      </c>
      <c r="AJ135" s="1578">
        <v>221968789.00000003</v>
      </c>
      <c r="AK135" s="1578">
        <v>482203</v>
      </c>
      <c r="AL135" s="1578">
        <v>193711852</v>
      </c>
      <c r="AM135" s="1578">
        <v>460467</v>
      </c>
      <c r="AN135" s="1578">
        <v>221468636</v>
      </c>
    </row>
    <row r="136" spans="1:40">
      <c r="A136" s="1580" t="s">
        <v>489</v>
      </c>
      <c r="B136" s="919" t="s">
        <v>110</v>
      </c>
      <c r="C136" s="1576">
        <v>0</v>
      </c>
      <c r="D136" s="1576">
        <v>0</v>
      </c>
      <c r="E136" s="1576">
        <v>0</v>
      </c>
      <c r="F136" s="1576">
        <v>0</v>
      </c>
      <c r="G136" s="1576">
        <v>0</v>
      </c>
      <c r="H136" s="1576">
        <v>0</v>
      </c>
      <c r="I136" s="1576">
        <v>0</v>
      </c>
      <c r="J136" s="1576">
        <v>0</v>
      </c>
      <c r="K136" s="1576">
        <v>0</v>
      </c>
      <c r="L136" s="1576">
        <v>0</v>
      </c>
      <c r="M136" s="1576">
        <v>0</v>
      </c>
      <c r="N136" s="1576">
        <v>0</v>
      </c>
      <c r="O136" s="1576">
        <v>0</v>
      </c>
      <c r="P136" s="1576">
        <v>0</v>
      </c>
      <c r="Q136" s="1576">
        <v>0</v>
      </c>
      <c r="R136" s="1576">
        <v>0</v>
      </c>
      <c r="S136" s="1576">
        <v>0</v>
      </c>
      <c r="T136" s="1576">
        <v>0</v>
      </c>
      <c r="U136" s="1576">
        <v>0</v>
      </c>
      <c r="V136" s="1576">
        <v>0</v>
      </c>
      <c r="W136" s="1576">
        <v>0</v>
      </c>
      <c r="X136" s="1576">
        <v>0</v>
      </c>
      <c r="Y136" s="1578">
        <v>87016</v>
      </c>
      <c r="Z136" s="1576">
        <v>19732974</v>
      </c>
      <c r="AA136" s="1576">
        <v>185737</v>
      </c>
      <c r="AB136" s="1576">
        <v>55658974</v>
      </c>
      <c r="AC136" s="1581">
        <v>263259</v>
      </c>
      <c r="AD136" s="1581">
        <v>61264851</v>
      </c>
      <c r="AE136" s="1576">
        <v>259207</v>
      </c>
      <c r="AF136" s="1576">
        <v>57626638.760000005</v>
      </c>
      <c r="AG136" s="1576">
        <v>334573</v>
      </c>
      <c r="AH136" s="1576">
        <v>145937645</v>
      </c>
      <c r="AI136" s="1578">
        <v>367672</v>
      </c>
      <c r="AJ136" s="1578">
        <v>187540575</v>
      </c>
      <c r="AK136" s="1578">
        <v>374319</v>
      </c>
      <c r="AL136" s="1578">
        <v>167866073</v>
      </c>
      <c r="AM136" s="1578">
        <v>346596</v>
      </c>
      <c r="AN136" s="1578">
        <v>172394567</v>
      </c>
    </row>
    <row r="137" spans="1:40" ht="17.25">
      <c r="A137" s="1580" t="s">
        <v>151</v>
      </c>
      <c r="B137" s="1585" t="s">
        <v>499</v>
      </c>
      <c r="C137" s="1586">
        <v>1759631</v>
      </c>
      <c r="D137" s="1586">
        <v>165844011</v>
      </c>
      <c r="E137" s="1586">
        <v>2756065</v>
      </c>
      <c r="F137" s="1586">
        <v>291608694</v>
      </c>
      <c r="G137" s="1586">
        <v>3199165</v>
      </c>
      <c r="H137" s="1586">
        <v>277989304</v>
      </c>
      <c r="I137" s="1576">
        <v>3629175</v>
      </c>
      <c r="J137" s="1576">
        <v>320504994</v>
      </c>
      <c r="K137" s="1575">
        <v>3642292</v>
      </c>
      <c r="L137" s="1575">
        <v>284641291</v>
      </c>
      <c r="M137" s="1574">
        <v>3847731</v>
      </c>
      <c r="N137" s="1574">
        <v>256846939</v>
      </c>
      <c r="O137" s="1577">
        <v>3613720</v>
      </c>
      <c r="P137" s="1577">
        <v>379228944</v>
      </c>
      <c r="Q137" s="1574">
        <v>3768848</v>
      </c>
      <c r="R137" s="1574">
        <v>349257426</v>
      </c>
      <c r="S137" s="1578">
        <v>3960289</v>
      </c>
      <c r="T137" s="1578">
        <v>407019305</v>
      </c>
      <c r="U137" s="1576">
        <v>4456991</v>
      </c>
      <c r="V137" s="1576">
        <v>413371442</v>
      </c>
      <c r="W137" s="1576">
        <v>5366201</v>
      </c>
      <c r="X137" s="1576">
        <v>445714284</v>
      </c>
      <c r="Y137" s="1578">
        <v>6309564</v>
      </c>
      <c r="Z137" s="1576">
        <v>454763779</v>
      </c>
      <c r="AA137" s="1576">
        <v>6892911</v>
      </c>
      <c r="AB137" s="1576">
        <v>534648055</v>
      </c>
      <c r="AC137" s="1581">
        <v>6881954</v>
      </c>
      <c r="AD137" s="1581">
        <v>557469068</v>
      </c>
      <c r="AE137" s="1576">
        <v>6439698.5700000003</v>
      </c>
      <c r="AF137" s="1576">
        <v>549830768.50999999</v>
      </c>
      <c r="AG137" s="1576">
        <v>6546243.8900000006</v>
      </c>
      <c r="AH137" s="1576">
        <v>578766829</v>
      </c>
      <c r="AI137" s="1578">
        <v>7625011</v>
      </c>
      <c r="AJ137" s="1578">
        <v>630363197.27295518</v>
      </c>
      <c r="AK137" s="1578">
        <v>7533986</v>
      </c>
      <c r="AL137" s="1578">
        <v>643277079</v>
      </c>
      <c r="AM137" s="1578">
        <v>8120105</v>
      </c>
      <c r="AN137" s="1578">
        <v>661920544</v>
      </c>
    </row>
    <row r="138" spans="1:40">
      <c r="A138" s="1582" t="s">
        <v>307</v>
      </c>
      <c r="B138" s="1579"/>
      <c r="C138" s="1575"/>
      <c r="D138" s="1575">
        <f>SUM(D132:D137)</f>
        <v>450634529</v>
      </c>
      <c r="E138" s="1575"/>
      <c r="F138" s="1575">
        <f>SUM(F132:F137)</f>
        <v>603532703</v>
      </c>
      <c r="G138" s="1575"/>
      <c r="H138" s="1575">
        <f>SUM(H132:H137)</f>
        <v>617297508</v>
      </c>
      <c r="I138" s="919"/>
      <c r="J138" s="1587">
        <f>SUM(J132:J137)</f>
        <v>794772243</v>
      </c>
      <c r="K138" s="1576"/>
      <c r="L138" s="1575">
        <v>696301264</v>
      </c>
      <c r="M138" s="1574"/>
      <c r="N138" s="1574">
        <v>1530063480</v>
      </c>
      <c r="O138" s="1579"/>
      <c r="P138" s="1577">
        <f>SUM(P132:P137)</f>
        <v>2640640152</v>
      </c>
      <c r="Q138" s="1574"/>
      <c r="R138" s="1574">
        <v>2475861204</v>
      </c>
      <c r="S138" s="1576"/>
      <c r="T138" s="1576">
        <v>2650804410</v>
      </c>
      <c r="U138" s="1576"/>
      <c r="V138" s="1576">
        <v>2593095453</v>
      </c>
      <c r="W138" s="1576"/>
      <c r="X138" s="1576">
        <v>3666216026</v>
      </c>
      <c r="Y138" s="1576"/>
      <c r="Z138" s="1576">
        <v>4069534713</v>
      </c>
      <c r="AA138" s="1576"/>
      <c r="AB138" s="1576">
        <v>5037833526</v>
      </c>
      <c r="AC138" s="1579"/>
      <c r="AD138" s="1581">
        <v>4934139769</v>
      </c>
      <c r="AE138" s="1584"/>
      <c r="AF138" s="1576">
        <v>4066048040.489871</v>
      </c>
      <c r="AG138" s="1576"/>
      <c r="AH138" s="1576">
        <v>7615370691</v>
      </c>
      <c r="AI138" s="1576"/>
      <c r="AJ138" s="1578">
        <f>SUM(AJ132:AJ137)</f>
        <v>10511979717.452955</v>
      </c>
      <c r="AK138" s="1578"/>
      <c r="AL138" s="1578">
        <f>SUM(AL132:AL137)</f>
        <v>9854275386</v>
      </c>
      <c r="AM138" s="1578"/>
      <c r="AN138" s="1578">
        <f>SUM(AN132:AN137)</f>
        <v>10491106881</v>
      </c>
    </row>
    <row r="139" spans="1:40">
      <c r="A139" s="705"/>
      <c r="B139" s="594"/>
      <c r="C139" s="670"/>
      <c r="D139" s="670"/>
      <c r="E139" s="670"/>
      <c r="F139" s="670"/>
      <c r="G139" s="670"/>
      <c r="H139" s="670"/>
      <c r="I139" s="594"/>
      <c r="J139" s="594"/>
      <c r="K139" s="626"/>
      <c r="L139" s="626"/>
      <c r="M139" s="670"/>
      <c r="N139" s="670"/>
      <c r="Q139" s="670"/>
      <c r="R139" s="670"/>
      <c r="S139" s="692"/>
      <c r="T139" s="692"/>
      <c r="U139" s="692"/>
      <c r="V139" s="692"/>
      <c r="W139" s="626"/>
      <c r="X139" s="626"/>
      <c r="Y139" s="692"/>
      <c r="Z139" s="692"/>
      <c r="AA139" s="692"/>
      <c r="AB139" s="692"/>
      <c r="AE139" s="692"/>
      <c r="AF139" s="692"/>
      <c r="AG139" s="692"/>
      <c r="AH139" s="692"/>
      <c r="AI139" s="710"/>
      <c r="AJ139" s="710"/>
      <c r="AK139" s="710"/>
      <c r="AL139" s="710"/>
      <c r="AM139" s="710"/>
      <c r="AN139" s="710"/>
    </row>
    <row r="140" spans="1:40">
      <c r="A140" s="884" t="s">
        <v>309</v>
      </c>
      <c r="B140" s="848"/>
      <c r="C140" s="849"/>
      <c r="D140" s="849"/>
      <c r="E140" s="849"/>
      <c r="F140" s="849"/>
      <c r="G140" s="849"/>
      <c r="H140" s="849"/>
      <c r="I140" s="848"/>
      <c r="J140" s="848"/>
      <c r="K140" s="846"/>
      <c r="L140" s="846"/>
      <c r="M140" s="849"/>
      <c r="N140" s="849"/>
      <c r="O140" s="846"/>
      <c r="P140" s="846"/>
      <c r="Q140" s="849"/>
      <c r="R140" s="849"/>
      <c r="S140" s="855"/>
      <c r="T140" s="855"/>
      <c r="U140" s="855"/>
      <c r="V140" s="855"/>
      <c r="W140" s="855"/>
      <c r="X140" s="855"/>
      <c r="Y140" s="855"/>
      <c r="Z140" s="855"/>
      <c r="AA140" s="855"/>
      <c r="AB140" s="855"/>
      <c r="AC140" s="846"/>
      <c r="AD140" s="846"/>
      <c r="AE140" s="855"/>
      <c r="AF140" s="855"/>
      <c r="AG140" s="855"/>
      <c r="AH140" s="855"/>
      <c r="AI140" s="854"/>
      <c r="AJ140" s="854"/>
      <c r="AK140" s="854"/>
      <c r="AL140" s="854"/>
      <c r="AM140" s="854"/>
      <c r="AN140" s="854"/>
    </row>
    <row r="141" spans="1:40">
      <c r="A141" s="887" t="s">
        <v>310</v>
      </c>
      <c r="B141" s="848" t="s">
        <v>110</v>
      </c>
      <c r="C141" s="849">
        <v>0</v>
      </c>
      <c r="D141" s="849">
        <v>0</v>
      </c>
      <c r="E141" s="849">
        <v>0</v>
      </c>
      <c r="F141" s="849">
        <v>0</v>
      </c>
      <c r="G141" s="849">
        <v>0</v>
      </c>
      <c r="H141" s="849">
        <v>0</v>
      </c>
      <c r="I141" s="849">
        <v>0</v>
      </c>
      <c r="J141" s="849">
        <v>0</v>
      </c>
      <c r="K141" s="849">
        <v>0</v>
      </c>
      <c r="L141" s="849">
        <v>0</v>
      </c>
      <c r="M141" s="849">
        <v>0</v>
      </c>
      <c r="N141" s="849">
        <v>0</v>
      </c>
      <c r="O141" s="849">
        <v>0</v>
      </c>
      <c r="P141" s="849">
        <v>0</v>
      </c>
      <c r="Q141" s="849">
        <v>0</v>
      </c>
      <c r="R141" s="849">
        <v>0</v>
      </c>
      <c r="S141" s="849">
        <v>0</v>
      </c>
      <c r="T141" s="849">
        <v>0</v>
      </c>
      <c r="U141" s="849">
        <v>0</v>
      </c>
      <c r="V141" s="849">
        <v>0</v>
      </c>
      <c r="W141" s="849">
        <v>0</v>
      </c>
      <c r="X141" s="849">
        <v>0</v>
      </c>
      <c r="Y141" s="849">
        <v>0</v>
      </c>
      <c r="Z141" s="849">
        <v>0</v>
      </c>
      <c r="AA141" s="849">
        <v>0</v>
      </c>
      <c r="AB141" s="849">
        <v>0</v>
      </c>
      <c r="AC141" s="849">
        <v>0</v>
      </c>
      <c r="AD141" s="849">
        <v>0</v>
      </c>
      <c r="AE141" s="849">
        <v>0</v>
      </c>
      <c r="AF141" s="849">
        <v>0</v>
      </c>
      <c r="AG141" s="849">
        <v>0</v>
      </c>
      <c r="AH141" s="849">
        <v>0</v>
      </c>
      <c r="AI141" s="849">
        <v>0</v>
      </c>
      <c r="AJ141" s="849">
        <v>0</v>
      </c>
      <c r="AK141" s="854">
        <v>0</v>
      </c>
      <c r="AL141" s="854">
        <v>0</v>
      </c>
      <c r="AM141" s="854">
        <v>0</v>
      </c>
      <c r="AN141" s="854">
        <v>0</v>
      </c>
    </row>
    <row r="142" spans="1:40">
      <c r="A142" s="887" t="s">
        <v>568</v>
      </c>
      <c r="B142" s="848" t="s">
        <v>110</v>
      </c>
      <c r="C142" s="849">
        <v>0</v>
      </c>
      <c r="D142" s="849">
        <v>0</v>
      </c>
      <c r="E142" s="849">
        <v>0</v>
      </c>
      <c r="F142" s="849">
        <v>0</v>
      </c>
      <c r="G142" s="849">
        <v>0</v>
      </c>
      <c r="H142" s="849">
        <v>0</v>
      </c>
      <c r="I142" s="849">
        <v>0</v>
      </c>
      <c r="J142" s="849">
        <v>0</v>
      </c>
      <c r="K142" s="849">
        <v>0</v>
      </c>
      <c r="L142" s="849">
        <v>0</v>
      </c>
      <c r="M142" s="849">
        <v>0</v>
      </c>
      <c r="N142" s="849">
        <v>0</v>
      </c>
      <c r="O142" s="867">
        <v>5757</v>
      </c>
      <c r="P142" s="867">
        <v>110531</v>
      </c>
      <c r="Q142" s="855">
        <v>0</v>
      </c>
      <c r="R142" s="855">
        <v>0</v>
      </c>
      <c r="S142" s="855">
        <v>0</v>
      </c>
      <c r="T142" s="855">
        <v>0</v>
      </c>
      <c r="U142" s="855">
        <v>0</v>
      </c>
      <c r="V142" s="855">
        <v>0</v>
      </c>
      <c r="W142" s="855">
        <v>0</v>
      </c>
      <c r="X142" s="855">
        <v>0</v>
      </c>
      <c r="Y142" s="854">
        <v>6000</v>
      </c>
      <c r="Z142" s="855">
        <v>164250</v>
      </c>
      <c r="AA142" s="855">
        <v>0</v>
      </c>
      <c r="AB142" s="855">
        <v>0</v>
      </c>
      <c r="AC142" s="856">
        <v>6910</v>
      </c>
      <c r="AD142" s="856">
        <v>1312900</v>
      </c>
      <c r="AE142" s="855">
        <v>331</v>
      </c>
      <c r="AF142" s="855">
        <v>62890</v>
      </c>
      <c r="AG142" s="855">
        <v>1000</v>
      </c>
      <c r="AH142" s="855">
        <v>670441</v>
      </c>
      <c r="AI142" s="854">
        <v>1065</v>
      </c>
      <c r="AJ142" s="854">
        <v>36218</v>
      </c>
      <c r="AK142" s="854">
        <v>2458</v>
      </c>
      <c r="AL142" s="854">
        <v>682817</v>
      </c>
      <c r="AM142" s="854">
        <v>1994</v>
      </c>
      <c r="AN142" s="854">
        <v>677653</v>
      </c>
    </row>
    <row r="143" spans="1:40">
      <c r="A143" s="888" t="s">
        <v>311</v>
      </c>
      <c r="B143" s="848"/>
      <c r="C143" s="849"/>
      <c r="D143" s="849">
        <f>SUM(D141:D142)</f>
        <v>0</v>
      </c>
      <c r="E143" s="849"/>
      <c r="F143" s="849">
        <f>SUM(F141:F142)</f>
        <v>0</v>
      </c>
      <c r="G143" s="849"/>
      <c r="H143" s="849">
        <f>SUM(H141:H142)</f>
        <v>0</v>
      </c>
      <c r="I143" s="849"/>
      <c r="J143" s="849">
        <f>SUM(J141:J142)</f>
        <v>0</v>
      </c>
      <c r="K143" s="849"/>
      <c r="L143" s="849">
        <f>SUM(L141:L142)</f>
        <v>0</v>
      </c>
      <c r="M143" s="849"/>
      <c r="N143" s="849">
        <f>SUM(N141:N142)</f>
        <v>0</v>
      </c>
      <c r="O143" s="849"/>
      <c r="P143" s="849">
        <f>SUM(P141:P142)</f>
        <v>110531</v>
      </c>
      <c r="Q143" s="849"/>
      <c r="R143" s="849">
        <f>SUM(R141:R142)</f>
        <v>0</v>
      </c>
      <c r="S143" s="849"/>
      <c r="T143" s="849">
        <f>SUM(T141:T142)</f>
        <v>0</v>
      </c>
      <c r="U143" s="849"/>
      <c r="V143" s="849">
        <f>SUM(V141:V142)</f>
        <v>0</v>
      </c>
      <c r="W143" s="849"/>
      <c r="X143" s="849">
        <f>SUM(X141:X142)</f>
        <v>0</v>
      </c>
      <c r="Y143" s="849"/>
      <c r="Z143" s="849">
        <f>SUM(Z141:Z142)</f>
        <v>164250</v>
      </c>
      <c r="AA143" s="849"/>
      <c r="AB143" s="849">
        <f>SUM(AB141:AB142)</f>
        <v>0</v>
      </c>
      <c r="AC143" s="849"/>
      <c r="AD143" s="849">
        <f>SUM(AD141:AD142)</f>
        <v>1312900</v>
      </c>
      <c r="AE143" s="849"/>
      <c r="AF143" s="849">
        <f>SUM(AF141:AF142)</f>
        <v>62890</v>
      </c>
      <c r="AG143" s="849"/>
      <c r="AH143" s="849">
        <f>SUM(AH141:AH142)</f>
        <v>670441</v>
      </c>
      <c r="AI143" s="849"/>
      <c r="AJ143" s="849">
        <f>SUM(AJ141:AJ142)</f>
        <v>36218</v>
      </c>
      <c r="AK143" s="854"/>
      <c r="AL143" s="854">
        <f>SUM(AL141:AL142)</f>
        <v>682817</v>
      </c>
      <c r="AM143" s="854"/>
      <c r="AN143" s="854">
        <f>SUM(AN141:AN142)</f>
        <v>677653</v>
      </c>
    </row>
    <row r="144" spans="1:40">
      <c r="A144" s="593"/>
      <c r="B144" s="594"/>
      <c r="C144" s="670"/>
      <c r="D144" s="670"/>
      <c r="E144" s="670"/>
      <c r="F144" s="670"/>
      <c r="G144" s="670"/>
      <c r="H144" s="670"/>
      <c r="I144" s="594"/>
      <c r="J144" s="594"/>
      <c r="M144" s="670"/>
      <c r="N144" s="670"/>
      <c r="O144" s="873"/>
      <c r="P144" s="873"/>
      <c r="Q144" s="670"/>
      <c r="R144" s="670"/>
      <c r="S144" s="692"/>
      <c r="T144" s="692"/>
      <c r="U144" s="626"/>
      <c r="V144" s="626"/>
      <c r="W144" s="626"/>
      <c r="X144" s="626"/>
      <c r="Y144" s="626"/>
      <c r="Z144" s="626"/>
      <c r="AA144" s="692"/>
      <c r="AB144" s="692"/>
      <c r="AC144" s="821"/>
      <c r="AD144" s="821"/>
      <c r="AE144" s="692"/>
      <c r="AF144" s="692"/>
      <c r="AG144" s="692"/>
      <c r="AH144" s="692"/>
      <c r="AI144" s="710"/>
      <c r="AJ144" s="710"/>
      <c r="AK144" s="710"/>
      <c r="AL144" s="710"/>
      <c r="AM144" s="710"/>
      <c r="AN144" s="710"/>
    </row>
    <row r="145" spans="1:40">
      <c r="A145" s="1573" t="s">
        <v>313</v>
      </c>
      <c r="B145" s="919" t="s">
        <v>110</v>
      </c>
      <c r="C145" s="1574">
        <v>4822931</v>
      </c>
      <c r="D145" s="1574">
        <v>88560999</v>
      </c>
      <c r="E145" s="1574">
        <v>4814138</v>
      </c>
      <c r="F145" s="1574">
        <v>95326825</v>
      </c>
      <c r="G145" s="1574">
        <v>5051148</v>
      </c>
      <c r="H145" s="1574">
        <v>107382344</v>
      </c>
      <c r="I145" s="1575">
        <v>5533859</v>
      </c>
      <c r="J145" s="1575">
        <v>107165215</v>
      </c>
      <c r="K145" s="1575">
        <v>6023426</v>
      </c>
      <c r="L145" s="1575">
        <v>106705667</v>
      </c>
      <c r="M145" s="1574">
        <v>5924943</v>
      </c>
      <c r="N145" s="1574">
        <v>124110422</v>
      </c>
      <c r="O145" s="1577">
        <v>6413163</v>
      </c>
      <c r="P145" s="1577">
        <v>136973045</v>
      </c>
      <c r="Q145" s="1574">
        <v>6927198</v>
      </c>
      <c r="R145" s="1574">
        <v>153141494</v>
      </c>
      <c r="S145" s="1576">
        <v>6632911</v>
      </c>
      <c r="T145" s="1576">
        <v>158377590</v>
      </c>
      <c r="U145" s="1576">
        <v>6155387</v>
      </c>
      <c r="V145" s="1576">
        <v>149179209</v>
      </c>
      <c r="W145" s="1576">
        <v>7176351</v>
      </c>
      <c r="X145" s="1576">
        <v>155144299</v>
      </c>
      <c r="Y145" s="1578">
        <v>7451699</v>
      </c>
      <c r="Z145" s="1576">
        <v>154217940</v>
      </c>
      <c r="AA145" s="1576">
        <v>7546293.6160000004</v>
      </c>
      <c r="AB145" s="1576">
        <v>153616036</v>
      </c>
      <c r="AC145" s="1581">
        <v>8185664</v>
      </c>
      <c r="AD145" s="1581">
        <v>188700479</v>
      </c>
      <c r="AE145" s="1576">
        <v>8570782</v>
      </c>
      <c r="AF145" s="1576">
        <v>199638214</v>
      </c>
      <c r="AG145" s="1576">
        <v>8809769.0499999989</v>
      </c>
      <c r="AH145" s="1576">
        <v>208578472</v>
      </c>
      <c r="AI145" s="1578">
        <v>8303628</v>
      </c>
      <c r="AJ145" s="1578">
        <v>233081734</v>
      </c>
      <c r="AK145" s="1578">
        <v>8646154</v>
      </c>
      <c r="AL145" s="1578">
        <v>251041857</v>
      </c>
      <c r="AM145" s="1578">
        <v>9606930</v>
      </c>
      <c r="AN145" s="1578">
        <v>227949656</v>
      </c>
    </row>
    <row r="146" spans="1:40">
      <c r="A146" s="591"/>
      <c r="B146" s="594"/>
      <c r="C146" s="670"/>
      <c r="D146" s="670"/>
      <c r="E146" s="670"/>
      <c r="F146" s="670"/>
      <c r="G146" s="670"/>
      <c r="H146" s="670"/>
      <c r="I146" s="794"/>
      <c r="J146" s="794"/>
      <c r="K146" s="626"/>
      <c r="L146" s="626"/>
      <c r="M146" s="670"/>
      <c r="N146" s="670"/>
      <c r="Q146" s="670"/>
      <c r="R146" s="670"/>
      <c r="S146" s="626"/>
      <c r="T146" s="626"/>
      <c r="U146" s="626"/>
      <c r="V146" s="626"/>
      <c r="W146" s="626"/>
      <c r="X146" s="626"/>
      <c r="Y146" s="626"/>
      <c r="Z146" s="626"/>
      <c r="AA146" s="692"/>
      <c r="AB146" s="692"/>
      <c r="AE146" s="692"/>
      <c r="AF146" s="692"/>
      <c r="AG146" s="692"/>
      <c r="AH146" s="692"/>
      <c r="AI146" s="710"/>
      <c r="AJ146" s="710"/>
      <c r="AK146" s="710"/>
      <c r="AL146" s="710"/>
      <c r="AM146" s="710"/>
      <c r="AN146" s="710"/>
    </row>
    <row r="147" spans="1:40">
      <c r="A147" s="884" t="s">
        <v>314</v>
      </c>
      <c r="B147" s="846"/>
      <c r="C147" s="866"/>
      <c r="D147" s="866"/>
      <c r="E147" s="866"/>
      <c r="F147" s="866"/>
      <c r="G147" s="866"/>
      <c r="H147" s="866"/>
      <c r="I147" s="848"/>
      <c r="J147" s="848"/>
      <c r="K147" s="855"/>
      <c r="L147" s="855"/>
      <c r="M147" s="849"/>
      <c r="N147" s="849"/>
      <c r="O147" s="846"/>
      <c r="P147" s="846"/>
      <c r="Q147" s="849"/>
      <c r="R147" s="849"/>
      <c r="S147" s="855"/>
      <c r="T147" s="855"/>
      <c r="U147" s="855"/>
      <c r="V147" s="855"/>
      <c r="W147" s="855"/>
      <c r="X147" s="855"/>
      <c r="Y147" s="855"/>
      <c r="Z147" s="855"/>
      <c r="AA147" s="855"/>
      <c r="AB147" s="855"/>
      <c r="AC147" s="846"/>
      <c r="AD147" s="846"/>
      <c r="AE147" s="855"/>
      <c r="AF147" s="855"/>
      <c r="AG147" s="855"/>
      <c r="AH147" s="855"/>
      <c r="AI147" s="855"/>
      <c r="AJ147" s="855"/>
      <c r="AK147" s="854"/>
      <c r="AL147" s="854"/>
      <c r="AM147" s="855"/>
      <c r="AN147" s="855"/>
    </row>
    <row r="148" spans="1:40">
      <c r="A148" s="887" t="s">
        <v>315</v>
      </c>
      <c r="B148" s="848" t="s">
        <v>110</v>
      </c>
      <c r="C148" s="849">
        <v>0</v>
      </c>
      <c r="D148" s="849">
        <v>0</v>
      </c>
      <c r="E148" s="849">
        <v>0</v>
      </c>
      <c r="F148" s="849">
        <v>0</v>
      </c>
      <c r="G148" s="849">
        <v>0</v>
      </c>
      <c r="H148" s="849">
        <v>0</v>
      </c>
      <c r="I148" s="849">
        <v>0</v>
      </c>
      <c r="J148" s="849">
        <v>0</v>
      </c>
      <c r="K148" s="849">
        <v>0</v>
      </c>
      <c r="L148" s="849">
        <v>0</v>
      </c>
      <c r="M148" s="849">
        <v>0</v>
      </c>
      <c r="N148" s="849">
        <v>0</v>
      </c>
      <c r="O148" s="849">
        <v>0</v>
      </c>
      <c r="P148" s="849">
        <v>0</v>
      </c>
      <c r="Q148" s="849">
        <v>0</v>
      </c>
      <c r="R148" s="849">
        <v>0</v>
      </c>
      <c r="S148" s="849">
        <v>0</v>
      </c>
      <c r="T148" s="849">
        <v>0</v>
      </c>
      <c r="U148" s="849">
        <v>0</v>
      </c>
      <c r="V148" s="849">
        <v>0</v>
      </c>
      <c r="W148" s="849">
        <v>0</v>
      </c>
      <c r="X148" s="849">
        <v>0</v>
      </c>
      <c r="Y148" s="849">
        <v>0</v>
      </c>
      <c r="Z148" s="849">
        <v>0</v>
      </c>
      <c r="AA148" s="849">
        <v>0</v>
      </c>
      <c r="AB148" s="849">
        <v>0</v>
      </c>
      <c r="AC148" s="849">
        <v>0</v>
      </c>
      <c r="AD148" s="849">
        <v>0</v>
      </c>
      <c r="AE148" s="849">
        <v>0</v>
      </c>
      <c r="AF148" s="849">
        <v>0</v>
      </c>
      <c r="AG148" s="849">
        <v>0</v>
      </c>
      <c r="AH148" s="849">
        <v>0</v>
      </c>
      <c r="AI148" s="849">
        <v>0</v>
      </c>
      <c r="AJ148" s="849">
        <v>0</v>
      </c>
      <c r="AK148" s="854">
        <v>0</v>
      </c>
      <c r="AL148" s="854">
        <v>0</v>
      </c>
      <c r="AM148" s="854">
        <v>0</v>
      </c>
      <c r="AN148" s="854">
        <v>0</v>
      </c>
    </row>
    <row r="149" spans="1:40">
      <c r="A149" s="887" t="s">
        <v>569</v>
      </c>
      <c r="B149" s="848" t="s">
        <v>110</v>
      </c>
      <c r="C149" s="866">
        <v>0</v>
      </c>
      <c r="D149" s="866">
        <v>0</v>
      </c>
      <c r="E149" s="866">
        <v>0</v>
      </c>
      <c r="F149" s="866">
        <v>0</v>
      </c>
      <c r="G149" s="866">
        <v>0</v>
      </c>
      <c r="H149" s="866">
        <v>0</v>
      </c>
      <c r="I149" s="866">
        <v>0</v>
      </c>
      <c r="J149" s="866">
        <v>0</v>
      </c>
      <c r="K149" s="866">
        <v>0</v>
      </c>
      <c r="L149" s="866">
        <v>0</v>
      </c>
      <c r="M149" s="849">
        <v>32544</v>
      </c>
      <c r="N149" s="849">
        <v>325435</v>
      </c>
      <c r="O149" s="867">
        <v>80147</v>
      </c>
      <c r="P149" s="867">
        <v>822975</v>
      </c>
      <c r="Q149" s="849">
        <v>74171</v>
      </c>
      <c r="R149" s="849">
        <v>749846</v>
      </c>
      <c r="S149" s="855">
        <v>61263</v>
      </c>
      <c r="T149" s="854">
        <v>652157</v>
      </c>
      <c r="U149" s="855">
        <v>78235</v>
      </c>
      <c r="V149" s="855">
        <v>788096</v>
      </c>
      <c r="W149" s="855">
        <v>82046</v>
      </c>
      <c r="X149" s="855">
        <v>820477</v>
      </c>
      <c r="Y149" s="854">
        <v>81479</v>
      </c>
      <c r="Z149" s="855">
        <v>814785</v>
      </c>
      <c r="AA149" s="855">
        <v>74866</v>
      </c>
      <c r="AB149" s="855">
        <v>748664</v>
      </c>
      <c r="AC149" s="856">
        <v>92427</v>
      </c>
      <c r="AD149" s="856">
        <v>924266</v>
      </c>
      <c r="AE149" s="855">
        <v>90069</v>
      </c>
      <c r="AF149" s="855">
        <v>900692</v>
      </c>
      <c r="AG149" s="855">
        <v>97686.99</v>
      </c>
      <c r="AH149" s="855">
        <v>976872</v>
      </c>
      <c r="AI149" s="854">
        <v>92375</v>
      </c>
      <c r="AJ149" s="854">
        <v>923746</v>
      </c>
      <c r="AK149" s="854">
        <v>100021</v>
      </c>
      <c r="AL149" s="854">
        <v>1000212</v>
      </c>
      <c r="AM149" s="854">
        <v>93957</v>
      </c>
      <c r="AN149" s="854">
        <v>939568</v>
      </c>
    </row>
    <row r="150" spans="1:40">
      <c r="A150" s="887" t="s">
        <v>570</v>
      </c>
      <c r="B150" s="848" t="s">
        <v>110</v>
      </c>
      <c r="C150" s="849">
        <v>404636</v>
      </c>
      <c r="D150" s="849">
        <v>1274898</v>
      </c>
      <c r="E150" s="849">
        <v>377009</v>
      </c>
      <c r="F150" s="849" t="s">
        <v>575</v>
      </c>
      <c r="G150" s="849">
        <v>371165</v>
      </c>
      <c r="H150" s="849">
        <v>2279997</v>
      </c>
      <c r="I150" s="866">
        <v>402995</v>
      </c>
      <c r="J150" s="866">
        <v>2985987</v>
      </c>
      <c r="K150" s="866">
        <v>364453</v>
      </c>
      <c r="L150" s="866">
        <v>3051841</v>
      </c>
      <c r="M150" s="849">
        <v>445874</v>
      </c>
      <c r="N150" s="849">
        <v>3662014</v>
      </c>
      <c r="O150" s="867">
        <v>781503</v>
      </c>
      <c r="P150" s="867">
        <v>6774328</v>
      </c>
      <c r="Q150" s="849">
        <v>580467</v>
      </c>
      <c r="R150" s="849">
        <v>5489268</v>
      </c>
      <c r="S150" s="855">
        <v>456896</v>
      </c>
      <c r="T150" s="854">
        <v>4332324</v>
      </c>
      <c r="U150" s="855">
        <v>490161</v>
      </c>
      <c r="V150" s="855">
        <v>4444654</v>
      </c>
      <c r="W150" s="855">
        <v>532439</v>
      </c>
      <c r="X150" s="855">
        <v>4658336</v>
      </c>
      <c r="Y150" s="854">
        <v>660373</v>
      </c>
      <c r="Z150" s="855">
        <v>6439983</v>
      </c>
      <c r="AA150" s="855">
        <v>625338</v>
      </c>
      <c r="AB150" s="855">
        <v>6306388</v>
      </c>
      <c r="AC150" s="856">
        <v>729084</v>
      </c>
      <c r="AD150" s="856">
        <v>6917165</v>
      </c>
      <c r="AE150" s="855">
        <v>519518</v>
      </c>
      <c r="AF150" s="855">
        <v>5489158</v>
      </c>
      <c r="AG150" s="855">
        <v>501907.86</v>
      </c>
      <c r="AH150" s="855">
        <v>6066213</v>
      </c>
      <c r="AI150" s="854">
        <v>464952</v>
      </c>
      <c r="AJ150" s="854">
        <v>5850341</v>
      </c>
      <c r="AK150" s="854">
        <v>553019</v>
      </c>
      <c r="AL150" s="854">
        <v>6355535</v>
      </c>
      <c r="AM150" s="854">
        <v>658555</v>
      </c>
      <c r="AN150" s="854">
        <v>7075787</v>
      </c>
    </row>
    <row r="151" spans="1:40">
      <c r="A151" s="888" t="s">
        <v>316</v>
      </c>
      <c r="B151" s="846"/>
      <c r="C151" s="866"/>
      <c r="D151" s="866">
        <f>SUM(D149:D150)</f>
        <v>1274898</v>
      </c>
      <c r="E151" s="866"/>
      <c r="F151" s="866">
        <f>SUM(F149:F150)</f>
        <v>0</v>
      </c>
      <c r="G151" s="866"/>
      <c r="H151" s="855">
        <f>SUM(H149:H150)</f>
        <v>2279997</v>
      </c>
      <c r="I151" s="846"/>
      <c r="J151" s="855">
        <f>SUM(J149:J150)</f>
        <v>2985987</v>
      </c>
      <c r="K151" s="855"/>
      <c r="L151" s="866">
        <v>3051841</v>
      </c>
      <c r="M151" s="849"/>
      <c r="N151" s="849">
        <v>3987449</v>
      </c>
      <c r="O151" s="846"/>
      <c r="P151" s="867">
        <f>SUM(P149:P150)</f>
        <v>7597303</v>
      </c>
      <c r="Q151" s="866"/>
      <c r="R151" s="866">
        <v>6239114</v>
      </c>
      <c r="S151" s="854"/>
      <c r="T151" s="854">
        <v>4984481</v>
      </c>
      <c r="U151" s="855"/>
      <c r="V151" s="855">
        <v>5232750</v>
      </c>
      <c r="W151" s="855"/>
      <c r="X151" s="855">
        <v>5478813</v>
      </c>
      <c r="Y151" s="855"/>
      <c r="Z151" s="855">
        <v>7254768</v>
      </c>
      <c r="AA151" s="855"/>
      <c r="AB151" s="855">
        <v>7055052</v>
      </c>
      <c r="AC151" s="846"/>
      <c r="AD151" s="856">
        <v>7841431</v>
      </c>
      <c r="AE151" s="1588"/>
      <c r="AF151" s="855">
        <v>6389850</v>
      </c>
      <c r="AG151" s="855"/>
      <c r="AH151" s="855">
        <v>7043085</v>
      </c>
      <c r="AI151" s="855"/>
      <c r="AJ151" s="854">
        <v>6774087</v>
      </c>
      <c r="AK151" s="854"/>
      <c r="AL151" s="854">
        <f>SUM(AL148:AL150)</f>
        <v>7355747</v>
      </c>
      <c r="AM151" s="855"/>
      <c r="AN151" s="854">
        <v>8015355</v>
      </c>
    </row>
    <row r="152" spans="1:40">
      <c r="A152" s="599"/>
      <c r="B152" s="794"/>
      <c r="C152" s="684"/>
      <c r="D152" s="684"/>
      <c r="E152" s="684"/>
      <c r="F152" s="684"/>
      <c r="G152" s="684"/>
      <c r="H152" s="684"/>
      <c r="I152" s="594"/>
      <c r="J152" s="594"/>
      <c r="K152" s="626"/>
      <c r="L152" s="717"/>
      <c r="M152" s="684"/>
      <c r="N152" s="684"/>
      <c r="P152" s="871"/>
      <c r="Q152" s="684"/>
      <c r="R152" s="684"/>
      <c r="S152" s="820"/>
      <c r="T152" s="820"/>
      <c r="U152" s="626"/>
      <c r="V152" s="626"/>
      <c r="W152" s="626"/>
      <c r="X152" s="626"/>
      <c r="Y152" s="626"/>
      <c r="Z152" s="626"/>
      <c r="AA152" s="692"/>
      <c r="AB152" s="692"/>
      <c r="AC152" s="794"/>
      <c r="AD152" s="789"/>
      <c r="AE152" s="692"/>
      <c r="AF152" s="692"/>
      <c r="AG152" s="692"/>
      <c r="AH152" s="692"/>
      <c r="AI152" s="692"/>
      <c r="AJ152" s="710"/>
      <c r="AK152" s="710"/>
      <c r="AL152" s="710"/>
      <c r="AM152" s="692"/>
      <c r="AN152" s="710"/>
    </row>
    <row r="153" spans="1:40">
      <c r="A153" s="1573" t="s">
        <v>317</v>
      </c>
      <c r="B153" s="919" t="s">
        <v>196</v>
      </c>
      <c r="C153" s="1574">
        <v>44670</v>
      </c>
      <c r="D153" s="1574">
        <v>12761245</v>
      </c>
      <c r="E153" s="1574">
        <v>41135</v>
      </c>
      <c r="F153" s="1574">
        <v>10705718</v>
      </c>
      <c r="G153" s="1574">
        <v>11160</v>
      </c>
      <c r="H153" s="1574">
        <v>1971953</v>
      </c>
      <c r="I153" s="1575">
        <v>12673</v>
      </c>
      <c r="J153" s="1575">
        <v>2295547</v>
      </c>
      <c r="K153" s="1575">
        <v>30426</v>
      </c>
      <c r="L153" s="1575">
        <v>4362975</v>
      </c>
      <c r="M153" s="1575">
        <v>34566</v>
      </c>
      <c r="N153" s="1575">
        <v>5621356</v>
      </c>
      <c r="O153" s="1577">
        <v>36919</v>
      </c>
      <c r="P153" s="1577">
        <v>5491093</v>
      </c>
      <c r="Q153" s="1575">
        <v>42696.709217748939</v>
      </c>
      <c r="R153" s="1575">
        <v>6540741</v>
      </c>
      <c r="S153" s="1576">
        <v>81832.916377602101</v>
      </c>
      <c r="T153" s="1576">
        <v>12371220.769820902</v>
      </c>
      <c r="U153" s="1576">
        <v>75207</v>
      </c>
      <c r="V153" s="1576">
        <v>15777870</v>
      </c>
      <c r="W153" s="1576">
        <v>57912</v>
      </c>
      <c r="X153" s="1576">
        <v>12231206</v>
      </c>
      <c r="Y153" s="1578">
        <v>42621</v>
      </c>
      <c r="Z153" s="1576">
        <v>9267484</v>
      </c>
      <c r="AA153" s="1576">
        <v>52707.253585500177</v>
      </c>
      <c r="AB153" s="1576">
        <v>9149570.5023943</v>
      </c>
      <c r="AC153" s="1581">
        <v>56893</v>
      </c>
      <c r="AD153" s="1581">
        <v>13346063</v>
      </c>
      <c r="AE153" s="1576">
        <v>66410.110583904723</v>
      </c>
      <c r="AF153" s="1576">
        <v>14588953.379567331</v>
      </c>
      <c r="AG153" s="1576">
        <v>110116.97648420157</v>
      </c>
      <c r="AH153" s="1576">
        <v>24985173.98</v>
      </c>
      <c r="AI153" s="1578">
        <v>154252</v>
      </c>
      <c r="AJ153" s="1578">
        <v>39921693</v>
      </c>
      <c r="AK153" s="1578">
        <v>102527</v>
      </c>
      <c r="AL153" s="1578">
        <v>24562825</v>
      </c>
      <c r="AM153" s="1578">
        <v>82590.903496241823</v>
      </c>
      <c r="AN153" s="1578">
        <v>20232606</v>
      </c>
    </row>
    <row r="154" spans="1:40">
      <c r="A154" s="591"/>
      <c r="B154" s="594"/>
      <c r="C154" s="670"/>
      <c r="D154" s="670"/>
      <c r="E154" s="670"/>
      <c r="F154" s="670"/>
      <c r="G154" s="670"/>
      <c r="H154" s="670"/>
      <c r="I154" s="594"/>
      <c r="J154" s="594"/>
      <c r="K154" s="684"/>
      <c r="L154" s="684"/>
      <c r="M154" s="684"/>
      <c r="N154" s="684"/>
      <c r="O154" s="871"/>
      <c r="P154" s="871"/>
      <c r="Q154" s="684"/>
      <c r="R154" s="684"/>
      <c r="S154" s="692"/>
      <c r="T154" s="692"/>
      <c r="U154" s="626"/>
      <c r="V154" s="626"/>
      <c r="W154" s="626"/>
      <c r="X154" s="626"/>
      <c r="Y154" s="626"/>
      <c r="Z154" s="626"/>
      <c r="AA154" s="692"/>
      <c r="AB154" s="692"/>
      <c r="AC154" s="821"/>
      <c r="AD154" s="821"/>
      <c r="AE154" s="692"/>
      <c r="AF154" s="692"/>
      <c r="AG154" s="692"/>
      <c r="AH154" s="692"/>
      <c r="AI154" s="710"/>
      <c r="AJ154" s="710"/>
      <c r="AK154" s="710"/>
      <c r="AL154" s="710"/>
      <c r="AM154" s="710"/>
      <c r="AN154" s="710"/>
    </row>
    <row r="155" spans="1:40">
      <c r="A155" s="884" t="s">
        <v>319</v>
      </c>
      <c r="B155" s="848" t="s">
        <v>110</v>
      </c>
      <c r="C155" s="849">
        <v>0</v>
      </c>
      <c r="D155" s="849">
        <v>0</v>
      </c>
      <c r="E155" s="866">
        <v>0</v>
      </c>
      <c r="F155" s="866">
        <v>0</v>
      </c>
      <c r="G155" s="866">
        <v>0</v>
      </c>
      <c r="H155" s="866">
        <v>0</v>
      </c>
      <c r="I155" s="866">
        <v>0</v>
      </c>
      <c r="J155" s="866">
        <v>0</v>
      </c>
      <c r="K155" s="866">
        <v>0</v>
      </c>
      <c r="L155" s="866">
        <v>0</v>
      </c>
      <c r="M155" s="866">
        <v>2280</v>
      </c>
      <c r="N155" s="866">
        <v>145354</v>
      </c>
      <c r="O155" s="867">
        <v>115</v>
      </c>
      <c r="P155" s="867">
        <v>9430</v>
      </c>
      <c r="Q155" s="849">
        <v>376</v>
      </c>
      <c r="R155" s="849">
        <v>26836</v>
      </c>
      <c r="S155" s="855">
        <v>200</v>
      </c>
      <c r="T155" s="855">
        <v>16400</v>
      </c>
      <c r="U155" s="855">
        <v>0</v>
      </c>
      <c r="V155" s="855">
        <v>0</v>
      </c>
      <c r="W155" s="855">
        <v>0</v>
      </c>
      <c r="X155" s="855">
        <v>0</v>
      </c>
      <c r="Y155" s="855">
        <v>0</v>
      </c>
      <c r="Z155" s="855">
        <v>0</v>
      </c>
      <c r="AA155" s="855">
        <v>0</v>
      </c>
      <c r="AB155" s="855">
        <v>0</v>
      </c>
      <c r="AC155" s="856">
        <v>1881</v>
      </c>
      <c r="AD155" s="856">
        <v>150480</v>
      </c>
      <c r="AE155" s="855">
        <v>8180.2730000000001</v>
      </c>
      <c r="AF155" s="855">
        <v>654374.84</v>
      </c>
      <c r="AG155" s="855">
        <v>9914.93</v>
      </c>
      <c r="AH155" s="855">
        <v>1909370</v>
      </c>
      <c r="AI155" s="854">
        <v>12660</v>
      </c>
      <c r="AJ155" s="854">
        <v>1714507</v>
      </c>
      <c r="AK155" s="854">
        <v>13141</v>
      </c>
      <c r="AL155" s="854">
        <v>1725027</v>
      </c>
      <c r="AM155" s="854">
        <v>12154</v>
      </c>
      <c r="AN155" s="854">
        <v>1739077</v>
      </c>
    </row>
    <row r="156" spans="1:40">
      <c r="A156" s="599"/>
      <c r="B156" s="594"/>
      <c r="C156" s="670"/>
      <c r="D156" s="670"/>
      <c r="E156" s="670"/>
      <c r="F156" s="670"/>
      <c r="G156" s="670"/>
      <c r="H156" s="670"/>
      <c r="I156" s="594"/>
      <c r="J156" s="594"/>
      <c r="K156" s="684"/>
      <c r="L156" s="684"/>
      <c r="M156" s="684"/>
      <c r="N156" s="684"/>
      <c r="O156" s="871"/>
      <c r="P156" s="871"/>
      <c r="Q156" s="684"/>
      <c r="R156" s="684"/>
      <c r="S156" s="626"/>
      <c r="T156" s="626"/>
      <c r="U156" s="626"/>
      <c r="V156" s="626"/>
      <c r="W156" s="626"/>
      <c r="X156" s="626"/>
      <c r="Y156" s="626"/>
      <c r="Z156" s="626"/>
      <c r="AA156" s="692"/>
      <c r="AB156" s="692"/>
      <c r="AC156" s="821"/>
      <c r="AD156" s="821"/>
      <c r="AE156" s="692"/>
      <c r="AF156" s="692"/>
      <c r="AG156" s="692"/>
      <c r="AH156" s="692"/>
      <c r="AI156" s="710"/>
      <c r="AJ156" s="710"/>
      <c r="AK156" s="710"/>
      <c r="AL156" s="710"/>
      <c r="AM156" s="710"/>
      <c r="AN156" s="710"/>
    </row>
    <row r="157" spans="1:40">
      <c r="A157" s="885" t="s">
        <v>320</v>
      </c>
      <c r="B157" s="594" t="s">
        <v>110</v>
      </c>
      <c r="C157" s="670">
        <v>182613</v>
      </c>
      <c r="D157" s="670">
        <v>0</v>
      </c>
      <c r="E157" s="670">
        <v>132262</v>
      </c>
      <c r="F157" s="670">
        <v>0</v>
      </c>
      <c r="G157" s="670">
        <v>179241</v>
      </c>
      <c r="H157" s="670">
        <f>G157*71</f>
        <v>12726111</v>
      </c>
      <c r="I157" s="684">
        <v>169612</v>
      </c>
      <c r="J157" s="684">
        <v>12695341</v>
      </c>
      <c r="K157" s="684">
        <v>195307</v>
      </c>
      <c r="L157" s="684">
        <v>14991613</v>
      </c>
      <c r="M157" s="670">
        <v>220263</v>
      </c>
      <c r="N157" s="670">
        <v>15223112</v>
      </c>
      <c r="O157" s="873">
        <v>161560</v>
      </c>
      <c r="P157" s="873">
        <v>11691732</v>
      </c>
      <c r="Q157" s="684">
        <v>168891</v>
      </c>
      <c r="R157" s="684">
        <v>11822370</v>
      </c>
      <c r="S157" s="692">
        <v>158789</v>
      </c>
      <c r="T157" s="692">
        <v>11525240</v>
      </c>
      <c r="U157" s="692">
        <v>141057</v>
      </c>
      <c r="V157" s="692">
        <v>10043030</v>
      </c>
      <c r="W157" s="692">
        <v>112724</v>
      </c>
      <c r="X157" s="692">
        <v>8517234</v>
      </c>
      <c r="Y157" s="710">
        <v>161412</v>
      </c>
      <c r="Z157" s="692">
        <v>13029931</v>
      </c>
      <c r="AA157" s="692">
        <v>177540</v>
      </c>
      <c r="AB157" s="692">
        <v>14077712</v>
      </c>
      <c r="AC157" s="789">
        <v>191297</v>
      </c>
      <c r="AD157" s="789">
        <v>15059872</v>
      </c>
      <c r="AE157" s="692">
        <v>182838</v>
      </c>
      <c r="AF157" s="692">
        <v>14665992</v>
      </c>
      <c r="AG157" s="692">
        <v>169135.2</v>
      </c>
      <c r="AH157" s="692">
        <v>13569779</v>
      </c>
      <c r="AI157" s="710">
        <v>164320</v>
      </c>
      <c r="AJ157" s="710">
        <v>13405119</v>
      </c>
      <c r="AK157" s="710">
        <v>152369</v>
      </c>
      <c r="AL157" s="710">
        <v>13721295</v>
      </c>
      <c r="AM157" s="710">
        <v>157364</v>
      </c>
      <c r="AN157" s="710">
        <v>14985371</v>
      </c>
    </row>
    <row r="158" spans="1:40">
      <c r="A158" s="591"/>
      <c r="B158" s="594"/>
      <c r="C158" s="670"/>
      <c r="D158" s="670"/>
      <c r="E158" s="670"/>
      <c r="F158" s="670"/>
      <c r="G158" s="670"/>
      <c r="H158" s="670"/>
      <c r="I158" s="794"/>
      <c r="J158" s="794"/>
      <c r="K158" s="626"/>
      <c r="L158" s="626"/>
      <c r="M158" s="670"/>
      <c r="N158" s="670"/>
      <c r="Q158" s="670"/>
      <c r="R158" s="670"/>
      <c r="S158" s="626"/>
      <c r="T158" s="626"/>
      <c r="U158" s="626"/>
      <c r="V158" s="626"/>
      <c r="W158" s="626"/>
      <c r="X158" s="626"/>
      <c r="Y158" s="626"/>
      <c r="Z158" s="626"/>
      <c r="AA158" s="692"/>
      <c r="AB158" s="692"/>
      <c r="AE158" s="692"/>
      <c r="AF158" s="692"/>
      <c r="AG158" s="692"/>
      <c r="AH158" s="692"/>
      <c r="AI158" s="710"/>
      <c r="AJ158" s="710"/>
      <c r="AK158" s="710"/>
      <c r="AL158" s="710"/>
      <c r="AM158" s="710"/>
      <c r="AN158" s="710"/>
    </row>
    <row r="159" spans="1:40">
      <c r="A159" s="884" t="s">
        <v>321</v>
      </c>
      <c r="B159" s="846"/>
      <c r="C159" s="866"/>
      <c r="D159" s="866"/>
      <c r="E159" s="866"/>
      <c r="F159" s="866"/>
      <c r="G159" s="866"/>
      <c r="H159" s="866"/>
      <c r="I159" s="848"/>
      <c r="J159" s="848"/>
      <c r="K159" s="855"/>
      <c r="L159" s="855"/>
      <c r="M159" s="849"/>
      <c r="N159" s="849"/>
      <c r="O159" s="846"/>
      <c r="P159" s="846"/>
      <c r="Q159" s="849"/>
      <c r="R159" s="849"/>
      <c r="S159" s="855"/>
      <c r="T159" s="855"/>
      <c r="U159" s="855"/>
      <c r="V159" s="855"/>
      <c r="W159" s="855"/>
      <c r="X159" s="855"/>
      <c r="Y159" s="855"/>
      <c r="Z159" s="855"/>
      <c r="AA159" s="855"/>
      <c r="AB159" s="855"/>
      <c r="AC159" s="846"/>
      <c r="AD159" s="846"/>
      <c r="AE159" s="855"/>
      <c r="AF159" s="855"/>
      <c r="AG159" s="855"/>
      <c r="AH159" s="855"/>
      <c r="AI159" s="855"/>
      <c r="AJ159" s="855"/>
      <c r="AK159" s="854"/>
      <c r="AL159" s="854"/>
      <c r="AM159" s="855"/>
      <c r="AN159" s="855"/>
    </row>
    <row r="160" spans="1:40">
      <c r="A160" s="887" t="s">
        <v>571</v>
      </c>
      <c r="B160" s="848" t="s">
        <v>110</v>
      </c>
      <c r="C160" s="849">
        <v>8505</v>
      </c>
      <c r="D160" s="849">
        <v>1852772</v>
      </c>
      <c r="E160" s="849">
        <v>12690</v>
      </c>
      <c r="F160" s="849">
        <v>2967402</v>
      </c>
      <c r="G160" s="849">
        <v>8221</v>
      </c>
      <c r="H160" s="849">
        <v>1855601</v>
      </c>
      <c r="I160" s="866">
        <v>24471</v>
      </c>
      <c r="J160" s="866">
        <v>4397393</v>
      </c>
      <c r="K160" s="866">
        <v>32812</v>
      </c>
      <c r="L160" s="866">
        <v>5742022</v>
      </c>
      <c r="M160" s="849">
        <v>47428</v>
      </c>
      <c r="N160" s="849">
        <v>8305325</v>
      </c>
      <c r="O160" s="867">
        <v>40376</v>
      </c>
      <c r="P160" s="867">
        <v>7079333</v>
      </c>
      <c r="Q160" s="849">
        <v>42516</v>
      </c>
      <c r="R160" s="849">
        <v>8893387</v>
      </c>
      <c r="S160" s="855">
        <v>42550</v>
      </c>
      <c r="T160" s="855">
        <v>7341552</v>
      </c>
      <c r="U160" s="855">
        <v>47787</v>
      </c>
      <c r="V160" s="855">
        <v>10245802</v>
      </c>
      <c r="W160" s="855">
        <v>71875</v>
      </c>
      <c r="X160" s="855">
        <v>11561445</v>
      </c>
      <c r="Y160" s="854">
        <v>105324</v>
      </c>
      <c r="Z160" s="855">
        <v>13445325</v>
      </c>
      <c r="AA160" s="855">
        <v>113191</v>
      </c>
      <c r="AB160" s="855">
        <v>18628946</v>
      </c>
      <c r="AC160" s="856">
        <v>46566</v>
      </c>
      <c r="AD160" s="856">
        <v>8897759</v>
      </c>
      <c r="AE160" s="855">
        <v>48021</v>
      </c>
      <c r="AF160" s="855">
        <v>10886637</v>
      </c>
      <c r="AG160" s="855">
        <v>62116</v>
      </c>
      <c r="AH160" s="855">
        <v>14448602</v>
      </c>
      <c r="AI160" s="854">
        <v>68944</v>
      </c>
      <c r="AJ160" s="849" t="s">
        <v>273</v>
      </c>
      <c r="AK160" s="854">
        <v>90400</v>
      </c>
      <c r="AL160" s="849" t="s">
        <v>273</v>
      </c>
      <c r="AM160" s="854">
        <v>102573</v>
      </c>
      <c r="AN160" s="866" t="s">
        <v>273</v>
      </c>
    </row>
    <row r="161" spans="1:40">
      <c r="A161" s="887" t="s">
        <v>572</v>
      </c>
      <c r="B161" s="848" t="s">
        <v>110</v>
      </c>
      <c r="C161" s="849">
        <v>69</v>
      </c>
      <c r="D161" s="849">
        <v>4219279</v>
      </c>
      <c r="E161" s="849">
        <v>143</v>
      </c>
      <c r="F161" s="849">
        <v>4853625</v>
      </c>
      <c r="G161" s="849">
        <v>108</v>
      </c>
      <c r="H161" s="849">
        <v>4224365</v>
      </c>
      <c r="I161" s="866">
        <v>133</v>
      </c>
      <c r="J161" s="866">
        <v>5676606</v>
      </c>
      <c r="K161" s="866">
        <v>548</v>
      </c>
      <c r="L161" s="866">
        <v>13352435</v>
      </c>
      <c r="M161" s="849">
        <v>439</v>
      </c>
      <c r="N161" s="849">
        <v>16169644</v>
      </c>
      <c r="O161" s="867">
        <v>702</v>
      </c>
      <c r="P161" s="867">
        <v>22767073</v>
      </c>
      <c r="Q161" s="849">
        <v>873</v>
      </c>
      <c r="R161" s="849">
        <v>25005667</v>
      </c>
      <c r="S161" s="855">
        <v>537</v>
      </c>
      <c r="T161" s="854">
        <v>19741076</v>
      </c>
      <c r="U161" s="855">
        <v>246</v>
      </c>
      <c r="V161" s="855">
        <v>14278830</v>
      </c>
      <c r="W161" s="855">
        <v>379</v>
      </c>
      <c r="X161" s="855">
        <v>31839882</v>
      </c>
      <c r="Y161" s="854">
        <v>447</v>
      </c>
      <c r="Z161" s="855">
        <v>33018287</v>
      </c>
      <c r="AA161" s="855">
        <v>410</v>
      </c>
      <c r="AB161" s="855">
        <v>34255688</v>
      </c>
      <c r="AC161" s="856">
        <v>371</v>
      </c>
      <c r="AD161" s="856">
        <v>41864039</v>
      </c>
      <c r="AE161" s="855">
        <v>415</v>
      </c>
      <c r="AF161" s="855">
        <v>65929047</v>
      </c>
      <c r="AG161" s="855">
        <v>513.95000000000005</v>
      </c>
      <c r="AH161" s="855">
        <v>78670971</v>
      </c>
      <c r="AI161" s="854">
        <v>737.55</v>
      </c>
      <c r="AJ161" s="849" t="s">
        <v>273</v>
      </c>
      <c r="AK161" s="854">
        <v>905</v>
      </c>
      <c r="AL161" s="849" t="s">
        <v>273</v>
      </c>
      <c r="AM161" s="854">
        <v>1006</v>
      </c>
      <c r="AN161" s="866" t="s">
        <v>273</v>
      </c>
    </row>
    <row r="162" spans="1:40">
      <c r="A162" s="1589" t="s">
        <v>573</v>
      </c>
      <c r="B162" s="848" t="s">
        <v>110</v>
      </c>
      <c r="C162" s="849">
        <v>569</v>
      </c>
      <c r="D162" s="849">
        <v>9442807</v>
      </c>
      <c r="E162" s="849">
        <v>679</v>
      </c>
      <c r="F162" s="849">
        <v>6371195</v>
      </c>
      <c r="G162" s="849">
        <v>731</v>
      </c>
      <c r="H162" s="849">
        <v>4882698</v>
      </c>
      <c r="I162" s="866">
        <v>434</v>
      </c>
      <c r="J162" s="866">
        <v>2855928</v>
      </c>
      <c r="K162" s="866">
        <v>365</v>
      </c>
      <c r="L162" s="866">
        <v>2253656</v>
      </c>
      <c r="M162" s="1590">
        <v>237</v>
      </c>
      <c r="N162" s="1590">
        <v>1298492</v>
      </c>
      <c r="O162" s="867">
        <v>262</v>
      </c>
      <c r="P162" s="867">
        <v>1229162</v>
      </c>
      <c r="Q162" s="849">
        <v>273</v>
      </c>
      <c r="R162" s="849">
        <v>1286279</v>
      </c>
      <c r="S162" s="855">
        <v>208.59633027522941</v>
      </c>
      <c r="T162" s="854">
        <v>1139902</v>
      </c>
      <c r="U162" s="855">
        <v>104</v>
      </c>
      <c r="V162" s="855">
        <v>790621</v>
      </c>
      <c r="W162" s="855">
        <v>457</v>
      </c>
      <c r="X162" s="855">
        <v>3109397</v>
      </c>
      <c r="Y162" s="854">
        <v>403</v>
      </c>
      <c r="Z162" s="855">
        <v>3227809</v>
      </c>
      <c r="AA162" s="855">
        <v>549</v>
      </c>
      <c r="AB162" s="855">
        <v>3576738</v>
      </c>
      <c r="AC162" s="856">
        <v>481</v>
      </c>
      <c r="AD162" s="856">
        <v>3622811</v>
      </c>
      <c r="AE162" s="855">
        <v>596</v>
      </c>
      <c r="AF162" s="855">
        <v>4999060</v>
      </c>
      <c r="AG162" s="855">
        <v>575.62</v>
      </c>
      <c r="AH162" s="855">
        <v>4756778</v>
      </c>
      <c r="AI162" s="854">
        <v>885</v>
      </c>
      <c r="AJ162" s="854">
        <v>7930963</v>
      </c>
      <c r="AK162" s="854">
        <v>874</v>
      </c>
      <c r="AL162" s="854">
        <v>6007866</v>
      </c>
      <c r="AM162" s="854">
        <v>762.7</v>
      </c>
      <c r="AN162" s="854">
        <v>4799655</v>
      </c>
    </row>
    <row r="163" spans="1:40">
      <c r="A163" s="888" t="s">
        <v>323</v>
      </c>
      <c r="B163" s="846"/>
      <c r="C163" s="866"/>
      <c r="D163" s="866">
        <f>SUM(D160:D162)</f>
        <v>15514858</v>
      </c>
      <c r="E163" s="866"/>
      <c r="F163" s="866">
        <f>SUM(F160:F162)</f>
        <v>14192222</v>
      </c>
      <c r="G163" s="866"/>
      <c r="H163" s="866">
        <f>SUM(H160:H162)</f>
        <v>10962664</v>
      </c>
      <c r="I163" s="846"/>
      <c r="J163" s="855">
        <f>SUM(J160:J162)</f>
        <v>12929927</v>
      </c>
      <c r="K163" s="855"/>
      <c r="L163" s="866">
        <v>21348113</v>
      </c>
      <c r="M163" s="866"/>
      <c r="N163" s="866">
        <v>25773461</v>
      </c>
      <c r="O163" s="846"/>
      <c r="P163" s="867">
        <f>SUM(P160:P162)</f>
        <v>31075568</v>
      </c>
      <c r="Q163" s="849"/>
      <c r="R163" s="849">
        <v>35185333</v>
      </c>
      <c r="S163" s="855"/>
      <c r="T163" s="855">
        <v>28222530</v>
      </c>
      <c r="U163" s="855"/>
      <c r="V163" s="855">
        <v>25315253</v>
      </c>
      <c r="W163" s="855"/>
      <c r="X163" s="855">
        <v>46510724</v>
      </c>
      <c r="Y163" s="855"/>
      <c r="Z163" s="855">
        <v>49691421</v>
      </c>
      <c r="AA163" s="855"/>
      <c r="AB163" s="855">
        <v>56461372</v>
      </c>
      <c r="AC163" s="846"/>
      <c r="AD163" s="856">
        <v>54384609</v>
      </c>
      <c r="AE163" s="1588"/>
      <c r="AF163" s="855">
        <v>81814744</v>
      </c>
      <c r="AG163" s="855"/>
      <c r="AH163" s="855">
        <v>97876351</v>
      </c>
      <c r="AI163" s="855"/>
      <c r="AJ163" s="854">
        <v>169908738</v>
      </c>
      <c r="AK163" s="854"/>
      <c r="AL163" s="854">
        <v>225840014</v>
      </c>
      <c r="AM163" s="855"/>
      <c r="AN163" s="854">
        <v>217287947</v>
      </c>
    </row>
    <row r="164" spans="1:40">
      <c r="A164" s="596"/>
      <c r="B164" s="794"/>
      <c r="C164" s="684"/>
      <c r="D164" s="684"/>
      <c r="E164" s="684"/>
      <c r="F164" s="684"/>
      <c r="G164" s="684"/>
      <c r="H164" s="684"/>
      <c r="I164" s="638"/>
      <c r="J164" s="638"/>
      <c r="K164" s="626"/>
      <c r="L164" s="717"/>
      <c r="M164" s="670"/>
      <c r="N164" s="670"/>
      <c r="P164" s="871"/>
      <c r="Q164" s="670"/>
      <c r="R164" s="670"/>
      <c r="S164" s="626"/>
      <c r="T164" s="626"/>
      <c r="U164" s="626"/>
      <c r="V164" s="626"/>
      <c r="W164" s="692"/>
      <c r="X164" s="692"/>
      <c r="Y164" s="626"/>
      <c r="Z164" s="626"/>
      <c r="AA164" s="692"/>
      <c r="AB164" s="692"/>
      <c r="AD164" s="821"/>
      <c r="AE164" s="709"/>
      <c r="AF164" s="709"/>
      <c r="AG164" s="692"/>
      <c r="AH164" s="692"/>
      <c r="AI164" s="692"/>
      <c r="AJ164" s="710"/>
      <c r="AK164" s="710"/>
      <c r="AL164" s="710"/>
      <c r="AM164" s="692"/>
      <c r="AN164" s="710"/>
    </row>
    <row r="165" spans="1:40">
      <c r="A165" s="1573" t="s">
        <v>328</v>
      </c>
      <c r="B165" s="1591" t="s">
        <v>110</v>
      </c>
      <c r="C165" s="1576">
        <v>0</v>
      </c>
      <c r="D165" s="1576">
        <v>0</v>
      </c>
      <c r="E165" s="1576">
        <v>0</v>
      </c>
      <c r="F165" s="1576">
        <v>0</v>
      </c>
      <c r="G165" s="1576">
        <v>0</v>
      </c>
      <c r="H165" s="1576">
        <v>0</v>
      </c>
      <c r="I165" s="1576">
        <v>0</v>
      </c>
      <c r="J165" s="1576">
        <v>0</v>
      </c>
      <c r="K165" s="1576">
        <v>0</v>
      </c>
      <c r="L165" s="1576">
        <v>0</v>
      </c>
      <c r="M165" s="1576">
        <v>0</v>
      </c>
      <c r="N165" s="1576">
        <v>0</v>
      </c>
      <c r="O165" s="1576">
        <v>0</v>
      </c>
      <c r="P165" s="1576">
        <v>0</v>
      </c>
      <c r="Q165" s="1576">
        <v>0</v>
      </c>
      <c r="R165" s="1576">
        <v>0</v>
      </c>
      <c r="S165" s="1576">
        <v>0</v>
      </c>
      <c r="T165" s="1576">
        <v>0</v>
      </c>
      <c r="U165" s="1576">
        <v>0</v>
      </c>
      <c r="V165" s="1576">
        <v>0</v>
      </c>
      <c r="W165" s="1576">
        <v>0</v>
      </c>
      <c r="X165" s="1576">
        <v>0</v>
      </c>
      <c r="Y165" s="1576">
        <v>0</v>
      </c>
      <c r="Z165" s="1576">
        <v>0</v>
      </c>
      <c r="AA165" s="1576">
        <v>0</v>
      </c>
      <c r="AB165" s="1576">
        <v>0</v>
      </c>
      <c r="AC165" s="1576">
        <v>0</v>
      </c>
      <c r="AD165" s="1576">
        <v>0</v>
      </c>
      <c r="AE165" s="1576">
        <v>0</v>
      </c>
      <c r="AF165" s="1576">
        <v>0</v>
      </c>
      <c r="AG165" s="1576">
        <v>757</v>
      </c>
      <c r="AH165" s="1576">
        <v>4981932</v>
      </c>
      <c r="AI165" s="1576">
        <v>4034</v>
      </c>
      <c r="AJ165" s="1578">
        <v>24695581</v>
      </c>
      <c r="AK165" s="1576">
        <v>5190</v>
      </c>
      <c r="AL165" s="1578">
        <v>27128981</v>
      </c>
      <c r="AM165" s="1578">
        <v>3332</v>
      </c>
      <c r="AN165" s="1578">
        <v>20416212</v>
      </c>
    </row>
    <row r="166" spans="1:40">
      <c r="A166" s="591"/>
      <c r="B166" s="638"/>
      <c r="C166" s="684"/>
      <c r="D166" s="684"/>
      <c r="E166" s="684"/>
      <c r="F166" s="684"/>
      <c r="G166" s="684"/>
      <c r="H166" s="684"/>
      <c r="I166" s="638"/>
      <c r="J166" s="638"/>
      <c r="K166" s="626"/>
      <c r="L166" s="717"/>
      <c r="M166" s="670"/>
      <c r="N166" s="670"/>
      <c r="P166" s="871"/>
      <c r="Q166" s="670"/>
      <c r="R166" s="670"/>
      <c r="S166" s="692"/>
      <c r="T166" s="692"/>
      <c r="U166" s="692"/>
      <c r="V166" s="692"/>
      <c r="W166" s="692"/>
      <c r="X166" s="692"/>
      <c r="Y166" s="692"/>
      <c r="Z166" s="692"/>
      <c r="AA166" s="692"/>
      <c r="AB166" s="692"/>
      <c r="AC166" s="692"/>
      <c r="AD166" s="692"/>
      <c r="AE166" s="692"/>
      <c r="AF166" s="692"/>
      <c r="AG166" s="692"/>
      <c r="AH166" s="692"/>
      <c r="AI166" s="692"/>
      <c r="AJ166" s="710"/>
      <c r="AK166" s="710"/>
      <c r="AL166" s="710"/>
      <c r="AM166" s="692"/>
      <c r="AN166" s="710"/>
    </row>
    <row r="167" spans="1:40">
      <c r="A167" s="884" t="s">
        <v>329</v>
      </c>
      <c r="B167" s="880" t="s">
        <v>110</v>
      </c>
      <c r="C167" s="866">
        <v>471</v>
      </c>
      <c r="D167" s="866">
        <v>7740</v>
      </c>
      <c r="E167" s="866">
        <v>552</v>
      </c>
      <c r="F167" s="866">
        <v>9034</v>
      </c>
      <c r="G167" s="866">
        <v>819</v>
      </c>
      <c r="H167" s="866">
        <v>16388</v>
      </c>
      <c r="I167" s="866">
        <v>1679</v>
      </c>
      <c r="J167" s="866">
        <v>87072</v>
      </c>
      <c r="K167" s="866">
        <v>651</v>
      </c>
      <c r="L167" s="866">
        <v>114410</v>
      </c>
      <c r="M167" s="866">
        <v>105</v>
      </c>
      <c r="N167" s="866">
        <v>18528</v>
      </c>
      <c r="O167" s="867">
        <v>507</v>
      </c>
      <c r="P167" s="867">
        <v>90227</v>
      </c>
      <c r="Q167" s="866">
        <v>225</v>
      </c>
      <c r="R167" s="866">
        <v>39943</v>
      </c>
      <c r="S167" s="854">
        <v>199</v>
      </c>
      <c r="T167" s="854">
        <v>35293</v>
      </c>
      <c r="U167" s="855">
        <v>0</v>
      </c>
      <c r="V167" s="855">
        <v>0</v>
      </c>
      <c r="W167" s="855">
        <v>0</v>
      </c>
      <c r="X167" s="855">
        <v>0</v>
      </c>
      <c r="Y167" s="855">
        <v>0</v>
      </c>
      <c r="Z167" s="855">
        <v>0</v>
      </c>
      <c r="AA167" s="855">
        <v>0</v>
      </c>
      <c r="AB167" s="855">
        <v>0</v>
      </c>
      <c r="AC167" s="855">
        <v>0</v>
      </c>
      <c r="AD167" s="855">
        <v>0</v>
      </c>
      <c r="AE167" s="855">
        <v>0</v>
      </c>
      <c r="AF167" s="855">
        <v>0</v>
      </c>
      <c r="AG167" s="855">
        <v>0</v>
      </c>
      <c r="AH167" s="855">
        <v>0</v>
      </c>
      <c r="AI167" s="855">
        <v>0</v>
      </c>
      <c r="AJ167" s="855">
        <v>0</v>
      </c>
      <c r="AK167" s="854">
        <v>0</v>
      </c>
      <c r="AL167" s="854">
        <v>0</v>
      </c>
      <c r="AM167" s="854">
        <v>0</v>
      </c>
      <c r="AN167" s="854">
        <v>0</v>
      </c>
    </row>
    <row r="168" spans="1:40">
      <c r="A168" s="591"/>
      <c r="B168" s="638"/>
      <c r="C168" s="684"/>
      <c r="D168" s="684"/>
      <c r="E168" s="684"/>
      <c r="F168" s="684"/>
      <c r="G168" s="684"/>
      <c r="H168" s="684"/>
      <c r="I168" s="717"/>
      <c r="J168" s="717"/>
      <c r="K168" s="717"/>
      <c r="L168" s="717"/>
      <c r="M168" s="717"/>
      <c r="N168" s="717"/>
      <c r="O168" s="871"/>
      <c r="P168" s="871"/>
      <c r="Q168" s="684"/>
      <c r="R168" s="684"/>
      <c r="S168" s="820"/>
      <c r="T168" s="820"/>
      <c r="U168" s="692"/>
      <c r="V168" s="692"/>
      <c r="W168" s="692"/>
      <c r="X168" s="692"/>
      <c r="Y168" s="692"/>
      <c r="Z168" s="692"/>
      <c r="AA168" s="692"/>
      <c r="AB168" s="692"/>
      <c r="AC168" s="692"/>
      <c r="AD168" s="692"/>
      <c r="AE168" s="692"/>
      <c r="AF168" s="692"/>
      <c r="AG168" s="692"/>
      <c r="AH168" s="692"/>
      <c r="AI168" s="692"/>
      <c r="AJ168" s="692"/>
      <c r="AK168" s="710"/>
      <c r="AL168" s="710"/>
      <c r="AM168" s="710"/>
      <c r="AN168" s="710"/>
    </row>
    <row r="169" spans="1:40">
      <c r="A169" s="885" t="s">
        <v>574</v>
      </c>
      <c r="B169" s="638"/>
      <c r="C169" s="684"/>
      <c r="D169" s="684"/>
      <c r="E169" s="684"/>
      <c r="F169" s="684"/>
      <c r="G169" s="684"/>
      <c r="H169" s="684"/>
      <c r="I169" s="717"/>
      <c r="J169" s="717"/>
      <c r="K169" s="717"/>
      <c r="L169" s="717"/>
      <c r="M169" s="717"/>
      <c r="N169" s="717"/>
      <c r="O169" s="871"/>
      <c r="P169" s="871"/>
      <c r="Q169" s="684"/>
      <c r="R169" s="684"/>
      <c r="S169" s="820"/>
      <c r="T169" s="820"/>
      <c r="U169" s="692"/>
      <c r="V169" s="692"/>
      <c r="W169" s="692"/>
      <c r="X169" s="692"/>
      <c r="Y169" s="692"/>
      <c r="Z169" s="692"/>
      <c r="AA169" s="692"/>
      <c r="AB169" s="692"/>
      <c r="AC169" s="692"/>
      <c r="AD169" s="692"/>
      <c r="AE169" s="692"/>
      <c r="AF169" s="692"/>
      <c r="AG169" s="692"/>
      <c r="AH169" s="692"/>
      <c r="AI169" s="692"/>
      <c r="AJ169" s="692"/>
      <c r="AK169" s="710"/>
      <c r="AL169" s="710"/>
      <c r="AM169" s="710"/>
      <c r="AN169" s="710"/>
    </row>
    <row r="170" spans="1:40">
      <c r="A170" s="591"/>
      <c r="B170" s="638"/>
      <c r="C170" s="684"/>
      <c r="D170" s="684"/>
      <c r="E170" s="684"/>
      <c r="F170" s="684"/>
      <c r="G170" s="684"/>
      <c r="H170" s="684"/>
      <c r="I170" s="794"/>
      <c r="J170" s="794"/>
      <c r="K170" s="626"/>
      <c r="L170" s="717"/>
      <c r="M170" s="717"/>
      <c r="N170" s="717"/>
      <c r="O170" s="871"/>
      <c r="P170" s="871"/>
      <c r="Q170" s="684"/>
      <c r="R170" s="684"/>
      <c r="S170" s="820"/>
      <c r="T170" s="820"/>
      <c r="U170" s="626"/>
      <c r="V170" s="626"/>
      <c r="W170" s="692"/>
      <c r="X170" s="692"/>
      <c r="Y170" s="626"/>
      <c r="Z170" s="626"/>
      <c r="AA170" s="692"/>
      <c r="AB170" s="692"/>
      <c r="AD170" s="821"/>
      <c r="AE170" s="692"/>
      <c r="AF170" s="692"/>
      <c r="AG170" s="692"/>
      <c r="AH170" s="692"/>
      <c r="AI170" s="692"/>
      <c r="AJ170" s="710"/>
      <c r="AK170" s="710"/>
      <c r="AL170" s="710"/>
    </row>
    <row r="171" spans="1:40">
      <c r="A171" s="1570" t="s">
        <v>330</v>
      </c>
      <c r="B171" s="825"/>
      <c r="C171" s="826"/>
      <c r="D171" s="826">
        <v>4663702326</v>
      </c>
      <c r="E171" s="826"/>
      <c r="F171" s="826">
        <v>5237863333</v>
      </c>
      <c r="G171" s="826"/>
      <c r="H171" s="826">
        <v>5687658240</v>
      </c>
      <c r="I171" s="825"/>
      <c r="J171" s="826">
        <v>6945636791</v>
      </c>
      <c r="K171" s="843"/>
      <c r="L171" s="826">
        <v>7958810799</v>
      </c>
      <c r="M171" s="830"/>
      <c r="N171" s="830">
        <v>10662926059</v>
      </c>
      <c r="O171" s="842"/>
      <c r="P171" s="842">
        <f>P13+P21+P23+P34+P36+P44+P46+P48+P59+P75+P77+P79+P95+P100+P106+P111+P115+P127+P129+P138+P142+P145+P151+P153+P155+P157+P163+P167</f>
        <v>12152934002</v>
      </c>
      <c r="Q171" s="830"/>
      <c r="R171" s="830">
        <f>12009185188.1067-464942</f>
        <v>12008720246.106701</v>
      </c>
      <c r="S171" s="844"/>
      <c r="T171" s="831">
        <v>12329885249</v>
      </c>
      <c r="U171" s="844"/>
      <c r="V171" s="831">
        <v>12623902858</v>
      </c>
      <c r="W171" s="831"/>
      <c r="X171" s="831">
        <v>13914714258</v>
      </c>
      <c r="Y171" s="844"/>
      <c r="Z171" s="831">
        <v>15336361934</v>
      </c>
      <c r="AA171" s="844"/>
      <c r="AB171" s="831">
        <v>16395083173</v>
      </c>
      <c r="AC171" s="845"/>
      <c r="AD171" s="833">
        <v>17782101893</v>
      </c>
      <c r="AE171" s="844"/>
      <c r="AF171" s="827">
        <v>16655578272.74151</v>
      </c>
      <c r="AG171" s="844"/>
      <c r="AH171" s="827">
        <v>21344976804.350857</v>
      </c>
      <c r="AI171" s="832"/>
      <c r="AJ171" s="831">
        <v>27547079093</v>
      </c>
      <c r="AK171" s="832"/>
      <c r="AL171" s="831">
        <v>26696138766</v>
      </c>
      <c r="AM171" s="831"/>
      <c r="AN171" s="831">
        <v>27857663102</v>
      </c>
    </row>
    <row r="172" spans="1:40">
      <c r="C172" s="626"/>
      <c r="D172" s="717"/>
      <c r="F172" s="717"/>
      <c r="G172" s="626"/>
      <c r="H172" s="717"/>
      <c r="J172" s="717"/>
      <c r="L172" s="717"/>
      <c r="N172" s="717"/>
      <c r="P172" s="717"/>
      <c r="R172" s="717"/>
      <c r="S172" s="470"/>
      <c r="U172" s="626"/>
      <c r="V172" s="717"/>
      <c r="X172" s="717"/>
      <c r="Z172" s="717"/>
      <c r="AB172" s="717"/>
      <c r="AC172" s="626"/>
      <c r="AD172" s="717"/>
      <c r="AE172" s="470"/>
      <c r="AF172" s="717"/>
      <c r="AG172" s="470"/>
      <c r="AH172" s="717"/>
      <c r="AI172" s="470"/>
      <c r="AJ172" s="717"/>
      <c r="AK172" s="710"/>
      <c r="AL172" s="717"/>
      <c r="AN172" s="717"/>
    </row>
    <row r="173" spans="1:40">
      <c r="A173" s="874"/>
      <c r="B173" s="794"/>
      <c r="C173" s="794"/>
      <c r="D173" s="794"/>
      <c r="E173" s="684"/>
      <c r="F173" s="684"/>
      <c r="G173" s="794"/>
      <c r="H173" s="794"/>
      <c r="I173" s="794"/>
      <c r="J173" s="794"/>
      <c r="K173" s="594"/>
      <c r="L173" s="794"/>
      <c r="M173" s="794"/>
      <c r="N173" s="794"/>
      <c r="O173" s="594"/>
      <c r="P173" s="594"/>
      <c r="Q173" s="594"/>
      <c r="R173" s="594"/>
      <c r="S173" s="670"/>
      <c r="T173" s="670"/>
      <c r="U173" s="594"/>
      <c r="V173" s="594"/>
      <c r="W173" s="794"/>
      <c r="X173" s="794"/>
      <c r="Y173" s="794"/>
      <c r="Z173" s="794"/>
      <c r="AA173" s="594"/>
      <c r="AB173" s="594"/>
      <c r="AC173" s="594"/>
      <c r="AD173" s="594"/>
      <c r="AE173" s="418"/>
      <c r="AF173" s="816"/>
      <c r="AG173" s="418"/>
      <c r="AH173" s="816"/>
      <c r="AI173" s="418"/>
      <c r="AJ173" s="816"/>
      <c r="AK173" s="816"/>
      <c r="AL173" s="710"/>
      <c r="AM173" s="418"/>
      <c r="AN173" s="816"/>
    </row>
    <row r="174" spans="1:40">
      <c r="A174" s="1569"/>
      <c r="B174" s="794"/>
      <c r="C174" s="794"/>
      <c r="D174" s="794"/>
      <c r="E174" s="684"/>
      <c r="F174" s="684"/>
      <c r="G174" s="794"/>
      <c r="H174" s="794"/>
      <c r="I174" s="794"/>
      <c r="J174" s="794"/>
      <c r="K174" s="594"/>
      <c r="L174" s="594"/>
      <c r="M174" s="594"/>
      <c r="N174" s="594"/>
      <c r="O174" s="715"/>
      <c r="P174" s="715"/>
      <c r="Q174" s="594"/>
      <c r="R174" s="594"/>
      <c r="S174" s="670"/>
      <c r="T174" s="670"/>
      <c r="U174" s="715"/>
      <c r="V174" s="715"/>
      <c r="W174" s="594"/>
      <c r="X174" s="594"/>
      <c r="Y174" s="594"/>
      <c r="Z174" s="594"/>
      <c r="AA174" s="794"/>
      <c r="AB174" s="794"/>
      <c r="AC174" s="594"/>
      <c r="AD174" s="594"/>
      <c r="AE174" s="418"/>
      <c r="AF174" s="874"/>
      <c r="AG174" s="418"/>
      <c r="AH174" s="874"/>
      <c r="AI174" s="418"/>
      <c r="AJ174" s="816"/>
      <c r="AK174" s="816"/>
      <c r="AL174" s="710"/>
      <c r="AM174" s="418"/>
      <c r="AN174" s="418"/>
    </row>
    <row r="175" spans="1:40">
      <c r="A175" s="271"/>
      <c r="K175" s="594"/>
      <c r="L175" s="594"/>
      <c r="M175" s="594"/>
      <c r="N175" s="594"/>
      <c r="O175" s="794"/>
      <c r="P175" s="794"/>
      <c r="Q175" s="594"/>
      <c r="R175" s="594"/>
      <c r="S175" s="684"/>
      <c r="T175" s="684"/>
      <c r="U175" s="794"/>
      <c r="V175" s="794"/>
      <c r="W175" s="594"/>
      <c r="X175" s="594"/>
      <c r="Y175" s="594"/>
      <c r="Z175" s="594"/>
      <c r="AA175" s="794"/>
      <c r="AB175" s="794"/>
      <c r="AC175" s="594"/>
      <c r="AD175" s="594"/>
      <c r="AE175" s="418"/>
      <c r="AF175" s="418"/>
      <c r="AJ175" s="817"/>
      <c r="AK175" s="818"/>
      <c r="AL175" s="710"/>
      <c r="AM175" s="418"/>
      <c r="AN175" s="418"/>
    </row>
    <row r="176" spans="1:40">
      <c r="A176" s="874"/>
      <c r="B176" s="794"/>
      <c r="C176" s="794"/>
      <c r="D176" s="794"/>
      <c r="E176" s="794"/>
      <c r="F176" s="794"/>
      <c r="G176" s="794"/>
      <c r="H176" s="794"/>
      <c r="I176" s="794"/>
      <c r="J176" s="794"/>
      <c r="K176" s="594"/>
      <c r="L176" s="594"/>
      <c r="M176" s="794"/>
      <c r="N176" s="794"/>
      <c r="O176" s="594"/>
      <c r="P176" s="594"/>
      <c r="Q176" s="594"/>
      <c r="R176" s="594"/>
      <c r="S176" s="670"/>
      <c r="T176" s="670"/>
      <c r="U176" s="594"/>
      <c r="V176" s="594"/>
      <c r="W176" s="794"/>
      <c r="X176" s="794"/>
      <c r="Y176" s="794"/>
      <c r="Z176" s="794"/>
      <c r="AA176" s="594"/>
      <c r="AB176" s="594"/>
      <c r="AC176" s="594"/>
      <c r="AD176" s="594"/>
      <c r="AK176" s="818"/>
      <c r="AL176" s="710"/>
      <c r="AM176" s="418"/>
      <c r="AN176" s="418"/>
    </row>
    <row r="177" spans="1:40">
      <c r="A177" s="874"/>
      <c r="B177" s="874"/>
      <c r="I177" s="794"/>
      <c r="J177" s="794"/>
      <c r="K177" s="794"/>
      <c r="L177" s="594"/>
      <c r="M177" s="594"/>
      <c r="N177" s="594"/>
      <c r="O177" s="594"/>
      <c r="P177" s="594"/>
      <c r="Q177" s="594"/>
      <c r="R177" s="594"/>
      <c r="S177" s="684"/>
      <c r="T177" s="684"/>
      <c r="U177" s="594"/>
      <c r="V177" s="594"/>
      <c r="W177" s="594"/>
      <c r="X177" s="594"/>
      <c r="Y177" s="594"/>
      <c r="Z177" s="594"/>
      <c r="AA177" s="594"/>
      <c r="AB177" s="594"/>
      <c r="AC177" s="594"/>
      <c r="AD177" s="594"/>
      <c r="AK177" s="818"/>
      <c r="AL177" s="710"/>
      <c r="AM177" s="418"/>
      <c r="AN177" s="418"/>
    </row>
    <row r="178" spans="1:40">
      <c r="A178" s="874"/>
      <c r="B178" s="794"/>
      <c r="I178" s="794"/>
      <c r="J178" s="794"/>
      <c r="K178" s="594"/>
      <c r="L178" s="794"/>
      <c r="M178" s="594"/>
      <c r="N178" s="594"/>
      <c r="O178" s="594"/>
      <c r="P178" s="594"/>
      <c r="Q178" s="794"/>
      <c r="R178" s="794"/>
      <c r="S178" s="670"/>
      <c r="T178" s="670"/>
      <c r="U178" s="594"/>
      <c r="V178" s="594"/>
      <c r="W178" s="594"/>
      <c r="X178" s="594"/>
      <c r="Y178" s="594"/>
      <c r="Z178" s="594"/>
      <c r="AA178" s="594"/>
      <c r="AB178" s="594"/>
      <c r="AC178" s="594"/>
      <c r="AD178" s="594"/>
      <c r="AK178" s="818"/>
      <c r="AL178" s="710"/>
      <c r="AM178" s="418"/>
      <c r="AN178" s="418"/>
    </row>
    <row r="179" spans="1:40">
      <c r="A179" s="874"/>
      <c r="B179" s="794"/>
      <c r="K179" s="594"/>
      <c r="L179" s="594"/>
      <c r="M179" s="594"/>
      <c r="N179" s="594"/>
      <c r="O179" s="794"/>
      <c r="P179" s="794"/>
      <c r="Q179" s="794"/>
      <c r="R179" s="794"/>
      <c r="S179" s="670"/>
      <c r="T179" s="670"/>
      <c r="U179" s="594"/>
      <c r="V179" s="594"/>
      <c r="W179" s="594"/>
      <c r="X179" s="594"/>
      <c r="Y179" s="594"/>
      <c r="Z179" s="594"/>
      <c r="AA179" s="594"/>
      <c r="AB179" s="594"/>
      <c r="AC179" s="594"/>
      <c r="AD179" s="594"/>
      <c r="AK179" s="818"/>
      <c r="AL179" s="710"/>
    </row>
    <row r="180" spans="1:40">
      <c r="K180" s="794"/>
      <c r="L180" s="794"/>
      <c r="M180" s="594"/>
      <c r="N180" s="594"/>
      <c r="O180" s="594"/>
      <c r="P180" s="594"/>
      <c r="Q180" s="594"/>
      <c r="R180" s="594"/>
      <c r="S180" s="670"/>
      <c r="T180" s="670"/>
      <c r="U180" s="594"/>
      <c r="V180" s="594"/>
      <c r="W180" s="594"/>
      <c r="X180" s="594"/>
      <c r="Y180" s="594"/>
      <c r="Z180" s="594"/>
      <c r="AA180" s="594"/>
      <c r="AB180" s="594"/>
      <c r="AC180" s="594"/>
      <c r="AD180" s="594"/>
      <c r="AK180" s="818"/>
      <c r="AL180" s="710"/>
    </row>
    <row r="181" spans="1:40">
      <c r="K181" s="594"/>
      <c r="L181" s="794"/>
      <c r="M181" s="794"/>
      <c r="N181" s="794"/>
      <c r="O181" s="594"/>
      <c r="P181" s="594"/>
      <c r="Q181" s="594"/>
      <c r="R181" s="594"/>
      <c r="S181" s="670"/>
      <c r="T181" s="670"/>
      <c r="U181" s="594"/>
      <c r="V181" s="594"/>
      <c r="W181" s="794"/>
      <c r="X181" s="794"/>
      <c r="Y181" s="794"/>
      <c r="Z181" s="794"/>
      <c r="AA181" s="594"/>
      <c r="AB181" s="594"/>
      <c r="AC181" s="594"/>
      <c r="AD181" s="594"/>
      <c r="AK181" s="818"/>
      <c r="AL181" s="710"/>
    </row>
    <row r="182" spans="1:40">
      <c r="K182" s="594"/>
      <c r="L182" s="594"/>
      <c r="M182" s="594"/>
      <c r="N182" s="594"/>
      <c r="O182" s="794"/>
      <c r="P182" s="794"/>
      <c r="Q182" s="594"/>
      <c r="R182" s="594"/>
      <c r="S182" s="670"/>
      <c r="T182" s="670"/>
      <c r="U182" s="794"/>
      <c r="V182" s="794"/>
      <c r="W182" s="594"/>
      <c r="X182" s="594"/>
      <c r="Y182" s="594"/>
      <c r="Z182" s="594"/>
      <c r="AA182" s="594"/>
      <c r="AB182" s="594"/>
      <c r="AC182" s="794"/>
      <c r="AD182" s="794"/>
      <c r="AK182" s="818"/>
      <c r="AL182" s="710"/>
    </row>
    <row r="183" spans="1:40">
      <c r="K183" s="594"/>
      <c r="L183" s="594"/>
      <c r="M183" s="594"/>
      <c r="N183" s="594"/>
      <c r="O183" s="794"/>
      <c r="P183" s="794"/>
      <c r="Q183" s="594"/>
      <c r="R183" s="594"/>
      <c r="S183" s="684"/>
      <c r="T183" s="684"/>
      <c r="U183" s="794"/>
      <c r="V183" s="794"/>
      <c r="W183" s="594"/>
      <c r="X183" s="594"/>
      <c r="Y183" s="594"/>
      <c r="Z183" s="594"/>
      <c r="AA183" s="794"/>
      <c r="AB183" s="794"/>
      <c r="AC183" s="594"/>
      <c r="AD183" s="594"/>
      <c r="AK183" s="818"/>
      <c r="AL183" s="710"/>
    </row>
    <row r="184" spans="1:40">
      <c r="K184" s="594"/>
      <c r="L184" s="594"/>
      <c r="M184" s="594"/>
      <c r="N184" s="594"/>
      <c r="O184" s="594"/>
      <c r="P184" s="594"/>
      <c r="Q184" s="594"/>
      <c r="R184" s="594"/>
      <c r="S184" s="670"/>
      <c r="T184" s="670"/>
      <c r="U184" s="594"/>
      <c r="V184" s="594"/>
      <c r="W184" s="594"/>
      <c r="X184" s="594"/>
      <c r="Y184" s="594"/>
      <c r="Z184" s="594"/>
      <c r="AA184" s="794"/>
      <c r="AB184" s="794"/>
      <c r="AC184" s="794"/>
      <c r="AD184" s="794"/>
      <c r="AK184" s="818"/>
      <c r="AL184" s="710"/>
    </row>
    <row r="185" spans="1:40">
      <c r="K185" s="594"/>
      <c r="L185" s="594"/>
      <c r="M185" s="794"/>
      <c r="N185" s="794"/>
      <c r="O185" s="594"/>
      <c r="P185" s="594"/>
      <c r="Q185" s="794"/>
      <c r="R185" s="794"/>
      <c r="S185" s="670"/>
      <c r="T185" s="670"/>
      <c r="U185" s="594"/>
      <c r="V185" s="594"/>
      <c r="W185" s="794"/>
      <c r="X185" s="794"/>
      <c r="Y185" s="794"/>
      <c r="Z185" s="794"/>
      <c r="AA185" s="638"/>
      <c r="AB185" s="638"/>
      <c r="AC185" s="794"/>
      <c r="AD185" s="794"/>
      <c r="AK185" s="818"/>
      <c r="AL185" s="710"/>
    </row>
    <row r="186" spans="1:40">
      <c r="K186" s="594"/>
      <c r="L186" s="594"/>
      <c r="M186" s="794"/>
      <c r="N186" s="794"/>
      <c r="O186" s="594"/>
      <c r="P186" s="594"/>
      <c r="Q186" s="594"/>
      <c r="R186" s="594"/>
      <c r="S186" s="670"/>
      <c r="T186" s="670"/>
      <c r="U186" s="594"/>
      <c r="V186" s="594"/>
      <c r="W186" s="794"/>
      <c r="X186" s="794"/>
      <c r="Y186" s="794"/>
      <c r="Z186" s="794"/>
      <c r="AA186" s="638"/>
      <c r="AB186" s="638"/>
      <c r="AC186" s="794"/>
      <c r="AD186" s="794"/>
      <c r="AK186" s="818"/>
      <c r="AL186" s="710"/>
    </row>
    <row r="187" spans="1:40">
      <c r="K187" s="794"/>
      <c r="L187" s="594"/>
      <c r="M187" s="638"/>
      <c r="N187" s="638"/>
      <c r="O187" s="594"/>
      <c r="P187" s="594"/>
      <c r="Q187" s="594"/>
      <c r="R187" s="594"/>
      <c r="S187" s="684"/>
      <c r="T187" s="684"/>
      <c r="U187" s="594"/>
      <c r="V187" s="594"/>
      <c r="W187" s="638"/>
      <c r="X187" s="638"/>
      <c r="Y187" s="638"/>
      <c r="Z187" s="638"/>
      <c r="AA187" s="794"/>
      <c r="AB187" s="794"/>
      <c r="AC187" s="594"/>
      <c r="AD187" s="594"/>
      <c r="AK187" s="818"/>
      <c r="AL187" s="710"/>
    </row>
    <row r="188" spans="1:40">
      <c r="K188" s="594"/>
      <c r="L188" s="794"/>
      <c r="M188" s="638"/>
      <c r="N188" s="638"/>
      <c r="O188" s="594"/>
      <c r="P188" s="594"/>
      <c r="Q188" s="594"/>
      <c r="R188" s="594"/>
      <c r="S188" s="684"/>
      <c r="T188" s="684"/>
      <c r="U188" s="594"/>
      <c r="V188" s="594"/>
      <c r="W188" s="638"/>
      <c r="X188" s="638"/>
      <c r="Y188" s="638"/>
      <c r="Z188" s="638"/>
      <c r="AA188" s="794"/>
      <c r="AB188" s="794"/>
      <c r="AC188" s="594"/>
      <c r="AD188" s="594"/>
      <c r="AK188" s="818"/>
      <c r="AL188" s="710"/>
    </row>
    <row r="189" spans="1:40">
      <c r="K189" s="594"/>
      <c r="L189" s="594"/>
      <c r="M189" s="638"/>
      <c r="N189" s="638"/>
      <c r="O189" s="594"/>
      <c r="P189" s="594"/>
      <c r="Q189" s="794"/>
      <c r="R189" s="794"/>
      <c r="S189" s="684"/>
      <c r="T189" s="684"/>
      <c r="U189" s="594"/>
      <c r="V189" s="594"/>
      <c r="W189" s="794"/>
      <c r="X189" s="794"/>
      <c r="Y189" s="794"/>
      <c r="Z189" s="794"/>
      <c r="AA189" s="794"/>
      <c r="AB189" s="794"/>
      <c r="AC189" s="594"/>
      <c r="AD189" s="594"/>
      <c r="AK189" s="818"/>
      <c r="AL189" s="710"/>
    </row>
    <row r="190" spans="1:40">
      <c r="K190" s="594"/>
      <c r="L190" s="594"/>
      <c r="M190" s="638"/>
      <c r="N190" s="638"/>
      <c r="O190" s="794"/>
      <c r="P190" s="794"/>
      <c r="Q190" s="794"/>
      <c r="R190" s="794"/>
      <c r="S190" s="684"/>
      <c r="T190" s="684"/>
      <c r="U190" s="794"/>
      <c r="V190" s="794"/>
      <c r="W190" s="794"/>
      <c r="X190" s="794"/>
      <c r="Y190" s="794"/>
      <c r="Z190" s="794"/>
      <c r="AA190" s="794"/>
      <c r="AB190" s="794"/>
      <c r="AC190" s="594"/>
      <c r="AD190" s="594"/>
      <c r="AK190" s="818"/>
      <c r="AL190" s="710"/>
    </row>
    <row r="191" spans="1:40">
      <c r="K191" s="794"/>
      <c r="L191" s="594"/>
      <c r="M191" s="794"/>
      <c r="N191" s="794"/>
      <c r="O191" s="594"/>
      <c r="P191" s="594"/>
      <c r="Q191" s="638"/>
      <c r="R191" s="638"/>
      <c r="S191" s="684"/>
      <c r="T191" s="684"/>
      <c r="U191" s="594"/>
      <c r="V191" s="594"/>
      <c r="W191" s="794"/>
      <c r="X191" s="794"/>
      <c r="Y191" s="794"/>
      <c r="Z191" s="794"/>
      <c r="AA191" s="794"/>
      <c r="AB191" s="794"/>
      <c r="AC191" s="594"/>
      <c r="AD191" s="594"/>
      <c r="AK191" s="818"/>
      <c r="AL191" s="710"/>
    </row>
    <row r="192" spans="1:40">
      <c r="K192" s="794"/>
      <c r="L192" s="794"/>
      <c r="M192" s="794"/>
      <c r="N192" s="794"/>
      <c r="O192" s="594"/>
      <c r="P192" s="594"/>
      <c r="Q192" s="638"/>
      <c r="R192" s="638"/>
      <c r="S192" s="684"/>
      <c r="T192" s="684"/>
      <c r="U192" s="594"/>
      <c r="V192" s="594"/>
      <c r="W192" s="794"/>
      <c r="X192" s="794"/>
      <c r="Y192" s="794"/>
      <c r="Z192" s="794"/>
      <c r="AA192" s="794"/>
      <c r="AB192" s="794"/>
      <c r="AC192" s="594"/>
      <c r="AD192" s="594"/>
      <c r="AK192" s="818"/>
      <c r="AL192" s="710"/>
    </row>
    <row r="193" spans="11:38">
      <c r="K193" s="638"/>
      <c r="L193" s="794"/>
      <c r="M193" s="794"/>
      <c r="N193" s="794"/>
      <c r="O193" s="594"/>
      <c r="P193" s="594"/>
      <c r="Q193" s="638"/>
      <c r="R193" s="638"/>
      <c r="S193" s="684"/>
      <c r="T193" s="684"/>
      <c r="U193" s="594"/>
      <c r="V193" s="594"/>
      <c r="W193" s="794"/>
      <c r="X193" s="794"/>
      <c r="Y193" s="794"/>
      <c r="Z193" s="794"/>
      <c r="AA193" s="794"/>
      <c r="AB193" s="794"/>
      <c r="AC193" s="794"/>
      <c r="AD193" s="794"/>
      <c r="AK193" s="818"/>
      <c r="AL193" s="710"/>
    </row>
    <row r="194" spans="11:38">
      <c r="K194" s="638"/>
      <c r="L194" s="638"/>
      <c r="M194" s="794"/>
      <c r="N194" s="794"/>
      <c r="O194" s="794"/>
      <c r="P194" s="794"/>
      <c r="Q194" s="638"/>
      <c r="R194" s="638"/>
      <c r="S194" s="684"/>
      <c r="T194" s="684"/>
      <c r="U194" s="794"/>
      <c r="V194" s="794"/>
      <c r="W194" s="794"/>
      <c r="X194" s="794"/>
      <c r="Y194" s="794"/>
      <c r="Z194" s="794"/>
      <c r="AA194" s="794"/>
      <c r="AB194" s="794"/>
      <c r="AC194" s="594"/>
      <c r="AD194" s="594"/>
      <c r="AK194" s="818"/>
      <c r="AL194" s="710"/>
    </row>
    <row r="195" spans="11:38">
      <c r="K195" s="638"/>
      <c r="L195" s="638"/>
      <c r="M195" s="794"/>
      <c r="N195" s="794"/>
      <c r="O195" s="794"/>
      <c r="P195" s="794"/>
      <c r="Q195" s="794"/>
      <c r="R195" s="794"/>
      <c r="S195" s="684"/>
      <c r="T195" s="684"/>
      <c r="U195" s="794"/>
      <c r="V195" s="794"/>
      <c r="W195" s="794"/>
      <c r="X195" s="794"/>
      <c r="Y195" s="794"/>
      <c r="Z195" s="794"/>
      <c r="AA195" s="794"/>
      <c r="AB195" s="794"/>
      <c r="AC195" s="594"/>
      <c r="AD195" s="594"/>
      <c r="AK195" s="818"/>
      <c r="AL195" s="710"/>
    </row>
    <row r="196" spans="11:38">
      <c r="K196" s="638"/>
      <c r="L196" s="638"/>
      <c r="M196" s="794"/>
      <c r="N196" s="794"/>
      <c r="O196" s="638"/>
      <c r="P196" s="638"/>
      <c r="Q196" s="794"/>
      <c r="R196" s="794"/>
      <c r="S196" s="684"/>
      <c r="T196" s="684"/>
      <c r="U196" s="638"/>
      <c r="V196" s="638"/>
      <c r="W196" s="794"/>
      <c r="X196" s="794"/>
      <c r="Y196" s="794"/>
      <c r="Z196" s="794"/>
      <c r="AA196" s="794"/>
      <c r="AB196" s="794"/>
      <c r="AC196" s="594"/>
      <c r="AD196" s="594"/>
      <c r="AK196" s="818"/>
      <c r="AL196" s="710"/>
    </row>
    <row r="197" spans="11:38">
      <c r="K197" s="794"/>
      <c r="L197" s="638"/>
      <c r="M197" s="794"/>
      <c r="N197" s="794"/>
      <c r="O197" s="638"/>
      <c r="P197" s="638"/>
      <c r="Q197" s="794"/>
      <c r="R197" s="794"/>
      <c r="S197" s="684"/>
      <c r="T197" s="684"/>
      <c r="U197" s="638"/>
      <c r="V197" s="638"/>
      <c r="W197" s="794"/>
      <c r="X197" s="794"/>
      <c r="Y197" s="794"/>
      <c r="Z197" s="794"/>
      <c r="AA197" s="794"/>
      <c r="AB197" s="794"/>
      <c r="AC197" s="794"/>
      <c r="AD197" s="794"/>
      <c r="AK197" s="818"/>
      <c r="AL197" s="710"/>
    </row>
    <row r="198" spans="11:38">
      <c r="K198" s="794"/>
      <c r="L198" s="794"/>
      <c r="M198" s="794"/>
      <c r="N198" s="794"/>
      <c r="O198" s="638"/>
      <c r="P198" s="638"/>
      <c r="Q198" s="794"/>
      <c r="R198" s="794"/>
      <c r="S198" s="684"/>
      <c r="T198" s="684"/>
      <c r="U198" s="794"/>
      <c r="V198" s="794"/>
      <c r="W198" s="794"/>
      <c r="X198" s="794"/>
      <c r="Y198" s="794"/>
      <c r="Z198" s="794"/>
      <c r="AA198" s="794"/>
      <c r="AB198" s="794"/>
      <c r="AC198" s="794"/>
      <c r="AD198" s="794"/>
      <c r="AK198" s="818"/>
    </row>
    <row r="199" spans="11:38">
      <c r="K199" s="794"/>
      <c r="L199" s="794"/>
      <c r="M199" s="794"/>
      <c r="N199" s="794"/>
      <c r="O199" s="638"/>
      <c r="P199" s="638"/>
      <c r="Q199" s="794"/>
      <c r="R199" s="794"/>
      <c r="S199" s="684"/>
      <c r="T199" s="684"/>
      <c r="U199" s="794"/>
      <c r="V199" s="794"/>
      <c r="W199" s="794"/>
      <c r="X199" s="794"/>
      <c r="Y199" s="794"/>
      <c r="Z199" s="794"/>
      <c r="AA199" s="794"/>
      <c r="AB199" s="794"/>
      <c r="AC199" s="638"/>
      <c r="AD199" s="638"/>
      <c r="AK199" s="818"/>
    </row>
    <row r="200" spans="11:38">
      <c r="K200" s="794"/>
      <c r="L200" s="794"/>
      <c r="M200" s="794"/>
      <c r="N200" s="794"/>
      <c r="O200" s="794"/>
      <c r="P200" s="794"/>
      <c r="Q200" s="794"/>
      <c r="R200" s="794"/>
      <c r="S200" s="684"/>
      <c r="T200" s="684"/>
      <c r="U200" s="794"/>
      <c r="V200" s="794"/>
      <c r="W200" s="794"/>
      <c r="X200" s="794"/>
      <c r="Y200" s="794"/>
      <c r="Z200" s="794"/>
      <c r="AA200" s="794"/>
      <c r="AB200" s="794"/>
      <c r="AC200" s="638"/>
      <c r="AD200" s="638"/>
      <c r="AK200" s="818"/>
    </row>
    <row r="201" spans="11:38">
      <c r="K201" s="794"/>
      <c r="L201" s="794"/>
      <c r="M201" s="794"/>
      <c r="N201" s="794"/>
      <c r="O201" s="794"/>
      <c r="P201" s="794"/>
      <c r="Q201" s="794"/>
      <c r="R201" s="794"/>
      <c r="S201" s="684"/>
      <c r="T201" s="684"/>
      <c r="U201" s="794"/>
      <c r="V201" s="794"/>
      <c r="W201" s="794"/>
      <c r="X201" s="794"/>
      <c r="Y201" s="794"/>
      <c r="Z201" s="794"/>
      <c r="AA201" s="794"/>
      <c r="AB201" s="794"/>
      <c r="AC201" s="794"/>
      <c r="AD201" s="794"/>
      <c r="AK201" s="818"/>
    </row>
    <row r="202" spans="11:38">
      <c r="K202" s="794"/>
      <c r="L202" s="794"/>
      <c r="M202" s="794"/>
      <c r="N202" s="794"/>
      <c r="O202" s="794"/>
      <c r="P202" s="794"/>
      <c r="Q202" s="794"/>
      <c r="R202" s="794"/>
      <c r="S202" s="684"/>
      <c r="T202" s="684"/>
      <c r="U202" s="794"/>
      <c r="V202" s="794"/>
      <c r="W202" s="794"/>
      <c r="X202" s="794"/>
      <c r="Y202" s="794"/>
      <c r="Z202" s="794"/>
      <c r="AA202" s="794"/>
      <c r="AB202" s="794"/>
      <c r="AC202" s="794"/>
      <c r="AD202" s="794"/>
    </row>
    <row r="203" spans="11:38">
      <c r="K203" s="794"/>
      <c r="L203" s="794"/>
      <c r="M203" s="794"/>
      <c r="N203" s="794"/>
      <c r="O203" s="794"/>
      <c r="P203" s="794"/>
      <c r="Q203" s="794"/>
      <c r="R203" s="794"/>
      <c r="S203" s="684"/>
      <c r="T203" s="684"/>
      <c r="U203" s="794"/>
      <c r="V203" s="794"/>
      <c r="W203" s="794"/>
      <c r="X203" s="794"/>
      <c r="Y203" s="794"/>
      <c r="Z203" s="794"/>
      <c r="AA203" s="794"/>
      <c r="AB203" s="794"/>
      <c r="AC203" s="794"/>
      <c r="AD203" s="794"/>
    </row>
    <row r="204" spans="11:38">
      <c r="K204" s="794"/>
      <c r="L204" s="794"/>
      <c r="M204" s="794"/>
      <c r="N204" s="794"/>
      <c r="O204" s="794"/>
      <c r="P204" s="794"/>
      <c r="Q204" s="794"/>
      <c r="R204" s="794"/>
      <c r="S204" s="684"/>
      <c r="T204" s="684"/>
      <c r="U204" s="794"/>
      <c r="V204" s="794"/>
      <c r="W204" s="794"/>
      <c r="X204" s="794"/>
      <c r="Y204" s="794"/>
      <c r="AA204" s="794"/>
      <c r="AB204" s="794"/>
      <c r="AC204" s="794"/>
      <c r="AD204" s="794"/>
    </row>
    <row r="205" spans="11:38">
      <c r="K205" s="794"/>
      <c r="L205" s="794"/>
      <c r="M205" s="794"/>
      <c r="N205" s="794"/>
      <c r="O205" s="794"/>
      <c r="P205" s="794"/>
      <c r="Q205" s="794"/>
      <c r="R205" s="794"/>
      <c r="S205" s="684"/>
      <c r="T205" s="684"/>
      <c r="U205" s="794"/>
      <c r="V205" s="794"/>
      <c r="W205" s="794"/>
      <c r="X205" s="794"/>
      <c r="Y205" s="794"/>
      <c r="AA205" s="794"/>
      <c r="AB205" s="794"/>
      <c r="AC205" s="794"/>
      <c r="AD205" s="794"/>
    </row>
    <row r="206" spans="11:38">
      <c r="K206" s="794"/>
      <c r="L206" s="794"/>
      <c r="M206" s="794"/>
      <c r="N206" s="794"/>
      <c r="O206" s="794"/>
      <c r="P206" s="794"/>
      <c r="Q206" s="794"/>
      <c r="R206" s="794"/>
      <c r="S206" s="684"/>
      <c r="T206" s="684"/>
      <c r="U206" s="794"/>
      <c r="V206" s="794"/>
      <c r="W206" s="794"/>
      <c r="X206" s="794"/>
      <c r="Y206" s="794"/>
      <c r="AA206" s="794"/>
      <c r="AB206" s="794"/>
      <c r="AC206" s="794"/>
      <c r="AD206" s="794"/>
    </row>
    <row r="207" spans="11:38">
      <c r="K207" s="794"/>
      <c r="L207" s="794"/>
      <c r="M207" s="794"/>
      <c r="N207" s="794"/>
      <c r="O207" s="794"/>
      <c r="P207" s="794"/>
      <c r="Q207" s="794"/>
      <c r="R207" s="794"/>
      <c r="S207" s="684"/>
      <c r="T207" s="684"/>
      <c r="U207" s="794"/>
      <c r="V207" s="794"/>
      <c r="W207" s="794"/>
      <c r="X207" s="794"/>
      <c r="Y207" s="794"/>
      <c r="AA207" s="794"/>
      <c r="AB207" s="794"/>
      <c r="AC207" s="794"/>
      <c r="AD207" s="794"/>
    </row>
    <row r="208" spans="11:38">
      <c r="K208" s="794"/>
      <c r="L208" s="794"/>
      <c r="M208" s="794"/>
      <c r="N208" s="794"/>
      <c r="O208" s="794"/>
      <c r="P208" s="794"/>
      <c r="Q208" s="794"/>
      <c r="R208" s="794"/>
      <c r="S208" s="684"/>
      <c r="T208" s="684"/>
      <c r="U208" s="794"/>
      <c r="V208" s="794"/>
      <c r="W208" s="794"/>
      <c r="X208" s="794"/>
      <c r="Y208" s="794"/>
      <c r="AA208" s="794"/>
      <c r="AB208" s="794"/>
      <c r="AC208" s="794"/>
      <c r="AD208" s="794"/>
    </row>
    <row r="209" spans="11:40">
      <c r="K209" s="794"/>
      <c r="L209" s="794"/>
      <c r="M209" s="794"/>
      <c r="N209" s="794"/>
      <c r="O209" s="794"/>
      <c r="P209" s="794"/>
      <c r="Q209" s="794"/>
      <c r="R209" s="794"/>
      <c r="S209" s="684"/>
      <c r="T209" s="684"/>
      <c r="U209" s="794"/>
      <c r="V209" s="794"/>
      <c r="W209" s="794"/>
      <c r="X209" s="794"/>
      <c r="Y209" s="794"/>
      <c r="AA209" s="794"/>
      <c r="AB209" s="794"/>
      <c r="AC209" s="794"/>
      <c r="AD209" s="794"/>
    </row>
    <row r="210" spans="11:40">
      <c r="K210" s="794"/>
      <c r="L210" s="794"/>
      <c r="M210" s="794"/>
      <c r="N210" s="794"/>
      <c r="O210" s="794"/>
      <c r="P210" s="794"/>
      <c r="Q210" s="794"/>
      <c r="R210" s="794"/>
      <c r="S210" s="684"/>
      <c r="T210" s="684"/>
      <c r="U210" s="794"/>
      <c r="V210" s="794"/>
      <c r="W210" s="794"/>
      <c r="X210" s="794"/>
      <c r="Y210" s="794"/>
      <c r="AA210" s="794"/>
      <c r="AB210" s="794"/>
      <c r="AC210" s="794"/>
      <c r="AD210" s="794"/>
      <c r="AM210" s="418"/>
      <c r="AN210" s="418"/>
    </row>
    <row r="211" spans="11:40">
      <c r="K211" s="794"/>
      <c r="L211" s="794"/>
      <c r="M211" s="794"/>
      <c r="N211" s="794"/>
      <c r="O211" s="794"/>
      <c r="P211" s="794"/>
      <c r="Q211" s="794"/>
      <c r="R211" s="794"/>
      <c r="S211" s="684"/>
      <c r="T211" s="684"/>
      <c r="U211" s="794"/>
      <c r="V211" s="794"/>
      <c r="W211" s="794"/>
      <c r="X211" s="794"/>
      <c r="Y211" s="794"/>
      <c r="AA211" s="794"/>
      <c r="AB211" s="794"/>
      <c r="AC211" s="794"/>
      <c r="AD211" s="794"/>
      <c r="AM211" s="418"/>
      <c r="AN211" s="418"/>
    </row>
    <row r="212" spans="11:40">
      <c r="K212" s="794"/>
      <c r="L212" s="794"/>
      <c r="M212" s="794"/>
      <c r="N212" s="794"/>
      <c r="O212" s="794"/>
      <c r="P212" s="794"/>
      <c r="Q212" s="794"/>
      <c r="R212" s="794"/>
      <c r="S212" s="684"/>
      <c r="T212" s="684"/>
      <c r="U212" s="794"/>
      <c r="V212" s="794"/>
      <c r="W212" s="794"/>
      <c r="X212" s="794"/>
      <c r="Y212" s="794"/>
      <c r="AA212" s="794"/>
      <c r="AB212" s="794"/>
      <c r="AC212" s="794"/>
      <c r="AD212" s="794"/>
    </row>
    <row r="213" spans="11:40">
      <c r="K213" s="794"/>
      <c r="L213" s="794"/>
      <c r="M213" s="794"/>
      <c r="N213" s="794"/>
      <c r="O213" s="794"/>
      <c r="P213" s="794"/>
      <c r="Q213" s="794"/>
      <c r="R213" s="794"/>
      <c r="S213" s="684"/>
      <c r="T213" s="684"/>
      <c r="U213" s="794"/>
      <c r="V213" s="794"/>
      <c r="W213" s="794"/>
      <c r="X213" s="794"/>
      <c r="Y213" s="794"/>
      <c r="AA213" s="794"/>
      <c r="AB213" s="794"/>
      <c r="AC213" s="794"/>
      <c r="AD213" s="794"/>
    </row>
    <row r="214" spans="11:40">
      <c r="K214" s="794"/>
      <c r="L214" s="794"/>
      <c r="M214" s="794"/>
      <c r="N214" s="794"/>
      <c r="O214" s="794"/>
      <c r="P214" s="794"/>
      <c r="Q214" s="794"/>
      <c r="R214" s="794"/>
      <c r="S214" s="684"/>
      <c r="T214" s="684"/>
      <c r="U214" s="794"/>
      <c r="V214" s="794"/>
      <c r="W214" s="794"/>
      <c r="X214" s="794"/>
      <c r="Y214" s="794"/>
      <c r="AC214" s="794"/>
      <c r="AD214" s="794"/>
    </row>
    <row r="215" spans="11:40">
      <c r="K215" s="794"/>
      <c r="L215" s="794"/>
      <c r="M215" s="794"/>
      <c r="N215" s="794"/>
      <c r="O215" s="794"/>
      <c r="P215" s="794"/>
      <c r="Q215" s="794"/>
      <c r="R215" s="794"/>
      <c r="S215" s="684"/>
      <c r="T215" s="684"/>
      <c r="U215" s="794"/>
      <c r="V215" s="794"/>
      <c r="W215" s="794"/>
      <c r="X215" s="794"/>
      <c r="Y215" s="794"/>
      <c r="AC215" s="794"/>
      <c r="AD215" s="794"/>
    </row>
    <row r="216" spans="11:40">
      <c r="K216" s="794"/>
      <c r="L216" s="794"/>
      <c r="M216" s="794"/>
      <c r="N216" s="794"/>
      <c r="O216" s="794"/>
      <c r="P216" s="794"/>
      <c r="Q216" s="794"/>
      <c r="R216" s="794"/>
      <c r="S216" s="684"/>
      <c r="T216" s="684"/>
      <c r="U216" s="794"/>
      <c r="V216" s="794"/>
      <c r="W216" s="794"/>
      <c r="X216" s="794"/>
      <c r="Y216" s="794"/>
      <c r="AC216" s="794"/>
      <c r="AD216" s="794"/>
    </row>
    <row r="217" spans="11:40">
      <c r="K217" s="794"/>
      <c r="L217" s="794"/>
      <c r="M217" s="794"/>
      <c r="N217" s="794"/>
      <c r="O217" s="794"/>
      <c r="P217" s="794"/>
      <c r="Q217" s="794"/>
      <c r="R217" s="794"/>
      <c r="S217" s="684"/>
      <c r="T217" s="684"/>
      <c r="U217" s="794"/>
      <c r="V217" s="794"/>
      <c r="W217" s="794"/>
      <c r="X217" s="794"/>
      <c r="Y217" s="794"/>
      <c r="AC217" s="794"/>
      <c r="AD217" s="794"/>
    </row>
    <row r="218" spans="11:40">
      <c r="K218" s="794"/>
      <c r="L218" s="794"/>
      <c r="M218" s="794"/>
      <c r="N218" s="794"/>
      <c r="O218" s="794"/>
      <c r="P218" s="794"/>
      <c r="Q218" s="794"/>
      <c r="R218" s="794"/>
      <c r="S218" s="684"/>
      <c r="T218" s="684"/>
      <c r="U218" s="794"/>
      <c r="V218" s="794"/>
      <c r="W218" s="794"/>
      <c r="X218" s="794"/>
      <c r="Y218" s="794"/>
      <c r="AC218" s="794"/>
      <c r="AD218" s="794"/>
    </row>
    <row r="219" spans="11:40">
      <c r="K219" s="794"/>
      <c r="L219" s="794"/>
      <c r="M219" s="794"/>
      <c r="N219" s="794"/>
      <c r="O219" s="794"/>
      <c r="P219" s="794"/>
      <c r="Q219" s="794"/>
      <c r="R219" s="794"/>
      <c r="S219" s="684"/>
      <c r="T219" s="684"/>
      <c r="U219" s="794"/>
      <c r="V219" s="794"/>
      <c r="W219" s="794"/>
      <c r="X219" s="794"/>
      <c r="Y219" s="794"/>
    </row>
    <row r="220" spans="11:40">
      <c r="W220" s="794"/>
      <c r="X220" s="794"/>
    </row>
    <row r="221" spans="11:40">
      <c r="W221" s="794"/>
      <c r="X221" s="794"/>
    </row>
    <row r="222" spans="11:40">
      <c r="W222" s="794"/>
      <c r="X222" s="794"/>
    </row>
    <row r="223" spans="11:40">
      <c r="W223" s="794"/>
      <c r="X223" s="794"/>
    </row>
    <row r="224" spans="11:40">
      <c r="W224" s="794"/>
      <c r="X224" s="794"/>
    </row>
  </sheetData>
  <mergeCells count="19">
    <mergeCell ref="AA7:AB7"/>
    <mergeCell ref="AC7:AD7"/>
    <mergeCell ref="AM7:AN7"/>
    <mergeCell ref="AE7:AF7"/>
    <mergeCell ref="AG7:AH7"/>
    <mergeCell ref="AI7:AJ7"/>
    <mergeCell ref="AK7:AL7"/>
    <mergeCell ref="Y7:Z7"/>
    <mergeCell ref="C7:D7"/>
    <mergeCell ref="E7:F7"/>
    <mergeCell ref="G7:H7"/>
    <mergeCell ref="I7:J7"/>
    <mergeCell ref="K7:L7"/>
    <mergeCell ref="M7:N7"/>
    <mergeCell ref="O7:P7"/>
    <mergeCell ref="Q7:R7"/>
    <mergeCell ref="S7:T7"/>
    <mergeCell ref="U7:V7"/>
    <mergeCell ref="W7:X7"/>
  </mergeCell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47aadd75-fb41-49d7-866d-414b51aa1b7e" ContentTypeId="0x0101000AC6246A9CD2FC45B52DC6FEC0F0AAAA" PreviousValue="false"/>
</file>

<file path=customXml/item3.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 xsi:nil="true"/>
    <OurDocsVersionCreatedAt xmlns="dce3ed02-b0cd-470d-9119-e5f1a2533a21">2020-02-14T03:30:40+00:00</OurDocsVersionCreatedAt>
    <OurDocsDocId xmlns="dce3ed02-b0cd-470d-9119-e5f1a2533a21">005308.Policy.Coordination</OurDocsDocId>
    <OurDocsDocumentSource xmlns="dce3ed02-b0cd-470d-9119-e5f1a2533a21">Internal</OurDocsDocumentSource>
    <OurDocsLocation xmlns="dce3ed02-b0cd-470d-9119-e5f1a2533a21">Perth</OurDocsLocation>
    <OurDocsDataStore xmlns="dce3ed02-b0cd-470d-9119-e5f1a2533a21">Central</OurDocsDataStore>
    <OurDocsReleaseClassification xmlns="dce3ed02-b0cd-470d-9119-e5f1a2533a21">Departmental Use Only</OurDocsReleaseClassification>
    <OurDocsTitle xmlns="dce3ed02-b0cd-470d-9119-e5f1a2533a21">Resources data - Publication - Major Commodities 2019</OurDocsTitle>
    <OurDocsLockedOnBehalfOf xmlns="dce3ed02-b0cd-470d-9119-e5f1a2533a21" xsi:nil="true"/>
    <OurDocsVersionNumber xmlns="dce3ed02-b0cd-470d-9119-e5f1a2533a21">1</OurDocsVersionNumber>
    <OurDocsAuthor xmlns="dce3ed02-b0cd-470d-9119-e5f1a2533a21">Matt.WEBER</OurDocsAuthor>
    <OurDocsDescription xmlns="dce3ed02-b0cd-470d-9119-e5f1a2533a21">2019 Contains: Detailed information on the scale and scope of the WA resources industry, plus specific information of major and minor commodities.
Formerly Central/004723.Policy.Coordination/1
Formerly Central/004960.Policy.Coordination/1</OurDocsDescription>
    <OurDocsVersionCreatedBy xmlns="dce3ed02-b0cd-470d-9119-e5f1a2533a21">MIESAMS</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2020-02-13T16:00:00+00:00</OurDocsDocumentDate>
    <OurDocsLockedBy xmlns="dce3ed02-b0cd-470d-9119-e5f1a2533a21" xsi:nil="true"/>
    <OurDocsFileNumbers xmlns="dce3ed02-b0cd-470d-9119-e5f1a2533a21">A1904/201001</OurDocsFileNumbers>
    <OurDocsLockedOn xmlns="dce3ed02-b0cd-470d-9119-e5f1a2533a21"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A4CDB8-6E60-4D7D-A567-5E92D0F03A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CB60599-4087-4CB0-8E12-56087EE9155B}">
  <ds:schemaRefs>
    <ds:schemaRef ds:uri="Microsoft.SharePoint.Taxonomy.ContentTypeSync"/>
  </ds:schemaRefs>
</ds:datastoreItem>
</file>

<file path=customXml/itemProps3.xml><?xml version="1.0" encoding="utf-8"?>
<ds:datastoreItem xmlns:ds="http://schemas.openxmlformats.org/officeDocument/2006/customXml" ds:itemID="{2A8B270F-3161-4B2F-B62E-21FD3FA5A6CC}">
  <ds:schemaRefs>
    <ds:schemaRef ds:uri="http://purl.org/dc/terms/"/>
    <ds:schemaRef ds:uri="dce3ed02-b0cd-470d-9119-e5f1a2533a21"/>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87838472-7309-4B9F-B3CC-9A0F915285E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5</vt:i4>
      </vt:variant>
    </vt:vector>
  </HeadingPairs>
  <TitlesOfParts>
    <vt:vector size="54" baseType="lpstr">
      <vt:lpstr>Index</vt:lpstr>
      <vt:lpstr>How To Use</vt:lpstr>
      <vt:lpstr>Data Sources</vt:lpstr>
      <vt:lpstr>Data - Monthly Commodity Prices</vt:lpstr>
      <vt:lpstr>Q&amp;V 2 Yr Summary</vt:lpstr>
      <vt:lpstr>Major Commodity Summary</vt:lpstr>
      <vt:lpstr>CY Q&amp;V 1886-2003</vt:lpstr>
      <vt:lpstr>CY Q&amp;V 2004-Now</vt:lpstr>
      <vt:lpstr>FY Q&amp;V 1984-85 to 2002-03</vt:lpstr>
      <vt:lpstr>FY Q&amp;V 2003-04 to Now</vt:lpstr>
      <vt:lpstr>Alumina - Q&amp;V</vt:lpstr>
      <vt:lpstr>Alumina - Prices</vt:lpstr>
      <vt:lpstr>Alumina - Exports</vt:lpstr>
      <vt:lpstr>Alumina - WA vs Australia</vt:lpstr>
      <vt:lpstr>Base Metals - Q&amp;V</vt:lpstr>
      <vt:lpstr>Base Metals - Prices</vt:lpstr>
      <vt:lpstr>Base Metals - Exports</vt:lpstr>
      <vt:lpstr>Base Metals - WA vs Australia</vt:lpstr>
      <vt:lpstr>Gold - Q&amp;V</vt:lpstr>
      <vt:lpstr>Gold - Prices</vt:lpstr>
      <vt:lpstr>Gold - Exports</vt:lpstr>
      <vt:lpstr>Gold - WA vs Australia</vt:lpstr>
      <vt:lpstr>Gold - Cumulative Production</vt:lpstr>
      <vt:lpstr>Iron Ore - Q&amp;V</vt:lpstr>
      <vt:lpstr>Iron Ore - Prices</vt:lpstr>
      <vt:lpstr>Iron Ore - Exports</vt:lpstr>
      <vt:lpstr>Iron Ore - WA vs Australia</vt:lpstr>
      <vt:lpstr>China Steel Prod &amp; Iron Ore CY</vt:lpstr>
      <vt:lpstr>China Steel Prod &amp; Iron Ore FY</vt:lpstr>
      <vt:lpstr>Lithium - Q&amp;V</vt:lpstr>
      <vt:lpstr>Lithium - Prices</vt:lpstr>
      <vt:lpstr>Mineral Sands - Q&amp;V</vt:lpstr>
      <vt:lpstr>Mineral Sands - Prices</vt:lpstr>
      <vt:lpstr>Mineral Sands - Exports</vt:lpstr>
      <vt:lpstr>Mineral Sands - WA vs Australia</vt:lpstr>
      <vt:lpstr>Minor Commodities - Q&amp;V</vt:lpstr>
      <vt:lpstr>Nickel - Q&amp;V</vt:lpstr>
      <vt:lpstr>Nickel - Prices</vt:lpstr>
      <vt:lpstr>Nickel - Exports</vt:lpstr>
      <vt:lpstr>Nickel - WA vs Australia</vt:lpstr>
      <vt:lpstr>Petroleum - Q&amp;V1</vt:lpstr>
      <vt:lpstr>Petroleum - Q&amp;V2</vt:lpstr>
      <vt:lpstr>Petroleum - Gas Prices</vt:lpstr>
      <vt:lpstr>Petroleum - Oil Prices</vt:lpstr>
      <vt:lpstr>Petroleum - Exports</vt:lpstr>
      <vt:lpstr>Petroleum - WA vs Australia</vt:lpstr>
      <vt:lpstr>Petroleum - Global LNG Trade</vt:lpstr>
      <vt:lpstr>Petroleum - Global Oil Reserves</vt:lpstr>
      <vt:lpstr>Uranium - Prices</vt:lpstr>
      <vt:lpstr>LthanEQ2</vt:lpstr>
      <vt:lpstr>'Major Commodity Summary'!Print_Area</vt:lpstr>
      <vt:lpstr>'Q&amp;V 2 Yr Summary'!Print_Area</vt:lpstr>
      <vt:lpstr>'CY Q&amp;V 1886-2003'!Print_Titles</vt:lpstr>
      <vt:lpstr>'Q&amp;V 2 Yr Summary'!Print_Titles</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Resources data - Publication - Major Commodities 2019</dc:title>
  <dc:subject>2019 Contains: Detailed information on the scale and scope of the WA resources industry, plus specific information of major and minor commodities.
Formerly Central/004723.Policy.Coordination/1
Formerly Central/004960.Policy.Coordination/1</dc:subject>
  <dc:creator>Matt.WEBER</dc:creator>
  <cp:lastModifiedBy>CYBULSKI, Bartosz</cp:lastModifiedBy>
  <cp:lastPrinted>2017-03-22T02:40:22Z</cp:lastPrinted>
  <dcterms:created xsi:type="dcterms:W3CDTF">2016-01-18T06:04:17Z</dcterms:created>
  <dcterms:modified xsi:type="dcterms:W3CDTF">2020-03-30T00:36:05Z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{BEAF1C69-D32B-4ACF-B15C-4EF2D83AF200}</vt:lpwstr>
  </property>
</Properties>
</file>